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ml.chartshapes+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omments11.xml" ContentType="application/vnd.openxmlformats-officedocument.spreadsheetml.comments+xml"/>
  <Override PartName="/xl/comments12.xml" ContentType="application/vnd.openxmlformats-officedocument.spreadsheetml.comments+xml"/>
  <Override PartName="/xl/drawings/drawing9.xml" ContentType="application/vnd.openxmlformats-officedocument.drawing+xml"/>
  <Override PartName="/xl/comments13.xml" ContentType="application/vnd.openxmlformats-officedocument.spreadsheetml.comments+xml"/>
  <Override PartName="/xl/charts/chart11.xml" ContentType="application/vnd.openxmlformats-officedocument.drawingml.chart+xml"/>
  <Override PartName="/xl/drawings/drawing10.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11.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comments14.xml" ContentType="application/vnd.openxmlformats-officedocument.spreadsheetml.comments+xml"/>
  <Override PartName="/xl/comments15.xml" ContentType="application/vnd.openxmlformats-officedocument.spreadsheetml.comments+xml"/>
  <Override PartName="/xl/drawings/drawing12.xml" ContentType="application/vnd.openxmlformats-officedocument.drawing+xml"/>
  <Override PartName="/xl/charts/chart16.xml" ContentType="application/vnd.openxmlformats-officedocument.drawingml.chart+xml"/>
  <Override PartName="/xl/comments16.xml" ContentType="application/vnd.openxmlformats-officedocument.spreadsheetml.comments+xml"/>
  <Override PartName="/xl/drawings/drawing13.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4.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ushani\OneDrive - Insurance Regulatory Commission of Sri Lanka\Ushani\Industry Hand Book\2021\Final\"/>
    </mc:Choice>
  </mc:AlternateContent>
  <bookViews>
    <workbookView xWindow="0" yWindow="0" windowWidth="20490" windowHeight="7620" tabRatio="855"/>
  </bookViews>
  <sheets>
    <sheet name="cover page" sheetId="117" r:id="rId1"/>
    <sheet name="General Notes" sheetId="90" r:id="rId2"/>
    <sheet name="List" sheetId="2" r:id="rId3"/>
    <sheet name="1. GWP - LT + GI  (Final) " sheetId="118" r:id="rId4"/>
    <sheet name="GWP - LT + GI " sheetId="4" state="hidden" r:id="rId5"/>
    <sheet name="2. GWP - LTIB " sheetId="100" r:id="rId6"/>
    <sheet name="3. GWP - GIB" sheetId="137" r:id="rId7"/>
    <sheet name="4. Industry Assets " sheetId="120" r:id="rId8"/>
    <sheet name="5. Fin Inst'n " sheetId="101" r:id="rId9"/>
    <sheet name="Total Assets" sheetId="9" state="hidden" r:id="rId10"/>
    <sheet name="6. SH Fund " sheetId="102" r:id="rId11"/>
    <sheet name="SH Funds" sheetId="11" state="hidden" r:id="rId12"/>
    <sheet name="7. Concentration of Assets-LTIB" sheetId="103" r:id="rId13"/>
    <sheet name="8. Assets Con-Company-wise LTI " sheetId="104" r:id="rId14"/>
    <sheet name="9. Concentration Assets - G " sheetId="138" r:id="rId15"/>
    <sheet name="10.Concen Assets-Companywis " sheetId="139" r:id="rId16"/>
    <sheet name="11. Balance Sheet - 2021-LI " sheetId="106" r:id="rId17"/>
    <sheet name="12. Balance Sheet - 2020-LI" sheetId="105" r:id="rId18"/>
    <sheet name="13. Income St.- 2021 - LI " sheetId="108" r:id="rId19"/>
    <sheet name="14. Income St.- 2020 - LI" sheetId="107" r:id="rId20"/>
    <sheet name="15. BS 2021 GI " sheetId="140" r:id="rId21"/>
    <sheet name="16. BS 2020 GI" sheetId="141" r:id="rId22"/>
    <sheet name="17. P &amp; L - GI - 2021" sheetId="142" r:id="rId23"/>
    <sheet name="18. P &amp; L - GI - 2020" sheetId="143" r:id="rId24"/>
    <sheet name="19. TAC LI " sheetId="109" r:id="rId25"/>
    <sheet name="20. RCR LI " sheetId="110" r:id="rId26"/>
    <sheet name="21. TAC" sheetId="127" r:id="rId27"/>
    <sheet name="22. RCR" sheetId="128" r:id="rId28"/>
    <sheet name="23. Solvency LI  " sheetId="111" r:id="rId29"/>
    <sheet name="24.  Solvency  GI " sheetId="129" r:id="rId30"/>
    <sheet name="25. GWP Class&amp; Com Wise-GI " sheetId="130" r:id="rId31"/>
    <sheet name="26. Combined Ratio" sheetId="131" r:id="rId32"/>
    <sheet name="27. Earned premium-GIB" sheetId="132" r:id="rId33"/>
    <sheet name="28. Claims Incurred-GIB" sheetId="133" r:id="rId34"/>
    <sheet name="29. Combined Ratio-Com wise GI" sheetId="37" r:id="rId35"/>
    <sheet name="30. Retention final " sheetId="98" r:id="rId36"/>
    <sheet name="31. Reinsurance Premium" sheetId="134" r:id="rId37"/>
    <sheet name="32. Branches, Emp, Agents" sheetId="135" r:id="rId38"/>
    <sheet name="Branches-Emp-Agents" sheetId="41" state="hidden" r:id="rId39"/>
    <sheet name="GWP-LTIB (Final)" sheetId="42" state="hidden" r:id="rId40"/>
    <sheet name="33. New Policies LI (Final) " sheetId="112" r:id="rId41"/>
    <sheet name="Investment Income LI  (Final)" sheetId="46" state="hidden" r:id="rId42"/>
    <sheet name="Investment Income LI " sheetId="47" state="hidden" r:id="rId43"/>
    <sheet name="LI - Solvency" sheetId="48" state="hidden" r:id="rId44"/>
    <sheet name="GWP-GIB (Final)" sheetId="49" state="hidden" r:id="rId45"/>
    <sheet name="P &amp; L - GI - 2012 " sheetId="50" state="hidden" r:id="rId46"/>
    <sheet name="AR6&amp;7 Support I" sheetId="51" state="hidden" r:id="rId47"/>
    <sheet name="GWP - Class wise - GI" sheetId="52" state="hidden" r:id="rId48"/>
    <sheet name="GWP Class &amp; Com Wise-GI (Final)" sheetId="53" state="hidden" r:id="rId49"/>
    <sheet name="Comb Ratio" sheetId="54" state="hidden" r:id="rId50"/>
    <sheet name="Earned Premium-GIB (Final)" sheetId="55" state="hidden" r:id="rId51"/>
    <sheet name="Claims Incurred - GIB (Final)" sheetId="56" state="hidden" r:id="rId52"/>
    <sheet name="Retention" sheetId="57" state="hidden" r:id="rId53"/>
    <sheet name="Reinsurance Premium (Final)" sheetId="58" state="hidden" r:id="rId54"/>
    <sheet name="Invest Income GI - 2011" sheetId="59" state="hidden" r:id="rId55"/>
    <sheet name="GI - Solvency" sheetId="60" state="hidden" r:id="rId56"/>
    <sheet name="GWP - Dist Chan - GI" sheetId="61" state="hidden" r:id="rId57"/>
    <sheet name="34. Inforced Policies LI " sheetId="113" r:id="rId58"/>
    <sheet name="35. New Business " sheetId="114" r:id="rId59"/>
    <sheet name="New Busi LT" sheetId="64" state="hidden" r:id="rId60"/>
    <sheet name="GWP - Dist Chan - LI" sheetId="65" state="hidden" r:id="rId61"/>
    <sheet name="SRCC &amp; TC 2011 &amp; 12" sheetId="66" state="hidden" r:id="rId62"/>
    <sheet name="Co Ins Outward" sheetId="67" state="hidden" r:id="rId63"/>
    <sheet name="Expenses 2008&amp;09 GI" sheetId="68" state="hidden" r:id="rId64"/>
    <sheet name="AR 6&amp;7 Support III" sheetId="69" state="hidden" r:id="rId65"/>
    <sheet name="T13(i) -Motor Policies" sheetId="70" state="hidden" r:id="rId66"/>
    <sheet name="List of tables" sheetId="71" state="hidden" r:id="rId67"/>
    <sheet name="New - LT" sheetId="72" state="hidden" r:id="rId68"/>
    <sheet name="AR - Table 1" sheetId="73" state="hidden" r:id="rId69"/>
    <sheet name="AR Table 8 &amp; Chart 9" sheetId="74" state="hidden" r:id="rId70"/>
    <sheet name="LI - laps new  (2)" sheetId="75" state="hidden" r:id="rId71"/>
    <sheet name="37. Num of Life Benefits Paid" sheetId="116" r:id="rId72"/>
    <sheet name="36. Life Benefits Rs.'000" sheetId="115" r:id="rId73"/>
    <sheet name="Life Benifits Rs.'000" sheetId="77" state="hidden" r:id="rId74"/>
    <sheet name="# of Life Benifits Paid" sheetId="79" state="hidden" r:id="rId75"/>
    <sheet name="T13 -GI Policies " sheetId="80" state="hidden" r:id="rId76"/>
    <sheet name="New GI" sheetId="81" state="hidden" r:id="rId77"/>
    <sheet name="T14 (i) -GI Sum Insu" sheetId="82" state="hidden" r:id="rId78"/>
    <sheet name="T14As % of National Income" sheetId="83" state="hidden" r:id="rId79"/>
    <sheet name="Sheet1" sheetId="84" state="hidden" r:id="rId80"/>
    <sheet name="Ratios" sheetId="85" state="hidden" r:id="rId81"/>
    <sheet name="Sheet2" sheetId="86" state="hidden" r:id="rId82"/>
    <sheet name="AR table 6 &amp; Chart 7 (2)" sheetId="87" state="hidden" r:id="rId83"/>
    <sheet name="38. Abbreviations" sheetId="88" r:id="rId84"/>
  </sheets>
  <externalReferences>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s>
  <definedNames>
    <definedName name="_xlnm._FilterDatabase" localSheetId="15" hidden="1">'10.Concen Assets-Companywis '!$B$2:$K$16</definedName>
    <definedName name="_xlnm._FilterDatabase" localSheetId="20" hidden="1">'15. BS 2021 GI '!$J$1:$N$753</definedName>
    <definedName name="_xlnm._FilterDatabase" localSheetId="58" hidden="1">'35. New Business '!$D$2:$H$329</definedName>
    <definedName name="_xlnm.Print_Area" localSheetId="74">'# of Life Benifits Paid'!$A$1:$H$145</definedName>
    <definedName name="_xlnm.Print_Area" localSheetId="3">'1. GWP - LT + GI  (Final) '!$A$1:$H$35</definedName>
    <definedName name="_xlnm.Print_Area" localSheetId="15">'10.Concen Assets-Companywis '!$A$1:$J$38</definedName>
    <definedName name="_xlnm.Print_Area" localSheetId="16">'11. Balance Sheet - 2021-LI '!$A$1:$N$888</definedName>
    <definedName name="_xlnm.Print_Area" localSheetId="17">'12. Balance Sheet - 2020-LI'!$A$1:$N$888</definedName>
    <definedName name="_xlnm.Print_Area" localSheetId="18">'13. Income St.- 2021 - LI '!$A$1:$M$824</definedName>
    <definedName name="_xlnm.Print_Area" localSheetId="19">'14. Income St.- 2020 - LI'!$A$1:$M$822</definedName>
    <definedName name="_xlnm.Print_Area" localSheetId="20">'15. BS 2021 GI '!$A$1:$H$751</definedName>
    <definedName name="_xlnm.Print_Area" localSheetId="21">'16. BS 2020 GI'!$A$1:$G$748</definedName>
    <definedName name="_xlnm.Print_Area" localSheetId="22">'17. P &amp; L - GI - 2021'!$A$1:$K$540</definedName>
    <definedName name="_xlnm.Print_Area" localSheetId="23">'18. P &amp; L - GI - 2020'!$A$1:$K$541</definedName>
    <definedName name="_xlnm.Print_Area" localSheetId="24">'19. TAC LI '!$B$2:$H$28</definedName>
    <definedName name="_xlnm.Print_Area" localSheetId="5">'2. GWP - LTIB '!$A$1:$L$26</definedName>
    <definedName name="_xlnm.Print_Area" localSheetId="25">'20. RCR LI '!$B$2:$J$45</definedName>
    <definedName name="_xlnm.Print_Area" localSheetId="26">'21. TAC'!$A$1:$G$27</definedName>
    <definedName name="_xlnm.Print_Area" localSheetId="27">'22. RCR'!$A$1:$J$40</definedName>
    <definedName name="_xlnm.Print_Area" localSheetId="28">'23. Solvency LI  '!$B$2:$J$25</definedName>
    <definedName name="_xlnm.Print_Area" localSheetId="29">'24.  Solvency  GI '!$A$1:$H$24</definedName>
    <definedName name="_xlnm.Print_Area" localSheetId="30">'25. GWP Class&amp; Com Wise-GI '!$A$1:$I$108</definedName>
    <definedName name="_xlnm.Print_Area" localSheetId="31">'26. Combined Ratio'!$A$1:$H$54</definedName>
    <definedName name="_xlnm.Print_Area" localSheetId="32">'27. Earned premium-GIB'!$A$1:$H$123</definedName>
    <definedName name="_xlnm.Print_Area" localSheetId="33">'28. Claims Incurred-GIB'!$A$1:$H$127</definedName>
    <definedName name="_xlnm.Print_Area" localSheetId="34">'29. Combined Ratio-Com wise GI'!$B$2:$H$25</definedName>
    <definedName name="_xlnm.Print_Area" localSheetId="6">'3. GWP - GIB'!$A$1:$L$26</definedName>
    <definedName name="_xlnm.Print_Area" localSheetId="35">'30. Retention final '!$A$1:$H$48</definedName>
    <definedName name="_xlnm.Print_Area" localSheetId="36">'31. Reinsurance Premium'!$A$1:$H$127</definedName>
    <definedName name="_xlnm.Print_Area" localSheetId="37">'32. Branches, Emp, Agents'!$A$1:$N$455</definedName>
    <definedName name="_xlnm.Print_Area" localSheetId="40">'33. New Policies LI (Final) '!$A$1:$H$23</definedName>
    <definedName name="_xlnm.Print_Area" localSheetId="57">'34. Inforced Policies LI '!$A$1:$G$22</definedName>
    <definedName name="_xlnm.Print_Area" localSheetId="58">'35. New Business '!$A$1:$H$134</definedName>
    <definedName name="_xlnm.Print_Area" localSheetId="72">'36. Life Benefits Rs.''000'!$A$1:$H$166</definedName>
    <definedName name="_xlnm.Print_Area" localSheetId="71">'37. Num of Life Benefits Paid'!$A$1:$H$179</definedName>
    <definedName name="_xlnm.Print_Area" localSheetId="83">'38. Abbreviations'!$A$1:$C$34</definedName>
    <definedName name="_xlnm.Print_Area" localSheetId="7">'4. Industry Assets '!$A$1:$L$35</definedName>
    <definedName name="_xlnm.Print_Area" localSheetId="8">'5. Fin Inst''n '!$A$1:$L$17</definedName>
    <definedName name="_xlnm.Print_Area" localSheetId="10">'6. SH Fund '!$A$1:$J$39</definedName>
    <definedName name="_xlnm.Print_Area" localSheetId="12">'7. Concentration of Assets-LTIB'!$A$1:$F$19</definedName>
    <definedName name="_xlnm.Print_Area" localSheetId="13">'8. Assets Con-Company-wise LTI '!$A$1:$J$42</definedName>
    <definedName name="_xlnm.Print_Area" localSheetId="14">'9. Concentration Assets - G '!$A$1:$F$21</definedName>
    <definedName name="_xlnm.Print_Area" localSheetId="82">'AR table 6 &amp; Chart 7 (2)'!$A$1:$V$28</definedName>
    <definedName name="_xlnm.Print_Area" localSheetId="46">'AR6&amp;7 Support I'!$A$13:$V$77</definedName>
    <definedName name="_xlnm.Print_Area" localSheetId="62">'Co Ins Outward'!$A$1:$H$51</definedName>
    <definedName name="_xlnm.Print_Area" localSheetId="49">'Comb Ratio'!$A$1:$G$43</definedName>
    <definedName name="_xlnm.Print_Area" localSheetId="0">'cover page'!$A$1:$N$42</definedName>
    <definedName name="_xlnm.Print_Area" localSheetId="50">'Earned Premium-GIB (Final)'!$A$13:$V$57</definedName>
    <definedName name="_xlnm.Print_Area" localSheetId="1">'General Notes'!$A$1:$D$16</definedName>
    <definedName name="_xlnm.Print_Area" localSheetId="47">'GWP - Class wise - GI'!$A$1:$G$38</definedName>
    <definedName name="_xlnm.Print_Area" localSheetId="56">'GWP - Dist Chan - GI'!$A$12:$F$244</definedName>
    <definedName name="_xlnm.Print_Area" localSheetId="60">'GWP - Dist Chan - LI'!$A$1:$F$205</definedName>
    <definedName name="_xlnm.Print_Area" localSheetId="48">'GWP Class &amp; Com Wise-GI (Final)'!$A$13:$V$57</definedName>
    <definedName name="_xlnm.Print_Area" localSheetId="44">'GWP-GIB (Final)'!$C$1:$AV$136</definedName>
    <definedName name="_xlnm.Print_Area" localSheetId="42">'Investment Income LI '!$A$1:$G$31</definedName>
    <definedName name="_xlnm.Print_Area" localSheetId="41">'Investment Income LI  (Final)'!$A$1:$G$33</definedName>
    <definedName name="_xlnm.Print_Area" localSheetId="73">'Life Benifits Rs.''000'!$A$1:$I$145</definedName>
    <definedName name="_xlnm.Print_Area" localSheetId="2">List!$A$2:$C$42</definedName>
    <definedName name="_xlnm.Print_Area" localSheetId="59">'New Busi LT'!$B$1:$K$172</definedName>
    <definedName name="_xlnm.Print_Area" localSheetId="45">'P &amp; L - GI - 2012 '!$A$2:$H$594</definedName>
    <definedName name="_xlnm.Print_Area" localSheetId="52">Retention!$A$1:$H$47</definedName>
    <definedName name="_xlnm.Print_Area" localSheetId="11">'SH Funds'!$A$1:$K$32</definedName>
    <definedName name="_xlnm.Print_Area" localSheetId="61">'SRCC &amp; TC 2011 &amp; 12'!$A$1:$H$55</definedName>
    <definedName name="_xlnm.Print_Area" localSheetId="9">'Total Assets'!$A$1:$M$28</definedName>
    <definedName name="_xlnm.Print_Titles" localSheetId="74">'# of Life Benifits Paid'!$2:$2</definedName>
    <definedName name="_xlnm.Print_Titles" localSheetId="38">'Branches-Emp-Agents'!$2:$2</definedName>
    <definedName name="_xlnm.Print_Titles" localSheetId="55">'GI - Solvency'!$1:$1</definedName>
    <definedName name="_xlnm.Print_Titles" localSheetId="43">'LI - Solvency'!$1:$1</definedName>
    <definedName name="_xlnm.Print_Titles" localSheetId="73">'Life Benifits Rs.''000'!$2:$2</definedName>
    <definedName name="_xlnm.Print_Titles" localSheetId="59">'New Busi LT'!$2:$2</definedName>
    <definedName name="_xlnm.Print_Titles" localSheetId="45">'P &amp; L - GI - 2012 '!$2:$2</definedName>
    <definedName name="Z_2ACFE167_4169_43A6_9AB2_59D5A2DA2DB4_.wvu.Cols" localSheetId="74" hidden="1">'# of Life Benifits Paid'!$A:$B</definedName>
    <definedName name="Z_2ACFE167_4169_43A6_9AB2_59D5A2DA2DB4_.wvu.Cols" localSheetId="5" hidden="1">'2. GWP - LTIB '!#REF!,'2. GWP - LTIB '!#REF!,'2. GWP - LTIB '!#REF!,'2. GWP - LTIB '!$Q:$Q</definedName>
    <definedName name="Z_2ACFE167_4169_43A6_9AB2_59D5A2DA2DB4_.wvu.Cols" localSheetId="29" hidden="1">'24.  Solvency  GI '!$J:$K</definedName>
    <definedName name="Z_2ACFE167_4169_43A6_9AB2_59D5A2DA2DB4_.wvu.Cols" localSheetId="31" hidden="1">'26. Combined Ratio'!#REF!</definedName>
    <definedName name="Z_2ACFE167_4169_43A6_9AB2_59D5A2DA2DB4_.wvu.Cols" localSheetId="35" hidden="1">'30. Retention final '!#REF!</definedName>
    <definedName name="Z_2ACFE167_4169_43A6_9AB2_59D5A2DA2DB4_.wvu.Cols" localSheetId="57" hidden="1">'34. Inforced Policies LI '!#REF!</definedName>
    <definedName name="Z_2ACFE167_4169_43A6_9AB2_59D5A2DA2DB4_.wvu.Cols" localSheetId="8" hidden="1">'5. Fin Inst''n '!#REF!</definedName>
    <definedName name="Z_2ACFE167_4169_43A6_9AB2_59D5A2DA2DB4_.wvu.Cols" localSheetId="68" hidden="1">'AR - Table 1'!$C:$D</definedName>
    <definedName name="Z_2ACFE167_4169_43A6_9AB2_59D5A2DA2DB4_.wvu.Cols" localSheetId="82" hidden="1">'AR table 6 &amp; Chart 7 (2)'!$C:$C</definedName>
    <definedName name="Z_2ACFE167_4169_43A6_9AB2_59D5A2DA2DB4_.wvu.Cols" localSheetId="49" hidden="1">'Comb Ratio'!$C:$C</definedName>
    <definedName name="Z_2ACFE167_4169_43A6_9AB2_59D5A2DA2DB4_.wvu.Cols" localSheetId="47" hidden="1">'GWP - Class wise - GI'!$C:$C</definedName>
    <definedName name="Z_2ACFE167_4169_43A6_9AB2_59D5A2DA2DB4_.wvu.Cols" localSheetId="44" hidden="1">'GWP-GIB (Final)'!$C:$E,'GWP-GIB (Final)'!$G:$H,'GWP-GIB (Final)'!$AE:$AE</definedName>
    <definedName name="Z_2ACFE167_4169_43A6_9AB2_59D5A2DA2DB4_.wvu.Cols" localSheetId="39" hidden="1">'GWP-LTIB (Final)'!$C:$E,'GWP-LTIB (Final)'!$G:$H,'GWP-LTIB (Final)'!$V:$V,'GWP-LTIB (Final)'!$AG:$AH</definedName>
    <definedName name="Z_2ACFE167_4169_43A6_9AB2_59D5A2DA2DB4_.wvu.Cols" localSheetId="54" hidden="1">'Invest Income GI - 2011'!$A:$B,'Invest Income GI - 2011'!$I:$K</definedName>
    <definedName name="Z_2ACFE167_4169_43A6_9AB2_59D5A2DA2DB4_.wvu.Cols" localSheetId="73" hidden="1">'Life Benifits Rs.''000'!$A:$B</definedName>
    <definedName name="Z_2ACFE167_4169_43A6_9AB2_59D5A2DA2DB4_.wvu.Cols" localSheetId="52" hidden="1">Retention!$C:$D</definedName>
    <definedName name="Z_2ACFE167_4169_43A6_9AB2_59D5A2DA2DB4_.wvu.Cols" localSheetId="11" hidden="1">'SH Funds'!$B:$B</definedName>
    <definedName name="Z_2ACFE167_4169_43A6_9AB2_59D5A2DA2DB4_.wvu.Cols" localSheetId="9" hidden="1">'Total Assets'!$B:$B</definedName>
    <definedName name="Z_2ACFE167_4169_43A6_9AB2_59D5A2DA2DB4_.wvu.PrintArea" localSheetId="74" hidden="1">'# of Life Benifits Paid'!$A$1:$H$145</definedName>
    <definedName name="Z_2ACFE167_4169_43A6_9AB2_59D5A2DA2DB4_.wvu.PrintArea" localSheetId="15" hidden="1">'10.Concen Assets-Companywis '!$A$1:$L$42</definedName>
    <definedName name="Z_2ACFE167_4169_43A6_9AB2_59D5A2DA2DB4_.wvu.PrintArea" localSheetId="22" hidden="1">'17. P &amp; L - GI - 2021'!$A$1:$K$558</definedName>
    <definedName name="Z_2ACFE167_4169_43A6_9AB2_59D5A2DA2DB4_.wvu.PrintArea" localSheetId="5" hidden="1">'2. GWP - LTIB '!$A$1:$D$27</definedName>
    <definedName name="Z_2ACFE167_4169_43A6_9AB2_59D5A2DA2DB4_.wvu.PrintArea" localSheetId="30" hidden="1">'25. GWP Class&amp; Com Wise-GI '!$B$135:$I$163</definedName>
    <definedName name="Z_2ACFE167_4169_43A6_9AB2_59D5A2DA2DB4_.wvu.PrintArea" localSheetId="31" hidden="1">'26. Combined Ratio'!$A$1:$G$53</definedName>
    <definedName name="Z_2ACFE167_4169_43A6_9AB2_59D5A2DA2DB4_.wvu.PrintArea" localSheetId="32" hidden="1">'27. Earned premium-GIB'!$A$101:$J$154</definedName>
    <definedName name="Z_2ACFE167_4169_43A6_9AB2_59D5A2DA2DB4_.wvu.PrintArea" localSheetId="33" hidden="1">'28. Claims Incurred-GIB'!$A$128:$H$131</definedName>
    <definedName name="Z_2ACFE167_4169_43A6_9AB2_59D5A2DA2DB4_.wvu.PrintArea" localSheetId="6" hidden="1">'3. GWP - GIB'!$A$1:$D$28</definedName>
    <definedName name="Z_2ACFE167_4169_43A6_9AB2_59D5A2DA2DB4_.wvu.PrintArea" localSheetId="36" hidden="1">'31. Reinsurance Premium'!$B$1:$I$153</definedName>
    <definedName name="Z_2ACFE167_4169_43A6_9AB2_59D5A2DA2DB4_.wvu.PrintArea" localSheetId="40" hidden="1">'33. New Policies LI (Final) '!$A$2:$C$25</definedName>
    <definedName name="Z_2ACFE167_4169_43A6_9AB2_59D5A2DA2DB4_.wvu.PrintArea" localSheetId="57" hidden="1">'34. Inforced Policies LI '!$B$1:$C$39</definedName>
    <definedName name="Z_2ACFE167_4169_43A6_9AB2_59D5A2DA2DB4_.wvu.PrintArea" localSheetId="72" hidden="1">'36. Life Benefits Rs.''000'!$A$164:$E$165</definedName>
    <definedName name="Z_2ACFE167_4169_43A6_9AB2_59D5A2DA2DB4_.wvu.PrintArea" localSheetId="83" hidden="1">'38. Abbreviations'!$A$1:$E$41</definedName>
    <definedName name="Z_2ACFE167_4169_43A6_9AB2_59D5A2DA2DB4_.wvu.PrintArea" localSheetId="8" hidden="1">'5. Fin Inst''n '!$A$1:$B$21</definedName>
    <definedName name="Z_2ACFE167_4169_43A6_9AB2_59D5A2DA2DB4_.wvu.PrintArea" localSheetId="10" hidden="1">'6. SH Fund '!$B$2:$B$44</definedName>
    <definedName name="Z_2ACFE167_4169_43A6_9AB2_59D5A2DA2DB4_.wvu.PrintArea" localSheetId="12" hidden="1">'7. Concentration of Assets-LTIB'!$A$1:$F$62</definedName>
    <definedName name="Z_2ACFE167_4169_43A6_9AB2_59D5A2DA2DB4_.wvu.PrintArea" localSheetId="13" hidden="1">'8. Assets Con-Company-wise LTI '!$A$1:$N$49</definedName>
    <definedName name="Z_2ACFE167_4169_43A6_9AB2_59D5A2DA2DB4_.wvu.PrintArea" localSheetId="14" hidden="1">'9. Concentration Assets - G '!$B$2:$C$50</definedName>
    <definedName name="Z_2ACFE167_4169_43A6_9AB2_59D5A2DA2DB4_.wvu.PrintArea" localSheetId="82" hidden="1">'AR table 6 &amp; Chart 7 (2)'!$A$1:$V$28</definedName>
    <definedName name="Z_2ACFE167_4169_43A6_9AB2_59D5A2DA2DB4_.wvu.PrintArea" localSheetId="46" hidden="1">'AR6&amp;7 Support I'!$A$13:$V$77</definedName>
    <definedName name="Z_2ACFE167_4169_43A6_9AB2_59D5A2DA2DB4_.wvu.PrintArea" localSheetId="62" hidden="1">'Co Ins Outward'!$A$1:$H$51</definedName>
    <definedName name="Z_2ACFE167_4169_43A6_9AB2_59D5A2DA2DB4_.wvu.PrintArea" localSheetId="49" hidden="1">'Comb Ratio'!$A$1:$G$43</definedName>
    <definedName name="Z_2ACFE167_4169_43A6_9AB2_59D5A2DA2DB4_.wvu.PrintArea" localSheetId="50" hidden="1">'Earned Premium-GIB (Final)'!$A$13:$V$57</definedName>
    <definedName name="Z_2ACFE167_4169_43A6_9AB2_59D5A2DA2DB4_.wvu.PrintArea" localSheetId="47" hidden="1">'GWP - Class wise - GI'!$A$1:$G$38</definedName>
    <definedName name="Z_2ACFE167_4169_43A6_9AB2_59D5A2DA2DB4_.wvu.PrintArea" localSheetId="56" hidden="1">'GWP - Dist Chan - GI'!$A$12:$F$244</definedName>
    <definedName name="Z_2ACFE167_4169_43A6_9AB2_59D5A2DA2DB4_.wvu.PrintArea" localSheetId="60" hidden="1">'GWP - Dist Chan - LI'!$A$1:$F$205</definedName>
    <definedName name="Z_2ACFE167_4169_43A6_9AB2_59D5A2DA2DB4_.wvu.PrintArea" localSheetId="48" hidden="1">'GWP Class &amp; Com Wise-GI (Final)'!$A$13:$V$57</definedName>
    <definedName name="Z_2ACFE167_4169_43A6_9AB2_59D5A2DA2DB4_.wvu.PrintArea" localSheetId="44" hidden="1">'GWP-GIB (Final)'!$C$1:$AV$136</definedName>
    <definedName name="Z_2ACFE167_4169_43A6_9AB2_59D5A2DA2DB4_.wvu.PrintArea" localSheetId="42" hidden="1">'Investment Income LI '!$A$1:$G$31</definedName>
    <definedName name="Z_2ACFE167_4169_43A6_9AB2_59D5A2DA2DB4_.wvu.PrintArea" localSheetId="41" hidden="1">'Investment Income LI  (Final)'!$A$1:$G$33</definedName>
    <definedName name="Z_2ACFE167_4169_43A6_9AB2_59D5A2DA2DB4_.wvu.PrintArea" localSheetId="73" hidden="1">'Life Benifits Rs.''000'!$A$1:$I$145</definedName>
    <definedName name="Z_2ACFE167_4169_43A6_9AB2_59D5A2DA2DB4_.wvu.PrintArea" localSheetId="2" hidden="1">List!$A$2:$C$50</definedName>
    <definedName name="Z_2ACFE167_4169_43A6_9AB2_59D5A2DA2DB4_.wvu.PrintArea" localSheetId="59" hidden="1">'New Busi LT'!$B$1:$K$172</definedName>
    <definedName name="Z_2ACFE167_4169_43A6_9AB2_59D5A2DA2DB4_.wvu.PrintArea" localSheetId="45" hidden="1">'P &amp; L - GI - 2012 '!$A$2:$H$594</definedName>
    <definedName name="Z_2ACFE167_4169_43A6_9AB2_59D5A2DA2DB4_.wvu.PrintArea" localSheetId="52" hidden="1">Retention!$A$1:$H$47</definedName>
    <definedName name="Z_2ACFE167_4169_43A6_9AB2_59D5A2DA2DB4_.wvu.PrintArea" localSheetId="11" hidden="1">'SH Funds'!$A$1:$K$32</definedName>
    <definedName name="Z_2ACFE167_4169_43A6_9AB2_59D5A2DA2DB4_.wvu.PrintArea" localSheetId="61" hidden="1">'SRCC &amp; TC 2011 &amp; 12'!$A$1:$H$55</definedName>
    <definedName name="Z_2ACFE167_4169_43A6_9AB2_59D5A2DA2DB4_.wvu.PrintArea" localSheetId="9" hidden="1">'Total Assets'!$A$1:$M$28</definedName>
    <definedName name="Z_2ACFE167_4169_43A6_9AB2_59D5A2DA2DB4_.wvu.PrintTitles" localSheetId="74" hidden="1">'# of Life Benifits Paid'!$2:$2</definedName>
    <definedName name="Z_2ACFE167_4169_43A6_9AB2_59D5A2DA2DB4_.wvu.PrintTitles" localSheetId="15" hidden="1">'10.Concen Assets-Companywis '!$2:$2</definedName>
    <definedName name="Z_2ACFE167_4169_43A6_9AB2_59D5A2DA2DB4_.wvu.PrintTitles" localSheetId="13" hidden="1">'8. Assets Con-Company-wise LTI '!$2:$2</definedName>
    <definedName name="Z_2ACFE167_4169_43A6_9AB2_59D5A2DA2DB4_.wvu.PrintTitles" localSheetId="38" hidden="1">'Branches-Emp-Agents'!$2:$2</definedName>
    <definedName name="Z_2ACFE167_4169_43A6_9AB2_59D5A2DA2DB4_.wvu.PrintTitles" localSheetId="55" hidden="1">'GI - Solvency'!$1:$1</definedName>
    <definedName name="Z_2ACFE167_4169_43A6_9AB2_59D5A2DA2DB4_.wvu.PrintTitles" localSheetId="43" hidden="1">'LI - Solvency'!$1:$1</definedName>
    <definedName name="Z_2ACFE167_4169_43A6_9AB2_59D5A2DA2DB4_.wvu.PrintTitles" localSheetId="73" hidden="1">'Life Benifits Rs.''000'!$2:$2</definedName>
    <definedName name="Z_2ACFE167_4169_43A6_9AB2_59D5A2DA2DB4_.wvu.PrintTitles" localSheetId="59" hidden="1">'New Busi LT'!$2:$2</definedName>
    <definedName name="Z_2ACFE167_4169_43A6_9AB2_59D5A2DA2DB4_.wvu.PrintTitles" localSheetId="45" hidden="1">'P &amp; L - GI - 2012 '!$2:$2</definedName>
    <definedName name="Z_2ACFE167_4169_43A6_9AB2_59D5A2DA2DB4_.wvu.Rows" localSheetId="6" hidden="1">'3. GWP - GIB'!$41:$55,'3. GWP - GIB'!$62:$118</definedName>
    <definedName name="Z_2ACFE167_4169_43A6_9AB2_59D5A2DA2DB4_.wvu.Rows" localSheetId="36" hidden="1">'31. Reinsurance Premium'!$125:$125</definedName>
    <definedName name="Z_2ACFE167_4169_43A6_9AB2_59D5A2DA2DB4_.wvu.Rows" localSheetId="40" hidden="1">'33. New Policies LI (Final) '!$1:$1,'33. New Policies LI (Final) '!#REF!</definedName>
    <definedName name="Z_2ACFE167_4169_43A6_9AB2_59D5A2DA2DB4_.wvu.Rows" localSheetId="57" hidden="1">'34. Inforced Policies LI '!#REF!</definedName>
    <definedName name="Z_2ACFE167_4169_43A6_9AB2_59D5A2DA2DB4_.wvu.Rows" localSheetId="12" hidden="1">'7. Concentration of Assets-LTIB'!#REF!,'7. Concentration of Assets-LTIB'!#REF!,'7. Concentration of Assets-LTIB'!#REF!,'7. Concentration of Assets-LTIB'!$20:$30</definedName>
    <definedName name="Z_2ACFE167_4169_43A6_9AB2_59D5A2DA2DB4_.wvu.Rows" localSheetId="13" hidden="1">'8. Assets Con-Company-wise LTI '!$45:$45</definedName>
    <definedName name="Z_2ACFE167_4169_43A6_9AB2_59D5A2DA2DB4_.wvu.Rows" localSheetId="47" hidden="1">'GWP - Class wise - GI'!$44:$61</definedName>
    <definedName name="Z_2ACFE167_4169_43A6_9AB2_59D5A2DA2DB4_.wvu.Rows" localSheetId="42" hidden="1">'Investment Income LI '!$32:$44</definedName>
    <definedName name="Z_2ACFE167_4169_43A6_9AB2_59D5A2DA2DB4_.wvu.Rows" localSheetId="43" hidden="1">'LI - Solvency'!$9:$9</definedName>
    <definedName name="Z_2ACFE167_4169_43A6_9AB2_59D5A2DA2DB4_.wvu.Rows" localSheetId="52" hidden="1">Retention!$48:$63</definedName>
    <definedName name="Z_46F31544_8E6F_41C5_8628_1D6EE074AF15_.wvu.Cols" localSheetId="74" hidden="1">'# of Life Benifits Paid'!$A:$B</definedName>
    <definedName name="Z_46F31544_8E6F_41C5_8628_1D6EE074AF15_.wvu.Cols" localSheetId="5" hidden="1">'2. GWP - LTIB '!#REF!,'2. GWP - LTIB '!#REF!,'2. GWP - LTIB '!#REF!,'2. GWP - LTIB '!$Q:$Q</definedName>
    <definedName name="Z_46F31544_8E6F_41C5_8628_1D6EE074AF15_.wvu.Cols" localSheetId="6" hidden="1">'3. GWP - GIB'!#REF!</definedName>
    <definedName name="Z_46F31544_8E6F_41C5_8628_1D6EE074AF15_.wvu.Cols" localSheetId="57" hidden="1">'34. Inforced Policies LI '!#REF!</definedName>
    <definedName name="Z_46F31544_8E6F_41C5_8628_1D6EE074AF15_.wvu.Cols" localSheetId="8" hidden="1">'5. Fin Inst''n '!#REF!</definedName>
    <definedName name="Z_46F31544_8E6F_41C5_8628_1D6EE074AF15_.wvu.Cols" localSheetId="68" hidden="1">'AR - Table 1'!$C:$D</definedName>
    <definedName name="Z_46F31544_8E6F_41C5_8628_1D6EE074AF15_.wvu.Cols" localSheetId="82" hidden="1">'AR table 6 &amp; Chart 7 (2)'!$C:$C</definedName>
    <definedName name="Z_46F31544_8E6F_41C5_8628_1D6EE074AF15_.wvu.Cols" localSheetId="49" hidden="1">'Comb Ratio'!$C:$C</definedName>
    <definedName name="Z_46F31544_8E6F_41C5_8628_1D6EE074AF15_.wvu.Cols" localSheetId="47" hidden="1">'GWP - Class wise - GI'!$C:$C</definedName>
    <definedName name="Z_46F31544_8E6F_41C5_8628_1D6EE074AF15_.wvu.Cols" localSheetId="44" hidden="1">'GWP-GIB (Final)'!$C:$E,'GWP-GIB (Final)'!$G:$H,'GWP-GIB (Final)'!$AE:$AE</definedName>
    <definedName name="Z_46F31544_8E6F_41C5_8628_1D6EE074AF15_.wvu.Cols" localSheetId="39" hidden="1">'GWP-LTIB (Final)'!$C:$E,'GWP-LTIB (Final)'!$G:$H,'GWP-LTIB (Final)'!$V:$V,'GWP-LTIB (Final)'!$AG:$AH</definedName>
    <definedName name="Z_46F31544_8E6F_41C5_8628_1D6EE074AF15_.wvu.Cols" localSheetId="54" hidden="1">'Invest Income GI - 2011'!$A:$B,'Invest Income GI - 2011'!$I:$K</definedName>
    <definedName name="Z_46F31544_8E6F_41C5_8628_1D6EE074AF15_.wvu.Cols" localSheetId="73" hidden="1">'Life Benifits Rs.''000'!$A:$B</definedName>
    <definedName name="Z_46F31544_8E6F_41C5_8628_1D6EE074AF15_.wvu.Cols" localSheetId="52" hidden="1">Retention!$C:$D</definedName>
    <definedName name="Z_46F31544_8E6F_41C5_8628_1D6EE074AF15_.wvu.Cols" localSheetId="11" hidden="1">'SH Funds'!$B:$B</definedName>
    <definedName name="Z_46F31544_8E6F_41C5_8628_1D6EE074AF15_.wvu.Cols" localSheetId="9" hidden="1">'Total Assets'!$B:$B</definedName>
    <definedName name="Z_46F31544_8E6F_41C5_8628_1D6EE074AF15_.wvu.PrintArea" localSheetId="74" hidden="1">'# of Life Benifits Paid'!$A$1:$H$145</definedName>
    <definedName name="Z_46F31544_8E6F_41C5_8628_1D6EE074AF15_.wvu.PrintArea" localSheetId="15" hidden="1">'10.Concen Assets-Companywis '!$A$1:$L$41</definedName>
    <definedName name="Z_46F31544_8E6F_41C5_8628_1D6EE074AF15_.wvu.PrintArea" localSheetId="5" hidden="1">'2. GWP - LTIB '!$A$1:$D$27</definedName>
    <definedName name="Z_46F31544_8E6F_41C5_8628_1D6EE074AF15_.wvu.PrintArea" localSheetId="30" hidden="1">'25. GWP Class&amp; Com Wise-GI '!$B$135:$I$163</definedName>
    <definedName name="Z_46F31544_8E6F_41C5_8628_1D6EE074AF15_.wvu.PrintArea" localSheetId="32" hidden="1">'27. Earned premium-GIB'!$A$101:$J$154</definedName>
    <definedName name="Z_46F31544_8E6F_41C5_8628_1D6EE074AF15_.wvu.PrintArea" localSheetId="33" hidden="1">'28. Claims Incurred-GIB'!$A$128:$H$131</definedName>
    <definedName name="Z_46F31544_8E6F_41C5_8628_1D6EE074AF15_.wvu.PrintArea" localSheetId="6" hidden="1">'3. GWP - GIB'!$A$1:$D$28</definedName>
    <definedName name="Z_46F31544_8E6F_41C5_8628_1D6EE074AF15_.wvu.PrintArea" localSheetId="36" hidden="1">'31. Reinsurance Premium'!$B$1:$I$153</definedName>
    <definedName name="Z_46F31544_8E6F_41C5_8628_1D6EE074AF15_.wvu.PrintArea" localSheetId="40" hidden="1">'33. New Policies LI (Final) '!$A$2:$C$25</definedName>
    <definedName name="Z_46F31544_8E6F_41C5_8628_1D6EE074AF15_.wvu.PrintArea" localSheetId="57" hidden="1">'34. Inforced Policies LI '!$B$1:$C$39</definedName>
    <definedName name="Z_46F31544_8E6F_41C5_8628_1D6EE074AF15_.wvu.PrintArea" localSheetId="83" hidden="1">'38. Abbreviations'!$A$1:$E$41</definedName>
    <definedName name="Z_46F31544_8E6F_41C5_8628_1D6EE074AF15_.wvu.PrintArea" localSheetId="8" hidden="1">'5. Fin Inst''n '!$A$1:$B$21</definedName>
    <definedName name="Z_46F31544_8E6F_41C5_8628_1D6EE074AF15_.wvu.PrintArea" localSheetId="12" hidden="1">'7. Concentration of Assets-LTIB'!$A$1:$F$62</definedName>
    <definedName name="Z_46F31544_8E6F_41C5_8628_1D6EE074AF15_.wvu.PrintArea" localSheetId="13" hidden="1">'8. Assets Con-Company-wise LTI '!$A$1:$N$49</definedName>
    <definedName name="Z_46F31544_8E6F_41C5_8628_1D6EE074AF15_.wvu.PrintArea" localSheetId="14" hidden="1">'9. Concentration Assets - G '!$B$2:$C$50</definedName>
    <definedName name="Z_46F31544_8E6F_41C5_8628_1D6EE074AF15_.wvu.PrintArea" localSheetId="82" hidden="1">'AR table 6 &amp; Chart 7 (2)'!$A$1:$V$28</definedName>
    <definedName name="Z_46F31544_8E6F_41C5_8628_1D6EE074AF15_.wvu.PrintArea" localSheetId="46" hidden="1">'AR6&amp;7 Support I'!$A$13:$V$77</definedName>
    <definedName name="Z_46F31544_8E6F_41C5_8628_1D6EE074AF15_.wvu.PrintArea" localSheetId="62" hidden="1">'Co Ins Outward'!$A$1:$H$51</definedName>
    <definedName name="Z_46F31544_8E6F_41C5_8628_1D6EE074AF15_.wvu.PrintArea" localSheetId="49" hidden="1">'Comb Ratio'!$A$1:$G$43</definedName>
    <definedName name="Z_46F31544_8E6F_41C5_8628_1D6EE074AF15_.wvu.PrintArea" localSheetId="50" hidden="1">'Earned Premium-GIB (Final)'!$A$13:$V$57</definedName>
    <definedName name="Z_46F31544_8E6F_41C5_8628_1D6EE074AF15_.wvu.PrintArea" localSheetId="47" hidden="1">'GWP - Class wise - GI'!$A$1:$G$38</definedName>
    <definedName name="Z_46F31544_8E6F_41C5_8628_1D6EE074AF15_.wvu.PrintArea" localSheetId="56" hidden="1">'GWP - Dist Chan - GI'!$A$12:$F$244</definedName>
    <definedName name="Z_46F31544_8E6F_41C5_8628_1D6EE074AF15_.wvu.PrintArea" localSheetId="60" hidden="1">'GWP - Dist Chan - LI'!$A$1:$F$205</definedName>
    <definedName name="Z_46F31544_8E6F_41C5_8628_1D6EE074AF15_.wvu.PrintArea" localSheetId="48" hidden="1">'GWP Class &amp; Com Wise-GI (Final)'!$A$13:$V$57</definedName>
    <definedName name="Z_46F31544_8E6F_41C5_8628_1D6EE074AF15_.wvu.PrintArea" localSheetId="44" hidden="1">'GWP-GIB (Final)'!$C$1:$AV$136</definedName>
    <definedName name="Z_46F31544_8E6F_41C5_8628_1D6EE074AF15_.wvu.PrintArea" localSheetId="42" hidden="1">'Investment Income LI '!$A$1:$G$31</definedName>
    <definedName name="Z_46F31544_8E6F_41C5_8628_1D6EE074AF15_.wvu.PrintArea" localSheetId="41" hidden="1">'Investment Income LI  (Final)'!$A$1:$G$33</definedName>
    <definedName name="Z_46F31544_8E6F_41C5_8628_1D6EE074AF15_.wvu.PrintArea" localSheetId="73" hidden="1">'Life Benifits Rs.''000'!$A$1:$I$145</definedName>
    <definedName name="Z_46F31544_8E6F_41C5_8628_1D6EE074AF15_.wvu.PrintArea" localSheetId="2" hidden="1">List!$A$2:$C$50</definedName>
    <definedName name="Z_46F31544_8E6F_41C5_8628_1D6EE074AF15_.wvu.PrintArea" localSheetId="59" hidden="1">'New Busi LT'!$B$1:$K$172</definedName>
    <definedName name="Z_46F31544_8E6F_41C5_8628_1D6EE074AF15_.wvu.PrintArea" localSheetId="45" hidden="1">'P &amp; L - GI - 2012 '!$A$2:$H$594</definedName>
    <definedName name="Z_46F31544_8E6F_41C5_8628_1D6EE074AF15_.wvu.PrintArea" localSheetId="52" hidden="1">Retention!$A$1:$H$47</definedName>
    <definedName name="Z_46F31544_8E6F_41C5_8628_1D6EE074AF15_.wvu.PrintArea" localSheetId="11" hidden="1">'SH Funds'!$A$1:$K$32</definedName>
    <definedName name="Z_46F31544_8E6F_41C5_8628_1D6EE074AF15_.wvu.PrintArea" localSheetId="61" hidden="1">'SRCC &amp; TC 2011 &amp; 12'!$A$1:$H$55</definedName>
    <definedName name="Z_46F31544_8E6F_41C5_8628_1D6EE074AF15_.wvu.PrintArea" localSheetId="9" hidden="1">'Total Assets'!$A$1:$M$28</definedName>
    <definedName name="Z_46F31544_8E6F_41C5_8628_1D6EE074AF15_.wvu.PrintTitles" localSheetId="74" hidden="1">'# of Life Benifits Paid'!$2:$2</definedName>
    <definedName name="Z_46F31544_8E6F_41C5_8628_1D6EE074AF15_.wvu.PrintTitles" localSheetId="15" hidden="1">'10.Concen Assets-Companywis '!$2:$2</definedName>
    <definedName name="Z_46F31544_8E6F_41C5_8628_1D6EE074AF15_.wvu.PrintTitles" localSheetId="13" hidden="1">'8. Assets Con-Company-wise LTI '!$2:$2</definedName>
    <definedName name="Z_46F31544_8E6F_41C5_8628_1D6EE074AF15_.wvu.PrintTitles" localSheetId="38" hidden="1">'Branches-Emp-Agents'!$2:$2</definedName>
    <definedName name="Z_46F31544_8E6F_41C5_8628_1D6EE074AF15_.wvu.PrintTitles" localSheetId="55" hidden="1">'GI - Solvency'!$1:$1</definedName>
    <definedName name="Z_46F31544_8E6F_41C5_8628_1D6EE074AF15_.wvu.PrintTitles" localSheetId="43" hidden="1">'LI - Solvency'!$1:$1</definedName>
    <definedName name="Z_46F31544_8E6F_41C5_8628_1D6EE074AF15_.wvu.PrintTitles" localSheetId="73" hidden="1">'Life Benifits Rs.''000'!$2:$2</definedName>
    <definedName name="Z_46F31544_8E6F_41C5_8628_1D6EE074AF15_.wvu.PrintTitles" localSheetId="59" hidden="1">'New Busi LT'!$2:$2</definedName>
    <definedName name="Z_46F31544_8E6F_41C5_8628_1D6EE074AF15_.wvu.PrintTitles" localSheetId="45" hidden="1">'P &amp; L - GI - 2012 '!$2:$2</definedName>
    <definedName name="Z_46F31544_8E6F_41C5_8628_1D6EE074AF15_.wvu.Rows" localSheetId="6" hidden="1">'3. GWP - GIB'!$41:$55,'3. GWP - GIB'!$62:$118</definedName>
    <definedName name="Z_46F31544_8E6F_41C5_8628_1D6EE074AF15_.wvu.Rows" localSheetId="36" hidden="1">'31. Reinsurance Premium'!$125:$125</definedName>
    <definedName name="Z_46F31544_8E6F_41C5_8628_1D6EE074AF15_.wvu.Rows" localSheetId="40" hidden="1">'33. New Policies LI (Final) '!$1:$1,'33. New Policies LI (Final) '!#REF!</definedName>
    <definedName name="Z_46F31544_8E6F_41C5_8628_1D6EE074AF15_.wvu.Rows" localSheetId="57" hidden="1">'34. Inforced Policies LI '!#REF!</definedName>
    <definedName name="Z_46F31544_8E6F_41C5_8628_1D6EE074AF15_.wvu.Rows" localSheetId="12" hidden="1">'7. Concentration of Assets-LTIB'!#REF!,'7. Concentration of Assets-LTIB'!#REF!,'7. Concentration of Assets-LTIB'!#REF!,'7. Concentration of Assets-LTIB'!$20:$30</definedName>
    <definedName name="Z_46F31544_8E6F_41C5_8628_1D6EE074AF15_.wvu.Rows" localSheetId="13" hidden="1">'8. Assets Con-Company-wise LTI '!$45:$45</definedName>
    <definedName name="Z_46F31544_8E6F_41C5_8628_1D6EE074AF15_.wvu.Rows" localSheetId="47" hidden="1">'GWP - Class wise - GI'!$44:$61</definedName>
    <definedName name="Z_46F31544_8E6F_41C5_8628_1D6EE074AF15_.wvu.Rows" localSheetId="42" hidden="1">'Investment Income LI '!$32:$44</definedName>
    <definedName name="Z_46F31544_8E6F_41C5_8628_1D6EE074AF15_.wvu.Rows" localSheetId="43" hidden="1">'LI - Solvency'!$9:$9</definedName>
    <definedName name="Z_46F31544_8E6F_41C5_8628_1D6EE074AF15_.wvu.Rows" localSheetId="52" hidden="1">Retention!$48:$63</definedName>
    <definedName name="Z_5E394B0B_7867_4722_9497_A93AB2A9A773_.wvu.Cols" localSheetId="74" hidden="1">'# of Life Benifits Paid'!$A:$B</definedName>
    <definedName name="Z_5E394B0B_7867_4722_9497_A93AB2A9A773_.wvu.Cols" localSheetId="21" hidden="1">'16. BS 2020 GI'!#REF!</definedName>
    <definedName name="Z_5E394B0B_7867_4722_9497_A93AB2A9A773_.wvu.Cols" localSheetId="5" hidden="1">'2. GWP - LTIB '!#REF!,'2. GWP - LTIB '!$Q:$Q</definedName>
    <definedName name="Z_5E394B0B_7867_4722_9497_A93AB2A9A773_.wvu.Cols" localSheetId="29" hidden="1">'24.  Solvency  GI '!$J:$K</definedName>
    <definedName name="Z_5E394B0B_7867_4722_9497_A93AB2A9A773_.wvu.Cols" localSheetId="57" hidden="1">'34. Inforced Policies LI '!#REF!</definedName>
    <definedName name="Z_5E394B0B_7867_4722_9497_A93AB2A9A773_.wvu.Cols" localSheetId="68" hidden="1">'AR - Table 1'!$C:$D</definedName>
    <definedName name="Z_5E394B0B_7867_4722_9497_A93AB2A9A773_.wvu.Cols" localSheetId="82" hidden="1">'AR table 6 &amp; Chart 7 (2)'!$C:$C</definedName>
    <definedName name="Z_5E394B0B_7867_4722_9497_A93AB2A9A773_.wvu.Cols" localSheetId="49" hidden="1">'Comb Ratio'!$C:$C</definedName>
    <definedName name="Z_5E394B0B_7867_4722_9497_A93AB2A9A773_.wvu.Cols" localSheetId="47" hidden="1">'GWP - Class wise - GI'!$C:$C</definedName>
    <definedName name="Z_5E394B0B_7867_4722_9497_A93AB2A9A773_.wvu.Cols" localSheetId="44" hidden="1">'GWP-GIB (Final)'!$C:$E,'GWP-GIB (Final)'!$G:$H,'GWP-GIB (Final)'!$AE:$AE</definedName>
    <definedName name="Z_5E394B0B_7867_4722_9497_A93AB2A9A773_.wvu.Cols" localSheetId="39" hidden="1">'GWP-LTIB (Final)'!$C:$E,'GWP-LTIB (Final)'!$G:$H,'GWP-LTIB (Final)'!$V:$V,'GWP-LTIB (Final)'!$AG:$AH</definedName>
    <definedName name="Z_5E394B0B_7867_4722_9497_A93AB2A9A773_.wvu.Cols" localSheetId="54" hidden="1">'Invest Income GI - 2011'!$A:$B,'Invest Income GI - 2011'!$I:$K</definedName>
    <definedName name="Z_5E394B0B_7867_4722_9497_A93AB2A9A773_.wvu.Cols" localSheetId="73" hidden="1">'Life Benifits Rs.''000'!$A:$B</definedName>
    <definedName name="Z_5E394B0B_7867_4722_9497_A93AB2A9A773_.wvu.Cols" localSheetId="52" hidden="1">Retention!$C:$D</definedName>
    <definedName name="Z_5E394B0B_7867_4722_9497_A93AB2A9A773_.wvu.Cols" localSheetId="11" hidden="1">'SH Funds'!$B:$B</definedName>
    <definedName name="Z_5E394B0B_7867_4722_9497_A93AB2A9A773_.wvu.Cols" localSheetId="9" hidden="1">'Total Assets'!$B:$B</definedName>
    <definedName name="Z_5E394B0B_7867_4722_9497_A93AB2A9A773_.wvu.PrintArea" localSheetId="74" hidden="1">'# of Life Benifits Paid'!$A$1:$H$145</definedName>
    <definedName name="Z_5E394B0B_7867_4722_9497_A93AB2A9A773_.wvu.PrintArea" localSheetId="3" hidden="1">'1. GWP - LT + GI  (Final) '!$A$1:$H$35</definedName>
    <definedName name="Z_5E394B0B_7867_4722_9497_A93AB2A9A773_.wvu.PrintArea" localSheetId="15" hidden="1">'10.Concen Assets-Companywis '!$B$22:$J$34</definedName>
    <definedName name="Z_5E394B0B_7867_4722_9497_A93AB2A9A773_.wvu.PrintArea" localSheetId="16" hidden="1">'11. Balance Sheet - 2021-LI '!$B$1:$Q$50</definedName>
    <definedName name="Z_5E394B0B_7867_4722_9497_A93AB2A9A773_.wvu.PrintArea" localSheetId="17" hidden="1">'12. Balance Sheet - 2020-LI'!$B$1:$M$823</definedName>
    <definedName name="Z_5E394B0B_7867_4722_9497_A93AB2A9A773_.wvu.PrintArea" localSheetId="20" hidden="1">'15. BS 2021 GI '!$C$1:$H$48</definedName>
    <definedName name="Z_5E394B0B_7867_4722_9497_A93AB2A9A773_.wvu.PrintArea" localSheetId="22" hidden="1">'17. P &amp; L - GI - 2021'!$B$365:$K$395</definedName>
    <definedName name="Z_5E394B0B_7867_4722_9497_A93AB2A9A773_.wvu.PrintArea" localSheetId="23" hidden="1">'18. P &amp; L - GI - 2020'!$B$366:$K$395</definedName>
    <definedName name="Z_5E394B0B_7867_4722_9497_A93AB2A9A773_.wvu.PrintArea" localSheetId="5" hidden="1">'2. GWP - LTIB '!$A$1:$D$27</definedName>
    <definedName name="Z_5E394B0B_7867_4722_9497_A93AB2A9A773_.wvu.PrintArea" localSheetId="28" hidden="1">'23. Solvency LI  '!$A$2:$J$26</definedName>
    <definedName name="Z_5E394B0B_7867_4722_9497_A93AB2A9A773_.wvu.PrintArea" localSheetId="29" hidden="1">'24.  Solvency  GI '!$A$2:$K$21</definedName>
    <definedName name="Z_5E394B0B_7867_4722_9497_A93AB2A9A773_.wvu.PrintArea" localSheetId="30" hidden="1">'25. GWP Class&amp; Com Wise-GI '!$B$137:$I$161</definedName>
    <definedName name="Z_5E394B0B_7867_4722_9497_A93AB2A9A773_.wvu.PrintArea" localSheetId="31" hidden="1">'26. Combined Ratio'!$B$2:$G$53</definedName>
    <definedName name="Z_5E394B0B_7867_4722_9497_A93AB2A9A773_.wvu.PrintArea" localSheetId="32" hidden="1">'27. Earned premium-GIB'!$B$125:$H$146</definedName>
    <definedName name="Z_5E394B0B_7867_4722_9497_A93AB2A9A773_.wvu.PrintArea" localSheetId="33" hidden="1">'28. Claims Incurred-GIB'!$B$1:$H$128</definedName>
    <definedName name="Z_5E394B0B_7867_4722_9497_A93AB2A9A773_.wvu.PrintArea" localSheetId="6" hidden="1">'3. GWP - GIB'!$A$1:$I$28</definedName>
    <definedName name="Z_5E394B0B_7867_4722_9497_A93AB2A9A773_.wvu.PrintArea" localSheetId="35" hidden="1">'30. Retention final '!$B$2:$G$50</definedName>
    <definedName name="Z_5E394B0B_7867_4722_9497_A93AB2A9A773_.wvu.PrintArea" localSheetId="36" hidden="1">'31. Reinsurance Premium'!$B$1:$H$151</definedName>
    <definedName name="Z_5E394B0B_7867_4722_9497_A93AB2A9A773_.wvu.PrintArea" localSheetId="37" hidden="1">'32. Branches, Emp, Agents'!$B$325:$N$436</definedName>
    <definedName name="Z_5E394B0B_7867_4722_9497_A93AB2A9A773_.wvu.PrintArea" localSheetId="40" hidden="1">'33. New Policies LI (Final) '!$A$2:$E$25</definedName>
    <definedName name="Z_5E394B0B_7867_4722_9497_A93AB2A9A773_.wvu.PrintArea" localSheetId="57" hidden="1">'34. Inforced Policies LI '!$B$1:$D$39</definedName>
    <definedName name="Z_5E394B0B_7867_4722_9497_A93AB2A9A773_.wvu.PrintArea" localSheetId="72" hidden="1">'36. Life Benefits Rs.''000'!$A$164:$E$165</definedName>
    <definedName name="Z_5E394B0B_7867_4722_9497_A93AB2A9A773_.wvu.PrintArea" localSheetId="83" hidden="1">'38. Abbreviations'!$A$1:$E$41</definedName>
    <definedName name="Z_5E394B0B_7867_4722_9497_A93AB2A9A773_.wvu.PrintArea" localSheetId="10" hidden="1">'6. SH Fund '!$B$2:$B$44</definedName>
    <definedName name="Z_5E394B0B_7867_4722_9497_A93AB2A9A773_.wvu.PrintArea" localSheetId="12" hidden="1">'7. Concentration of Assets-LTIB'!$A$1:$F$62</definedName>
    <definedName name="Z_5E394B0B_7867_4722_9497_A93AB2A9A773_.wvu.PrintArea" localSheetId="13" hidden="1">'8. Assets Con-Company-wise LTI '!$A$1:$N$49</definedName>
    <definedName name="Z_5E394B0B_7867_4722_9497_A93AB2A9A773_.wvu.PrintArea" localSheetId="14" hidden="1">'9. Concentration Assets - G '!$A$2:$D$23</definedName>
    <definedName name="Z_5E394B0B_7867_4722_9497_A93AB2A9A773_.wvu.PrintArea" localSheetId="82" hidden="1">'AR table 6 &amp; Chart 7 (2)'!$A$1:$V$28</definedName>
    <definedName name="Z_5E394B0B_7867_4722_9497_A93AB2A9A773_.wvu.PrintArea" localSheetId="46" hidden="1">'AR6&amp;7 Support I'!$A$13:$V$77</definedName>
    <definedName name="Z_5E394B0B_7867_4722_9497_A93AB2A9A773_.wvu.PrintArea" localSheetId="62" hidden="1">'Co Ins Outward'!$A$1:$H$51</definedName>
    <definedName name="Z_5E394B0B_7867_4722_9497_A93AB2A9A773_.wvu.PrintArea" localSheetId="49" hidden="1">'Comb Ratio'!$A$1:$G$43</definedName>
    <definedName name="Z_5E394B0B_7867_4722_9497_A93AB2A9A773_.wvu.PrintArea" localSheetId="50" hidden="1">'Earned Premium-GIB (Final)'!$A$13:$V$57</definedName>
    <definedName name="Z_5E394B0B_7867_4722_9497_A93AB2A9A773_.wvu.PrintArea" localSheetId="47" hidden="1">'GWP - Class wise - GI'!$A$1:$G$38</definedName>
    <definedName name="Z_5E394B0B_7867_4722_9497_A93AB2A9A773_.wvu.PrintArea" localSheetId="56" hidden="1">'GWP - Dist Chan - GI'!$A$12:$F$244</definedName>
    <definedName name="Z_5E394B0B_7867_4722_9497_A93AB2A9A773_.wvu.PrintArea" localSheetId="60" hidden="1">'GWP - Dist Chan - LI'!$A$1:$F$205</definedName>
    <definedName name="Z_5E394B0B_7867_4722_9497_A93AB2A9A773_.wvu.PrintArea" localSheetId="48" hidden="1">'GWP Class &amp; Com Wise-GI (Final)'!$A$13:$V$57</definedName>
    <definedName name="Z_5E394B0B_7867_4722_9497_A93AB2A9A773_.wvu.PrintArea" localSheetId="44" hidden="1">'GWP-GIB (Final)'!$C$1:$AV$136</definedName>
    <definedName name="Z_5E394B0B_7867_4722_9497_A93AB2A9A773_.wvu.PrintArea" localSheetId="42" hidden="1">'Investment Income LI '!$A$1:$G$31</definedName>
    <definedName name="Z_5E394B0B_7867_4722_9497_A93AB2A9A773_.wvu.PrintArea" localSheetId="41" hidden="1">'Investment Income LI  (Final)'!$A$1:$G$33</definedName>
    <definedName name="Z_5E394B0B_7867_4722_9497_A93AB2A9A773_.wvu.PrintArea" localSheetId="73" hidden="1">'Life Benifits Rs.''000'!$A$1:$I$145</definedName>
    <definedName name="Z_5E394B0B_7867_4722_9497_A93AB2A9A773_.wvu.PrintArea" localSheetId="2" hidden="1">List!$A$2:$C$50</definedName>
    <definedName name="Z_5E394B0B_7867_4722_9497_A93AB2A9A773_.wvu.PrintArea" localSheetId="59" hidden="1">'New Busi LT'!$B$1:$K$172</definedName>
    <definedName name="Z_5E394B0B_7867_4722_9497_A93AB2A9A773_.wvu.PrintArea" localSheetId="45" hidden="1">'P &amp; L - GI - 2012 '!$A$2:$H$594</definedName>
    <definedName name="Z_5E394B0B_7867_4722_9497_A93AB2A9A773_.wvu.PrintArea" localSheetId="52" hidden="1">Retention!$A$1:$H$47</definedName>
    <definedName name="Z_5E394B0B_7867_4722_9497_A93AB2A9A773_.wvu.PrintArea" localSheetId="11" hidden="1">'SH Funds'!$A$1:$K$32</definedName>
    <definedName name="Z_5E394B0B_7867_4722_9497_A93AB2A9A773_.wvu.PrintArea" localSheetId="61" hidden="1">'SRCC &amp; TC 2011 &amp; 12'!$A$1:$H$55</definedName>
    <definedName name="Z_5E394B0B_7867_4722_9497_A93AB2A9A773_.wvu.PrintArea" localSheetId="9" hidden="1">'Total Assets'!$A$1:$M$28</definedName>
    <definedName name="Z_5E394B0B_7867_4722_9497_A93AB2A9A773_.wvu.PrintTitles" localSheetId="74" hidden="1">'# of Life Benifits Paid'!$2:$2</definedName>
    <definedName name="Z_5E394B0B_7867_4722_9497_A93AB2A9A773_.wvu.PrintTitles" localSheetId="13" hidden="1">'8. Assets Con-Company-wise LTI '!$2:$2</definedName>
    <definedName name="Z_5E394B0B_7867_4722_9497_A93AB2A9A773_.wvu.PrintTitles" localSheetId="38" hidden="1">'Branches-Emp-Agents'!$2:$2</definedName>
    <definedName name="Z_5E394B0B_7867_4722_9497_A93AB2A9A773_.wvu.PrintTitles" localSheetId="55" hidden="1">'GI - Solvency'!$1:$1</definedName>
    <definedName name="Z_5E394B0B_7867_4722_9497_A93AB2A9A773_.wvu.PrintTitles" localSheetId="43" hidden="1">'LI - Solvency'!$1:$1</definedName>
    <definedName name="Z_5E394B0B_7867_4722_9497_A93AB2A9A773_.wvu.PrintTitles" localSheetId="73" hidden="1">'Life Benifits Rs.''000'!$2:$2</definedName>
    <definedName name="Z_5E394B0B_7867_4722_9497_A93AB2A9A773_.wvu.PrintTitles" localSheetId="59" hidden="1">'New Busi LT'!$2:$2</definedName>
    <definedName name="Z_5E394B0B_7867_4722_9497_A93AB2A9A773_.wvu.PrintTitles" localSheetId="45" hidden="1">'P &amp; L - GI - 2012 '!$2:$2</definedName>
    <definedName name="Z_5E394B0B_7867_4722_9497_A93AB2A9A773_.wvu.Rows" localSheetId="20" hidden="1">'15. BS 2021 GI '!$607:$607</definedName>
    <definedName name="Z_5E394B0B_7867_4722_9497_A93AB2A9A773_.wvu.Rows" localSheetId="21" hidden="1">'16. BS 2020 GI'!#REF!</definedName>
    <definedName name="Z_5E394B0B_7867_4722_9497_A93AB2A9A773_.wvu.Rows" localSheetId="6" hidden="1">'3. GWP - GIB'!#REF!,'3. GWP - GIB'!$41:$55,'3. GWP - GIB'!$62:$118</definedName>
    <definedName name="Z_5E394B0B_7867_4722_9497_A93AB2A9A773_.wvu.Rows" localSheetId="40" hidden="1">'33. New Policies LI (Final) '!$1:$1,'33. New Policies LI (Final) '!#REF!</definedName>
    <definedName name="Z_5E394B0B_7867_4722_9497_A93AB2A9A773_.wvu.Rows" localSheetId="57" hidden="1">'34. Inforced Policies LI '!#REF!</definedName>
    <definedName name="Z_5E394B0B_7867_4722_9497_A93AB2A9A773_.wvu.Rows" localSheetId="13" hidden="1">'8. Assets Con-Company-wise LTI '!$45:$45</definedName>
    <definedName name="Z_5E394B0B_7867_4722_9497_A93AB2A9A773_.wvu.Rows" localSheetId="47" hidden="1">'GWP - Class wise - GI'!$44:$61</definedName>
    <definedName name="Z_5E394B0B_7867_4722_9497_A93AB2A9A773_.wvu.Rows" localSheetId="42" hidden="1">'Investment Income LI '!$32:$44</definedName>
    <definedName name="Z_5E394B0B_7867_4722_9497_A93AB2A9A773_.wvu.Rows" localSheetId="43" hidden="1">'LI - Solvency'!$9:$9</definedName>
    <definedName name="Z_5E394B0B_7867_4722_9497_A93AB2A9A773_.wvu.Rows" localSheetId="52" hidden="1">Retention!$48:$63</definedName>
    <definedName name="Z_8A2AFBA4_BC0D_47DB_BC87_22A66B6E47A0_.wvu.Cols" localSheetId="28" hidden="1">'23. Solvency LI  '!#REF!</definedName>
    <definedName name="Z_8A2AFBA4_BC0D_47DB_BC87_22A66B6E47A0_.wvu.Cols" localSheetId="29" hidden="1">'24.  Solvency  GI '!$J:$K</definedName>
    <definedName name="Z_8A2AFBA4_BC0D_47DB_BC87_22A66B6E47A0_.wvu.Cols" localSheetId="31" hidden="1">'26. Combined Ratio'!#REF!</definedName>
    <definedName name="Z_8A2AFBA4_BC0D_47DB_BC87_22A66B6E47A0_.wvu.Cols" localSheetId="35" hidden="1">'30. Retention final '!#REF!</definedName>
    <definedName name="Z_8A2AFBA4_BC0D_47DB_BC87_22A66B6E47A0_.wvu.Cols" localSheetId="7" hidden="1">'4. Industry Assets '!#REF!</definedName>
    <definedName name="Z_8A2AFBA4_BC0D_47DB_BC87_22A66B6E47A0_.wvu.Cols" localSheetId="10" hidden="1">'6. SH Fund '!#REF!</definedName>
    <definedName name="Z_8A2AFBA4_BC0D_47DB_BC87_22A66B6E47A0_.wvu.PrintArea" localSheetId="28" hidden="1">'23. Solvency LI  '!$A$2:$J$26</definedName>
    <definedName name="Z_8A2AFBA4_BC0D_47DB_BC87_22A66B6E47A0_.wvu.PrintArea" localSheetId="31" hidden="1">'26. Combined Ratio'!$A$1:$S$51</definedName>
    <definedName name="Z_8A2AFBA4_BC0D_47DB_BC87_22A66B6E47A0_.wvu.PrintArea" localSheetId="37" hidden="1">'32. Branches, Emp, Agents'!$B$1:$O$289</definedName>
    <definedName name="Z_8A2AFBA4_BC0D_47DB_BC87_22A66B6E47A0_.wvu.PrintArea" localSheetId="72" hidden="1">'36. Life Benefits Rs.''000'!$A$164:$E$165</definedName>
    <definedName name="Z_8A2AFBA4_BC0D_47DB_BC87_22A66B6E47A0_.wvu.PrintArea" localSheetId="7" hidden="1">'4. Industry Assets '!#REF!</definedName>
    <definedName name="Z_8A2AFBA4_BC0D_47DB_BC87_22A66B6E47A0_.wvu.PrintArea" localSheetId="10" hidden="1">'6. SH Fund '!#REF!</definedName>
    <definedName name="Z_8A2AFBA4_BC0D_47DB_BC87_22A66B6E47A0_.wvu.Rows" localSheetId="28" hidden="1">'23. Solvency LI  '!#REF!</definedName>
    <definedName name="Z_8A2AFBA4_BC0D_47DB_BC87_22A66B6E47A0_.wvu.Rows" localSheetId="58" hidden="1">'35. New Business '!$19:$26,'35. New Business '!$53:$53,'35. New Business '!$89:$89,'35. New Business '!$111:$112,'35. New Business '!#REF!,'35. New Business '!$139:$142,'35. New Business '!$156:$159,'35. New Business '!$173:$176,'35. New Business '!$190:$193,'35. New Business '!$207:$210,'35. New Business '!$224:$227,'35. New Business '!$241:$244,'35. New Business '!$258:$261,'35. New Business '!$275:$278,'35. New Business '!$292:$295,'35. New Business '!$309:$312,'35. New Business '!$326:$329</definedName>
    <definedName name="Z_967E0446_E234_427F_8E57_7FE287052E2E_.wvu.Cols" localSheetId="74" hidden="1">'# of Life Benifits Paid'!$A:$B</definedName>
    <definedName name="Z_967E0446_E234_427F_8E57_7FE287052E2E_.wvu.Cols" localSheetId="5" hidden="1">'2. GWP - LTIB '!#REF!,'2. GWP - LTIB '!#REF!,'2. GWP - LTIB '!#REF!,'2. GWP - LTIB '!$Q:$Q</definedName>
    <definedName name="Z_967E0446_E234_427F_8E57_7FE287052E2E_.wvu.Cols" localSheetId="29" hidden="1">'24.  Solvency  GI '!$J:$K</definedName>
    <definedName name="Z_967E0446_E234_427F_8E57_7FE287052E2E_.wvu.Cols" localSheetId="31" hidden="1">'26. Combined Ratio'!#REF!</definedName>
    <definedName name="Z_967E0446_E234_427F_8E57_7FE287052E2E_.wvu.Cols" localSheetId="35" hidden="1">'30. Retention final '!#REF!</definedName>
    <definedName name="Z_967E0446_E234_427F_8E57_7FE287052E2E_.wvu.Cols" localSheetId="57" hidden="1">'34. Inforced Policies LI '!#REF!</definedName>
    <definedName name="Z_967E0446_E234_427F_8E57_7FE287052E2E_.wvu.Cols" localSheetId="8" hidden="1">'5. Fin Inst''n '!#REF!</definedName>
    <definedName name="Z_967E0446_E234_427F_8E57_7FE287052E2E_.wvu.Cols" localSheetId="68" hidden="1">'AR - Table 1'!$C:$D</definedName>
    <definedName name="Z_967E0446_E234_427F_8E57_7FE287052E2E_.wvu.Cols" localSheetId="82" hidden="1">'AR table 6 &amp; Chart 7 (2)'!$C:$C</definedName>
    <definedName name="Z_967E0446_E234_427F_8E57_7FE287052E2E_.wvu.Cols" localSheetId="49" hidden="1">'Comb Ratio'!$C:$C</definedName>
    <definedName name="Z_967E0446_E234_427F_8E57_7FE287052E2E_.wvu.Cols" localSheetId="47" hidden="1">'GWP - Class wise - GI'!$C:$C</definedName>
    <definedName name="Z_967E0446_E234_427F_8E57_7FE287052E2E_.wvu.Cols" localSheetId="44" hidden="1">'GWP-GIB (Final)'!$C:$E,'GWP-GIB (Final)'!$G:$H,'GWP-GIB (Final)'!$AE:$AE</definedName>
    <definedName name="Z_967E0446_E234_427F_8E57_7FE287052E2E_.wvu.Cols" localSheetId="39" hidden="1">'GWP-LTIB (Final)'!$C:$E,'GWP-LTIB (Final)'!$G:$H,'GWP-LTIB (Final)'!$V:$V,'GWP-LTIB (Final)'!$AG:$AH</definedName>
    <definedName name="Z_967E0446_E234_427F_8E57_7FE287052E2E_.wvu.Cols" localSheetId="54" hidden="1">'Invest Income GI - 2011'!$A:$B,'Invest Income GI - 2011'!$I:$K</definedName>
    <definedName name="Z_967E0446_E234_427F_8E57_7FE287052E2E_.wvu.Cols" localSheetId="73" hidden="1">'Life Benifits Rs.''000'!$A:$B</definedName>
    <definedName name="Z_967E0446_E234_427F_8E57_7FE287052E2E_.wvu.Cols" localSheetId="52" hidden="1">Retention!$C:$D</definedName>
    <definedName name="Z_967E0446_E234_427F_8E57_7FE287052E2E_.wvu.Cols" localSheetId="11" hidden="1">'SH Funds'!$B:$B</definedName>
    <definedName name="Z_967E0446_E234_427F_8E57_7FE287052E2E_.wvu.Cols" localSheetId="9" hidden="1">'Total Assets'!$B:$B</definedName>
    <definedName name="Z_967E0446_E234_427F_8E57_7FE287052E2E_.wvu.PrintArea" localSheetId="74" hidden="1">'# of Life Benifits Paid'!$A$1:$H$145</definedName>
    <definedName name="Z_967E0446_E234_427F_8E57_7FE287052E2E_.wvu.PrintArea" localSheetId="15" hidden="1">'10.Concen Assets-Companywis '!$A$1:$L$42</definedName>
    <definedName name="Z_967E0446_E234_427F_8E57_7FE287052E2E_.wvu.PrintArea" localSheetId="22" hidden="1">'17. P &amp; L - GI - 2021'!$A$1:$K$558</definedName>
    <definedName name="Z_967E0446_E234_427F_8E57_7FE287052E2E_.wvu.PrintArea" localSheetId="5" hidden="1">'2. GWP - LTIB '!$A$1:$D$27</definedName>
    <definedName name="Z_967E0446_E234_427F_8E57_7FE287052E2E_.wvu.PrintArea" localSheetId="30" hidden="1">'25. GWP Class&amp; Com Wise-GI '!$B$135:$I$163</definedName>
    <definedName name="Z_967E0446_E234_427F_8E57_7FE287052E2E_.wvu.PrintArea" localSheetId="31" hidden="1">'26. Combined Ratio'!$A$1:$G$53</definedName>
    <definedName name="Z_967E0446_E234_427F_8E57_7FE287052E2E_.wvu.PrintArea" localSheetId="32" hidden="1">'27. Earned premium-GIB'!$A$101:$J$154</definedName>
    <definedName name="Z_967E0446_E234_427F_8E57_7FE287052E2E_.wvu.PrintArea" localSheetId="33" hidden="1">'28. Claims Incurred-GIB'!$A$128:$H$131</definedName>
    <definedName name="Z_967E0446_E234_427F_8E57_7FE287052E2E_.wvu.PrintArea" localSheetId="6" hidden="1">'3. GWP - GIB'!$A$1:$D$28</definedName>
    <definedName name="Z_967E0446_E234_427F_8E57_7FE287052E2E_.wvu.PrintArea" localSheetId="36" hidden="1">'31. Reinsurance Premium'!$B$1:$I$153</definedName>
    <definedName name="Z_967E0446_E234_427F_8E57_7FE287052E2E_.wvu.PrintArea" localSheetId="40" hidden="1">'33. New Policies LI (Final) '!$A$2:$C$25</definedName>
    <definedName name="Z_967E0446_E234_427F_8E57_7FE287052E2E_.wvu.PrintArea" localSheetId="57" hidden="1">'34. Inforced Policies LI '!$B$1:$C$39</definedName>
    <definedName name="Z_967E0446_E234_427F_8E57_7FE287052E2E_.wvu.PrintArea" localSheetId="72" hidden="1">'36. Life Benefits Rs.''000'!$A$164:$E$165</definedName>
    <definedName name="Z_967E0446_E234_427F_8E57_7FE287052E2E_.wvu.PrintArea" localSheetId="83" hidden="1">'38. Abbreviations'!$A$1:$E$41</definedName>
    <definedName name="Z_967E0446_E234_427F_8E57_7FE287052E2E_.wvu.PrintArea" localSheetId="8" hidden="1">'5. Fin Inst''n '!$A$1:$B$21</definedName>
    <definedName name="Z_967E0446_E234_427F_8E57_7FE287052E2E_.wvu.PrintArea" localSheetId="10" hidden="1">'6. SH Fund '!$B$2:$B$44</definedName>
    <definedName name="Z_967E0446_E234_427F_8E57_7FE287052E2E_.wvu.PrintArea" localSheetId="12" hidden="1">'7. Concentration of Assets-LTIB'!$A$1:$F$62</definedName>
    <definedName name="Z_967E0446_E234_427F_8E57_7FE287052E2E_.wvu.PrintArea" localSheetId="13" hidden="1">'8. Assets Con-Company-wise LTI '!$A$1:$N$49</definedName>
    <definedName name="Z_967E0446_E234_427F_8E57_7FE287052E2E_.wvu.PrintArea" localSheetId="14" hidden="1">'9. Concentration Assets - G '!$B$2:$C$50</definedName>
    <definedName name="Z_967E0446_E234_427F_8E57_7FE287052E2E_.wvu.PrintArea" localSheetId="82" hidden="1">'AR table 6 &amp; Chart 7 (2)'!$A$1:$V$28</definedName>
    <definedName name="Z_967E0446_E234_427F_8E57_7FE287052E2E_.wvu.PrintArea" localSheetId="46" hidden="1">'AR6&amp;7 Support I'!$A$13:$V$77</definedName>
    <definedName name="Z_967E0446_E234_427F_8E57_7FE287052E2E_.wvu.PrintArea" localSheetId="62" hidden="1">'Co Ins Outward'!$A$1:$H$51</definedName>
    <definedName name="Z_967E0446_E234_427F_8E57_7FE287052E2E_.wvu.PrintArea" localSheetId="49" hidden="1">'Comb Ratio'!$A$1:$G$43</definedName>
    <definedName name="Z_967E0446_E234_427F_8E57_7FE287052E2E_.wvu.PrintArea" localSheetId="50" hidden="1">'Earned Premium-GIB (Final)'!$A$13:$V$57</definedName>
    <definedName name="Z_967E0446_E234_427F_8E57_7FE287052E2E_.wvu.PrintArea" localSheetId="47" hidden="1">'GWP - Class wise - GI'!$A$1:$G$38</definedName>
    <definedName name="Z_967E0446_E234_427F_8E57_7FE287052E2E_.wvu.PrintArea" localSheetId="56" hidden="1">'GWP - Dist Chan - GI'!$A$12:$F$244</definedName>
    <definedName name="Z_967E0446_E234_427F_8E57_7FE287052E2E_.wvu.PrintArea" localSheetId="60" hidden="1">'GWP - Dist Chan - LI'!$A$1:$F$205</definedName>
    <definedName name="Z_967E0446_E234_427F_8E57_7FE287052E2E_.wvu.PrintArea" localSheetId="48" hidden="1">'GWP Class &amp; Com Wise-GI (Final)'!$A$13:$V$57</definedName>
    <definedName name="Z_967E0446_E234_427F_8E57_7FE287052E2E_.wvu.PrintArea" localSheetId="44" hidden="1">'GWP-GIB (Final)'!$C$1:$AV$136</definedName>
    <definedName name="Z_967E0446_E234_427F_8E57_7FE287052E2E_.wvu.PrintArea" localSheetId="42" hidden="1">'Investment Income LI '!$A$1:$G$31</definedName>
    <definedName name="Z_967E0446_E234_427F_8E57_7FE287052E2E_.wvu.PrintArea" localSheetId="41" hidden="1">'Investment Income LI  (Final)'!$A$1:$G$33</definedName>
    <definedName name="Z_967E0446_E234_427F_8E57_7FE287052E2E_.wvu.PrintArea" localSheetId="73" hidden="1">'Life Benifits Rs.''000'!$A$1:$I$145</definedName>
    <definedName name="Z_967E0446_E234_427F_8E57_7FE287052E2E_.wvu.PrintArea" localSheetId="2" hidden="1">List!$A$2:$C$50</definedName>
    <definedName name="Z_967E0446_E234_427F_8E57_7FE287052E2E_.wvu.PrintArea" localSheetId="59" hidden="1">'New Busi LT'!$B$1:$K$172</definedName>
    <definedName name="Z_967E0446_E234_427F_8E57_7FE287052E2E_.wvu.PrintArea" localSheetId="45" hidden="1">'P &amp; L - GI - 2012 '!$A$2:$H$594</definedName>
    <definedName name="Z_967E0446_E234_427F_8E57_7FE287052E2E_.wvu.PrintArea" localSheetId="52" hidden="1">Retention!$A$1:$H$47</definedName>
    <definedName name="Z_967E0446_E234_427F_8E57_7FE287052E2E_.wvu.PrintArea" localSheetId="11" hidden="1">'SH Funds'!$A$1:$K$32</definedName>
    <definedName name="Z_967E0446_E234_427F_8E57_7FE287052E2E_.wvu.PrintArea" localSheetId="61" hidden="1">'SRCC &amp; TC 2011 &amp; 12'!$A$1:$H$55</definedName>
    <definedName name="Z_967E0446_E234_427F_8E57_7FE287052E2E_.wvu.PrintArea" localSheetId="9" hidden="1">'Total Assets'!$A$1:$M$28</definedName>
    <definedName name="Z_967E0446_E234_427F_8E57_7FE287052E2E_.wvu.PrintTitles" localSheetId="74" hidden="1">'# of Life Benifits Paid'!$2:$2</definedName>
    <definedName name="Z_967E0446_E234_427F_8E57_7FE287052E2E_.wvu.PrintTitles" localSheetId="15" hidden="1">'10.Concen Assets-Companywis '!$2:$2</definedName>
    <definedName name="Z_967E0446_E234_427F_8E57_7FE287052E2E_.wvu.PrintTitles" localSheetId="13" hidden="1">'8. Assets Con-Company-wise LTI '!$2:$2</definedName>
    <definedName name="Z_967E0446_E234_427F_8E57_7FE287052E2E_.wvu.PrintTitles" localSheetId="38" hidden="1">'Branches-Emp-Agents'!$2:$2</definedName>
    <definedName name="Z_967E0446_E234_427F_8E57_7FE287052E2E_.wvu.PrintTitles" localSheetId="55" hidden="1">'GI - Solvency'!$1:$1</definedName>
    <definedName name="Z_967E0446_E234_427F_8E57_7FE287052E2E_.wvu.PrintTitles" localSheetId="43" hidden="1">'LI - Solvency'!$1:$1</definedName>
    <definedName name="Z_967E0446_E234_427F_8E57_7FE287052E2E_.wvu.PrintTitles" localSheetId="73" hidden="1">'Life Benifits Rs.''000'!$2:$2</definedName>
    <definedName name="Z_967E0446_E234_427F_8E57_7FE287052E2E_.wvu.PrintTitles" localSheetId="59" hidden="1">'New Busi LT'!$2:$2</definedName>
    <definedName name="Z_967E0446_E234_427F_8E57_7FE287052E2E_.wvu.PrintTitles" localSheetId="45" hidden="1">'P &amp; L - GI - 2012 '!$2:$2</definedName>
    <definedName name="Z_967E0446_E234_427F_8E57_7FE287052E2E_.wvu.Rows" localSheetId="6" hidden="1">'3. GWP - GIB'!$41:$55,'3. GWP - GIB'!$62:$118</definedName>
    <definedName name="Z_967E0446_E234_427F_8E57_7FE287052E2E_.wvu.Rows" localSheetId="36" hidden="1">'31. Reinsurance Premium'!$125:$125</definedName>
    <definedName name="Z_967E0446_E234_427F_8E57_7FE287052E2E_.wvu.Rows" localSheetId="40" hidden="1">'33. New Policies LI (Final) '!$1:$1,'33. New Policies LI (Final) '!#REF!</definedName>
    <definedName name="Z_967E0446_E234_427F_8E57_7FE287052E2E_.wvu.Rows" localSheetId="57" hidden="1">'34. Inforced Policies LI '!#REF!</definedName>
    <definedName name="Z_967E0446_E234_427F_8E57_7FE287052E2E_.wvu.Rows" localSheetId="12" hidden="1">'7. Concentration of Assets-LTIB'!#REF!,'7. Concentration of Assets-LTIB'!#REF!,'7. Concentration of Assets-LTIB'!#REF!,'7. Concentration of Assets-LTIB'!$20:$30</definedName>
    <definedName name="Z_967E0446_E234_427F_8E57_7FE287052E2E_.wvu.Rows" localSheetId="13" hidden="1">'8. Assets Con-Company-wise LTI '!$45:$45</definedName>
    <definedName name="Z_967E0446_E234_427F_8E57_7FE287052E2E_.wvu.Rows" localSheetId="47" hidden="1">'GWP - Class wise - GI'!$44:$61</definedName>
    <definedName name="Z_967E0446_E234_427F_8E57_7FE287052E2E_.wvu.Rows" localSheetId="42" hidden="1">'Investment Income LI '!$32:$44</definedName>
    <definedName name="Z_967E0446_E234_427F_8E57_7FE287052E2E_.wvu.Rows" localSheetId="43" hidden="1">'LI - Solvency'!$9:$9</definedName>
    <definedName name="Z_967E0446_E234_427F_8E57_7FE287052E2E_.wvu.Rows" localSheetId="52" hidden="1">Retention!$48:$63</definedName>
    <definedName name="Z_B1E1B596_A9A1_411D_A882_A48CB025B978_.wvu.Cols" localSheetId="74" hidden="1">'# of Life Benifits Paid'!$A:$B</definedName>
    <definedName name="Z_B1E1B596_A9A1_411D_A882_A48CB025B978_.wvu.Cols" localSheetId="20" hidden="1">'15. BS 2021 GI '!$D:$D</definedName>
    <definedName name="Z_B1E1B596_A9A1_411D_A882_A48CB025B978_.wvu.Cols" localSheetId="5" hidden="1">'2. GWP - LTIB '!#REF!,'2. GWP - LTIB '!$Q:$Q</definedName>
    <definedName name="Z_B1E1B596_A9A1_411D_A882_A48CB025B978_.wvu.Cols" localSheetId="29" hidden="1">'24.  Solvency  GI '!$J:$K</definedName>
    <definedName name="Z_B1E1B596_A9A1_411D_A882_A48CB025B978_.wvu.Cols" localSheetId="57" hidden="1">'34. Inforced Policies LI '!#REF!</definedName>
    <definedName name="Z_B1E1B596_A9A1_411D_A882_A48CB025B978_.wvu.Cols" localSheetId="72" hidden="1">'36. Life Benefits Rs.''000'!#REF!</definedName>
    <definedName name="Z_B1E1B596_A9A1_411D_A882_A48CB025B978_.wvu.Cols" localSheetId="7" hidden="1">'4. Industry Assets '!#REF!</definedName>
    <definedName name="Z_B1E1B596_A9A1_411D_A882_A48CB025B978_.wvu.Cols" localSheetId="68" hidden="1">'AR - Table 1'!$C:$D</definedName>
    <definedName name="Z_B1E1B596_A9A1_411D_A882_A48CB025B978_.wvu.Cols" localSheetId="82" hidden="1">'AR table 6 &amp; Chart 7 (2)'!$C:$C</definedName>
    <definedName name="Z_B1E1B596_A9A1_411D_A882_A48CB025B978_.wvu.Cols" localSheetId="49" hidden="1">'Comb Ratio'!$C:$C</definedName>
    <definedName name="Z_B1E1B596_A9A1_411D_A882_A48CB025B978_.wvu.Cols" localSheetId="47" hidden="1">'GWP - Class wise - GI'!$C:$C</definedName>
    <definedName name="Z_B1E1B596_A9A1_411D_A882_A48CB025B978_.wvu.Cols" localSheetId="44" hidden="1">'GWP-GIB (Final)'!$C:$E,'GWP-GIB (Final)'!$G:$H,'GWP-GIB (Final)'!$AE:$AE</definedName>
    <definedName name="Z_B1E1B596_A9A1_411D_A882_A48CB025B978_.wvu.Cols" localSheetId="39" hidden="1">'GWP-LTIB (Final)'!$C:$E,'GWP-LTIB (Final)'!$G:$H,'GWP-LTIB (Final)'!$V:$V,'GWP-LTIB (Final)'!$AG:$AH</definedName>
    <definedName name="Z_B1E1B596_A9A1_411D_A882_A48CB025B978_.wvu.Cols" localSheetId="54" hidden="1">'Invest Income GI - 2011'!$A:$B,'Invest Income GI - 2011'!$I:$K</definedName>
    <definedName name="Z_B1E1B596_A9A1_411D_A882_A48CB025B978_.wvu.Cols" localSheetId="73" hidden="1">'Life Benifits Rs.''000'!$A:$B</definedName>
    <definedName name="Z_B1E1B596_A9A1_411D_A882_A48CB025B978_.wvu.Cols" localSheetId="52" hidden="1">Retention!$C:$D</definedName>
    <definedName name="Z_B1E1B596_A9A1_411D_A882_A48CB025B978_.wvu.Cols" localSheetId="11" hidden="1">'SH Funds'!$B:$B</definedName>
    <definedName name="Z_B1E1B596_A9A1_411D_A882_A48CB025B978_.wvu.Cols" localSheetId="9" hidden="1">'Total Assets'!$B:$B</definedName>
    <definedName name="Z_B1E1B596_A9A1_411D_A882_A48CB025B978_.wvu.PrintArea" localSheetId="74" hidden="1">'# of Life Benifits Paid'!$A$1:$H$145</definedName>
    <definedName name="Z_B1E1B596_A9A1_411D_A882_A48CB025B978_.wvu.PrintArea" localSheetId="3" hidden="1">'1. GWP - LT + GI  (Final) '!$B$2:$H$35</definedName>
    <definedName name="Z_B1E1B596_A9A1_411D_A882_A48CB025B978_.wvu.PrintArea" localSheetId="15" hidden="1">'10.Concen Assets-Companywis '!$A$1:$L$39</definedName>
    <definedName name="Z_B1E1B596_A9A1_411D_A882_A48CB025B978_.wvu.PrintArea" localSheetId="16" hidden="1">'11. Balance Sheet - 2021-LI '!$B$2:$M$818</definedName>
    <definedName name="Z_B1E1B596_A9A1_411D_A882_A48CB025B978_.wvu.PrintArea" localSheetId="17" hidden="1">'12. Balance Sheet - 2020-LI'!$B$1:$M$823</definedName>
    <definedName name="Z_B1E1B596_A9A1_411D_A882_A48CB025B978_.wvu.PrintArea" localSheetId="18" hidden="1">'13. Income St.- 2021 - LI '!$C$3:$I$783</definedName>
    <definedName name="Z_B1E1B596_A9A1_411D_A882_A48CB025B978_.wvu.PrintArea" localSheetId="19" hidden="1">'14. Income St.- 2020 - LI'!$C$1:$I$781</definedName>
    <definedName name="Z_B1E1B596_A9A1_411D_A882_A48CB025B978_.wvu.PrintArea" localSheetId="22" hidden="1">'17. P &amp; L - GI - 2021'!$A$1:$K$558</definedName>
    <definedName name="Z_B1E1B596_A9A1_411D_A882_A48CB025B978_.wvu.PrintArea" localSheetId="24" hidden="1">'19. TAC LI '!$B$1:$G$29</definedName>
    <definedName name="Z_B1E1B596_A9A1_411D_A882_A48CB025B978_.wvu.PrintArea" localSheetId="5" hidden="1">'2. GWP - LTIB '!$B$2:$D$27</definedName>
    <definedName name="Z_B1E1B596_A9A1_411D_A882_A48CB025B978_.wvu.PrintArea" localSheetId="25" hidden="1">'20. RCR LI '!$B$1:$J$48</definedName>
    <definedName name="Z_B1E1B596_A9A1_411D_A882_A48CB025B978_.wvu.PrintArea" localSheetId="28" hidden="1">'23. Solvency LI  '!$A$2:$J$26</definedName>
    <definedName name="Z_B1E1B596_A9A1_411D_A882_A48CB025B978_.wvu.PrintArea" localSheetId="30" hidden="1">'25. GWP Class&amp; Com Wise-GI '!$A$1:$I$163</definedName>
    <definedName name="Z_B1E1B596_A9A1_411D_A882_A48CB025B978_.wvu.PrintArea" localSheetId="31" hidden="1">'26. Combined Ratio'!$A$1:$G$53</definedName>
    <definedName name="Z_B1E1B596_A9A1_411D_A882_A48CB025B978_.wvu.PrintArea" localSheetId="32" hidden="1">'27. Earned premium-GIB'!$A$101:$H$154</definedName>
    <definedName name="Z_B1E1B596_A9A1_411D_A882_A48CB025B978_.wvu.PrintArea" localSheetId="33" hidden="1">'28. Claims Incurred-GIB'!$A$1:$H$131</definedName>
    <definedName name="Z_B1E1B596_A9A1_411D_A882_A48CB025B978_.wvu.PrintArea" localSheetId="6" hidden="1">'3. GWP - GIB'!$A$1:$H$28</definedName>
    <definedName name="Z_B1E1B596_A9A1_411D_A882_A48CB025B978_.wvu.PrintArea" localSheetId="36" hidden="1">'31. Reinsurance Premium'!$B$1:$H$171</definedName>
    <definedName name="Z_B1E1B596_A9A1_411D_A882_A48CB025B978_.wvu.PrintArea" localSheetId="37" hidden="1">'32. Branches, Emp, Agents'!$B$1:$O$289</definedName>
    <definedName name="Z_B1E1B596_A9A1_411D_A882_A48CB025B978_.wvu.PrintArea" localSheetId="40" hidden="1">'33. New Policies LI (Final) '!$A$2:$E$25</definedName>
    <definedName name="Z_B1E1B596_A9A1_411D_A882_A48CB025B978_.wvu.PrintArea" localSheetId="57" hidden="1">'34. Inforced Policies LI '!$B$1:$D$38</definedName>
    <definedName name="Z_B1E1B596_A9A1_411D_A882_A48CB025B978_.wvu.PrintArea" localSheetId="58" hidden="1">'35. New Business '!$B$2:$H$133</definedName>
    <definedName name="Z_B1E1B596_A9A1_411D_A882_A48CB025B978_.wvu.PrintArea" localSheetId="72" hidden="1">'36. Life Benefits Rs.''000'!$A$1:$E$166</definedName>
    <definedName name="Z_B1E1B596_A9A1_411D_A882_A48CB025B978_.wvu.PrintArea" localSheetId="71" hidden="1">'37. Num of Life Benefits Paid'!$A$1:$E$177</definedName>
    <definedName name="Z_B1E1B596_A9A1_411D_A882_A48CB025B978_.wvu.PrintArea" localSheetId="83" hidden="1">'38. Abbreviations'!$B$2:$D$33</definedName>
    <definedName name="Z_B1E1B596_A9A1_411D_A882_A48CB025B978_.wvu.PrintArea" localSheetId="7" hidden="1">'4. Industry Assets '!$A$1:$I$41</definedName>
    <definedName name="Z_B1E1B596_A9A1_411D_A882_A48CB025B978_.wvu.PrintArea" localSheetId="8" hidden="1">'5. Fin Inst''n '!$A$1:$D$16</definedName>
    <definedName name="Z_B1E1B596_A9A1_411D_A882_A48CB025B978_.wvu.PrintArea" localSheetId="10" hidden="1">'6. SH Fund '!$B$2:$D$43</definedName>
    <definedName name="Z_B1E1B596_A9A1_411D_A882_A48CB025B978_.wvu.PrintArea" localSheetId="12" hidden="1">'7. Concentration of Assets-LTIB'!$A$1:$F$62</definedName>
    <definedName name="Z_B1E1B596_A9A1_411D_A882_A48CB025B978_.wvu.PrintArea" localSheetId="13" hidden="1">'8. Assets Con-Company-wise LTI '!$A$1:$L$49</definedName>
    <definedName name="Z_B1E1B596_A9A1_411D_A882_A48CB025B978_.wvu.PrintArea" localSheetId="14" hidden="1">'9. Concentration Assets - G '!$A$2:$B$23</definedName>
    <definedName name="Z_B1E1B596_A9A1_411D_A882_A48CB025B978_.wvu.PrintArea" localSheetId="82" hidden="1">'AR table 6 &amp; Chart 7 (2)'!$A$1:$V$28</definedName>
    <definedName name="Z_B1E1B596_A9A1_411D_A882_A48CB025B978_.wvu.PrintArea" localSheetId="46" hidden="1">'AR6&amp;7 Support I'!$A$13:$V$77</definedName>
    <definedName name="Z_B1E1B596_A9A1_411D_A882_A48CB025B978_.wvu.PrintArea" localSheetId="62" hidden="1">'Co Ins Outward'!$A$1:$H$51</definedName>
    <definedName name="Z_B1E1B596_A9A1_411D_A882_A48CB025B978_.wvu.PrintArea" localSheetId="49" hidden="1">'Comb Ratio'!$A$1:$G$43</definedName>
    <definedName name="Z_B1E1B596_A9A1_411D_A882_A48CB025B978_.wvu.PrintArea" localSheetId="50" hidden="1">'Earned Premium-GIB (Final)'!$A$13:$V$57</definedName>
    <definedName name="Z_B1E1B596_A9A1_411D_A882_A48CB025B978_.wvu.PrintArea" localSheetId="47" hidden="1">'GWP - Class wise - GI'!$A$1:$G$38</definedName>
    <definedName name="Z_B1E1B596_A9A1_411D_A882_A48CB025B978_.wvu.PrintArea" localSheetId="56" hidden="1">'GWP - Dist Chan - GI'!$A$12:$F$244</definedName>
    <definedName name="Z_B1E1B596_A9A1_411D_A882_A48CB025B978_.wvu.PrintArea" localSheetId="60" hidden="1">'GWP - Dist Chan - LI'!$A$1:$F$205</definedName>
    <definedName name="Z_B1E1B596_A9A1_411D_A882_A48CB025B978_.wvu.PrintArea" localSheetId="48" hidden="1">'GWP Class &amp; Com Wise-GI (Final)'!$A$13:$V$57</definedName>
    <definedName name="Z_B1E1B596_A9A1_411D_A882_A48CB025B978_.wvu.PrintArea" localSheetId="44" hidden="1">'GWP-GIB (Final)'!$C$1:$AV$136</definedName>
    <definedName name="Z_B1E1B596_A9A1_411D_A882_A48CB025B978_.wvu.PrintArea" localSheetId="42" hidden="1">'Investment Income LI '!$A$1:$G$31</definedName>
    <definedName name="Z_B1E1B596_A9A1_411D_A882_A48CB025B978_.wvu.PrintArea" localSheetId="41" hidden="1">'Investment Income LI  (Final)'!$A$1:$G$33</definedName>
    <definedName name="Z_B1E1B596_A9A1_411D_A882_A48CB025B978_.wvu.PrintArea" localSheetId="73" hidden="1">'Life Benifits Rs.''000'!$A$1:$I$145</definedName>
    <definedName name="Z_B1E1B596_A9A1_411D_A882_A48CB025B978_.wvu.PrintArea" localSheetId="2" hidden="1">List!$A$2:$C$50</definedName>
    <definedName name="Z_B1E1B596_A9A1_411D_A882_A48CB025B978_.wvu.PrintArea" localSheetId="59" hidden="1">'New Busi LT'!$B$1:$K$172</definedName>
    <definedName name="Z_B1E1B596_A9A1_411D_A882_A48CB025B978_.wvu.PrintArea" localSheetId="45" hidden="1">'P &amp; L - GI - 2012 '!$A$2:$H$594</definedName>
    <definedName name="Z_B1E1B596_A9A1_411D_A882_A48CB025B978_.wvu.PrintArea" localSheetId="52" hidden="1">Retention!$A$1:$H$47</definedName>
    <definedName name="Z_B1E1B596_A9A1_411D_A882_A48CB025B978_.wvu.PrintArea" localSheetId="11" hidden="1">'SH Funds'!$A$1:$K$32</definedName>
    <definedName name="Z_B1E1B596_A9A1_411D_A882_A48CB025B978_.wvu.PrintArea" localSheetId="61" hidden="1">'SRCC &amp; TC 2011 &amp; 12'!$A$1:$H$55</definedName>
    <definedName name="Z_B1E1B596_A9A1_411D_A882_A48CB025B978_.wvu.PrintArea" localSheetId="9" hidden="1">'Total Assets'!$A$1:$M$28</definedName>
    <definedName name="Z_B1E1B596_A9A1_411D_A882_A48CB025B978_.wvu.PrintTitles" localSheetId="74" hidden="1">'# of Life Benifits Paid'!$2:$2</definedName>
    <definedName name="Z_B1E1B596_A9A1_411D_A882_A48CB025B978_.wvu.PrintTitles" localSheetId="13" hidden="1">'8. Assets Con-Company-wise LTI '!$2:$2</definedName>
    <definedName name="Z_B1E1B596_A9A1_411D_A882_A48CB025B978_.wvu.PrintTitles" localSheetId="38" hidden="1">'Branches-Emp-Agents'!$2:$2</definedName>
    <definedName name="Z_B1E1B596_A9A1_411D_A882_A48CB025B978_.wvu.PrintTitles" localSheetId="55" hidden="1">'GI - Solvency'!$1:$1</definedName>
    <definedName name="Z_B1E1B596_A9A1_411D_A882_A48CB025B978_.wvu.PrintTitles" localSheetId="43" hidden="1">'LI - Solvency'!$1:$1</definedName>
    <definedName name="Z_B1E1B596_A9A1_411D_A882_A48CB025B978_.wvu.PrintTitles" localSheetId="73" hidden="1">'Life Benifits Rs.''000'!$2:$2</definedName>
    <definedName name="Z_B1E1B596_A9A1_411D_A882_A48CB025B978_.wvu.PrintTitles" localSheetId="59" hidden="1">'New Busi LT'!$2:$2</definedName>
    <definedName name="Z_B1E1B596_A9A1_411D_A882_A48CB025B978_.wvu.PrintTitles" localSheetId="45" hidden="1">'P &amp; L - GI - 2012 '!$2:$2</definedName>
    <definedName name="Z_B1E1B596_A9A1_411D_A882_A48CB025B978_.wvu.Rows" localSheetId="20" hidden="1">'15. BS 2021 GI '!$607:$607</definedName>
    <definedName name="Z_B1E1B596_A9A1_411D_A882_A48CB025B978_.wvu.Rows" localSheetId="21" hidden="1">'16. BS 2020 GI'!#REF!</definedName>
    <definedName name="Z_B1E1B596_A9A1_411D_A882_A48CB025B978_.wvu.Rows" localSheetId="6" hidden="1">'3. GWP - GIB'!#REF!,'3. GWP - GIB'!$41:$55,'3. GWP - GIB'!$62:$118</definedName>
    <definedName name="Z_B1E1B596_A9A1_411D_A882_A48CB025B978_.wvu.Rows" localSheetId="40" hidden="1">'33. New Policies LI (Final) '!$1:$1,'33. New Policies LI (Final) '!#REF!</definedName>
    <definedName name="Z_B1E1B596_A9A1_411D_A882_A48CB025B978_.wvu.Rows" localSheetId="57" hidden="1">'34. Inforced Policies LI '!#REF!</definedName>
    <definedName name="Z_B1E1B596_A9A1_411D_A882_A48CB025B978_.wvu.Rows" localSheetId="13" hidden="1">'8. Assets Con-Company-wise LTI '!#REF!,'8. Assets Con-Company-wise LTI '!#REF!,'8. Assets Con-Company-wise LTI '!#REF!,'8. Assets Con-Company-wise LTI '!#REF!,'8. Assets Con-Company-wise LTI '!#REF!,'8. Assets Con-Company-wise LTI '!#REF!,'8. Assets Con-Company-wise LTI '!$45:$45</definedName>
    <definedName name="Z_B1E1B596_A9A1_411D_A882_A48CB025B978_.wvu.Rows" localSheetId="47" hidden="1">'GWP - Class wise - GI'!$44:$61</definedName>
    <definedName name="Z_B1E1B596_A9A1_411D_A882_A48CB025B978_.wvu.Rows" localSheetId="42" hidden="1">'Investment Income LI '!$32:$44</definedName>
    <definedName name="Z_B1E1B596_A9A1_411D_A882_A48CB025B978_.wvu.Rows" localSheetId="43" hidden="1">'LI - Solvency'!$9:$9</definedName>
    <definedName name="Z_B1E1B596_A9A1_411D_A882_A48CB025B978_.wvu.Rows" localSheetId="52" hidden="1">Retention!$48:$63</definedName>
    <definedName name="Z_B2E1A0C6_5BA1_4CF1_B412_16D81FCDF11F_.wvu.Cols" localSheetId="74" hidden="1">'# of Life Benifits Paid'!$A:$B</definedName>
    <definedName name="Z_B2E1A0C6_5BA1_4CF1_B412_16D81FCDF11F_.wvu.Cols" localSheetId="5" hidden="1">'2. GWP - LTIB '!#REF!,'2. GWP - LTIB '!#REF!,'2. GWP - LTIB '!#REF!,'2. GWP - LTIB '!$Q:$Q</definedName>
    <definedName name="Z_B2E1A0C6_5BA1_4CF1_B412_16D81FCDF11F_.wvu.Cols" localSheetId="29" hidden="1">'24.  Solvency  GI '!$J:$K</definedName>
    <definedName name="Z_B2E1A0C6_5BA1_4CF1_B412_16D81FCDF11F_.wvu.Cols" localSheetId="31" hidden="1">'26. Combined Ratio'!#REF!</definedName>
    <definedName name="Z_B2E1A0C6_5BA1_4CF1_B412_16D81FCDF11F_.wvu.Cols" localSheetId="35" hidden="1">'30. Retention final '!#REF!</definedName>
    <definedName name="Z_B2E1A0C6_5BA1_4CF1_B412_16D81FCDF11F_.wvu.Cols" localSheetId="57" hidden="1">'34. Inforced Policies LI '!#REF!</definedName>
    <definedName name="Z_B2E1A0C6_5BA1_4CF1_B412_16D81FCDF11F_.wvu.Cols" localSheetId="8" hidden="1">'5. Fin Inst''n '!#REF!</definedName>
    <definedName name="Z_B2E1A0C6_5BA1_4CF1_B412_16D81FCDF11F_.wvu.Cols" localSheetId="68" hidden="1">'AR - Table 1'!$C:$D</definedName>
    <definedName name="Z_B2E1A0C6_5BA1_4CF1_B412_16D81FCDF11F_.wvu.Cols" localSheetId="82" hidden="1">'AR table 6 &amp; Chart 7 (2)'!$C:$C</definedName>
    <definedName name="Z_B2E1A0C6_5BA1_4CF1_B412_16D81FCDF11F_.wvu.Cols" localSheetId="49" hidden="1">'Comb Ratio'!$C:$C</definedName>
    <definedName name="Z_B2E1A0C6_5BA1_4CF1_B412_16D81FCDF11F_.wvu.Cols" localSheetId="47" hidden="1">'GWP - Class wise - GI'!$C:$C</definedName>
    <definedName name="Z_B2E1A0C6_5BA1_4CF1_B412_16D81FCDF11F_.wvu.Cols" localSheetId="44" hidden="1">'GWP-GIB (Final)'!$C:$E,'GWP-GIB (Final)'!$G:$H,'GWP-GIB (Final)'!$AE:$AE</definedName>
    <definedName name="Z_B2E1A0C6_5BA1_4CF1_B412_16D81FCDF11F_.wvu.Cols" localSheetId="39" hidden="1">'GWP-LTIB (Final)'!$C:$E,'GWP-LTIB (Final)'!$G:$H,'GWP-LTIB (Final)'!$V:$V,'GWP-LTIB (Final)'!$AG:$AH</definedName>
    <definedName name="Z_B2E1A0C6_5BA1_4CF1_B412_16D81FCDF11F_.wvu.Cols" localSheetId="54" hidden="1">'Invest Income GI - 2011'!$A:$B,'Invest Income GI - 2011'!$I:$K</definedName>
    <definedName name="Z_B2E1A0C6_5BA1_4CF1_B412_16D81FCDF11F_.wvu.Cols" localSheetId="73" hidden="1">'Life Benifits Rs.''000'!$A:$B</definedName>
    <definedName name="Z_B2E1A0C6_5BA1_4CF1_B412_16D81FCDF11F_.wvu.Cols" localSheetId="52" hidden="1">Retention!$C:$D</definedName>
    <definedName name="Z_B2E1A0C6_5BA1_4CF1_B412_16D81FCDF11F_.wvu.Cols" localSheetId="11" hidden="1">'SH Funds'!$B:$B</definedName>
    <definedName name="Z_B2E1A0C6_5BA1_4CF1_B412_16D81FCDF11F_.wvu.Cols" localSheetId="9" hidden="1">'Total Assets'!$B:$B</definedName>
    <definedName name="Z_B2E1A0C6_5BA1_4CF1_B412_16D81FCDF11F_.wvu.PrintArea" localSheetId="74" hidden="1">'# of Life Benifits Paid'!$A$1:$H$145</definedName>
    <definedName name="Z_B2E1A0C6_5BA1_4CF1_B412_16D81FCDF11F_.wvu.PrintArea" localSheetId="15" hidden="1">'10.Concen Assets-Companywis '!$A$1:$L$42</definedName>
    <definedName name="Z_B2E1A0C6_5BA1_4CF1_B412_16D81FCDF11F_.wvu.PrintArea" localSheetId="22" hidden="1">'17. P &amp; L - GI - 2021'!$A$4:$K$558</definedName>
    <definedName name="Z_B2E1A0C6_5BA1_4CF1_B412_16D81FCDF11F_.wvu.PrintArea" localSheetId="5" hidden="1">'2. GWP - LTIB '!$A$1:$D$27</definedName>
    <definedName name="Z_B2E1A0C6_5BA1_4CF1_B412_16D81FCDF11F_.wvu.PrintArea" localSheetId="30" hidden="1">'25. GWP Class&amp; Com Wise-GI '!$B$135:$I$163</definedName>
    <definedName name="Z_B2E1A0C6_5BA1_4CF1_B412_16D81FCDF11F_.wvu.PrintArea" localSheetId="31" hidden="1">'26. Combined Ratio'!$A$1:$S$51</definedName>
    <definedName name="Z_B2E1A0C6_5BA1_4CF1_B412_16D81FCDF11F_.wvu.PrintArea" localSheetId="32" hidden="1">'27. Earned premium-GIB'!$A$101:$J$154</definedName>
    <definedName name="Z_B2E1A0C6_5BA1_4CF1_B412_16D81FCDF11F_.wvu.PrintArea" localSheetId="33" hidden="1">'28. Claims Incurred-GIB'!$A$128:$H$131</definedName>
    <definedName name="Z_B2E1A0C6_5BA1_4CF1_B412_16D81FCDF11F_.wvu.PrintArea" localSheetId="6" hidden="1">'3. GWP - GIB'!$A$1:$D$28</definedName>
    <definedName name="Z_B2E1A0C6_5BA1_4CF1_B412_16D81FCDF11F_.wvu.PrintArea" localSheetId="36" hidden="1">'31. Reinsurance Premium'!$B$1:$I$153</definedName>
    <definedName name="Z_B2E1A0C6_5BA1_4CF1_B412_16D81FCDF11F_.wvu.PrintArea" localSheetId="40" hidden="1">'33. New Policies LI (Final) '!$A$2:$C$25</definedName>
    <definedName name="Z_B2E1A0C6_5BA1_4CF1_B412_16D81FCDF11F_.wvu.PrintArea" localSheetId="57" hidden="1">'34. Inforced Policies LI '!$B$1:$C$39</definedName>
    <definedName name="Z_B2E1A0C6_5BA1_4CF1_B412_16D81FCDF11F_.wvu.PrintArea" localSheetId="72" hidden="1">'36. Life Benefits Rs.''000'!$A$164:$E$165</definedName>
    <definedName name="Z_B2E1A0C6_5BA1_4CF1_B412_16D81FCDF11F_.wvu.PrintArea" localSheetId="83" hidden="1">'38. Abbreviations'!$A$1:$E$41</definedName>
    <definedName name="Z_B2E1A0C6_5BA1_4CF1_B412_16D81FCDF11F_.wvu.PrintArea" localSheetId="8" hidden="1">'5. Fin Inst''n '!$A$1:$B$21</definedName>
    <definedName name="Z_B2E1A0C6_5BA1_4CF1_B412_16D81FCDF11F_.wvu.PrintArea" localSheetId="10" hidden="1">'6. SH Fund '!$B$2:$B$44</definedName>
    <definedName name="Z_B2E1A0C6_5BA1_4CF1_B412_16D81FCDF11F_.wvu.PrintArea" localSheetId="12" hidden="1">'7. Concentration of Assets-LTIB'!$A$1:$F$62</definedName>
    <definedName name="Z_B2E1A0C6_5BA1_4CF1_B412_16D81FCDF11F_.wvu.PrintArea" localSheetId="13" hidden="1">'8. Assets Con-Company-wise LTI '!$A$1:$N$49</definedName>
    <definedName name="Z_B2E1A0C6_5BA1_4CF1_B412_16D81FCDF11F_.wvu.PrintArea" localSheetId="14" hidden="1">'9. Concentration Assets - G '!$B$2:$C$50</definedName>
    <definedName name="Z_B2E1A0C6_5BA1_4CF1_B412_16D81FCDF11F_.wvu.PrintArea" localSheetId="82" hidden="1">'AR table 6 &amp; Chart 7 (2)'!$A$1:$V$28</definedName>
    <definedName name="Z_B2E1A0C6_5BA1_4CF1_B412_16D81FCDF11F_.wvu.PrintArea" localSheetId="46" hidden="1">'AR6&amp;7 Support I'!$A$13:$V$77</definedName>
    <definedName name="Z_B2E1A0C6_5BA1_4CF1_B412_16D81FCDF11F_.wvu.PrintArea" localSheetId="62" hidden="1">'Co Ins Outward'!$A$1:$H$51</definedName>
    <definedName name="Z_B2E1A0C6_5BA1_4CF1_B412_16D81FCDF11F_.wvu.PrintArea" localSheetId="49" hidden="1">'Comb Ratio'!$A$1:$G$43</definedName>
    <definedName name="Z_B2E1A0C6_5BA1_4CF1_B412_16D81FCDF11F_.wvu.PrintArea" localSheetId="50" hidden="1">'Earned Premium-GIB (Final)'!$A$13:$V$57</definedName>
    <definedName name="Z_B2E1A0C6_5BA1_4CF1_B412_16D81FCDF11F_.wvu.PrintArea" localSheetId="47" hidden="1">'GWP - Class wise - GI'!$A$1:$G$38</definedName>
    <definedName name="Z_B2E1A0C6_5BA1_4CF1_B412_16D81FCDF11F_.wvu.PrintArea" localSheetId="56" hidden="1">'GWP - Dist Chan - GI'!$A$12:$F$244</definedName>
    <definedName name="Z_B2E1A0C6_5BA1_4CF1_B412_16D81FCDF11F_.wvu.PrintArea" localSheetId="60" hidden="1">'GWP - Dist Chan - LI'!$A$1:$F$205</definedName>
    <definedName name="Z_B2E1A0C6_5BA1_4CF1_B412_16D81FCDF11F_.wvu.PrintArea" localSheetId="48" hidden="1">'GWP Class &amp; Com Wise-GI (Final)'!$A$13:$V$57</definedName>
    <definedName name="Z_B2E1A0C6_5BA1_4CF1_B412_16D81FCDF11F_.wvu.PrintArea" localSheetId="44" hidden="1">'GWP-GIB (Final)'!$C$1:$AV$136</definedName>
    <definedName name="Z_B2E1A0C6_5BA1_4CF1_B412_16D81FCDF11F_.wvu.PrintArea" localSheetId="42" hidden="1">'Investment Income LI '!$A$1:$G$31</definedName>
    <definedName name="Z_B2E1A0C6_5BA1_4CF1_B412_16D81FCDF11F_.wvu.PrintArea" localSheetId="41" hidden="1">'Investment Income LI  (Final)'!$A$1:$G$33</definedName>
    <definedName name="Z_B2E1A0C6_5BA1_4CF1_B412_16D81FCDF11F_.wvu.PrintArea" localSheetId="73" hidden="1">'Life Benifits Rs.''000'!$A$1:$I$145</definedName>
    <definedName name="Z_B2E1A0C6_5BA1_4CF1_B412_16D81FCDF11F_.wvu.PrintArea" localSheetId="2" hidden="1">List!$A$2:$C$50</definedName>
    <definedName name="Z_B2E1A0C6_5BA1_4CF1_B412_16D81FCDF11F_.wvu.PrintArea" localSheetId="59" hidden="1">'New Busi LT'!$B$1:$K$172</definedName>
    <definedName name="Z_B2E1A0C6_5BA1_4CF1_B412_16D81FCDF11F_.wvu.PrintArea" localSheetId="45" hidden="1">'P &amp; L - GI - 2012 '!$A$2:$H$594</definedName>
    <definedName name="Z_B2E1A0C6_5BA1_4CF1_B412_16D81FCDF11F_.wvu.PrintArea" localSheetId="52" hidden="1">Retention!$A$1:$H$47</definedName>
    <definedName name="Z_B2E1A0C6_5BA1_4CF1_B412_16D81FCDF11F_.wvu.PrintArea" localSheetId="11" hidden="1">'SH Funds'!$A$1:$K$32</definedName>
    <definedName name="Z_B2E1A0C6_5BA1_4CF1_B412_16D81FCDF11F_.wvu.PrintArea" localSheetId="61" hidden="1">'SRCC &amp; TC 2011 &amp; 12'!$A$1:$H$55</definedName>
    <definedName name="Z_B2E1A0C6_5BA1_4CF1_B412_16D81FCDF11F_.wvu.PrintArea" localSheetId="9" hidden="1">'Total Assets'!$A$1:$M$28</definedName>
    <definedName name="Z_B2E1A0C6_5BA1_4CF1_B412_16D81FCDF11F_.wvu.PrintTitles" localSheetId="74" hidden="1">'# of Life Benifits Paid'!$2:$2</definedName>
    <definedName name="Z_B2E1A0C6_5BA1_4CF1_B412_16D81FCDF11F_.wvu.PrintTitles" localSheetId="15" hidden="1">'10.Concen Assets-Companywis '!$2:$2</definedName>
    <definedName name="Z_B2E1A0C6_5BA1_4CF1_B412_16D81FCDF11F_.wvu.PrintTitles" localSheetId="13" hidden="1">'8. Assets Con-Company-wise LTI '!$2:$2</definedName>
    <definedName name="Z_B2E1A0C6_5BA1_4CF1_B412_16D81FCDF11F_.wvu.PrintTitles" localSheetId="38" hidden="1">'Branches-Emp-Agents'!$2:$2</definedName>
    <definedName name="Z_B2E1A0C6_5BA1_4CF1_B412_16D81FCDF11F_.wvu.PrintTitles" localSheetId="55" hidden="1">'GI - Solvency'!$1:$1</definedName>
    <definedName name="Z_B2E1A0C6_5BA1_4CF1_B412_16D81FCDF11F_.wvu.PrintTitles" localSheetId="43" hidden="1">'LI - Solvency'!$1:$1</definedName>
    <definedName name="Z_B2E1A0C6_5BA1_4CF1_B412_16D81FCDF11F_.wvu.PrintTitles" localSheetId="73" hidden="1">'Life Benifits Rs.''000'!$2:$2</definedName>
    <definedName name="Z_B2E1A0C6_5BA1_4CF1_B412_16D81FCDF11F_.wvu.PrintTitles" localSheetId="59" hidden="1">'New Busi LT'!$2:$2</definedName>
    <definedName name="Z_B2E1A0C6_5BA1_4CF1_B412_16D81FCDF11F_.wvu.PrintTitles" localSheetId="45" hidden="1">'P &amp; L - GI - 2012 '!$2:$2</definedName>
    <definedName name="Z_B2E1A0C6_5BA1_4CF1_B412_16D81FCDF11F_.wvu.Rows" localSheetId="6" hidden="1">'3. GWP - GIB'!$41:$55,'3. GWP - GIB'!$62:$118</definedName>
    <definedName name="Z_B2E1A0C6_5BA1_4CF1_B412_16D81FCDF11F_.wvu.Rows" localSheetId="36" hidden="1">'31. Reinsurance Premium'!$125:$125</definedName>
    <definedName name="Z_B2E1A0C6_5BA1_4CF1_B412_16D81FCDF11F_.wvu.Rows" localSheetId="40" hidden="1">'33. New Policies LI (Final) '!$1:$1,'33. New Policies LI (Final) '!#REF!</definedName>
    <definedName name="Z_B2E1A0C6_5BA1_4CF1_B412_16D81FCDF11F_.wvu.Rows" localSheetId="57" hidden="1">'34. Inforced Policies LI '!#REF!</definedName>
    <definedName name="Z_B2E1A0C6_5BA1_4CF1_B412_16D81FCDF11F_.wvu.Rows" localSheetId="12" hidden="1">'7. Concentration of Assets-LTIB'!#REF!,'7. Concentration of Assets-LTIB'!#REF!,'7. Concentration of Assets-LTIB'!#REF!,'7. Concentration of Assets-LTIB'!$20:$30</definedName>
    <definedName name="Z_B2E1A0C6_5BA1_4CF1_B412_16D81FCDF11F_.wvu.Rows" localSheetId="13" hidden="1">'8. Assets Con-Company-wise LTI '!$45:$45</definedName>
    <definedName name="Z_B2E1A0C6_5BA1_4CF1_B412_16D81FCDF11F_.wvu.Rows" localSheetId="47" hidden="1">'GWP - Class wise - GI'!$44:$61</definedName>
    <definedName name="Z_B2E1A0C6_5BA1_4CF1_B412_16D81FCDF11F_.wvu.Rows" localSheetId="42" hidden="1">'Investment Income LI '!$32:$44</definedName>
    <definedName name="Z_B2E1A0C6_5BA1_4CF1_B412_16D81FCDF11F_.wvu.Rows" localSheetId="43" hidden="1">'LI - Solvency'!$9:$9</definedName>
    <definedName name="Z_B2E1A0C6_5BA1_4CF1_B412_16D81FCDF11F_.wvu.Rows" localSheetId="52" hidden="1">Retention!$48:$63</definedName>
    <definedName name="Z_B4A67912_05A8_4D20_958A_E8812294BB39_.wvu.PrintArea" localSheetId="40" hidden="1">'33. New Policies LI (Final) '!#REF!</definedName>
    <definedName name="Z_B4A67912_05A8_4D20_958A_E8812294BB39_.wvu.PrintArea" localSheetId="57" hidden="1">'34. Inforced Policies LI '!#REF!</definedName>
    <definedName name="Z_B4A67912_05A8_4D20_958A_E8812294BB39_.wvu.PrintArea" localSheetId="8" hidden="1">'5. Fin Inst''n '!#REF!</definedName>
    <definedName name="Z_CEBD2831_4C30_417E_804F_59BB3DFB519D_.wvu.Cols" localSheetId="28" hidden="1">'23. Solvency LI  '!#REF!</definedName>
    <definedName name="Z_CEBD2831_4C30_417E_804F_59BB3DFB519D_.wvu.Cols" localSheetId="29" hidden="1">'24.  Solvency  GI '!$J:$K</definedName>
    <definedName name="Z_CEBD2831_4C30_417E_804F_59BB3DFB519D_.wvu.Cols" localSheetId="31" hidden="1">'26. Combined Ratio'!#REF!</definedName>
    <definedName name="Z_CEBD2831_4C30_417E_804F_59BB3DFB519D_.wvu.Cols" localSheetId="35" hidden="1">'30. Retention final '!#REF!</definedName>
    <definedName name="Z_CEBD2831_4C30_417E_804F_59BB3DFB519D_.wvu.Cols" localSheetId="7" hidden="1">'4. Industry Assets '!#REF!,'4. Industry Assets '!#REF!</definedName>
    <definedName name="Z_CEBD2831_4C30_417E_804F_59BB3DFB519D_.wvu.Cols" localSheetId="10" hidden="1">'6. SH Fund '!#REF!</definedName>
    <definedName name="Z_CEBD2831_4C30_417E_804F_59BB3DFB519D_.wvu.PrintArea" localSheetId="28" hidden="1">'23. Solvency LI  '!$A$2:$J$26</definedName>
    <definedName name="Z_CEBD2831_4C30_417E_804F_59BB3DFB519D_.wvu.PrintArea" localSheetId="31" hidden="1">'26. Combined Ratio'!$A$1:$S$51</definedName>
    <definedName name="Z_CEBD2831_4C30_417E_804F_59BB3DFB519D_.wvu.PrintArea" localSheetId="37" hidden="1">'32. Branches, Emp, Agents'!$B$1:$O$289</definedName>
    <definedName name="Z_CEBD2831_4C30_417E_804F_59BB3DFB519D_.wvu.PrintArea" localSheetId="7" hidden="1">'4. Industry Assets '!$B$1:$C$32</definedName>
    <definedName name="Z_CEBD2831_4C30_417E_804F_59BB3DFB519D_.wvu.Rows" localSheetId="28" hidden="1">'23. Solvency LI  '!#REF!</definedName>
    <definedName name="Z_CEBD2831_4C30_417E_804F_59BB3DFB519D_.wvu.Rows" localSheetId="58" hidden="1">'35. New Business '!$19:$26,'35. New Business '!$53:$53,'35. New Business '!$89:$89,'35. New Business '!$111:$112,'35. New Business '!#REF!,'35. New Business '!$139:$142,'35. New Business '!$156:$159,'35. New Business '!$173:$176,'35. New Business '!$190:$193,'35. New Business '!$207:$210,'35. New Business '!$224:$227,'35. New Business '!$241:$244,'35. New Business '!$258:$261,'35. New Business '!$275:$278,'35. New Business '!$292:$295,'35. New Business '!$309:$312,'35. New Business '!$326:$329</definedName>
    <definedName name="Z_E82B35BE_4719_4C53_A9EF_1CC6F153A6F3_.wvu.Cols" localSheetId="74" hidden="1">'# of Life Benifits Paid'!$A:$B</definedName>
    <definedName name="Z_E82B35BE_4719_4C53_A9EF_1CC6F153A6F3_.wvu.Cols" localSheetId="5" hidden="1">'2. GWP - LTIB '!#REF!,'2. GWP - LTIB '!#REF!,'2. GWP - LTIB '!$Q:$Q</definedName>
    <definedName name="Z_E82B35BE_4719_4C53_A9EF_1CC6F153A6F3_.wvu.Cols" localSheetId="6" hidden="1">'3. GWP - GIB'!#REF!,'3. GWP - GIB'!#REF!</definedName>
    <definedName name="Z_E82B35BE_4719_4C53_A9EF_1CC6F153A6F3_.wvu.Cols" localSheetId="57" hidden="1">'34. Inforced Policies LI '!#REF!</definedName>
    <definedName name="Z_E82B35BE_4719_4C53_A9EF_1CC6F153A6F3_.wvu.Cols" localSheetId="8" hidden="1">'5. Fin Inst''n '!#REF!</definedName>
    <definedName name="Z_E82B35BE_4719_4C53_A9EF_1CC6F153A6F3_.wvu.Cols" localSheetId="68" hidden="1">'AR - Table 1'!$C:$D</definedName>
    <definedName name="Z_E82B35BE_4719_4C53_A9EF_1CC6F153A6F3_.wvu.Cols" localSheetId="82" hidden="1">'AR table 6 &amp; Chart 7 (2)'!$C:$C</definedName>
    <definedName name="Z_E82B35BE_4719_4C53_A9EF_1CC6F153A6F3_.wvu.Cols" localSheetId="49" hidden="1">'Comb Ratio'!$C:$C</definedName>
    <definedName name="Z_E82B35BE_4719_4C53_A9EF_1CC6F153A6F3_.wvu.Cols" localSheetId="47" hidden="1">'GWP - Class wise - GI'!#REF!</definedName>
    <definedName name="Z_E82B35BE_4719_4C53_A9EF_1CC6F153A6F3_.wvu.Cols" localSheetId="54" hidden="1">'Invest Income GI - 2011'!$A:$B,'Invest Income GI - 2011'!$I:$K</definedName>
    <definedName name="Z_E82B35BE_4719_4C53_A9EF_1CC6F153A6F3_.wvu.Cols" localSheetId="73" hidden="1">'Life Benifits Rs.''000'!$A:$B</definedName>
    <definedName name="Z_E82B35BE_4719_4C53_A9EF_1CC6F153A6F3_.wvu.Cols" localSheetId="52" hidden="1">Retention!$C:$C</definedName>
    <definedName name="Z_E82B35BE_4719_4C53_A9EF_1CC6F153A6F3_.wvu.Cols" localSheetId="11" hidden="1">'SH Funds'!$B:$B</definedName>
    <definedName name="Z_E82B35BE_4719_4C53_A9EF_1CC6F153A6F3_.wvu.Cols" localSheetId="9" hidden="1">'Total Assets'!$B:$B</definedName>
    <definedName name="Z_E82B35BE_4719_4C53_A9EF_1CC6F153A6F3_.wvu.PrintArea" localSheetId="74" hidden="1">'# of Life Benifits Paid'!$A$1:$H$145</definedName>
    <definedName name="Z_E82B35BE_4719_4C53_A9EF_1CC6F153A6F3_.wvu.PrintArea" localSheetId="5" hidden="1">'2. GWP - LTIB '!$A$1:$B$26</definedName>
    <definedName name="Z_E82B35BE_4719_4C53_A9EF_1CC6F153A6F3_.wvu.PrintArea" localSheetId="30" hidden="1">'25. GWP Class&amp; Com Wise-GI '!$B$135:$I$163</definedName>
    <definedName name="Z_E82B35BE_4719_4C53_A9EF_1CC6F153A6F3_.wvu.PrintArea" localSheetId="6" hidden="1">'3. GWP - GIB'!$B$1:$B$28</definedName>
    <definedName name="Z_E82B35BE_4719_4C53_A9EF_1CC6F153A6F3_.wvu.PrintArea" localSheetId="36" hidden="1">'31. Reinsurance Premium'!$B$1:$H$172</definedName>
    <definedName name="Z_E82B35BE_4719_4C53_A9EF_1CC6F153A6F3_.wvu.PrintArea" localSheetId="40" hidden="1">'33. New Policies LI (Final) '!$A$1:$B$20</definedName>
    <definedName name="Z_E82B35BE_4719_4C53_A9EF_1CC6F153A6F3_.wvu.PrintArea" localSheetId="57" hidden="1">'34. Inforced Policies LI '!$A$1:$B$20</definedName>
    <definedName name="Z_E82B35BE_4719_4C53_A9EF_1CC6F153A6F3_.wvu.PrintArea" localSheetId="12" hidden="1">'7. Concentration of Assets-LTIB'!$A$2:$D$20</definedName>
    <definedName name="Z_E82B35BE_4719_4C53_A9EF_1CC6F153A6F3_.wvu.PrintArea" localSheetId="13" hidden="1">'8. Assets Con-Company-wise LTI '!$A$2:$J$44</definedName>
    <definedName name="Z_E82B35BE_4719_4C53_A9EF_1CC6F153A6F3_.wvu.PrintArea" localSheetId="14" hidden="1">'9. Concentration Assets - G '!$A$2:$B$23</definedName>
    <definedName name="Z_E82B35BE_4719_4C53_A9EF_1CC6F153A6F3_.wvu.PrintArea" localSheetId="82" hidden="1">'AR table 6 &amp; Chart 7 (2)'!$A$1:$V$28</definedName>
    <definedName name="Z_E82B35BE_4719_4C53_A9EF_1CC6F153A6F3_.wvu.PrintArea" localSheetId="62" hidden="1">'Co Ins Outward'!$A$1:$H$51</definedName>
    <definedName name="Z_E82B35BE_4719_4C53_A9EF_1CC6F153A6F3_.wvu.PrintArea" localSheetId="49" hidden="1">'Comb Ratio'!$A$1:$G$43</definedName>
    <definedName name="Z_E82B35BE_4719_4C53_A9EF_1CC6F153A6F3_.wvu.PrintArea" localSheetId="47" hidden="1">'GWP - Class wise - GI'!$A$1:$G$38</definedName>
    <definedName name="Z_E82B35BE_4719_4C53_A9EF_1CC6F153A6F3_.wvu.PrintArea" localSheetId="56" hidden="1">'GWP - Dist Chan - GI'!$A$12:$F$244</definedName>
    <definedName name="Z_E82B35BE_4719_4C53_A9EF_1CC6F153A6F3_.wvu.PrintArea" localSheetId="60" hidden="1">'GWP - Dist Chan - LI'!$A$1:$F$205</definedName>
    <definedName name="Z_E82B35BE_4719_4C53_A9EF_1CC6F153A6F3_.wvu.PrintArea" localSheetId="42" hidden="1">'Investment Income LI '!$A$1:$G$31</definedName>
    <definedName name="Z_E82B35BE_4719_4C53_A9EF_1CC6F153A6F3_.wvu.PrintArea" localSheetId="73" hidden="1">'Life Benifits Rs.''000'!$A$1:$I$145</definedName>
    <definedName name="Z_E82B35BE_4719_4C53_A9EF_1CC6F153A6F3_.wvu.PrintArea" localSheetId="2" hidden="1">List!$A$2:$B$50</definedName>
    <definedName name="Z_E82B35BE_4719_4C53_A9EF_1CC6F153A6F3_.wvu.PrintArea" localSheetId="59" hidden="1">'New Busi LT'!$B$1:$K$172</definedName>
    <definedName name="Z_E82B35BE_4719_4C53_A9EF_1CC6F153A6F3_.wvu.PrintArea" localSheetId="45" hidden="1">'P &amp; L - GI - 2012 '!$A$2:$H$594</definedName>
    <definedName name="Z_E82B35BE_4719_4C53_A9EF_1CC6F153A6F3_.wvu.PrintArea" localSheetId="52" hidden="1">Retention!$A$1:$H$47</definedName>
    <definedName name="Z_E82B35BE_4719_4C53_A9EF_1CC6F153A6F3_.wvu.PrintArea" localSheetId="11" hidden="1">'SH Funds'!$A$1:$K$32</definedName>
    <definedName name="Z_E82B35BE_4719_4C53_A9EF_1CC6F153A6F3_.wvu.PrintArea" localSheetId="61" hidden="1">'SRCC &amp; TC 2011 &amp; 12'!$A$1:$H$55</definedName>
    <definedName name="Z_E82B35BE_4719_4C53_A9EF_1CC6F153A6F3_.wvu.PrintArea" localSheetId="9" hidden="1">'Total Assets'!$A$1:$M$28</definedName>
    <definedName name="Z_E82B35BE_4719_4C53_A9EF_1CC6F153A6F3_.wvu.PrintTitles" localSheetId="74" hidden="1">'# of Life Benifits Paid'!$2:$2</definedName>
    <definedName name="Z_E82B35BE_4719_4C53_A9EF_1CC6F153A6F3_.wvu.PrintTitles" localSheetId="13" hidden="1">'8. Assets Con-Company-wise LTI '!$B:$B,'8. Assets Con-Company-wise LTI '!#REF!</definedName>
    <definedName name="Z_E82B35BE_4719_4C53_A9EF_1CC6F153A6F3_.wvu.PrintTitles" localSheetId="38" hidden="1">'Branches-Emp-Agents'!$2:$2</definedName>
    <definedName name="Z_E82B35BE_4719_4C53_A9EF_1CC6F153A6F3_.wvu.PrintTitles" localSheetId="55" hidden="1">'GI - Solvency'!$1:$1</definedName>
    <definedName name="Z_E82B35BE_4719_4C53_A9EF_1CC6F153A6F3_.wvu.PrintTitles" localSheetId="43" hidden="1">'LI - Solvency'!$1:$1</definedName>
    <definedName name="Z_E82B35BE_4719_4C53_A9EF_1CC6F153A6F3_.wvu.PrintTitles" localSheetId="73" hidden="1">'Life Benifits Rs.''000'!$2:$2</definedName>
    <definedName name="Z_E82B35BE_4719_4C53_A9EF_1CC6F153A6F3_.wvu.PrintTitles" localSheetId="59" hidden="1">'New Busi LT'!$2:$2</definedName>
    <definedName name="Z_E82B35BE_4719_4C53_A9EF_1CC6F153A6F3_.wvu.PrintTitles" localSheetId="45" hidden="1">'P &amp; L - GI - 2012 '!$2:$2</definedName>
    <definedName name="Z_E82B35BE_4719_4C53_A9EF_1CC6F153A6F3_.wvu.Rows" localSheetId="6" hidden="1">'3. GWP - GIB'!$41:$55,'3. GWP - GIB'!$62:$118</definedName>
    <definedName name="Z_E82B35BE_4719_4C53_A9EF_1CC6F153A6F3_.wvu.Rows" localSheetId="40" hidden="1">'33. New Policies LI (Final) '!$1:$1,'33. New Policies LI (Final) '!#REF!</definedName>
    <definedName name="Z_E82B35BE_4719_4C53_A9EF_1CC6F153A6F3_.wvu.Rows" localSheetId="57" hidden="1">'34. Inforced Policies LI '!#REF!</definedName>
    <definedName name="Z_E82B35BE_4719_4C53_A9EF_1CC6F153A6F3_.wvu.Rows" localSheetId="12" hidden="1">'7. Concentration of Assets-LTIB'!#REF!</definedName>
    <definedName name="Z_E82B35BE_4719_4C53_A9EF_1CC6F153A6F3_.wvu.Rows" localSheetId="14" hidden="1">'9. Concentration Assets - G '!#REF!</definedName>
    <definedName name="Z_E82B35BE_4719_4C53_A9EF_1CC6F153A6F3_.wvu.Rows" localSheetId="47" hidden="1">'GWP - Class wise - GI'!$44:$61</definedName>
    <definedName name="Z_E82B35BE_4719_4C53_A9EF_1CC6F153A6F3_.wvu.Rows" localSheetId="42" hidden="1">'Investment Income LI '!$32:$44</definedName>
    <definedName name="Z_E82B35BE_4719_4C53_A9EF_1CC6F153A6F3_.wvu.Rows" localSheetId="43" hidden="1">'LI - Solvency'!$9:$9</definedName>
    <definedName name="Z_E82B35BE_4719_4C53_A9EF_1CC6F153A6F3_.wvu.Rows" localSheetId="52" hidden="1">Retention!$48:$63</definedName>
    <definedName name="Z_F66B1C5E_2E3D_4890_AA4B_3A6E976CA29E_.wvu.Cols" localSheetId="7" hidden="1">'4. Industry Assets '!#REF!</definedName>
    <definedName name="Z_F66B1C5E_2E3D_4890_AA4B_3A6E976CA29E_.wvu.PrintArea" localSheetId="37" hidden="1">'32. Branches, Emp, Agents'!$B$1:$O$289</definedName>
    <definedName name="Z_F66B1C5E_2E3D_4890_AA4B_3A6E976CA29E_.wvu.PrintArea" localSheetId="7" hidden="1">'4. Industry Assets '!#REF!</definedName>
    <definedName name="Z_F7C0CA98_A3B8_42B1_9940_E27294444C95_.wvu.Cols" localSheetId="29" hidden="1">'24.  Solvency  GI '!$J:$K</definedName>
    <definedName name="Z_F7C0CA98_A3B8_42B1_9940_E27294444C95_.wvu.PrintArea" localSheetId="28" hidden="1">'23. Solvency LI  '!$A$2:$J$26</definedName>
    <definedName name="Z_F7C0CA98_A3B8_42B1_9940_E27294444C95_.wvu.PrintArea" localSheetId="7" hidden="1">'4. Industry Assets '!#REF!</definedName>
    <definedName name="Z_F7C0CA98_A3B8_42B1_9940_E27294444C95_.wvu.Rows" localSheetId="28" hidden="1">'23. Solvency LI  '!#REF!</definedName>
    <definedName name="Z_F7C0CA98_A3B8_42B1_9940_E27294444C95_.wvu.Rows" localSheetId="29" hidden="1">'24.  Solvency  GI '!#REF!</definedName>
  </definedNames>
  <calcPr calcId="162913"/>
  <customWorkbookViews>
    <customWorkbookView name="hasini - Personal View" guid="{5E394B0B-7867-4722-9497-A93AB2A9A773}" mergeInterval="0" personalView="1" maximized="1" xWindow="1" yWindow="1" windowWidth="1276" windowHeight="752" tabRatio="953" activeSheetId="2"/>
    <customWorkbookView name="thilini - Personal View" guid="{B1E1B596-A9A1-411D-A882-A48CB025B978}" mergeInterval="0" personalView="1" xWindow="22" yWindow="17" windowWidth="1231" windowHeight="512" tabRatio="953" activeSheetId="22" showComments="commIndAndComment"/>
    <customWorkbookView name="kapila - Personal View" guid="{E82B35BE-4719-4C53-A9EF-1CC6F153A6F3}" mergeInterval="0" personalView="1" maximized="1" xWindow="1" yWindow="1" windowWidth="1276" windowHeight="804" tabRatio="858" activeSheetId="41"/>
    <customWorkbookView name="chathuri - Personal View" guid="{B4A67912-05A8-4D20-958A-E8812294BB39}" mergeInterval="0" personalView="1" maximized="1" xWindow="1" yWindow="1" windowWidth="1280" windowHeight="762" activeSheetId="8"/>
    <customWorkbookView name="Asanka - Personal View" guid="{F7C0CA98-A3B8-42B1-9940-E27294444C95}" mergeInterval="0" personalView="1" maximized="1" xWindow="1" yWindow="1" windowWidth="1020" windowHeight="505" activeSheetId="5"/>
    <customWorkbookView name="decika - Personal View" guid="{B8318771-9061-42D8-AFEA-0FF27D639C94}" mergeInterval="0" personalView="1" maximized="1" xWindow="1" yWindow="1" windowWidth="1024" windowHeight="505" activeSheetId="54"/>
    <customWorkbookView name="sarika - Personal View" guid="{3199A5C7-1303-43ED-A74D-8C27C3B99779}" mergeInterval="0" personalView="1" maximized="1" xWindow="1" yWindow="1" windowWidth="1280" windowHeight="762" activeSheetId="74"/>
    <customWorkbookView name="chamarie - Personal View" guid="{C4538C36-F6A2-4603-9311-8D97FB7695CB}" mergeInterval="0" personalView="1" maximized="1" xWindow="1" yWindow="1" windowWidth="1020" windowHeight="505" activeSheetId="5"/>
    <customWorkbookView name="upendra - Personal View" guid="{F66B1C5E-2E3D-4890-AA4B-3A6E976CA29E}" mergeInterval="0" personalView="1" maximized="1" xWindow="1" yWindow="1" windowWidth="1020" windowHeight="505" activeSheetId="45"/>
    <customWorkbookView name="  - Personal View" guid="{D020F570-D9CD-4C16-921E-7638848CF929}" mergeInterval="0" personalView="1" maximized="1" xWindow="1" yWindow="1" windowWidth="1280" windowHeight="761" activeSheetId="5"/>
    <customWorkbookView name="Aruna Danthanarayana - Personal View" guid="{46F31544-8E6F-41C5-8628-1D6EE074AF15}" mergeInterval="0" personalView="1" maximized="1" xWindow="-8" yWindow="-8" windowWidth="1382" windowHeight="744" tabRatio="974" activeSheetId="6"/>
    <customWorkbookView name="Microsoft - Personal View" guid="{B2E1A0C6-5BA1-4CF1-B412-16D81FCDF11F}" mergeInterval="0" personalView="1" maximized="1" xWindow="-8" yWindow="-8" windowWidth="1382" windowHeight="744" tabRatio="974" activeSheetId="25"/>
    <customWorkbookView name="shanika - Personal View" guid="{967E0446-E234-427F-8E57-7FE287052E2E}" mergeInterval="0" personalView="1" maximized="1" xWindow="1" yWindow="1" windowWidth="1316" windowHeight="462" tabRatio="974" activeSheetId="76" showComments="commIndAndComment"/>
    <customWorkbookView name="shashini - Personal View" guid="{2ACFE167-4169-43A6-9AB2-59D5A2DA2DB4}" mergeInterval="0" personalView="1" maximized="1" xWindow="1" yWindow="1" windowWidth="1362" windowHeight="496" activeSheetId="17"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114" l="1"/>
  <c r="C8" i="114"/>
  <c r="H33" i="102" l="1"/>
  <c r="I33" i="102" s="1"/>
  <c r="I50" i="106" l="1"/>
  <c r="I49" i="106"/>
  <c r="G50" i="106"/>
  <c r="J6" i="110" l="1"/>
  <c r="I6" i="110"/>
  <c r="I26" i="104"/>
  <c r="G26" i="104"/>
  <c r="F26" i="104"/>
  <c r="J16" i="104"/>
  <c r="J13" i="104"/>
  <c r="I7" i="104"/>
  <c r="C6" i="104"/>
  <c r="I12" i="101"/>
  <c r="K12" i="101"/>
  <c r="G12" i="101"/>
  <c r="E6" i="118" l="1"/>
  <c r="F111" i="114" l="1"/>
  <c r="F94" i="115"/>
  <c r="F93" i="115"/>
  <c r="G93" i="115"/>
  <c r="F91" i="115"/>
  <c r="F90" i="115"/>
  <c r="H32" i="116" l="1"/>
  <c r="G22" i="116"/>
  <c r="E19" i="129" l="1"/>
  <c r="C37" i="128"/>
  <c r="C19" i="128"/>
  <c r="D23" i="127"/>
  <c r="K25" i="143"/>
  <c r="K24" i="143"/>
  <c r="K17" i="143"/>
  <c r="K18" i="143"/>
  <c r="K19" i="143"/>
  <c r="D232" i="142"/>
  <c r="E232" i="142"/>
  <c r="F232" i="142"/>
  <c r="G232" i="142"/>
  <c r="H232" i="142"/>
  <c r="C232" i="142"/>
  <c r="I63" i="142"/>
  <c r="I243" i="142"/>
  <c r="I44" i="142"/>
  <c r="I232" i="142" l="1"/>
  <c r="G48" i="140" l="1"/>
  <c r="F522" i="141"/>
  <c r="F521" i="141"/>
  <c r="D14" i="140"/>
  <c r="E14" i="140"/>
  <c r="E521" i="140"/>
  <c r="G521" i="140"/>
  <c r="D521" i="140"/>
  <c r="D42" i="140"/>
  <c r="E32" i="139"/>
  <c r="F32" i="139"/>
  <c r="H32" i="139"/>
  <c r="I32" i="139"/>
  <c r="G32" i="139"/>
  <c r="D32" i="139"/>
  <c r="C32" i="139"/>
  <c r="I14" i="139"/>
  <c r="H14" i="139"/>
  <c r="G14" i="139"/>
  <c r="F14" i="139"/>
  <c r="E14" i="139"/>
  <c r="D14" i="139"/>
  <c r="C14" i="139"/>
  <c r="C17" i="138" l="1"/>
  <c r="C36" i="102" l="1"/>
  <c r="D9" i="102" s="1"/>
  <c r="H12" i="102"/>
  <c r="H21" i="102"/>
  <c r="F25" i="120"/>
  <c r="K25" i="120"/>
  <c r="K6" i="120" l="1"/>
  <c r="D32" i="120"/>
  <c r="G12" i="131" l="1"/>
  <c r="F46" i="132"/>
  <c r="I532" i="143"/>
  <c r="I496" i="143"/>
  <c r="I460" i="143"/>
  <c r="I424" i="143"/>
  <c r="E341" i="143"/>
  <c r="I352" i="143"/>
  <c r="I316" i="143"/>
  <c r="I279" i="143"/>
  <c r="I243" i="143"/>
  <c r="I207" i="143"/>
  <c r="I163" i="143"/>
  <c r="I171" i="143"/>
  <c r="I135" i="143"/>
  <c r="I63" i="143"/>
  <c r="I99" i="143"/>
  <c r="E48" i="143"/>
  <c r="I45" i="143"/>
  <c r="I531" i="142"/>
  <c r="D516" i="142"/>
  <c r="E516" i="142"/>
  <c r="F516" i="142"/>
  <c r="G516" i="142"/>
  <c r="H516" i="142"/>
  <c r="C516" i="142"/>
  <c r="I495" i="142"/>
  <c r="I459" i="142"/>
  <c r="I423" i="142"/>
  <c r="K387" i="142"/>
  <c r="J387" i="142"/>
  <c r="I351" i="142"/>
  <c r="I315" i="142"/>
  <c r="I279" i="142"/>
  <c r="I207" i="142"/>
  <c r="C192" i="142"/>
  <c r="D192" i="142"/>
  <c r="E192" i="142"/>
  <c r="F192" i="142"/>
  <c r="G192" i="142"/>
  <c r="H192" i="142"/>
  <c r="I171" i="142"/>
  <c r="E50" i="142"/>
  <c r="E52" i="142"/>
  <c r="H19" i="129"/>
  <c r="G19" i="129"/>
  <c r="F19" i="129"/>
  <c r="D19" i="129"/>
  <c r="C19" i="129"/>
  <c r="D37" i="128"/>
  <c r="E37" i="128"/>
  <c r="F37" i="128"/>
  <c r="G37" i="128"/>
  <c r="H37" i="128"/>
  <c r="I37" i="128"/>
  <c r="J37" i="128"/>
  <c r="G23" i="127"/>
  <c r="F23" i="127"/>
  <c r="E23" i="127"/>
  <c r="C23" i="127"/>
  <c r="D22" i="140"/>
  <c r="E26" i="140"/>
  <c r="E27" i="140"/>
  <c r="G8" i="109"/>
  <c r="J17" i="104"/>
  <c r="J5" i="104"/>
  <c r="J25" i="104"/>
  <c r="K21" i="100"/>
  <c r="K20" i="100"/>
  <c r="K19" i="100"/>
  <c r="K18" i="100"/>
  <c r="K17" i="100"/>
  <c r="K16" i="100"/>
  <c r="K15" i="100"/>
  <c r="K13" i="100"/>
  <c r="K12" i="100"/>
  <c r="K11" i="100"/>
  <c r="K10" i="100"/>
  <c r="K9" i="100"/>
  <c r="K8" i="100"/>
  <c r="K7" i="100"/>
  <c r="H98" i="116"/>
  <c r="H97" i="116"/>
  <c r="H94" i="116"/>
  <c r="G95" i="116"/>
  <c r="G98" i="116"/>
  <c r="G97" i="116"/>
  <c r="G94" i="116"/>
  <c r="H94" i="115"/>
  <c r="H10" i="115" s="1"/>
  <c r="H93" i="115"/>
  <c r="H9" i="115" s="1"/>
  <c r="H90" i="115"/>
  <c r="H95" i="115" s="1"/>
  <c r="G94" i="115"/>
  <c r="G90" i="115"/>
  <c r="G6" i="115"/>
  <c r="H7" i="115"/>
  <c r="H8" i="115"/>
  <c r="H6" i="115"/>
  <c r="H53" i="115"/>
  <c r="H43" i="115"/>
  <c r="G53" i="115"/>
  <c r="H21" i="115"/>
  <c r="G21" i="115"/>
  <c r="H131" i="114"/>
  <c r="H117" i="114"/>
  <c r="H110" i="114"/>
  <c r="H103" i="114"/>
  <c r="H93" i="114"/>
  <c r="H85" i="114"/>
  <c r="H77" i="114"/>
  <c r="H67" i="114"/>
  <c r="H59" i="114"/>
  <c r="H51" i="114"/>
  <c r="H124" i="114"/>
  <c r="H125" i="114"/>
  <c r="H43" i="114"/>
  <c r="H44" i="114"/>
  <c r="H32" i="114"/>
  <c r="H24" i="114"/>
  <c r="H8" i="114" s="1"/>
  <c r="C9" i="114"/>
  <c r="D8" i="114"/>
  <c r="F12" i="113"/>
  <c r="G12" i="113"/>
  <c r="H21" i="110"/>
  <c r="G41" i="110"/>
  <c r="J40" i="110"/>
  <c r="J39" i="110"/>
  <c r="J38" i="110"/>
  <c r="J37" i="110"/>
  <c r="J36" i="110"/>
  <c r="J35" i="110"/>
  <c r="J34" i="110"/>
  <c r="J33" i="110"/>
  <c r="J32" i="110"/>
  <c r="J31" i="110"/>
  <c r="J30" i="110"/>
  <c r="J29" i="110"/>
  <c r="J28" i="110"/>
  <c r="J27" i="110"/>
  <c r="J26" i="110"/>
  <c r="J19" i="110"/>
  <c r="J20" i="110"/>
  <c r="J18" i="110"/>
  <c r="J17" i="110"/>
  <c r="J16" i="110"/>
  <c r="J15" i="110"/>
  <c r="J14" i="110"/>
  <c r="J13" i="110"/>
  <c r="J12" i="110"/>
  <c r="J11" i="110"/>
  <c r="J10" i="110"/>
  <c r="J9" i="110"/>
  <c r="J8" i="110"/>
  <c r="J7" i="110"/>
  <c r="I40" i="110"/>
  <c r="I39" i="110"/>
  <c r="I38" i="110"/>
  <c r="I37" i="110"/>
  <c r="I36" i="110"/>
  <c r="I35" i="110"/>
  <c r="I34" i="110"/>
  <c r="I33" i="110"/>
  <c r="I32" i="110"/>
  <c r="I31" i="110"/>
  <c r="I30" i="110"/>
  <c r="I29" i="110"/>
  <c r="I28" i="110"/>
  <c r="I27" i="110"/>
  <c r="I26" i="110"/>
  <c r="I17" i="110"/>
  <c r="J9" i="111"/>
  <c r="J20" i="111"/>
  <c r="J19" i="111"/>
  <c r="J18" i="111"/>
  <c r="J17" i="111"/>
  <c r="J16" i="111"/>
  <c r="J15" i="111"/>
  <c r="J14" i="111"/>
  <c r="J13" i="111"/>
  <c r="J12" i="111"/>
  <c r="J11" i="111"/>
  <c r="J10" i="111"/>
  <c r="J8" i="111"/>
  <c r="J7" i="111"/>
  <c r="J6" i="111"/>
  <c r="I21" i="111"/>
  <c r="H21" i="111"/>
  <c r="G21" i="111"/>
  <c r="G9" i="109"/>
  <c r="G22" i="109"/>
  <c r="G21" i="109"/>
  <c r="G20" i="109"/>
  <c r="G19" i="109"/>
  <c r="G18" i="109"/>
  <c r="G17" i="109"/>
  <c r="G16" i="109"/>
  <c r="G15" i="109"/>
  <c r="G14" i="109"/>
  <c r="G13" i="109"/>
  <c r="G12" i="109"/>
  <c r="G11" i="109"/>
  <c r="G10" i="109"/>
  <c r="I14" i="100"/>
  <c r="I22" i="100" s="1"/>
  <c r="H20" i="120"/>
  <c r="I543" i="107"/>
  <c r="M543" i="107"/>
  <c r="I544" i="107"/>
  <c r="M544" i="107"/>
  <c r="I545" i="107"/>
  <c r="M545" i="107"/>
  <c r="I546" i="107"/>
  <c r="M546" i="107"/>
  <c r="I547" i="107"/>
  <c r="M547" i="107"/>
  <c r="I548" i="107"/>
  <c r="M548" i="107"/>
  <c r="E549" i="107"/>
  <c r="F549" i="107"/>
  <c r="G549" i="107"/>
  <c r="H549" i="107"/>
  <c r="J549" i="107"/>
  <c r="K549" i="107"/>
  <c r="L549" i="107"/>
  <c r="I550" i="107"/>
  <c r="M550" i="107"/>
  <c r="E551" i="107"/>
  <c r="F551" i="107"/>
  <c r="G551" i="107"/>
  <c r="H551" i="107"/>
  <c r="J551" i="107"/>
  <c r="K551" i="107"/>
  <c r="L551" i="107"/>
  <c r="I552" i="107"/>
  <c r="M552" i="107"/>
  <c r="I553" i="107"/>
  <c r="M553" i="107"/>
  <c r="I554" i="107"/>
  <c r="M554" i="107"/>
  <c r="I555" i="107"/>
  <c r="M555" i="107"/>
  <c r="I556" i="107"/>
  <c r="M556" i="107"/>
  <c r="I557" i="107"/>
  <c r="M557" i="107"/>
  <c r="I558" i="107"/>
  <c r="M558" i="107"/>
  <c r="I559" i="107"/>
  <c r="M559" i="107"/>
  <c r="G560" i="107"/>
  <c r="I561" i="107"/>
  <c r="D561" i="107" s="1"/>
  <c r="I562" i="107"/>
  <c r="M562" i="107"/>
  <c r="I563" i="107"/>
  <c r="M563" i="107"/>
  <c r="I564" i="107"/>
  <c r="M564" i="107"/>
  <c r="I565" i="107"/>
  <c r="M565" i="107"/>
  <c r="I566" i="107"/>
  <c r="M566" i="107"/>
  <c r="I567" i="107"/>
  <c r="M567" i="107"/>
  <c r="E568" i="107"/>
  <c r="F568" i="107"/>
  <c r="G568" i="107"/>
  <c r="H568" i="107"/>
  <c r="J568" i="107"/>
  <c r="K568" i="107"/>
  <c r="L568" i="107"/>
  <c r="I569" i="107"/>
  <c r="M569" i="107"/>
  <c r="I570" i="107"/>
  <c r="M570" i="107"/>
  <c r="I571" i="107"/>
  <c r="M571" i="107"/>
  <c r="E572" i="107"/>
  <c r="E575" i="107" s="1"/>
  <c r="G572" i="107"/>
  <c r="I572" i="107" s="1"/>
  <c r="M572" i="107"/>
  <c r="I573" i="107"/>
  <c r="M573" i="107"/>
  <c r="I574" i="107"/>
  <c r="M574" i="107"/>
  <c r="F575" i="107"/>
  <c r="H575" i="107"/>
  <c r="J575" i="107"/>
  <c r="K575" i="107"/>
  <c r="L575" i="107"/>
  <c r="I576" i="107"/>
  <c r="M576" i="107"/>
  <c r="I578" i="107"/>
  <c r="M578" i="107"/>
  <c r="I579" i="107"/>
  <c r="M579" i="107"/>
  <c r="I591" i="107"/>
  <c r="M591" i="107"/>
  <c r="I592" i="107"/>
  <c r="M592" i="107"/>
  <c r="I593" i="107"/>
  <c r="M593" i="107"/>
  <c r="I594" i="107"/>
  <c r="M594" i="107"/>
  <c r="I595" i="107"/>
  <c r="M595" i="107"/>
  <c r="I596" i="107"/>
  <c r="M596" i="107"/>
  <c r="E597" i="107"/>
  <c r="F597" i="107"/>
  <c r="G597" i="107"/>
  <c r="H597" i="107"/>
  <c r="J597" i="107"/>
  <c r="K597" i="107"/>
  <c r="L597" i="107"/>
  <c r="I598" i="107"/>
  <c r="M598" i="107"/>
  <c r="E599" i="107"/>
  <c r="E608" i="107" s="1"/>
  <c r="F599" i="107"/>
  <c r="F608" i="107" s="1"/>
  <c r="G599" i="107"/>
  <c r="G608" i="107" s="1"/>
  <c r="H599" i="107"/>
  <c r="J599" i="107"/>
  <c r="K599" i="107"/>
  <c r="L599" i="107"/>
  <c r="L608" i="107" s="1"/>
  <c r="I600" i="107"/>
  <c r="M600" i="107"/>
  <c r="I601" i="107"/>
  <c r="M601" i="107"/>
  <c r="I602" i="107"/>
  <c r="M602" i="107"/>
  <c r="I603" i="107"/>
  <c r="M603" i="107"/>
  <c r="I604" i="107"/>
  <c r="M604" i="107"/>
  <c r="I605" i="107"/>
  <c r="M605" i="107"/>
  <c r="I606" i="107"/>
  <c r="M606" i="107"/>
  <c r="I607" i="107"/>
  <c r="M607" i="107"/>
  <c r="I609" i="107"/>
  <c r="D609" i="107" s="1"/>
  <c r="I610" i="107"/>
  <c r="M610" i="107"/>
  <c r="I611" i="107"/>
  <c r="M611" i="107"/>
  <c r="I612" i="107"/>
  <c r="M612" i="107"/>
  <c r="I613" i="107"/>
  <c r="M613" i="107"/>
  <c r="I614" i="107"/>
  <c r="M614" i="107"/>
  <c r="I615" i="107"/>
  <c r="M615" i="107"/>
  <c r="E616" i="107"/>
  <c r="F616" i="107"/>
  <c r="G616" i="107"/>
  <c r="H616" i="107"/>
  <c r="J616" i="107"/>
  <c r="K616" i="107"/>
  <c r="L616" i="107"/>
  <c r="I617" i="107"/>
  <c r="M617" i="107"/>
  <c r="I618" i="107"/>
  <c r="M618" i="107"/>
  <c r="I619" i="107"/>
  <c r="M619" i="107"/>
  <c r="I620" i="107"/>
  <c r="M620" i="107"/>
  <c r="I621" i="107"/>
  <c r="M621" i="107"/>
  <c r="I622" i="107"/>
  <c r="M622" i="107"/>
  <c r="E623" i="107"/>
  <c r="F623" i="107"/>
  <c r="G623" i="107"/>
  <c r="H623" i="107"/>
  <c r="J623" i="107"/>
  <c r="K623" i="107"/>
  <c r="L623" i="107"/>
  <c r="I624" i="107"/>
  <c r="M624" i="107"/>
  <c r="I626" i="107"/>
  <c r="M626" i="107"/>
  <c r="I627" i="107"/>
  <c r="M627" i="107"/>
  <c r="I639" i="107"/>
  <c r="M639" i="107"/>
  <c r="I640" i="107"/>
  <c r="M640" i="107"/>
  <c r="I641" i="107"/>
  <c r="M641" i="107"/>
  <c r="I642" i="107"/>
  <c r="M642" i="107"/>
  <c r="I643" i="107"/>
  <c r="M643" i="107"/>
  <c r="I644" i="107"/>
  <c r="M644" i="107"/>
  <c r="E645" i="107"/>
  <c r="F645" i="107"/>
  <c r="G645" i="107"/>
  <c r="H645" i="107"/>
  <c r="J645" i="107"/>
  <c r="K645" i="107"/>
  <c r="L645" i="107"/>
  <c r="I646" i="107"/>
  <c r="M646" i="107"/>
  <c r="E647" i="107"/>
  <c r="F647" i="107"/>
  <c r="G647" i="107"/>
  <c r="H647" i="107"/>
  <c r="J647" i="107"/>
  <c r="K647" i="107"/>
  <c r="K656" i="107" s="1"/>
  <c r="L647" i="107"/>
  <c r="I648" i="107"/>
  <c r="M648" i="107"/>
  <c r="I649" i="107"/>
  <c r="M649" i="107"/>
  <c r="I650" i="107"/>
  <c r="M650" i="107"/>
  <c r="I651" i="107"/>
  <c r="M651" i="107"/>
  <c r="I652" i="107"/>
  <c r="M652" i="107"/>
  <c r="I653" i="107"/>
  <c r="M653" i="107"/>
  <c r="I654" i="107"/>
  <c r="M654" i="107"/>
  <c r="I655" i="107"/>
  <c r="M655" i="107"/>
  <c r="H656" i="107"/>
  <c r="I657" i="107"/>
  <c r="D657" i="107" s="1"/>
  <c r="I658" i="107"/>
  <c r="M658" i="107"/>
  <c r="I659" i="107"/>
  <c r="M659" i="107"/>
  <c r="I660" i="107"/>
  <c r="M660" i="107"/>
  <c r="I661" i="107"/>
  <c r="M661" i="107"/>
  <c r="I662" i="107"/>
  <c r="M662" i="107"/>
  <c r="I663" i="107"/>
  <c r="M663" i="107"/>
  <c r="E664" i="107"/>
  <c r="F664" i="107"/>
  <c r="G664" i="107"/>
  <c r="H664" i="107"/>
  <c r="J664" i="107"/>
  <c r="K664" i="107"/>
  <c r="L664" i="107"/>
  <c r="I665" i="107"/>
  <c r="M665" i="107"/>
  <c r="I666" i="107"/>
  <c r="M666" i="107"/>
  <c r="I667" i="107"/>
  <c r="M667" i="107"/>
  <c r="I668" i="107"/>
  <c r="M668" i="107"/>
  <c r="I669" i="107"/>
  <c r="M669" i="107"/>
  <c r="I670" i="107"/>
  <c r="M670" i="107"/>
  <c r="E671" i="107"/>
  <c r="F671" i="107"/>
  <c r="G671" i="107"/>
  <c r="H671" i="107"/>
  <c r="J671" i="107"/>
  <c r="K671" i="107"/>
  <c r="L671" i="107"/>
  <c r="I672" i="107"/>
  <c r="M672" i="107"/>
  <c r="I674" i="107"/>
  <c r="M674" i="107"/>
  <c r="I675" i="107"/>
  <c r="M675" i="107"/>
  <c r="I687" i="107"/>
  <c r="M687" i="107"/>
  <c r="I688" i="107"/>
  <c r="M688" i="107"/>
  <c r="I689" i="107"/>
  <c r="M689" i="107"/>
  <c r="I690" i="107"/>
  <c r="M690" i="107"/>
  <c r="I691" i="107"/>
  <c r="M691" i="107"/>
  <c r="I692" i="107"/>
  <c r="M692" i="107"/>
  <c r="E693" i="107"/>
  <c r="F693" i="107"/>
  <c r="G693" i="107"/>
  <c r="H693" i="107"/>
  <c r="J693" i="107"/>
  <c r="K693" i="107"/>
  <c r="L693" i="107"/>
  <c r="I694" i="107"/>
  <c r="M694" i="107"/>
  <c r="E695" i="107"/>
  <c r="F695" i="107"/>
  <c r="G695" i="107"/>
  <c r="H695" i="107"/>
  <c r="J695" i="107"/>
  <c r="K695" i="107"/>
  <c r="L695" i="107"/>
  <c r="I696" i="107"/>
  <c r="M696" i="107"/>
  <c r="I697" i="107"/>
  <c r="M697" i="107"/>
  <c r="I698" i="107"/>
  <c r="M698" i="107"/>
  <c r="I699" i="107"/>
  <c r="M699" i="107"/>
  <c r="I700" i="107"/>
  <c r="M700" i="107"/>
  <c r="I701" i="107"/>
  <c r="M701" i="107"/>
  <c r="I702" i="107"/>
  <c r="M702" i="107"/>
  <c r="I703" i="107"/>
  <c r="M703" i="107"/>
  <c r="G704" i="107"/>
  <c r="I705" i="107"/>
  <c r="D705" i="107" s="1"/>
  <c r="I706" i="107"/>
  <c r="M706" i="107"/>
  <c r="I707" i="107"/>
  <c r="M707" i="107"/>
  <c r="I708" i="107"/>
  <c r="M708" i="107"/>
  <c r="I709" i="107"/>
  <c r="M709" i="107"/>
  <c r="I710" i="107"/>
  <c r="M710" i="107"/>
  <c r="I711" i="107"/>
  <c r="M711" i="107"/>
  <c r="E712" i="107"/>
  <c r="F712" i="107"/>
  <c r="G712" i="107"/>
  <c r="H712" i="107"/>
  <c r="J712" i="107"/>
  <c r="K712" i="107"/>
  <c r="L712" i="107"/>
  <c r="I713" i="107"/>
  <c r="M713" i="107"/>
  <c r="I714" i="107"/>
  <c r="M714" i="107"/>
  <c r="I715" i="107"/>
  <c r="M715" i="107"/>
  <c r="I716" i="107"/>
  <c r="M716" i="107"/>
  <c r="I717" i="107"/>
  <c r="M717" i="107"/>
  <c r="I718" i="107"/>
  <c r="M718" i="107"/>
  <c r="E719" i="107"/>
  <c r="F719" i="107"/>
  <c r="G719" i="107"/>
  <c r="H719" i="107"/>
  <c r="J719" i="107"/>
  <c r="K719" i="107"/>
  <c r="L719" i="107"/>
  <c r="I720" i="107"/>
  <c r="M720" i="107"/>
  <c r="I722" i="107"/>
  <c r="M722" i="107"/>
  <c r="I723" i="107"/>
  <c r="M723" i="107"/>
  <c r="I735" i="107"/>
  <c r="M735" i="107"/>
  <c r="I736" i="107"/>
  <c r="M736" i="107"/>
  <c r="I737" i="107"/>
  <c r="M737" i="107"/>
  <c r="I738" i="107"/>
  <c r="M738" i="107"/>
  <c r="I739" i="107"/>
  <c r="M739" i="107"/>
  <c r="I740" i="107"/>
  <c r="M740" i="107"/>
  <c r="E741" i="107"/>
  <c r="F741" i="107"/>
  <c r="G741" i="107"/>
  <c r="H741" i="107"/>
  <c r="J741" i="107"/>
  <c r="K741" i="107"/>
  <c r="L741" i="107"/>
  <c r="I742" i="107"/>
  <c r="M742" i="107"/>
  <c r="E743" i="107"/>
  <c r="F743" i="107"/>
  <c r="G743" i="107"/>
  <c r="H743" i="107"/>
  <c r="J743" i="107"/>
  <c r="K743" i="107"/>
  <c r="K752" i="107" s="1"/>
  <c r="L743" i="107"/>
  <c r="I744" i="107"/>
  <c r="M744" i="107"/>
  <c r="I745" i="107"/>
  <c r="M745" i="107"/>
  <c r="I746" i="107"/>
  <c r="M746" i="107"/>
  <c r="I747" i="107"/>
  <c r="M747" i="107"/>
  <c r="I748" i="107"/>
  <c r="M748" i="107"/>
  <c r="I749" i="107"/>
  <c r="M749" i="107"/>
  <c r="I750" i="107"/>
  <c r="M750" i="107"/>
  <c r="I751" i="107"/>
  <c r="M751" i="107"/>
  <c r="H752" i="107"/>
  <c r="I753" i="107"/>
  <c r="D753" i="107" s="1"/>
  <c r="I754" i="107"/>
  <c r="M754" i="107"/>
  <c r="I755" i="107"/>
  <c r="M755" i="107"/>
  <c r="I756" i="107"/>
  <c r="M756" i="107"/>
  <c r="I757" i="107"/>
  <c r="M757" i="107"/>
  <c r="I758" i="107"/>
  <c r="M758" i="107"/>
  <c r="I759" i="107"/>
  <c r="M759" i="107"/>
  <c r="E760" i="107"/>
  <c r="F760" i="107"/>
  <c r="G760" i="107"/>
  <c r="H760" i="107"/>
  <c r="J760" i="107"/>
  <c r="K760" i="107"/>
  <c r="L760" i="107"/>
  <c r="I761" i="107"/>
  <c r="M761" i="107"/>
  <c r="I762" i="107"/>
  <c r="M762" i="107"/>
  <c r="I763" i="107"/>
  <c r="M763" i="107"/>
  <c r="I764" i="107"/>
  <c r="M764" i="107"/>
  <c r="I765" i="107"/>
  <c r="M765" i="107"/>
  <c r="I766" i="107"/>
  <c r="M766" i="107"/>
  <c r="E767" i="107"/>
  <c r="F767" i="107"/>
  <c r="G767" i="107"/>
  <c r="H767" i="107"/>
  <c r="J767" i="107"/>
  <c r="K767" i="107"/>
  <c r="L767" i="107"/>
  <c r="I768" i="107"/>
  <c r="M768" i="107"/>
  <c r="I770" i="107"/>
  <c r="M770" i="107"/>
  <c r="I771" i="107"/>
  <c r="M771" i="107"/>
  <c r="I783" i="107"/>
  <c r="M783" i="107"/>
  <c r="I784" i="107"/>
  <c r="M784" i="107"/>
  <c r="I785" i="107"/>
  <c r="M785" i="107"/>
  <c r="I786" i="107"/>
  <c r="M786" i="107"/>
  <c r="I787" i="107"/>
  <c r="M787" i="107"/>
  <c r="I788" i="107"/>
  <c r="M788" i="107"/>
  <c r="E789" i="107"/>
  <c r="F789" i="107"/>
  <c r="G789" i="107"/>
  <c r="H789" i="107"/>
  <c r="J789" i="107"/>
  <c r="K789" i="107"/>
  <c r="L789" i="107"/>
  <c r="I790" i="107"/>
  <c r="M790" i="107"/>
  <c r="E791" i="107"/>
  <c r="F791" i="107"/>
  <c r="G791" i="107"/>
  <c r="H791" i="107"/>
  <c r="J791" i="107"/>
  <c r="K791" i="107"/>
  <c r="L791" i="107"/>
  <c r="I792" i="107"/>
  <c r="M792" i="107"/>
  <c r="I793" i="107"/>
  <c r="M793" i="107"/>
  <c r="I794" i="107"/>
  <c r="M794" i="107"/>
  <c r="I795" i="107"/>
  <c r="M795" i="107"/>
  <c r="I796" i="107"/>
  <c r="M796" i="107"/>
  <c r="I797" i="107"/>
  <c r="M797" i="107"/>
  <c r="I798" i="107"/>
  <c r="M798" i="107"/>
  <c r="I799" i="107"/>
  <c r="M799" i="107"/>
  <c r="G800" i="107"/>
  <c r="I801" i="107"/>
  <c r="D801" i="107" s="1"/>
  <c r="I802" i="107"/>
  <c r="M802" i="107"/>
  <c r="I803" i="107"/>
  <c r="M803" i="107"/>
  <c r="I804" i="107"/>
  <c r="M804" i="107"/>
  <c r="I805" i="107"/>
  <c r="M805" i="107"/>
  <c r="I806" i="107"/>
  <c r="M806" i="107"/>
  <c r="I807" i="107"/>
  <c r="M807" i="107"/>
  <c r="E808" i="107"/>
  <c r="F808" i="107"/>
  <c r="G808" i="107"/>
  <c r="H808" i="107"/>
  <c r="J808" i="107"/>
  <c r="K808" i="107"/>
  <c r="L808" i="107"/>
  <c r="I809" i="107"/>
  <c r="M809" i="107"/>
  <c r="I810" i="107"/>
  <c r="M810" i="107"/>
  <c r="I811" i="107"/>
  <c r="M811" i="107"/>
  <c r="I812" i="107"/>
  <c r="M812" i="107"/>
  <c r="I813" i="107"/>
  <c r="M813" i="107"/>
  <c r="I814" i="107"/>
  <c r="M814" i="107"/>
  <c r="E815" i="107"/>
  <c r="F815" i="107"/>
  <c r="G815" i="107"/>
  <c r="H815" i="107"/>
  <c r="J815" i="107"/>
  <c r="K815" i="107"/>
  <c r="L815" i="107"/>
  <c r="I816" i="107"/>
  <c r="M816" i="107"/>
  <c r="I818" i="107"/>
  <c r="M818" i="107"/>
  <c r="I819" i="107"/>
  <c r="M819" i="107"/>
  <c r="I495" i="107"/>
  <c r="M495" i="107"/>
  <c r="I496" i="107"/>
  <c r="M496" i="107"/>
  <c r="I497" i="107"/>
  <c r="M497" i="107"/>
  <c r="I498" i="107"/>
  <c r="M498" i="107"/>
  <c r="I499" i="107"/>
  <c r="M499" i="107"/>
  <c r="I500" i="107"/>
  <c r="M500" i="107"/>
  <c r="E501" i="107"/>
  <c r="F501" i="107"/>
  <c r="G501" i="107"/>
  <c r="H501" i="107"/>
  <c r="J501" i="107"/>
  <c r="K501" i="107"/>
  <c r="L501" i="107"/>
  <c r="I502" i="107"/>
  <c r="M502" i="107"/>
  <c r="E503" i="107"/>
  <c r="F503" i="107"/>
  <c r="G503" i="107"/>
  <c r="H503" i="107"/>
  <c r="J503" i="107"/>
  <c r="K503" i="107"/>
  <c r="L503" i="107"/>
  <c r="I504" i="107"/>
  <c r="M504" i="107"/>
  <c r="I505" i="107"/>
  <c r="M505" i="107"/>
  <c r="I506" i="107"/>
  <c r="M506" i="107"/>
  <c r="I507" i="107"/>
  <c r="M507" i="107"/>
  <c r="I508" i="107"/>
  <c r="M508" i="107"/>
  <c r="I509" i="107"/>
  <c r="M509" i="107"/>
  <c r="I510" i="107"/>
  <c r="M510" i="107"/>
  <c r="I511" i="107"/>
  <c r="M511" i="107"/>
  <c r="J512" i="107"/>
  <c r="I513" i="107"/>
  <c r="D513" i="107" s="1"/>
  <c r="I514" i="107"/>
  <c r="M514" i="107"/>
  <c r="I515" i="107"/>
  <c r="M515" i="107"/>
  <c r="I516" i="107"/>
  <c r="M516" i="107"/>
  <c r="I517" i="107"/>
  <c r="M517" i="107"/>
  <c r="I518" i="107"/>
  <c r="M518" i="107"/>
  <c r="I519" i="107"/>
  <c r="M519" i="107"/>
  <c r="E520" i="107"/>
  <c r="F520" i="107"/>
  <c r="G520" i="107"/>
  <c r="H520" i="107"/>
  <c r="J520" i="107"/>
  <c r="K520" i="107"/>
  <c r="L520" i="107"/>
  <c r="I521" i="107"/>
  <c r="M521" i="107"/>
  <c r="I522" i="107"/>
  <c r="M522" i="107"/>
  <c r="I523" i="107"/>
  <c r="M523" i="107"/>
  <c r="I524" i="107"/>
  <c r="M524" i="107"/>
  <c r="I525" i="107"/>
  <c r="M525" i="107"/>
  <c r="I526" i="107"/>
  <c r="M526" i="107"/>
  <c r="E527" i="107"/>
  <c r="F527" i="107"/>
  <c r="G527" i="107"/>
  <c r="H527" i="107"/>
  <c r="J527" i="107"/>
  <c r="K527" i="107"/>
  <c r="L527" i="107"/>
  <c r="I528" i="107"/>
  <c r="M528" i="107"/>
  <c r="I530" i="107"/>
  <c r="M530" i="107"/>
  <c r="I531" i="107"/>
  <c r="M531" i="107"/>
  <c r="I447" i="107"/>
  <c r="M447" i="107"/>
  <c r="I448" i="107"/>
  <c r="M448" i="107"/>
  <c r="I449" i="107"/>
  <c r="M449" i="107"/>
  <c r="I450" i="107"/>
  <c r="M450" i="107"/>
  <c r="I451" i="107"/>
  <c r="M451" i="107"/>
  <c r="I452" i="107"/>
  <c r="M452" i="107"/>
  <c r="E453" i="107"/>
  <c r="F453" i="107"/>
  <c r="G453" i="107"/>
  <c r="H453" i="107"/>
  <c r="J453" i="107"/>
  <c r="K453" i="107"/>
  <c r="L453" i="107"/>
  <c r="I454" i="107"/>
  <c r="M454" i="107"/>
  <c r="E455" i="107"/>
  <c r="F455" i="107"/>
  <c r="G455" i="107"/>
  <c r="H455" i="107"/>
  <c r="J455" i="107"/>
  <c r="K455" i="107"/>
  <c r="L455" i="107"/>
  <c r="L464" i="107" s="1"/>
  <c r="I456" i="107"/>
  <c r="M456" i="107"/>
  <c r="I457" i="107"/>
  <c r="M457" i="107"/>
  <c r="I458" i="107"/>
  <c r="M458" i="107"/>
  <c r="I459" i="107"/>
  <c r="M459" i="107"/>
  <c r="I460" i="107"/>
  <c r="M460" i="107"/>
  <c r="I461" i="107"/>
  <c r="M461" i="107"/>
  <c r="I462" i="107"/>
  <c r="M462" i="107"/>
  <c r="I463" i="107"/>
  <c r="M463" i="107"/>
  <c r="I465" i="107"/>
  <c r="D465" i="107" s="1"/>
  <c r="I466" i="107"/>
  <c r="M466" i="107"/>
  <c r="I467" i="107"/>
  <c r="M467" i="107"/>
  <c r="I468" i="107"/>
  <c r="M468" i="107"/>
  <c r="I469" i="107"/>
  <c r="M469" i="107"/>
  <c r="I470" i="107"/>
  <c r="M470" i="107"/>
  <c r="I471" i="107"/>
  <c r="M471" i="107"/>
  <c r="E472" i="107"/>
  <c r="F472" i="107"/>
  <c r="G472" i="107"/>
  <c r="H472" i="107"/>
  <c r="J472" i="107"/>
  <c r="K472" i="107"/>
  <c r="L472" i="107"/>
  <c r="I473" i="107"/>
  <c r="M473" i="107"/>
  <c r="I474" i="107"/>
  <c r="M474" i="107"/>
  <c r="I475" i="107"/>
  <c r="M475" i="107"/>
  <c r="I476" i="107"/>
  <c r="M476" i="107"/>
  <c r="I477" i="107"/>
  <c r="M477" i="107"/>
  <c r="I478" i="107"/>
  <c r="M478" i="107"/>
  <c r="E479" i="107"/>
  <c r="F479" i="107"/>
  <c r="G479" i="107"/>
  <c r="H479" i="107"/>
  <c r="J479" i="107"/>
  <c r="K479" i="107"/>
  <c r="L479" i="107"/>
  <c r="I480" i="107"/>
  <c r="M480" i="107"/>
  <c r="I482" i="107"/>
  <c r="M482" i="107"/>
  <c r="I483" i="107"/>
  <c r="M483" i="107"/>
  <c r="I399" i="107"/>
  <c r="M399" i="107"/>
  <c r="I400" i="107"/>
  <c r="M400" i="107"/>
  <c r="I401" i="107"/>
  <c r="M401" i="107"/>
  <c r="I402" i="107"/>
  <c r="M402" i="107"/>
  <c r="I403" i="107"/>
  <c r="M403" i="107"/>
  <c r="I404" i="107"/>
  <c r="M404" i="107"/>
  <c r="E405" i="107"/>
  <c r="F405" i="107"/>
  <c r="G405" i="107"/>
  <c r="H405" i="107"/>
  <c r="J405" i="107"/>
  <c r="K405" i="107"/>
  <c r="L405" i="107"/>
  <c r="I406" i="107"/>
  <c r="M406" i="107"/>
  <c r="E407" i="107"/>
  <c r="F407" i="107"/>
  <c r="G407" i="107"/>
  <c r="H407" i="107"/>
  <c r="J407" i="107"/>
  <c r="J416" i="107" s="1"/>
  <c r="K407" i="107"/>
  <c r="L407" i="107"/>
  <c r="I408" i="107"/>
  <c r="M408" i="107"/>
  <c r="I409" i="107"/>
  <c r="M409" i="107"/>
  <c r="I410" i="107"/>
  <c r="M410" i="107"/>
  <c r="I411" i="107"/>
  <c r="M411" i="107"/>
  <c r="I412" i="107"/>
  <c r="M412" i="107"/>
  <c r="I413" i="107"/>
  <c r="M413" i="107"/>
  <c r="I414" i="107"/>
  <c r="M414" i="107"/>
  <c r="I415" i="107"/>
  <c r="M415" i="107"/>
  <c r="I417" i="107"/>
  <c r="D417" i="107" s="1"/>
  <c r="I418" i="107"/>
  <c r="M418" i="107"/>
  <c r="I419" i="107"/>
  <c r="M419" i="107"/>
  <c r="I420" i="107"/>
  <c r="M420" i="107"/>
  <c r="I421" i="107"/>
  <c r="M421" i="107"/>
  <c r="I422" i="107"/>
  <c r="M422" i="107"/>
  <c r="I423" i="107"/>
  <c r="M423" i="107"/>
  <c r="E424" i="107"/>
  <c r="F424" i="107"/>
  <c r="G424" i="107"/>
  <c r="H424" i="107"/>
  <c r="J424" i="107"/>
  <c r="K424" i="107"/>
  <c r="L424" i="107"/>
  <c r="I425" i="107"/>
  <c r="M425" i="107"/>
  <c r="I426" i="107"/>
  <c r="M426" i="107"/>
  <c r="I427" i="107"/>
  <c r="M427" i="107"/>
  <c r="I428" i="107"/>
  <c r="M428" i="107"/>
  <c r="I429" i="107"/>
  <c r="M429" i="107"/>
  <c r="I430" i="107"/>
  <c r="M430" i="107"/>
  <c r="E431" i="107"/>
  <c r="F431" i="107"/>
  <c r="G431" i="107"/>
  <c r="H431" i="107"/>
  <c r="J431" i="107"/>
  <c r="K431" i="107"/>
  <c r="L431" i="107"/>
  <c r="I432" i="107"/>
  <c r="M432" i="107"/>
  <c r="I434" i="107"/>
  <c r="M434" i="107"/>
  <c r="I435" i="107"/>
  <c r="M435" i="107"/>
  <c r="I349" i="107"/>
  <c r="M349" i="107"/>
  <c r="I350" i="107"/>
  <c r="M350" i="107"/>
  <c r="I351" i="107"/>
  <c r="M351" i="107"/>
  <c r="I352" i="107"/>
  <c r="M352" i="107"/>
  <c r="I353" i="107"/>
  <c r="M353" i="107"/>
  <c r="I354" i="107"/>
  <c r="M354" i="107"/>
  <c r="E355" i="107"/>
  <c r="F355" i="107"/>
  <c r="G355" i="107"/>
  <c r="H355" i="107"/>
  <c r="J355" i="107"/>
  <c r="K355" i="107"/>
  <c r="L355" i="107"/>
  <c r="I356" i="107"/>
  <c r="M356" i="107"/>
  <c r="E357" i="107"/>
  <c r="F357" i="107"/>
  <c r="G357" i="107"/>
  <c r="J357" i="107"/>
  <c r="K357" i="107"/>
  <c r="L357" i="107"/>
  <c r="I358" i="107"/>
  <c r="M358" i="107"/>
  <c r="I359" i="107"/>
  <c r="M359" i="107"/>
  <c r="I360" i="107"/>
  <c r="M360" i="107"/>
  <c r="I361" i="107"/>
  <c r="M361" i="107"/>
  <c r="H362" i="107"/>
  <c r="H357" i="107" s="1"/>
  <c r="M362" i="107"/>
  <c r="I363" i="107"/>
  <c r="I364" i="107"/>
  <c r="I365" i="107"/>
  <c r="M365" i="107"/>
  <c r="I366" i="107"/>
  <c r="M366" i="107"/>
  <c r="I367" i="107"/>
  <c r="M367" i="107"/>
  <c r="I369" i="107"/>
  <c r="D369" i="107" s="1"/>
  <c r="I370" i="107"/>
  <c r="M370" i="107"/>
  <c r="I371" i="107"/>
  <c r="M371" i="107"/>
  <c r="I372" i="107"/>
  <c r="M372" i="107"/>
  <c r="I373" i="107"/>
  <c r="M373" i="107"/>
  <c r="I374" i="107"/>
  <c r="M374" i="107"/>
  <c r="I375" i="107"/>
  <c r="M375" i="107"/>
  <c r="E376" i="107"/>
  <c r="F376" i="107"/>
  <c r="G376" i="107"/>
  <c r="H376" i="107"/>
  <c r="J376" i="107"/>
  <c r="K376" i="107"/>
  <c r="L376" i="107"/>
  <c r="I377" i="107"/>
  <c r="M377" i="107"/>
  <c r="I378" i="107"/>
  <c r="M378" i="107"/>
  <c r="I379" i="107"/>
  <c r="M379" i="107"/>
  <c r="I380" i="107"/>
  <c r="M380" i="107"/>
  <c r="I381" i="107"/>
  <c r="M381" i="107"/>
  <c r="I382" i="107"/>
  <c r="M382" i="107"/>
  <c r="E383" i="107"/>
  <c r="F383" i="107"/>
  <c r="G383" i="107"/>
  <c r="H383" i="107"/>
  <c r="J383" i="107"/>
  <c r="K383" i="107"/>
  <c r="L383" i="107"/>
  <c r="I384" i="107"/>
  <c r="M384" i="107"/>
  <c r="I386" i="107"/>
  <c r="M386" i="107"/>
  <c r="I387" i="107"/>
  <c r="M387" i="107"/>
  <c r="I301" i="107"/>
  <c r="M301" i="107"/>
  <c r="I302" i="107"/>
  <c r="M302" i="107"/>
  <c r="I303" i="107"/>
  <c r="M303" i="107"/>
  <c r="I304" i="107"/>
  <c r="M304" i="107"/>
  <c r="I305" i="107"/>
  <c r="M305" i="107"/>
  <c r="I306" i="107"/>
  <c r="M306" i="107"/>
  <c r="E307" i="107"/>
  <c r="F307" i="107"/>
  <c r="G307" i="107"/>
  <c r="H307" i="107"/>
  <c r="J307" i="107"/>
  <c r="K307" i="107"/>
  <c r="L307" i="107"/>
  <c r="I308" i="107"/>
  <c r="M308" i="107"/>
  <c r="E309" i="107"/>
  <c r="F309" i="107"/>
  <c r="G309" i="107"/>
  <c r="H309" i="107"/>
  <c r="J309" i="107"/>
  <c r="K309" i="107"/>
  <c r="L309" i="107"/>
  <c r="I310" i="107"/>
  <c r="M310" i="107"/>
  <c r="I311" i="107"/>
  <c r="M311" i="107"/>
  <c r="I312" i="107"/>
  <c r="M312" i="107"/>
  <c r="I313" i="107"/>
  <c r="M313" i="107"/>
  <c r="I314" i="107"/>
  <c r="M314" i="107"/>
  <c r="I315" i="107"/>
  <c r="M315" i="107"/>
  <c r="I316" i="107"/>
  <c r="M316" i="107"/>
  <c r="I317" i="107"/>
  <c r="M317" i="107"/>
  <c r="I319" i="107"/>
  <c r="D319" i="107" s="1"/>
  <c r="I320" i="107"/>
  <c r="M320" i="107"/>
  <c r="I321" i="107"/>
  <c r="M321" i="107"/>
  <c r="I322" i="107"/>
  <c r="M322" i="107"/>
  <c r="I323" i="107"/>
  <c r="M323" i="107"/>
  <c r="I324" i="107"/>
  <c r="M324" i="107"/>
  <c r="I325" i="107"/>
  <c r="M325" i="107"/>
  <c r="E326" i="107"/>
  <c r="F326" i="107"/>
  <c r="G326" i="107"/>
  <c r="H326" i="107"/>
  <c r="J326" i="107"/>
  <c r="K326" i="107"/>
  <c r="L326" i="107"/>
  <c r="I327" i="107"/>
  <c r="M327" i="107"/>
  <c r="I328" i="107"/>
  <c r="M328" i="107"/>
  <c r="I329" i="107"/>
  <c r="M329" i="107"/>
  <c r="I330" i="107"/>
  <c r="M330" i="107"/>
  <c r="I331" i="107"/>
  <c r="M331" i="107"/>
  <c r="I332" i="107"/>
  <c r="M332" i="107"/>
  <c r="E333" i="107"/>
  <c r="F333" i="107"/>
  <c r="G333" i="107"/>
  <c r="H333" i="107"/>
  <c r="J333" i="107"/>
  <c r="K333" i="107"/>
  <c r="L333" i="107"/>
  <c r="I334" i="107"/>
  <c r="M334" i="107"/>
  <c r="I336" i="107"/>
  <c r="M336" i="107"/>
  <c r="I337" i="107"/>
  <c r="M337" i="107"/>
  <c r="I253" i="107"/>
  <c r="M253" i="107"/>
  <c r="I254" i="107"/>
  <c r="M254" i="107"/>
  <c r="I255" i="107"/>
  <c r="M255" i="107"/>
  <c r="I256" i="107"/>
  <c r="M256" i="107"/>
  <c r="I257" i="107"/>
  <c r="M257" i="107"/>
  <c r="I258" i="107"/>
  <c r="M258" i="107"/>
  <c r="E259" i="107"/>
  <c r="F259" i="107"/>
  <c r="G259" i="107"/>
  <c r="H259" i="107"/>
  <c r="H270" i="107" s="1"/>
  <c r="J259" i="107"/>
  <c r="K259" i="107"/>
  <c r="L259" i="107"/>
  <c r="I260" i="107"/>
  <c r="M260" i="107"/>
  <c r="E261" i="107"/>
  <c r="F261" i="107"/>
  <c r="G261" i="107"/>
  <c r="J261" i="107"/>
  <c r="K261" i="107"/>
  <c r="K270" i="107" s="1"/>
  <c r="L261" i="107"/>
  <c r="I262" i="107"/>
  <c r="M262" i="107"/>
  <c r="I263" i="107"/>
  <c r="M263" i="107"/>
  <c r="I264" i="107"/>
  <c r="M264" i="107"/>
  <c r="I265" i="107"/>
  <c r="M265" i="107"/>
  <c r="I266" i="107"/>
  <c r="M266" i="107"/>
  <c r="I267" i="107"/>
  <c r="M267" i="107"/>
  <c r="I268" i="107"/>
  <c r="M268" i="107"/>
  <c r="I269" i="107"/>
  <c r="M269" i="107"/>
  <c r="I271" i="107"/>
  <c r="D271" i="107" s="1"/>
  <c r="I272" i="107"/>
  <c r="M272" i="107"/>
  <c r="I273" i="107"/>
  <c r="M273" i="107"/>
  <c r="I274" i="107"/>
  <c r="M274" i="107"/>
  <c r="I275" i="107"/>
  <c r="M275" i="107"/>
  <c r="I276" i="107"/>
  <c r="M276" i="107"/>
  <c r="I277" i="107"/>
  <c r="M277" i="107"/>
  <c r="E278" i="107"/>
  <c r="F278" i="107"/>
  <c r="G278" i="107"/>
  <c r="H278" i="107"/>
  <c r="J278" i="107"/>
  <c r="K278" i="107"/>
  <c r="L278" i="107"/>
  <c r="I279" i="107"/>
  <c r="M279" i="107"/>
  <c r="I280" i="107"/>
  <c r="M280" i="107"/>
  <c r="I281" i="107"/>
  <c r="M281" i="107"/>
  <c r="E282" i="107"/>
  <c r="I282" i="107"/>
  <c r="M282" i="107"/>
  <c r="I283" i="107"/>
  <c r="M283" i="107"/>
  <c r="E284" i="107"/>
  <c r="I284" i="107"/>
  <c r="M284" i="107"/>
  <c r="F285" i="107"/>
  <c r="G285" i="107"/>
  <c r="H285" i="107"/>
  <c r="J285" i="107"/>
  <c r="K285" i="107"/>
  <c r="L285" i="107"/>
  <c r="I286" i="107"/>
  <c r="M286" i="107"/>
  <c r="I288" i="107"/>
  <c r="M288" i="107"/>
  <c r="I289" i="107"/>
  <c r="M289" i="107"/>
  <c r="I203" i="107"/>
  <c r="M203" i="107"/>
  <c r="I204" i="107"/>
  <c r="M204" i="107"/>
  <c r="I205" i="107"/>
  <c r="M205" i="107"/>
  <c r="I206" i="107"/>
  <c r="M206" i="107"/>
  <c r="I207" i="107"/>
  <c r="M207" i="107"/>
  <c r="I208" i="107"/>
  <c r="M208" i="107"/>
  <c r="E209" i="107"/>
  <c r="F209" i="107"/>
  <c r="G209" i="107"/>
  <c r="H209" i="107"/>
  <c r="J209" i="107"/>
  <c r="K209" i="107"/>
  <c r="L209" i="107"/>
  <c r="I210" i="107"/>
  <c r="M210" i="107"/>
  <c r="E211" i="107"/>
  <c r="F211" i="107"/>
  <c r="G211" i="107"/>
  <c r="H211" i="107"/>
  <c r="J211" i="107"/>
  <c r="K211" i="107"/>
  <c r="L211" i="107"/>
  <c r="I212" i="107"/>
  <c r="M212" i="107"/>
  <c r="I213" i="107"/>
  <c r="M213" i="107"/>
  <c r="I214" i="107"/>
  <c r="M214" i="107"/>
  <c r="I215" i="107"/>
  <c r="M215" i="107"/>
  <c r="I216" i="107"/>
  <c r="M216" i="107"/>
  <c r="I219" i="107"/>
  <c r="M219" i="107"/>
  <c r="I220" i="107"/>
  <c r="M220" i="107"/>
  <c r="I221" i="107"/>
  <c r="M221" i="107"/>
  <c r="I223" i="107"/>
  <c r="D223" i="107" s="1"/>
  <c r="I224" i="107"/>
  <c r="M224" i="107"/>
  <c r="I225" i="107"/>
  <c r="M225" i="107"/>
  <c r="I226" i="107"/>
  <c r="M226" i="107"/>
  <c r="I227" i="107"/>
  <c r="M227" i="107"/>
  <c r="I228" i="107"/>
  <c r="M228" i="107"/>
  <c r="I229" i="107"/>
  <c r="M229" i="107"/>
  <c r="E230" i="107"/>
  <c r="F230" i="107"/>
  <c r="G230" i="107"/>
  <c r="H230" i="107"/>
  <c r="J230" i="107"/>
  <c r="K230" i="107"/>
  <c r="L230" i="107"/>
  <c r="I231" i="107"/>
  <c r="M231" i="107"/>
  <c r="I232" i="107"/>
  <c r="M232" i="107"/>
  <c r="I233" i="107"/>
  <c r="M233" i="107"/>
  <c r="I234" i="107"/>
  <c r="M234" i="107"/>
  <c r="I235" i="107"/>
  <c r="M235" i="107"/>
  <c r="I236" i="107"/>
  <c r="M236" i="107"/>
  <c r="E237" i="107"/>
  <c r="F237" i="107"/>
  <c r="G237" i="107"/>
  <c r="H237" i="107"/>
  <c r="J237" i="107"/>
  <c r="K237" i="107"/>
  <c r="L237" i="107"/>
  <c r="I238" i="107"/>
  <c r="M238" i="107"/>
  <c r="I240" i="107"/>
  <c r="M240" i="107"/>
  <c r="I241" i="107"/>
  <c r="M241" i="107"/>
  <c r="I156" i="107"/>
  <c r="M156" i="107"/>
  <c r="I157" i="107"/>
  <c r="M157" i="107"/>
  <c r="I158" i="107"/>
  <c r="M158" i="107"/>
  <c r="I159" i="107"/>
  <c r="M159" i="107"/>
  <c r="I160" i="107"/>
  <c r="M160" i="107"/>
  <c r="I161" i="107"/>
  <c r="M161" i="107"/>
  <c r="E162" i="107"/>
  <c r="F162" i="107"/>
  <c r="G162" i="107"/>
  <c r="H162" i="107"/>
  <c r="J162" i="107"/>
  <c r="K162" i="107"/>
  <c r="L162" i="107"/>
  <c r="I163" i="107"/>
  <c r="M163" i="107"/>
  <c r="E164" i="107"/>
  <c r="F164" i="107"/>
  <c r="G164" i="107"/>
  <c r="H164" i="107"/>
  <c r="J164" i="107"/>
  <c r="J173" i="107" s="1"/>
  <c r="K164" i="107"/>
  <c r="L164" i="107"/>
  <c r="L173" i="107" s="1"/>
  <c r="I165" i="107"/>
  <c r="M165" i="107"/>
  <c r="I166" i="107"/>
  <c r="M166" i="107"/>
  <c r="I167" i="107"/>
  <c r="M167" i="107"/>
  <c r="I168" i="107"/>
  <c r="M168" i="107"/>
  <c r="I169" i="107"/>
  <c r="M169" i="107"/>
  <c r="I170" i="107"/>
  <c r="M170" i="107"/>
  <c r="I171" i="107"/>
  <c r="M171" i="107"/>
  <c r="I172" i="107"/>
  <c r="M172" i="107"/>
  <c r="I174" i="107"/>
  <c r="D174" i="107" s="1"/>
  <c r="I175" i="107"/>
  <c r="M175" i="107"/>
  <c r="I176" i="107"/>
  <c r="M176" i="107"/>
  <c r="I177" i="107"/>
  <c r="M177" i="107"/>
  <c r="I178" i="107"/>
  <c r="M178" i="107"/>
  <c r="I179" i="107"/>
  <c r="M179" i="107"/>
  <c r="I180" i="107"/>
  <c r="M180" i="107"/>
  <c r="E181" i="107"/>
  <c r="F181" i="107"/>
  <c r="G181" i="107"/>
  <c r="H181" i="107"/>
  <c r="J181" i="107"/>
  <c r="K181" i="107"/>
  <c r="L181" i="107"/>
  <c r="I182" i="107"/>
  <c r="M182" i="107"/>
  <c r="I183" i="107"/>
  <c r="M183" i="107"/>
  <c r="I184" i="107"/>
  <c r="M184" i="107"/>
  <c r="I185" i="107"/>
  <c r="M185" i="107"/>
  <c r="I186" i="107"/>
  <c r="M186" i="107"/>
  <c r="I187" i="107"/>
  <c r="M187" i="107"/>
  <c r="E188" i="107"/>
  <c r="F188" i="107"/>
  <c r="G188" i="107"/>
  <c r="H188" i="107"/>
  <c r="J188" i="107"/>
  <c r="K188" i="107"/>
  <c r="L188" i="107"/>
  <c r="I189" i="107"/>
  <c r="M189" i="107"/>
  <c r="I191" i="107"/>
  <c r="M191" i="107"/>
  <c r="I192" i="107"/>
  <c r="M192" i="107"/>
  <c r="I108" i="107"/>
  <c r="M108" i="107"/>
  <c r="I109" i="107"/>
  <c r="M109" i="107"/>
  <c r="I110" i="107"/>
  <c r="M110" i="107"/>
  <c r="I111" i="107"/>
  <c r="M111" i="107"/>
  <c r="I112" i="107"/>
  <c r="M112" i="107"/>
  <c r="I113" i="107"/>
  <c r="M113" i="107"/>
  <c r="E114" i="107"/>
  <c r="F114" i="107"/>
  <c r="G114" i="107"/>
  <c r="H114" i="107"/>
  <c r="J114" i="107"/>
  <c r="K114" i="107"/>
  <c r="L114" i="107"/>
  <c r="I115" i="107"/>
  <c r="M115" i="107"/>
  <c r="E116" i="107"/>
  <c r="F116" i="107"/>
  <c r="G116" i="107"/>
  <c r="J116" i="107"/>
  <c r="K116" i="107"/>
  <c r="L116" i="107"/>
  <c r="H117" i="107"/>
  <c r="H116" i="107" s="1"/>
  <c r="M117" i="107"/>
  <c r="I118" i="107"/>
  <c r="M118" i="107"/>
  <c r="I119" i="107"/>
  <c r="M119" i="107"/>
  <c r="I120" i="107"/>
  <c r="M120" i="107"/>
  <c r="I121" i="107"/>
  <c r="M121" i="107"/>
  <c r="I122" i="107"/>
  <c r="M122" i="107"/>
  <c r="I123" i="107"/>
  <c r="M123" i="107"/>
  <c r="I124" i="107"/>
  <c r="M124" i="107"/>
  <c r="I126" i="107"/>
  <c r="D126" i="107" s="1"/>
  <c r="I127" i="107"/>
  <c r="M127" i="107"/>
  <c r="I128" i="107"/>
  <c r="M128" i="107"/>
  <c r="I129" i="107"/>
  <c r="M129" i="107"/>
  <c r="I130" i="107"/>
  <c r="M130" i="107"/>
  <c r="I131" i="107"/>
  <c r="M131" i="107"/>
  <c r="I132" i="107"/>
  <c r="M132" i="107"/>
  <c r="E133" i="107"/>
  <c r="F133" i="107"/>
  <c r="G133" i="107"/>
  <c r="H133" i="107"/>
  <c r="J133" i="107"/>
  <c r="K133" i="107"/>
  <c r="L133" i="107"/>
  <c r="I134" i="107"/>
  <c r="M134" i="107"/>
  <c r="I135" i="107"/>
  <c r="M135" i="107"/>
  <c r="I136" i="107"/>
  <c r="M136" i="107"/>
  <c r="I137" i="107"/>
  <c r="M137" i="107"/>
  <c r="I138" i="107"/>
  <c r="M138" i="107"/>
  <c r="I139" i="107"/>
  <c r="M139" i="107"/>
  <c r="E140" i="107"/>
  <c r="F140" i="107"/>
  <c r="G140" i="107"/>
  <c r="H140" i="107"/>
  <c r="J140" i="107"/>
  <c r="K140" i="107"/>
  <c r="L140" i="107"/>
  <c r="I141" i="107"/>
  <c r="M141" i="107"/>
  <c r="I143" i="107"/>
  <c r="M143" i="107"/>
  <c r="I144" i="107"/>
  <c r="M144" i="107"/>
  <c r="I60" i="107"/>
  <c r="M60" i="107"/>
  <c r="I61" i="107"/>
  <c r="M61" i="107"/>
  <c r="I62" i="107"/>
  <c r="M62" i="107"/>
  <c r="I63" i="107"/>
  <c r="M63" i="107"/>
  <c r="I64" i="107"/>
  <c r="M64" i="107"/>
  <c r="I65" i="107"/>
  <c r="M65" i="107"/>
  <c r="E66" i="107"/>
  <c r="F66" i="107"/>
  <c r="G66" i="107"/>
  <c r="H66" i="107"/>
  <c r="J66" i="107"/>
  <c r="K66" i="107"/>
  <c r="L66" i="107"/>
  <c r="I67" i="107"/>
  <c r="M67" i="107"/>
  <c r="E68" i="107"/>
  <c r="E77" i="107" s="1"/>
  <c r="F68" i="107"/>
  <c r="G68" i="107"/>
  <c r="H68" i="107"/>
  <c r="J68" i="107"/>
  <c r="K68" i="107"/>
  <c r="L68" i="107"/>
  <c r="I69" i="107"/>
  <c r="M69" i="107"/>
  <c r="I70" i="107"/>
  <c r="M70" i="107"/>
  <c r="I71" i="107"/>
  <c r="M71" i="107"/>
  <c r="I72" i="107"/>
  <c r="M72" i="107"/>
  <c r="I73" i="107"/>
  <c r="M73" i="107"/>
  <c r="I74" i="107"/>
  <c r="M74" i="107"/>
  <c r="I75" i="107"/>
  <c r="M75" i="107"/>
  <c r="I76" i="107"/>
  <c r="M76" i="107"/>
  <c r="I78" i="107"/>
  <c r="D78" i="107" s="1"/>
  <c r="I79" i="107"/>
  <c r="M79" i="107"/>
  <c r="I80" i="107"/>
  <c r="M80" i="107"/>
  <c r="I81" i="107"/>
  <c r="M81" i="107"/>
  <c r="I82" i="107"/>
  <c r="M82" i="107"/>
  <c r="I83" i="107"/>
  <c r="M83" i="107"/>
  <c r="I84" i="107"/>
  <c r="M84" i="107"/>
  <c r="E85" i="107"/>
  <c r="F85" i="107"/>
  <c r="G85" i="107"/>
  <c r="H85" i="107"/>
  <c r="J85" i="107"/>
  <c r="K85" i="107"/>
  <c r="L85" i="107"/>
  <c r="I86" i="107"/>
  <c r="M86" i="107"/>
  <c r="I87" i="107"/>
  <c r="M87" i="107"/>
  <c r="I88" i="107"/>
  <c r="M88" i="107"/>
  <c r="I89" i="107"/>
  <c r="M89" i="107"/>
  <c r="I90" i="107"/>
  <c r="M90" i="107"/>
  <c r="I91" i="107"/>
  <c r="M91" i="107"/>
  <c r="E92" i="107"/>
  <c r="F92" i="107"/>
  <c r="G92" i="107"/>
  <c r="H92" i="107"/>
  <c r="J92" i="107"/>
  <c r="K92" i="107"/>
  <c r="L92" i="107"/>
  <c r="I93" i="107"/>
  <c r="M93" i="107"/>
  <c r="I95" i="107"/>
  <c r="M95" i="107"/>
  <c r="I96" i="107"/>
  <c r="M96" i="107"/>
  <c r="E11" i="107"/>
  <c r="F11" i="107"/>
  <c r="G11" i="107"/>
  <c r="H11" i="107"/>
  <c r="J11" i="107"/>
  <c r="K11" i="107"/>
  <c r="L11" i="107"/>
  <c r="E12" i="107"/>
  <c r="F12" i="107"/>
  <c r="G12" i="107"/>
  <c r="H12" i="107"/>
  <c r="J12" i="107"/>
  <c r="K12" i="107"/>
  <c r="L12" i="107"/>
  <c r="E13" i="107"/>
  <c r="F13" i="107"/>
  <c r="G13" i="107"/>
  <c r="H13" i="107"/>
  <c r="J13" i="107"/>
  <c r="K13" i="107"/>
  <c r="L13" i="107"/>
  <c r="E14" i="107"/>
  <c r="F14" i="107"/>
  <c r="G14" i="107"/>
  <c r="H14" i="107"/>
  <c r="J14" i="107"/>
  <c r="K14" i="107"/>
  <c r="L14" i="107"/>
  <c r="E15" i="107"/>
  <c r="F15" i="107"/>
  <c r="G15" i="107"/>
  <c r="H15" i="107"/>
  <c r="J15" i="107"/>
  <c r="K15" i="107"/>
  <c r="L15" i="107"/>
  <c r="E16" i="107"/>
  <c r="F16" i="107"/>
  <c r="G16" i="107"/>
  <c r="H16" i="107"/>
  <c r="J16" i="107"/>
  <c r="K16" i="107"/>
  <c r="L16" i="107"/>
  <c r="E18" i="107"/>
  <c r="F18" i="107"/>
  <c r="G18" i="107"/>
  <c r="H18" i="107"/>
  <c r="J18" i="107"/>
  <c r="K18" i="107"/>
  <c r="L18" i="107"/>
  <c r="E20" i="107"/>
  <c r="F20" i="107"/>
  <c r="G20" i="107"/>
  <c r="H20" i="107"/>
  <c r="J20" i="107"/>
  <c r="K20" i="107"/>
  <c r="L20" i="107"/>
  <c r="E21" i="107"/>
  <c r="F21" i="107"/>
  <c r="G21" i="107"/>
  <c r="H21" i="107"/>
  <c r="J21" i="107"/>
  <c r="K21" i="107"/>
  <c r="L21" i="107"/>
  <c r="E22" i="107"/>
  <c r="F22" i="107"/>
  <c r="G22" i="107"/>
  <c r="H22" i="107"/>
  <c r="J22" i="107"/>
  <c r="K22" i="107"/>
  <c r="L22" i="107"/>
  <c r="E23" i="107"/>
  <c r="F23" i="107"/>
  <c r="G23" i="107"/>
  <c r="H23" i="107"/>
  <c r="J23" i="107"/>
  <c r="K23" i="107"/>
  <c r="L23" i="107"/>
  <c r="F24" i="107"/>
  <c r="G24" i="107"/>
  <c r="J24" i="107"/>
  <c r="K24" i="107"/>
  <c r="L24" i="107"/>
  <c r="E25" i="107"/>
  <c r="F25" i="107"/>
  <c r="G25" i="107"/>
  <c r="H25" i="107"/>
  <c r="J25" i="107"/>
  <c r="K25" i="107"/>
  <c r="L25" i="107"/>
  <c r="E26" i="107"/>
  <c r="F26" i="107"/>
  <c r="G26" i="107"/>
  <c r="H26" i="107"/>
  <c r="J26" i="107"/>
  <c r="K26" i="107"/>
  <c r="L26" i="107"/>
  <c r="E27" i="107"/>
  <c r="F27" i="107"/>
  <c r="G27" i="107"/>
  <c r="H27" i="107"/>
  <c r="J27" i="107"/>
  <c r="K27" i="107"/>
  <c r="L27" i="107"/>
  <c r="E29" i="107"/>
  <c r="F29" i="107"/>
  <c r="G29" i="107"/>
  <c r="H29" i="107"/>
  <c r="J29" i="107"/>
  <c r="K29" i="107"/>
  <c r="L29" i="107"/>
  <c r="M29" i="107"/>
  <c r="E30" i="107"/>
  <c r="F30" i="107"/>
  <c r="G30" i="107"/>
  <c r="H30" i="107"/>
  <c r="J30" i="107"/>
  <c r="K30" i="107"/>
  <c r="L30" i="107"/>
  <c r="E31" i="107"/>
  <c r="F31" i="107"/>
  <c r="G31" i="107"/>
  <c r="H31" i="107"/>
  <c r="J31" i="107"/>
  <c r="K31" i="107"/>
  <c r="L31" i="107"/>
  <c r="E32" i="107"/>
  <c r="F32" i="107"/>
  <c r="G32" i="107"/>
  <c r="H32" i="107"/>
  <c r="J32" i="107"/>
  <c r="K32" i="107"/>
  <c r="L32" i="107"/>
  <c r="E33" i="107"/>
  <c r="F33" i="107"/>
  <c r="G33" i="107"/>
  <c r="H33" i="107"/>
  <c r="J33" i="107"/>
  <c r="K33" i="107"/>
  <c r="L33" i="107"/>
  <c r="E34" i="107"/>
  <c r="F34" i="107"/>
  <c r="G34" i="107"/>
  <c r="H34" i="107"/>
  <c r="J34" i="107"/>
  <c r="K34" i="107"/>
  <c r="L34" i="107"/>
  <c r="E35" i="107"/>
  <c r="F35" i="107"/>
  <c r="G35" i="107"/>
  <c r="H35" i="107"/>
  <c r="J35" i="107"/>
  <c r="K35" i="107"/>
  <c r="L35" i="107"/>
  <c r="E37" i="107"/>
  <c r="F37" i="107"/>
  <c r="G37" i="107"/>
  <c r="H37" i="107"/>
  <c r="J37" i="107"/>
  <c r="K37" i="107"/>
  <c r="L37" i="107"/>
  <c r="E38" i="107"/>
  <c r="F38" i="107"/>
  <c r="G38" i="107"/>
  <c r="H38" i="107"/>
  <c r="J38" i="107"/>
  <c r="K38" i="107"/>
  <c r="L38" i="107"/>
  <c r="E39" i="107"/>
  <c r="F39" i="107"/>
  <c r="G39" i="107"/>
  <c r="H39" i="107"/>
  <c r="J39" i="107"/>
  <c r="K39" i="107"/>
  <c r="L39" i="107"/>
  <c r="E40" i="107"/>
  <c r="F40" i="107"/>
  <c r="H40" i="107"/>
  <c r="J40" i="107"/>
  <c r="K40" i="107"/>
  <c r="L40" i="107"/>
  <c r="E41" i="107"/>
  <c r="F41" i="107"/>
  <c r="G41" i="107"/>
  <c r="H41" i="107"/>
  <c r="J41" i="107"/>
  <c r="K41" i="107"/>
  <c r="L41" i="107"/>
  <c r="F42" i="107"/>
  <c r="G42" i="107"/>
  <c r="H42" i="107"/>
  <c r="J42" i="107"/>
  <c r="K42" i="107"/>
  <c r="L42" i="107"/>
  <c r="E44" i="107"/>
  <c r="F44" i="107"/>
  <c r="G44" i="107"/>
  <c r="H44" i="107"/>
  <c r="J44" i="107"/>
  <c r="K44" i="107"/>
  <c r="L44" i="107"/>
  <c r="E46" i="107"/>
  <c r="F46" i="107"/>
  <c r="G46" i="107"/>
  <c r="H46" i="107"/>
  <c r="J46" i="107"/>
  <c r="K46" i="107"/>
  <c r="L46" i="107"/>
  <c r="E47" i="107"/>
  <c r="F47" i="107"/>
  <c r="G47" i="107"/>
  <c r="H47" i="107"/>
  <c r="J47" i="107"/>
  <c r="K47" i="107"/>
  <c r="L47" i="107"/>
  <c r="I785" i="108"/>
  <c r="M785" i="108"/>
  <c r="I786" i="108"/>
  <c r="M786" i="108"/>
  <c r="I787" i="108"/>
  <c r="M787" i="108"/>
  <c r="I788" i="108"/>
  <c r="M788" i="108"/>
  <c r="I789" i="108"/>
  <c r="M789" i="108"/>
  <c r="I790" i="108"/>
  <c r="M790" i="108"/>
  <c r="E791" i="108"/>
  <c r="F791" i="108"/>
  <c r="G791" i="108"/>
  <c r="H791" i="108"/>
  <c r="J791" i="108"/>
  <c r="K791" i="108"/>
  <c r="L791" i="108"/>
  <c r="I792" i="108"/>
  <c r="M792" i="108"/>
  <c r="E793" i="108"/>
  <c r="F793" i="108"/>
  <c r="G793" i="108"/>
  <c r="H793" i="108"/>
  <c r="J793" i="108"/>
  <c r="K793" i="108"/>
  <c r="L793" i="108"/>
  <c r="I794" i="108"/>
  <c r="M794" i="108"/>
  <c r="I795" i="108"/>
  <c r="M795" i="108"/>
  <c r="I796" i="108"/>
  <c r="M796" i="108"/>
  <c r="I797" i="108"/>
  <c r="M797" i="108"/>
  <c r="I798" i="108"/>
  <c r="M798" i="108"/>
  <c r="I799" i="108"/>
  <c r="M799" i="108"/>
  <c r="I800" i="108"/>
  <c r="M800" i="108"/>
  <c r="I801" i="108"/>
  <c r="M801" i="108"/>
  <c r="I803" i="108"/>
  <c r="D803" i="108" s="1"/>
  <c r="I804" i="108"/>
  <c r="M804" i="108"/>
  <c r="I805" i="108"/>
  <c r="M805" i="108"/>
  <c r="I806" i="108"/>
  <c r="M806" i="108"/>
  <c r="I807" i="108"/>
  <c r="M807" i="108"/>
  <c r="I808" i="108"/>
  <c r="M808" i="108"/>
  <c r="I809" i="108"/>
  <c r="M809" i="108"/>
  <c r="E810" i="108"/>
  <c r="F810" i="108"/>
  <c r="G810" i="108"/>
  <c r="H810" i="108"/>
  <c r="J810" i="108"/>
  <c r="K810" i="108"/>
  <c r="L810" i="108"/>
  <c r="I811" i="108"/>
  <c r="M811" i="108"/>
  <c r="I812" i="108"/>
  <c r="M812" i="108"/>
  <c r="I813" i="108"/>
  <c r="M813" i="108"/>
  <c r="I814" i="108"/>
  <c r="M814" i="108"/>
  <c r="I815" i="108"/>
  <c r="M815" i="108"/>
  <c r="I816" i="108"/>
  <c r="M816" i="108"/>
  <c r="E817" i="108"/>
  <c r="F817" i="108"/>
  <c r="G817" i="108"/>
  <c r="H817" i="108"/>
  <c r="J817" i="108"/>
  <c r="K817" i="108"/>
  <c r="L817" i="108"/>
  <c r="I818" i="108"/>
  <c r="M818" i="108"/>
  <c r="I820" i="108"/>
  <c r="M820" i="108"/>
  <c r="I821" i="108"/>
  <c r="M821" i="108"/>
  <c r="I641" i="108"/>
  <c r="M641" i="108"/>
  <c r="I642" i="108"/>
  <c r="M642" i="108"/>
  <c r="I643" i="108"/>
  <c r="M643" i="108"/>
  <c r="I644" i="108"/>
  <c r="M644" i="108"/>
  <c r="I645" i="108"/>
  <c r="M645" i="108"/>
  <c r="I646" i="108"/>
  <c r="M646" i="108"/>
  <c r="E647" i="108"/>
  <c r="F647" i="108"/>
  <c r="G647" i="108"/>
  <c r="H647" i="108"/>
  <c r="J647" i="108"/>
  <c r="K647" i="108"/>
  <c r="L647" i="108"/>
  <c r="I648" i="108"/>
  <c r="M648" i="108"/>
  <c r="E649" i="108"/>
  <c r="E658" i="108" s="1"/>
  <c r="F649" i="108"/>
  <c r="G649" i="108"/>
  <c r="H649" i="108"/>
  <c r="J649" i="108"/>
  <c r="K649" i="108"/>
  <c r="L649" i="108"/>
  <c r="I650" i="108"/>
  <c r="M650" i="108"/>
  <c r="I651" i="108"/>
  <c r="M651" i="108"/>
  <c r="I652" i="108"/>
  <c r="M652" i="108"/>
  <c r="I653" i="108"/>
  <c r="M653" i="108"/>
  <c r="I654" i="108"/>
  <c r="M654" i="108"/>
  <c r="I655" i="108"/>
  <c r="M655" i="108"/>
  <c r="I656" i="108"/>
  <c r="M656" i="108"/>
  <c r="I657" i="108"/>
  <c r="M657" i="108"/>
  <c r="I659" i="108"/>
  <c r="D659" i="108" s="1"/>
  <c r="I660" i="108"/>
  <c r="M660" i="108"/>
  <c r="I661" i="108"/>
  <c r="M661" i="108"/>
  <c r="I662" i="108"/>
  <c r="M662" i="108"/>
  <c r="I663" i="108"/>
  <c r="M663" i="108"/>
  <c r="I664" i="108"/>
  <c r="M664" i="108"/>
  <c r="I665" i="108"/>
  <c r="M665" i="108"/>
  <c r="E666" i="108"/>
  <c r="F666" i="108"/>
  <c r="G666" i="108"/>
  <c r="H666" i="108"/>
  <c r="J666" i="108"/>
  <c r="K666" i="108"/>
  <c r="L666" i="108"/>
  <c r="I667" i="108"/>
  <c r="M667" i="108"/>
  <c r="I668" i="108"/>
  <c r="M668" i="108"/>
  <c r="I669" i="108"/>
  <c r="M669" i="108"/>
  <c r="I670" i="108"/>
  <c r="M670" i="108"/>
  <c r="I671" i="108"/>
  <c r="M671" i="108"/>
  <c r="I672" i="108"/>
  <c r="M672" i="108"/>
  <c r="E673" i="108"/>
  <c r="F673" i="108"/>
  <c r="G673" i="108"/>
  <c r="H673" i="108"/>
  <c r="J673" i="108"/>
  <c r="K673" i="108"/>
  <c r="L673" i="108"/>
  <c r="I674" i="108"/>
  <c r="M674" i="108"/>
  <c r="I676" i="108"/>
  <c r="M676" i="108"/>
  <c r="I677" i="108"/>
  <c r="M677" i="108"/>
  <c r="I689" i="108"/>
  <c r="M689" i="108"/>
  <c r="I690" i="108"/>
  <c r="M690" i="108"/>
  <c r="I691" i="108"/>
  <c r="M691" i="108"/>
  <c r="I692" i="108"/>
  <c r="M692" i="108"/>
  <c r="I693" i="108"/>
  <c r="M693" i="108"/>
  <c r="I694" i="108"/>
  <c r="M694" i="108"/>
  <c r="E695" i="108"/>
  <c r="F695" i="108"/>
  <c r="G695" i="108"/>
  <c r="H695" i="108"/>
  <c r="J695" i="108"/>
  <c r="K695" i="108"/>
  <c r="L695" i="108"/>
  <c r="I696" i="108"/>
  <c r="M696" i="108"/>
  <c r="F697" i="108"/>
  <c r="G697" i="108"/>
  <c r="G706" i="108" s="1"/>
  <c r="H697" i="108"/>
  <c r="J697" i="108"/>
  <c r="K697" i="108"/>
  <c r="L697" i="108"/>
  <c r="E698" i="108"/>
  <c r="I698" i="108"/>
  <c r="M698" i="108"/>
  <c r="I699" i="108"/>
  <c r="M699" i="108"/>
  <c r="I700" i="108"/>
  <c r="M700" i="108"/>
  <c r="I701" i="108"/>
  <c r="M701" i="108"/>
  <c r="I702" i="108"/>
  <c r="M702" i="108"/>
  <c r="I703" i="108"/>
  <c r="M703" i="108"/>
  <c r="I704" i="108"/>
  <c r="M704" i="108"/>
  <c r="I705" i="108"/>
  <c r="M705" i="108"/>
  <c r="J706" i="108"/>
  <c r="I707" i="108"/>
  <c r="D707" i="108" s="1"/>
  <c r="I708" i="108"/>
  <c r="M708" i="108"/>
  <c r="I709" i="108"/>
  <c r="M709" i="108"/>
  <c r="I710" i="108"/>
  <c r="M710" i="108"/>
  <c r="I711" i="108"/>
  <c r="M711" i="108"/>
  <c r="I712" i="108"/>
  <c r="M712" i="108"/>
  <c r="I713" i="108"/>
  <c r="M713" i="108"/>
  <c r="E714" i="108"/>
  <c r="F714" i="108"/>
  <c r="G714" i="108"/>
  <c r="H714" i="108"/>
  <c r="J714" i="108"/>
  <c r="K714" i="108"/>
  <c r="L714" i="108"/>
  <c r="I715" i="108"/>
  <c r="M715" i="108"/>
  <c r="I716" i="108"/>
  <c r="M716" i="108"/>
  <c r="I717" i="108"/>
  <c r="M717" i="108"/>
  <c r="I718" i="108"/>
  <c r="M718" i="108"/>
  <c r="I719" i="108"/>
  <c r="M719" i="108"/>
  <c r="I720" i="108"/>
  <c r="M720" i="108"/>
  <c r="E721" i="108"/>
  <c r="F721" i="108"/>
  <c r="G721" i="108"/>
  <c r="H721" i="108"/>
  <c r="J721" i="108"/>
  <c r="K721" i="108"/>
  <c r="L721" i="108"/>
  <c r="I722" i="108"/>
  <c r="M722" i="108"/>
  <c r="I724" i="108"/>
  <c r="M724" i="108"/>
  <c r="I725" i="108"/>
  <c r="M725" i="108"/>
  <c r="I737" i="108"/>
  <c r="M737" i="108"/>
  <c r="I738" i="108"/>
  <c r="M738" i="108"/>
  <c r="I739" i="108"/>
  <c r="M739" i="108"/>
  <c r="I740" i="108"/>
  <c r="M740" i="108"/>
  <c r="I741" i="108"/>
  <c r="M741" i="108"/>
  <c r="I742" i="108"/>
  <c r="M742" i="108"/>
  <c r="E743" i="108"/>
  <c r="F743" i="108"/>
  <c r="G743" i="108"/>
  <c r="H743" i="108"/>
  <c r="J743" i="108"/>
  <c r="K743" i="108"/>
  <c r="L743" i="108"/>
  <c r="I744" i="108"/>
  <c r="M744" i="108"/>
  <c r="E745" i="108"/>
  <c r="F745" i="108"/>
  <c r="G745" i="108"/>
  <c r="H745" i="108"/>
  <c r="J745" i="108"/>
  <c r="K745" i="108"/>
  <c r="L745" i="108"/>
  <c r="I746" i="108"/>
  <c r="M746" i="108"/>
  <c r="I747" i="108"/>
  <c r="M747" i="108"/>
  <c r="I748" i="108"/>
  <c r="M748" i="108"/>
  <c r="I749" i="108"/>
  <c r="M749" i="108"/>
  <c r="I750" i="108"/>
  <c r="M750" i="108"/>
  <c r="I751" i="108"/>
  <c r="M751" i="108"/>
  <c r="I752" i="108"/>
  <c r="M752" i="108"/>
  <c r="I753" i="108"/>
  <c r="M753" i="108"/>
  <c r="I755" i="108"/>
  <c r="D755" i="108" s="1"/>
  <c r="I756" i="108"/>
  <c r="M756" i="108"/>
  <c r="I757" i="108"/>
  <c r="M757" i="108"/>
  <c r="I758" i="108"/>
  <c r="M758" i="108"/>
  <c r="I759" i="108"/>
  <c r="M759" i="108"/>
  <c r="I760" i="108"/>
  <c r="M760" i="108"/>
  <c r="I761" i="108"/>
  <c r="M761" i="108"/>
  <c r="E762" i="108"/>
  <c r="F762" i="108"/>
  <c r="G762" i="108"/>
  <c r="H762" i="108"/>
  <c r="J762" i="108"/>
  <c r="K762" i="108"/>
  <c r="L762" i="108"/>
  <c r="I763" i="108"/>
  <c r="M763" i="108"/>
  <c r="I764" i="108"/>
  <c r="M764" i="108"/>
  <c r="I765" i="108"/>
  <c r="M765" i="108"/>
  <c r="I766" i="108"/>
  <c r="M766" i="108"/>
  <c r="I767" i="108"/>
  <c r="M767" i="108"/>
  <c r="I768" i="108"/>
  <c r="M768" i="108"/>
  <c r="E769" i="108"/>
  <c r="F769" i="108"/>
  <c r="G769" i="108"/>
  <c r="H769" i="108"/>
  <c r="J769" i="108"/>
  <c r="K769" i="108"/>
  <c r="L769" i="108"/>
  <c r="I770" i="108"/>
  <c r="M770" i="108"/>
  <c r="I772" i="108"/>
  <c r="M772" i="108"/>
  <c r="I773" i="108"/>
  <c r="M773" i="108"/>
  <c r="I592" i="108"/>
  <c r="M592" i="108"/>
  <c r="I593" i="108"/>
  <c r="M593" i="108"/>
  <c r="I594" i="108"/>
  <c r="M594" i="108"/>
  <c r="I595" i="108"/>
  <c r="M595" i="108"/>
  <c r="I596" i="108"/>
  <c r="M596" i="108"/>
  <c r="I597" i="108"/>
  <c r="M597" i="108"/>
  <c r="E598" i="108"/>
  <c r="F598" i="108"/>
  <c r="G598" i="108"/>
  <c r="H598" i="108"/>
  <c r="J598" i="108"/>
  <c r="K598" i="108"/>
  <c r="L598" i="108"/>
  <c r="I599" i="108"/>
  <c r="M599" i="108"/>
  <c r="E600" i="108"/>
  <c r="E609" i="108" s="1"/>
  <c r="F600" i="108"/>
  <c r="G600" i="108"/>
  <c r="H600" i="108"/>
  <c r="J600" i="108"/>
  <c r="K600" i="108"/>
  <c r="L600" i="108"/>
  <c r="I601" i="108"/>
  <c r="M601" i="108"/>
  <c r="I602" i="108"/>
  <c r="M602" i="108"/>
  <c r="I603" i="108"/>
  <c r="M603" i="108"/>
  <c r="I604" i="108"/>
  <c r="M604" i="108"/>
  <c r="I605" i="108"/>
  <c r="M605" i="108"/>
  <c r="I606" i="108"/>
  <c r="M606" i="108"/>
  <c r="I607" i="108"/>
  <c r="M607" i="108"/>
  <c r="I608" i="108"/>
  <c r="M608" i="108"/>
  <c r="I610" i="108"/>
  <c r="D610" i="108" s="1"/>
  <c r="I611" i="108"/>
  <c r="M611" i="108"/>
  <c r="I612" i="108"/>
  <c r="M612" i="108"/>
  <c r="I613" i="108"/>
  <c r="M613" i="108"/>
  <c r="I614" i="108"/>
  <c r="M614" i="108"/>
  <c r="I615" i="108"/>
  <c r="M615" i="108"/>
  <c r="I616" i="108"/>
  <c r="M616" i="108"/>
  <c r="E617" i="108"/>
  <c r="F617" i="108"/>
  <c r="G617" i="108"/>
  <c r="H617" i="108"/>
  <c r="J617" i="108"/>
  <c r="K617" i="108"/>
  <c r="L617" i="108"/>
  <c r="I618" i="108"/>
  <c r="M618" i="108"/>
  <c r="I619" i="108"/>
  <c r="M619" i="108"/>
  <c r="I620" i="108"/>
  <c r="M620" i="108"/>
  <c r="F621" i="108"/>
  <c r="G621" i="108"/>
  <c r="G624" i="108" s="1"/>
  <c r="M621" i="108"/>
  <c r="I622" i="108"/>
  <c r="M622" i="108"/>
  <c r="I623" i="108"/>
  <c r="M623" i="108"/>
  <c r="E624" i="108"/>
  <c r="F624" i="108"/>
  <c r="H624" i="108"/>
  <c r="J624" i="108"/>
  <c r="K624" i="108"/>
  <c r="L624" i="108"/>
  <c r="I625" i="108"/>
  <c r="M625" i="108"/>
  <c r="I627" i="108"/>
  <c r="M627" i="108"/>
  <c r="I628" i="108"/>
  <c r="M628" i="108"/>
  <c r="I544" i="108"/>
  <c r="M544" i="108"/>
  <c r="I545" i="108"/>
  <c r="M545" i="108"/>
  <c r="I546" i="108"/>
  <c r="M546" i="108"/>
  <c r="I547" i="108"/>
  <c r="M547" i="108"/>
  <c r="I548" i="108"/>
  <c r="M548" i="108"/>
  <c r="I549" i="108"/>
  <c r="M549" i="108"/>
  <c r="E550" i="108"/>
  <c r="F550" i="108"/>
  <c r="G550" i="108"/>
  <c r="H550" i="108"/>
  <c r="J550" i="108"/>
  <c r="K550" i="108"/>
  <c r="L550" i="108"/>
  <c r="I551" i="108"/>
  <c r="M551" i="108"/>
  <c r="E552" i="108"/>
  <c r="F552" i="108"/>
  <c r="G552" i="108"/>
  <c r="H552" i="108"/>
  <c r="J552" i="108"/>
  <c r="K552" i="108"/>
  <c r="L552" i="108"/>
  <c r="I553" i="108"/>
  <c r="M553" i="108"/>
  <c r="I554" i="108"/>
  <c r="M554" i="108"/>
  <c r="I555" i="108"/>
  <c r="M555" i="108"/>
  <c r="I556" i="108"/>
  <c r="M556" i="108"/>
  <c r="I557" i="108"/>
  <c r="M557" i="108"/>
  <c r="I558" i="108"/>
  <c r="M558" i="108"/>
  <c r="I559" i="108"/>
  <c r="M559" i="108"/>
  <c r="I560" i="108"/>
  <c r="M560" i="108"/>
  <c r="I562" i="108"/>
  <c r="I563" i="108"/>
  <c r="M563" i="108"/>
  <c r="I564" i="108"/>
  <c r="M564" i="108"/>
  <c r="I565" i="108"/>
  <c r="M565" i="108"/>
  <c r="I566" i="108"/>
  <c r="M566" i="108"/>
  <c r="I567" i="108"/>
  <c r="M567" i="108"/>
  <c r="I568" i="108"/>
  <c r="M568" i="108"/>
  <c r="E569" i="108"/>
  <c r="F569" i="108"/>
  <c r="G569" i="108"/>
  <c r="H569" i="108"/>
  <c r="J569" i="108"/>
  <c r="K569" i="108"/>
  <c r="L569" i="108"/>
  <c r="I570" i="108"/>
  <c r="M570" i="108"/>
  <c r="I571" i="108"/>
  <c r="M571" i="108"/>
  <c r="I572" i="108"/>
  <c r="M572" i="108"/>
  <c r="E573" i="108"/>
  <c r="G573" i="108"/>
  <c r="I573" i="108" s="1"/>
  <c r="M573" i="108"/>
  <c r="I574" i="108"/>
  <c r="M574" i="108"/>
  <c r="I575" i="108"/>
  <c r="M575" i="108"/>
  <c r="F576" i="108"/>
  <c r="H576" i="108"/>
  <c r="J576" i="108"/>
  <c r="K576" i="108"/>
  <c r="L576" i="108"/>
  <c r="I577" i="108"/>
  <c r="M577" i="108"/>
  <c r="I579" i="108"/>
  <c r="M579" i="108"/>
  <c r="I580" i="108"/>
  <c r="M580" i="108"/>
  <c r="I301" i="108"/>
  <c r="M301" i="108"/>
  <c r="I302" i="108"/>
  <c r="M302" i="108"/>
  <c r="I303" i="108"/>
  <c r="M303" i="108"/>
  <c r="I304" i="108"/>
  <c r="M304" i="108"/>
  <c r="I305" i="108"/>
  <c r="M305" i="108"/>
  <c r="I306" i="108"/>
  <c r="M306" i="108"/>
  <c r="E307" i="108"/>
  <c r="F307" i="108"/>
  <c r="G307" i="108"/>
  <c r="H307" i="108"/>
  <c r="J307" i="108"/>
  <c r="K307" i="108"/>
  <c r="L307" i="108"/>
  <c r="I308" i="108"/>
  <c r="M308" i="108"/>
  <c r="E309" i="108"/>
  <c r="F309" i="108"/>
  <c r="G309" i="108"/>
  <c r="H309" i="108"/>
  <c r="J309" i="108"/>
  <c r="K309" i="108"/>
  <c r="L309" i="108"/>
  <c r="I310" i="108"/>
  <c r="M310" i="108"/>
  <c r="I311" i="108"/>
  <c r="M311" i="108"/>
  <c r="I312" i="108"/>
  <c r="M312" i="108"/>
  <c r="I313" i="108"/>
  <c r="M313" i="108"/>
  <c r="I314" i="108"/>
  <c r="M314" i="108"/>
  <c r="I315" i="108"/>
  <c r="M315" i="108"/>
  <c r="I316" i="108"/>
  <c r="M316" i="108"/>
  <c r="I317" i="108"/>
  <c r="M317" i="108"/>
  <c r="I319" i="108"/>
  <c r="D319" i="108" s="1"/>
  <c r="I320" i="108"/>
  <c r="M320" i="108"/>
  <c r="I321" i="108"/>
  <c r="M321" i="108"/>
  <c r="I322" i="108"/>
  <c r="M322" i="108"/>
  <c r="I323" i="108"/>
  <c r="M323" i="108"/>
  <c r="I324" i="108"/>
  <c r="M324" i="108"/>
  <c r="I325" i="108"/>
  <c r="M325" i="108"/>
  <c r="E326" i="108"/>
  <c r="F326" i="108"/>
  <c r="G326" i="108"/>
  <c r="H326" i="108"/>
  <c r="J326" i="108"/>
  <c r="K326" i="108"/>
  <c r="L326" i="108"/>
  <c r="I327" i="108"/>
  <c r="M327" i="108"/>
  <c r="I328" i="108"/>
  <c r="M328" i="108"/>
  <c r="I329" i="108"/>
  <c r="M329" i="108"/>
  <c r="I330" i="108"/>
  <c r="M330" i="108"/>
  <c r="I331" i="108"/>
  <c r="M331" i="108"/>
  <c r="I332" i="108"/>
  <c r="M332" i="108"/>
  <c r="E333" i="108"/>
  <c r="F333" i="108"/>
  <c r="G333" i="108"/>
  <c r="H333" i="108"/>
  <c r="J333" i="108"/>
  <c r="K333" i="108"/>
  <c r="L333" i="108"/>
  <c r="I334" i="108"/>
  <c r="M334" i="108"/>
  <c r="I336" i="108"/>
  <c r="M336" i="108"/>
  <c r="I337" i="108"/>
  <c r="M337" i="108"/>
  <c r="I349" i="108"/>
  <c r="M349" i="108"/>
  <c r="I350" i="108"/>
  <c r="M350" i="108"/>
  <c r="I351" i="108"/>
  <c r="M351" i="108"/>
  <c r="I352" i="108"/>
  <c r="M352" i="108"/>
  <c r="I353" i="108"/>
  <c r="M353" i="108"/>
  <c r="I354" i="108"/>
  <c r="M354" i="108"/>
  <c r="E355" i="108"/>
  <c r="F355" i="108"/>
  <c r="G355" i="108"/>
  <c r="H355" i="108"/>
  <c r="J355" i="108"/>
  <c r="K355" i="108"/>
  <c r="L355" i="108"/>
  <c r="I356" i="108"/>
  <c r="M356" i="108"/>
  <c r="E357" i="108"/>
  <c r="F357" i="108"/>
  <c r="G357" i="108"/>
  <c r="H357" i="108"/>
  <c r="J357" i="108"/>
  <c r="K357" i="108"/>
  <c r="L357" i="108"/>
  <c r="I358" i="108"/>
  <c r="M358" i="108"/>
  <c r="I359" i="108"/>
  <c r="M359" i="108"/>
  <c r="I360" i="108"/>
  <c r="M360" i="108"/>
  <c r="I361" i="108"/>
  <c r="M361" i="108"/>
  <c r="I362" i="108"/>
  <c r="M362" i="108"/>
  <c r="I363" i="108"/>
  <c r="D363" i="108" s="1"/>
  <c r="I364" i="108"/>
  <c r="D364" i="108" s="1"/>
  <c r="I365" i="108"/>
  <c r="M365" i="108"/>
  <c r="I366" i="108"/>
  <c r="M366" i="108"/>
  <c r="I367" i="108"/>
  <c r="M367" i="108"/>
  <c r="I369" i="108"/>
  <c r="D369" i="108" s="1"/>
  <c r="I370" i="108"/>
  <c r="M370" i="108"/>
  <c r="I371" i="108"/>
  <c r="M371" i="108"/>
  <c r="I372" i="108"/>
  <c r="M372" i="108"/>
  <c r="I373" i="108"/>
  <c r="M373" i="108"/>
  <c r="I374" i="108"/>
  <c r="M374" i="108"/>
  <c r="I375" i="108"/>
  <c r="M375" i="108"/>
  <c r="E376" i="108"/>
  <c r="F376" i="108"/>
  <c r="G376" i="108"/>
  <c r="H376" i="108"/>
  <c r="J376" i="108"/>
  <c r="K376" i="108"/>
  <c r="L376" i="108"/>
  <c r="I377" i="108"/>
  <c r="M377" i="108"/>
  <c r="I378" i="108"/>
  <c r="M378" i="108"/>
  <c r="I379" i="108"/>
  <c r="M379" i="108"/>
  <c r="I380" i="108"/>
  <c r="M380" i="108"/>
  <c r="I381" i="108"/>
  <c r="M381" i="108"/>
  <c r="I382" i="108"/>
  <c r="M382" i="108"/>
  <c r="E383" i="108"/>
  <c r="F383" i="108"/>
  <c r="G383" i="108"/>
  <c r="H383" i="108"/>
  <c r="J383" i="108"/>
  <c r="K383" i="108"/>
  <c r="L383" i="108"/>
  <c r="I384" i="108"/>
  <c r="M384" i="108"/>
  <c r="I386" i="108"/>
  <c r="M386" i="108"/>
  <c r="I387" i="108"/>
  <c r="M387" i="108"/>
  <c r="I400" i="108"/>
  <c r="M400" i="108"/>
  <c r="I401" i="108"/>
  <c r="M401" i="108"/>
  <c r="I402" i="108"/>
  <c r="M402" i="108"/>
  <c r="I403" i="108"/>
  <c r="M403" i="108"/>
  <c r="I404" i="108"/>
  <c r="M404" i="108"/>
  <c r="I405" i="108"/>
  <c r="M405" i="108"/>
  <c r="E406" i="108"/>
  <c r="F406" i="108"/>
  <c r="G406" i="108"/>
  <c r="H406" i="108"/>
  <c r="J406" i="108"/>
  <c r="K406" i="108"/>
  <c r="L406" i="108"/>
  <c r="I407" i="108"/>
  <c r="M407" i="108"/>
  <c r="E408" i="108"/>
  <c r="F408" i="108"/>
  <c r="G408" i="108"/>
  <c r="H408" i="108"/>
  <c r="J408" i="108"/>
  <c r="K408" i="108"/>
  <c r="L408" i="108"/>
  <c r="I409" i="108"/>
  <c r="M409" i="108"/>
  <c r="I410" i="108"/>
  <c r="M410" i="108"/>
  <c r="I411" i="108"/>
  <c r="M411" i="108"/>
  <c r="I412" i="108"/>
  <c r="M412" i="108"/>
  <c r="I413" i="108"/>
  <c r="M413" i="108"/>
  <c r="I414" i="108"/>
  <c r="M414" i="108"/>
  <c r="I415" i="108"/>
  <c r="M415" i="108"/>
  <c r="I416" i="108"/>
  <c r="M416" i="108"/>
  <c r="I418" i="108"/>
  <c r="D418" i="108" s="1"/>
  <c r="I419" i="108"/>
  <c r="M419" i="108"/>
  <c r="I420" i="108"/>
  <c r="M420" i="108"/>
  <c r="I421" i="108"/>
  <c r="M421" i="108"/>
  <c r="I422" i="108"/>
  <c r="M422" i="108"/>
  <c r="I423" i="108"/>
  <c r="M423" i="108"/>
  <c r="I424" i="108"/>
  <c r="M424" i="108"/>
  <c r="E425" i="108"/>
  <c r="F425" i="108"/>
  <c r="G425" i="108"/>
  <c r="H425" i="108"/>
  <c r="J425" i="108"/>
  <c r="K425" i="108"/>
  <c r="L425" i="108"/>
  <c r="I426" i="108"/>
  <c r="M426" i="108"/>
  <c r="I427" i="108"/>
  <c r="M427" i="108"/>
  <c r="I428" i="108"/>
  <c r="M428" i="108"/>
  <c r="I429" i="108"/>
  <c r="M429" i="108"/>
  <c r="I430" i="108"/>
  <c r="M430" i="108"/>
  <c r="I431" i="108"/>
  <c r="M431" i="108"/>
  <c r="E432" i="108"/>
  <c r="F432" i="108"/>
  <c r="G432" i="108"/>
  <c r="H432" i="108"/>
  <c r="J432" i="108"/>
  <c r="K432" i="108"/>
  <c r="L432" i="108"/>
  <c r="I433" i="108"/>
  <c r="M433" i="108"/>
  <c r="I435" i="108"/>
  <c r="M435" i="108"/>
  <c r="I436" i="108"/>
  <c r="M436" i="108"/>
  <c r="I448" i="108"/>
  <c r="M448" i="108"/>
  <c r="I449" i="108"/>
  <c r="M449" i="108"/>
  <c r="I450" i="108"/>
  <c r="M450" i="108"/>
  <c r="I451" i="108"/>
  <c r="M451" i="108"/>
  <c r="I452" i="108"/>
  <c r="M452" i="108"/>
  <c r="I453" i="108"/>
  <c r="M453" i="108"/>
  <c r="E454" i="108"/>
  <c r="F454" i="108"/>
  <c r="G454" i="108"/>
  <c r="H454" i="108"/>
  <c r="J454" i="108"/>
  <c r="K454" i="108"/>
  <c r="L454" i="108"/>
  <c r="I455" i="108"/>
  <c r="M455" i="108"/>
  <c r="E456" i="108"/>
  <c r="F456" i="108"/>
  <c r="G456" i="108"/>
  <c r="H456" i="108"/>
  <c r="J456" i="108"/>
  <c r="K456" i="108"/>
  <c r="L456" i="108"/>
  <c r="I457" i="108"/>
  <c r="M457" i="108"/>
  <c r="I458" i="108"/>
  <c r="M458" i="108"/>
  <c r="I459" i="108"/>
  <c r="M459" i="108"/>
  <c r="I460" i="108"/>
  <c r="M460" i="108"/>
  <c r="I461" i="108"/>
  <c r="M461" i="108"/>
  <c r="I462" i="108"/>
  <c r="M462" i="108"/>
  <c r="I463" i="108"/>
  <c r="M463" i="108"/>
  <c r="I464" i="108"/>
  <c r="M464" i="108"/>
  <c r="I466" i="108"/>
  <c r="D466" i="108" s="1"/>
  <c r="I467" i="108"/>
  <c r="M467" i="108"/>
  <c r="I468" i="108"/>
  <c r="M468" i="108"/>
  <c r="I469" i="108"/>
  <c r="M469" i="108"/>
  <c r="I470" i="108"/>
  <c r="M470" i="108"/>
  <c r="I471" i="108"/>
  <c r="M471" i="108"/>
  <c r="I472" i="108"/>
  <c r="M472" i="108"/>
  <c r="E473" i="108"/>
  <c r="F473" i="108"/>
  <c r="G473" i="108"/>
  <c r="H473" i="108"/>
  <c r="J473" i="108"/>
  <c r="K473" i="108"/>
  <c r="L473" i="108"/>
  <c r="I474" i="108"/>
  <c r="M474" i="108"/>
  <c r="I475" i="108"/>
  <c r="M475" i="108"/>
  <c r="I476" i="108"/>
  <c r="M476" i="108"/>
  <c r="I477" i="108"/>
  <c r="M477" i="108"/>
  <c r="I478" i="108"/>
  <c r="M478" i="108"/>
  <c r="I479" i="108"/>
  <c r="M479" i="108"/>
  <c r="E480" i="108"/>
  <c r="F480" i="108"/>
  <c r="G480" i="108"/>
  <c r="H480" i="108"/>
  <c r="J480" i="108"/>
  <c r="K480" i="108"/>
  <c r="L480" i="108"/>
  <c r="I481" i="108"/>
  <c r="M481" i="108"/>
  <c r="I483" i="108"/>
  <c r="M483" i="108"/>
  <c r="I484" i="108"/>
  <c r="M484" i="108"/>
  <c r="I496" i="108"/>
  <c r="M496" i="108"/>
  <c r="I497" i="108"/>
  <c r="M497" i="108"/>
  <c r="I498" i="108"/>
  <c r="M498" i="108"/>
  <c r="I499" i="108"/>
  <c r="M499" i="108"/>
  <c r="I500" i="108"/>
  <c r="M500" i="108"/>
  <c r="I501" i="108"/>
  <c r="M501" i="108"/>
  <c r="E502" i="108"/>
  <c r="F502" i="108"/>
  <c r="G502" i="108"/>
  <c r="H502" i="108"/>
  <c r="J502" i="108"/>
  <c r="K502" i="108"/>
  <c r="L502" i="108"/>
  <c r="I503" i="108"/>
  <c r="M503" i="108"/>
  <c r="E504" i="108"/>
  <c r="F504" i="108"/>
  <c r="G504" i="108"/>
  <c r="H504" i="108"/>
  <c r="J504" i="108"/>
  <c r="K504" i="108"/>
  <c r="L504" i="108"/>
  <c r="I505" i="108"/>
  <c r="M505" i="108"/>
  <c r="I506" i="108"/>
  <c r="M506" i="108"/>
  <c r="I507" i="108"/>
  <c r="M507" i="108"/>
  <c r="I508" i="108"/>
  <c r="M508" i="108"/>
  <c r="I509" i="108"/>
  <c r="M509" i="108"/>
  <c r="I510" i="108"/>
  <c r="M510" i="108"/>
  <c r="I511" i="108"/>
  <c r="M511" i="108"/>
  <c r="I512" i="108"/>
  <c r="M512" i="108"/>
  <c r="I514" i="108"/>
  <c r="D514" i="108" s="1"/>
  <c r="I515" i="108"/>
  <c r="M515" i="108"/>
  <c r="I516" i="108"/>
  <c r="M516" i="108"/>
  <c r="I517" i="108"/>
  <c r="M517" i="108"/>
  <c r="I518" i="108"/>
  <c r="M518" i="108"/>
  <c r="I519" i="108"/>
  <c r="M519" i="108"/>
  <c r="I520" i="108"/>
  <c r="M520" i="108"/>
  <c r="E521" i="108"/>
  <c r="F521" i="108"/>
  <c r="G521" i="108"/>
  <c r="H521" i="108"/>
  <c r="J521" i="108"/>
  <c r="K521" i="108"/>
  <c r="L521" i="108"/>
  <c r="I522" i="108"/>
  <c r="M522" i="108"/>
  <c r="I523" i="108"/>
  <c r="M523" i="108"/>
  <c r="I524" i="108"/>
  <c r="M524" i="108"/>
  <c r="I525" i="108"/>
  <c r="M525" i="108"/>
  <c r="I526" i="108"/>
  <c r="M526" i="108"/>
  <c r="I527" i="108"/>
  <c r="M527" i="108"/>
  <c r="E528" i="108"/>
  <c r="F528" i="108"/>
  <c r="G528" i="108"/>
  <c r="H528" i="108"/>
  <c r="J528" i="108"/>
  <c r="K528" i="108"/>
  <c r="L528" i="108"/>
  <c r="I529" i="108"/>
  <c r="M529" i="108"/>
  <c r="I531" i="108"/>
  <c r="M531" i="108"/>
  <c r="I532" i="108"/>
  <c r="M532" i="108"/>
  <c r="I59" i="108"/>
  <c r="M59" i="108"/>
  <c r="I60" i="108"/>
  <c r="M60" i="108"/>
  <c r="I61" i="108"/>
  <c r="M61" i="108"/>
  <c r="I62" i="108"/>
  <c r="M62" i="108"/>
  <c r="I63" i="108"/>
  <c r="M63" i="108"/>
  <c r="I64" i="108"/>
  <c r="M64" i="108"/>
  <c r="E65" i="108"/>
  <c r="F65" i="108"/>
  <c r="G65" i="108"/>
  <c r="H65" i="108"/>
  <c r="J65" i="108"/>
  <c r="K65" i="108"/>
  <c r="L65" i="108"/>
  <c r="I66" i="108"/>
  <c r="M66" i="108"/>
  <c r="E67" i="108"/>
  <c r="F67" i="108"/>
  <c r="G67" i="108"/>
  <c r="H67" i="108"/>
  <c r="J67" i="108"/>
  <c r="K67" i="108"/>
  <c r="L67" i="108"/>
  <c r="I68" i="108"/>
  <c r="M68" i="108"/>
  <c r="I69" i="108"/>
  <c r="M69" i="108"/>
  <c r="I70" i="108"/>
  <c r="M70" i="108"/>
  <c r="I71" i="108"/>
  <c r="M71" i="108"/>
  <c r="I72" i="108"/>
  <c r="M72" i="108"/>
  <c r="I73" i="108"/>
  <c r="M73" i="108"/>
  <c r="I74" i="108"/>
  <c r="M74" i="108"/>
  <c r="I75" i="108"/>
  <c r="M75" i="108"/>
  <c r="I77" i="108"/>
  <c r="D77" i="108" s="1"/>
  <c r="I78" i="108"/>
  <c r="M78" i="108"/>
  <c r="I79" i="108"/>
  <c r="M79" i="108"/>
  <c r="I80" i="108"/>
  <c r="M80" i="108"/>
  <c r="I81" i="108"/>
  <c r="M81" i="108"/>
  <c r="I82" i="108"/>
  <c r="M82" i="108"/>
  <c r="I83" i="108"/>
  <c r="M83" i="108"/>
  <c r="E84" i="108"/>
  <c r="F84" i="108"/>
  <c r="G84" i="108"/>
  <c r="H84" i="108"/>
  <c r="J84" i="108"/>
  <c r="K84" i="108"/>
  <c r="L84" i="108"/>
  <c r="I85" i="108"/>
  <c r="M85" i="108"/>
  <c r="I86" i="108"/>
  <c r="M86" i="108"/>
  <c r="I87" i="108"/>
  <c r="M87" i="108"/>
  <c r="I88" i="108"/>
  <c r="M88" i="108"/>
  <c r="I89" i="108"/>
  <c r="M89" i="108"/>
  <c r="I90" i="108"/>
  <c r="M90" i="108"/>
  <c r="E91" i="108"/>
  <c r="F91" i="108"/>
  <c r="G91" i="108"/>
  <c r="H91" i="108"/>
  <c r="J91" i="108"/>
  <c r="K91" i="108"/>
  <c r="L91" i="108"/>
  <c r="I92" i="108"/>
  <c r="M92" i="108"/>
  <c r="I94" i="108"/>
  <c r="M94" i="108"/>
  <c r="I95" i="108"/>
  <c r="M95" i="108"/>
  <c r="I107" i="108"/>
  <c r="M107" i="108"/>
  <c r="I108" i="108"/>
  <c r="M108" i="108"/>
  <c r="I109" i="108"/>
  <c r="M109" i="108"/>
  <c r="I110" i="108"/>
  <c r="M110" i="108"/>
  <c r="I111" i="108"/>
  <c r="M111" i="108"/>
  <c r="I112" i="108"/>
  <c r="M112" i="108"/>
  <c r="E113" i="108"/>
  <c r="F113" i="108"/>
  <c r="G113" i="108"/>
  <c r="H113" i="108"/>
  <c r="J113" i="108"/>
  <c r="K113" i="108"/>
  <c r="L113" i="108"/>
  <c r="I114" i="108"/>
  <c r="M114" i="108"/>
  <c r="E115" i="108"/>
  <c r="F115" i="108"/>
  <c r="G115" i="108"/>
  <c r="H115" i="108"/>
  <c r="J115" i="108"/>
  <c r="K115" i="108"/>
  <c r="L115" i="108"/>
  <c r="I116" i="108"/>
  <c r="M116" i="108"/>
  <c r="I117" i="108"/>
  <c r="M117" i="108"/>
  <c r="I118" i="108"/>
  <c r="M118" i="108"/>
  <c r="I119" i="108"/>
  <c r="M119" i="108"/>
  <c r="I120" i="108"/>
  <c r="M120" i="108"/>
  <c r="I121" i="108"/>
  <c r="M121" i="108"/>
  <c r="I122" i="108"/>
  <c r="M122" i="108"/>
  <c r="I123" i="108"/>
  <c r="M123" i="108"/>
  <c r="I125" i="108"/>
  <c r="I126" i="108"/>
  <c r="M126" i="108"/>
  <c r="I127" i="108"/>
  <c r="M127" i="108"/>
  <c r="I128" i="108"/>
  <c r="M128" i="108"/>
  <c r="I129" i="108"/>
  <c r="M129" i="108"/>
  <c r="I130" i="108"/>
  <c r="M130" i="108"/>
  <c r="I131" i="108"/>
  <c r="M131" i="108"/>
  <c r="E132" i="108"/>
  <c r="F132" i="108"/>
  <c r="G132" i="108"/>
  <c r="H132" i="108"/>
  <c r="J132" i="108"/>
  <c r="K132" i="108"/>
  <c r="L132" i="108"/>
  <c r="I133" i="108"/>
  <c r="M133" i="108"/>
  <c r="I134" i="108"/>
  <c r="M134" i="108"/>
  <c r="I135" i="108"/>
  <c r="M135" i="108"/>
  <c r="I136" i="108"/>
  <c r="M136" i="108"/>
  <c r="I137" i="108"/>
  <c r="M137" i="108"/>
  <c r="I138" i="108"/>
  <c r="M138" i="108"/>
  <c r="E139" i="108"/>
  <c r="F139" i="108"/>
  <c r="G139" i="108"/>
  <c r="H139" i="108"/>
  <c r="J139" i="108"/>
  <c r="K139" i="108"/>
  <c r="L139" i="108"/>
  <c r="I140" i="108"/>
  <c r="M140" i="108"/>
  <c r="I142" i="108"/>
  <c r="M142" i="108"/>
  <c r="I143" i="108"/>
  <c r="M143" i="108"/>
  <c r="I155" i="108"/>
  <c r="M155" i="108"/>
  <c r="I156" i="108"/>
  <c r="M156" i="108"/>
  <c r="I157" i="108"/>
  <c r="M157" i="108"/>
  <c r="I158" i="108"/>
  <c r="M158" i="108"/>
  <c r="I159" i="108"/>
  <c r="M159" i="108"/>
  <c r="I160" i="108"/>
  <c r="M160" i="108"/>
  <c r="E161" i="108"/>
  <c r="F161" i="108"/>
  <c r="G161" i="108"/>
  <c r="H161" i="108"/>
  <c r="J161" i="108"/>
  <c r="K161" i="108"/>
  <c r="L161" i="108"/>
  <c r="I162" i="108"/>
  <c r="M162" i="108"/>
  <c r="E163" i="108"/>
  <c r="F163" i="108"/>
  <c r="G163" i="108"/>
  <c r="H163" i="108"/>
  <c r="J163" i="108"/>
  <c r="K163" i="108"/>
  <c r="L163" i="108"/>
  <c r="I164" i="108"/>
  <c r="M164" i="108"/>
  <c r="I165" i="108"/>
  <c r="M165" i="108"/>
  <c r="I166" i="108"/>
  <c r="M166" i="108"/>
  <c r="I167" i="108"/>
  <c r="M167" i="108"/>
  <c r="I168" i="108"/>
  <c r="M168" i="108"/>
  <c r="I169" i="108"/>
  <c r="M169" i="108"/>
  <c r="I170" i="108"/>
  <c r="M170" i="108"/>
  <c r="I171" i="108"/>
  <c r="M171" i="108"/>
  <c r="I173" i="108"/>
  <c r="I174" i="108"/>
  <c r="M174" i="108"/>
  <c r="I175" i="108"/>
  <c r="M175" i="108"/>
  <c r="I176" i="108"/>
  <c r="M176" i="108"/>
  <c r="I177" i="108"/>
  <c r="M177" i="108"/>
  <c r="I178" i="108"/>
  <c r="M178" i="108"/>
  <c r="I179" i="108"/>
  <c r="M179" i="108"/>
  <c r="E180" i="108"/>
  <c r="F180" i="108"/>
  <c r="G180" i="108"/>
  <c r="H180" i="108"/>
  <c r="J180" i="108"/>
  <c r="K180" i="108"/>
  <c r="L180" i="108"/>
  <c r="I181" i="108"/>
  <c r="M181" i="108"/>
  <c r="I182" i="108"/>
  <c r="M182" i="108"/>
  <c r="I183" i="108"/>
  <c r="M183" i="108"/>
  <c r="I184" i="108"/>
  <c r="M184" i="108"/>
  <c r="I185" i="108"/>
  <c r="M185" i="108"/>
  <c r="I186" i="108"/>
  <c r="M186" i="108"/>
  <c r="E187" i="108"/>
  <c r="F187" i="108"/>
  <c r="G187" i="108"/>
  <c r="H187" i="108"/>
  <c r="J187" i="108"/>
  <c r="K187" i="108"/>
  <c r="L187" i="108"/>
  <c r="I188" i="108"/>
  <c r="M188" i="108"/>
  <c r="I190" i="108"/>
  <c r="M190" i="108"/>
  <c r="I191" i="108"/>
  <c r="M191" i="108"/>
  <c r="G203" i="108"/>
  <c r="G11" i="108" s="1"/>
  <c r="H203" i="108"/>
  <c r="J203" i="108"/>
  <c r="M203" i="108" s="1"/>
  <c r="I204" i="108"/>
  <c r="M204" i="108"/>
  <c r="G205" i="108"/>
  <c r="H205" i="108"/>
  <c r="H13" i="108" s="1"/>
  <c r="J205" i="108"/>
  <c r="M205" i="108" s="1"/>
  <c r="I206" i="108"/>
  <c r="M206" i="108"/>
  <c r="I207" i="108"/>
  <c r="M207" i="108"/>
  <c r="I208" i="108"/>
  <c r="M208" i="108"/>
  <c r="E209" i="108"/>
  <c r="F209" i="108"/>
  <c r="K209" i="108"/>
  <c r="L209" i="108"/>
  <c r="I210" i="108"/>
  <c r="M210" i="108"/>
  <c r="F211" i="108"/>
  <c r="E212" i="108"/>
  <c r="I212" i="108"/>
  <c r="J212" i="108"/>
  <c r="M212" i="108" s="1"/>
  <c r="G213" i="108"/>
  <c r="J213" i="108"/>
  <c r="J21" i="108" s="1"/>
  <c r="G214" i="108"/>
  <c r="M214" i="108"/>
  <c r="I215" i="108"/>
  <c r="M215" i="108"/>
  <c r="K216" i="108"/>
  <c r="K211" i="108" s="1"/>
  <c r="L216" i="108"/>
  <c r="L211" i="108" s="1"/>
  <c r="E217" i="108"/>
  <c r="H217" i="108"/>
  <c r="I217" i="108" s="1"/>
  <c r="M217" i="108"/>
  <c r="E218" i="108"/>
  <c r="G218" i="108"/>
  <c r="G216" i="108" s="1"/>
  <c r="G24" i="108" s="1"/>
  <c r="H218" i="108"/>
  <c r="J218" i="108"/>
  <c r="J216" i="108" s="1"/>
  <c r="J24" i="108" s="1"/>
  <c r="E219" i="108"/>
  <c r="E25" i="108" s="1"/>
  <c r="I219" i="108"/>
  <c r="M219" i="108"/>
  <c r="H220" i="108"/>
  <c r="H26" i="108" s="1"/>
  <c r="M220" i="108"/>
  <c r="I221" i="108"/>
  <c r="M221" i="108"/>
  <c r="I223" i="108"/>
  <c r="G224" i="108"/>
  <c r="H224" i="108"/>
  <c r="H30" i="108" s="1"/>
  <c r="J224" i="108"/>
  <c r="M224" i="108" s="1"/>
  <c r="H225" i="108"/>
  <c r="I225" i="108" s="1"/>
  <c r="M225" i="108"/>
  <c r="I226" i="108"/>
  <c r="M226" i="108"/>
  <c r="I227" i="108"/>
  <c r="M227" i="108"/>
  <c r="H228" i="108"/>
  <c r="I228" i="108" s="1"/>
  <c r="J228" i="108"/>
  <c r="I229" i="108"/>
  <c r="M229" i="108"/>
  <c r="E230" i="108"/>
  <c r="F230" i="108"/>
  <c r="K230" i="108"/>
  <c r="L230" i="108"/>
  <c r="I231" i="108"/>
  <c r="M231" i="108"/>
  <c r="H232" i="108"/>
  <c r="I232" i="108" s="1"/>
  <c r="J232" i="108"/>
  <c r="M232" i="108" s="1"/>
  <c r="I233" i="108"/>
  <c r="M233" i="108"/>
  <c r="I234" i="108"/>
  <c r="M234" i="108"/>
  <c r="I235" i="108"/>
  <c r="M235" i="108"/>
  <c r="I236" i="108"/>
  <c r="M236" i="108"/>
  <c r="E237" i="108"/>
  <c r="F237" i="108"/>
  <c r="G237" i="108"/>
  <c r="H237" i="108"/>
  <c r="J237" i="108"/>
  <c r="K237" i="108"/>
  <c r="L237" i="108"/>
  <c r="I238" i="108"/>
  <c r="M238" i="108"/>
  <c r="I240" i="108"/>
  <c r="M240" i="108"/>
  <c r="I241" i="108"/>
  <c r="M241" i="108"/>
  <c r="I253" i="108"/>
  <c r="M253" i="108"/>
  <c r="I254" i="108"/>
  <c r="M254" i="108"/>
  <c r="I255" i="108"/>
  <c r="M255" i="108"/>
  <c r="I256" i="108"/>
  <c r="M256" i="108"/>
  <c r="I257" i="108"/>
  <c r="M257" i="108"/>
  <c r="I258" i="108"/>
  <c r="M258" i="108"/>
  <c r="E259" i="108"/>
  <c r="F259" i="108"/>
  <c r="G259" i="108"/>
  <c r="H259" i="108"/>
  <c r="J259" i="108"/>
  <c r="K259" i="108"/>
  <c r="L259" i="108"/>
  <c r="I260" i="108"/>
  <c r="M260" i="108"/>
  <c r="E261" i="108"/>
  <c r="F261" i="108"/>
  <c r="G261" i="108"/>
  <c r="H261" i="108"/>
  <c r="J261" i="108"/>
  <c r="K261" i="108"/>
  <c r="L261" i="108"/>
  <c r="I262" i="108"/>
  <c r="M262" i="108"/>
  <c r="I263" i="108"/>
  <c r="M263" i="108"/>
  <c r="I264" i="108"/>
  <c r="M264" i="108"/>
  <c r="I265" i="108"/>
  <c r="M265" i="108"/>
  <c r="I266" i="108"/>
  <c r="M266" i="108"/>
  <c r="I267" i="108"/>
  <c r="M267" i="108"/>
  <c r="I268" i="108"/>
  <c r="M268" i="108"/>
  <c r="I269" i="108"/>
  <c r="M269" i="108"/>
  <c r="I271" i="108"/>
  <c r="I272" i="108"/>
  <c r="M272" i="108"/>
  <c r="I273" i="108"/>
  <c r="M273" i="108"/>
  <c r="I274" i="108"/>
  <c r="M274" i="108"/>
  <c r="I275" i="108"/>
  <c r="M275" i="108"/>
  <c r="I276" i="108"/>
  <c r="M276" i="108"/>
  <c r="I277" i="108"/>
  <c r="M277" i="108"/>
  <c r="E278" i="108"/>
  <c r="F278" i="108"/>
  <c r="G278" i="108"/>
  <c r="H278" i="108"/>
  <c r="J278" i="108"/>
  <c r="K278" i="108"/>
  <c r="L278" i="108"/>
  <c r="I279" i="108"/>
  <c r="M279" i="108"/>
  <c r="I280" i="108"/>
  <c r="M280" i="108"/>
  <c r="I281" i="108"/>
  <c r="M281" i="108"/>
  <c r="I282" i="108"/>
  <c r="M282" i="108"/>
  <c r="I283" i="108"/>
  <c r="M283" i="108"/>
  <c r="I284" i="108"/>
  <c r="M284" i="108"/>
  <c r="E285" i="108"/>
  <c r="F285" i="108"/>
  <c r="G285" i="108"/>
  <c r="H285" i="108"/>
  <c r="J285" i="108"/>
  <c r="K285" i="108"/>
  <c r="L285" i="108"/>
  <c r="I286" i="108"/>
  <c r="M286" i="108"/>
  <c r="I288" i="108"/>
  <c r="M288" i="108"/>
  <c r="I289" i="108"/>
  <c r="M289" i="108"/>
  <c r="E11" i="108"/>
  <c r="F11" i="108"/>
  <c r="H11" i="108"/>
  <c r="K11" i="108"/>
  <c r="L11" i="108"/>
  <c r="E12" i="108"/>
  <c r="F12" i="108"/>
  <c r="G12" i="108"/>
  <c r="H12" i="108"/>
  <c r="J12" i="108"/>
  <c r="K12" i="108"/>
  <c r="L12" i="108"/>
  <c r="E13" i="108"/>
  <c r="F13" i="108"/>
  <c r="K13" i="108"/>
  <c r="L13" i="108"/>
  <c r="E14" i="108"/>
  <c r="F14" i="108"/>
  <c r="G14" i="108"/>
  <c r="H14" i="108"/>
  <c r="J14" i="108"/>
  <c r="K14" i="108"/>
  <c r="L14" i="108"/>
  <c r="E15" i="108"/>
  <c r="F15" i="108"/>
  <c r="G15" i="108"/>
  <c r="H15" i="108"/>
  <c r="J15" i="108"/>
  <c r="K15" i="108"/>
  <c r="L15" i="108"/>
  <c r="E16" i="108"/>
  <c r="F16" i="108"/>
  <c r="G16" i="108"/>
  <c r="H16" i="108"/>
  <c r="J16" i="108"/>
  <c r="K16" i="108"/>
  <c r="L16" i="108"/>
  <c r="E18" i="108"/>
  <c r="F18" i="108"/>
  <c r="G18" i="108"/>
  <c r="H18" i="108"/>
  <c r="J18" i="108"/>
  <c r="K18" i="108"/>
  <c r="L18" i="108"/>
  <c r="F20" i="108"/>
  <c r="G20" i="108"/>
  <c r="H20" i="108"/>
  <c r="K20" i="108"/>
  <c r="L20" i="108"/>
  <c r="E21" i="108"/>
  <c r="F21" i="108"/>
  <c r="H21" i="108"/>
  <c r="K21" i="108"/>
  <c r="L21" i="108"/>
  <c r="E22" i="108"/>
  <c r="F22" i="108"/>
  <c r="H22" i="108"/>
  <c r="J22" i="108"/>
  <c r="K22" i="108"/>
  <c r="L22" i="108"/>
  <c r="E23" i="108"/>
  <c r="F23" i="108"/>
  <c r="G23" i="108"/>
  <c r="H23" i="108"/>
  <c r="J23" i="108"/>
  <c r="K23" i="108"/>
  <c r="L23" i="108"/>
  <c r="F24" i="108"/>
  <c r="F25" i="108"/>
  <c r="G25" i="108"/>
  <c r="H25" i="108"/>
  <c r="J25" i="108"/>
  <c r="K25" i="108"/>
  <c r="L25" i="108"/>
  <c r="E26" i="108"/>
  <c r="F26" i="108"/>
  <c r="G26" i="108"/>
  <c r="J26" i="108"/>
  <c r="K26" i="108"/>
  <c r="L26" i="108"/>
  <c r="E27" i="108"/>
  <c r="F27" i="108"/>
  <c r="G27" i="108"/>
  <c r="H27" i="108"/>
  <c r="J27" i="108"/>
  <c r="K27" i="108"/>
  <c r="L27" i="108"/>
  <c r="E29" i="108"/>
  <c r="F29" i="108"/>
  <c r="G29" i="108"/>
  <c r="H29" i="108"/>
  <c r="J29" i="108"/>
  <c r="K29" i="108"/>
  <c r="L29" i="108"/>
  <c r="M29" i="108"/>
  <c r="E30" i="108"/>
  <c r="F30" i="108"/>
  <c r="J30" i="108"/>
  <c r="K30" i="108"/>
  <c r="L30" i="108"/>
  <c r="E31" i="108"/>
  <c r="F31" i="108"/>
  <c r="G31" i="108"/>
  <c r="J31" i="108"/>
  <c r="K31" i="108"/>
  <c r="L31" i="108"/>
  <c r="E32" i="108"/>
  <c r="F32" i="108"/>
  <c r="G32" i="108"/>
  <c r="H32" i="108"/>
  <c r="J32" i="108"/>
  <c r="K32" i="108"/>
  <c r="L32" i="108"/>
  <c r="E33" i="108"/>
  <c r="F33" i="108"/>
  <c r="G33" i="108"/>
  <c r="H33" i="108"/>
  <c r="J33" i="108"/>
  <c r="K33" i="108"/>
  <c r="L33" i="108"/>
  <c r="E34" i="108"/>
  <c r="F34" i="108"/>
  <c r="G34" i="108"/>
  <c r="K34" i="108"/>
  <c r="L34" i="108"/>
  <c r="E35" i="108"/>
  <c r="F35" i="108"/>
  <c r="G35" i="108"/>
  <c r="H35" i="108"/>
  <c r="J35" i="108"/>
  <c r="K35" i="108"/>
  <c r="L35" i="108"/>
  <c r="E37" i="108"/>
  <c r="F37" i="108"/>
  <c r="G37" i="108"/>
  <c r="H37" i="108"/>
  <c r="J37" i="108"/>
  <c r="K37" i="108"/>
  <c r="L37" i="108"/>
  <c r="E38" i="108"/>
  <c r="F38" i="108"/>
  <c r="G38" i="108"/>
  <c r="K38" i="108"/>
  <c r="L38" i="108"/>
  <c r="E39" i="108"/>
  <c r="F39" i="108"/>
  <c r="G39" i="108"/>
  <c r="H39" i="108"/>
  <c r="J39" i="108"/>
  <c r="K39" i="108"/>
  <c r="L39" i="108"/>
  <c r="F40" i="108"/>
  <c r="H40" i="108"/>
  <c r="J40" i="108"/>
  <c r="K40" i="108"/>
  <c r="L40" i="108"/>
  <c r="E41" i="108"/>
  <c r="F41" i="108"/>
  <c r="G41" i="108"/>
  <c r="H41" i="108"/>
  <c r="J41" i="108"/>
  <c r="K41" i="108"/>
  <c r="L41" i="108"/>
  <c r="E42" i="108"/>
  <c r="F42" i="108"/>
  <c r="G42" i="108"/>
  <c r="H42" i="108"/>
  <c r="J42" i="108"/>
  <c r="K42" i="108"/>
  <c r="L42" i="108"/>
  <c r="E44" i="108"/>
  <c r="F44" i="108"/>
  <c r="G44" i="108"/>
  <c r="H44" i="108"/>
  <c r="J44" i="108"/>
  <c r="K44" i="108"/>
  <c r="L44" i="108"/>
  <c r="E46" i="108"/>
  <c r="F46" i="108"/>
  <c r="G46" i="108"/>
  <c r="H46" i="108"/>
  <c r="J46" i="108"/>
  <c r="K46" i="108"/>
  <c r="L46" i="108"/>
  <c r="E47" i="108"/>
  <c r="F47" i="108"/>
  <c r="G47" i="108"/>
  <c r="H47" i="108"/>
  <c r="J47" i="108"/>
  <c r="K47" i="108"/>
  <c r="L47" i="108"/>
  <c r="C20" i="118"/>
  <c r="E7" i="118"/>
  <c r="E8" i="118"/>
  <c r="E9" i="118"/>
  <c r="E10" i="118"/>
  <c r="E11" i="118"/>
  <c r="E12" i="118"/>
  <c r="E13" i="118"/>
  <c r="E14" i="118"/>
  <c r="E15" i="118"/>
  <c r="E16" i="118"/>
  <c r="E17" i="118"/>
  <c r="E18" i="118"/>
  <c r="E19" i="118"/>
  <c r="E20" i="118"/>
  <c r="E21" i="118"/>
  <c r="E22" i="118"/>
  <c r="E23" i="118"/>
  <c r="E24" i="118"/>
  <c r="E25" i="118"/>
  <c r="E26" i="118"/>
  <c r="E27" i="118"/>
  <c r="E28" i="118"/>
  <c r="E29" i="118"/>
  <c r="E30" i="118"/>
  <c r="E31" i="118"/>
  <c r="E32" i="118"/>
  <c r="M885" i="105"/>
  <c r="L885" i="105"/>
  <c r="K885" i="105"/>
  <c r="I885" i="105"/>
  <c r="H885" i="105"/>
  <c r="G885" i="105"/>
  <c r="F885" i="105"/>
  <c r="E885" i="105"/>
  <c r="N884" i="105"/>
  <c r="J884" i="105"/>
  <c r="N883" i="105"/>
  <c r="J883" i="105"/>
  <c r="N882" i="105"/>
  <c r="J882" i="105"/>
  <c r="N881" i="105"/>
  <c r="J881" i="105"/>
  <c r="N880" i="105"/>
  <c r="J880" i="105"/>
  <c r="N879" i="105"/>
  <c r="J879" i="105"/>
  <c r="M878" i="105"/>
  <c r="L878" i="105"/>
  <c r="K878" i="105"/>
  <c r="I878" i="105"/>
  <c r="H878" i="105"/>
  <c r="G878" i="105"/>
  <c r="F878" i="105"/>
  <c r="E878" i="105"/>
  <c r="N877" i="105"/>
  <c r="J877" i="105"/>
  <c r="N876" i="105"/>
  <c r="J876" i="105"/>
  <c r="N875" i="105"/>
  <c r="J875" i="105"/>
  <c r="N874" i="105"/>
  <c r="J874" i="105"/>
  <c r="N873" i="105"/>
  <c r="J873" i="105"/>
  <c r="N872" i="105"/>
  <c r="J872" i="105"/>
  <c r="N871" i="105"/>
  <c r="J871" i="105"/>
  <c r="N870" i="105"/>
  <c r="J870" i="105"/>
  <c r="N868" i="105"/>
  <c r="J868" i="105"/>
  <c r="N867" i="105"/>
  <c r="J867" i="105"/>
  <c r="N866" i="105"/>
  <c r="J866" i="105"/>
  <c r="N865" i="105"/>
  <c r="J865" i="105"/>
  <c r="N864" i="105"/>
  <c r="J864" i="105"/>
  <c r="N863" i="105"/>
  <c r="J863" i="105"/>
  <c r="N862" i="105"/>
  <c r="J862" i="105"/>
  <c r="N861" i="105"/>
  <c r="J861" i="105"/>
  <c r="N860" i="105"/>
  <c r="J860" i="105"/>
  <c r="N859" i="105"/>
  <c r="J859" i="105"/>
  <c r="M858" i="105"/>
  <c r="L858" i="105"/>
  <c r="K858" i="105"/>
  <c r="I858" i="105"/>
  <c r="H858" i="105"/>
  <c r="G858" i="105"/>
  <c r="F858" i="105"/>
  <c r="E858" i="105"/>
  <c r="N857" i="105"/>
  <c r="J857" i="105"/>
  <c r="N856" i="105"/>
  <c r="J856" i="105"/>
  <c r="M855" i="105"/>
  <c r="L855" i="105"/>
  <c r="K855" i="105"/>
  <c r="I855" i="105"/>
  <c r="H855" i="105"/>
  <c r="G855" i="105"/>
  <c r="F855" i="105"/>
  <c r="N854" i="105"/>
  <c r="J854" i="105"/>
  <c r="N853" i="105"/>
  <c r="J853" i="105"/>
  <c r="M852" i="105"/>
  <c r="L852" i="105"/>
  <c r="K852" i="105"/>
  <c r="I852" i="105"/>
  <c r="H852" i="105"/>
  <c r="G852" i="105"/>
  <c r="F852" i="105"/>
  <c r="E852" i="105"/>
  <c r="N851" i="105"/>
  <c r="J851" i="105"/>
  <c r="N850" i="105"/>
  <c r="J850" i="105"/>
  <c r="D850" i="105" s="1"/>
  <c r="N849" i="105"/>
  <c r="J849" i="105"/>
  <c r="N848" i="105"/>
  <c r="J848" i="105"/>
  <c r="N847" i="105"/>
  <c r="J847" i="105"/>
  <c r="N846" i="105"/>
  <c r="J846" i="105"/>
  <c r="M833" i="105"/>
  <c r="L833" i="105"/>
  <c r="K833" i="105"/>
  <c r="I833" i="105"/>
  <c r="H833" i="105"/>
  <c r="G833" i="105"/>
  <c r="F833" i="105"/>
  <c r="E833" i="105"/>
  <c r="N832" i="105"/>
  <c r="J832" i="105"/>
  <c r="N831" i="105"/>
  <c r="J831" i="105"/>
  <c r="N830" i="105"/>
  <c r="J830" i="105"/>
  <c r="N829" i="105"/>
  <c r="J829" i="105"/>
  <c r="N828" i="105"/>
  <c r="J828" i="105"/>
  <c r="N827" i="105"/>
  <c r="J827" i="105"/>
  <c r="M826" i="105"/>
  <c r="L826" i="105"/>
  <c r="K826" i="105"/>
  <c r="I826" i="105"/>
  <c r="F826" i="105"/>
  <c r="E826" i="105"/>
  <c r="N825" i="105"/>
  <c r="H825" i="105"/>
  <c r="H826" i="105" s="1"/>
  <c r="G825" i="105"/>
  <c r="N824" i="105"/>
  <c r="J824" i="105"/>
  <c r="N823" i="105"/>
  <c r="J823" i="105"/>
  <c r="N822" i="105"/>
  <c r="J822" i="105"/>
  <c r="N821" i="105"/>
  <c r="J821" i="105"/>
  <c r="N820" i="105"/>
  <c r="J820" i="105"/>
  <c r="N819" i="105"/>
  <c r="J819" i="105"/>
  <c r="N818" i="105"/>
  <c r="J818" i="105"/>
  <c r="N816" i="105"/>
  <c r="J816" i="105"/>
  <c r="N815" i="105"/>
  <c r="J815" i="105"/>
  <c r="N814" i="105"/>
  <c r="H814" i="105"/>
  <c r="G814" i="105"/>
  <c r="N813" i="105"/>
  <c r="J813" i="105"/>
  <c r="N812" i="105"/>
  <c r="J812" i="105"/>
  <c r="N811" i="105"/>
  <c r="J811" i="105"/>
  <c r="N810" i="105"/>
  <c r="J810" i="105"/>
  <c r="N809" i="105"/>
  <c r="J809" i="105"/>
  <c r="N808" i="105"/>
  <c r="J808" i="105"/>
  <c r="N807" i="105"/>
  <c r="J807" i="105"/>
  <c r="M806" i="105"/>
  <c r="L806" i="105"/>
  <c r="K806" i="105"/>
  <c r="I806" i="105"/>
  <c r="H806" i="105"/>
  <c r="G806" i="105"/>
  <c r="F806" i="105"/>
  <c r="E806" i="105"/>
  <c r="N805" i="105"/>
  <c r="J805" i="105"/>
  <c r="N804" i="105"/>
  <c r="J804" i="105"/>
  <c r="M803" i="105"/>
  <c r="L803" i="105"/>
  <c r="K803" i="105"/>
  <c r="I803" i="105"/>
  <c r="H803" i="105"/>
  <c r="G803" i="105"/>
  <c r="F803" i="105"/>
  <c r="N802" i="105"/>
  <c r="J802" i="105"/>
  <c r="N801" i="105"/>
  <c r="J801" i="105"/>
  <c r="M800" i="105"/>
  <c r="L800" i="105"/>
  <c r="K800" i="105"/>
  <c r="I800" i="105"/>
  <c r="H800" i="105"/>
  <c r="G800" i="105"/>
  <c r="F800" i="105"/>
  <c r="N799" i="105"/>
  <c r="J799" i="105"/>
  <c r="N798" i="105"/>
  <c r="J798" i="105"/>
  <c r="N797" i="105"/>
  <c r="J797" i="105"/>
  <c r="D797" i="105" s="1"/>
  <c r="N796" i="105"/>
  <c r="J796" i="105"/>
  <c r="N795" i="105"/>
  <c r="J795" i="105"/>
  <c r="N794" i="105"/>
  <c r="J794" i="105"/>
  <c r="M781" i="105"/>
  <c r="L781" i="105"/>
  <c r="K781" i="105"/>
  <c r="I781" i="105"/>
  <c r="H781" i="105"/>
  <c r="G781" i="105"/>
  <c r="F781" i="105"/>
  <c r="E781" i="105"/>
  <c r="N780" i="105"/>
  <c r="J780" i="105"/>
  <c r="N779" i="105"/>
  <c r="J779" i="105"/>
  <c r="N778" i="105"/>
  <c r="J778" i="105"/>
  <c r="N777" i="105"/>
  <c r="J777" i="105"/>
  <c r="N776" i="105"/>
  <c r="J776" i="105"/>
  <c r="N775" i="105"/>
  <c r="J775" i="105"/>
  <c r="M774" i="105"/>
  <c r="L774" i="105"/>
  <c r="K774" i="105"/>
  <c r="I774" i="105"/>
  <c r="H774" i="105"/>
  <c r="G774" i="105"/>
  <c r="F774" i="105"/>
  <c r="E774" i="105"/>
  <c r="N773" i="105"/>
  <c r="J773" i="105"/>
  <c r="N772" i="105"/>
  <c r="J772" i="105"/>
  <c r="N771" i="105"/>
  <c r="J771" i="105"/>
  <c r="N770" i="105"/>
  <c r="J770" i="105"/>
  <c r="N769" i="105"/>
  <c r="J769" i="105"/>
  <c r="N768" i="105"/>
  <c r="J768" i="105"/>
  <c r="N767" i="105"/>
  <c r="J767" i="105"/>
  <c r="N766" i="105"/>
  <c r="J766" i="105"/>
  <c r="N764" i="105"/>
  <c r="J764" i="105"/>
  <c r="N763" i="105"/>
  <c r="J763" i="105"/>
  <c r="N762" i="105"/>
  <c r="J762" i="105"/>
  <c r="N761" i="105"/>
  <c r="J761" i="105"/>
  <c r="N760" i="105"/>
  <c r="J760" i="105"/>
  <c r="N759" i="105"/>
  <c r="J759" i="105"/>
  <c r="N758" i="105"/>
  <c r="J758" i="105"/>
  <c r="N757" i="105"/>
  <c r="J757" i="105"/>
  <c r="N756" i="105"/>
  <c r="J756" i="105"/>
  <c r="N755" i="105"/>
  <c r="J755" i="105"/>
  <c r="M754" i="105"/>
  <c r="L754" i="105"/>
  <c r="K754" i="105"/>
  <c r="I754" i="105"/>
  <c r="H754" i="105"/>
  <c r="G754" i="105"/>
  <c r="F754" i="105"/>
  <c r="E754" i="105"/>
  <c r="N753" i="105"/>
  <c r="J753" i="105"/>
  <c r="N752" i="105"/>
  <c r="J752" i="105"/>
  <c r="M751" i="105"/>
  <c r="L751" i="105"/>
  <c r="K751" i="105"/>
  <c r="I751" i="105"/>
  <c r="H751" i="105"/>
  <c r="G751" i="105"/>
  <c r="F751" i="105"/>
  <c r="N750" i="105"/>
  <c r="J750" i="105"/>
  <c r="N749" i="105"/>
  <c r="J749" i="105"/>
  <c r="M748" i="105"/>
  <c r="L748" i="105"/>
  <c r="K748" i="105"/>
  <c r="I748" i="105"/>
  <c r="I765" i="105" s="1"/>
  <c r="H748" i="105"/>
  <c r="G748" i="105"/>
  <c r="F748" i="105"/>
  <c r="N747" i="105"/>
  <c r="J747" i="105"/>
  <c r="N746" i="105"/>
  <c r="J746" i="105"/>
  <c r="N745" i="105"/>
  <c r="J745" i="105"/>
  <c r="N744" i="105"/>
  <c r="J744" i="105"/>
  <c r="N743" i="105"/>
  <c r="J743" i="105"/>
  <c r="N742" i="105"/>
  <c r="J742" i="105"/>
  <c r="M729" i="105"/>
  <c r="L729" i="105"/>
  <c r="K729" i="105"/>
  <c r="I729" i="105"/>
  <c r="H729" i="105"/>
  <c r="G729" i="105"/>
  <c r="F729" i="105"/>
  <c r="E729" i="105"/>
  <c r="N728" i="105"/>
  <c r="J728" i="105"/>
  <c r="N727" i="105"/>
  <c r="J727" i="105"/>
  <c r="N726" i="105"/>
  <c r="J726" i="105"/>
  <c r="N725" i="105"/>
  <c r="J725" i="105"/>
  <c r="N724" i="105"/>
  <c r="J724" i="105"/>
  <c r="N723" i="105"/>
  <c r="J723" i="105"/>
  <c r="M722" i="105"/>
  <c r="L722" i="105"/>
  <c r="K722" i="105"/>
  <c r="I722" i="105"/>
  <c r="H722" i="105"/>
  <c r="G722" i="105"/>
  <c r="F722" i="105"/>
  <c r="E722" i="105"/>
  <c r="N721" i="105"/>
  <c r="J721" i="105"/>
  <c r="N720" i="105"/>
  <c r="J720" i="105"/>
  <c r="N719" i="105"/>
  <c r="J719" i="105"/>
  <c r="N718" i="105"/>
  <c r="J718" i="105"/>
  <c r="D718" i="105" s="1"/>
  <c r="N717" i="105"/>
  <c r="J717" i="105"/>
  <c r="N716" i="105"/>
  <c r="J716" i="105"/>
  <c r="N715" i="105"/>
  <c r="J715" i="105"/>
  <c r="N714" i="105"/>
  <c r="J714" i="105"/>
  <c r="N712" i="105"/>
  <c r="J712" i="105"/>
  <c r="N711" i="105"/>
  <c r="J711" i="105"/>
  <c r="N710" i="105"/>
  <c r="J710" i="105"/>
  <c r="N709" i="105"/>
  <c r="J709" i="105"/>
  <c r="N708" i="105"/>
  <c r="J708" i="105"/>
  <c r="N707" i="105"/>
  <c r="J707" i="105"/>
  <c r="N706" i="105"/>
  <c r="J706" i="105"/>
  <c r="N705" i="105"/>
  <c r="J705" i="105"/>
  <c r="N704" i="105"/>
  <c r="J704" i="105"/>
  <c r="N703" i="105"/>
  <c r="J703" i="105"/>
  <c r="M702" i="105"/>
  <c r="L702" i="105"/>
  <c r="K702" i="105"/>
  <c r="I702" i="105"/>
  <c r="H702" i="105"/>
  <c r="G702" i="105"/>
  <c r="F702" i="105"/>
  <c r="E702" i="105"/>
  <c r="N701" i="105"/>
  <c r="J701" i="105"/>
  <c r="N700" i="105"/>
  <c r="J700" i="105"/>
  <c r="M699" i="105"/>
  <c r="L699" i="105"/>
  <c r="K699" i="105"/>
  <c r="I699" i="105"/>
  <c r="H699" i="105"/>
  <c r="G699" i="105"/>
  <c r="F699" i="105"/>
  <c r="N698" i="105"/>
  <c r="J698" i="105"/>
  <c r="N697" i="105"/>
  <c r="J697" i="105"/>
  <c r="M696" i="105"/>
  <c r="L696" i="105"/>
  <c r="K696" i="105"/>
  <c r="I696" i="105"/>
  <c r="H696" i="105"/>
  <c r="G696" i="105"/>
  <c r="F696" i="105"/>
  <c r="N695" i="105"/>
  <c r="J695" i="105"/>
  <c r="N694" i="105"/>
  <c r="J694" i="105"/>
  <c r="N693" i="105"/>
  <c r="J693" i="105"/>
  <c r="N692" i="105"/>
  <c r="J692" i="105"/>
  <c r="N691" i="105"/>
  <c r="J691" i="105"/>
  <c r="N690" i="105"/>
  <c r="J690" i="105"/>
  <c r="M677" i="105"/>
  <c r="L677" i="105"/>
  <c r="K677" i="105"/>
  <c r="I677" i="105"/>
  <c r="H677" i="105"/>
  <c r="G677" i="105"/>
  <c r="F677" i="105"/>
  <c r="E677" i="105"/>
  <c r="N676" i="105"/>
  <c r="J676" i="105"/>
  <c r="N675" i="105"/>
  <c r="J675" i="105"/>
  <c r="N674" i="105"/>
  <c r="J674" i="105"/>
  <c r="N673" i="105"/>
  <c r="J673" i="105"/>
  <c r="N672" i="105"/>
  <c r="J672" i="105"/>
  <c r="N671" i="105"/>
  <c r="J671" i="105"/>
  <c r="M670" i="105"/>
  <c r="L670" i="105"/>
  <c r="K670" i="105"/>
  <c r="I670" i="105"/>
  <c r="G670" i="105"/>
  <c r="F670" i="105"/>
  <c r="E670" i="105"/>
  <c r="N669" i="105"/>
  <c r="H669" i="105"/>
  <c r="N668" i="105"/>
  <c r="J668" i="105"/>
  <c r="N667" i="105"/>
  <c r="J667" i="105"/>
  <c r="N666" i="105"/>
  <c r="J666" i="105"/>
  <c r="N665" i="105"/>
  <c r="J665" i="105"/>
  <c r="N664" i="105"/>
  <c r="J664" i="105"/>
  <c r="N663" i="105"/>
  <c r="J663" i="105"/>
  <c r="N662" i="105"/>
  <c r="J662" i="105"/>
  <c r="N660" i="105"/>
  <c r="J660" i="105"/>
  <c r="N659" i="105"/>
  <c r="J659" i="105"/>
  <c r="N658" i="105"/>
  <c r="J658" i="105"/>
  <c r="N657" i="105"/>
  <c r="J657" i="105"/>
  <c r="N656" i="105"/>
  <c r="J656" i="105"/>
  <c r="N655" i="105"/>
  <c r="J655" i="105"/>
  <c r="N654" i="105"/>
  <c r="J654" i="105"/>
  <c r="N653" i="105"/>
  <c r="J653" i="105"/>
  <c r="N652" i="105"/>
  <c r="J652" i="105"/>
  <c r="N651" i="105"/>
  <c r="J651" i="105"/>
  <c r="M650" i="105"/>
  <c r="L650" i="105"/>
  <c r="K650" i="105"/>
  <c r="I650" i="105"/>
  <c r="H650" i="105"/>
  <c r="G650" i="105"/>
  <c r="F650" i="105"/>
  <c r="E650" i="105"/>
  <c r="N649" i="105"/>
  <c r="J649" i="105"/>
  <c r="N648" i="105"/>
  <c r="J648" i="105"/>
  <c r="M647" i="105"/>
  <c r="L647" i="105"/>
  <c r="K647" i="105"/>
  <c r="I647" i="105"/>
  <c r="H647" i="105"/>
  <c r="G647" i="105"/>
  <c r="F647" i="105"/>
  <c r="N646" i="105"/>
  <c r="J646" i="105"/>
  <c r="N645" i="105"/>
  <c r="J645" i="105"/>
  <c r="M644" i="105"/>
  <c r="L644" i="105"/>
  <c r="K644" i="105"/>
  <c r="I644" i="105"/>
  <c r="H644" i="105"/>
  <c r="G644" i="105"/>
  <c r="F644" i="105"/>
  <c r="N643" i="105"/>
  <c r="J643" i="105"/>
  <c r="N642" i="105"/>
  <c r="J642" i="105"/>
  <c r="N641" i="105"/>
  <c r="J641" i="105"/>
  <c r="N640" i="105"/>
  <c r="J640" i="105"/>
  <c r="N639" i="105"/>
  <c r="J639" i="105"/>
  <c r="N638" i="105"/>
  <c r="J638" i="105"/>
  <c r="M625" i="105"/>
  <c r="L625" i="105"/>
  <c r="K625" i="105"/>
  <c r="I625" i="105"/>
  <c r="H625" i="105"/>
  <c r="G625" i="105"/>
  <c r="F625" i="105"/>
  <c r="E625" i="105"/>
  <c r="N624" i="105"/>
  <c r="J624" i="105"/>
  <c r="N623" i="105"/>
  <c r="J623" i="105"/>
  <c r="N622" i="105"/>
  <c r="J622" i="105"/>
  <c r="N621" i="105"/>
  <c r="J621" i="105"/>
  <c r="N620" i="105"/>
  <c r="J620" i="105"/>
  <c r="N619" i="105"/>
  <c r="J619" i="105"/>
  <c r="M618" i="105"/>
  <c r="L618" i="105"/>
  <c r="K618" i="105"/>
  <c r="I618" i="105"/>
  <c r="H618" i="105"/>
  <c r="G618" i="105"/>
  <c r="F618" i="105"/>
  <c r="E618" i="105"/>
  <c r="N617" i="105"/>
  <c r="J617" i="105"/>
  <c r="N616" i="105"/>
  <c r="J616" i="105"/>
  <c r="N615" i="105"/>
  <c r="J615" i="105"/>
  <c r="N614" i="105"/>
  <c r="J614" i="105"/>
  <c r="N613" i="105"/>
  <c r="J613" i="105"/>
  <c r="N612" i="105"/>
  <c r="J612" i="105"/>
  <c r="N611" i="105"/>
  <c r="J611" i="105"/>
  <c r="N610" i="105"/>
  <c r="J610" i="105"/>
  <c r="N608" i="105"/>
  <c r="J608" i="105"/>
  <c r="N607" i="105"/>
  <c r="J607" i="105"/>
  <c r="N606" i="105"/>
  <c r="J606" i="105"/>
  <c r="N605" i="105"/>
  <c r="J605" i="105"/>
  <c r="N604" i="105"/>
  <c r="J604" i="105"/>
  <c r="N603" i="105"/>
  <c r="J603" i="105"/>
  <c r="N602" i="105"/>
  <c r="J602" i="105"/>
  <c r="N601" i="105"/>
  <c r="J601" i="105"/>
  <c r="N600" i="105"/>
  <c r="J600" i="105"/>
  <c r="N599" i="105"/>
  <c r="J599" i="105"/>
  <c r="M598" i="105"/>
  <c r="L598" i="105"/>
  <c r="K598" i="105"/>
  <c r="I598" i="105"/>
  <c r="H598" i="105"/>
  <c r="G598" i="105"/>
  <c r="F598" i="105"/>
  <c r="E598" i="105"/>
  <c r="N597" i="105"/>
  <c r="J597" i="105"/>
  <c r="N596" i="105"/>
  <c r="J596" i="105"/>
  <c r="M595" i="105"/>
  <c r="L595" i="105"/>
  <c r="K595" i="105"/>
  <c r="I595" i="105"/>
  <c r="H595" i="105"/>
  <c r="G595" i="105"/>
  <c r="F595" i="105"/>
  <c r="N594" i="105"/>
  <c r="J594" i="105"/>
  <c r="D594" i="105" s="1"/>
  <c r="N593" i="105"/>
  <c r="J593" i="105"/>
  <c r="M592" i="105"/>
  <c r="L592" i="105"/>
  <c r="K592" i="105"/>
  <c r="I592" i="105"/>
  <c r="H592" i="105"/>
  <c r="G592" i="105"/>
  <c r="F592" i="105"/>
  <c r="N591" i="105"/>
  <c r="J591" i="105"/>
  <c r="N590" i="105"/>
  <c r="J590" i="105"/>
  <c r="N589" i="105"/>
  <c r="J589" i="105"/>
  <c r="N588" i="105"/>
  <c r="J588" i="105"/>
  <c r="N587" i="105"/>
  <c r="J587" i="105"/>
  <c r="N586" i="105"/>
  <c r="J586" i="105"/>
  <c r="M573" i="105"/>
  <c r="L573" i="105"/>
  <c r="K573" i="105"/>
  <c r="I573" i="105"/>
  <c r="H573" i="105"/>
  <c r="G573" i="105"/>
  <c r="F573" i="105"/>
  <c r="E573" i="105"/>
  <c r="N572" i="105"/>
  <c r="J572" i="105"/>
  <c r="N571" i="105"/>
  <c r="J571" i="105"/>
  <c r="N570" i="105"/>
  <c r="J570" i="105"/>
  <c r="N569" i="105"/>
  <c r="J569" i="105"/>
  <c r="N568" i="105"/>
  <c r="J568" i="105"/>
  <c r="N567" i="105"/>
  <c r="J567" i="105"/>
  <c r="M566" i="105"/>
  <c r="L566" i="105"/>
  <c r="K566" i="105"/>
  <c r="I566" i="105"/>
  <c r="H566" i="105"/>
  <c r="G566" i="105"/>
  <c r="F566" i="105"/>
  <c r="E566" i="105"/>
  <c r="N565" i="105"/>
  <c r="J565" i="105"/>
  <c r="N564" i="105"/>
  <c r="J564" i="105"/>
  <c r="N563" i="105"/>
  <c r="J563" i="105"/>
  <c r="N562" i="105"/>
  <c r="J562" i="105"/>
  <c r="N561" i="105"/>
  <c r="J561" i="105"/>
  <c r="N560" i="105"/>
  <c r="J560" i="105"/>
  <c r="N559" i="105"/>
  <c r="J559" i="105"/>
  <c r="N558" i="105"/>
  <c r="J558" i="105"/>
  <c r="N556" i="105"/>
  <c r="J556" i="105"/>
  <c r="N555" i="105"/>
  <c r="J555" i="105"/>
  <c r="N554" i="105"/>
  <c r="J554" i="105"/>
  <c r="N553" i="105"/>
  <c r="J553" i="105"/>
  <c r="N552" i="105"/>
  <c r="J552" i="105"/>
  <c r="N551" i="105"/>
  <c r="J551" i="105"/>
  <c r="N550" i="105"/>
  <c r="J550" i="105"/>
  <c r="N549" i="105"/>
  <c r="J549" i="105"/>
  <c r="N548" i="105"/>
  <c r="J548" i="105"/>
  <c r="N547" i="105"/>
  <c r="J547" i="105"/>
  <c r="M546" i="105"/>
  <c r="L546" i="105"/>
  <c r="K546" i="105"/>
  <c r="I546" i="105"/>
  <c r="H546" i="105"/>
  <c r="G546" i="105"/>
  <c r="F546" i="105"/>
  <c r="E546" i="105"/>
  <c r="N545" i="105"/>
  <c r="J545" i="105"/>
  <c r="N544" i="105"/>
  <c r="J544" i="105"/>
  <c r="M543" i="105"/>
  <c r="L543" i="105"/>
  <c r="K543" i="105"/>
  <c r="I543" i="105"/>
  <c r="H543" i="105"/>
  <c r="G543" i="105"/>
  <c r="F543" i="105"/>
  <c r="N542" i="105"/>
  <c r="J542" i="105"/>
  <c r="N541" i="105"/>
  <c r="J541" i="105"/>
  <c r="M540" i="105"/>
  <c r="L540" i="105"/>
  <c r="K540" i="105"/>
  <c r="I540" i="105"/>
  <c r="H540" i="105"/>
  <c r="G540" i="105"/>
  <c r="F540" i="105"/>
  <c r="N539" i="105"/>
  <c r="J539" i="105"/>
  <c r="N538" i="105"/>
  <c r="J538" i="105"/>
  <c r="N537" i="105"/>
  <c r="J537" i="105"/>
  <c r="N536" i="105"/>
  <c r="J536" i="105"/>
  <c r="N535" i="105"/>
  <c r="J535" i="105"/>
  <c r="N534" i="105"/>
  <c r="J534" i="105"/>
  <c r="M521" i="105"/>
  <c r="L521" i="105"/>
  <c r="K521" i="105"/>
  <c r="I521" i="105"/>
  <c r="H521" i="105"/>
  <c r="G521" i="105"/>
  <c r="F521" i="105"/>
  <c r="E521" i="105"/>
  <c r="N520" i="105"/>
  <c r="J520" i="105"/>
  <c r="N519" i="105"/>
  <c r="J519" i="105"/>
  <c r="N518" i="105"/>
  <c r="J518" i="105"/>
  <c r="N517" i="105"/>
  <c r="J517" i="105"/>
  <c r="N516" i="105"/>
  <c r="J516" i="105"/>
  <c r="N515" i="105"/>
  <c r="D515" i="105" s="1"/>
  <c r="M514" i="105"/>
  <c r="L514" i="105"/>
  <c r="K514" i="105"/>
  <c r="I514" i="105"/>
  <c r="H514" i="105"/>
  <c r="G514" i="105"/>
  <c r="F514" i="105"/>
  <c r="E514" i="105"/>
  <c r="N513" i="105"/>
  <c r="J513" i="105"/>
  <c r="N512" i="105"/>
  <c r="J512" i="105"/>
  <c r="N511" i="105"/>
  <c r="J511" i="105"/>
  <c r="N510" i="105"/>
  <c r="J510" i="105"/>
  <c r="N509" i="105"/>
  <c r="J509" i="105"/>
  <c r="N508" i="105"/>
  <c r="J508" i="105"/>
  <c r="N507" i="105"/>
  <c r="D507" i="105" s="1"/>
  <c r="N506" i="105"/>
  <c r="D506" i="105" s="1"/>
  <c r="N504" i="105"/>
  <c r="J504" i="105"/>
  <c r="N503" i="105"/>
  <c r="J503" i="105"/>
  <c r="N502" i="105"/>
  <c r="J502" i="105"/>
  <c r="N501" i="105"/>
  <c r="J501" i="105"/>
  <c r="N500" i="105"/>
  <c r="J500" i="105"/>
  <c r="N499" i="105"/>
  <c r="J499" i="105"/>
  <c r="N498" i="105"/>
  <c r="J498" i="105"/>
  <c r="N497" i="105"/>
  <c r="J497" i="105"/>
  <c r="D497" i="105" s="1"/>
  <c r="N496" i="105"/>
  <c r="J496" i="105"/>
  <c r="N495" i="105"/>
  <c r="J495" i="105"/>
  <c r="M494" i="105"/>
  <c r="L494" i="105"/>
  <c r="K494" i="105"/>
  <c r="I494" i="105"/>
  <c r="H494" i="105"/>
  <c r="G494" i="105"/>
  <c r="F494" i="105"/>
  <c r="E494" i="105"/>
  <c r="N493" i="105"/>
  <c r="J493" i="105"/>
  <c r="N492" i="105"/>
  <c r="J492" i="105"/>
  <c r="M491" i="105"/>
  <c r="L491" i="105"/>
  <c r="K491" i="105"/>
  <c r="I491" i="105"/>
  <c r="H491" i="105"/>
  <c r="G491" i="105"/>
  <c r="F491" i="105"/>
  <c r="E491" i="105"/>
  <c r="E23" i="105" s="1"/>
  <c r="N490" i="105"/>
  <c r="J490" i="105"/>
  <c r="N489" i="105"/>
  <c r="J489" i="105"/>
  <c r="M488" i="105"/>
  <c r="L488" i="105"/>
  <c r="L505" i="105" s="1"/>
  <c r="K488" i="105"/>
  <c r="I488" i="105"/>
  <c r="I505" i="105" s="1"/>
  <c r="H488" i="105"/>
  <c r="G488" i="105"/>
  <c r="F488" i="105"/>
  <c r="E488" i="105"/>
  <c r="N487" i="105"/>
  <c r="J487" i="105"/>
  <c r="N486" i="105"/>
  <c r="J486" i="105"/>
  <c r="N485" i="105"/>
  <c r="J485" i="105"/>
  <c r="N484" i="105"/>
  <c r="J484" i="105"/>
  <c r="N483" i="105"/>
  <c r="J483" i="105"/>
  <c r="N482" i="105"/>
  <c r="J482" i="105"/>
  <c r="M469" i="105"/>
  <c r="L469" i="105"/>
  <c r="K469" i="105"/>
  <c r="I469" i="105"/>
  <c r="H469" i="105"/>
  <c r="G469" i="105"/>
  <c r="F469" i="105"/>
  <c r="E469" i="105"/>
  <c r="N468" i="105"/>
  <c r="J468" i="105"/>
  <c r="N467" i="105"/>
  <c r="J467" i="105"/>
  <c r="N466" i="105"/>
  <c r="J466" i="105"/>
  <c r="N465" i="105"/>
  <c r="J465" i="105"/>
  <c r="N464" i="105"/>
  <c r="J464" i="105"/>
  <c r="N463" i="105"/>
  <c r="J463" i="105"/>
  <c r="D463" i="105" s="1"/>
  <c r="M462" i="105"/>
  <c r="L462" i="105"/>
  <c r="K462" i="105"/>
  <c r="I462" i="105"/>
  <c r="H462" i="105"/>
  <c r="G462" i="105"/>
  <c r="F462" i="105"/>
  <c r="E462" i="105"/>
  <c r="N461" i="105"/>
  <c r="J461" i="105"/>
  <c r="N460" i="105"/>
  <c r="J460" i="105"/>
  <c r="N459" i="105"/>
  <c r="J459" i="105"/>
  <c r="N458" i="105"/>
  <c r="J458" i="105"/>
  <c r="N457" i="105"/>
  <c r="J457" i="105"/>
  <c r="N456" i="105"/>
  <c r="J456" i="105"/>
  <c r="N455" i="105"/>
  <c r="J455" i="105"/>
  <c r="N454" i="105"/>
  <c r="J454" i="105"/>
  <c r="N452" i="105"/>
  <c r="J452" i="105"/>
  <c r="N451" i="105"/>
  <c r="J451" i="105"/>
  <c r="N450" i="105"/>
  <c r="J450" i="105"/>
  <c r="N449" i="105"/>
  <c r="J449" i="105"/>
  <c r="N448" i="105"/>
  <c r="J448" i="105"/>
  <c r="N447" i="105"/>
  <c r="J447" i="105"/>
  <c r="N446" i="105"/>
  <c r="J446" i="105"/>
  <c r="N445" i="105"/>
  <c r="J445" i="105"/>
  <c r="N444" i="105"/>
  <c r="J444" i="105"/>
  <c r="N443" i="105"/>
  <c r="J443" i="105"/>
  <c r="M442" i="105"/>
  <c r="L442" i="105"/>
  <c r="K442" i="105"/>
  <c r="I442" i="105"/>
  <c r="H442" i="105"/>
  <c r="G442" i="105"/>
  <c r="F442" i="105"/>
  <c r="E442" i="105"/>
  <c r="N441" i="105"/>
  <c r="J441" i="105"/>
  <c r="N440" i="105"/>
  <c r="J440" i="105"/>
  <c r="M439" i="105"/>
  <c r="L439" i="105"/>
  <c r="K439" i="105"/>
  <c r="I439" i="105"/>
  <c r="H439" i="105"/>
  <c r="G439" i="105"/>
  <c r="F439" i="105"/>
  <c r="N438" i="105"/>
  <c r="J438" i="105"/>
  <c r="N437" i="105"/>
  <c r="J437" i="105"/>
  <c r="M436" i="105"/>
  <c r="L436" i="105"/>
  <c r="K436" i="105"/>
  <c r="I436" i="105"/>
  <c r="H436" i="105"/>
  <c r="G436" i="105"/>
  <c r="F436" i="105"/>
  <c r="N435" i="105"/>
  <c r="J435" i="105"/>
  <c r="N434" i="105"/>
  <c r="J434" i="105"/>
  <c r="N433" i="105"/>
  <c r="J433" i="105"/>
  <c r="N432" i="105"/>
  <c r="J432" i="105"/>
  <c r="N431" i="105"/>
  <c r="J431" i="105"/>
  <c r="N430" i="105"/>
  <c r="J430" i="105"/>
  <c r="M417" i="105"/>
  <c r="L417" i="105"/>
  <c r="K417" i="105"/>
  <c r="I417" i="105"/>
  <c r="H417" i="105"/>
  <c r="G417" i="105"/>
  <c r="F417" i="105"/>
  <c r="E417" i="105"/>
  <c r="N416" i="105"/>
  <c r="J416" i="105"/>
  <c r="N415" i="105"/>
  <c r="J415" i="105"/>
  <c r="N414" i="105"/>
  <c r="J414" i="105"/>
  <c r="D414" i="105" s="1"/>
  <c r="N413" i="105"/>
  <c r="J413" i="105"/>
  <c r="N412" i="105"/>
  <c r="J412" i="105"/>
  <c r="N411" i="105"/>
  <c r="J411" i="105"/>
  <c r="M410" i="105"/>
  <c r="L410" i="105"/>
  <c r="K410" i="105"/>
  <c r="I410" i="105"/>
  <c r="H410" i="105"/>
  <c r="G410" i="105"/>
  <c r="F410" i="105"/>
  <c r="E410" i="105"/>
  <c r="N409" i="105"/>
  <c r="J409" i="105"/>
  <c r="N408" i="105"/>
  <c r="J408" i="105"/>
  <c r="N407" i="105"/>
  <c r="J407" i="105"/>
  <c r="N406" i="105"/>
  <c r="J406" i="105"/>
  <c r="N405" i="105"/>
  <c r="J405" i="105"/>
  <c r="N404" i="105"/>
  <c r="J404" i="105"/>
  <c r="N403" i="105"/>
  <c r="J403" i="105"/>
  <c r="N402" i="105"/>
  <c r="J402" i="105"/>
  <c r="N400" i="105"/>
  <c r="J400" i="105"/>
  <c r="N399" i="105"/>
  <c r="J399" i="105"/>
  <c r="N398" i="105"/>
  <c r="J398" i="105"/>
  <c r="D398" i="105" s="1"/>
  <c r="N397" i="105"/>
  <c r="J397" i="105"/>
  <c r="N396" i="105"/>
  <c r="J396" i="105"/>
  <c r="N395" i="105"/>
  <c r="J395" i="105"/>
  <c r="N394" i="105"/>
  <c r="J394" i="105"/>
  <c r="D394" i="105" s="1"/>
  <c r="N393" i="105"/>
  <c r="J393" i="105"/>
  <c r="N392" i="105"/>
  <c r="J392" i="105"/>
  <c r="D392" i="105" s="1"/>
  <c r="N391" i="105"/>
  <c r="J391" i="105"/>
  <c r="M390" i="105"/>
  <c r="L390" i="105"/>
  <c r="K390" i="105"/>
  <c r="I390" i="105"/>
  <c r="J390" i="105" s="1"/>
  <c r="E390" i="105"/>
  <c r="N389" i="105"/>
  <c r="J389" i="105"/>
  <c r="N388" i="105"/>
  <c r="J388" i="105"/>
  <c r="M387" i="105"/>
  <c r="L387" i="105"/>
  <c r="K387" i="105"/>
  <c r="I387" i="105"/>
  <c r="H387" i="105"/>
  <c r="G387" i="105"/>
  <c r="F387" i="105"/>
  <c r="N386" i="105"/>
  <c r="J386" i="105"/>
  <c r="N385" i="105"/>
  <c r="J385" i="105"/>
  <c r="M384" i="105"/>
  <c r="L384" i="105"/>
  <c r="K384" i="105"/>
  <c r="I384" i="105"/>
  <c r="H384" i="105"/>
  <c r="G384" i="105"/>
  <c r="F384" i="105"/>
  <c r="E384" i="105"/>
  <c r="N383" i="105"/>
  <c r="J383" i="105"/>
  <c r="D383" i="105" s="1"/>
  <c r="N382" i="105"/>
  <c r="J382" i="105"/>
  <c r="N381" i="105"/>
  <c r="J381" i="105"/>
  <c r="N380" i="105"/>
  <c r="J380" i="105"/>
  <c r="N379" i="105"/>
  <c r="J379" i="105"/>
  <c r="N378" i="105"/>
  <c r="J378" i="105"/>
  <c r="M365" i="105"/>
  <c r="L365" i="105"/>
  <c r="K365" i="105"/>
  <c r="I365" i="105"/>
  <c r="H365" i="105"/>
  <c r="G365" i="105"/>
  <c r="F365" i="105"/>
  <c r="E365" i="105"/>
  <c r="N364" i="105"/>
  <c r="J364" i="105"/>
  <c r="N363" i="105"/>
  <c r="J363" i="105"/>
  <c r="N362" i="105"/>
  <c r="J362" i="105"/>
  <c r="N361" i="105"/>
  <c r="J361" i="105"/>
  <c r="N360" i="105"/>
  <c r="J360" i="105"/>
  <c r="N359" i="105"/>
  <c r="J359" i="105"/>
  <c r="M358" i="105"/>
  <c r="L358" i="105"/>
  <c r="K358" i="105"/>
  <c r="I358" i="105"/>
  <c r="H358" i="105"/>
  <c r="G358" i="105"/>
  <c r="F358" i="105"/>
  <c r="E358" i="105"/>
  <c r="N357" i="105"/>
  <c r="J357" i="105"/>
  <c r="N356" i="105"/>
  <c r="J356" i="105"/>
  <c r="N355" i="105"/>
  <c r="J355" i="105"/>
  <c r="N354" i="105"/>
  <c r="J354" i="105"/>
  <c r="N353" i="105"/>
  <c r="J353" i="105"/>
  <c r="N352" i="105"/>
  <c r="J352" i="105"/>
  <c r="N351" i="105"/>
  <c r="J351" i="105"/>
  <c r="N350" i="105"/>
  <c r="J350" i="105"/>
  <c r="N348" i="105"/>
  <c r="J348" i="105"/>
  <c r="N347" i="105"/>
  <c r="J347" i="105"/>
  <c r="N346" i="105"/>
  <c r="J346" i="105"/>
  <c r="N345" i="105"/>
  <c r="J345" i="105"/>
  <c r="N344" i="105"/>
  <c r="J344" i="105"/>
  <c r="N343" i="105"/>
  <c r="J343" i="105"/>
  <c r="N342" i="105"/>
  <c r="J342" i="105"/>
  <c r="N341" i="105"/>
  <c r="J341" i="105"/>
  <c r="N340" i="105"/>
  <c r="J340" i="105"/>
  <c r="N339" i="105"/>
  <c r="J339" i="105"/>
  <c r="M338" i="105"/>
  <c r="L338" i="105"/>
  <c r="K338" i="105"/>
  <c r="I338" i="105"/>
  <c r="H338" i="105"/>
  <c r="G338" i="105"/>
  <c r="F338" i="105"/>
  <c r="E338" i="105"/>
  <c r="N337" i="105"/>
  <c r="J337" i="105"/>
  <c r="N336" i="105"/>
  <c r="J336" i="105"/>
  <c r="M335" i="105"/>
  <c r="L335" i="105"/>
  <c r="K335" i="105"/>
  <c r="I335" i="105"/>
  <c r="H335" i="105"/>
  <c r="G335" i="105"/>
  <c r="F335" i="105"/>
  <c r="N334" i="105"/>
  <c r="J334" i="105"/>
  <c r="N333" i="105"/>
  <c r="J333" i="105"/>
  <c r="M332" i="105"/>
  <c r="L332" i="105"/>
  <c r="K332" i="105"/>
  <c r="I332" i="105"/>
  <c r="H332" i="105"/>
  <c r="G332" i="105"/>
  <c r="F332" i="105"/>
  <c r="E332" i="105"/>
  <c r="N331" i="105"/>
  <c r="J331" i="105"/>
  <c r="N330" i="105"/>
  <c r="J330" i="105"/>
  <c r="N329" i="105"/>
  <c r="J329" i="105"/>
  <c r="N328" i="105"/>
  <c r="J328" i="105"/>
  <c r="N327" i="105"/>
  <c r="J327" i="105"/>
  <c r="N326" i="105"/>
  <c r="J326" i="105"/>
  <c r="M313" i="105"/>
  <c r="L313" i="105"/>
  <c r="K313" i="105"/>
  <c r="I313" i="105"/>
  <c r="H313" i="105"/>
  <c r="G313" i="105"/>
  <c r="F313" i="105"/>
  <c r="E313" i="105"/>
  <c r="N312" i="105"/>
  <c r="J312" i="105"/>
  <c r="N311" i="105"/>
  <c r="J311" i="105"/>
  <c r="N310" i="105"/>
  <c r="J310" i="105"/>
  <c r="N309" i="105"/>
  <c r="J309" i="105"/>
  <c r="N308" i="105"/>
  <c r="J308" i="105"/>
  <c r="N307" i="105"/>
  <c r="J307" i="105"/>
  <c r="M306" i="105"/>
  <c r="L306" i="105"/>
  <c r="K306" i="105"/>
  <c r="I306" i="105"/>
  <c r="H306" i="105"/>
  <c r="G306" i="105"/>
  <c r="F306" i="105"/>
  <c r="E306" i="105"/>
  <c r="N305" i="105"/>
  <c r="J305" i="105"/>
  <c r="N304" i="105"/>
  <c r="J304" i="105"/>
  <c r="N303" i="105"/>
  <c r="J303" i="105"/>
  <c r="N302" i="105"/>
  <c r="J302" i="105"/>
  <c r="N301" i="105"/>
  <c r="J301" i="105"/>
  <c r="N300" i="105"/>
  <c r="J300" i="105"/>
  <c r="N299" i="105"/>
  <c r="J299" i="105"/>
  <c r="N298" i="105"/>
  <c r="J298" i="105"/>
  <c r="N296" i="105"/>
  <c r="J296" i="105"/>
  <c r="N295" i="105"/>
  <c r="J295" i="105"/>
  <c r="N294" i="105"/>
  <c r="J294" i="105"/>
  <c r="N293" i="105"/>
  <c r="J293" i="105"/>
  <c r="N292" i="105"/>
  <c r="J292" i="105"/>
  <c r="N291" i="105"/>
  <c r="J291" i="105"/>
  <c r="N290" i="105"/>
  <c r="J290" i="105"/>
  <c r="N289" i="105"/>
  <c r="J289" i="105"/>
  <c r="N288" i="105"/>
  <c r="J288" i="105"/>
  <c r="N287" i="105"/>
  <c r="J287" i="105"/>
  <c r="M286" i="105"/>
  <c r="L286" i="105"/>
  <c r="K286" i="105"/>
  <c r="I286" i="105"/>
  <c r="H286" i="105"/>
  <c r="G286" i="105"/>
  <c r="F286" i="105"/>
  <c r="E286" i="105"/>
  <c r="N285" i="105"/>
  <c r="J285" i="105"/>
  <c r="N284" i="105"/>
  <c r="J284" i="105"/>
  <c r="M283" i="105"/>
  <c r="L283" i="105"/>
  <c r="K283" i="105"/>
  <c r="I283" i="105"/>
  <c r="H283" i="105"/>
  <c r="G283" i="105"/>
  <c r="F283" i="105"/>
  <c r="N282" i="105"/>
  <c r="J282" i="105"/>
  <c r="N281" i="105"/>
  <c r="J281" i="105"/>
  <c r="M280" i="105"/>
  <c r="L280" i="105"/>
  <c r="K280" i="105"/>
  <c r="I280" i="105"/>
  <c r="H280" i="105"/>
  <c r="G280" i="105"/>
  <c r="F280" i="105"/>
  <c r="N279" i="105"/>
  <c r="J279" i="105"/>
  <c r="N278" i="105"/>
  <c r="G278" i="105"/>
  <c r="N277" i="105"/>
  <c r="J277" i="105"/>
  <c r="N276" i="105"/>
  <c r="J276" i="105"/>
  <c r="N275" i="105"/>
  <c r="J275" i="105"/>
  <c r="N274" i="105"/>
  <c r="J274" i="105"/>
  <c r="M261" i="105"/>
  <c r="L261" i="105"/>
  <c r="K261" i="105"/>
  <c r="I261" i="105"/>
  <c r="H261" i="105"/>
  <c r="G261" i="105"/>
  <c r="F261" i="105"/>
  <c r="E261" i="105"/>
  <c r="N260" i="105"/>
  <c r="J260" i="105"/>
  <c r="N259" i="105"/>
  <c r="J259" i="105"/>
  <c r="N258" i="105"/>
  <c r="J258" i="105"/>
  <c r="N257" i="105"/>
  <c r="J257" i="105"/>
  <c r="N256" i="105"/>
  <c r="J256" i="105"/>
  <c r="N255" i="105"/>
  <c r="J255" i="105"/>
  <c r="M254" i="105"/>
  <c r="L254" i="105"/>
  <c r="K254" i="105"/>
  <c r="I254" i="105"/>
  <c r="H254" i="105"/>
  <c r="G254" i="105"/>
  <c r="F254" i="105"/>
  <c r="E254" i="105"/>
  <c r="N253" i="105"/>
  <c r="J253" i="105"/>
  <c r="N252" i="105"/>
  <c r="J252" i="105"/>
  <c r="N251" i="105"/>
  <c r="J251" i="105"/>
  <c r="N250" i="105"/>
  <c r="J250" i="105"/>
  <c r="N249" i="105"/>
  <c r="J249" i="105"/>
  <c r="N248" i="105"/>
  <c r="J248" i="105"/>
  <c r="N247" i="105"/>
  <c r="J247" i="105"/>
  <c r="N246" i="105"/>
  <c r="J246" i="105"/>
  <c r="N244" i="105"/>
  <c r="J244" i="105"/>
  <c r="N243" i="105"/>
  <c r="J243" i="105"/>
  <c r="N242" i="105"/>
  <c r="J242" i="105"/>
  <c r="N241" i="105"/>
  <c r="J241" i="105"/>
  <c r="N240" i="105"/>
  <c r="J240" i="105"/>
  <c r="N239" i="105"/>
  <c r="J239" i="105"/>
  <c r="N238" i="105"/>
  <c r="J238" i="105"/>
  <c r="N237" i="105"/>
  <c r="J237" i="105"/>
  <c r="N236" i="105"/>
  <c r="J236" i="105"/>
  <c r="N235" i="105"/>
  <c r="J235" i="105"/>
  <c r="M234" i="105"/>
  <c r="L234" i="105"/>
  <c r="K234" i="105"/>
  <c r="I234" i="105"/>
  <c r="H234" i="105"/>
  <c r="G234" i="105"/>
  <c r="F234" i="105"/>
  <c r="E234" i="105"/>
  <c r="N233" i="105"/>
  <c r="J233" i="105"/>
  <c r="N232" i="105"/>
  <c r="J232" i="105"/>
  <c r="M231" i="105"/>
  <c r="L231" i="105"/>
  <c r="K231" i="105"/>
  <c r="I231" i="105"/>
  <c r="H231" i="105"/>
  <c r="G231" i="105"/>
  <c r="F231" i="105"/>
  <c r="N230" i="105"/>
  <c r="J230" i="105"/>
  <c r="D230" i="105" s="1"/>
  <c r="N229" i="105"/>
  <c r="J229" i="105"/>
  <c r="M228" i="105"/>
  <c r="L228" i="105"/>
  <c r="K228" i="105"/>
  <c r="I228" i="105"/>
  <c r="I245" i="105" s="1"/>
  <c r="H228" i="105"/>
  <c r="G228" i="105"/>
  <c r="F228" i="105"/>
  <c r="N227" i="105"/>
  <c r="J227" i="105"/>
  <c r="N226" i="105"/>
  <c r="J226" i="105"/>
  <c r="N225" i="105"/>
  <c r="J225" i="105"/>
  <c r="N224" i="105"/>
  <c r="J224" i="105"/>
  <c r="N223" i="105"/>
  <c r="J223" i="105"/>
  <c r="N222" i="105"/>
  <c r="J222" i="105"/>
  <c r="M209" i="105"/>
  <c r="L209" i="105"/>
  <c r="K209" i="105"/>
  <c r="I209" i="105"/>
  <c r="H209" i="105"/>
  <c r="G209" i="105"/>
  <c r="F209" i="105"/>
  <c r="E209" i="105"/>
  <c r="N208" i="105"/>
  <c r="J208" i="105"/>
  <c r="N207" i="105"/>
  <c r="J207" i="105"/>
  <c r="N206" i="105"/>
  <c r="J206" i="105"/>
  <c r="N205" i="105"/>
  <c r="J205" i="105"/>
  <c r="N204" i="105"/>
  <c r="J204" i="105"/>
  <c r="N203" i="105"/>
  <c r="J203" i="105"/>
  <c r="M202" i="105"/>
  <c r="L202" i="105"/>
  <c r="I202" i="105"/>
  <c r="H202" i="105"/>
  <c r="G202" i="105"/>
  <c r="F202" i="105"/>
  <c r="E202" i="105"/>
  <c r="N201" i="105"/>
  <c r="J201" i="105"/>
  <c r="J200" i="105"/>
  <c r="N199" i="105"/>
  <c r="J199" i="105"/>
  <c r="N198" i="105"/>
  <c r="J198" i="105"/>
  <c r="N197" i="105"/>
  <c r="J197" i="105"/>
  <c r="N196" i="105"/>
  <c r="J196" i="105"/>
  <c r="N195" i="105"/>
  <c r="J195" i="105"/>
  <c r="N194" i="105"/>
  <c r="J194" i="105"/>
  <c r="N192" i="105"/>
  <c r="J192" i="105"/>
  <c r="N191" i="105"/>
  <c r="J191" i="105"/>
  <c r="N190" i="105"/>
  <c r="J190" i="105"/>
  <c r="N189" i="105"/>
  <c r="J189" i="105"/>
  <c r="N188" i="105"/>
  <c r="J188" i="105"/>
  <c r="N187" i="105"/>
  <c r="J187" i="105"/>
  <c r="N186" i="105"/>
  <c r="J186" i="105"/>
  <c r="N185" i="105"/>
  <c r="J185" i="105"/>
  <c r="N184" i="105"/>
  <c r="J184" i="105"/>
  <c r="N183" i="105"/>
  <c r="J183" i="105"/>
  <c r="M182" i="105"/>
  <c r="L182" i="105"/>
  <c r="K182" i="105"/>
  <c r="I182" i="105"/>
  <c r="H182" i="105"/>
  <c r="G182" i="105"/>
  <c r="F182" i="105"/>
  <c r="E182" i="105"/>
  <c r="N181" i="105"/>
  <c r="J181" i="105"/>
  <c r="N180" i="105"/>
  <c r="J180" i="105"/>
  <c r="M179" i="105"/>
  <c r="L179" i="105"/>
  <c r="K179" i="105"/>
  <c r="I179" i="105"/>
  <c r="H179" i="105"/>
  <c r="G179" i="105"/>
  <c r="F179" i="105"/>
  <c r="N178" i="105"/>
  <c r="J178" i="105"/>
  <c r="D178" i="105" s="1"/>
  <c r="N177" i="105"/>
  <c r="J177" i="105"/>
  <c r="M176" i="105"/>
  <c r="L176" i="105"/>
  <c r="K176" i="105"/>
  <c r="I176" i="105"/>
  <c r="H176" i="105"/>
  <c r="G176" i="105"/>
  <c r="F176" i="105"/>
  <c r="N175" i="105"/>
  <c r="J175" i="105"/>
  <c r="N174" i="105"/>
  <c r="J174" i="105"/>
  <c r="D173" i="105"/>
  <c r="N172" i="105"/>
  <c r="J172" i="105"/>
  <c r="N171" i="105"/>
  <c r="J171" i="105"/>
  <c r="N170" i="105"/>
  <c r="J170" i="105"/>
  <c r="M157" i="105"/>
  <c r="L157" i="105"/>
  <c r="K157" i="105"/>
  <c r="I157" i="105"/>
  <c r="H157" i="105"/>
  <c r="G157" i="105"/>
  <c r="F157" i="105"/>
  <c r="E157" i="105"/>
  <c r="N156" i="105"/>
  <c r="J156" i="105"/>
  <c r="N155" i="105"/>
  <c r="J155" i="105"/>
  <c r="N154" i="105"/>
  <c r="J154" i="105"/>
  <c r="N153" i="105"/>
  <c r="J153" i="105"/>
  <c r="N152" i="105"/>
  <c r="J152" i="105"/>
  <c r="N151" i="105"/>
  <c r="J151" i="105"/>
  <c r="M150" i="105"/>
  <c r="L150" i="105"/>
  <c r="K150" i="105"/>
  <c r="I150" i="105"/>
  <c r="H150" i="105"/>
  <c r="G150" i="105"/>
  <c r="F150" i="105"/>
  <c r="E150" i="105"/>
  <c r="N149" i="105"/>
  <c r="J149" i="105"/>
  <c r="N148" i="105"/>
  <c r="J148" i="105"/>
  <c r="N147" i="105"/>
  <c r="J147" i="105"/>
  <c r="N146" i="105"/>
  <c r="J146" i="105"/>
  <c r="N145" i="105"/>
  <c r="J145" i="105"/>
  <c r="N144" i="105"/>
  <c r="J144" i="105"/>
  <c r="N143" i="105"/>
  <c r="J143" i="105"/>
  <c r="N142" i="105"/>
  <c r="J142" i="105"/>
  <c r="N140" i="105"/>
  <c r="J140" i="105"/>
  <c r="N139" i="105"/>
  <c r="J139" i="105"/>
  <c r="N138" i="105"/>
  <c r="J138" i="105"/>
  <c r="N137" i="105"/>
  <c r="J137" i="105"/>
  <c r="N136" i="105"/>
  <c r="J136" i="105"/>
  <c r="N135" i="105"/>
  <c r="J135" i="105"/>
  <c r="N134" i="105"/>
  <c r="J134" i="105"/>
  <c r="N133" i="105"/>
  <c r="J133" i="105"/>
  <c r="N132" i="105"/>
  <c r="J132" i="105"/>
  <c r="N131" i="105"/>
  <c r="J131" i="105"/>
  <c r="M130" i="105"/>
  <c r="L130" i="105"/>
  <c r="K130" i="105"/>
  <c r="I130" i="105"/>
  <c r="H130" i="105"/>
  <c r="G130" i="105"/>
  <c r="F130" i="105"/>
  <c r="E130" i="105"/>
  <c r="N129" i="105"/>
  <c r="J129" i="105"/>
  <c r="N128" i="105"/>
  <c r="J128" i="105"/>
  <c r="M127" i="105"/>
  <c r="L127" i="105"/>
  <c r="K127" i="105"/>
  <c r="I127" i="105"/>
  <c r="H127" i="105"/>
  <c r="G127" i="105"/>
  <c r="F127" i="105"/>
  <c r="N126" i="105"/>
  <c r="J126" i="105"/>
  <c r="N125" i="105"/>
  <c r="J125" i="105"/>
  <c r="M124" i="105"/>
  <c r="L124" i="105"/>
  <c r="K124" i="105"/>
  <c r="I124" i="105"/>
  <c r="H124" i="105"/>
  <c r="G124" i="105"/>
  <c r="F124" i="105"/>
  <c r="N123" i="105"/>
  <c r="J123" i="105"/>
  <c r="N122" i="105"/>
  <c r="J122" i="105"/>
  <c r="N121" i="105"/>
  <c r="J121" i="105"/>
  <c r="N120" i="105"/>
  <c r="J120" i="105"/>
  <c r="N119" i="105"/>
  <c r="J119" i="105"/>
  <c r="N118" i="105"/>
  <c r="J118" i="105"/>
  <c r="M105" i="105"/>
  <c r="L105" i="105"/>
  <c r="K105" i="105"/>
  <c r="I105" i="105"/>
  <c r="H105" i="105"/>
  <c r="G105" i="105"/>
  <c r="F105" i="105"/>
  <c r="E105" i="105"/>
  <c r="N104" i="105"/>
  <c r="J104" i="105"/>
  <c r="N103" i="105"/>
  <c r="J103" i="105"/>
  <c r="N102" i="105"/>
  <c r="J102" i="105"/>
  <c r="N101" i="105"/>
  <c r="J101" i="105"/>
  <c r="N100" i="105"/>
  <c r="J100" i="105"/>
  <c r="N99" i="105"/>
  <c r="J99" i="105"/>
  <c r="M98" i="105"/>
  <c r="L98" i="105"/>
  <c r="K98" i="105"/>
  <c r="I98" i="105"/>
  <c r="H98" i="105"/>
  <c r="G98" i="105"/>
  <c r="F98" i="105"/>
  <c r="E98" i="105"/>
  <c r="N97" i="105"/>
  <c r="J97" i="105"/>
  <c r="N96" i="105"/>
  <c r="J96" i="105"/>
  <c r="N95" i="105"/>
  <c r="J95" i="105"/>
  <c r="N94" i="105"/>
  <c r="J94" i="105"/>
  <c r="N93" i="105"/>
  <c r="J93" i="105"/>
  <c r="N92" i="105"/>
  <c r="J92" i="105"/>
  <c r="N91" i="105"/>
  <c r="J91" i="105"/>
  <c r="N90" i="105"/>
  <c r="J90" i="105"/>
  <c r="N88" i="105"/>
  <c r="J88" i="105"/>
  <c r="J87" i="105"/>
  <c r="D87" i="105" s="1"/>
  <c r="N86" i="105"/>
  <c r="J86" i="105"/>
  <c r="F86" i="105"/>
  <c r="F34" i="105" s="1"/>
  <c r="J85" i="105"/>
  <c r="D85" i="105" s="1"/>
  <c r="N84" i="105"/>
  <c r="J84" i="105"/>
  <c r="J83" i="105"/>
  <c r="D83" i="105" s="1"/>
  <c r="N82" i="105"/>
  <c r="J82" i="105"/>
  <c r="J81" i="105"/>
  <c r="D81" i="105" s="1"/>
  <c r="N80" i="105"/>
  <c r="J80" i="105"/>
  <c r="N79" i="105"/>
  <c r="J79" i="105"/>
  <c r="M78" i="105"/>
  <c r="L78" i="105"/>
  <c r="K78" i="105"/>
  <c r="I78" i="105"/>
  <c r="H78" i="105"/>
  <c r="G78" i="105"/>
  <c r="F78" i="105"/>
  <c r="E78" i="105"/>
  <c r="N77" i="105"/>
  <c r="J77" i="105"/>
  <c r="N76" i="105"/>
  <c r="J76" i="105"/>
  <c r="M75" i="105"/>
  <c r="L75" i="105"/>
  <c r="K75" i="105"/>
  <c r="I75" i="105"/>
  <c r="H75" i="105"/>
  <c r="G75" i="105"/>
  <c r="F75" i="105"/>
  <c r="N74" i="105"/>
  <c r="J74" i="105"/>
  <c r="N73" i="105"/>
  <c r="J73" i="105"/>
  <c r="M72" i="105"/>
  <c r="L72" i="105"/>
  <c r="K72" i="105"/>
  <c r="I72" i="105"/>
  <c r="H72" i="105"/>
  <c r="G72" i="105"/>
  <c r="F72" i="105"/>
  <c r="N71" i="105"/>
  <c r="J71" i="105"/>
  <c r="N70" i="105"/>
  <c r="J70" i="105"/>
  <c r="N69" i="105"/>
  <c r="J69" i="105"/>
  <c r="N68" i="105"/>
  <c r="J68" i="105"/>
  <c r="N67" i="105"/>
  <c r="J67" i="105"/>
  <c r="N66" i="105"/>
  <c r="J66" i="105"/>
  <c r="M52" i="105"/>
  <c r="L52" i="105"/>
  <c r="K52" i="105"/>
  <c r="I52" i="105"/>
  <c r="H52" i="105"/>
  <c r="G52" i="105"/>
  <c r="F52" i="105"/>
  <c r="E52" i="105"/>
  <c r="M51" i="105"/>
  <c r="L51" i="105"/>
  <c r="K51" i="105"/>
  <c r="I51" i="105"/>
  <c r="H51" i="105"/>
  <c r="G51" i="105"/>
  <c r="F51" i="105"/>
  <c r="E51" i="105"/>
  <c r="M50" i="105"/>
  <c r="L50" i="105"/>
  <c r="K50" i="105"/>
  <c r="I50" i="105"/>
  <c r="H50" i="105"/>
  <c r="G50" i="105"/>
  <c r="F50" i="105"/>
  <c r="E50" i="105"/>
  <c r="M49" i="105"/>
  <c r="L49" i="105"/>
  <c r="K49" i="105"/>
  <c r="I49" i="105"/>
  <c r="H49" i="105"/>
  <c r="G49" i="105"/>
  <c r="F49" i="105"/>
  <c r="E49" i="105"/>
  <c r="M48" i="105"/>
  <c r="L48" i="105"/>
  <c r="K48" i="105"/>
  <c r="I48" i="105"/>
  <c r="H48" i="105"/>
  <c r="G48" i="105"/>
  <c r="F48" i="105"/>
  <c r="E48" i="105"/>
  <c r="M47" i="105"/>
  <c r="L47" i="105"/>
  <c r="K47" i="105"/>
  <c r="I47" i="105"/>
  <c r="H47" i="105"/>
  <c r="G47" i="105"/>
  <c r="F47" i="105"/>
  <c r="E47" i="105"/>
  <c r="M45" i="105"/>
  <c r="L45" i="105"/>
  <c r="K45" i="105"/>
  <c r="I45" i="105"/>
  <c r="G45" i="105"/>
  <c r="F45" i="105"/>
  <c r="E45" i="105"/>
  <c r="M44" i="105"/>
  <c r="L44" i="105"/>
  <c r="I44" i="105"/>
  <c r="H44" i="105"/>
  <c r="G44" i="105"/>
  <c r="F44" i="105"/>
  <c r="E44" i="105"/>
  <c r="M43" i="105"/>
  <c r="L43" i="105"/>
  <c r="K43" i="105"/>
  <c r="I43" i="105"/>
  <c r="H43" i="105"/>
  <c r="G43" i="105"/>
  <c r="F43" i="105"/>
  <c r="E43" i="105"/>
  <c r="M42" i="105"/>
  <c r="L42" i="105"/>
  <c r="K42" i="105"/>
  <c r="I42" i="105"/>
  <c r="H42" i="105"/>
  <c r="G42" i="105"/>
  <c r="F42" i="105"/>
  <c r="E42" i="105"/>
  <c r="M41" i="105"/>
  <c r="L41" i="105"/>
  <c r="K41" i="105"/>
  <c r="I41" i="105"/>
  <c r="H41" i="105"/>
  <c r="G41" i="105"/>
  <c r="F41" i="105"/>
  <c r="E41" i="105"/>
  <c r="M40" i="105"/>
  <c r="L40" i="105"/>
  <c r="K40" i="105"/>
  <c r="I40" i="105"/>
  <c r="H40" i="105"/>
  <c r="G40" i="105"/>
  <c r="F40" i="105"/>
  <c r="E40" i="105"/>
  <c r="M39" i="105"/>
  <c r="L39" i="105"/>
  <c r="K39" i="105"/>
  <c r="I39" i="105"/>
  <c r="H39" i="105"/>
  <c r="G39" i="105"/>
  <c r="F39" i="105"/>
  <c r="E39" i="105"/>
  <c r="M38" i="105"/>
  <c r="L38" i="105"/>
  <c r="K38" i="105"/>
  <c r="I38" i="105"/>
  <c r="H38" i="105"/>
  <c r="G38" i="105"/>
  <c r="F38" i="105"/>
  <c r="E38" i="105"/>
  <c r="M36" i="105"/>
  <c r="L36" i="105"/>
  <c r="K36" i="105"/>
  <c r="I36" i="105"/>
  <c r="H36" i="105"/>
  <c r="G36" i="105"/>
  <c r="F36" i="105"/>
  <c r="E36" i="105"/>
  <c r="M35" i="105"/>
  <c r="L35" i="105"/>
  <c r="K35" i="105"/>
  <c r="I35" i="105"/>
  <c r="H35" i="105"/>
  <c r="G35" i="105"/>
  <c r="F35" i="105"/>
  <c r="E35" i="105"/>
  <c r="M34" i="105"/>
  <c r="L34" i="105"/>
  <c r="K34" i="105"/>
  <c r="I34" i="105"/>
  <c r="H34" i="105"/>
  <c r="G34" i="105"/>
  <c r="E34" i="105"/>
  <c r="M33" i="105"/>
  <c r="L33" i="105"/>
  <c r="K33" i="105"/>
  <c r="I33" i="105"/>
  <c r="H33" i="105"/>
  <c r="G33" i="105"/>
  <c r="F33" i="105"/>
  <c r="E33" i="105"/>
  <c r="M32" i="105"/>
  <c r="L32" i="105"/>
  <c r="K32" i="105"/>
  <c r="I32" i="105"/>
  <c r="H32" i="105"/>
  <c r="G32" i="105"/>
  <c r="F32" i="105"/>
  <c r="E32" i="105"/>
  <c r="M31" i="105"/>
  <c r="L31" i="105"/>
  <c r="K31" i="105"/>
  <c r="I31" i="105"/>
  <c r="H31" i="105"/>
  <c r="G31" i="105"/>
  <c r="F31" i="105"/>
  <c r="E31" i="105"/>
  <c r="M30" i="105"/>
  <c r="L30" i="105"/>
  <c r="K30" i="105"/>
  <c r="I30" i="105"/>
  <c r="H30" i="105"/>
  <c r="G30" i="105"/>
  <c r="F30" i="105"/>
  <c r="E30" i="105"/>
  <c r="M29" i="105"/>
  <c r="L29" i="105"/>
  <c r="K29" i="105"/>
  <c r="I29" i="105"/>
  <c r="H29" i="105"/>
  <c r="G29" i="105"/>
  <c r="F29" i="105"/>
  <c r="E29" i="105"/>
  <c r="M28" i="105"/>
  <c r="L28" i="105"/>
  <c r="K28" i="105"/>
  <c r="I28" i="105"/>
  <c r="H28" i="105"/>
  <c r="G28" i="105"/>
  <c r="F28" i="105"/>
  <c r="E28" i="105"/>
  <c r="M27" i="105"/>
  <c r="L27" i="105"/>
  <c r="K27" i="105"/>
  <c r="I27" i="105"/>
  <c r="H27" i="105"/>
  <c r="G27" i="105"/>
  <c r="F27" i="105"/>
  <c r="E27" i="105"/>
  <c r="M25" i="105"/>
  <c r="L25" i="105"/>
  <c r="K25" i="105"/>
  <c r="I25" i="105"/>
  <c r="H25" i="105"/>
  <c r="G25" i="105"/>
  <c r="F25" i="105"/>
  <c r="E25" i="105"/>
  <c r="M24" i="105"/>
  <c r="L24" i="105"/>
  <c r="K24" i="105"/>
  <c r="I24" i="105"/>
  <c r="H24" i="105"/>
  <c r="G24" i="105"/>
  <c r="F24" i="105"/>
  <c r="E24" i="105"/>
  <c r="M22" i="105"/>
  <c r="L22" i="105"/>
  <c r="K22" i="105"/>
  <c r="I22" i="105"/>
  <c r="H22" i="105"/>
  <c r="G22" i="105"/>
  <c r="F22" i="105"/>
  <c r="E22" i="105"/>
  <c r="M21" i="105"/>
  <c r="L21" i="105"/>
  <c r="K21" i="105"/>
  <c r="I21" i="105"/>
  <c r="H21" i="105"/>
  <c r="G21" i="105"/>
  <c r="F21" i="105"/>
  <c r="E21" i="105"/>
  <c r="M19" i="105"/>
  <c r="L19" i="105"/>
  <c r="K19" i="105"/>
  <c r="I19" i="105"/>
  <c r="H19" i="105"/>
  <c r="G19" i="105"/>
  <c r="F19" i="105"/>
  <c r="E19" i="105"/>
  <c r="M18" i="105"/>
  <c r="L18" i="105"/>
  <c r="K18" i="105"/>
  <c r="I18" i="105"/>
  <c r="H18" i="105"/>
  <c r="G18" i="105"/>
  <c r="F18" i="105"/>
  <c r="E18" i="105"/>
  <c r="M17" i="105"/>
  <c r="L17" i="105"/>
  <c r="K17" i="105"/>
  <c r="I17" i="105"/>
  <c r="H17" i="105"/>
  <c r="G17" i="105"/>
  <c r="F17" i="105"/>
  <c r="E17" i="105"/>
  <c r="M16" i="105"/>
  <c r="L16" i="105"/>
  <c r="K16" i="105"/>
  <c r="I16" i="105"/>
  <c r="H16" i="105"/>
  <c r="G16" i="105"/>
  <c r="F16" i="105"/>
  <c r="E16" i="105"/>
  <c r="M15" i="105"/>
  <c r="L15" i="105"/>
  <c r="K15" i="105"/>
  <c r="I15" i="105"/>
  <c r="H15" i="105"/>
  <c r="G15" i="105"/>
  <c r="F15" i="105"/>
  <c r="E15" i="105"/>
  <c r="M14" i="105"/>
  <c r="L14" i="105"/>
  <c r="K14" i="105"/>
  <c r="I14" i="105"/>
  <c r="H14" i="105"/>
  <c r="G14" i="105"/>
  <c r="F14" i="105"/>
  <c r="E14" i="105"/>
  <c r="J393" i="106"/>
  <c r="M202" i="106"/>
  <c r="M885" i="106"/>
  <c r="L885" i="106"/>
  <c r="K885" i="106"/>
  <c r="I885" i="106"/>
  <c r="H885" i="106"/>
  <c r="G885" i="106"/>
  <c r="E885" i="106"/>
  <c r="N884" i="106"/>
  <c r="D884" i="106" s="1"/>
  <c r="N883" i="106"/>
  <c r="D883" i="106" s="1"/>
  <c r="N882" i="106"/>
  <c r="D882" i="106" s="1"/>
  <c r="N881" i="106"/>
  <c r="D881" i="106" s="1"/>
  <c r="N880" i="106"/>
  <c r="D880" i="106" s="1"/>
  <c r="N879" i="106"/>
  <c r="J879" i="106"/>
  <c r="M878" i="106"/>
  <c r="L878" i="106"/>
  <c r="K878" i="106"/>
  <c r="I878" i="106"/>
  <c r="H878" i="106"/>
  <c r="G878" i="106"/>
  <c r="F878" i="106"/>
  <c r="F886" i="106" s="1"/>
  <c r="E878" i="106"/>
  <c r="N877" i="106"/>
  <c r="D877" i="106" s="1"/>
  <c r="N876" i="106"/>
  <c r="J876" i="106"/>
  <c r="N875" i="106"/>
  <c r="J875" i="106"/>
  <c r="N874" i="106"/>
  <c r="J874" i="106"/>
  <c r="N873" i="106"/>
  <c r="J873" i="106"/>
  <c r="N872" i="106"/>
  <c r="J872" i="106"/>
  <c r="N871" i="106"/>
  <c r="J871" i="106"/>
  <c r="N870" i="106"/>
  <c r="J870" i="106"/>
  <c r="N868" i="106"/>
  <c r="J868" i="106"/>
  <c r="N867" i="106"/>
  <c r="J867" i="106"/>
  <c r="N866" i="106"/>
  <c r="J866" i="106"/>
  <c r="N865" i="106"/>
  <c r="J865" i="106"/>
  <c r="N864" i="106"/>
  <c r="J864" i="106"/>
  <c r="N863" i="106"/>
  <c r="J863" i="106"/>
  <c r="N862" i="106"/>
  <c r="J862" i="106"/>
  <c r="N861" i="106"/>
  <c r="J861" i="106"/>
  <c r="N860" i="106"/>
  <c r="J860" i="106"/>
  <c r="N859" i="106"/>
  <c r="J859" i="106"/>
  <c r="M858" i="106"/>
  <c r="L858" i="106"/>
  <c r="K858" i="106"/>
  <c r="I858" i="106"/>
  <c r="H858" i="106"/>
  <c r="G858" i="106"/>
  <c r="F858" i="106"/>
  <c r="E858" i="106"/>
  <c r="N857" i="106"/>
  <c r="J857" i="106"/>
  <c r="N856" i="106"/>
  <c r="J856" i="106"/>
  <c r="M855" i="106"/>
  <c r="L855" i="106"/>
  <c r="K855" i="106"/>
  <c r="I855" i="106"/>
  <c r="H855" i="106"/>
  <c r="G855" i="106"/>
  <c r="F855" i="106"/>
  <c r="E855" i="106"/>
  <c r="N854" i="106"/>
  <c r="J854" i="106"/>
  <c r="N853" i="106"/>
  <c r="J853" i="106"/>
  <c r="M852" i="106"/>
  <c r="L852" i="106"/>
  <c r="K852" i="106"/>
  <c r="I852" i="106"/>
  <c r="H852" i="106"/>
  <c r="G852" i="106"/>
  <c r="F852" i="106"/>
  <c r="E852" i="106"/>
  <c r="N851" i="106"/>
  <c r="J851" i="106"/>
  <c r="N850" i="106"/>
  <c r="J850" i="106"/>
  <c r="N849" i="106"/>
  <c r="J849" i="106"/>
  <c r="N848" i="106"/>
  <c r="J848" i="106"/>
  <c r="N847" i="106"/>
  <c r="J847" i="106"/>
  <c r="N846" i="106"/>
  <c r="J846" i="106"/>
  <c r="M833" i="106"/>
  <c r="L833" i="106"/>
  <c r="K833" i="106"/>
  <c r="I833" i="106"/>
  <c r="H833" i="106"/>
  <c r="G833" i="106"/>
  <c r="F833" i="106"/>
  <c r="E833" i="106"/>
  <c r="N832" i="106"/>
  <c r="J832" i="106"/>
  <c r="N831" i="106"/>
  <c r="J831" i="106"/>
  <c r="N830" i="106"/>
  <c r="J830" i="106"/>
  <c r="N829" i="106"/>
  <c r="J829" i="106"/>
  <c r="N828" i="106"/>
  <c r="J828" i="106"/>
  <c r="N827" i="106"/>
  <c r="J827" i="106"/>
  <c r="M826" i="106"/>
  <c r="L826" i="106"/>
  <c r="K826" i="106"/>
  <c r="I826" i="106"/>
  <c r="F826" i="106"/>
  <c r="E826" i="106"/>
  <c r="N825" i="106"/>
  <c r="H825" i="106"/>
  <c r="H826" i="106" s="1"/>
  <c r="G825" i="106"/>
  <c r="N824" i="106"/>
  <c r="J824" i="106"/>
  <c r="N823" i="106"/>
  <c r="J823" i="106"/>
  <c r="N822" i="106"/>
  <c r="J822" i="106"/>
  <c r="N821" i="106"/>
  <c r="J821" i="106"/>
  <c r="N820" i="106"/>
  <c r="J820" i="106"/>
  <c r="N819" i="106"/>
  <c r="J819" i="106"/>
  <c r="N818" i="106"/>
  <c r="J818" i="106"/>
  <c r="N816" i="106"/>
  <c r="J816" i="106"/>
  <c r="N815" i="106"/>
  <c r="J815" i="106"/>
  <c r="N814" i="106"/>
  <c r="H814" i="106"/>
  <c r="G814" i="106"/>
  <c r="N813" i="106"/>
  <c r="J813" i="106"/>
  <c r="N812" i="106"/>
  <c r="J812" i="106"/>
  <c r="N811" i="106"/>
  <c r="J811" i="106"/>
  <c r="N810" i="106"/>
  <c r="J810" i="106"/>
  <c r="N809" i="106"/>
  <c r="J809" i="106"/>
  <c r="N808" i="106"/>
  <c r="J808" i="106"/>
  <c r="N807" i="106"/>
  <c r="J807" i="106"/>
  <c r="M806" i="106"/>
  <c r="L806" i="106"/>
  <c r="K806" i="106"/>
  <c r="I806" i="106"/>
  <c r="H806" i="106"/>
  <c r="G806" i="106"/>
  <c r="F806" i="106"/>
  <c r="E806" i="106"/>
  <c r="N805" i="106"/>
  <c r="J805" i="106"/>
  <c r="N804" i="106"/>
  <c r="J804" i="106"/>
  <c r="M803" i="106"/>
  <c r="L803" i="106"/>
  <c r="K803" i="106"/>
  <c r="I803" i="106"/>
  <c r="H803" i="106"/>
  <c r="G803" i="106"/>
  <c r="F803" i="106"/>
  <c r="N802" i="106"/>
  <c r="J802" i="106"/>
  <c r="N801" i="106"/>
  <c r="J801" i="106"/>
  <c r="M800" i="106"/>
  <c r="L800" i="106"/>
  <c r="K800" i="106"/>
  <c r="I800" i="106"/>
  <c r="H800" i="106"/>
  <c r="G800" i="106"/>
  <c r="F800" i="106"/>
  <c r="N799" i="106"/>
  <c r="J799" i="106"/>
  <c r="N798" i="106"/>
  <c r="J798" i="106"/>
  <c r="N797" i="106"/>
  <c r="J797" i="106"/>
  <c r="N796" i="106"/>
  <c r="J796" i="106"/>
  <c r="N795" i="106"/>
  <c r="J795" i="106"/>
  <c r="N794" i="106"/>
  <c r="J794" i="106"/>
  <c r="M781" i="106"/>
  <c r="L781" i="106"/>
  <c r="K781" i="106"/>
  <c r="I781" i="106"/>
  <c r="H781" i="106"/>
  <c r="G781" i="106"/>
  <c r="F781" i="106"/>
  <c r="E781" i="106"/>
  <c r="N780" i="106"/>
  <c r="J780" i="106"/>
  <c r="N779" i="106"/>
  <c r="J779" i="106"/>
  <c r="N778" i="106"/>
  <c r="J778" i="106"/>
  <c r="N777" i="106"/>
  <c r="J777" i="106"/>
  <c r="N776" i="106"/>
  <c r="J776" i="106"/>
  <c r="N775" i="106"/>
  <c r="J775" i="106"/>
  <c r="M774" i="106"/>
  <c r="L774" i="106"/>
  <c r="K774" i="106"/>
  <c r="I774" i="106"/>
  <c r="H774" i="106"/>
  <c r="G774" i="106"/>
  <c r="F774" i="106"/>
  <c r="E774" i="106"/>
  <c r="N773" i="106"/>
  <c r="J773" i="106"/>
  <c r="N772" i="106"/>
  <c r="J772" i="106"/>
  <c r="N771" i="106"/>
  <c r="J771" i="106"/>
  <c r="N770" i="106"/>
  <c r="J770" i="106"/>
  <c r="N769" i="106"/>
  <c r="J769" i="106"/>
  <c r="N768" i="106"/>
  <c r="J768" i="106"/>
  <c r="N767" i="106"/>
  <c r="J767" i="106"/>
  <c r="N766" i="106"/>
  <c r="J766" i="106"/>
  <c r="N764" i="106"/>
  <c r="J764" i="106"/>
  <c r="N763" i="106"/>
  <c r="J763" i="106"/>
  <c r="N762" i="106"/>
  <c r="J762" i="106"/>
  <c r="N761" i="106"/>
  <c r="J761" i="106"/>
  <c r="N760" i="106"/>
  <c r="J760" i="106"/>
  <c r="N759" i="106"/>
  <c r="J759" i="106"/>
  <c r="N758" i="106"/>
  <c r="J758" i="106"/>
  <c r="N757" i="106"/>
  <c r="J757" i="106"/>
  <c r="N756" i="106"/>
  <c r="J756" i="106"/>
  <c r="N755" i="106"/>
  <c r="J755" i="106"/>
  <c r="M754" i="106"/>
  <c r="L754" i="106"/>
  <c r="K754" i="106"/>
  <c r="I754" i="106"/>
  <c r="H754" i="106"/>
  <c r="G754" i="106"/>
  <c r="F754" i="106"/>
  <c r="E754" i="106"/>
  <c r="N753" i="106"/>
  <c r="J753" i="106"/>
  <c r="N752" i="106"/>
  <c r="J752" i="106"/>
  <c r="M751" i="106"/>
  <c r="L751" i="106"/>
  <c r="K751" i="106"/>
  <c r="I751" i="106"/>
  <c r="H751" i="106"/>
  <c r="G751" i="106"/>
  <c r="F751" i="106"/>
  <c r="N750" i="106"/>
  <c r="J750" i="106"/>
  <c r="N749" i="106"/>
  <c r="J749" i="106"/>
  <c r="M748" i="106"/>
  <c r="L748" i="106"/>
  <c r="K748" i="106"/>
  <c r="I748" i="106"/>
  <c r="H748" i="106"/>
  <c r="G748" i="106"/>
  <c r="F748" i="106"/>
  <c r="N747" i="106"/>
  <c r="J747" i="106"/>
  <c r="N746" i="106"/>
  <c r="J746" i="106"/>
  <c r="N745" i="106"/>
  <c r="J745" i="106"/>
  <c r="N744" i="106"/>
  <c r="J744" i="106"/>
  <c r="N743" i="106"/>
  <c r="J743" i="106"/>
  <c r="N742" i="106"/>
  <c r="J742" i="106"/>
  <c r="M729" i="106"/>
  <c r="L729" i="106"/>
  <c r="K729" i="106"/>
  <c r="I729" i="106"/>
  <c r="H729" i="106"/>
  <c r="G729" i="106"/>
  <c r="F729" i="106"/>
  <c r="E729" i="106"/>
  <c r="N728" i="106"/>
  <c r="J728" i="106"/>
  <c r="N727" i="106"/>
  <c r="J727" i="106"/>
  <c r="N726" i="106"/>
  <c r="J726" i="106"/>
  <c r="N725" i="106"/>
  <c r="J725" i="106"/>
  <c r="N724" i="106"/>
  <c r="J724" i="106"/>
  <c r="N723" i="106"/>
  <c r="J723" i="106"/>
  <c r="M722" i="106"/>
  <c r="L722" i="106"/>
  <c r="K722" i="106"/>
  <c r="I722" i="106"/>
  <c r="H722" i="106"/>
  <c r="G722" i="106"/>
  <c r="F722" i="106"/>
  <c r="E722" i="106"/>
  <c r="N721" i="106"/>
  <c r="J721" i="106"/>
  <c r="N720" i="106"/>
  <c r="J720" i="106"/>
  <c r="N719" i="106"/>
  <c r="J719" i="106"/>
  <c r="N718" i="106"/>
  <c r="J718" i="106"/>
  <c r="N717" i="106"/>
  <c r="J717" i="106"/>
  <c r="N716" i="106"/>
  <c r="J716" i="106"/>
  <c r="N715" i="106"/>
  <c r="J715" i="106"/>
  <c r="N714" i="106"/>
  <c r="J714" i="106"/>
  <c r="N712" i="106"/>
  <c r="J712" i="106"/>
  <c r="N711" i="106"/>
  <c r="J711" i="106"/>
  <c r="N710" i="106"/>
  <c r="J710" i="106"/>
  <c r="N709" i="106"/>
  <c r="J709" i="106"/>
  <c r="N708" i="106"/>
  <c r="J708" i="106"/>
  <c r="N707" i="106"/>
  <c r="J707" i="106"/>
  <c r="N706" i="106"/>
  <c r="J706" i="106"/>
  <c r="N705" i="106"/>
  <c r="J705" i="106"/>
  <c r="N704" i="106"/>
  <c r="J704" i="106"/>
  <c r="N703" i="106"/>
  <c r="J703" i="106"/>
  <c r="M702" i="106"/>
  <c r="L702" i="106"/>
  <c r="K702" i="106"/>
  <c r="I702" i="106"/>
  <c r="H702" i="106"/>
  <c r="G702" i="106"/>
  <c r="F702" i="106"/>
  <c r="E702" i="106"/>
  <c r="N701" i="106"/>
  <c r="J701" i="106"/>
  <c r="N700" i="106"/>
  <c r="J700" i="106"/>
  <c r="M699" i="106"/>
  <c r="L699" i="106"/>
  <c r="K699" i="106"/>
  <c r="I699" i="106"/>
  <c r="H699" i="106"/>
  <c r="G699" i="106"/>
  <c r="F699" i="106"/>
  <c r="N698" i="106"/>
  <c r="J698" i="106"/>
  <c r="N697" i="106"/>
  <c r="J697" i="106"/>
  <c r="M696" i="106"/>
  <c r="L696" i="106"/>
  <c r="K696" i="106"/>
  <c r="I696" i="106"/>
  <c r="H696" i="106"/>
  <c r="G696" i="106"/>
  <c r="F696" i="106"/>
  <c r="N695" i="106"/>
  <c r="J695" i="106"/>
  <c r="N694" i="106"/>
  <c r="J694" i="106"/>
  <c r="N693" i="106"/>
  <c r="J693" i="106"/>
  <c r="N692" i="106"/>
  <c r="J692" i="106"/>
  <c r="N691" i="106"/>
  <c r="J691" i="106"/>
  <c r="N690" i="106"/>
  <c r="J690" i="106"/>
  <c r="M677" i="106"/>
  <c r="L677" i="106"/>
  <c r="K677" i="106"/>
  <c r="I677" i="106"/>
  <c r="H677" i="106"/>
  <c r="G677" i="106"/>
  <c r="F677" i="106"/>
  <c r="E677" i="106"/>
  <c r="N676" i="106"/>
  <c r="J676" i="106"/>
  <c r="N675" i="106"/>
  <c r="J675" i="106"/>
  <c r="N674" i="106"/>
  <c r="J674" i="106"/>
  <c r="N673" i="106"/>
  <c r="J673" i="106"/>
  <c r="N672" i="106"/>
  <c r="J672" i="106"/>
  <c r="N671" i="106"/>
  <c r="J671" i="106"/>
  <c r="M670" i="106"/>
  <c r="L670" i="106"/>
  <c r="K670" i="106"/>
  <c r="G670" i="106"/>
  <c r="F670" i="106"/>
  <c r="E670" i="106"/>
  <c r="N669" i="106"/>
  <c r="I669" i="106"/>
  <c r="H669" i="106"/>
  <c r="N668" i="106"/>
  <c r="J668" i="106"/>
  <c r="N667" i="106"/>
  <c r="J667" i="106"/>
  <c r="N666" i="106"/>
  <c r="I666" i="106"/>
  <c r="I42" i="106" s="1"/>
  <c r="N665" i="106"/>
  <c r="J665" i="106"/>
  <c r="N664" i="106"/>
  <c r="I664" i="106"/>
  <c r="N663" i="106"/>
  <c r="J663" i="106"/>
  <c r="N662" i="106"/>
  <c r="J662" i="106"/>
  <c r="N660" i="106"/>
  <c r="J660" i="106"/>
  <c r="N659" i="106"/>
  <c r="J659" i="106"/>
  <c r="N658" i="106"/>
  <c r="J658" i="106"/>
  <c r="N657" i="106"/>
  <c r="J657" i="106"/>
  <c r="N656" i="106"/>
  <c r="J656" i="106"/>
  <c r="N655" i="106"/>
  <c r="J655" i="106"/>
  <c r="N654" i="106"/>
  <c r="J654" i="106"/>
  <c r="N653" i="106"/>
  <c r="J653" i="106"/>
  <c r="N652" i="106"/>
  <c r="J652" i="106"/>
  <c r="N651" i="106"/>
  <c r="J651" i="106"/>
  <c r="M650" i="106"/>
  <c r="L650" i="106"/>
  <c r="K650" i="106"/>
  <c r="I650" i="106"/>
  <c r="H650" i="106"/>
  <c r="G650" i="106"/>
  <c r="F650" i="106"/>
  <c r="E650" i="106"/>
  <c r="N649" i="106"/>
  <c r="J649" i="106"/>
  <c r="N648" i="106"/>
  <c r="J648" i="106"/>
  <c r="M647" i="106"/>
  <c r="L647" i="106"/>
  <c r="K647" i="106"/>
  <c r="I647" i="106"/>
  <c r="H647" i="106"/>
  <c r="G647" i="106"/>
  <c r="F647" i="106"/>
  <c r="N646" i="106"/>
  <c r="J646" i="106"/>
  <c r="N645" i="106"/>
  <c r="J645" i="106"/>
  <c r="M644" i="106"/>
  <c r="L644" i="106"/>
  <c r="K644" i="106"/>
  <c r="I644" i="106"/>
  <c r="H644" i="106"/>
  <c r="G644" i="106"/>
  <c r="F644" i="106"/>
  <c r="N643" i="106"/>
  <c r="J643" i="106"/>
  <c r="N642" i="106"/>
  <c r="J642" i="106"/>
  <c r="N641" i="106"/>
  <c r="J641" i="106"/>
  <c r="N640" i="106"/>
  <c r="J640" i="106"/>
  <c r="N639" i="106"/>
  <c r="J639" i="106"/>
  <c r="N638" i="106"/>
  <c r="J638" i="106"/>
  <c r="M625" i="106"/>
  <c r="L625" i="106"/>
  <c r="K625" i="106"/>
  <c r="I625" i="106"/>
  <c r="H625" i="106"/>
  <c r="G625" i="106"/>
  <c r="F625" i="106"/>
  <c r="E625" i="106"/>
  <c r="N624" i="106"/>
  <c r="J624" i="106"/>
  <c r="N623" i="106"/>
  <c r="J623" i="106"/>
  <c r="N622" i="106"/>
  <c r="J622" i="106"/>
  <c r="N621" i="106"/>
  <c r="J621" i="106"/>
  <c r="N620" i="106"/>
  <c r="J620" i="106"/>
  <c r="N619" i="106"/>
  <c r="J619" i="106"/>
  <c r="M618" i="106"/>
  <c r="L618" i="106"/>
  <c r="K618" i="106"/>
  <c r="I618" i="106"/>
  <c r="H618" i="106"/>
  <c r="G618" i="106"/>
  <c r="F618" i="106"/>
  <c r="E618" i="106"/>
  <c r="N617" i="106"/>
  <c r="J617" i="106"/>
  <c r="N616" i="106"/>
  <c r="J616" i="106"/>
  <c r="N615" i="106"/>
  <c r="J615" i="106"/>
  <c r="N614" i="106"/>
  <c r="J614" i="106"/>
  <c r="N613" i="106"/>
  <c r="J613" i="106"/>
  <c r="N612" i="106"/>
  <c r="J612" i="106"/>
  <c r="N611" i="106"/>
  <c r="J611" i="106"/>
  <c r="N610" i="106"/>
  <c r="J610" i="106"/>
  <c r="N608" i="106"/>
  <c r="J608" i="106"/>
  <c r="N607" i="106"/>
  <c r="J607" i="106"/>
  <c r="N606" i="106"/>
  <c r="J606" i="106"/>
  <c r="N605" i="106"/>
  <c r="J605" i="106"/>
  <c r="N604" i="106"/>
  <c r="J604" i="106"/>
  <c r="N603" i="106"/>
  <c r="J603" i="106"/>
  <c r="N602" i="106"/>
  <c r="J602" i="106"/>
  <c r="N601" i="106"/>
  <c r="J601" i="106"/>
  <c r="N600" i="106"/>
  <c r="J600" i="106"/>
  <c r="N599" i="106"/>
  <c r="J599" i="106"/>
  <c r="M598" i="106"/>
  <c r="L598" i="106"/>
  <c r="K598" i="106"/>
  <c r="I598" i="106"/>
  <c r="H598" i="106"/>
  <c r="G598" i="106"/>
  <c r="F598" i="106"/>
  <c r="E598" i="106"/>
  <c r="N597" i="106"/>
  <c r="J597" i="106"/>
  <c r="N596" i="106"/>
  <c r="J596" i="106"/>
  <c r="M595" i="106"/>
  <c r="L595" i="106"/>
  <c r="K595" i="106"/>
  <c r="I595" i="106"/>
  <c r="H595" i="106"/>
  <c r="G595" i="106"/>
  <c r="F595" i="106"/>
  <c r="N594" i="106"/>
  <c r="J594" i="106"/>
  <c r="N593" i="106"/>
  <c r="J593" i="106"/>
  <c r="M592" i="106"/>
  <c r="L592" i="106"/>
  <c r="K592" i="106"/>
  <c r="I592" i="106"/>
  <c r="H592" i="106"/>
  <c r="G592" i="106"/>
  <c r="F592" i="106"/>
  <c r="N591" i="106"/>
  <c r="J591" i="106"/>
  <c r="N590" i="106"/>
  <c r="J590" i="106"/>
  <c r="N589" i="106"/>
  <c r="J589" i="106"/>
  <c r="N588" i="106"/>
  <c r="J588" i="106"/>
  <c r="N587" i="106"/>
  <c r="J587" i="106"/>
  <c r="N586" i="106"/>
  <c r="J586" i="106"/>
  <c r="M573" i="106"/>
  <c r="L573" i="106"/>
  <c r="K573" i="106"/>
  <c r="I573" i="106"/>
  <c r="H573" i="106"/>
  <c r="G573" i="106"/>
  <c r="F573" i="106"/>
  <c r="E573" i="106"/>
  <c r="N572" i="106"/>
  <c r="J572" i="106"/>
  <c r="N571" i="106"/>
  <c r="J571" i="106"/>
  <c r="N570" i="106"/>
  <c r="J570" i="106"/>
  <c r="N569" i="106"/>
  <c r="J569" i="106"/>
  <c r="N568" i="106"/>
  <c r="J568" i="106"/>
  <c r="N567" i="106"/>
  <c r="J567" i="106"/>
  <c r="M566" i="106"/>
  <c r="L566" i="106"/>
  <c r="K566" i="106"/>
  <c r="I566" i="106"/>
  <c r="H566" i="106"/>
  <c r="G566" i="106"/>
  <c r="F566" i="106"/>
  <c r="E566" i="106"/>
  <c r="N565" i="106"/>
  <c r="J565" i="106"/>
  <c r="N564" i="106"/>
  <c r="J564" i="106"/>
  <c r="N563" i="106"/>
  <c r="J563" i="106"/>
  <c r="N562" i="106"/>
  <c r="J562" i="106"/>
  <c r="N561" i="106"/>
  <c r="J561" i="106"/>
  <c r="N560" i="106"/>
  <c r="J560" i="106"/>
  <c r="N559" i="106"/>
  <c r="J559" i="106"/>
  <c r="N558" i="106"/>
  <c r="J558" i="106"/>
  <c r="N556" i="106"/>
  <c r="J556" i="106"/>
  <c r="N555" i="106"/>
  <c r="J555" i="106"/>
  <c r="N554" i="106"/>
  <c r="J554" i="106"/>
  <c r="N553" i="106"/>
  <c r="J553" i="106"/>
  <c r="N552" i="106"/>
  <c r="J552" i="106"/>
  <c r="N551" i="106"/>
  <c r="J551" i="106"/>
  <c r="N550" i="106"/>
  <c r="J550" i="106"/>
  <c r="N549" i="106"/>
  <c r="J549" i="106"/>
  <c r="N548" i="106"/>
  <c r="J548" i="106"/>
  <c r="N547" i="106"/>
  <c r="J547" i="106"/>
  <c r="M546" i="106"/>
  <c r="L546" i="106"/>
  <c r="K546" i="106"/>
  <c r="I546" i="106"/>
  <c r="H546" i="106"/>
  <c r="G546" i="106"/>
  <c r="F546" i="106"/>
  <c r="E546" i="106"/>
  <c r="N545" i="106"/>
  <c r="J545" i="106"/>
  <c r="N544" i="106"/>
  <c r="J544" i="106"/>
  <c r="M543" i="106"/>
  <c r="L543" i="106"/>
  <c r="K543" i="106"/>
  <c r="I543" i="106"/>
  <c r="H543" i="106"/>
  <c r="G543" i="106"/>
  <c r="F543" i="106"/>
  <c r="N542" i="106"/>
  <c r="J542" i="106"/>
  <c r="N541" i="106"/>
  <c r="J541" i="106"/>
  <c r="M540" i="106"/>
  <c r="L540" i="106"/>
  <c r="K540" i="106"/>
  <c r="I540" i="106"/>
  <c r="H540" i="106"/>
  <c r="G540" i="106"/>
  <c r="F540" i="106"/>
  <c r="N539" i="106"/>
  <c r="J539" i="106"/>
  <c r="N538" i="106"/>
  <c r="J538" i="106"/>
  <c r="N537" i="106"/>
  <c r="J537" i="106"/>
  <c r="N536" i="106"/>
  <c r="J536" i="106"/>
  <c r="N535" i="106"/>
  <c r="J535" i="106"/>
  <c r="N534" i="106"/>
  <c r="J534" i="106"/>
  <c r="M521" i="106"/>
  <c r="L521" i="106"/>
  <c r="K521" i="106"/>
  <c r="I521" i="106"/>
  <c r="H521" i="106"/>
  <c r="G521" i="106"/>
  <c r="F521" i="106"/>
  <c r="E521" i="106"/>
  <c r="N520" i="106"/>
  <c r="J520" i="106"/>
  <c r="N519" i="106"/>
  <c r="J519" i="106"/>
  <c r="N518" i="106"/>
  <c r="J518" i="106"/>
  <c r="N517" i="106"/>
  <c r="J517" i="106"/>
  <c r="N516" i="106"/>
  <c r="J516" i="106"/>
  <c r="N515" i="106"/>
  <c r="D515" i="106" s="1"/>
  <c r="M514" i="106"/>
  <c r="L514" i="106"/>
  <c r="K514" i="106"/>
  <c r="I514" i="106"/>
  <c r="H514" i="106"/>
  <c r="G514" i="106"/>
  <c r="F514" i="106"/>
  <c r="E514" i="106"/>
  <c r="N513" i="106"/>
  <c r="J513" i="106"/>
  <c r="N512" i="106"/>
  <c r="J512" i="106"/>
  <c r="N511" i="106"/>
  <c r="J511" i="106"/>
  <c r="N510" i="106"/>
  <c r="J510" i="106"/>
  <c r="N509" i="106"/>
  <c r="J509" i="106"/>
  <c r="N508" i="106"/>
  <c r="J508" i="106"/>
  <c r="N507" i="106"/>
  <c r="D507" i="106" s="1"/>
  <c r="N506" i="106"/>
  <c r="D506" i="106" s="1"/>
  <c r="N504" i="106"/>
  <c r="J504" i="106"/>
  <c r="N503" i="106"/>
  <c r="J503" i="106"/>
  <c r="N502" i="106"/>
  <c r="J502" i="106"/>
  <c r="N501" i="106"/>
  <c r="J501" i="106"/>
  <c r="N500" i="106"/>
  <c r="J500" i="106"/>
  <c r="N499" i="106"/>
  <c r="J499" i="106"/>
  <c r="N498" i="106"/>
  <c r="J498" i="106"/>
  <c r="N497" i="106"/>
  <c r="J497" i="106"/>
  <c r="N496" i="106"/>
  <c r="J496" i="106"/>
  <c r="N495" i="106"/>
  <c r="J495" i="106"/>
  <c r="M494" i="106"/>
  <c r="L494" i="106"/>
  <c r="K494" i="106"/>
  <c r="I494" i="106"/>
  <c r="H494" i="106"/>
  <c r="G494" i="106"/>
  <c r="F494" i="106"/>
  <c r="E494" i="106"/>
  <c r="N493" i="106"/>
  <c r="J493" i="106"/>
  <c r="N492" i="106"/>
  <c r="J492" i="106"/>
  <c r="M491" i="106"/>
  <c r="L491" i="106"/>
  <c r="K491" i="106"/>
  <c r="I491" i="106"/>
  <c r="H491" i="106"/>
  <c r="G491" i="106"/>
  <c r="F491" i="106"/>
  <c r="E491" i="106"/>
  <c r="N490" i="106"/>
  <c r="J490" i="106"/>
  <c r="N489" i="106"/>
  <c r="J489" i="106"/>
  <c r="M488" i="106"/>
  <c r="L488" i="106"/>
  <c r="K488" i="106"/>
  <c r="I488" i="106"/>
  <c r="H488" i="106"/>
  <c r="G488" i="106"/>
  <c r="F488" i="106"/>
  <c r="E488" i="106"/>
  <c r="N487" i="106"/>
  <c r="J487" i="106"/>
  <c r="N486" i="106"/>
  <c r="J486" i="106"/>
  <c r="N485" i="106"/>
  <c r="J485" i="106"/>
  <c r="N484" i="106"/>
  <c r="J484" i="106"/>
  <c r="N483" i="106"/>
  <c r="J483" i="106"/>
  <c r="N482" i="106"/>
  <c r="J482" i="106"/>
  <c r="M469" i="106"/>
  <c r="L469" i="106"/>
  <c r="K469" i="106"/>
  <c r="I469" i="106"/>
  <c r="H469" i="106"/>
  <c r="G469" i="106"/>
  <c r="F469" i="106"/>
  <c r="E469" i="106"/>
  <c r="N468" i="106"/>
  <c r="J468" i="106"/>
  <c r="N467" i="106"/>
  <c r="J467" i="106"/>
  <c r="N466" i="106"/>
  <c r="J466" i="106"/>
  <c r="N465" i="106"/>
  <c r="J465" i="106"/>
  <c r="N464" i="106"/>
  <c r="J464" i="106"/>
  <c r="N463" i="106"/>
  <c r="J463" i="106"/>
  <c r="M462" i="106"/>
  <c r="L462" i="106"/>
  <c r="K462" i="106"/>
  <c r="I462" i="106"/>
  <c r="H462" i="106"/>
  <c r="G462" i="106"/>
  <c r="F462" i="106"/>
  <c r="E462" i="106"/>
  <c r="N461" i="106"/>
  <c r="J461" i="106"/>
  <c r="N460" i="106"/>
  <c r="J460" i="106"/>
  <c r="N459" i="106"/>
  <c r="J459" i="106"/>
  <c r="N458" i="106"/>
  <c r="J458" i="106"/>
  <c r="N457" i="106"/>
  <c r="J457" i="106"/>
  <c r="N456" i="106"/>
  <c r="J456" i="106"/>
  <c r="N455" i="106"/>
  <c r="J455" i="106"/>
  <c r="N454" i="106"/>
  <c r="J454" i="106"/>
  <c r="N452" i="106"/>
  <c r="J452" i="106"/>
  <c r="N451" i="106"/>
  <c r="J451" i="106"/>
  <c r="N450" i="106"/>
  <c r="J450" i="106"/>
  <c r="N449" i="106"/>
  <c r="J449" i="106"/>
  <c r="N448" i="106"/>
  <c r="J448" i="106"/>
  <c r="N447" i="106"/>
  <c r="J447" i="106"/>
  <c r="N446" i="106"/>
  <c r="J446" i="106"/>
  <c r="N445" i="106"/>
  <c r="J445" i="106"/>
  <c r="N444" i="106"/>
  <c r="J444" i="106"/>
  <c r="N443" i="106"/>
  <c r="J443" i="106"/>
  <c r="M442" i="106"/>
  <c r="L442" i="106"/>
  <c r="K442" i="106"/>
  <c r="I442" i="106"/>
  <c r="H442" i="106"/>
  <c r="G442" i="106"/>
  <c r="F442" i="106"/>
  <c r="E442" i="106"/>
  <c r="N441" i="106"/>
  <c r="J441" i="106"/>
  <c r="N440" i="106"/>
  <c r="J440" i="106"/>
  <c r="M439" i="106"/>
  <c r="L439" i="106"/>
  <c r="K439" i="106"/>
  <c r="I439" i="106"/>
  <c r="H439" i="106"/>
  <c r="G439" i="106"/>
  <c r="F439" i="106"/>
  <c r="N438" i="106"/>
  <c r="J438" i="106"/>
  <c r="N437" i="106"/>
  <c r="J437" i="106"/>
  <c r="M436" i="106"/>
  <c r="L436" i="106"/>
  <c r="K436" i="106"/>
  <c r="I436" i="106"/>
  <c r="H436" i="106"/>
  <c r="G436" i="106"/>
  <c r="F436" i="106"/>
  <c r="N435" i="106"/>
  <c r="J435" i="106"/>
  <c r="N434" i="106"/>
  <c r="J434" i="106"/>
  <c r="N433" i="106"/>
  <c r="J433" i="106"/>
  <c r="N432" i="106"/>
  <c r="J432" i="106"/>
  <c r="N431" i="106"/>
  <c r="J431" i="106"/>
  <c r="N430" i="106"/>
  <c r="J430" i="106"/>
  <c r="M417" i="106"/>
  <c r="L417" i="106"/>
  <c r="K417" i="106"/>
  <c r="I417" i="106"/>
  <c r="H417" i="106"/>
  <c r="G417" i="106"/>
  <c r="F417" i="106"/>
  <c r="E417" i="106"/>
  <c r="N416" i="106"/>
  <c r="J416" i="106"/>
  <c r="N415" i="106"/>
  <c r="J415" i="106"/>
  <c r="N414" i="106"/>
  <c r="J414" i="106"/>
  <c r="N413" i="106"/>
  <c r="J413" i="106"/>
  <c r="N412" i="106"/>
  <c r="J412" i="106"/>
  <c r="N411" i="106"/>
  <c r="J411" i="106"/>
  <c r="M410" i="106"/>
  <c r="L410" i="106"/>
  <c r="K410" i="106"/>
  <c r="I410" i="106"/>
  <c r="H410" i="106"/>
  <c r="G410" i="106"/>
  <c r="F410" i="106"/>
  <c r="E410" i="106"/>
  <c r="N409" i="106"/>
  <c r="J409" i="106"/>
  <c r="N408" i="106"/>
  <c r="J408" i="106"/>
  <c r="N407" i="106"/>
  <c r="J407" i="106"/>
  <c r="N406" i="106"/>
  <c r="J406" i="106"/>
  <c r="N405" i="106"/>
  <c r="J405" i="106"/>
  <c r="N404" i="106"/>
  <c r="J404" i="106"/>
  <c r="N403" i="106"/>
  <c r="J403" i="106"/>
  <c r="N402" i="106"/>
  <c r="J402" i="106"/>
  <c r="N400" i="106"/>
  <c r="J400" i="106"/>
  <c r="N399" i="106"/>
  <c r="J399" i="106"/>
  <c r="N398" i="106"/>
  <c r="J398" i="106"/>
  <c r="N397" i="106"/>
  <c r="J397" i="106"/>
  <c r="N396" i="106"/>
  <c r="J396" i="106"/>
  <c r="N395" i="106"/>
  <c r="J395" i="106"/>
  <c r="N394" i="106"/>
  <c r="J394" i="106"/>
  <c r="N393" i="106"/>
  <c r="D393" i="106" s="1"/>
  <c r="N392" i="106"/>
  <c r="J392" i="106"/>
  <c r="N391" i="106"/>
  <c r="J391" i="106"/>
  <c r="M390" i="106"/>
  <c r="L390" i="106"/>
  <c r="K390" i="106"/>
  <c r="I390" i="106"/>
  <c r="J390" i="106" s="1"/>
  <c r="E390" i="106"/>
  <c r="N389" i="106"/>
  <c r="J389" i="106"/>
  <c r="N388" i="106"/>
  <c r="J388" i="106"/>
  <c r="M387" i="106"/>
  <c r="L387" i="106"/>
  <c r="K387" i="106"/>
  <c r="I387" i="106"/>
  <c r="H387" i="106"/>
  <c r="G387" i="106"/>
  <c r="F387" i="106"/>
  <c r="N386" i="106"/>
  <c r="J386" i="106"/>
  <c r="N385" i="106"/>
  <c r="J385" i="106"/>
  <c r="M384" i="106"/>
  <c r="L384" i="106"/>
  <c r="K384" i="106"/>
  <c r="I384" i="106"/>
  <c r="H384" i="106"/>
  <c r="G384" i="106"/>
  <c r="F384" i="106"/>
  <c r="E384" i="106"/>
  <c r="N383" i="106"/>
  <c r="J383" i="106"/>
  <c r="N382" i="106"/>
  <c r="J382" i="106"/>
  <c r="N381" i="106"/>
  <c r="J381" i="106"/>
  <c r="N380" i="106"/>
  <c r="J380" i="106"/>
  <c r="N379" i="106"/>
  <c r="J379" i="106"/>
  <c r="N378" i="106"/>
  <c r="J378" i="106"/>
  <c r="M365" i="106"/>
  <c r="L365" i="106"/>
  <c r="K365" i="106"/>
  <c r="I365" i="106"/>
  <c r="H365" i="106"/>
  <c r="G365" i="106"/>
  <c r="F365" i="106"/>
  <c r="E365" i="106"/>
  <c r="N364" i="106"/>
  <c r="J364" i="106"/>
  <c r="N363" i="106"/>
  <c r="J363" i="106"/>
  <c r="N362" i="106"/>
  <c r="J362" i="106"/>
  <c r="N361" i="106"/>
  <c r="J361" i="106"/>
  <c r="N360" i="106"/>
  <c r="J360" i="106"/>
  <c r="N359" i="106"/>
  <c r="J359" i="106"/>
  <c r="M358" i="106"/>
  <c r="L358" i="106"/>
  <c r="K358" i="106"/>
  <c r="I358" i="106"/>
  <c r="H358" i="106"/>
  <c r="F358" i="106"/>
  <c r="E358" i="106"/>
  <c r="N357" i="106"/>
  <c r="G357" i="106"/>
  <c r="G45" i="106" s="1"/>
  <c r="N356" i="106"/>
  <c r="J356" i="106"/>
  <c r="N355" i="106"/>
  <c r="J355" i="106"/>
  <c r="N354" i="106"/>
  <c r="J354" i="106"/>
  <c r="N353" i="106"/>
  <c r="J353" i="106"/>
  <c r="N352" i="106"/>
  <c r="J352" i="106"/>
  <c r="N351" i="106"/>
  <c r="J351" i="106"/>
  <c r="N350" i="106"/>
  <c r="J350" i="106"/>
  <c r="N348" i="106"/>
  <c r="J348" i="106"/>
  <c r="N347" i="106"/>
  <c r="J347" i="106"/>
  <c r="N346" i="106"/>
  <c r="J346" i="106"/>
  <c r="N345" i="106"/>
  <c r="J345" i="106"/>
  <c r="N344" i="106"/>
  <c r="J344" i="106"/>
  <c r="N343" i="106"/>
  <c r="J343" i="106"/>
  <c r="N342" i="106"/>
  <c r="J342" i="106"/>
  <c r="N341" i="106"/>
  <c r="J341" i="106"/>
  <c r="N340" i="106"/>
  <c r="J340" i="106"/>
  <c r="N339" i="106"/>
  <c r="J339" i="106"/>
  <c r="M338" i="106"/>
  <c r="L338" i="106"/>
  <c r="K338" i="106"/>
  <c r="I338" i="106"/>
  <c r="H338" i="106"/>
  <c r="G338" i="106"/>
  <c r="F338" i="106"/>
  <c r="E338" i="106"/>
  <c r="N337" i="106"/>
  <c r="J337" i="106"/>
  <c r="N336" i="106"/>
  <c r="J336" i="106"/>
  <c r="M335" i="106"/>
  <c r="L335" i="106"/>
  <c r="K335" i="106"/>
  <c r="I335" i="106"/>
  <c r="H335" i="106"/>
  <c r="E335" i="106"/>
  <c r="N334" i="106"/>
  <c r="J334" i="106"/>
  <c r="N333" i="106"/>
  <c r="J333" i="106"/>
  <c r="M332" i="106"/>
  <c r="L332" i="106"/>
  <c r="K332" i="106"/>
  <c r="I332" i="106"/>
  <c r="H332" i="106"/>
  <c r="F332" i="106"/>
  <c r="E332" i="106"/>
  <c r="N331" i="106"/>
  <c r="J331" i="106"/>
  <c r="N330" i="106"/>
  <c r="J330" i="106"/>
  <c r="N329" i="106"/>
  <c r="J329" i="106"/>
  <c r="N328" i="106"/>
  <c r="J328" i="106"/>
  <c r="N327" i="106"/>
  <c r="J327" i="106"/>
  <c r="N326" i="106"/>
  <c r="J326" i="106"/>
  <c r="M313" i="106"/>
  <c r="L313" i="106"/>
  <c r="K313" i="106"/>
  <c r="I313" i="106"/>
  <c r="H313" i="106"/>
  <c r="G313" i="106"/>
  <c r="F313" i="106"/>
  <c r="E313" i="106"/>
  <c r="N312" i="106"/>
  <c r="J312" i="106"/>
  <c r="N311" i="106"/>
  <c r="J311" i="106"/>
  <c r="N310" i="106"/>
  <c r="J310" i="106"/>
  <c r="N309" i="106"/>
  <c r="J309" i="106"/>
  <c r="N308" i="106"/>
  <c r="J308" i="106"/>
  <c r="N307" i="106"/>
  <c r="J307" i="106"/>
  <c r="M306" i="106"/>
  <c r="L306" i="106"/>
  <c r="K306" i="106"/>
  <c r="I306" i="106"/>
  <c r="H306" i="106"/>
  <c r="G306" i="106"/>
  <c r="F306" i="106"/>
  <c r="E306" i="106"/>
  <c r="N305" i="106"/>
  <c r="J305" i="106"/>
  <c r="N304" i="106"/>
  <c r="J304" i="106"/>
  <c r="N303" i="106"/>
  <c r="J303" i="106"/>
  <c r="N302" i="106"/>
  <c r="J302" i="106"/>
  <c r="N301" i="106"/>
  <c r="J301" i="106"/>
  <c r="N300" i="106"/>
  <c r="J300" i="106"/>
  <c r="N299" i="106"/>
  <c r="J299" i="106"/>
  <c r="N298" i="106"/>
  <c r="J298" i="106"/>
  <c r="N296" i="106"/>
  <c r="J296" i="106"/>
  <c r="N295" i="106"/>
  <c r="J295" i="106"/>
  <c r="N294" i="106"/>
  <c r="J294" i="106"/>
  <c r="N293" i="106"/>
  <c r="J293" i="106"/>
  <c r="N292" i="106"/>
  <c r="J292" i="106"/>
  <c r="N291" i="106"/>
  <c r="J291" i="106"/>
  <c r="N290" i="106"/>
  <c r="J290" i="106"/>
  <c r="N289" i="106"/>
  <c r="J289" i="106"/>
  <c r="N288" i="106"/>
  <c r="J288" i="106"/>
  <c r="N287" i="106"/>
  <c r="J287" i="106"/>
  <c r="M286" i="106"/>
  <c r="L286" i="106"/>
  <c r="K286" i="106"/>
  <c r="I286" i="106"/>
  <c r="H286" i="106"/>
  <c r="G286" i="106"/>
  <c r="F286" i="106"/>
  <c r="E286" i="106"/>
  <c r="N285" i="106"/>
  <c r="J285" i="106"/>
  <c r="N284" i="106"/>
  <c r="J284" i="106"/>
  <c r="M283" i="106"/>
  <c r="L283" i="106"/>
  <c r="K283" i="106"/>
  <c r="I283" i="106"/>
  <c r="H283" i="106"/>
  <c r="G283" i="106"/>
  <c r="F283" i="106"/>
  <c r="N282" i="106"/>
  <c r="J282" i="106"/>
  <c r="N281" i="106"/>
  <c r="J281" i="106"/>
  <c r="M280" i="106"/>
  <c r="L280" i="106"/>
  <c r="K280" i="106"/>
  <c r="I280" i="106"/>
  <c r="H280" i="106"/>
  <c r="G280" i="106"/>
  <c r="F280" i="106"/>
  <c r="N279" i="106"/>
  <c r="J279" i="106"/>
  <c r="N278" i="106"/>
  <c r="J278" i="106"/>
  <c r="N277" i="106"/>
  <c r="J277" i="106"/>
  <c r="N276" i="106"/>
  <c r="J276" i="106"/>
  <c r="N275" i="106"/>
  <c r="J275" i="106"/>
  <c r="N274" i="106"/>
  <c r="J274" i="106"/>
  <c r="M261" i="106"/>
  <c r="L261" i="106"/>
  <c r="K261" i="106"/>
  <c r="I261" i="106"/>
  <c r="H261" i="106"/>
  <c r="G261" i="106"/>
  <c r="F261" i="106"/>
  <c r="E261" i="106"/>
  <c r="N260" i="106"/>
  <c r="J260" i="106"/>
  <c r="N259" i="106"/>
  <c r="J259" i="106"/>
  <c r="N258" i="106"/>
  <c r="J258" i="106"/>
  <c r="N257" i="106"/>
  <c r="J257" i="106"/>
  <c r="N256" i="106"/>
  <c r="J256" i="106"/>
  <c r="N255" i="106"/>
  <c r="J255" i="106"/>
  <c r="M254" i="106"/>
  <c r="L254" i="106"/>
  <c r="K254" i="106"/>
  <c r="I254" i="106"/>
  <c r="H254" i="106"/>
  <c r="G254" i="106"/>
  <c r="F254" i="106"/>
  <c r="E254" i="106"/>
  <c r="N253" i="106"/>
  <c r="J253" i="106"/>
  <c r="N252" i="106"/>
  <c r="J252" i="106"/>
  <c r="N251" i="106"/>
  <c r="J251" i="106"/>
  <c r="N250" i="106"/>
  <c r="J250" i="106"/>
  <c r="N249" i="106"/>
  <c r="J249" i="106"/>
  <c r="N248" i="106"/>
  <c r="J248" i="106"/>
  <c r="N247" i="106"/>
  <c r="J247" i="106"/>
  <c r="N246" i="106"/>
  <c r="J246" i="106"/>
  <c r="N244" i="106"/>
  <c r="J244" i="106"/>
  <c r="N243" i="106"/>
  <c r="J243" i="106"/>
  <c r="N242" i="106"/>
  <c r="J242" i="106"/>
  <c r="N241" i="106"/>
  <c r="J241" i="106"/>
  <c r="N240" i="106"/>
  <c r="J240" i="106"/>
  <c r="N239" i="106"/>
  <c r="J239" i="106"/>
  <c r="N238" i="106"/>
  <c r="J238" i="106"/>
  <c r="N237" i="106"/>
  <c r="J237" i="106"/>
  <c r="N236" i="106"/>
  <c r="J236" i="106"/>
  <c r="N235" i="106"/>
  <c r="J235" i="106"/>
  <c r="M234" i="106"/>
  <c r="L234" i="106"/>
  <c r="K234" i="106"/>
  <c r="I234" i="106"/>
  <c r="H234" i="106"/>
  <c r="G234" i="106"/>
  <c r="F234" i="106"/>
  <c r="E234" i="106"/>
  <c r="N233" i="106"/>
  <c r="J233" i="106"/>
  <c r="N232" i="106"/>
  <c r="J232" i="106"/>
  <c r="M231" i="106"/>
  <c r="L231" i="106"/>
  <c r="K231" i="106"/>
  <c r="I231" i="106"/>
  <c r="H231" i="106"/>
  <c r="G231" i="106"/>
  <c r="F231" i="106"/>
  <c r="N230" i="106"/>
  <c r="J230" i="106"/>
  <c r="N229" i="106"/>
  <c r="J229" i="106"/>
  <c r="M228" i="106"/>
  <c r="L228" i="106"/>
  <c r="K228" i="106"/>
  <c r="I228" i="106"/>
  <c r="H228" i="106"/>
  <c r="G228" i="106"/>
  <c r="F228" i="106"/>
  <c r="N227" i="106"/>
  <c r="J227" i="106"/>
  <c r="N226" i="106"/>
  <c r="J226" i="106"/>
  <c r="N225" i="106"/>
  <c r="J225" i="106"/>
  <c r="N224" i="106"/>
  <c r="J224" i="106"/>
  <c r="N223" i="106"/>
  <c r="J223" i="106"/>
  <c r="N222" i="106"/>
  <c r="J222" i="106"/>
  <c r="M209" i="106"/>
  <c r="L209" i="106"/>
  <c r="K209" i="106"/>
  <c r="I209" i="106"/>
  <c r="H209" i="106"/>
  <c r="G209" i="106"/>
  <c r="F209" i="106"/>
  <c r="E209" i="106"/>
  <c r="N208" i="106"/>
  <c r="J208" i="106"/>
  <c r="N207" i="106"/>
  <c r="J207" i="106"/>
  <c r="N206" i="106"/>
  <c r="J206" i="106"/>
  <c r="N205" i="106"/>
  <c r="J205" i="106"/>
  <c r="N204" i="106"/>
  <c r="J204" i="106"/>
  <c r="N203" i="106"/>
  <c r="D203" i="106" s="1"/>
  <c r="L202" i="106"/>
  <c r="K202" i="106"/>
  <c r="I202" i="106"/>
  <c r="H202" i="106"/>
  <c r="G202" i="106"/>
  <c r="F202" i="106"/>
  <c r="E202" i="106"/>
  <c r="N201" i="106"/>
  <c r="J201" i="106"/>
  <c r="N200" i="106"/>
  <c r="J200" i="106"/>
  <c r="N199" i="106"/>
  <c r="J199" i="106"/>
  <c r="N198" i="106"/>
  <c r="J198" i="106"/>
  <c r="N197" i="106"/>
  <c r="J197" i="106"/>
  <c r="N196" i="106"/>
  <c r="J196" i="106"/>
  <c r="N195" i="106"/>
  <c r="J195" i="106"/>
  <c r="N194" i="106"/>
  <c r="J194" i="106"/>
  <c r="N192" i="106"/>
  <c r="D192" i="106" s="1"/>
  <c r="N191" i="106"/>
  <c r="J191" i="106"/>
  <c r="N190" i="106"/>
  <c r="J190" i="106"/>
  <c r="N189" i="106"/>
  <c r="J189" i="106"/>
  <c r="N188" i="106"/>
  <c r="J188" i="106"/>
  <c r="N187" i="106"/>
  <c r="J187" i="106"/>
  <c r="N186" i="106"/>
  <c r="J186" i="106"/>
  <c r="N185" i="106"/>
  <c r="J185" i="106"/>
  <c r="N184" i="106"/>
  <c r="J184" i="106"/>
  <c r="N183" i="106"/>
  <c r="J183" i="106"/>
  <c r="M182" i="106"/>
  <c r="L182" i="106"/>
  <c r="K182" i="106"/>
  <c r="I182" i="106"/>
  <c r="H182" i="106"/>
  <c r="G182" i="106"/>
  <c r="F182" i="106"/>
  <c r="E182" i="106"/>
  <c r="N181" i="106"/>
  <c r="J181" i="106"/>
  <c r="N180" i="106"/>
  <c r="J180" i="106"/>
  <c r="M179" i="106"/>
  <c r="L179" i="106"/>
  <c r="K179" i="106"/>
  <c r="I179" i="106"/>
  <c r="H179" i="106"/>
  <c r="G179" i="106"/>
  <c r="F179" i="106"/>
  <c r="N178" i="106"/>
  <c r="J178" i="106"/>
  <c r="N177" i="106"/>
  <c r="J177" i="106"/>
  <c r="M176" i="106"/>
  <c r="L176" i="106"/>
  <c r="K176" i="106"/>
  <c r="I176" i="106"/>
  <c r="H176" i="106"/>
  <c r="G176" i="106"/>
  <c r="F176" i="106"/>
  <c r="N175" i="106"/>
  <c r="J175" i="106"/>
  <c r="N174" i="106"/>
  <c r="J174" i="106"/>
  <c r="D173" i="106"/>
  <c r="N172" i="106"/>
  <c r="J172" i="106"/>
  <c r="N171" i="106"/>
  <c r="J171" i="106"/>
  <c r="N170" i="106"/>
  <c r="J170" i="106"/>
  <c r="M157" i="106"/>
  <c r="L157" i="106"/>
  <c r="K157" i="106"/>
  <c r="I157" i="106"/>
  <c r="H157" i="106"/>
  <c r="G157" i="106"/>
  <c r="F157" i="106"/>
  <c r="E157" i="106"/>
  <c r="N156" i="106"/>
  <c r="J156" i="106"/>
  <c r="N155" i="106"/>
  <c r="J155" i="106"/>
  <c r="N154" i="106"/>
  <c r="J154" i="106"/>
  <c r="N153" i="106"/>
  <c r="J153" i="106"/>
  <c r="N152" i="106"/>
  <c r="J152" i="106"/>
  <c r="N151" i="106"/>
  <c r="J151" i="106"/>
  <c r="M150" i="106"/>
  <c r="L150" i="106"/>
  <c r="K150" i="106"/>
  <c r="I150" i="106"/>
  <c r="H150" i="106"/>
  <c r="G150" i="106"/>
  <c r="F150" i="106"/>
  <c r="E150" i="106"/>
  <c r="N149" i="106"/>
  <c r="J149" i="106"/>
  <c r="N148" i="106"/>
  <c r="J148" i="106"/>
  <c r="N147" i="106"/>
  <c r="J147" i="106"/>
  <c r="N146" i="106"/>
  <c r="J146" i="106"/>
  <c r="N145" i="106"/>
  <c r="J145" i="106"/>
  <c r="N144" i="106"/>
  <c r="J144" i="106"/>
  <c r="N143" i="106"/>
  <c r="J143" i="106"/>
  <c r="N142" i="106"/>
  <c r="J142" i="106"/>
  <c r="N140" i="106"/>
  <c r="J140" i="106"/>
  <c r="N139" i="106"/>
  <c r="J139" i="106"/>
  <c r="N138" i="106"/>
  <c r="J138" i="106"/>
  <c r="N137" i="106"/>
  <c r="J137" i="106"/>
  <c r="N136" i="106"/>
  <c r="J136" i="106"/>
  <c r="N135" i="106"/>
  <c r="J135" i="106"/>
  <c r="N134" i="106"/>
  <c r="J134" i="106"/>
  <c r="N133" i="106"/>
  <c r="J133" i="106"/>
  <c r="N132" i="106"/>
  <c r="J132" i="106"/>
  <c r="N131" i="106"/>
  <c r="J131" i="106"/>
  <c r="M130" i="106"/>
  <c r="L130" i="106"/>
  <c r="K130" i="106"/>
  <c r="I130" i="106"/>
  <c r="H130" i="106"/>
  <c r="G130" i="106"/>
  <c r="F130" i="106"/>
  <c r="E130" i="106"/>
  <c r="N129" i="106"/>
  <c r="J129" i="106"/>
  <c r="N128" i="106"/>
  <c r="J128" i="106"/>
  <c r="M127" i="106"/>
  <c r="L127" i="106"/>
  <c r="K127" i="106"/>
  <c r="I127" i="106"/>
  <c r="H127" i="106"/>
  <c r="G127" i="106"/>
  <c r="F127" i="106"/>
  <c r="N126" i="106"/>
  <c r="J126" i="106"/>
  <c r="N125" i="106"/>
  <c r="J125" i="106"/>
  <c r="M124" i="106"/>
  <c r="L124" i="106"/>
  <c r="K124" i="106"/>
  <c r="I124" i="106"/>
  <c r="H124" i="106"/>
  <c r="G124" i="106"/>
  <c r="F124" i="106"/>
  <c r="N123" i="106"/>
  <c r="J123" i="106"/>
  <c r="N122" i="106"/>
  <c r="J122" i="106"/>
  <c r="N121" i="106"/>
  <c r="J121" i="106"/>
  <c r="N120" i="106"/>
  <c r="J120" i="106"/>
  <c r="N119" i="106"/>
  <c r="J119" i="106"/>
  <c r="N118" i="106"/>
  <c r="J118" i="106"/>
  <c r="M105" i="106"/>
  <c r="L105" i="106"/>
  <c r="K105" i="106"/>
  <c r="I105" i="106"/>
  <c r="H105" i="106"/>
  <c r="G105" i="106"/>
  <c r="F105" i="106"/>
  <c r="E105" i="106"/>
  <c r="N104" i="106"/>
  <c r="J104" i="106"/>
  <c r="N103" i="106"/>
  <c r="J103" i="106"/>
  <c r="N102" i="106"/>
  <c r="J102" i="106"/>
  <c r="N101" i="106"/>
  <c r="J101" i="106"/>
  <c r="N100" i="106"/>
  <c r="J100" i="106"/>
  <c r="N99" i="106"/>
  <c r="J99" i="106"/>
  <c r="M98" i="106"/>
  <c r="L98" i="106"/>
  <c r="K98" i="106"/>
  <c r="I98" i="106"/>
  <c r="H98" i="106"/>
  <c r="G98" i="106"/>
  <c r="F98" i="106"/>
  <c r="E98" i="106"/>
  <c r="N97" i="106"/>
  <c r="J97" i="106"/>
  <c r="N96" i="106"/>
  <c r="J96" i="106"/>
  <c r="N95" i="106"/>
  <c r="J95" i="106"/>
  <c r="N94" i="106"/>
  <c r="J94" i="106"/>
  <c r="N93" i="106"/>
  <c r="D93" i="106" s="1"/>
  <c r="N92" i="106"/>
  <c r="J92" i="106"/>
  <c r="N91" i="106"/>
  <c r="J91" i="106"/>
  <c r="N90" i="106"/>
  <c r="J90" i="106"/>
  <c r="N88" i="106"/>
  <c r="J88" i="106"/>
  <c r="N87" i="106"/>
  <c r="J87" i="106"/>
  <c r="N86" i="106"/>
  <c r="J86" i="106"/>
  <c r="F86" i="106"/>
  <c r="F34" i="106" s="1"/>
  <c r="J85" i="106"/>
  <c r="D85" i="106" s="1"/>
  <c r="N84" i="106"/>
  <c r="J84" i="106"/>
  <c r="J83" i="106"/>
  <c r="N82" i="106"/>
  <c r="J82" i="106"/>
  <c r="J81" i="106"/>
  <c r="N80" i="106"/>
  <c r="J80" i="106"/>
  <c r="N79" i="106"/>
  <c r="J79" i="106"/>
  <c r="M78" i="106"/>
  <c r="L78" i="106"/>
  <c r="K78" i="106"/>
  <c r="I78" i="106"/>
  <c r="H78" i="106"/>
  <c r="H89" i="106" s="1"/>
  <c r="G78" i="106"/>
  <c r="F78" i="106"/>
  <c r="E78" i="106"/>
  <c r="N77" i="106"/>
  <c r="J77" i="106"/>
  <c r="N76" i="106"/>
  <c r="J76" i="106"/>
  <c r="M75" i="106"/>
  <c r="L75" i="106"/>
  <c r="K75" i="106"/>
  <c r="J75" i="106"/>
  <c r="N74" i="106"/>
  <c r="J74" i="106"/>
  <c r="N73" i="106"/>
  <c r="J73" i="106"/>
  <c r="M72" i="106"/>
  <c r="L72" i="106"/>
  <c r="K72" i="106"/>
  <c r="J72" i="106"/>
  <c r="N71" i="106"/>
  <c r="J71" i="106"/>
  <c r="N70" i="106"/>
  <c r="J70" i="106"/>
  <c r="N69" i="106"/>
  <c r="J69" i="106"/>
  <c r="N68" i="106"/>
  <c r="J68" i="106"/>
  <c r="N67" i="106"/>
  <c r="J67" i="106"/>
  <c r="N66" i="106"/>
  <c r="J66" i="106"/>
  <c r="M52" i="106"/>
  <c r="L52" i="106"/>
  <c r="K52" i="106"/>
  <c r="I52" i="106"/>
  <c r="H52" i="106"/>
  <c r="G52" i="106"/>
  <c r="F52" i="106"/>
  <c r="E52" i="106"/>
  <c r="M51" i="106"/>
  <c r="L51" i="106"/>
  <c r="K51" i="106"/>
  <c r="I51" i="106"/>
  <c r="H51" i="106"/>
  <c r="G51" i="106"/>
  <c r="F51" i="106"/>
  <c r="E51" i="106"/>
  <c r="M50" i="106"/>
  <c r="L50" i="106"/>
  <c r="K50" i="106"/>
  <c r="H50" i="106"/>
  <c r="F50" i="106"/>
  <c r="E50" i="106"/>
  <c r="M49" i="106"/>
  <c r="L49" i="106"/>
  <c r="K49" i="106"/>
  <c r="H49" i="106"/>
  <c r="G49" i="106"/>
  <c r="F49" i="106"/>
  <c r="E49" i="106"/>
  <c r="M48" i="106"/>
  <c r="L48" i="106"/>
  <c r="K48" i="106"/>
  <c r="I48" i="106"/>
  <c r="H48" i="106"/>
  <c r="G48" i="106"/>
  <c r="F48" i="106"/>
  <c r="E48" i="106"/>
  <c r="M47" i="106"/>
  <c r="L47" i="106"/>
  <c r="K47" i="106"/>
  <c r="I47" i="106"/>
  <c r="H47" i="106"/>
  <c r="G47" i="106"/>
  <c r="F47" i="106"/>
  <c r="E47" i="106"/>
  <c r="M45" i="106"/>
  <c r="L45" i="106"/>
  <c r="K45" i="106"/>
  <c r="I45" i="106"/>
  <c r="F45" i="106"/>
  <c r="E45" i="106"/>
  <c r="M44" i="106"/>
  <c r="L44" i="106"/>
  <c r="K44" i="106"/>
  <c r="I44" i="106"/>
  <c r="H44" i="106"/>
  <c r="G44" i="106"/>
  <c r="F44" i="106"/>
  <c r="E44" i="106"/>
  <c r="M43" i="106"/>
  <c r="L43" i="106"/>
  <c r="K43" i="106"/>
  <c r="I43" i="106"/>
  <c r="H43" i="106"/>
  <c r="G43" i="106"/>
  <c r="F43" i="106"/>
  <c r="E43" i="106"/>
  <c r="M42" i="106"/>
  <c r="L42" i="106"/>
  <c r="K42" i="106"/>
  <c r="H42" i="106"/>
  <c r="G42" i="106"/>
  <c r="F42" i="106"/>
  <c r="E42" i="106"/>
  <c r="M41" i="106"/>
  <c r="L41" i="106"/>
  <c r="K41" i="106"/>
  <c r="I41" i="106"/>
  <c r="H41" i="106"/>
  <c r="G41" i="106"/>
  <c r="F41" i="106"/>
  <c r="E41" i="106"/>
  <c r="M40" i="106"/>
  <c r="L40" i="106"/>
  <c r="K40" i="106"/>
  <c r="I40" i="106"/>
  <c r="H40" i="106"/>
  <c r="G40" i="106"/>
  <c r="F40" i="106"/>
  <c r="E40" i="106"/>
  <c r="M39" i="106"/>
  <c r="L39" i="106"/>
  <c r="K39" i="106"/>
  <c r="I39" i="106"/>
  <c r="H39" i="106"/>
  <c r="G39" i="106"/>
  <c r="F39" i="106"/>
  <c r="E39" i="106"/>
  <c r="M38" i="106"/>
  <c r="L38" i="106"/>
  <c r="K38" i="106"/>
  <c r="I38" i="106"/>
  <c r="H38" i="106"/>
  <c r="G38" i="106"/>
  <c r="F38" i="106"/>
  <c r="E38" i="106"/>
  <c r="M36" i="106"/>
  <c r="L36" i="106"/>
  <c r="K36" i="106"/>
  <c r="I36" i="106"/>
  <c r="H36" i="106"/>
  <c r="G36" i="106"/>
  <c r="F36" i="106"/>
  <c r="E36" i="106"/>
  <c r="M35" i="106"/>
  <c r="L35" i="106"/>
  <c r="K35" i="106"/>
  <c r="I35" i="106"/>
  <c r="H35" i="106"/>
  <c r="G35" i="106"/>
  <c r="F35" i="106"/>
  <c r="E35" i="106"/>
  <c r="M34" i="106"/>
  <c r="L34" i="106"/>
  <c r="K34" i="106"/>
  <c r="I34" i="106"/>
  <c r="H34" i="106"/>
  <c r="G34" i="106"/>
  <c r="E34" i="106"/>
  <c r="M33" i="106"/>
  <c r="L33" i="106"/>
  <c r="K33" i="106"/>
  <c r="I33" i="106"/>
  <c r="H33" i="106"/>
  <c r="G33" i="106"/>
  <c r="F33" i="106"/>
  <c r="E33" i="106"/>
  <c r="M32" i="106"/>
  <c r="L32" i="106"/>
  <c r="K32" i="106"/>
  <c r="I32" i="106"/>
  <c r="H32" i="106"/>
  <c r="G32" i="106"/>
  <c r="F32" i="106"/>
  <c r="E32" i="106"/>
  <c r="M31" i="106"/>
  <c r="L31" i="106"/>
  <c r="K31" i="106"/>
  <c r="I31" i="106"/>
  <c r="H31" i="106"/>
  <c r="G31" i="106"/>
  <c r="F31" i="106"/>
  <c r="E31" i="106"/>
  <c r="M30" i="106"/>
  <c r="L30" i="106"/>
  <c r="K30" i="106"/>
  <c r="I30" i="106"/>
  <c r="H30" i="106"/>
  <c r="G30" i="106"/>
  <c r="F30" i="106"/>
  <c r="E30" i="106"/>
  <c r="M29" i="106"/>
  <c r="L29" i="106"/>
  <c r="K29" i="106"/>
  <c r="I29" i="106"/>
  <c r="H29" i="106"/>
  <c r="G29" i="106"/>
  <c r="F29" i="106"/>
  <c r="E29" i="106"/>
  <c r="M28" i="106"/>
  <c r="L28" i="106"/>
  <c r="K28" i="106"/>
  <c r="I28" i="106"/>
  <c r="H28" i="106"/>
  <c r="G28" i="106"/>
  <c r="F28" i="106"/>
  <c r="E28" i="106"/>
  <c r="M27" i="106"/>
  <c r="L27" i="106"/>
  <c r="K27" i="106"/>
  <c r="I27" i="106"/>
  <c r="H27" i="106"/>
  <c r="G27" i="106"/>
  <c r="F27" i="106"/>
  <c r="E27" i="106"/>
  <c r="M25" i="106"/>
  <c r="L25" i="106"/>
  <c r="K25" i="106"/>
  <c r="I25" i="106"/>
  <c r="H25" i="106"/>
  <c r="G25" i="106"/>
  <c r="F25" i="106"/>
  <c r="E25" i="106"/>
  <c r="M24" i="106"/>
  <c r="L24" i="106"/>
  <c r="K24" i="106"/>
  <c r="I24" i="106"/>
  <c r="H24" i="106"/>
  <c r="G24" i="106"/>
  <c r="F24" i="106"/>
  <c r="E24" i="106"/>
  <c r="M22" i="106"/>
  <c r="L22" i="106"/>
  <c r="K22" i="106"/>
  <c r="I22" i="106"/>
  <c r="H22" i="106"/>
  <c r="G22" i="106"/>
  <c r="F22" i="106"/>
  <c r="E22" i="106"/>
  <c r="M21" i="106"/>
  <c r="L21" i="106"/>
  <c r="K21" i="106"/>
  <c r="I21" i="106"/>
  <c r="H21" i="106"/>
  <c r="G21" i="106"/>
  <c r="F21" i="106"/>
  <c r="E21" i="106"/>
  <c r="M19" i="106"/>
  <c r="L19" i="106"/>
  <c r="K19" i="106"/>
  <c r="I19" i="106"/>
  <c r="H19" i="106"/>
  <c r="G19" i="106"/>
  <c r="F19" i="106"/>
  <c r="E19" i="106"/>
  <c r="M18" i="106"/>
  <c r="L18" i="106"/>
  <c r="K18" i="106"/>
  <c r="I18" i="106"/>
  <c r="H18" i="106"/>
  <c r="G18" i="106"/>
  <c r="F18" i="106"/>
  <c r="E18" i="106"/>
  <c r="M17" i="106"/>
  <c r="L17" i="106"/>
  <c r="K17" i="106"/>
  <c r="I17" i="106"/>
  <c r="H17" i="106"/>
  <c r="G17" i="106"/>
  <c r="F17" i="106"/>
  <c r="E17" i="106"/>
  <c r="M16" i="106"/>
  <c r="L16" i="106"/>
  <c r="K16" i="106"/>
  <c r="I16" i="106"/>
  <c r="H16" i="106"/>
  <c r="G16" i="106"/>
  <c r="F16" i="106"/>
  <c r="E16" i="106"/>
  <c r="M15" i="106"/>
  <c r="L15" i="106"/>
  <c r="K15" i="106"/>
  <c r="I15" i="106"/>
  <c r="H15" i="106"/>
  <c r="G15" i="106"/>
  <c r="F15" i="106"/>
  <c r="E15" i="106"/>
  <c r="M14" i="106"/>
  <c r="L14" i="106"/>
  <c r="K14" i="106"/>
  <c r="I14" i="106"/>
  <c r="H14" i="106"/>
  <c r="G14" i="106"/>
  <c r="F14" i="106"/>
  <c r="E14" i="106"/>
  <c r="J28" i="104"/>
  <c r="E23" i="102"/>
  <c r="H9" i="102"/>
  <c r="I9" i="102" s="1"/>
  <c r="H35" i="102"/>
  <c r="I35" i="102" s="1"/>
  <c r="H34" i="102"/>
  <c r="I34" i="102" s="1"/>
  <c r="H32" i="102"/>
  <c r="I32" i="102" s="1"/>
  <c r="H31" i="102"/>
  <c r="I31" i="102" s="1"/>
  <c r="H30" i="102"/>
  <c r="I30" i="102" s="1"/>
  <c r="H29" i="102"/>
  <c r="I29" i="102" s="1"/>
  <c r="H28" i="102"/>
  <c r="I28" i="102" s="1"/>
  <c r="H27" i="102"/>
  <c r="I27" i="102" s="1"/>
  <c r="H26" i="102"/>
  <c r="I26" i="102" s="1"/>
  <c r="H25" i="102"/>
  <c r="I25" i="102" s="1"/>
  <c r="H24" i="102"/>
  <c r="I24" i="102" s="1"/>
  <c r="H23" i="102"/>
  <c r="I23" i="102" s="1"/>
  <c r="H22" i="102"/>
  <c r="I22" i="102" s="1"/>
  <c r="I21" i="102"/>
  <c r="H20" i="102"/>
  <c r="I20" i="102" s="1"/>
  <c r="H19" i="102"/>
  <c r="I19" i="102" s="1"/>
  <c r="H18" i="102"/>
  <c r="I18" i="102" s="1"/>
  <c r="H17" i="102"/>
  <c r="I17" i="102" s="1"/>
  <c r="H16" i="102"/>
  <c r="I16" i="102" s="1"/>
  <c r="H15" i="102"/>
  <c r="I15" i="102" s="1"/>
  <c r="H14" i="102"/>
  <c r="I14" i="102" s="1"/>
  <c r="H13" i="102"/>
  <c r="I13" i="102" s="1"/>
  <c r="I12" i="102"/>
  <c r="H11" i="102"/>
  <c r="I11" i="102" s="1"/>
  <c r="H10" i="102"/>
  <c r="I10" i="102" s="1"/>
  <c r="K30" i="120"/>
  <c r="F6" i="120"/>
  <c r="K31" i="120"/>
  <c r="K29" i="120"/>
  <c r="K28" i="120"/>
  <c r="K27" i="120"/>
  <c r="K26" i="120"/>
  <c r="K24" i="120"/>
  <c r="K23" i="120"/>
  <c r="K22" i="120"/>
  <c r="K21" i="120"/>
  <c r="K20" i="120"/>
  <c r="K19" i="120"/>
  <c r="K18" i="120"/>
  <c r="K17" i="120"/>
  <c r="K16" i="120"/>
  <c r="K15" i="120"/>
  <c r="K14" i="120"/>
  <c r="K13" i="120"/>
  <c r="K12" i="120"/>
  <c r="K11" i="120"/>
  <c r="K10" i="120"/>
  <c r="K9" i="120"/>
  <c r="K8" i="120"/>
  <c r="K7" i="120"/>
  <c r="H32" i="120"/>
  <c r="G22" i="100"/>
  <c r="C444" i="142"/>
  <c r="D444" i="142"/>
  <c r="E444" i="142"/>
  <c r="F444" i="142"/>
  <c r="G444" i="142"/>
  <c r="H444" i="142"/>
  <c r="J21" i="110"/>
  <c r="G21" i="110"/>
  <c r="F21" i="110"/>
  <c r="E21" i="110"/>
  <c r="D21" i="110"/>
  <c r="C21" i="110"/>
  <c r="I20" i="110"/>
  <c r="I19" i="110"/>
  <c r="I18" i="110"/>
  <c r="I16" i="110"/>
  <c r="I15" i="110"/>
  <c r="I14" i="110"/>
  <c r="I13" i="110"/>
  <c r="I12" i="110"/>
  <c r="I11" i="110"/>
  <c r="I10" i="110"/>
  <c r="I9" i="110"/>
  <c r="I8" i="110"/>
  <c r="I7" i="110"/>
  <c r="I21" i="110"/>
  <c r="D19" i="128"/>
  <c r="E19" i="128"/>
  <c r="F19" i="128"/>
  <c r="G19" i="128"/>
  <c r="H19" i="128"/>
  <c r="I19" i="128"/>
  <c r="J19" i="128"/>
  <c r="C21" i="111"/>
  <c r="D21" i="111"/>
  <c r="E21" i="111"/>
  <c r="H21" i="130"/>
  <c r="G21" i="130"/>
  <c r="F21" i="130"/>
  <c r="E21" i="130"/>
  <c r="D21" i="130"/>
  <c r="C21" i="130"/>
  <c r="I21" i="130" s="1"/>
  <c r="I20" i="130"/>
  <c r="I19" i="130"/>
  <c r="I18" i="130"/>
  <c r="I17" i="130"/>
  <c r="I16" i="130"/>
  <c r="I15" i="130"/>
  <c r="I14" i="130"/>
  <c r="I13" i="130"/>
  <c r="I12" i="130"/>
  <c r="I11" i="130"/>
  <c r="I10" i="130"/>
  <c r="I9" i="130"/>
  <c r="I8" i="130"/>
  <c r="I7" i="130"/>
  <c r="H12" i="131"/>
  <c r="H14" i="131" s="1"/>
  <c r="H42" i="131"/>
  <c r="H23" i="131"/>
  <c r="G22" i="132"/>
  <c r="G24" i="132" s="1"/>
  <c r="F22" i="132"/>
  <c r="F24" i="132" s="1"/>
  <c r="E22" i="132"/>
  <c r="E24" i="132" s="1"/>
  <c r="D22" i="132"/>
  <c r="D24" i="132" s="1"/>
  <c r="C22" i="132"/>
  <c r="H21" i="132"/>
  <c r="H20" i="132"/>
  <c r="H19" i="132"/>
  <c r="H18" i="132"/>
  <c r="H17" i="132"/>
  <c r="H16" i="132"/>
  <c r="H15" i="132"/>
  <c r="H14" i="132"/>
  <c r="H13" i="132"/>
  <c r="H12" i="132"/>
  <c r="H11" i="132"/>
  <c r="H10" i="132"/>
  <c r="H9" i="132"/>
  <c r="H8" i="132"/>
  <c r="G22" i="133"/>
  <c r="G24" i="133" s="1"/>
  <c r="F22" i="133"/>
  <c r="F24" i="133" s="1"/>
  <c r="E22" i="133"/>
  <c r="E24" i="133" s="1"/>
  <c r="D22" i="133"/>
  <c r="D24" i="133" s="1"/>
  <c r="C22" i="133"/>
  <c r="H21" i="133"/>
  <c r="H20" i="133"/>
  <c r="H19" i="133"/>
  <c r="H18" i="133"/>
  <c r="H17" i="133"/>
  <c r="H16" i="133"/>
  <c r="H15" i="133"/>
  <c r="H14" i="133"/>
  <c r="H13" i="133"/>
  <c r="H12" i="133"/>
  <c r="H11" i="133"/>
  <c r="H10" i="133"/>
  <c r="H9" i="133"/>
  <c r="H8" i="133"/>
  <c r="H33" i="98"/>
  <c r="H22" i="98"/>
  <c r="H24" i="98" s="1"/>
  <c r="H11" i="98"/>
  <c r="H13" i="98" s="1"/>
  <c r="G23" i="134"/>
  <c r="G25" i="134" s="1"/>
  <c r="F23" i="134"/>
  <c r="F25" i="134" s="1"/>
  <c r="E23" i="134"/>
  <c r="E25" i="134" s="1"/>
  <c r="D23" i="134"/>
  <c r="D25" i="134" s="1"/>
  <c r="C23" i="134"/>
  <c r="C25" i="134" s="1"/>
  <c r="H22" i="134"/>
  <c r="H21" i="134"/>
  <c r="H20" i="134"/>
  <c r="H19" i="134"/>
  <c r="H18" i="134"/>
  <c r="H17" i="134"/>
  <c r="H16" i="134"/>
  <c r="H15" i="134"/>
  <c r="H14" i="134"/>
  <c r="H13" i="134"/>
  <c r="H12" i="134"/>
  <c r="H11" i="134"/>
  <c r="H10" i="134"/>
  <c r="H9" i="134"/>
  <c r="G20" i="112"/>
  <c r="F20" i="112"/>
  <c r="E20" i="112"/>
  <c r="F20" i="113"/>
  <c r="E20" i="113"/>
  <c r="D12" i="113"/>
  <c r="D20" i="113" s="1"/>
  <c r="G8" i="114"/>
  <c r="F8" i="114"/>
  <c r="E8" i="114"/>
  <c r="H6" i="116"/>
  <c r="H10" i="116"/>
  <c r="H9" i="116"/>
  <c r="H8" i="116"/>
  <c r="H7" i="116"/>
  <c r="H164" i="115"/>
  <c r="H155" i="115"/>
  <c r="H146" i="115"/>
  <c r="H136" i="115"/>
  <c r="H126" i="115"/>
  <c r="H114" i="115"/>
  <c r="H105" i="115"/>
  <c r="H85" i="115"/>
  <c r="H73" i="115"/>
  <c r="H63" i="115"/>
  <c r="H31" i="115"/>
  <c r="H11" i="115"/>
  <c r="H177" i="116"/>
  <c r="H167" i="116"/>
  <c r="H156" i="116"/>
  <c r="H146" i="116"/>
  <c r="H133" i="116"/>
  <c r="H122" i="116"/>
  <c r="H112" i="116"/>
  <c r="H99" i="116"/>
  <c r="H89" i="116"/>
  <c r="H78" i="116"/>
  <c r="H65" i="116"/>
  <c r="H55" i="116"/>
  <c r="H45" i="116"/>
  <c r="H22" i="116"/>
  <c r="F17" i="138"/>
  <c r="E17" i="138"/>
  <c r="E15" i="103"/>
  <c r="F36" i="102"/>
  <c r="G36" i="102"/>
  <c r="E36" i="102"/>
  <c r="I32" i="120"/>
  <c r="J32" i="120"/>
  <c r="G63" i="130"/>
  <c r="D521" i="143"/>
  <c r="E521" i="143"/>
  <c r="F521" i="143"/>
  <c r="G521" i="143"/>
  <c r="H521" i="143"/>
  <c r="C521" i="143"/>
  <c r="D485" i="143"/>
  <c r="E485" i="143"/>
  <c r="F485" i="143"/>
  <c r="G485" i="143"/>
  <c r="H485" i="143"/>
  <c r="C485" i="143"/>
  <c r="D449" i="143"/>
  <c r="E449" i="143"/>
  <c r="F449" i="143"/>
  <c r="G449" i="143"/>
  <c r="H449" i="143"/>
  <c r="C449" i="143"/>
  <c r="D413" i="143"/>
  <c r="E413" i="143"/>
  <c r="F413" i="143"/>
  <c r="G413" i="143"/>
  <c r="H413" i="143"/>
  <c r="C413" i="143"/>
  <c r="K377" i="143"/>
  <c r="D377" i="143"/>
  <c r="E377" i="143"/>
  <c r="F377" i="143"/>
  <c r="G377" i="143"/>
  <c r="H377" i="143"/>
  <c r="I377" i="143"/>
  <c r="I16" i="143" s="1"/>
  <c r="C377" i="143"/>
  <c r="D341" i="143"/>
  <c r="F341" i="143"/>
  <c r="G341" i="143"/>
  <c r="H341" i="143"/>
  <c r="C341" i="143"/>
  <c r="D305" i="143"/>
  <c r="E305" i="143"/>
  <c r="F305" i="143"/>
  <c r="H305" i="143"/>
  <c r="C305" i="143"/>
  <c r="I299" i="143"/>
  <c r="D268" i="143"/>
  <c r="E268" i="143"/>
  <c r="F268" i="143"/>
  <c r="G268" i="143"/>
  <c r="H268" i="143"/>
  <c r="C268" i="143"/>
  <c r="D232" i="143"/>
  <c r="E232" i="143"/>
  <c r="F232" i="143"/>
  <c r="G232" i="143"/>
  <c r="H232" i="143"/>
  <c r="C232" i="143"/>
  <c r="D196" i="143"/>
  <c r="E196" i="143"/>
  <c r="F196" i="143"/>
  <c r="G196" i="143"/>
  <c r="H196" i="143"/>
  <c r="C196" i="143"/>
  <c r="D160" i="143"/>
  <c r="E160" i="143"/>
  <c r="F160" i="143"/>
  <c r="G160" i="143"/>
  <c r="H160" i="143"/>
  <c r="C160" i="143"/>
  <c r="D124" i="143"/>
  <c r="F124" i="143"/>
  <c r="G124" i="143"/>
  <c r="H124" i="143"/>
  <c r="C124" i="143"/>
  <c r="D88" i="143"/>
  <c r="E88" i="143"/>
  <c r="F88" i="143"/>
  <c r="G88" i="143"/>
  <c r="H88" i="143"/>
  <c r="C88" i="143"/>
  <c r="I88" i="143" s="1"/>
  <c r="D52" i="143"/>
  <c r="E52" i="143"/>
  <c r="F52" i="143"/>
  <c r="G52" i="143"/>
  <c r="H52" i="143"/>
  <c r="C52" i="143"/>
  <c r="D46" i="141"/>
  <c r="D45" i="141"/>
  <c r="D44" i="141"/>
  <c r="D43" i="141"/>
  <c r="D40" i="141"/>
  <c r="D39" i="141"/>
  <c r="D38" i="141"/>
  <c r="D37" i="141"/>
  <c r="D36" i="141"/>
  <c r="D35" i="141"/>
  <c r="D33" i="141"/>
  <c r="D31" i="141"/>
  <c r="D30" i="141"/>
  <c r="D28" i="141"/>
  <c r="D27" i="141"/>
  <c r="D26" i="141"/>
  <c r="D25" i="141"/>
  <c r="D24" i="141"/>
  <c r="D23" i="141"/>
  <c r="D22" i="141"/>
  <c r="D20" i="141"/>
  <c r="D19" i="141"/>
  <c r="D18" i="141"/>
  <c r="D17" i="141"/>
  <c r="D15" i="141"/>
  <c r="D16" i="141"/>
  <c r="D14" i="141"/>
  <c r="D13" i="141"/>
  <c r="D11" i="141"/>
  <c r="D10" i="141"/>
  <c r="D9" i="141"/>
  <c r="D704" i="106" l="1"/>
  <c r="D708" i="106"/>
  <c r="J47" i="105"/>
  <c r="D175" i="105"/>
  <c r="D196" i="105"/>
  <c r="D208" i="105"/>
  <c r="D225" i="105"/>
  <c r="D244" i="105"/>
  <c r="D249" i="105"/>
  <c r="D388" i="105"/>
  <c r="D572" i="105"/>
  <c r="D591" i="105"/>
  <c r="D600" i="105"/>
  <c r="D610" i="105"/>
  <c r="D611" i="105"/>
  <c r="D612" i="105"/>
  <c r="D624" i="105"/>
  <c r="D743" i="105"/>
  <c r="D763" i="105"/>
  <c r="D772" i="105"/>
  <c r="D777" i="105"/>
  <c r="D801" i="105"/>
  <c r="D882" i="105"/>
  <c r="H416" i="107"/>
  <c r="J21" i="111"/>
  <c r="D123" i="106"/>
  <c r="D510" i="106"/>
  <c r="D67" i="106"/>
  <c r="D68" i="106"/>
  <c r="D174" i="106"/>
  <c r="D184" i="106"/>
  <c r="D188" i="106"/>
  <c r="D190" i="106"/>
  <c r="D440" i="106"/>
  <c r="D445" i="106"/>
  <c r="D449" i="106"/>
  <c r="D451" i="106"/>
  <c r="D454" i="106"/>
  <c r="D497" i="106"/>
  <c r="D503" i="106"/>
  <c r="D586" i="106"/>
  <c r="D223" i="108"/>
  <c r="D173" i="108"/>
  <c r="D125" i="108"/>
  <c r="E704" i="107"/>
  <c r="L368" i="107"/>
  <c r="G40" i="107"/>
  <c r="G318" i="107"/>
  <c r="G575" i="107"/>
  <c r="E560" i="107"/>
  <c r="M645" i="107"/>
  <c r="H318" i="107"/>
  <c r="G368" i="107"/>
  <c r="F464" i="107"/>
  <c r="F481" i="107" s="1"/>
  <c r="F484" i="107" s="1"/>
  <c r="E800" i="107"/>
  <c r="F704" i="107"/>
  <c r="E173" i="107"/>
  <c r="E270" i="107"/>
  <c r="I551" i="107"/>
  <c r="M41" i="107"/>
  <c r="M39" i="107"/>
  <c r="M37" i="107"/>
  <c r="E36" i="107"/>
  <c r="G222" i="107"/>
  <c r="M333" i="107"/>
  <c r="E464" i="107"/>
  <c r="E481" i="107" s="1"/>
  <c r="E484" i="107" s="1"/>
  <c r="F800" i="107"/>
  <c r="I815" i="107"/>
  <c r="H512" i="107"/>
  <c r="L800" i="107"/>
  <c r="I647" i="107"/>
  <c r="F560" i="107"/>
  <c r="F721" i="107"/>
  <c r="L704" i="107"/>
  <c r="L721" i="107" s="1"/>
  <c r="L270" i="107"/>
  <c r="J656" i="107"/>
  <c r="H560" i="107"/>
  <c r="J529" i="107"/>
  <c r="J532" i="107" s="1"/>
  <c r="M527" i="107"/>
  <c r="M623" i="107"/>
  <c r="I623" i="107"/>
  <c r="I568" i="107"/>
  <c r="E285" i="107"/>
  <c r="E43" i="107" s="1"/>
  <c r="I407" i="107"/>
  <c r="M455" i="107"/>
  <c r="K512" i="107"/>
  <c r="M791" i="107"/>
  <c r="J752" i="107"/>
  <c r="I719" i="107"/>
  <c r="M712" i="107"/>
  <c r="M695" i="107"/>
  <c r="K77" i="107"/>
  <c r="M40" i="107"/>
  <c r="I39" i="107"/>
  <c r="M85" i="107"/>
  <c r="I211" i="107"/>
  <c r="I309" i="107"/>
  <c r="I383" i="107"/>
  <c r="M12" i="107"/>
  <c r="K173" i="107"/>
  <c r="K222" i="107"/>
  <c r="J318" i="107"/>
  <c r="J335" i="107" s="1"/>
  <c r="J338" i="107" s="1"/>
  <c r="M719" i="107"/>
  <c r="H24" i="107"/>
  <c r="M767" i="107"/>
  <c r="I743" i="107"/>
  <c r="I453" i="107"/>
  <c r="I326" i="107"/>
  <c r="M520" i="107"/>
  <c r="I503" i="107"/>
  <c r="I789" i="107"/>
  <c r="M278" i="107"/>
  <c r="M376" i="107"/>
  <c r="J19" i="107"/>
  <c r="J125" i="107"/>
  <c r="H173" i="107"/>
  <c r="H190" i="107" s="1"/>
  <c r="H193" i="107" s="1"/>
  <c r="M33" i="107"/>
  <c r="F270" i="107"/>
  <c r="M46" i="107"/>
  <c r="I26" i="107"/>
  <c r="I362" i="107"/>
  <c r="G125" i="107"/>
  <c r="G142" i="107" s="1"/>
  <c r="G145" i="107" s="1"/>
  <c r="I44" i="107"/>
  <c r="H43" i="107"/>
  <c r="M35" i="107"/>
  <c r="M31" i="107"/>
  <c r="D29" i="107"/>
  <c r="I133" i="107"/>
  <c r="I16" i="107"/>
  <c r="I12" i="107"/>
  <c r="E368" i="107"/>
  <c r="E385" i="107" s="1"/>
  <c r="E388" i="107" s="1"/>
  <c r="I472" i="107"/>
  <c r="I597" i="107"/>
  <c r="E94" i="107"/>
  <c r="E97" i="107" s="1"/>
  <c r="H19" i="107"/>
  <c r="K125" i="107"/>
  <c r="K142" i="107" s="1"/>
  <c r="K145" i="107" s="1"/>
  <c r="F125" i="107"/>
  <c r="I188" i="107"/>
  <c r="M211" i="107"/>
  <c r="M261" i="107"/>
  <c r="I259" i="107"/>
  <c r="L318" i="107"/>
  <c r="L335" i="107" s="1"/>
  <c r="M472" i="107"/>
  <c r="M27" i="107"/>
  <c r="M25" i="107"/>
  <c r="M23" i="107"/>
  <c r="G335" i="107"/>
  <c r="G338" i="107" s="1"/>
  <c r="I24" i="107"/>
  <c r="K416" i="107"/>
  <c r="K433" i="107" s="1"/>
  <c r="K436" i="107" s="1"/>
  <c r="M479" i="107"/>
  <c r="M501" i="107"/>
  <c r="M568" i="107"/>
  <c r="I549" i="107"/>
  <c r="I32" i="107"/>
  <c r="I23" i="107"/>
  <c r="I285" i="107"/>
  <c r="I31" i="107"/>
  <c r="I333" i="107"/>
  <c r="M431" i="107"/>
  <c r="I424" i="107"/>
  <c r="I479" i="107"/>
  <c r="H529" i="107"/>
  <c r="H532" i="107" s="1"/>
  <c r="M671" i="107"/>
  <c r="M664" i="107"/>
  <c r="M599" i="107"/>
  <c r="I29" i="107"/>
  <c r="I11" i="107"/>
  <c r="K43" i="107"/>
  <c r="I22" i="107"/>
  <c r="M18" i="107"/>
  <c r="F77" i="107"/>
  <c r="F94" i="107" s="1"/>
  <c r="M15" i="107"/>
  <c r="M13" i="107"/>
  <c r="M11" i="107"/>
  <c r="I117" i="107"/>
  <c r="I20" i="107" s="1"/>
  <c r="E125" i="107"/>
  <c r="E142" i="107" s="1"/>
  <c r="E145" i="107" s="1"/>
  <c r="I181" i="107"/>
  <c r="I237" i="107"/>
  <c r="M209" i="107"/>
  <c r="E318" i="107"/>
  <c r="M383" i="107"/>
  <c r="M21" i="107"/>
  <c r="M357" i="107"/>
  <c r="G464" i="107"/>
  <c r="G481" i="107" s="1"/>
  <c r="G484" i="107" s="1"/>
  <c r="K529" i="107"/>
  <c r="K532" i="107" s="1"/>
  <c r="E512" i="107"/>
  <c r="E529" i="107" s="1"/>
  <c r="E532" i="107" s="1"/>
  <c r="G817" i="107"/>
  <c r="G820" i="107" s="1"/>
  <c r="I25" i="107"/>
  <c r="I21" i="107"/>
  <c r="I760" i="107"/>
  <c r="L752" i="107"/>
  <c r="L769" i="107" s="1"/>
  <c r="L772" i="107" s="1"/>
  <c r="G752" i="107"/>
  <c r="G769" i="107" s="1"/>
  <c r="G772" i="107" s="1"/>
  <c r="M647" i="107"/>
  <c r="D647" i="107" s="1"/>
  <c r="E656" i="107"/>
  <c r="E673" i="107" s="1"/>
  <c r="E676" i="107" s="1"/>
  <c r="G625" i="107"/>
  <c r="G628" i="107" s="1"/>
  <c r="E42" i="107"/>
  <c r="I66" i="107"/>
  <c r="I15" i="107"/>
  <c r="I35" i="107"/>
  <c r="H125" i="107"/>
  <c r="H142" i="107" s="1"/>
  <c r="H145" i="107" s="1"/>
  <c r="M188" i="107"/>
  <c r="D188" i="107" s="1"/>
  <c r="E190" i="107"/>
  <c r="E193" i="107" s="1"/>
  <c r="M162" i="107"/>
  <c r="F222" i="107"/>
  <c r="H335" i="107"/>
  <c r="H338" i="107" s="1"/>
  <c r="M307" i="107"/>
  <c r="M16" i="107"/>
  <c r="M355" i="107"/>
  <c r="J433" i="107"/>
  <c r="J436" i="107" s="1"/>
  <c r="G416" i="107"/>
  <c r="G433" i="107" s="1"/>
  <c r="G436" i="107" s="1"/>
  <c r="I520" i="107"/>
  <c r="M34" i="107"/>
  <c r="M30" i="107"/>
  <c r="E721" i="107"/>
  <c r="E724" i="107" s="1"/>
  <c r="I664" i="107"/>
  <c r="K673" i="107"/>
  <c r="K676" i="107" s="1"/>
  <c r="H608" i="107"/>
  <c r="H625" i="107" s="1"/>
  <c r="H628" i="107" s="1"/>
  <c r="J142" i="107"/>
  <c r="J145" i="107" s="1"/>
  <c r="L125" i="107"/>
  <c r="L142" i="107" s="1"/>
  <c r="L287" i="107"/>
  <c r="K287" i="107"/>
  <c r="K290" i="107" s="1"/>
  <c r="G512" i="107"/>
  <c r="G529" i="107" s="1"/>
  <c r="G532" i="107" s="1"/>
  <c r="I41" i="107"/>
  <c r="I37" i="107"/>
  <c r="E817" i="107"/>
  <c r="E820" i="107" s="1"/>
  <c r="I767" i="107"/>
  <c r="K769" i="107"/>
  <c r="E752" i="107"/>
  <c r="E769" i="107" s="1"/>
  <c r="E772" i="107" s="1"/>
  <c r="G721" i="107"/>
  <c r="G724" i="107" s="1"/>
  <c r="J704" i="107"/>
  <c r="J673" i="107"/>
  <c r="J676" i="107" s="1"/>
  <c r="G656" i="107"/>
  <c r="G673" i="107" s="1"/>
  <c r="G676" i="107" s="1"/>
  <c r="E625" i="107"/>
  <c r="E628" i="107" s="1"/>
  <c r="M549" i="107"/>
  <c r="I13" i="107"/>
  <c r="I33" i="107"/>
  <c r="M20" i="107"/>
  <c r="K17" i="107"/>
  <c r="G17" i="107"/>
  <c r="M44" i="107"/>
  <c r="M24" i="107"/>
  <c r="M116" i="107"/>
  <c r="I114" i="107"/>
  <c r="M181" i="107"/>
  <c r="D181" i="107" s="1"/>
  <c r="K190" i="107"/>
  <c r="K193" i="107" s="1"/>
  <c r="I164" i="107"/>
  <c r="G173" i="107"/>
  <c r="G190" i="107" s="1"/>
  <c r="G193" i="107" s="1"/>
  <c r="I278" i="107"/>
  <c r="J270" i="107"/>
  <c r="J287" i="107" s="1"/>
  <c r="J290" i="107" s="1"/>
  <c r="L385" i="107"/>
  <c r="L388" i="107" s="1"/>
  <c r="G385" i="107"/>
  <c r="G388" i="107" s="1"/>
  <c r="M424" i="107"/>
  <c r="E416" i="107"/>
  <c r="E433" i="107" s="1"/>
  <c r="E436" i="107" s="1"/>
  <c r="J464" i="107"/>
  <c r="J481" i="107" s="1"/>
  <c r="J484" i="107" s="1"/>
  <c r="M808" i="107"/>
  <c r="J800" i="107"/>
  <c r="J769" i="107"/>
  <c r="J772" i="107" s="1"/>
  <c r="M741" i="107"/>
  <c r="I693" i="107"/>
  <c r="M616" i="107"/>
  <c r="J608" i="107"/>
  <c r="J625" i="107" s="1"/>
  <c r="J628" i="107" s="1"/>
  <c r="I575" i="107"/>
  <c r="G13" i="108"/>
  <c r="K609" i="108"/>
  <c r="E40" i="108"/>
  <c r="G40" i="108"/>
  <c r="E576" i="108"/>
  <c r="H802" i="108"/>
  <c r="K561" i="108"/>
  <c r="J20" i="108"/>
  <c r="L318" i="108"/>
  <c r="G318" i="108"/>
  <c r="G335" i="108" s="1"/>
  <c r="G338" i="108" s="1"/>
  <c r="J34" i="108"/>
  <c r="L24" i="108"/>
  <c r="G754" i="108"/>
  <c r="J609" i="108"/>
  <c r="H38" i="108"/>
  <c r="G230" i="108"/>
  <c r="G36" i="108" s="1"/>
  <c r="M307" i="108"/>
  <c r="M617" i="108"/>
  <c r="M598" i="108"/>
  <c r="J11" i="108"/>
  <c r="F270" i="108"/>
  <c r="H172" i="108"/>
  <c r="J417" i="108"/>
  <c r="J434" i="108" s="1"/>
  <c r="J437" i="108" s="1"/>
  <c r="E417" i="108"/>
  <c r="M624" i="108"/>
  <c r="I205" i="108"/>
  <c r="K465" i="108"/>
  <c r="K482" i="108" s="1"/>
  <c r="K485" i="108" s="1"/>
  <c r="F465" i="108"/>
  <c r="M745" i="108"/>
  <c r="I139" i="108"/>
  <c r="I132" i="108"/>
  <c r="H31" i="108"/>
  <c r="E172" i="108"/>
  <c r="M552" i="108"/>
  <c r="K368" i="108"/>
  <c r="J172" i="108"/>
  <c r="G270" i="108"/>
  <c r="G287" i="108" s="1"/>
  <c r="G290" i="108" s="1"/>
  <c r="J230" i="108"/>
  <c r="M180" i="108"/>
  <c r="M383" i="108"/>
  <c r="M357" i="108"/>
  <c r="F318" i="108"/>
  <c r="I307" i="108"/>
  <c r="G576" i="108"/>
  <c r="K658" i="108"/>
  <c r="K675" i="108" s="1"/>
  <c r="K678" i="108" s="1"/>
  <c r="F658" i="108"/>
  <c r="L658" i="108"/>
  <c r="L675" i="108" s="1"/>
  <c r="L678" i="108" s="1"/>
  <c r="I647" i="108"/>
  <c r="M810" i="108"/>
  <c r="L222" i="108"/>
  <c r="M161" i="108"/>
  <c r="J124" i="108"/>
  <c r="L36" i="108"/>
  <c r="G513" i="108"/>
  <c r="I502" i="108"/>
  <c r="M376" i="108"/>
  <c r="H706" i="108"/>
  <c r="H723" i="108" s="1"/>
  <c r="H726" i="108" s="1"/>
  <c r="I42" i="108"/>
  <c r="I35" i="108"/>
  <c r="I528" i="108"/>
  <c r="J561" i="108"/>
  <c r="K706" i="108"/>
  <c r="I793" i="108"/>
  <c r="G802" i="108"/>
  <c r="H34" i="108"/>
  <c r="J270" i="108"/>
  <c r="K270" i="108"/>
  <c r="K287" i="108" s="1"/>
  <c r="K290" i="108" s="1"/>
  <c r="M11" i="108"/>
  <c r="H76" i="108"/>
  <c r="G417" i="108"/>
  <c r="G434" i="108" s="1"/>
  <c r="G437" i="108" s="1"/>
  <c r="F754" i="108"/>
  <c r="M721" i="108"/>
  <c r="J802" i="108"/>
  <c r="E20" i="108"/>
  <c r="L270" i="108"/>
  <c r="K222" i="108"/>
  <c r="K239" i="108" s="1"/>
  <c r="J76" i="108"/>
  <c r="F513" i="108"/>
  <c r="F530" i="108" s="1"/>
  <c r="M473" i="108"/>
  <c r="I46" i="108"/>
  <c r="M16" i="108"/>
  <c r="M230" i="108"/>
  <c r="I67" i="108"/>
  <c r="L76" i="108"/>
  <c r="G76" i="108"/>
  <c r="M769" i="108"/>
  <c r="M762" i="108"/>
  <c r="I745" i="108"/>
  <c r="M817" i="108"/>
  <c r="G819" i="108"/>
  <c r="G822" i="108" s="1"/>
  <c r="I218" i="108"/>
  <c r="M333" i="108"/>
  <c r="M113" i="108"/>
  <c r="G124" i="108"/>
  <c r="M521" i="108"/>
  <c r="M504" i="108"/>
  <c r="I456" i="108"/>
  <c r="L609" i="108"/>
  <c r="M609" i="108" s="1"/>
  <c r="M714" i="108"/>
  <c r="I714" i="108"/>
  <c r="D714" i="108" s="1"/>
  <c r="M695" i="108"/>
  <c r="I673" i="108"/>
  <c r="M666" i="108"/>
  <c r="M649" i="108"/>
  <c r="I31" i="108"/>
  <c r="M44" i="108"/>
  <c r="J43" i="108"/>
  <c r="E43" i="108"/>
  <c r="I34" i="108"/>
  <c r="J141" i="108"/>
  <c r="J144" i="108" s="1"/>
  <c r="M84" i="108"/>
  <c r="M30" i="108"/>
  <c r="K385" i="108"/>
  <c r="K388" i="108" s="1"/>
  <c r="I697" i="108"/>
  <c r="I810" i="108"/>
  <c r="D810" i="108" s="1"/>
  <c r="M228" i="108"/>
  <c r="K172" i="108"/>
  <c r="L93" i="108"/>
  <c r="L96" i="108" s="1"/>
  <c r="G93" i="108"/>
  <c r="G96" i="108" s="1"/>
  <c r="I16" i="108"/>
  <c r="I425" i="108"/>
  <c r="F335" i="108"/>
  <c r="F338" i="108" s="1"/>
  <c r="H609" i="108"/>
  <c r="H209" i="108"/>
  <c r="H189" i="108"/>
  <c r="H192" i="108" s="1"/>
  <c r="M20" i="108"/>
  <c r="J93" i="108"/>
  <c r="J96" i="108" s="1"/>
  <c r="M480" i="108"/>
  <c r="L19" i="108"/>
  <c r="H417" i="108"/>
  <c r="H434" i="108" s="1"/>
  <c r="H437" i="108" s="1"/>
  <c r="M550" i="108"/>
  <c r="I187" i="108"/>
  <c r="I12" i="108"/>
  <c r="G530" i="108"/>
  <c r="G533" i="108" s="1"/>
  <c r="E513" i="108"/>
  <c r="E530" i="108" s="1"/>
  <c r="E533" i="108" s="1"/>
  <c r="H465" i="108"/>
  <c r="H482" i="108" s="1"/>
  <c r="H485" i="108" s="1"/>
  <c r="J368" i="108"/>
  <c r="J385" i="108" s="1"/>
  <c r="J388" i="108" s="1"/>
  <c r="I569" i="108"/>
  <c r="I762" i="108"/>
  <c r="I15" i="108"/>
  <c r="I13" i="108"/>
  <c r="M38" i="108"/>
  <c r="K24" i="108"/>
  <c r="F19" i="108"/>
  <c r="E17" i="108"/>
  <c r="J287" i="108"/>
  <c r="J290" i="108" s="1"/>
  <c r="I261" i="108"/>
  <c r="M259" i="108"/>
  <c r="H270" i="108"/>
  <c r="H287" i="108" s="1"/>
  <c r="H290" i="108" s="1"/>
  <c r="M14" i="108"/>
  <c r="M47" i="108"/>
  <c r="I163" i="108"/>
  <c r="I18" i="108"/>
  <c r="E124" i="108"/>
  <c r="E141" i="108" s="1"/>
  <c r="E144" i="108" s="1"/>
  <c r="H43" i="108"/>
  <c r="M40" i="108"/>
  <c r="M35" i="108"/>
  <c r="M31" i="108"/>
  <c r="E76" i="108"/>
  <c r="E93" i="108" s="1"/>
  <c r="E96" i="108" s="1"/>
  <c r="I521" i="108"/>
  <c r="D521" i="108" s="1"/>
  <c r="G43" i="108"/>
  <c r="M425" i="108"/>
  <c r="E434" i="108"/>
  <c r="E437" i="108" s="1"/>
  <c r="I357" i="108"/>
  <c r="G368" i="108"/>
  <c r="G385" i="108" s="1"/>
  <c r="G388" i="108" s="1"/>
  <c r="I333" i="108"/>
  <c r="K318" i="108"/>
  <c r="K335" i="108" s="1"/>
  <c r="K338" i="108" s="1"/>
  <c r="E561" i="108"/>
  <c r="I624" i="108"/>
  <c r="I621" i="108"/>
  <c r="I40" i="108" s="1"/>
  <c r="J626" i="108"/>
  <c r="J629" i="108" s="1"/>
  <c r="I600" i="108"/>
  <c r="I769" i="108"/>
  <c r="J754" i="108"/>
  <c r="J771" i="108" s="1"/>
  <c r="J774" i="108" s="1"/>
  <c r="E754" i="108"/>
  <c r="E771" i="108" s="1"/>
  <c r="E774" i="108" s="1"/>
  <c r="K723" i="108"/>
  <c r="K726" i="108" s="1"/>
  <c r="M697" i="108"/>
  <c r="E675" i="108"/>
  <c r="E678" i="108" s="1"/>
  <c r="L802" i="108"/>
  <c r="L819" i="108" s="1"/>
  <c r="L822" i="108" s="1"/>
  <c r="M278" i="108"/>
  <c r="M26" i="108"/>
  <c r="M22" i="108"/>
  <c r="M218" i="108"/>
  <c r="G172" i="108"/>
  <c r="G189" i="108" s="1"/>
  <c r="G192" i="108" s="1"/>
  <c r="F36" i="108"/>
  <c r="M32" i="108"/>
  <c r="I27" i="108"/>
  <c r="I23" i="108"/>
  <c r="K19" i="108"/>
  <c r="M91" i="108"/>
  <c r="I84" i="108"/>
  <c r="I25" i="108"/>
  <c r="J513" i="108"/>
  <c r="J530" i="108" s="1"/>
  <c r="J533" i="108" s="1"/>
  <c r="E465" i="108"/>
  <c r="E482" i="108" s="1"/>
  <c r="E485" i="108" s="1"/>
  <c r="M432" i="108"/>
  <c r="I432" i="108"/>
  <c r="L417" i="108"/>
  <c r="L434" i="108" s="1"/>
  <c r="L437" i="108" s="1"/>
  <c r="M408" i="108"/>
  <c r="E368" i="108"/>
  <c r="E385" i="108" s="1"/>
  <c r="E388" i="108" s="1"/>
  <c r="I39" i="108"/>
  <c r="I326" i="108"/>
  <c r="I309" i="108"/>
  <c r="E318" i="108"/>
  <c r="E335" i="108" s="1"/>
  <c r="E338" i="108" s="1"/>
  <c r="M576" i="108"/>
  <c r="E626" i="108"/>
  <c r="E629" i="108" s="1"/>
  <c r="J723" i="108"/>
  <c r="J726" i="108" s="1"/>
  <c r="G723" i="108"/>
  <c r="G726" i="108" s="1"/>
  <c r="I817" i="108"/>
  <c r="D817" i="108" s="1"/>
  <c r="M46" i="108"/>
  <c r="I41" i="108"/>
  <c r="I37" i="108"/>
  <c r="M34" i="108"/>
  <c r="M600" i="108"/>
  <c r="L754" i="108"/>
  <c r="L771" i="108" s="1"/>
  <c r="I743" i="108"/>
  <c r="I666" i="108"/>
  <c r="E802" i="108"/>
  <c r="E819" i="108" s="1"/>
  <c r="E822" i="108" s="1"/>
  <c r="J38" i="108"/>
  <c r="M25" i="108"/>
  <c r="M33" i="108"/>
  <c r="H230" i="108"/>
  <c r="M23" i="108"/>
  <c r="I203" i="108"/>
  <c r="M163" i="108"/>
  <c r="M132" i="108"/>
  <c r="D132" i="108" s="1"/>
  <c r="K17" i="108"/>
  <c r="J36" i="108"/>
  <c r="E36" i="108"/>
  <c r="I32" i="108"/>
  <c r="K76" i="108"/>
  <c r="K93" i="108" s="1"/>
  <c r="I65" i="108"/>
  <c r="M528" i="108"/>
  <c r="D528" i="108" s="1"/>
  <c r="L513" i="108"/>
  <c r="L530" i="108" s="1"/>
  <c r="G465" i="108"/>
  <c r="H368" i="108"/>
  <c r="M326" i="108"/>
  <c r="D326" i="108" s="1"/>
  <c r="M309" i="108"/>
  <c r="D309" i="108" s="1"/>
  <c r="K626" i="108"/>
  <c r="K629" i="108" s="1"/>
  <c r="H626" i="108"/>
  <c r="H629" i="108" s="1"/>
  <c r="G771" i="108"/>
  <c r="G774" i="108" s="1"/>
  <c r="K754" i="108"/>
  <c r="K771" i="108" s="1"/>
  <c r="K774" i="108" s="1"/>
  <c r="H658" i="108"/>
  <c r="H675" i="108" s="1"/>
  <c r="H678" i="108" s="1"/>
  <c r="H819" i="108"/>
  <c r="H822" i="108" s="1"/>
  <c r="J819" i="108"/>
  <c r="J822" i="108" s="1"/>
  <c r="M791" i="108"/>
  <c r="F26" i="105"/>
  <c r="H45" i="105"/>
  <c r="D380" i="105"/>
  <c r="D382" i="105"/>
  <c r="D391" i="105"/>
  <c r="D593" i="105"/>
  <c r="D690" i="105"/>
  <c r="D704" i="105"/>
  <c r="D708" i="105"/>
  <c r="D715" i="105"/>
  <c r="D717" i="105"/>
  <c r="D805" i="105"/>
  <c r="D808" i="105"/>
  <c r="D828" i="105"/>
  <c r="D832" i="105"/>
  <c r="D66" i="105"/>
  <c r="D68" i="105"/>
  <c r="D70" i="105"/>
  <c r="G26" i="105"/>
  <c r="D337" i="105"/>
  <c r="D342" i="105"/>
  <c r="D346" i="105"/>
  <c r="D348" i="105"/>
  <c r="D351" i="105"/>
  <c r="D435" i="105"/>
  <c r="L20" i="105"/>
  <c r="D156" i="105"/>
  <c r="D171" i="105"/>
  <c r="D287" i="105"/>
  <c r="D520" i="105"/>
  <c r="D544" i="105"/>
  <c r="D555" i="105"/>
  <c r="D567" i="105"/>
  <c r="D571" i="105"/>
  <c r="D651" i="105"/>
  <c r="D657" i="105"/>
  <c r="H20" i="105"/>
  <c r="D501" i="105"/>
  <c r="E46" i="105"/>
  <c r="D122" i="105"/>
  <c r="D136" i="105"/>
  <c r="D138" i="105"/>
  <c r="D140" i="105"/>
  <c r="D143" i="105"/>
  <c r="D556" i="105"/>
  <c r="D561" i="105"/>
  <c r="D565" i="105"/>
  <c r="D654" i="105"/>
  <c r="H141" i="105"/>
  <c r="M141" i="105"/>
  <c r="E20" i="105"/>
  <c r="L453" i="105"/>
  <c r="D448" i="105"/>
  <c r="D450" i="105"/>
  <c r="D353" i="105"/>
  <c r="D229" i="105"/>
  <c r="D408" i="105"/>
  <c r="D411" i="105"/>
  <c r="D723" i="105"/>
  <c r="D742" i="105"/>
  <c r="D744" i="105"/>
  <c r="D756" i="105"/>
  <c r="D769" i="105"/>
  <c r="D776" i="105"/>
  <c r="D829" i="105"/>
  <c r="D831" i="105"/>
  <c r="D812" i="105"/>
  <c r="D251" i="105"/>
  <c r="D602" i="105"/>
  <c r="D695" i="105"/>
  <c r="D700" i="105"/>
  <c r="D703" i="105"/>
  <c r="D749" i="105"/>
  <c r="D870" i="105"/>
  <c r="D872" i="105"/>
  <c r="D874" i="105"/>
  <c r="D879" i="105"/>
  <c r="N38" i="105"/>
  <c r="D101" i="105"/>
  <c r="D145" i="105"/>
  <c r="D355" i="105"/>
  <c r="D440" i="105"/>
  <c r="D541" i="105"/>
  <c r="D413" i="105"/>
  <c r="J14" i="105"/>
  <c r="N338" i="105"/>
  <c r="D849" i="105"/>
  <c r="N15" i="105"/>
  <c r="F23" i="105"/>
  <c r="N42" i="105"/>
  <c r="D881" i="105"/>
  <c r="D456" i="105"/>
  <c r="D656" i="105"/>
  <c r="I23" i="105"/>
  <c r="D144" i="105"/>
  <c r="D146" i="105"/>
  <c r="D148" i="105"/>
  <c r="D153" i="105"/>
  <c r="D432" i="105"/>
  <c r="D500" i="105"/>
  <c r="D596" i="105"/>
  <c r="D778" i="105"/>
  <c r="D502" i="105"/>
  <c r="D854" i="105"/>
  <c r="J150" i="105"/>
  <c r="D433" i="105"/>
  <c r="D672" i="105"/>
  <c r="J41" i="105"/>
  <c r="J50" i="105"/>
  <c r="J35" i="105"/>
  <c r="J21" i="105"/>
  <c r="N33" i="105"/>
  <c r="N35" i="105"/>
  <c r="N254" i="105"/>
  <c r="J702" i="105"/>
  <c r="D816" i="105"/>
  <c r="D859" i="105"/>
  <c r="I20" i="105"/>
  <c r="D170" i="105"/>
  <c r="D222" i="105"/>
  <c r="D260" i="105"/>
  <c r="D290" i="105"/>
  <c r="D400" i="105"/>
  <c r="D460" i="105"/>
  <c r="D483" i="105"/>
  <c r="D512" i="105"/>
  <c r="D545" i="105"/>
  <c r="D638" i="105"/>
  <c r="D640" i="105"/>
  <c r="J803" i="105"/>
  <c r="D815" i="105"/>
  <c r="D822" i="105"/>
  <c r="D860" i="105"/>
  <c r="D864" i="105"/>
  <c r="D875" i="105"/>
  <c r="H26" i="105"/>
  <c r="D118" i="105"/>
  <c r="D257" i="105"/>
  <c r="D259" i="105"/>
  <c r="D304" i="105"/>
  <c r="D326" i="105"/>
  <c r="D328" i="105"/>
  <c r="D330" i="105"/>
  <c r="D333" i="105"/>
  <c r="F401" i="105"/>
  <c r="D395" i="105"/>
  <c r="D404" i="105"/>
  <c r="D452" i="105"/>
  <c r="D455" i="105"/>
  <c r="D459" i="105"/>
  <c r="D461" i="105"/>
  <c r="D465" i="105"/>
  <c r="D467" i="105"/>
  <c r="D495" i="105"/>
  <c r="D511" i="105"/>
  <c r="D516" i="105"/>
  <c r="D518" i="105"/>
  <c r="D604" i="105"/>
  <c r="D608" i="105"/>
  <c r="D617" i="105"/>
  <c r="D622" i="105"/>
  <c r="D641" i="105"/>
  <c r="D643" i="105"/>
  <c r="D648" i="105"/>
  <c r="D709" i="105"/>
  <c r="D802" i="105"/>
  <c r="D851" i="105"/>
  <c r="H869" i="105"/>
  <c r="M869" i="105"/>
  <c r="N17" i="105"/>
  <c r="N22" i="105"/>
  <c r="D126" i="105"/>
  <c r="D185" i="105"/>
  <c r="D189" i="105"/>
  <c r="D191" i="105"/>
  <c r="D241" i="105"/>
  <c r="D243" i="105"/>
  <c r="D291" i="105"/>
  <c r="D295" i="105"/>
  <c r="D309" i="105"/>
  <c r="D352" i="105"/>
  <c r="D361" i="105"/>
  <c r="D82" i="105"/>
  <c r="D74" i="105"/>
  <c r="D119" i="105"/>
  <c r="D133" i="105"/>
  <c r="D151" i="105"/>
  <c r="D181" i="105"/>
  <c r="D186" i="105"/>
  <c r="D192" i="105"/>
  <c r="D195" i="105"/>
  <c r="D197" i="105"/>
  <c r="D240" i="105"/>
  <c r="D276" i="105"/>
  <c r="D299" i="105"/>
  <c r="D301" i="105"/>
  <c r="D305" i="105"/>
  <c r="D331" i="105"/>
  <c r="D340" i="105"/>
  <c r="N36" i="105"/>
  <c r="M46" i="105"/>
  <c r="D69" i="105"/>
  <c r="J49" i="105"/>
  <c r="D223" i="105"/>
  <c r="D242" i="105"/>
  <c r="D247" i="105"/>
  <c r="D256" i="105"/>
  <c r="D285" i="105"/>
  <c r="D302" i="105"/>
  <c r="D307" i="105"/>
  <c r="D362" i="105"/>
  <c r="D379" i="105"/>
  <c r="D659" i="105"/>
  <c r="D810" i="105"/>
  <c r="D821" i="105"/>
  <c r="D830" i="105"/>
  <c r="D876" i="105"/>
  <c r="D73" i="105"/>
  <c r="K26" i="105"/>
  <c r="D88" i="105"/>
  <c r="D91" i="105"/>
  <c r="D93" i="105"/>
  <c r="N127" i="105"/>
  <c r="N130" i="105"/>
  <c r="N31" i="105"/>
  <c r="N179" i="105"/>
  <c r="D237" i="105"/>
  <c r="D282" i="105"/>
  <c r="D292" i="105"/>
  <c r="D294" i="105"/>
  <c r="D296" i="105"/>
  <c r="D339" i="105"/>
  <c r="D397" i="105"/>
  <c r="D402" i="105"/>
  <c r="D416" i="105"/>
  <c r="D437" i="105"/>
  <c r="D441" i="105"/>
  <c r="D444" i="105"/>
  <c r="D466" i="105"/>
  <c r="D487" i="105"/>
  <c r="D490" i="105"/>
  <c r="D496" i="105"/>
  <c r="D503" i="105"/>
  <c r="D548" i="105"/>
  <c r="D550" i="105"/>
  <c r="D552" i="105"/>
  <c r="D554" i="105"/>
  <c r="D562" i="105"/>
  <c r="D564" i="105"/>
  <c r="D590" i="105"/>
  <c r="J595" i="105"/>
  <c r="D597" i="105"/>
  <c r="D614" i="105"/>
  <c r="D616" i="105"/>
  <c r="D675" i="105"/>
  <c r="D705" i="105"/>
  <c r="D707" i="105"/>
  <c r="D714" i="105"/>
  <c r="D724" i="105"/>
  <c r="D745" i="105"/>
  <c r="D755" i="105"/>
  <c r="D761" i="105"/>
  <c r="D768" i="105"/>
  <c r="D770" i="105"/>
  <c r="D775" i="105"/>
  <c r="D779" i="105"/>
  <c r="D796" i="105"/>
  <c r="D799" i="105"/>
  <c r="D807" i="105"/>
  <c r="D811" i="105"/>
  <c r="D813" i="105"/>
  <c r="D827" i="105"/>
  <c r="D848" i="105"/>
  <c r="D865" i="105"/>
  <c r="D877" i="105"/>
  <c r="N28" i="105"/>
  <c r="D90" i="105"/>
  <c r="D92" i="105"/>
  <c r="D172" i="105"/>
  <c r="L193" i="105"/>
  <c r="D188" i="105"/>
  <c r="D205" i="105"/>
  <c r="D236" i="105"/>
  <c r="D238" i="105"/>
  <c r="D248" i="105"/>
  <c r="D255" i="105"/>
  <c r="D279" i="105"/>
  <c r="D284" i="105"/>
  <c r="D298" i="105"/>
  <c r="D363" i="105"/>
  <c r="D378" i="105"/>
  <c r="D405" i="105"/>
  <c r="D430" i="105"/>
  <c r="D443" i="105"/>
  <c r="D445" i="105"/>
  <c r="D447" i="105"/>
  <c r="D451" i="105"/>
  <c r="D457" i="105"/>
  <c r="D482" i="105"/>
  <c r="D486" i="105"/>
  <c r="D489" i="105"/>
  <c r="D492" i="105"/>
  <c r="D498" i="105"/>
  <c r="D513" i="105"/>
  <c r="D519" i="105"/>
  <c r="D535" i="105"/>
  <c r="I557" i="105"/>
  <c r="D551" i="105"/>
  <c r="D553" i="105"/>
  <c r="D568" i="105"/>
  <c r="D570" i="105"/>
  <c r="D589" i="105"/>
  <c r="D599" i="105"/>
  <c r="D601" i="105"/>
  <c r="D603" i="105"/>
  <c r="D613" i="105"/>
  <c r="D615" i="105"/>
  <c r="D619" i="105"/>
  <c r="D653" i="105"/>
  <c r="D663" i="105"/>
  <c r="D676" i="105"/>
  <c r="D698" i="105"/>
  <c r="D716" i="105"/>
  <c r="D725" i="105"/>
  <c r="D727" i="105"/>
  <c r="D746" i="105"/>
  <c r="D760" i="105"/>
  <c r="D764" i="105"/>
  <c r="D767" i="105"/>
  <c r="D773" i="105"/>
  <c r="D780" i="105"/>
  <c r="D795" i="105"/>
  <c r="D798" i="105"/>
  <c r="L817" i="105"/>
  <c r="J814" i="105"/>
  <c r="D814" i="105" s="1"/>
  <c r="D824" i="105"/>
  <c r="D853" i="105"/>
  <c r="D866" i="105"/>
  <c r="D77" i="105"/>
  <c r="J130" i="105"/>
  <c r="D130" i="105" s="1"/>
  <c r="D132" i="105"/>
  <c r="D174" i="105"/>
  <c r="D180" i="105"/>
  <c r="D183" i="105"/>
  <c r="D207" i="105"/>
  <c r="I53" i="105"/>
  <c r="D227" i="105"/>
  <c r="H245" i="105"/>
  <c r="J231" i="105"/>
  <c r="L23" i="105"/>
  <c r="D233" i="105"/>
  <c r="J234" i="105"/>
  <c r="D239" i="105"/>
  <c r="D250" i="105"/>
  <c r="J306" i="105"/>
  <c r="D96" i="105"/>
  <c r="G20" i="105"/>
  <c r="L46" i="105"/>
  <c r="F53" i="105"/>
  <c r="M26" i="105"/>
  <c r="N14" i="105"/>
  <c r="J280" i="105"/>
  <c r="D861" i="105"/>
  <c r="D884" i="105"/>
  <c r="D76" i="105"/>
  <c r="D128" i="105"/>
  <c r="D131" i="105"/>
  <c r="N45" i="105"/>
  <c r="J182" i="105"/>
  <c r="D198" i="105"/>
  <c r="D201" i="105"/>
  <c r="D206" i="105"/>
  <c r="D226" i="105"/>
  <c r="D232" i="105"/>
  <c r="D246" i="105"/>
  <c r="D253" i="105"/>
  <c r="D275" i="105"/>
  <c r="D666" i="105"/>
  <c r="D86" i="105"/>
  <c r="D95" i="105"/>
  <c r="J98" i="105"/>
  <c r="N410" i="105"/>
  <c r="J462" i="105"/>
  <c r="M53" i="105"/>
  <c r="N699" i="105"/>
  <c r="N722" i="105"/>
  <c r="N855" i="105"/>
  <c r="N858" i="105"/>
  <c r="D880" i="105"/>
  <c r="D288" i="105"/>
  <c r="D300" i="105"/>
  <c r="D303" i="105"/>
  <c r="N306" i="105"/>
  <c r="D311" i="105"/>
  <c r="D334" i="105"/>
  <c r="D343" i="105"/>
  <c r="D345" i="105"/>
  <c r="D347" i="105"/>
  <c r="D357" i="105"/>
  <c r="J358" i="105"/>
  <c r="D385" i="105"/>
  <c r="D409" i="105"/>
  <c r="D415" i="105"/>
  <c r="D431" i="105"/>
  <c r="K20" i="105"/>
  <c r="D446" i="105"/>
  <c r="D454" i="105"/>
  <c r="D464" i="105"/>
  <c r="N491" i="105"/>
  <c r="D504" i="105"/>
  <c r="D508" i="105"/>
  <c r="D510" i="105"/>
  <c r="D534" i="105"/>
  <c r="D538" i="105"/>
  <c r="D547" i="105"/>
  <c r="D558" i="105"/>
  <c r="D588" i="105"/>
  <c r="I609" i="105"/>
  <c r="D607" i="105"/>
  <c r="D623" i="105"/>
  <c r="D639" i="105"/>
  <c r="D652" i="105"/>
  <c r="D660" i="105"/>
  <c r="D673" i="105"/>
  <c r="D691" i="105"/>
  <c r="D693" i="105"/>
  <c r="L713" i="105"/>
  <c r="D712" i="105"/>
  <c r="D721" i="105"/>
  <c r="D752" i="105"/>
  <c r="D758" i="105"/>
  <c r="D804" i="105"/>
  <c r="D857" i="105"/>
  <c r="J858" i="105"/>
  <c r="D863" i="105"/>
  <c r="D868" i="105"/>
  <c r="D873" i="105"/>
  <c r="N286" i="105"/>
  <c r="D289" i="105"/>
  <c r="D310" i="105"/>
  <c r="D312" i="105"/>
  <c r="D327" i="105"/>
  <c r="F349" i="105"/>
  <c r="D336" i="105"/>
  <c r="D344" i="105"/>
  <c r="D354" i="105"/>
  <c r="D356" i="105"/>
  <c r="D359" i="105"/>
  <c r="D364" i="105"/>
  <c r="L401" i="105"/>
  <c r="D389" i="105"/>
  <c r="D396" i="105"/>
  <c r="D399" i="105"/>
  <c r="K53" i="105"/>
  <c r="N442" i="105"/>
  <c r="D493" i="105"/>
  <c r="D499" i="105"/>
  <c r="D517" i="105"/>
  <c r="D542" i="105"/>
  <c r="J546" i="105"/>
  <c r="D563" i="105"/>
  <c r="D569" i="105"/>
  <c r="D587" i="105"/>
  <c r="D606" i="105"/>
  <c r="D645" i="105"/>
  <c r="D694" i="105"/>
  <c r="D697" i="105"/>
  <c r="D701" i="105"/>
  <c r="D706" i="105"/>
  <c r="D711" i="105"/>
  <c r="D720" i="105"/>
  <c r="J751" i="105"/>
  <c r="D753" i="105"/>
  <c r="D759" i="105"/>
  <c r="D762" i="105"/>
  <c r="D771" i="105"/>
  <c r="D809" i="105"/>
  <c r="D820" i="105"/>
  <c r="D823" i="105"/>
  <c r="D867" i="105"/>
  <c r="D883" i="105"/>
  <c r="J29" i="105"/>
  <c r="J44" i="105"/>
  <c r="D120" i="105"/>
  <c r="N21" i="105"/>
  <c r="N27" i="105"/>
  <c r="N50" i="105"/>
  <c r="J17" i="105"/>
  <c r="N29" i="105"/>
  <c r="D97" i="105"/>
  <c r="D100" i="105"/>
  <c r="D155" i="105"/>
  <c r="D102" i="105"/>
  <c r="D123" i="105"/>
  <c r="D137" i="105"/>
  <c r="D142" i="105"/>
  <c r="D147" i="105"/>
  <c r="D149" i="105"/>
  <c r="D152" i="105"/>
  <c r="D641" i="106"/>
  <c r="D435" i="106"/>
  <c r="D562" i="106"/>
  <c r="E23" i="106"/>
  <c r="D759" i="106"/>
  <c r="J48" i="106"/>
  <c r="D697" i="106"/>
  <c r="D359" i="106"/>
  <c r="D361" i="106"/>
  <c r="F401" i="106"/>
  <c r="N31" i="106"/>
  <c r="J27" i="106"/>
  <c r="J35" i="106"/>
  <c r="D282" i="106"/>
  <c r="L26" i="106"/>
  <c r="D348" i="106"/>
  <c r="D351" i="106"/>
  <c r="D353" i="106"/>
  <c r="D355" i="106"/>
  <c r="D446" i="106"/>
  <c r="D450" i="106"/>
  <c r="D455" i="106"/>
  <c r="D459" i="106"/>
  <c r="D493" i="106"/>
  <c r="D502" i="106"/>
  <c r="D508" i="106"/>
  <c r="D517" i="106"/>
  <c r="D545" i="106"/>
  <c r="D672" i="106"/>
  <c r="D676" i="106"/>
  <c r="D753" i="106"/>
  <c r="D756" i="106"/>
  <c r="D778" i="106"/>
  <c r="D799" i="106"/>
  <c r="D848" i="106"/>
  <c r="D195" i="106"/>
  <c r="D226" i="106"/>
  <c r="D233" i="106"/>
  <c r="J234" i="106"/>
  <c r="D236" i="106"/>
  <c r="D238" i="106"/>
  <c r="D242" i="106"/>
  <c r="D244" i="106"/>
  <c r="D251" i="106"/>
  <c r="D253" i="106"/>
  <c r="J19" i="106"/>
  <c r="H20" i="106"/>
  <c r="E20" i="106"/>
  <c r="D385" i="106"/>
  <c r="D563" i="106"/>
  <c r="I609" i="106"/>
  <c r="J17" i="106"/>
  <c r="N15" i="106"/>
  <c r="H245" i="106"/>
  <c r="D875" i="106"/>
  <c r="D593" i="106"/>
  <c r="D118" i="106"/>
  <c r="D136" i="106"/>
  <c r="D143" i="106"/>
  <c r="D154" i="106"/>
  <c r="D177" i="106"/>
  <c r="D180" i="106"/>
  <c r="D187" i="106"/>
  <c r="D191" i="106"/>
  <c r="D200" i="106"/>
  <c r="N202" i="106"/>
  <c r="D208" i="106"/>
  <c r="D235" i="106"/>
  <c r="J283" i="106"/>
  <c r="D285" i="106"/>
  <c r="D400" i="106"/>
  <c r="D489" i="106"/>
  <c r="D513" i="106"/>
  <c r="D558" i="106"/>
  <c r="D600" i="106"/>
  <c r="D602" i="106"/>
  <c r="D604" i="106"/>
  <c r="D606" i="106"/>
  <c r="D608" i="106"/>
  <c r="D620" i="106"/>
  <c r="D639" i="106"/>
  <c r="D662" i="106"/>
  <c r="D675" i="106"/>
  <c r="D690" i="106"/>
  <c r="D701" i="106"/>
  <c r="D743" i="106"/>
  <c r="D148" i="106"/>
  <c r="D153" i="106"/>
  <c r="D170" i="106"/>
  <c r="D194" i="106"/>
  <c r="D197" i="106"/>
  <c r="D408" i="106"/>
  <c r="D430" i="106"/>
  <c r="D556" i="106"/>
  <c r="D559" i="106"/>
  <c r="D561" i="106"/>
  <c r="H609" i="106"/>
  <c r="D594" i="106"/>
  <c r="M713" i="106"/>
  <c r="D277" i="106"/>
  <c r="D391" i="106"/>
  <c r="N462" i="106"/>
  <c r="D590" i="106"/>
  <c r="F89" i="106"/>
  <c r="D125" i="106"/>
  <c r="D248" i="106"/>
  <c r="D250" i="106"/>
  <c r="D255" i="106"/>
  <c r="F349" i="106"/>
  <c r="D334" i="106"/>
  <c r="D336" i="106"/>
  <c r="D343" i="106"/>
  <c r="D350" i="106"/>
  <c r="D356" i="106"/>
  <c r="D409" i="106"/>
  <c r="D412" i="106"/>
  <c r="D414" i="106"/>
  <c r="D416" i="106"/>
  <c r="D433" i="106"/>
  <c r="D438" i="106"/>
  <c r="D466" i="106"/>
  <c r="D485" i="106"/>
  <c r="D487" i="106"/>
  <c r="D490" i="106"/>
  <c r="N494" i="106"/>
  <c r="D535" i="106"/>
  <c r="D537" i="106"/>
  <c r="D539" i="106"/>
  <c r="D553" i="106"/>
  <c r="D555" i="106"/>
  <c r="D596" i="106"/>
  <c r="D599" i="106"/>
  <c r="D605" i="106"/>
  <c r="D612" i="106"/>
  <c r="D614" i="106"/>
  <c r="D619" i="106"/>
  <c r="D623" i="106"/>
  <c r="D638" i="106"/>
  <c r="D645" i="106"/>
  <c r="D749" i="106"/>
  <c r="D798" i="106"/>
  <c r="D847" i="106"/>
  <c r="D860" i="106"/>
  <c r="D864" i="106"/>
  <c r="D873" i="106"/>
  <c r="D134" i="106"/>
  <c r="D288" i="106"/>
  <c r="D299" i="106"/>
  <c r="D305" i="106"/>
  <c r="D310" i="106"/>
  <c r="D327" i="106"/>
  <c r="D402" i="106"/>
  <c r="H817" i="106"/>
  <c r="M817" i="106"/>
  <c r="D823" i="106"/>
  <c r="D861" i="106"/>
  <c r="D863" i="106"/>
  <c r="D870" i="106"/>
  <c r="D872" i="106"/>
  <c r="D70" i="106"/>
  <c r="D140" i="106"/>
  <c r="J22" i="106"/>
  <c r="D275" i="106"/>
  <c r="D296" i="106"/>
  <c r="M349" i="106"/>
  <c r="D395" i="106"/>
  <c r="D404" i="106"/>
  <c r="D464" i="106"/>
  <c r="D468" i="106"/>
  <c r="D534" i="106"/>
  <c r="N546" i="106"/>
  <c r="J595" i="106"/>
  <c r="J598" i="106"/>
  <c r="D119" i="106"/>
  <c r="D121" i="106"/>
  <c r="D128" i="106"/>
  <c r="D135" i="106"/>
  <c r="D139" i="106"/>
  <c r="D146" i="106"/>
  <c r="D183" i="106"/>
  <c r="D185" i="106"/>
  <c r="D239" i="106"/>
  <c r="D241" i="106"/>
  <c r="D281" i="106"/>
  <c r="D287" i="106"/>
  <c r="D333" i="106"/>
  <c r="D337" i="106"/>
  <c r="D340" i="106"/>
  <c r="D364" i="106"/>
  <c r="D381" i="106"/>
  <c r="D383" i="106"/>
  <c r="D386" i="106"/>
  <c r="D392" i="106"/>
  <c r="D398" i="106"/>
  <c r="D413" i="106"/>
  <c r="D447" i="106"/>
  <c r="D465" i="106"/>
  <c r="D484" i="106"/>
  <c r="D486" i="106"/>
  <c r="I505" i="106"/>
  <c r="D511" i="106"/>
  <c r="N514" i="106"/>
  <c r="D516" i="106"/>
  <c r="D550" i="106"/>
  <c r="D552" i="106"/>
  <c r="D568" i="106"/>
  <c r="D570" i="106"/>
  <c r="D572" i="106"/>
  <c r="D589" i="106"/>
  <c r="D591" i="106"/>
  <c r="D649" i="106"/>
  <c r="D652" i="106"/>
  <c r="D656" i="106"/>
  <c r="D658" i="106"/>
  <c r="D692" i="106"/>
  <c r="D712" i="106"/>
  <c r="D715" i="106"/>
  <c r="D717" i="106"/>
  <c r="D724" i="106"/>
  <c r="D728" i="106"/>
  <c r="D747" i="106"/>
  <c r="D752" i="106"/>
  <c r="D767" i="106"/>
  <c r="D769" i="106"/>
  <c r="D771" i="106"/>
  <c r="D773" i="106"/>
  <c r="J774" i="106"/>
  <c r="D816" i="106"/>
  <c r="D821" i="106"/>
  <c r="D830" i="106"/>
  <c r="D866" i="106"/>
  <c r="D868" i="106"/>
  <c r="D129" i="106"/>
  <c r="D147" i="106"/>
  <c r="D252" i="106"/>
  <c r="D259" i="106"/>
  <c r="D298" i="106"/>
  <c r="D304" i="106"/>
  <c r="D326" i="106"/>
  <c r="D330" i="106"/>
  <c r="D339" i="106"/>
  <c r="D341" i="106"/>
  <c r="D378" i="106"/>
  <c r="D444" i="106"/>
  <c r="D544" i="106"/>
  <c r="D571" i="106"/>
  <c r="D607" i="106"/>
  <c r="D651" i="106"/>
  <c r="D657" i="106"/>
  <c r="D711" i="106"/>
  <c r="D714" i="106"/>
  <c r="D718" i="106"/>
  <c r="D723" i="106"/>
  <c r="D725" i="106"/>
  <c r="D727" i="106"/>
  <c r="D744" i="106"/>
  <c r="D746" i="106"/>
  <c r="N754" i="106"/>
  <c r="D768" i="106"/>
  <c r="D770" i="106"/>
  <c r="D772" i="106"/>
  <c r="D804" i="106"/>
  <c r="D815" i="106"/>
  <c r="D824" i="106"/>
  <c r="D853" i="106"/>
  <c r="D81" i="106"/>
  <c r="D87" i="106"/>
  <c r="D96" i="106"/>
  <c r="J130" i="106"/>
  <c r="D132" i="106"/>
  <c r="D205" i="106"/>
  <c r="D222" i="106"/>
  <c r="D224" i="106"/>
  <c r="D292" i="106"/>
  <c r="D301" i="106"/>
  <c r="D345" i="106"/>
  <c r="N387" i="106"/>
  <c r="D437" i="106"/>
  <c r="D492" i="106"/>
  <c r="D498" i="106"/>
  <c r="J546" i="106"/>
  <c r="D601" i="106"/>
  <c r="D653" i="106"/>
  <c r="N826" i="106"/>
  <c r="D83" i="106"/>
  <c r="D90" i="106"/>
  <c r="J50" i="106"/>
  <c r="D103" i="106"/>
  <c r="M53" i="106"/>
  <c r="D126" i="106"/>
  <c r="D152" i="106"/>
  <c r="D181" i="106"/>
  <c r="D189" i="106"/>
  <c r="D196" i="106"/>
  <c r="D198" i="106"/>
  <c r="D204" i="106"/>
  <c r="D223" i="106"/>
  <c r="D232" i="106"/>
  <c r="D237" i="106"/>
  <c r="D249" i="106"/>
  <c r="D257" i="106"/>
  <c r="D276" i="106"/>
  <c r="D278" i="106"/>
  <c r="D289" i="106"/>
  <c r="D291" i="106"/>
  <c r="D295" i="106"/>
  <c r="D300" i="106"/>
  <c r="D307" i="106"/>
  <c r="D309" i="106"/>
  <c r="D360" i="106"/>
  <c r="D382" i="106"/>
  <c r="D397" i="106"/>
  <c r="D411" i="106"/>
  <c r="D431" i="106"/>
  <c r="J439" i="106"/>
  <c r="D441" i="106"/>
  <c r="D456" i="106"/>
  <c r="D495" i="106"/>
  <c r="D504" i="106"/>
  <c r="D512" i="106"/>
  <c r="D541" i="106"/>
  <c r="D565" i="106"/>
  <c r="D613" i="106"/>
  <c r="D615" i="106"/>
  <c r="D617" i="106"/>
  <c r="D663" i="106"/>
  <c r="D694" i="106"/>
  <c r="D707" i="106"/>
  <c r="D709" i="106"/>
  <c r="D721" i="106"/>
  <c r="D758" i="106"/>
  <c r="D762" i="106"/>
  <c r="D764" i="106"/>
  <c r="D777" i="106"/>
  <c r="D779" i="106"/>
  <c r="D796" i="106"/>
  <c r="D807" i="106"/>
  <c r="D809" i="106"/>
  <c r="D811" i="106"/>
  <c r="D828" i="106"/>
  <c r="D832" i="106"/>
  <c r="F869" i="106"/>
  <c r="D856" i="106"/>
  <c r="D879" i="106"/>
  <c r="E26" i="106"/>
  <c r="N16" i="106"/>
  <c r="N27" i="106"/>
  <c r="N33" i="106"/>
  <c r="D142" i="106"/>
  <c r="D144" i="106"/>
  <c r="D156" i="106"/>
  <c r="D171" i="106"/>
  <c r="D175" i="106"/>
  <c r="J51" i="106"/>
  <c r="D229" i="106"/>
  <c r="D243" i="106"/>
  <c r="D303" i="106"/>
  <c r="J52" i="106"/>
  <c r="D379" i="106"/>
  <c r="D403" i="106"/>
  <c r="D452" i="106"/>
  <c r="D461" i="106"/>
  <c r="D467" i="106"/>
  <c r="D501" i="106"/>
  <c r="D518" i="106"/>
  <c r="D538" i="106"/>
  <c r="L557" i="106"/>
  <c r="D547" i="106"/>
  <c r="D624" i="106"/>
  <c r="D643" i="106"/>
  <c r="D654" i="106"/>
  <c r="D693" i="106"/>
  <c r="D695" i="106"/>
  <c r="D698" i="106"/>
  <c r="D716" i="106"/>
  <c r="D763" i="106"/>
  <c r="D780" i="106"/>
  <c r="D795" i="106"/>
  <c r="D797" i="106"/>
  <c r="D802" i="106"/>
  <c r="D805" i="106"/>
  <c r="J806" i="106"/>
  <c r="D808" i="106"/>
  <c r="D810" i="106"/>
  <c r="D827" i="106"/>
  <c r="D829" i="106"/>
  <c r="D831" i="106"/>
  <c r="D851" i="106"/>
  <c r="H869" i="106"/>
  <c r="D854" i="106"/>
  <c r="D857" i="106"/>
  <c r="J858" i="106"/>
  <c r="D865" i="106"/>
  <c r="D73" i="106"/>
  <c r="J32" i="106"/>
  <c r="D91" i="106"/>
  <c r="K46" i="106"/>
  <c r="D100" i="106"/>
  <c r="D120" i="106"/>
  <c r="L141" i="106"/>
  <c r="J127" i="106"/>
  <c r="I26" i="106"/>
  <c r="D131" i="106"/>
  <c r="D137" i="106"/>
  <c r="F46" i="106"/>
  <c r="N150" i="106"/>
  <c r="G20" i="106"/>
  <c r="N179" i="106"/>
  <c r="K53" i="106"/>
  <c r="E53" i="106"/>
  <c r="J39" i="106"/>
  <c r="N44" i="106"/>
  <c r="D66" i="106"/>
  <c r="N17" i="106"/>
  <c r="D77" i="106"/>
  <c r="D82" i="106"/>
  <c r="J33" i="106"/>
  <c r="D86" i="106"/>
  <c r="D92" i="106"/>
  <c r="D94" i="106"/>
  <c r="D102" i="106"/>
  <c r="L53" i="106"/>
  <c r="H23" i="106"/>
  <c r="M23" i="106"/>
  <c r="D149" i="106"/>
  <c r="J150" i="106"/>
  <c r="D155" i="106"/>
  <c r="D178" i="106"/>
  <c r="J179" i="106"/>
  <c r="N182" i="106"/>
  <c r="D186" i="106"/>
  <c r="D207" i="106"/>
  <c r="G53" i="106"/>
  <c r="I245" i="106"/>
  <c r="N231" i="106"/>
  <c r="D240" i="106"/>
  <c r="D256" i="106"/>
  <c r="D274" i="106"/>
  <c r="N283" i="106"/>
  <c r="D284" i="106"/>
  <c r="N286" i="106"/>
  <c r="D290" i="106"/>
  <c r="D294" i="106"/>
  <c r="D312" i="106"/>
  <c r="D328" i="106"/>
  <c r="D344" i="106"/>
  <c r="D554" i="106"/>
  <c r="J25" i="106"/>
  <c r="J29" i="106"/>
  <c r="H53" i="106"/>
  <c r="J15" i="106"/>
  <c r="N52" i="106"/>
  <c r="N14" i="106"/>
  <c r="J16" i="106"/>
  <c r="D69" i="106"/>
  <c r="D71" i="106"/>
  <c r="M20" i="106"/>
  <c r="D79" i="106"/>
  <c r="D84" i="106"/>
  <c r="D88" i="106"/>
  <c r="D97" i="106"/>
  <c r="D99" i="106"/>
  <c r="D122" i="106"/>
  <c r="F20" i="106"/>
  <c r="K20" i="106"/>
  <c r="F23" i="106"/>
  <c r="D133" i="106"/>
  <c r="N32" i="106"/>
  <c r="D138" i="106"/>
  <c r="N35" i="106"/>
  <c r="D145" i="106"/>
  <c r="J44" i="106"/>
  <c r="D151" i="106"/>
  <c r="D172" i="106"/>
  <c r="I23" i="106"/>
  <c r="J31" i="106"/>
  <c r="D199" i="106"/>
  <c r="D201" i="106"/>
  <c r="J202" i="106"/>
  <c r="D202" i="106" s="1"/>
  <c r="N48" i="106"/>
  <c r="D206" i="106"/>
  <c r="D225" i="106"/>
  <c r="D230" i="106"/>
  <c r="D246" i="106"/>
  <c r="N254" i="106"/>
  <c r="D258" i="106"/>
  <c r="D260" i="106"/>
  <c r="D279" i="106"/>
  <c r="D302" i="106"/>
  <c r="J306" i="106"/>
  <c r="D311" i="106"/>
  <c r="D329" i="106"/>
  <c r="D331" i="106"/>
  <c r="D347" i="106"/>
  <c r="D342" i="106"/>
  <c r="D352" i="106"/>
  <c r="D354" i="106"/>
  <c r="N50" i="106"/>
  <c r="D380" i="106"/>
  <c r="J387" i="106"/>
  <c r="D389" i="106"/>
  <c r="D406" i="106"/>
  <c r="D432" i="106"/>
  <c r="J442" i="106"/>
  <c r="D448" i="106"/>
  <c r="D457" i="106"/>
  <c r="D496" i="106"/>
  <c r="D519" i="106"/>
  <c r="D588" i="106"/>
  <c r="D622" i="106"/>
  <c r="D640" i="106"/>
  <c r="D646" i="106"/>
  <c r="D655" i="106"/>
  <c r="H45" i="106"/>
  <c r="N722" i="106"/>
  <c r="N803" i="106"/>
  <c r="D819" i="106"/>
  <c r="D874" i="106"/>
  <c r="N335" i="106"/>
  <c r="N358" i="106"/>
  <c r="D363" i="106"/>
  <c r="J30" i="106"/>
  <c r="D399" i="106"/>
  <c r="D405" i="106"/>
  <c r="D407" i="106"/>
  <c r="N410" i="106"/>
  <c r="D434" i="106"/>
  <c r="I453" i="106"/>
  <c r="D458" i="106"/>
  <c r="N491" i="106"/>
  <c r="D499" i="106"/>
  <c r="D509" i="106"/>
  <c r="D536" i="106"/>
  <c r="D551" i="106"/>
  <c r="D560" i="106"/>
  <c r="D567" i="106"/>
  <c r="D569" i="106"/>
  <c r="D587" i="106"/>
  <c r="D616" i="106"/>
  <c r="N618" i="106"/>
  <c r="D621" i="106"/>
  <c r="D648" i="106"/>
  <c r="D665" i="106"/>
  <c r="D673" i="106"/>
  <c r="D691" i="106"/>
  <c r="D703" i="106"/>
  <c r="D705" i="106"/>
  <c r="D710" i="106"/>
  <c r="D745" i="106"/>
  <c r="L765" i="106"/>
  <c r="D755" i="106"/>
  <c r="D766" i="106"/>
  <c r="N774" i="106"/>
  <c r="L817" i="106"/>
  <c r="J814" i="106"/>
  <c r="D814" i="106" s="1"/>
  <c r="D818" i="106"/>
  <c r="D820" i="106"/>
  <c r="D822" i="106"/>
  <c r="D867" i="106"/>
  <c r="D871" i="106"/>
  <c r="D876" i="106"/>
  <c r="F53" i="106"/>
  <c r="D388" i="106"/>
  <c r="D415" i="106"/>
  <c r="L23" i="106"/>
  <c r="D463" i="106"/>
  <c r="D482" i="106"/>
  <c r="M557" i="106"/>
  <c r="D542" i="106"/>
  <c r="D597" i="106"/>
  <c r="D603" i="106"/>
  <c r="D610" i="106"/>
  <c r="D720" i="106"/>
  <c r="D726" i="106"/>
  <c r="D794" i="106"/>
  <c r="D813" i="106"/>
  <c r="H11" i="116"/>
  <c r="D360" i="105"/>
  <c r="J48" i="105"/>
  <c r="N34" i="106"/>
  <c r="N41" i="106"/>
  <c r="J43" i="106"/>
  <c r="N47" i="106"/>
  <c r="D247" i="106"/>
  <c r="L349" i="106"/>
  <c r="D346" i="106"/>
  <c r="D443" i="106"/>
  <c r="D483" i="106"/>
  <c r="H505" i="106"/>
  <c r="D500" i="106"/>
  <c r="D520" i="106"/>
  <c r="D548" i="106"/>
  <c r="D564" i="106"/>
  <c r="J566" i="106"/>
  <c r="N595" i="106"/>
  <c r="D611" i="106"/>
  <c r="D659" i="106"/>
  <c r="D674" i="106"/>
  <c r="J699" i="106"/>
  <c r="D776" i="106"/>
  <c r="D850" i="106"/>
  <c r="N855" i="106"/>
  <c r="D859" i="106"/>
  <c r="D862" i="106"/>
  <c r="E26" i="105"/>
  <c r="N32" i="105"/>
  <c r="K23" i="105"/>
  <c r="D79" i="105"/>
  <c r="J27" i="105"/>
  <c r="D84" i="105"/>
  <c r="L53" i="105"/>
  <c r="D125" i="105"/>
  <c r="D134" i="105"/>
  <c r="D154" i="105"/>
  <c r="N182" i="105"/>
  <c r="N231" i="105"/>
  <c r="D277" i="105"/>
  <c r="D412" i="105"/>
  <c r="D620" i="105"/>
  <c r="I20" i="106"/>
  <c r="N45" i="106"/>
  <c r="N51" i="105"/>
  <c r="L20" i="106"/>
  <c r="J36" i="106"/>
  <c r="H193" i="106"/>
  <c r="H297" i="106"/>
  <c r="H401" i="106"/>
  <c r="M453" i="106"/>
  <c r="D668" i="106"/>
  <c r="J751" i="106"/>
  <c r="D394" i="106"/>
  <c r="M20" i="105"/>
  <c r="D71" i="105"/>
  <c r="J31" i="105"/>
  <c r="N43" i="105"/>
  <c r="E53" i="105"/>
  <c r="D121" i="105"/>
  <c r="D135" i="105"/>
  <c r="D194" i="105"/>
  <c r="D274" i="105"/>
  <c r="D350" i="105"/>
  <c r="D449" i="105"/>
  <c r="D539" i="105"/>
  <c r="J14" i="106"/>
  <c r="N25" i="106"/>
  <c r="J24" i="106"/>
  <c r="N38" i="106"/>
  <c r="E46" i="106"/>
  <c r="I869" i="106"/>
  <c r="J30" i="105"/>
  <c r="J21" i="106"/>
  <c r="J28" i="106"/>
  <c r="F15" i="103"/>
  <c r="I193" i="106"/>
  <c r="I297" i="106"/>
  <c r="I401" i="106"/>
  <c r="L505" i="106"/>
  <c r="J24" i="105"/>
  <c r="J36" i="105"/>
  <c r="D94" i="105"/>
  <c r="J42" i="105"/>
  <c r="D668" i="105"/>
  <c r="I285" i="108"/>
  <c r="F43" i="108"/>
  <c r="M237" i="108"/>
  <c r="H35" i="98"/>
  <c r="H46" i="98" s="1"/>
  <c r="H44" i="98"/>
  <c r="K23" i="106"/>
  <c r="N22" i="106"/>
  <c r="N29" i="106"/>
  <c r="N42" i="106"/>
  <c r="J19" i="105"/>
  <c r="N19" i="106"/>
  <c r="J18" i="106"/>
  <c r="G23" i="106"/>
  <c r="H26" i="106"/>
  <c r="N30" i="106"/>
  <c r="J34" i="106"/>
  <c r="N39" i="106"/>
  <c r="J41" i="106"/>
  <c r="N43" i="106"/>
  <c r="L46" i="106"/>
  <c r="J47" i="106"/>
  <c r="N51" i="106"/>
  <c r="I53" i="106"/>
  <c r="D95" i="106"/>
  <c r="D104" i="106"/>
  <c r="N130" i="106"/>
  <c r="D227" i="106"/>
  <c r="M245" i="106"/>
  <c r="J231" i="106"/>
  <c r="D308" i="106"/>
  <c r="D396" i="106"/>
  <c r="J410" i="106"/>
  <c r="M505" i="106"/>
  <c r="J494" i="106"/>
  <c r="N543" i="106"/>
  <c r="D595" i="106"/>
  <c r="D642" i="106"/>
  <c r="J650" i="106"/>
  <c r="D667" i="106"/>
  <c r="D671" i="106"/>
  <c r="D706" i="106"/>
  <c r="D719" i="106"/>
  <c r="D742" i="106"/>
  <c r="D757" i="106"/>
  <c r="D760" i="106"/>
  <c r="D801" i="106"/>
  <c r="N806" i="106"/>
  <c r="D806" i="106" s="1"/>
  <c r="D812" i="106"/>
  <c r="N878" i="106"/>
  <c r="M23" i="105"/>
  <c r="J28" i="105"/>
  <c r="J32" i="105"/>
  <c r="J15" i="105"/>
  <c r="N24" i="105"/>
  <c r="I26" i="105"/>
  <c r="D99" i="105"/>
  <c r="D104" i="105"/>
  <c r="G53" i="105"/>
  <c r="F20" i="105"/>
  <c r="D187" i="105"/>
  <c r="D190" i="105"/>
  <c r="D204" i="105"/>
  <c r="J254" i="105"/>
  <c r="D254" i="105" s="1"/>
  <c r="D329" i="105"/>
  <c r="D406" i="105"/>
  <c r="D536" i="105"/>
  <c r="D667" i="105"/>
  <c r="J43" i="105"/>
  <c r="D819" i="105"/>
  <c r="J39" i="105"/>
  <c r="I278" i="108"/>
  <c r="D271" i="108"/>
  <c r="I29" i="108"/>
  <c r="M39" i="108"/>
  <c r="N18" i="106"/>
  <c r="M26" i="106"/>
  <c r="M141" i="106"/>
  <c r="G26" i="106"/>
  <c r="N24" i="106"/>
  <c r="J38" i="106"/>
  <c r="N40" i="106"/>
  <c r="M46" i="106"/>
  <c r="D74" i="106"/>
  <c r="J98" i="106"/>
  <c r="D101" i="106"/>
  <c r="H141" i="106"/>
  <c r="N127" i="106"/>
  <c r="L193" i="106"/>
  <c r="N234" i="106"/>
  <c r="L297" i="106"/>
  <c r="L401" i="106"/>
  <c r="N390" i="106"/>
  <c r="D390" i="106" s="1"/>
  <c r="N442" i="106"/>
  <c r="D442" i="106" s="1"/>
  <c r="H557" i="106"/>
  <c r="M609" i="106"/>
  <c r="J855" i="106"/>
  <c r="D855" i="106" s="1"/>
  <c r="N858" i="106"/>
  <c r="D858" i="106" s="1"/>
  <c r="N19" i="105"/>
  <c r="D67" i="105"/>
  <c r="J75" i="105"/>
  <c r="G23" i="105"/>
  <c r="F46" i="105"/>
  <c r="N47" i="105"/>
  <c r="N52" i="105"/>
  <c r="H53" i="105"/>
  <c r="I46" i="105"/>
  <c r="D80" i="105"/>
  <c r="N34" i="105"/>
  <c r="D728" i="105"/>
  <c r="J52" i="105"/>
  <c r="H23" i="134"/>
  <c r="H25" i="134" s="1"/>
  <c r="L453" i="106"/>
  <c r="F26" i="106"/>
  <c r="J49" i="106"/>
  <c r="H25" i="131"/>
  <c r="H36" i="131" s="1"/>
  <c r="H34" i="131"/>
  <c r="N21" i="106"/>
  <c r="K26" i="106"/>
  <c r="N28" i="106"/>
  <c r="N36" i="106"/>
  <c r="N49" i="106"/>
  <c r="D76" i="106"/>
  <c r="D80" i="106"/>
  <c r="I141" i="106"/>
  <c r="M193" i="106"/>
  <c r="J182" i="106"/>
  <c r="D293" i="106"/>
  <c r="N306" i="106"/>
  <c r="D306" i="106" s="1"/>
  <c r="I349" i="106"/>
  <c r="D362" i="106"/>
  <c r="M401" i="106"/>
  <c r="H453" i="106"/>
  <c r="N439" i="106"/>
  <c r="D460" i="106"/>
  <c r="J462" i="106"/>
  <c r="D462" i="106" s="1"/>
  <c r="D660" i="106"/>
  <c r="I713" i="106"/>
  <c r="D700" i="106"/>
  <c r="J702" i="106"/>
  <c r="D750" i="106"/>
  <c r="D761" i="106"/>
  <c r="D775" i="106"/>
  <c r="D846" i="106"/>
  <c r="D849" i="106"/>
  <c r="J33" i="105"/>
  <c r="J38" i="105"/>
  <c r="N41" i="105"/>
  <c r="J22" i="105"/>
  <c r="H23" i="105"/>
  <c r="J40" i="105"/>
  <c r="D103" i="105"/>
  <c r="J51" i="105"/>
  <c r="N18" i="105"/>
  <c r="D129" i="105"/>
  <c r="J25" i="105"/>
  <c r="L26" i="105"/>
  <c r="D199" i="105"/>
  <c r="D252" i="105"/>
  <c r="D281" i="105"/>
  <c r="D393" i="105"/>
  <c r="D484" i="105"/>
  <c r="D509" i="105"/>
  <c r="J722" i="105"/>
  <c r="D722" i="105" s="1"/>
  <c r="F505" i="106"/>
  <c r="J491" i="106"/>
  <c r="I557" i="106"/>
  <c r="L609" i="106"/>
  <c r="J618" i="106"/>
  <c r="H661" i="106"/>
  <c r="L713" i="106"/>
  <c r="J722" i="106"/>
  <c r="M765" i="106"/>
  <c r="J754" i="106"/>
  <c r="D754" i="106" s="1"/>
  <c r="J803" i="106"/>
  <c r="J16" i="105"/>
  <c r="N25" i="105"/>
  <c r="N40" i="105"/>
  <c r="N49" i="105"/>
  <c r="I141" i="105"/>
  <c r="D139" i="105"/>
  <c r="H193" i="105"/>
  <c r="D235" i="105"/>
  <c r="H297" i="105"/>
  <c r="N283" i="105"/>
  <c r="D308" i="105"/>
  <c r="D341" i="105"/>
  <c r="D386" i="105"/>
  <c r="D407" i="105"/>
  <c r="J439" i="105"/>
  <c r="D485" i="105"/>
  <c r="J491" i="105"/>
  <c r="D491" i="105" s="1"/>
  <c r="D537" i="105"/>
  <c r="D642" i="105"/>
  <c r="D655" i="105"/>
  <c r="D662" i="105"/>
  <c r="I713" i="105"/>
  <c r="I193" i="105"/>
  <c r="D224" i="105"/>
  <c r="L245" i="105"/>
  <c r="I297" i="105"/>
  <c r="N358" i="105"/>
  <c r="I401" i="105"/>
  <c r="F505" i="105"/>
  <c r="H89" i="105"/>
  <c r="L141" i="105"/>
  <c r="N150" i="105"/>
  <c r="D203" i="105"/>
  <c r="M245" i="105"/>
  <c r="I349" i="105"/>
  <c r="I47" i="108"/>
  <c r="J189" i="108"/>
  <c r="J192" i="108" s="1"/>
  <c r="L297" i="105"/>
  <c r="D665" i="105"/>
  <c r="M270" i="108"/>
  <c r="L287" i="108"/>
  <c r="L245" i="106"/>
  <c r="J254" i="106"/>
  <c r="M297" i="106"/>
  <c r="J286" i="106"/>
  <c r="J335" i="106"/>
  <c r="N338" i="106"/>
  <c r="J514" i="106"/>
  <c r="D514" i="106" s="1"/>
  <c r="J543" i="106"/>
  <c r="N566" i="106"/>
  <c r="N598" i="106"/>
  <c r="J647" i="106"/>
  <c r="N702" i="106"/>
  <c r="H765" i="106"/>
  <c r="N751" i="106"/>
  <c r="I817" i="106"/>
  <c r="L869" i="106"/>
  <c r="J878" i="106"/>
  <c r="D878" i="106" s="1"/>
  <c r="N16" i="105"/>
  <c r="J34" i="105"/>
  <c r="J78" i="105"/>
  <c r="J127" i="105"/>
  <c r="D127" i="105" s="1"/>
  <c r="M193" i="105"/>
  <c r="D184" i="105"/>
  <c r="D293" i="105"/>
  <c r="L349" i="105"/>
  <c r="J387" i="105"/>
  <c r="D438" i="105"/>
  <c r="D458" i="105"/>
  <c r="N462" i="105"/>
  <c r="J514" i="105"/>
  <c r="L557" i="105"/>
  <c r="J543" i="105"/>
  <c r="N595" i="105"/>
  <c r="D595" i="105" s="1"/>
  <c r="D658" i="105"/>
  <c r="D664" i="105"/>
  <c r="D846" i="105"/>
  <c r="D871" i="105"/>
  <c r="H713" i="106"/>
  <c r="N699" i="106"/>
  <c r="I765" i="106"/>
  <c r="M869" i="106"/>
  <c r="N30" i="105"/>
  <c r="N39" i="105"/>
  <c r="N48" i="105"/>
  <c r="D177" i="105"/>
  <c r="J202" i="105"/>
  <c r="N234" i="105"/>
  <c r="D234" i="105" s="1"/>
  <c r="D258" i="105"/>
  <c r="J283" i="105"/>
  <c r="D306" i="105"/>
  <c r="J335" i="105"/>
  <c r="D381" i="105"/>
  <c r="D403" i="105"/>
  <c r="D434" i="105"/>
  <c r="I453" i="105"/>
  <c r="D468" i="105"/>
  <c r="M557" i="105"/>
  <c r="D560" i="105"/>
  <c r="H609" i="105"/>
  <c r="J618" i="105"/>
  <c r="D719" i="105"/>
  <c r="D856" i="105"/>
  <c r="L239" i="108"/>
  <c r="J179" i="105"/>
  <c r="M297" i="105"/>
  <c r="J286" i="105"/>
  <c r="D286" i="105" s="1"/>
  <c r="M349" i="105"/>
  <c r="J338" i="105"/>
  <c r="M401" i="105"/>
  <c r="N390" i="105"/>
  <c r="D390" i="105" s="1"/>
  <c r="H453" i="105"/>
  <c r="N439" i="105"/>
  <c r="H505" i="105"/>
  <c r="N494" i="105"/>
  <c r="D586" i="105"/>
  <c r="N618" i="105"/>
  <c r="D621" i="105"/>
  <c r="H661" i="105"/>
  <c r="D649" i="105"/>
  <c r="J650" i="105"/>
  <c r="D674" i="105"/>
  <c r="D692" i="105"/>
  <c r="M713" i="105"/>
  <c r="D710" i="105"/>
  <c r="D747" i="105"/>
  <c r="M765" i="105"/>
  <c r="D757" i="105"/>
  <c r="D794" i="105"/>
  <c r="D847" i="105"/>
  <c r="I44" i="108"/>
  <c r="I224" i="108"/>
  <c r="G30" i="108"/>
  <c r="M27" i="108"/>
  <c r="M213" i="108"/>
  <c r="F482" i="108"/>
  <c r="J17" i="107"/>
  <c r="J77" i="107"/>
  <c r="I213" i="108"/>
  <c r="G21" i="108"/>
  <c r="K36" i="108"/>
  <c r="M12" i="108"/>
  <c r="J855" i="105"/>
  <c r="D855" i="105" s="1"/>
  <c r="F287" i="108"/>
  <c r="I237" i="108"/>
  <c r="K189" i="108"/>
  <c r="K192" i="108" s="1"/>
  <c r="H349" i="105"/>
  <c r="N335" i="105"/>
  <c r="H401" i="105"/>
  <c r="N387" i="105"/>
  <c r="J410" i="105"/>
  <c r="D410" i="105" s="1"/>
  <c r="M453" i="105"/>
  <c r="J442" i="105"/>
  <c r="D442" i="105" s="1"/>
  <c r="M505" i="105"/>
  <c r="N546" i="105"/>
  <c r="D559" i="105"/>
  <c r="L609" i="105"/>
  <c r="D605" i="105"/>
  <c r="D646" i="105"/>
  <c r="D671" i="105"/>
  <c r="H713" i="105"/>
  <c r="D726" i="105"/>
  <c r="D750" i="105"/>
  <c r="J754" i="105"/>
  <c r="D766" i="105"/>
  <c r="D818" i="105"/>
  <c r="M261" i="108"/>
  <c r="E270" i="108"/>
  <c r="E287" i="108" s="1"/>
  <c r="E290" i="108" s="1"/>
  <c r="M139" i="108"/>
  <c r="L43" i="108"/>
  <c r="M42" i="108"/>
  <c r="F17" i="108"/>
  <c r="F124" i="108"/>
  <c r="I113" i="108"/>
  <c r="M13" i="108"/>
  <c r="D862" i="105"/>
  <c r="H17" i="108"/>
  <c r="K43" i="108"/>
  <c r="M41" i="108"/>
  <c r="M37" i="108"/>
  <c r="M115" i="108"/>
  <c r="L124" i="108"/>
  <c r="H93" i="108"/>
  <c r="H96" i="108" s="1"/>
  <c r="N566" i="105"/>
  <c r="N598" i="105"/>
  <c r="J647" i="105"/>
  <c r="L765" i="105"/>
  <c r="J774" i="105"/>
  <c r="M817" i="105"/>
  <c r="J806" i="105"/>
  <c r="N826" i="105"/>
  <c r="F869" i="105"/>
  <c r="N878" i="105"/>
  <c r="K14" i="100"/>
  <c r="K22" i="100" s="1"/>
  <c r="K23" i="100" s="1"/>
  <c r="C33" i="118"/>
  <c r="I33" i="108"/>
  <c r="M285" i="108"/>
  <c r="I259" i="108"/>
  <c r="I14" i="108"/>
  <c r="I20" i="108"/>
  <c r="I504" i="108"/>
  <c r="F417" i="108"/>
  <c r="I406" i="108"/>
  <c r="L335" i="108"/>
  <c r="F675" i="108"/>
  <c r="I649" i="108"/>
  <c r="J209" i="108"/>
  <c r="J13" i="108"/>
  <c r="E189" i="108"/>
  <c r="E192" i="108" s="1"/>
  <c r="M18" i="108"/>
  <c r="I161" i="108"/>
  <c r="F172" i="108"/>
  <c r="I91" i="108"/>
  <c r="G609" i="108"/>
  <c r="G626" i="108" s="1"/>
  <c r="G629" i="108" s="1"/>
  <c r="I598" i="108"/>
  <c r="D598" i="108" s="1"/>
  <c r="K124" i="108"/>
  <c r="J465" i="108"/>
  <c r="J482" i="108" s="1"/>
  <c r="J485" i="108" s="1"/>
  <c r="M454" i="108"/>
  <c r="I376" i="108"/>
  <c r="D376" i="108" s="1"/>
  <c r="L561" i="108"/>
  <c r="J494" i="105"/>
  <c r="N514" i="105"/>
  <c r="D514" i="105" s="1"/>
  <c r="H557" i="105"/>
  <c r="N543" i="105"/>
  <c r="J699" i="105"/>
  <c r="D699" i="105" s="1"/>
  <c r="N774" i="105"/>
  <c r="D774" i="105" s="1"/>
  <c r="N806" i="105"/>
  <c r="I869" i="105"/>
  <c r="I38" i="108"/>
  <c r="L17" i="108"/>
  <c r="M15" i="108"/>
  <c r="G209" i="108"/>
  <c r="I115" i="108"/>
  <c r="M65" i="108"/>
  <c r="H385" i="108"/>
  <c r="H388" i="108" s="1"/>
  <c r="H754" i="108"/>
  <c r="H222" i="107"/>
  <c r="I222" i="107" s="1"/>
  <c r="I209" i="107"/>
  <c r="H17" i="107"/>
  <c r="N754" i="105"/>
  <c r="H817" i="105"/>
  <c r="N803" i="105"/>
  <c r="I220" i="108"/>
  <c r="F222" i="108"/>
  <c r="H561" i="108"/>
  <c r="M47" i="107"/>
  <c r="J566" i="105"/>
  <c r="D566" i="105" s="1"/>
  <c r="M609" i="105"/>
  <c r="J598" i="105"/>
  <c r="N702" i="105"/>
  <c r="D702" i="105" s="1"/>
  <c r="H765" i="105"/>
  <c r="N751" i="105"/>
  <c r="I817" i="105"/>
  <c r="L869" i="105"/>
  <c r="J878" i="105"/>
  <c r="I214" i="108"/>
  <c r="G22" i="108"/>
  <c r="M187" i="108"/>
  <c r="I180" i="108"/>
  <c r="M502" i="108"/>
  <c r="K513" i="108"/>
  <c r="K530" i="108" s="1"/>
  <c r="K533" i="108" s="1"/>
  <c r="I355" i="108"/>
  <c r="F368" i="108"/>
  <c r="G36" i="107"/>
  <c r="I85" i="107"/>
  <c r="G19" i="107"/>
  <c r="G77" i="107"/>
  <c r="H368" i="107"/>
  <c r="H385" i="107" s="1"/>
  <c r="H388" i="107" s="1"/>
  <c r="I355" i="107"/>
  <c r="D355" i="107" s="1"/>
  <c r="I808" i="107"/>
  <c r="D808" i="107" s="1"/>
  <c r="F817" i="107"/>
  <c r="H513" i="108"/>
  <c r="I480" i="108"/>
  <c r="M456" i="108"/>
  <c r="D456" i="108" s="1"/>
  <c r="I454" i="108"/>
  <c r="M406" i="108"/>
  <c r="K417" i="108"/>
  <c r="L368" i="108"/>
  <c r="M355" i="108"/>
  <c r="F609" i="108"/>
  <c r="G658" i="108"/>
  <c r="G675" i="108" s="1"/>
  <c r="G678" i="108" s="1"/>
  <c r="I791" i="108"/>
  <c r="F802" i="108"/>
  <c r="K19" i="107"/>
  <c r="K94" i="107"/>
  <c r="M14" i="107"/>
  <c r="F368" i="107"/>
  <c r="F19" i="107"/>
  <c r="L172" i="108"/>
  <c r="F76" i="108"/>
  <c r="H318" i="108"/>
  <c r="H335" i="108" s="1"/>
  <c r="H338" i="108" s="1"/>
  <c r="I552" i="108"/>
  <c r="F771" i="108"/>
  <c r="I695" i="108"/>
  <c r="D695" i="108" s="1"/>
  <c r="F706" i="108"/>
  <c r="M793" i="108"/>
  <c r="J43" i="107"/>
  <c r="I47" i="107"/>
  <c r="M230" i="107"/>
  <c r="M270" i="107"/>
  <c r="J318" i="108"/>
  <c r="J335" i="108" s="1"/>
  <c r="J338" i="108" s="1"/>
  <c r="E578" i="108"/>
  <c r="I721" i="108"/>
  <c r="L190" i="107"/>
  <c r="M32" i="107"/>
  <c r="L290" i="107"/>
  <c r="G270" i="107"/>
  <c r="G287" i="107" s="1"/>
  <c r="G290" i="107" s="1"/>
  <c r="H124" i="108"/>
  <c r="H141" i="108" s="1"/>
  <c r="H144" i="108" s="1"/>
  <c r="M67" i="108"/>
  <c r="I473" i="108"/>
  <c r="D473" i="108" s="1"/>
  <c r="L465" i="108"/>
  <c r="I408" i="108"/>
  <c r="I383" i="108"/>
  <c r="D383" i="108" s="1"/>
  <c r="D562" i="108"/>
  <c r="K578" i="108"/>
  <c r="G561" i="108"/>
  <c r="G43" i="107"/>
  <c r="L36" i="107"/>
  <c r="M133" i="107"/>
  <c r="F142" i="107"/>
  <c r="J36" i="107"/>
  <c r="I576" i="108"/>
  <c r="M569" i="108"/>
  <c r="I550" i="108"/>
  <c r="F561" i="108"/>
  <c r="I617" i="108"/>
  <c r="M743" i="108"/>
  <c r="L706" i="108"/>
  <c r="M673" i="108"/>
  <c r="K802" i="108"/>
  <c r="K819" i="108" s="1"/>
  <c r="K822" i="108" s="1"/>
  <c r="I40" i="107"/>
  <c r="F173" i="107"/>
  <c r="I162" i="107"/>
  <c r="M647" i="108"/>
  <c r="D647" i="108" s="1"/>
  <c r="J658" i="108"/>
  <c r="J675" i="108" s="1"/>
  <c r="J678" i="108" s="1"/>
  <c r="F36" i="107"/>
  <c r="M26" i="107"/>
  <c r="M22" i="107"/>
  <c r="M66" i="107"/>
  <c r="I140" i="107"/>
  <c r="F43" i="107"/>
  <c r="M164" i="107"/>
  <c r="D164" i="107" s="1"/>
  <c r="K772" i="107"/>
  <c r="E17" i="107"/>
  <c r="I68" i="107"/>
  <c r="H77" i="107"/>
  <c r="E222" i="107"/>
  <c r="F287" i="107"/>
  <c r="M597" i="107"/>
  <c r="K608" i="107"/>
  <c r="I46" i="107"/>
  <c r="I92" i="107"/>
  <c r="K36" i="107"/>
  <c r="I14" i="107"/>
  <c r="M140" i="107"/>
  <c r="M114" i="107"/>
  <c r="D114" i="107" s="1"/>
  <c r="M173" i="107"/>
  <c r="M760" i="107"/>
  <c r="D760" i="107" s="1"/>
  <c r="F724" i="107"/>
  <c r="I616" i="107"/>
  <c r="D616" i="107" s="1"/>
  <c r="F17" i="107"/>
  <c r="L416" i="107"/>
  <c r="M405" i="107"/>
  <c r="E19" i="107"/>
  <c r="M42" i="107"/>
  <c r="M38" i="107"/>
  <c r="I34" i="107"/>
  <c r="I30" i="107"/>
  <c r="L19" i="107"/>
  <c r="M68" i="107"/>
  <c r="L77" i="107"/>
  <c r="I18" i="107"/>
  <c r="J190" i="107"/>
  <c r="J193" i="107" s="1"/>
  <c r="H36" i="107"/>
  <c r="L17" i="107"/>
  <c r="M92" i="107"/>
  <c r="L43" i="107"/>
  <c r="I42" i="107"/>
  <c r="I38" i="107"/>
  <c r="I27" i="107"/>
  <c r="M237" i="107"/>
  <c r="L222" i="107"/>
  <c r="L817" i="107"/>
  <c r="J817" i="107"/>
  <c r="J820" i="107" s="1"/>
  <c r="J222" i="107"/>
  <c r="I261" i="107"/>
  <c r="D261" i="107" s="1"/>
  <c r="H287" i="107"/>
  <c r="H290" i="107" s="1"/>
  <c r="K318" i="107"/>
  <c r="K335" i="107" s="1"/>
  <c r="K338" i="107" s="1"/>
  <c r="M453" i="107"/>
  <c r="D453" i="107" s="1"/>
  <c r="K464" i="107"/>
  <c r="K481" i="107" s="1"/>
  <c r="K484" i="107" s="1"/>
  <c r="M503" i="107"/>
  <c r="D503" i="107" s="1"/>
  <c r="I501" i="107"/>
  <c r="F512" i="107"/>
  <c r="I791" i="107"/>
  <c r="H800" i="107"/>
  <c r="H817" i="107" s="1"/>
  <c r="H820" i="107" s="1"/>
  <c r="M752" i="107"/>
  <c r="I712" i="107"/>
  <c r="D712" i="107" s="1"/>
  <c r="L625" i="107"/>
  <c r="L481" i="107"/>
  <c r="I527" i="107"/>
  <c r="H673" i="107"/>
  <c r="H676" i="107" s="1"/>
  <c r="H577" i="107"/>
  <c r="I230" i="107"/>
  <c r="H433" i="107"/>
  <c r="H436" i="107" s="1"/>
  <c r="M693" i="107"/>
  <c r="D693" i="107" s="1"/>
  <c r="K704" i="107"/>
  <c r="I645" i="107"/>
  <c r="D645" i="107" s="1"/>
  <c r="F656" i="107"/>
  <c r="I599" i="107"/>
  <c r="G577" i="107"/>
  <c r="M326" i="107"/>
  <c r="I376" i="107"/>
  <c r="M407" i="107"/>
  <c r="D407" i="107" s="1"/>
  <c r="I405" i="107"/>
  <c r="F416" i="107"/>
  <c r="I455" i="107"/>
  <c r="H464" i="107"/>
  <c r="H481" i="107" s="1"/>
  <c r="H484" i="107" s="1"/>
  <c r="L512" i="107"/>
  <c r="J721" i="107"/>
  <c r="J724" i="107" s="1"/>
  <c r="I671" i="107"/>
  <c r="F625" i="107"/>
  <c r="I560" i="107"/>
  <c r="F577" i="107"/>
  <c r="M551" i="107"/>
  <c r="K560" i="107"/>
  <c r="J560" i="107"/>
  <c r="I116" i="107"/>
  <c r="D116" i="107" s="1"/>
  <c r="M285" i="107"/>
  <c r="M259" i="107"/>
  <c r="D259" i="107" s="1"/>
  <c r="I307" i="107"/>
  <c r="D307" i="107" s="1"/>
  <c r="F318" i="107"/>
  <c r="K368" i="107"/>
  <c r="J368" i="107"/>
  <c r="J385" i="107" s="1"/>
  <c r="J388" i="107" s="1"/>
  <c r="I431" i="107"/>
  <c r="D431" i="107" s="1"/>
  <c r="M815" i="107"/>
  <c r="H769" i="107"/>
  <c r="H772" i="107" s="1"/>
  <c r="M309" i="107"/>
  <c r="D309" i="107" s="1"/>
  <c r="E335" i="107"/>
  <c r="E338" i="107" s="1"/>
  <c r="M789" i="107"/>
  <c r="D789" i="107" s="1"/>
  <c r="K800" i="107"/>
  <c r="K817" i="107" s="1"/>
  <c r="K820" i="107" s="1"/>
  <c r="M743" i="107"/>
  <c r="I741" i="107"/>
  <c r="F752" i="107"/>
  <c r="I695" i="107"/>
  <c r="H704" i="107"/>
  <c r="H721" i="107" s="1"/>
  <c r="H724" i="107" s="1"/>
  <c r="L656" i="107"/>
  <c r="M575" i="107"/>
  <c r="I41" i="110"/>
  <c r="I357" i="107"/>
  <c r="L560" i="107"/>
  <c r="K32" i="120"/>
  <c r="L25" i="120" s="1"/>
  <c r="L29" i="120"/>
  <c r="L31" i="120"/>
  <c r="L28" i="120"/>
  <c r="L27" i="120"/>
  <c r="L23" i="120"/>
  <c r="L22" i="120"/>
  <c r="L21" i="120"/>
  <c r="L19" i="120"/>
  <c r="L18" i="120"/>
  <c r="L14" i="120"/>
  <c r="L13" i="120"/>
  <c r="L12" i="120"/>
  <c r="L10" i="120"/>
  <c r="L9" i="120"/>
  <c r="L6" i="120"/>
  <c r="L17" i="120"/>
  <c r="D96" i="107"/>
  <c r="D95" i="107"/>
  <c r="D93" i="107"/>
  <c r="D91" i="107"/>
  <c r="D90" i="107"/>
  <c r="D89" i="107"/>
  <c r="D88" i="107"/>
  <c r="D87" i="107"/>
  <c r="D86" i="107"/>
  <c r="D84" i="107"/>
  <c r="D83" i="107"/>
  <c r="D82" i="107"/>
  <c r="D81" i="107"/>
  <c r="D80" i="107"/>
  <c r="D79" i="107"/>
  <c r="D76" i="107"/>
  <c r="D75" i="107"/>
  <c r="D74" i="107"/>
  <c r="D73" i="107"/>
  <c r="D72" i="107"/>
  <c r="D71" i="107"/>
  <c r="D70" i="107"/>
  <c r="D69" i="107"/>
  <c r="D67" i="107"/>
  <c r="D65" i="107"/>
  <c r="D64" i="107"/>
  <c r="D63" i="107"/>
  <c r="D62" i="107"/>
  <c r="D61" i="107"/>
  <c r="D60" i="107"/>
  <c r="D144" i="107"/>
  <c r="D143" i="107"/>
  <c r="D141" i="107"/>
  <c r="D139" i="107"/>
  <c r="D138" i="107"/>
  <c r="D137" i="107"/>
  <c r="D136" i="107"/>
  <c r="D135" i="107"/>
  <c r="D134" i="107"/>
  <c r="D132" i="107"/>
  <c r="D131" i="107"/>
  <c r="D130" i="107"/>
  <c r="D129" i="107"/>
  <c r="D128" i="107"/>
  <c r="D127" i="107"/>
  <c r="D124" i="107"/>
  <c r="D123" i="107"/>
  <c r="D122" i="107"/>
  <c r="D121" i="107"/>
  <c r="D120" i="107"/>
  <c r="D119" i="107"/>
  <c r="D118" i="107"/>
  <c r="D115" i="107"/>
  <c r="D113" i="107"/>
  <c r="D112" i="107"/>
  <c r="D111" i="107"/>
  <c r="D110" i="107"/>
  <c r="D109" i="107"/>
  <c r="D108" i="107"/>
  <c r="D192" i="107"/>
  <c r="D191" i="107"/>
  <c r="D189" i="107"/>
  <c r="D187" i="107"/>
  <c r="D186" i="107"/>
  <c r="D185" i="107"/>
  <c r="D184" i="107"/>
  <c r="D183" i="107"/>
  <c r="D182" i="107"/>
  <c r="D180" i="107"/>
  <c r="D179" i="107"/>
  <c r="D178" i="107"/>
  <c r="D177" i="107"/>
  <c r="D176" i="107"/>
  <c r="D175" i="107"/>
  <c r="D172" i="107"/>
  <c r="D171" i="107"/>
  <c r="D170" i="107"/>
  <c r="D169" i="107"/>
  <c r="D168" i="107"/>
  <c r="D167" i="107"/>
  <c r="D166" i="107"/>
  <c r="D165" i="107"/>
  <c r="D163" i="107"/>
  <c r="D161" i="107"/>
  <c r="D160" i="107"/>
  <c r="D159" i="107"/>
  <c r="D158" i="107"/>
  <c r="D157" i="107"/>
  <c r="D156" i="107"/>
  <c r="D241" i="107"/>
  <c r="D240" i="107"/>
  <c r="D238" i="107"/>
  <c r="D236" i="107"/>
  <c r="D235" i="107"/>
  <c r="D234" i="107"/>
  <c r="D233" i="107"/>
  <c r="D232" i="107"/>
  <c r="D231" i="107"/>
  <c r="D229" i="107"/>
  <c r="D228" i="107"/>
  <c r="D227" i="107"/>
  <c r="D226" i="107"/>
  <c r="D225" i="107"/>
  <c r="D224" i="107"/>
  <c r="D221" i="107"/>
  <c r="D220" i="107"/>
  <c r="D219" i="107"/>
  <c r="D216" i="107"/>
  <c r="D215" i="107"/>
  <c r="D214" i="107"/>
  <c r="D213" i="107"/>
  <c r="D212" i="107"/>
  <c r="D211" i="107"/>
  <c r="D210" i="107"/>
  <c r="D208" i="107"/>
  <c r="D207" i="107"/>
  <c r="D206" i="107"/>
  <c r="D205" i="107"/>
  <c r="D204" i="107"/>
  <c r="D203" i="107"/>
  <c r="D289" i="107"/>
  <c r="D288" i="107"/>
  <c r="D286" i="107"/>
  <c r="D284" i="107"/>
  <c r="D283" i="107"/>
  <c r="D282" i="107"/>
  <c r="D281" i="107"/>
  <c r="D280" i="107"/>
  <c r="D279" i="107"/>
  <c r="D277" i="107"/>
  <c r="D276" i="107"/>
  <c r="D275" i="107"/>
  <c r="D274" i="107"/>
  <c r="D273" i="107"/>
  <c r="D272" i="107"/>
  <c r="D269" i="107"/>
  <c r="D268" i="107"/>
  <c r="D267" i="107"/>
  <c r="D266" i="107"/>
  <c r="D265" i="107"/>
  <c r="D264" i="107"/>
  <c r="D263" i="107"/>
  <c r="D262" i="107"/>
  <c r="D260" i="107"/>
  <c r="D258" i="107"/>
  <c r="D257" i="107"/>
  <c r="D256" i="107"/>
  <c r="D255" i="107"/>
  <c r="D254" i="107"/>
  <c r="D253" i="107"/>
  <c r="D337" i="107"/>
  <c r="D336" i="107"/>
  <c r="D334" i="107"/>
  <c r="D333" i="107"/>
  <c r="D332" i="107"/>
  <c r="D331" i="107"/>
  <c r="D330" i="107"/>
  <c r="D329" i="107"/>
  <c r="D328" i="107"/>
  <c r="D327" i="107"/>
  <c r="D325" i="107"/>
  <c r="D324" i="107"/>
  <c r="D323" i="107"/>
  <c r="D322" i="107"/>
  <c r="D321" i="107"/>
  <c r="D320" i="107"/>
  <c r="D317" i="107"/>
  <c r="D316" i="107"/>
  <c r="D315" i="107"/>
  <c r="D314" i="107"/>
  <c r="D313" i="107"/>
  <c r="D312" i="107"/>
  <c r="D311" i="107"/>
  <c r="D310" i="107"/>
  <c r="D308" i="107"/>
  <c r="D306" i="107"/>
  <c r="D305" i="107"/>
  <c r="D304" i="107"/>
  <c r="D303" i="107"/>
  <c r="D302" i="107"/>
  <c r="D301" i="107"/>
  <c r="D387" i="107"/>
  <c r="D386" i="107"/>
  <c r="D384" i="107"/>
  <c r="D382" i="107"/>
  <c r="D381" i="107"/>
  <c r="D380" i="107"/>
  <c r="D379" i="107"/>
  <c r="D378" i="107"/>
  <c r="D377" i="107"/>
  <c r="D375" i="107"/>
  <c r="D374" i="107"/>
  <c r="D373" i="107"/>
  <c r="D372" i="107"/>
  <c r="D371" i="107"/>
  <c r="D370" i="107"/>
  <c r="D367" i="107"/>
  <c r="D366" i="107"/>
  <c r="D365" i="107"/>
  <c r="D362" i="107"/>
  <c r="D361" i="107"/>
  <c r="D360" i="107"/>
  <c r="D359" i="107"/>
  <c r="D358" i="107"/>
  <c r="D357" i="107"/>
  <c r="D356" i="107"/>
  <c r="D354" i="107"/>
  <c r="D353" i="107"/>
  <c r="D352" i="107"/>
  <c r="D351" i="107"/>
  <c r="D350" i="107"/>
  <c r="D349" i="107"/>
  <c r="D435" i="107"/>
  <c r="D434" i="107"/>
  <c r="D432" i="107"/>
  <c r="D430" i="107"/>
  <c r="D429" i="107"/>
  <c r="D428" i="107"/>
  <c r="D427" i="107"/>
  <c r="D426" i="107"/>
  <c r="D425" i="107"/>
  <c r="D423" i="107"/>
  <c r="D422" i="107"/>
  <c r="D421" i="107"/>
  <c r="D420" i="107"/>
  <c r="D419" i="107"/>
  <c r="D418" i="107"/>
  <c r="D415" i="107"/>
  <c r="D414" i="107"/>
  <c r="D413" i="107"/>
  <c r="D412" i="107"/>
  <c r="D411" i="107"/>
  <c r="D410" i="107"/>
  <c r="D409" i="107"/>
  <c r="D408" i="107"/>
  <c r="D406" i="107"/>
  <c r="D404" i="107"/>
  <c r="D403" i="107"/>
  <c r="D402" i="107"/>
  <c r="D401" i="107"/>
  <c r="D400" i="107"/>
  <c r="D399" i="107"/>
  <c r="D483" i="107"/>
  <c r="D482" i="107"/>
  <c r="D480" i="107"/>
  <c r="D478" i="107"/>
  <c r="D477" i="107"/>
  <c r="D476" i="107"/>
  <c r="D475" i="107"/>
  <c r="D474" i="107"/>
  <c r="D473" i="107"/>
  <c r="D471" i="107"/>
  <c r="D470" i="107"/>
  <c r="D469" i="107"/>
  <c r="D468" i="107"/>
  <c r="D467" i="107"/>
  <c r="D466" i="107"/>
  <c r="D463" i="107"/>
  <c r="D462" i="107"/>
  <c r="D461" i="107"/>
  <c r="D460" i="107"/>
  <c r="D459" i="107"/>
  <c r="D458" i="107"/>
  <c r="D457" i="107"/>
  <c r="D456" i="107"/>
  <c r="D454" i="107"/>
  <c r="D452" i="107"/>
  <c r="D451" i="107"/>
  <c r="D450" i="107"/>
  <c r="D449" i="107"/>
  <c r="D448" i="107"/>
  <c r="D447" i="107"/>
  <c r="D531" i="107"/>
  <c r="D530" i="107"/>
  <c r="D528" i="107"/>
  <c r="D527" i="107"/>
  <c r="D526" i="107"/>
  <c r="D525" i="107"/>
  <c r="D524" i="107"/>
  <c r="D523" i="107"/>
  <c r="D522" i="107"/>
  <c r="D521" i="107"/>
  <c r="D519" i="107"/>
  <c r="D518" i="107"/>
  <c r="D517" i="107"/>
  <c r="D516" i="107"/>
  <c r="D515" i="107"/>
  <c r="D514" i="107"/>
  <c r="D511" i="107"/>
  <c r="D510" i="107"/>
  <c r="D509" i="107"/>
  <c r="D508" i="107"/>
  <c r="D507" i="107"/>
  <c r="D506" i="107"/>
  <c r="D505" i="107"/>
  <c r="D504" i="107"/>
  <c r="D502" i="107"/>
  <c r="D500" i="107"/>
  <c r="D499" i="107"/>
  <c r="D498" i="107"/>
  <c r="D497" i="107"/>
  <c r="D496" i="107"/>
  <c r="D495" i="107"/>
  <c r="D819" i="107"/>
  <c r="D818" i="107"/>
  <c r="D816" i="107"/>
  <c r="D815" i="107"/>
  <c r="D814" i="107"/>
  <c r="D813" i="107"/>
  <c r="D812" i="107"/>
  <c r="D811" i="107"/>
  <c r="D810" i="107"/>
  <c r="D809" i="107"/>
  <c r="D807" i="107"/>
  <c r="D806" i="107"/>
  <c r="D805" i="107"/>
  <c r="D804" i="107"/>
  <c r="D803" i="107"/>
  <c r="D802" i="107"/>
  <c r="D799" i="107"/>
  <c r="D798" i="107"/>
  <c r="D797" i="107"/>
  <c r="D796" i="107"/>
  <c r="D795" i="107"/>
  <c r="D794" i="107"/>
  <c r="D793" i="107"/>
  <c r="D792" i="107"/>
  <c r="D790" i="107"/>
  <c r="D788" i="107"/>
  <c r="D787" i="107"/>
  <c r="D786" i="107"/>
  <c r="D785" i="107"/>
  <c r="D784" i="107"/>
  <c r="D783" i="107"/>
  <c r="D771" i="107"/>
  <c r="D770" i="107"/>
  <c r="D768" i="107"/>
  <c r="D767" i="107"/>
  <c r="D766" i="107"/>
  <c r="D765" i="107"/>
  <c r="D764" i="107"/>
  <c r="D763" i="107"/>
  <c r="D762" i="107"/>
  <c r="D761" i="107"/>
  <c r="D759" i="107"/>
  <c r="D758" i="107"/>
  <c r="D757" i="107"/>
  <c r="D756" i="107"/>
  <c r="D755" i="107"/>
  <c r="D754" i="107"/>
  <c r="D751" i="107"/>
  <c r="D750" i="107"/>
  <c r="D749" i="107"/>
  <c r="D748" i="107"/>
  <c r="D747" i="107"/>
  <c r="D746" i="107"/>
  <c r="D745" i="107"/>
  <c r="D744" i="107"/>
  <c r="D742" i="107"/>
  <c r="D740" i="107"/>
  <c r="D739" i="107"/>
  <c r="D738" i="107"/>
  <c r="D737" i="107"/>
  <c r="D736" i="107"/>
  <c r="D735" i="107"/>
  <c r="D723" i="107"/>
  <c r="D722" i="107"/>
  <c r="D720" i="107"/>
  <c r="D718" i="107"/>
  <c r="D717" i="107"/>
  <c r="D716" i="107"/>
  <c r="D715" i="107"/>
  <c r="D714" i="107"/>
  <c r="D713" i="107"/>
  <c r="D711" i="107"/>
  <c r="D710" i="107"/>
  <c r="D709" i="107"/>
  <c r="D708" i="107"/>
  <c r="D707" i="107"/>
  <c r="D706" i="107"/>
  <c r="D703" i="107"/>
  <c r="D702" i="107"/>
  <c r="D701" i="107"/>
  <c r="D700" i="107"/>
  <c r="D699" i="107"/>
  <c r="D698" i="107"/>
  <c r="D697" i="107"/>
  <c r="D696" i="107"/>
  <c r="D694" i="107"/>
  <c r="D692" i="107"/>
  <c r="D691" i="107"/>
  <c r="D690" i="107"/>
  <c r="D689" i="107"/>
  <c r="D688" i="107"/>
  <c r="D687" i="107"/>
  <c r="D675" i="107"/>
  <c r="D674" i="107"/>
  <c r="D672" i="107"/>
  <c r="D670" i="107"/>
  <c r="D669" i="107"/>
  <c r="D668" i="107"/>
  <c r="D667" i="107"/>
  <c r="D666" i="107"/>
  <c r="D665" i="107"/>
  <c r="D663" i="107"/>
  <c r="D662" i="107"/>
  <c r="D661" i="107"/>
  <c r="D660" i="107"/>
  <c r="D659" i="107"/>
  <c r="D658" i="107"/>
  <c r="D655" i="107"/>
  <c r="D654" i="107"/>
  <c r="D653" i="107"/>
  <c r="D652" i="107"/>
  <c r="D651" i="107"/>
  <c r="D650" i="107"/>
  <c r="D649" i="107"/>
  <c r="D648" i="107"/>
  <c r="D646" i="107"/>
  <c r="D644" i="107"/>
  <c r="D643" i="107"/>
  <c r="D642" i="107"/>
  <c r="D641" i="107"/>
  <c r="D640" i="107"/>
  <c r="D639" i="107"/>
  <c r="D627" i="107"/>
  <c r="D626" i="107"/>
  <c r="D624" i="107"/>
  <c r="D622" i="107"/>
  <c r="D621" i="107"/>
  <c r="D620" i="107"/>
  <c r="D619" i="107"/>
  <c r="D618" i="107"/>
  <c r="D617" i="107"/>
  <c r="D615" i="107"/>
  <c r="D614" i="107"/>
  <c r="D613" i="107"/>
  <c r="D612" i="107"/>
  <c r="D611" i="107"/>
  <c r="D610" i="107"/>
  <c r="D607" i="107"/>
  <c r="D606" i="107"/>
  <c r="D605" i="107"/>
  <c r="D604" i="107"/>
  <c r="D603" i="107"/>
  <c r="D602" i="107"/>
  <c r="D601" i="107"/>
  <c r="D600" i="107"/>
  <c r="D599" i="107"/>
  <c r="D598" i="107"/>
  <c r="D596" i="107"/>
  <c r="D595" i="107"/>
  <c r="D594" i="107"/>
  <c r="D593" i="107"/>
  <c r="D592" i="107"/>
  <c r="D591" i="107"/>
  <c r="D579" i="107"/>
  <c r="D578" i="107"/>
  <c r="D576" i="107"/>
  <c r="D574" i="107"/>
  <c r="D573" i="107"/>
  <c r="D572" i="107"/>
  <c r="D571" i="107"/>
  <c r="D570" i="107"/>
  <c r="D569" i="107"/>
  <c r="D568" i="107"/>
  <c r="D567" i="107"/>
  <c r="D566" i="107"/>
  <c r="D565" i="107"/>
  <c r="D564" i="107"/>
  <c r="D563" i="107"/>
  <c r="D562" i="107"/>
  <c r="D559" i="107"/>
  <c r="D558" i="107"/>
  <c r="D557" i="107"/>
  <c r="D556" i="107"/>
  <c r="D555" i="107"/>
  <c r="D554" i="107"/>
  <c r="D553" i="107"/>
  <c r="D552" i="107"/>
  <c r="D550" i="107"/>
  <c r="D548" i="107"/>
  <c r="D547" i="107"/>
  <c r="D546" i="107"/>
  <c r="D545" i="107"/>
  <c r="D544" i="107"/>
  <c r="D543" i="107"/>
  <c r="D289" i="108"/>
  <c r="D288" i="108"/>
  <c r="D286" i="108"/>
  <c r="D284" i="108"/>
  <c r="D283" i="108"/>
  <c r="D282" i="108"/>
  <c r="D281" i="108"/>
  <c r="D280" i="108"/>
  <c r="D279" i="108"/>
  <c r="D277" i="108"/>
  <c r="D276" i="108"/>
  <c r="D275" i="108"/>
  <c r="D274" i="108"/>
  <c r="D273" i="108"/>
  <c r="D272" i="108"/>
  <c r="D269" i="108"/>
  <c r="D268" i="108"/>
  <c r="D267" i="108"/>
  <c r="D266" i="108"/>
  <c r="D265" i="108"/>
  <c r="D264" i="108"/>
  <c r="D263" i="108"/>
  <c r="D262" i="108"/>
  <c r="D260" i="108"/>
  <c r="D258" i="108"/>
  <c r="D257" i="108"/>
  <c r="D256" i="108"/>
  <c r="D255" i="108"/>
  <c r="D254" i="108"/>
  <c r="D253" i="108"/>
  <c r="D241" i="108"/>
  <c r="D240" i="108"/>
  <c r="D238" i="108"/>
  <c r="D236" i="108"/>
  <c r="D235" i="108"/>
  <c r="D234" i="108"/>
  <c r="D233" i="108"/>
  <c r="D232" i="108"/>
  <c r="D231" i="108"/>
  <c r="D229" i="108"/>
  <c r="D228" i="108"/>
  <c r="D227" i="108"/>
  <c r="D226" i="108"/>
  <c r="D225" i="108"/>
  <c r="D221" i="108"/>
  <c r="D219" i="108"/>
  <c r="M216" i="108"/>
  <c r="H216" i="108"/>
  <c r="E216" i="108"/>
  <c r="E211" i="108" s="1"/>
  <c r="D217" i="108"/>
  <c r="D215" i="108"/>
  <c r="G211" i="108"/>
  <c r="J211" i="108"/>
  <c r="D212" i="108"/>
  <c r="D210" i="108"/>
  <c r="D208" i="108"/>
  <c r="D207" i="108"/>
  <c r="D206" i="108"/>
  <c r="D205" i="108"/>
  <c r="D204" i="108"/>
  <c r="D203" i="108"/>
  <c r="D191" i="108"/>
  <c r="D190" i="108"/>
  <c r="D188" i="108"/>
  <c r="D186" i="108"/>
  <c r="D185" i="108"/>
  <c r="D184" i="108"/>
  <c r="D183" i="108"/>
  <c r="D182" i="108"/>
  <c r="D181" i="108"/>
  <c r="D179" i="108"/>
  <c r="D178" i="108"/>
  <c r="D177" i="108"/>
  <c r="D176" i="108"/>
  <c r="D175" i="108"/>
  <c r="D174" i="108"/>
  <c r="D171" i="108"/>
  <c r="D170" i="108"/>
  <c r="D169" i="108"/>
  <c r="D168" i="108"/>
  <c r="D167" i="108"/>
  <c r="D166" i="108"/>
  <c r="D165" i="108"/>
  <c r="D164" i="108"/>
  <c r="D162" i="108"/>
  <c r="D160" i="108"/>
  <c r="D159" i="108"/>
  <c r="D158" i="108"/>
  <c r="D157" i="108"/>
  <c r="D156" i="108"/>
  <c r="D155" i="108"/>
  <c r="D143" i="108"/>
  <c r="D142" i="108"/>
  <c r="D140" i="108"/>
  <c r="D138" i="108"/>
  <c r="D137" i="108"/>
  <c r="D136" i="108"/>
  <c r="D135" i="108"/>
  <c r="D134" i="108"/>
  <c r="D133" i="108"/>
  <c r="D131" i="108"/>
  <c r="D130" i="108"/>
  <c r="D129" i="108"/>
  <c r="D128" i="108"/>
  <c r="D127" i="108"/>
  <c r="D126" i="108"/>
  <c r="D123" i="108"/>
  <c r="D122" i="108"/>
  <c r="D121" i="108"/>
  <c r="D120" i="108"/>
  <c r="D119" i="108"/>
  <c r="D118" i="108"/>
  <c r="D117" i="108"/>
  <c r="D116" i="108"/>
  <c r="D114" i="108"/>
  <c r="D112" i="108"/>
  <c r="D111" i="108"/>
  <c r="D110" i="108"/>
  <c r="D109" i="108"/>
  <c r="D108" i="108"/>
  <c r="D107" i="108"/>
  <c r="D95" i="108"/>
  <c r="D94" i="108"/>
  <c r="D92" i="108"/>
  <c r="D90" i="108"/>
  <c r="D89" i="108"/>
  <c r="D88" i="108"/>
  <c r="D87" i="108"/>
  <c r="D86" i="108"/>
  <c r="D85" i="108"/>
  <c r="D83" i="108"/>
  <c r="D82" i="108"/>
  <c r="D81" i="108"/>
  <c r="D80" i="108"/>
  <c r="D79" i="108"/>
  <c r="D78" i="108"/>
  <c r="D75" i="108"/>
  <c r="D74" i="108"/>
  <c r="D73" i="108"/>
  <c r="D72" i="108"/>
  <c r="D71" i="108"/>
  <c r="D70" i="108"/>
  <c r="D69" i="108"/>
  <c r="D68" i="108"/>
  <c r="D66" i="108"/>
  <c r="D64" i="108"/>
  <c r="D63" i="108"/>
  <c r="D62" i="108"/>
  <c r="D61" i="108"/>
  <c r="D60" i="108"/>
  <c r="D59" i="108"/>
  <c r="D532" i="108"/>
  <c r="D531" i="108"/>
  <c r="D529" i="108"/>
  <c r="D527" i="108"/>
  <c r="D526" i="108"/>
  <c r="D525" i="108"/>
  <c r="D524" i="108"/>
  <c r="D523" i="108"/>
  <c r="D522" i="108"/>
  <c r="D520" i="108"/>
  <c r="D519" i="108"/>
  <c r="D518" i="108"/>
  <c r="D517" i="108"/>
  <c r="D516" i="108"/>
  <c r="D515" i="108"/>
  <c r="D512" i="108"/>
  <c r="D511" i="108"/>
  <c r="D510" i="108"/>
  <c r="D509" i="108"/>
  <c r="D508" i="108"/>
  <c r="D507" i="108"/>
  <c r="D506" i="108"/>
  <c r="D505" i="108"/>
  <c r="D503" i="108"/>
  <c r="D501" i="108"/>
  <c r="D500" i="108"/>
  <c r="D499" i="108"/>
  <c r="D498" i="108"/>
  <c r="D497" i="108"/>
  <c r="D496" i="108"/>
  <c r="D484" i="108"/>
  <c r="D483" i="108"/>
  <c r="D481" i="108"/>
  <c r="D479" i="108"/>
  <c r="D478" i="108"/>
  <c r="D477" i="108"/>
  <c r="D476" i="108"/>
  <c r="D475" i="108"/>
  <c r="D474" i="108"/>
  <c r="D472" i="108"/>
  <c r="D471" i="108"/>
  <c r="D470" i="108"/>
  <c r="D469" i="108"/>
  <c r="D468" i="108"/>
  <c r="D467" i="108"/>
  <c r="D464" i="108"/>
  <c r="D463" i="108"/>
  <c r="D462" i="108"/>
  <c r="D461" i="108"/>
  <c r="D460" i="108"/>
  <c r="D459" i="108"/>
  <c r="D458" i="108"/>
  <c r="D457" i="108"/>
  <c r="D455" i="108"/>
  <c r="D453" i="108"/>
  <c r="D452" i="108"/>
  <c r="D451" i="108"/>
  <c r="D450" i="108"/>
  <c r="D449" i="108"/>
  <c r="D448" i="108"/>
  <c r="D436" i="108"/>
  <c r="D435" i="108"/>
  <c r="D433" i="108"/>
  <c r="D431" i="108"/>
  <c r="D430" i="108"/>
  <c r="D429" i="108"/>
  <c r="D428" i="108"/>
  <c r="D427" i="108"/>
  <c r="D426" i="108"/>
  <c r="D425" i="108"/>
  <c r="D424" i="108"/>
  <c r="D423" i="108"/>
  <c r="D422" i="108"/>
  <c r="D421" i="108"/>
  <c r="D420" i="108"/>
  <c r="D419" i="108"/>
  <c r="D416" i="108"/>
  <c r="D415" i="108"/>
  <c r="D414" i="108"/>
  <c r="D413" i="108"/>
  <c r="D412" i="108"/>
  <c r="D411" i="108"/>
  <c r="D410" i="108"/>
  <c r="D409" i="108"/>
  <c r="D407" i="108"/>
  <c r="D405" i="108"/>
  <c r="D404" i="108"/>
  <c r="D403" i="108"/>
  <c r="D402" i="108"/>
  <c r="D401" i="108"/>
  <c r="D400" i="108"/>
  <c r="D387" i="108"/>
  <c r="D386" i="108"/>
  <c r="D384" i="108"/>
  <c r="D382" i="108"/>
  <c r="D381" i="108"/>
  <c r="D380" i="108"/>
  <c r="D379" i="108"/>
  <c r="D378" i="108"/>
  <c r="D377" i="108"/>
  <c r="D375" i="108"/>
  <c r="D374" i="108"/>
  <c r="D373" i="108"/>
  <c r="D372" i="108"/>
  <c r="D371" i="108"/>
  <c r="D370" i="108"/>
  <c r="D367" i="108"/>
  <c r="D366" i="108"/>
  <c r="D365" i="108"/>
  <c r="D362" i="108"/>
  <c r="D361" i="108"/>
  <c r="D360" i="108"/>
  <c r="D359" i="108"/>
  <c r="D358" i="108"/>
  <c r="D356" i="108"/>
  <c r="D354" i="108"/>
  <c r="D353" i="108"/>
  <c r="D352" i="108"/>
  <c r="D351" i="108"/>
  <c r="D350" i="108"/>
  <c r="D349" i="108"/>
  <c r="D337" i="108"/>
  <c r="D336" i="108"/>
  <c r="D334" i="108"/>
  <c r="D332" i="108"/>
  <c r="D331" i="108"/>
  <c r="D330" i="108"/>
  <c r="D329" i="108"/>
  <c r="D328" i="108"/>
  <c r="D327" i="108"/>
  <c r="D325" i="108"/>
  <c r="D324" i="108"/>
  <c r="D323" i="108"/>
  <c r="D322" i="108"/>
  <c r="D321" i="108"/>
  <c r="D320" i="108"/>
  <c r="D317" i="108"/>
  <c r="D316" i="108"/>
  <c r="D315" i="108"/>
  <c r="D314" i="108"/>
  <c r="D313" i="108"/>
  <c r="D312" i="108"/>
  <c r="D311" i="108"/>
  <c r="D310" i="108"/>
  <c r="D308" i="108"/>
  <c r="D307" i="108"/>
  <c r="D306" i="108"/>
  <c r="D305" i="108"/>
  <c r="D304" i="108"/>
  <c r="D303" i="108"/>
  <c r="D302" i="108"/>
  <c r="D301" i="108"/>
  <c r="D580" i="108"/>
  <c r="D579" i="108"/>
  <c r="D577" i="108"/>
  <c r="D575" i="108"/>
  <c r="D574" i="108"/>
  <c r="D573" i="108"/>
  <c r="D572" i="108"/>
  <c r="D571" i="108"/>
  <c r="D570" i="108"/>
  <c r="D568" i="108"/>
  <c r="D567" i="108"/>
  <c r="D566" i="108"/>
  <c r="D565" i="108"/>
  <c r="D564" i="108"/>
  <c r="D563" i="108"/>
  <c r="D560" i="108"/>
  <c r="D559" i="108"/>
  <c r="D558" i="108"/>
  <c r="D557" i="108"/>
  <c r="D556" i="108"/>
  <c r="D555" i="108"/>
  <c r="D553" i="108"/>
  <c r="D551" i="108"/>
  <c r="D549" i="108"/>
  <c r="D548" i="108"/>
  <c r="D547" i="108"/>
  <c r="D546" i="108"/>
  <c r="D545" i="108"/>
  <c r="D544" i="108"/>
  <c r="D628" i="108"/>
  <c r="D625" i="108"/>
  <c r="D623" i="108"/>
  <c r="D622" i="108"/>
  <c r="D621" i="108"/>
  <c r="D620" i="108"/>
  <c r="D619" i="108"/>
  <c r="D618" i="108"/>
  <c r="D616" i="108"/>
  <c r="D615" i="108"/>
  <c r="D614" i="108"/>
  <c r="D613" i="108"/>
  <c r="D612" i="108"/>
  <c r="D611" i="108"/>
  <c r="D608" i="108"/>
  <c r="D607" i="108"/>
  <c r="D606" i="108"/>
  <c r="D605" i="108"/>
  <c r="D604" i="108"/>
  <c r="D603" i="108"/>
  <c r="D602" i="108"/>
  <c r="D601" i="108"/>
  <c r="D600" i="108"/>
  <c r="D599" i="108"/>
  <c r="D597" i="108"/>
  <c r="D596" i="108"/>
  <c r="D595" i="108"/>
  <c r="D594" i="108"/>
  <c r="D593" i="108"/>
  <c r="D592" i="108"/>
  <c r="D773" i="108"/>
  <c r="D772" i="108"/>
  <c r="D770" i="108"/>
  <c r="D768" i="108"/>
  <c r="D767" i="108"/>
  <c r="D766" i="108"/>
  <c r="D765" i="108"/>
  <c r="D764" i="108"/>
  <c r="D763" i="108"/>
  <c r="D762" i="108"/>
  <c r="D761" i="108"/>
  <c r="D760" i="108"/>
  <c r="D759" i="108"/>
  <c r="D758" i="108"/>
  <c r="D757" i="108"/>
  <c r="D756" i="108"/>
  <c r="D753" i="108"/>
  <c r="D752" i="108"/>
  <c r="D751" i="108"/>
  <c r="D750" i="108"/>
  <c r="D749" i="108"/>
  <c r="D748" i="108"/>
  <c r="D747" i="108"/>
  <c r="D746" i="108"/>
  <c r="D745" i="108"/>
  <c r="D744" i="108"/>
  <c r="D742" i="108"/>
  <c r="D741" i="108"/>
  <c r="D740" i="108"/>
  <c r="D739" i="108"/>
  <c r="D738" i="108"/>
  <c r="D737" i="108"/>
  <c r="D725" i="108"/>
  <c r="D724" i="108"/>
  <c r="D722" i="108"/>
  <c r="D720" i="108"/>
  <c r="D719" i="108"/>
  <c r="D718" i="108"/>
  <c r="D717" i="108"/>
  <c r="D716" i="108"/>
  <c r="D715" i="108"/>
  <c r="D713" i="108"/>
  <c r="D712" i="108"/>
  <c r="D711" i="108"/>
  <c r="D710" i="108"/>
  <c r="D709" i="108"/>
  <c r="D708" i="108"/>
  <c r="D705" i="108"/>
  <c r="D704" i="108"/>
  <c r="D703" i="108"/>
  <c r="D702" i="108"/>
  <c r="D701" i="108"/>
  <c r="D700" i="108"/>
  <c r="D699" i="108"/>
  <c r="E697" i="108"/>
  <c r="D698" i="108"/>
  <c r="D696" i="108"/>
  <c r="D694" i="108"/>
  <c r="D693" i="108"/>
  <c r="D692" i="108"/>
  <c r="D691" i="108"/>
  <c r="D690" i="108"/>
  <c r="D689" i="108"/>
  <c r="D677" i="108"/>
  <c r="D676" i="108"/>
  <c r="D674" i="108"/>
  <c r="D672" i="108"/>
  <c r="D671" i="108"/>
  <c r="D670" i="108"/>
  <c r="D669" i="108"/>
  <c r="D668" i="108"/>
  <c r="D667" i="108"/>
  <c r="D666" i="108"/>
  <c r="D665" i="108"/>
  <c r="D664" i="108"/>
  <c r="D663" i="108"/>
  <c r="D662" i="108"/>
  <c r="D661" i="108"/>
  <c r="D660" i="108"/>
  <c r="D657" i="108"/>
  <c r="D656" i="108"/>
  <c r="D655" i="108"/>
  <c r="D654" i="108"/>
  <c r="D653" i="108"/>
  <c r="D652" i="108"/>
  <c r="D651" i="108"/>
  <c r="D650" i="108"/>
  <c r="D648" i="108"/>
  <c r="D646" i="108"/>
  <c r="D645" i="108"/>
  <c r="D644" i="108"/>
  <c r="D643" i="108"/>
  <c r="D642" i="108"/>
  <c r="D641" i="108"/>
  <c r="D821" i="108"/>
  <c r="D820" i="108"/>
  <c r="D818" i="108"/>
  <c r="D816" i="108"/>
  <c r="D815" i="108"/>
  <c r="D814" i="108"/>
  <c r="D813" i="108"/>
  <c r="D812" i="108"/>
  <c r="D811" i="108"/>
  <c r="D809" i="108"/>
  <c r="D808" i="108"/>
  <c r="D807" i="108"/>
  <c r="D806" i="108"/>
  <c r="D805" i="108"/>
  <c r="D804" i="108"/>
  <c r="D801" i="108"/>
  <c r="D800" i="108"/>
  <c r="D799" i="108"/>
  <c r="D798" i="108"/>
  <c r="D797" i="108"/>
  <c r="D796" i="108"/>
  <c r="D795" i="108"/>
  <c r="D794" i="108"/>
  <c r="D792" i="108"/>
  <c r="D790" i="108"/>
  <c r="D789" i="108"/>
  <c r="D788" i="108"/>
  <c r="D787" i="108"/>
  <c r="D786" i="108"/>
  <c r="D785" i="108"/>
  <c r="F25" i="118"/>
  <c r="F28" i="118"/>
  <c r="L18" i="100" s="1"/>
  <c r="F24" i="118"/>
  <c r="L17" i="100" s="1"/>
  <c r="F12" i="118"/>
  <c r="L11" i="100" s="1"/>
  <c r="F11" i="118"/>
  <c r="L10" i="100" s="1"/>
  <c r="F9" i="118"/>
  <c r="L9" i="100" s="1"/>
  <c r="F89" i="105"/>
  <c r="G89" i="105"/>
  <c r="J72" i="105"/>
  <c r="I89" i="105"/>
  <c r="K89" i="105"/>
  <c r="N72" i="105"/>
  <c r="L89" i="105"/>
  <c r="M89" i="105"/>
  <c r="N75" i="105"/>
  <c r="E89" i="105"/>
  <c r="N78" i="105"/>
  <c r="N98" i="105"/>
  <c r="E106" i="105"/>
  <c r="F106" i="105"/>
  <c r="G106" i="105"/>
  <c r="J105" i="105"/>
  <c r="H106" i="105"/>
  <c r="I106" i="105"/>
  <c r="K106" i="105"/>
  <c r="N105" i="105"/>
  <c r="L106" i="105"/>
  <c r="M106" i="105"/>
  <c r="F141" i="105"/>
  <c r="G141" i="105"/>
  <c r="J124" i="105"/>
  <c r="K141" i="105"/>
  <c r="N124" i="105"/>
  <c r="E141" i="105"/>
  <c r="E158" i="105"/>
  <c r="F158" i="105"/>
  <c r="G158" i="105"/>
  <c r="J157" i="105"/>
  <c r="H158" i="105"/>
  <c r="I158" i="105"/>
  <c r="K158" i="105"/>
  <c r="N157" i="105"/>
  <c r="L158" i="105"/>
  <c r="M158" i="105"/>
  <c r="F193" i="105"/>
  <c r="G193" i="105"/>
  <c r="J176" i="105"/>
  <c r="K193" i="105"/>
  <c r="N176" i="105"/>
  <c r="E193" i="105"/>
  <c r="K200" i="105"/>
  <c r="E210" i="105"/>
  <c r="F210" i="105"/>
  <c r="G210" i="105"/>
  <c r="J209" i="105"/>
  <c r="H210" i="105"/>
  <c r="I210" i="105"/>
  <c r="N209" i="105"/>
  <c r="L210" i="105"/>
  <c r="M210" i="105"/>
  <c r="F245" i="105"/>
  <c r="G245" i="105"/>
  <c r="J228" i="105"/>
  <c r="K245" i="105"/>
  <c r="N228" i="105"/>
  <c r="E245" i="105"/>
  <c r="E262" i="105"/>
  <c r="F262" i="105"/>
  <c r="G262" i="105"/>
  <c r="J261" i="105"/>
  <c r="H262" i="105"/>
  <c r="I262" i="105"/>
  <c r="K262" i="105"/>
  <c r="N261" i="105"/>
  <c r="L262" i="105"/>
  <c r="M262" i="105"/>
  <c r="G297" i="105"/>
  <c r="J278" i="105"/>
  <c r="F297" i="105"/>
  <c r="K297" i="105"/>
  <c r="N280" i="105"/>
  <c r="E297" i="105"/>
  <c r="E314" i="105"/>
  <c r="F314" i="105"/>
  <c r="G314" i="105"/>
  <c r="J313" i="105"/>
  <c r="H314" i="105"/>
  <c r="I314" i="105"/>
  <c r="K314" i="105"/>
  <c r="N313" i="105"/>
  <c r="L314" i="105"/>
  <c r="M314" i="105"/>
  <c r="E349" i="105"/>
  <c r="G349" i="105"/>
  <c r="J332" i="105"/>
  <c r="K349" i="105"/>
  <c r="N332" i="105"/>
  <c r="E366" i="105"/>
  <c r="F366" i="105"/>
  <c r="G366" i="105"/>
  <c r="J365" i="105"/>
  <c r="H366" i="105"/>
  <c r="I366" i="105"/>
  <c r="K366" i="105"/>
  <c r="N365" i="105"/>
  <c r="L366" i="105"/>
  <c r="M366" i="105"/>
  <c r="E401" i="105"/>
  <c r="G401" i="105"/>
  <c r="J384" i="105"/>
  <c r="K401" i="105"/>
  <c r="N384" i="105"/>
  <c r="E418" i="105"/>
  <c r="F418" i="105"/>
  <c r="G418" i="105"/>
  <c r="J417" i="105"/>
  <c r="H418" i="105"/>
  <c r="I418" i="105"/>
  <c r="K418" i="105"/>
  <c r="N417" i="105"/>
  <c r="L418" i="105"/>
  <c r="M418" i="105"/>
  <c r="F453" i="105"/>
  <c r="G453" i="105"/>
  <c r="J436" i="105"/>
  <c r="K453" i="105"/>
  <c r="N436" i="105"/>
  <c r="E453" i="105"/>
  <c r="E470" i="105"/>
  <c r="F470" i="105"/>
  <c r="G470" i="105"/>
  <c r="J469" i="105"/>
  <c r="H470" i="105"/>
  <c r="I470" i="105"/>
  <c r="K470" i="105"/>
  <c r="N469" i="105"/>
  <c r="L470" i="105"/>
  <c r="M470" i="105"/>
  <c r="E505" i="105"/>
  <c r="G505" i="105"/>
  <c r="J488" i="105"/>
  <c r="K505" i="105"/>
  <c r="N488" i="105"/>
  <c r="E522" i="105"/>
  <c r="F522" i="105"/>
  <c r="G522" i="105"/>
  <c r="J521" i="105"/>
  <c r="H522" i="105"/>
  <c r="I522" i="105"/>
  <c r="K522" i="105"/>
  <c r="N521" i="105"/>
  <c r="L522" i="105"/>
  <c r="M522" i="105"/>
  <c r="F557" i="105"/>
  <c r="G557" i="105"/>
  <c r="J540" i="105"/>
  <c r="K557" i="105"/>
  <c r="N540" i="105"/>
  <c r="E557" i="105"/>
  <c r="E574" i="105"/>
  <c r="F574" i="105"/>
  <c r="G574" i="105"/>
  <c r="J573" i="105"/>
  <c r="H574" i="105"/>
  <c r="I574" i="105"/>
  <c r="K574" i="105"/>
  <c r="N573" i="105"/>
  <c r="L574" i="105"/>
  <c r="M574" i="105"/>
  <c r="F609" i="105"/>
  <c r="G609" i="105"/>
  <c r="J592" i="105"/>
  <c r="K609" i="105"/>
  <c r="N592" i="105"/>
  <c r="E609" i="105"/>
  <c r="E626" i="105"/>
  <c r="F626" i="105"/>
  <c r="G626" i="105"/>
  <c r="J625" i="105"/>
  <c r="H626" i="105"/>
  <c r="I626" i="105"/>
  <c r="K626" i="105"/>
  <c r="N625" i="105"/>
  <c r="L626" i="105"/>
  <c r="M626" i="105"/>
  <c r="F661" i="105"/>
  <c r="G661" i="105"/>
  <c r="J644" i="105"/>
  <c r="I661" i="105"/>
  <c r="K661" i="105"/>
  <c r="N644" i="105"/>
  <c r="L661" i="105"/>
  <c r="M661" i="105"/>
  <c r="N647" i="105"/>
  <c r="E661" i="105"/>
  <c r="N650" i="105"/>
  <c r="H670" i="105"/>
  <c r="H678" i="105" s="1"/>
  <c r="J669" i="105"/>
  <c r="N670" i="105"/>
  <c r="E678" i="105"/>
  <c r="F678" i="105"/>
  <c r="G678" i="105"/>
  <c r="J677" i="105"/>
  <c r="I678" i="105"/>
  <c r="K678" i="105"/>
  <c r="N677" i="105"/>
  <c r="L678" i="105"/>
  <c r="M678" i="105"/>
  <c r="F713" i="105"/>
  <c r="G713" i="105"/>
  <c r="J696" i="105"/>
  <c r="K713" i="105"/>
  <c r="N696" i="105"/>
  <c r="E713" i="105"/>
  <c r="E730" i="105"/>
  <c r="F730" i="105"/>
  <c r="G730" i="105"/>
  <c r="J729" i="105"/>
  <c r="H730" i="105"/>
  <c r="I730" i="105"/>
  <c r="K730" i="105"/>
  <c r="N729" i="105"/>
  <c r="L730" i="105"/>
  <c r="M730" i="105"/>
  <c r="F765" i="105"/>
  <c r="G765" i="105"/>
  <c r="J748" i="105"/>
  <c r="K765" i="105"/>
  <c r="N748" i="105"/>
  <c r="E765" i="105"/>
  <c r="E782" i="105"/>
  <c r="F782" i="105"/>
  <c r="G782" i="105"/>
  <c r="J781" i="105"/>
  <c r="H782" i="105"/>
  <c r="I782" i="105"/>
  <c r="K782" i="105"/>
  <c r="N781" i="105"/>
  <c r="L782" i="105"/>
  <c r="M782" i="105"/>
  <c r="F817" i="105"/>
  <c r="G817" i="105"/>
  <c r="J800" i="105"/>
  <c r="K817" i="105"/>
  <c r="N800" i="105"/>
  <c r="E817" i="105"/>
  <c r="G826" i="105"/>
  <c r="G834" i="105" s="1"/>
  <c r="J825" i="105"/>
  <c r="E834" i="105"/>
  <c r="F834" i="105"/>
  <c r="J833" i="105"/>
  <c r="H834" i="105"/>
  <c r="I834" i="105"/>
  <c r="K834" i="105"/>
  <c r="N833" i="105"/>
  <c r="L834" i="105"/>
  <c r="M834" i="105"/>
  <c r="E869" i="105"/>
  <c r="G869" i="105"/>
  <c r="J852" i="105"/>
  <c r="K869" i="105"/>
  <c r="N852" i="105"/>
  <c r="E886" i="105"/>
  <c r="F886" i="105"/>
  <c r="G886" i="105"/>
  <c r="J885" i="105"/>
  <c r="H886" i="105"/>
  <c r="I886" i="105"/>
  <c r="K886" i="105"/>
  <c r="N885" i="105"/>
  <c r="L886" i="105"/>
  <c r="M886" i="105"/>
  <c r="K89" i="106"/>
  <c r="N72" i="106"/>
  <c r="L89" i="106"/>
  <c r="M89" i="106"/>
  <c r="N75" i="106"/>
  <c r="E89" i="106"/>
  <c r="G89" i="106"/>
  <c r="J78" i="106"/>
  <c r="I89" i="106"/>
  <c r="N78" i="106"/>
  <c r="N98" i="106"/>
  <c r="E106" i="106"/>
  <c r="F106" i="106"/>
  <c r="G106" i="106"/>
  <c r="J105" i="106"/>
  <c r="H106" i="106"/>
  <c r="I106" i="106"/>
  <c r="K106" i="106"/>
  <c r="N105" i="106"/>
  <c r="L106" i="106"/>
  <c r="M106" i="106"/>
  <c r="F141" i="106"/>
  <c r="G141" i="106"/>
  <c r="J124" i="106"/>
  <c r="K141" i="106"/>
  <c r="N124" i="106"/>
  <c r="E141" i="106"/>
  <c r="E158" i="106"/>
  <c r="F158" i="106"/>
  <c r="G158" i="106"/>
  <c r="J157" i="106"/>
  <c r="H158" i="106"/>
  <c r="I158" i="106"/>
  <c r="K158" i="106"/>
  <c r="N157" i="106"/>
  <c r="L158" i="106"/>
  <c r="M158" i="106"/>
  <c r="F193" i="106"/>
  <c r="G193" i="106"/>
  <c r="J176" i="106"/>
  <c r="K193" i="106"/>
  <c r="N176" i="106"/>
  <c r="E193" i="106"/>
  <c r="E210" i="106"/>
  <c r="F210" i="106"/>
  <c r="G210" i="106"/>
  <c r="J209" i="106"/>
  <c r="H210" i="106"/>
  <c r="I210" i="106"/>
  <c r="K210" i="106"/>
  <c r="N209" i="106"/>
  <c r="L210" i="106"/>
  <c r="M210" i="106"/>
  <c r="F245" i="106"/>
  <c r="G245" i="106"/>
  <c r="J228" i="106"/>
  <c r="K245" i="106"/>
  <c r="N228" i="106"/>
  <c r="E245" i="106"/>
  <c r="E262" i="106"/>
  <c r="F262" i="106"/>
  <c r="G262" i="106"/>
  <c r="J261" i="106"/>
  <c r="H262" i="106"/>
  <c r="I262" i="106"/>
  <c r="K262" i="106"/>
  <c r="N261" i="106"/>
  <c r="L262" i="106"/>
  <c r="M262" i="106"/>
  <c r="F297" i="106"/>
  <c r="G297" i="106"/>
  <c r="J280" i="106"/>
  <c r="K297" i="106"/>
  <c r="N280" i="106"/>
  <c r="E297" i="106"/>
  <c r="E314" i="106"/>
  <c r="F314" i="106"/>
  <c r="G314" i="106"/>
  <c r="J313" i="106"/>
  <c r="H314" i="106"/>
  <c r="I314" i="106"/>
  <c r="K314" i="106"/>
  <c r="N313" i="106"/>
  <c r="L314" i="106"/>
  <c r="M314" i="106"/>
  <c r="E349" i="106"/>
  <c r="H349" i="106"/>
  <c r="J332" i="106"/>
  <c r="K349" i="106"/>
  <c r="N332" i="106"/>
  <c r="G349" i="106"/>
  <c r="J338" i="106"/>
  <c r="G358" i="106"/>
  <c r="G366" i="106" s="1"/>
  <c r="J357" i="106"/>
  <c r="E366" i="106"/>
  <c r="F366" i="106"/>
  <c r="J365" i="106"/>
  <c r="H366" i="106"/>
  <c r="I366" i="106"/>
  <c r="K366" i="106"/>
  <c r="N365" i="106"/>
  <c r="L366" i="106"/>
  <c r="M366" i="106"/>
  <c r="E401" i="106"/>
  <c r="G401" i="106"/>
  <c r="J384" i="106"/>
  <c r="K401" i="106"/>
  <c r="N384" i="106"/>
  <c r="E418" i="106"/>
  <c r="F418" i="106"/>
  <c r="G418" i="106"/>
  <c r="J417" i="106"/>
  <c r="H418" i="106"/>
  <c r="I418" i="106"/>
  <c r="K418" i="106"/>
  <c r="N417" i="106"/>
  <c r="L418" i="106"/>
  <c r="M418" i="106"/>
  <c r="F453" i="106"/>
  <c r="G453" i="106"/>
  <c r="J436" i="106"/>
  <c r="K453" i="106"/>
  <c r="N436" i="106"/>
  <c r="E453" i="106"/>
  <c r="E470" i="106"/>
  <c r="F470" i="106"/>
  <c r="G470" i="106"/>
  <c r="J469" i="106"/>
  <c r="H470" i="106"/>
  <c r="I470" i="106"/>
  <c r="K470" i="106"/>
  <c r="N469" i="106"/>
  <c r="L470" i="106"/>
  <c r="M470" i="106"/>
  <c r="E505" i="106"/>
  <c r="G505" i="106"/>
  <c r="J488" i="106"/>
  <c r="K505" i="106"/>
  <c r="N488" i="106"/>
  <c r="E522" i="106"/>
  <c r="F522" i="106"/>
  <c r="G522" i="106"/>
  <c r="J521" i="106"/>
  <c r="H522" i="106"/>
  <c r="I522" i="106"/>
  <c r="K522" i="106"/>
  <c r="N521" i="106"/>
  <c r="L522" i="106"/>
  <c r="M522" i="106"/>
  <c r="F557" i="106"/>
  <c r="G557" i="106"/>
  <c r="J540" i="106"/>
  <c r="K557" i="106"/>
  <c r="N540" i="106"/>
  <c r="E557" i="106"/>
  <c r="E574" i="106"/>
  <c r="F574" i="106"/>
  <c r="G574" i="106"/>
  <c r="J573" i="106"/>
  <c r="H574" i="106"/>
  <c r="I574" i="106"/>
  <c r="K574" i="106"/>
  <c r="N573" i="106"/>
  <c r="L574" i="106"/>
  <c r="M574" i="106"/>
  <c r="F609" i="106"/>
  <c r="G609" i="106"/>
  <c r="J592" i="106"/>
  <c r="K609" i="106"/>
  <c r="N592" i="106"/>
  <c r="E609" i="106"/>
  <c r="E626" i="106"/>
  <c r="F626" i="106"/>
  <c r="G626" i="106"/>
  <c r="J625" i="106"/>
  <c r="H626" i="106"/>
  <c r="I626" i="106"/>
  <c r="K626" i="106"/>
  <c r="N625" i="106"/>
  <c r="L626" i="106"/>
  <c r="M626" i="106"/>
  <c r="F661" i="106"/>
  <c r="G661" i="106"/>
  <c r="J644" i="106"/>
  <c r="I661" i="106"/>
  <c r="K661" i="106"/>
  <c r="N644" i="106"/>
  <c r="L661" i="106"/>
  <c r="M661" i="106"/>
  <c r="N647" i="106"/>
  <c r="E661" i="106"/>
  <c r="N650" i="106"/>
  <c r="I670" i="106"/>
  <c r="I678" i="106" s="1"/>
  <c r="J664" i="106"/>
  <c r="J666" i="106"/>
  <c r="H670" i="106"/>
  <c r="H678" i="106" s="1"/>
  <c r="J669" i="106"/>
  <c r="N670" i="106"/>
  <c r="E678" i="106"/>
  <c r="F678" i="106"/>
  <c r="G678" i="106"/>
  <c r="J677" i="106"/>
  <c r="K678" i="106"/>
  <c r="N677" i="106"/>
  <c r="L678" i="106"/>
  <c r="M678" i="106"/>
  <c r="F713" i="106"/>
  <c r="G713" i="106"/>
  <c r="J696" i="106"/>
  <c r="K713" i="106"/>
  <c r="N696" i="106"/>
  <c r="E713" i="106"/>
  <c r="E730" i="106"/>
  <c r="F730" i="106"/>
  <c r="G730" i="106"/>
  <c r="J729" i="106"/>
  <c r="H730" i="106"/>
  <c r="I730" i="106"/>
  <c r="K730" i="106"/>
  <c r="N729" i="106"/>
  <c r="L730" i="106"/>
  <c r="M730" i="106"/>
  <c r="F765" i="106"/>
  <c r="G765" i="106"/>
  <c r="J748" i="106"/>
  <c r="K765" i="106"/>
  <c r="N748" i="106"/>
  <c r="E765" i="106"/>
  <c r="E782" i="106"/>
  <c r="F782" i="106"/>
  <c r="G782" i="106"/>
  <c r="J781" i="106"/>
  <c r="H782" i="106"/>
  <c r="I782" i="106"/>
  <c r="K782" i="106"/>
  <c r="N781" i="106"/>
  <c r="L782" i="106"/>
  <c r="M782" i="106"/>
  <c r="F817" i="106"/>
  <c r="G817" i="106"/>
  <c r="J800" i="106"/>
  <c r="K817" i="106"/>
  <c r="N800" i="106"/>
  <c r="E817" i="106"/>
  <c r="G826" i="106"/>
  <c r="J826" i="106" s="1"/>
  <c r="D826" i="106" s="1"/>
  <c r="J825" i="106"/>
  <c r="E834" i="106"/>
  <c r="F834" i="106"/>
  <c r="J833" i="106"/>
  <c r="H834" i="106"/>
  <c r="I834" i="106"/>
  <c r="K834" i="106"/>
  <c r="N833" i="106"/>
  <c r="L834" i="106"/>
  <c r="M834" i="106"/>
  <c r="E869" i="106"/>
  <c r="G869" i="106"/>
  <c r="J852" i="106"/>
  <c r="K869" i="106"/>
  <c r="N852" i="106"/>
  <c r="E886" i="106"/>
  <c r="G886" i="106"/>
  <c r="J885" i="106"/>
  <c r="H886" i="106"/>
  <c r="I886" i="106"/>
  <c r="K886" i="106"/>
  <c r="N885" i="106"/>
  <c r="L886" i="106"/>
  <c r="M886" i="106"/>
  <c r="H36" i="102"/>
  <c r="I36" i="102" s="1"/>
  <c r="C24" i="132"/>
  <c r="H22" i="132"/>
  <c r="C24" i="133"/>
  <c r="H22" i="133"/>
  <c r="H24" i="133" s="1"/>
  <c r="D77" i="135"/>
  <c r="E77" i="135"/>
  <c r="G77" i="135"/>
  <c r="H77" i="135"/>
  <c r="I77" i="135"/>
  <c r="K77" i="135"/>
  <c r="L77" i="135"/>
  <c r="M77" i="135"/>
  <c r="F15" i="118" l="1"/>
  <c r="F8" i="118"/>
  <c r="L8" i="100" s="1"/>
  <c r="F6" i="118"/>
  <c r="D597" i="107"/>
  <c r="D214" i="108"/>
  <c r="D113" i="108"/>
  <c r="D218" i="108"/>
  <c r="G141" i="108"/>
  <c r="H24" i="132"/>
  <c r="D278" i="107"/>
  <c r="D719" i="107"/>
  <c r="D455" i="107"/>
  <c r="K239" i="107"/>
  <c r="K242" i="107" s="1"/>
  <c r="D623" i="107"/>
  <c r="D326" i="107"/>
  <c r="M769" i="107"/>
  <c r="E577" i="107"/>
  <c r="M772" i="107"/>
  <c r="G239" i="107"/>
  <c r="D140" i="107"/>
  <c r="D472" i="107"/>
  <c r="D743" i="107"/>
  <c r="I608" i="107"/>
  <c r="M125" i="107"/>
  <c r="D664" i="107"/>
  <c r="D520" i="107"/>
  <c r="D117" i="107"/>
  <c r="D20" i="107" s="1"/>
  <c r="D695" i="107"/>
  <c r="D376" i="107"/>
  <c r="D791" i="107"/>
  <c r="I77" i="107"/>
  <c r="E287" i="107"/>
  <c r="E290" i="107" s="1"/>
  <c r="D237" i="107"/>
  <c r="D501" i="107"/>
  <c r="D85" i="107"/>
  <c r="D383" i="107"/>
  <c r="D209" i="107"/>
  <c r="D671" i="107"/>
  <c r="D424" i="107"/>
  <c r="D479" i="107"/>
  <c r="D230" i="107"/>
  <c r="F239" i="107"/>
  <c r="F242" i="107" s="1"/>
  <c r="D741" i="107"/>
  <c r="D285" i="107"/>
  <c r="I464" i="107"/>
  <c r="I125" i="107"/>
  <c r="D125" i="107" s="1"/>
  <c r="D549" i="107"/>
  <c r="I17" i="107"/>
  <c r="D162" i="107"/>
  <c r="F28" i="107"/>
  <c r="M800" i="107"/>
  <c r="I43" i="107"/>
  <c r="D575" i="107"/>
  <c r="D405" i="107"/>
  <c r="M36" i="107"/>
  <c r="D408" i="108"/>
  <c r="D617" i="108"/>
  <c r="D480" i="108"/>
  <c r="D502" i="108"/>
  <c r="L626" i="108"/>
  <c r="M626" i="108" s="1"/>
  <c r="D793" i="108"/>
  <c r="D261" i="108"/>
  <c r="D769" i="108"/>
  <c r="D624" i="108"/>
  <c r="D673" i="108"/>
  <c r="H36" i="108"/>
  <c r="D333" i="108"/>
  <c r="D406" i="108"/>
  <c r="D91" i="108"/>
  <c r="I230" i="108"/>
  <c r="D743" i="108"/>
  <c r="D649" i="108"/>
  <c r="J578" i="108"/>
  <c r="D139" i="108"/>
  <c r="D357" i="108"/>
  <c r="D180" i="108"/>
  <c r="D187" i="108"/>
  <c r="D161" i="108"/>
  <c r="D432" i="108"/>
  <c r="D454" i="108"/>
  <c r="D569" i="108"/>
  <c r="M76" i="108"/>
  <c r="D163" i="108"/>
  <c r="M93" i="108"/>
  <c r="D504" i="108"/>
  <c r="D259" i="108"/>
  <c r="D278" i="108"/>
  <c r="D84" i="108"/>
  <c r="D721" i="108"/>
  <c r="I270" i="108"/>
  <c r="D270" i="108" s="1"/>
  <c r="D285" i="108"/>
  <c r="D115" i="108"/>
  <c r="D67" i="108"/>
  <c r="D355" i="108"/>
  <c r="D213" i="108"/>
  <c r="I335" i="108"/>
  <c r="I30" i="108"/>
  <c r="D224" i="108"/>
  <c r="I318" i="108"/>
  <c r="I465" i="108"/>
  <c r="D65" i="108"/>
  <c r="M754" i="108"/>
  <c r="I11" i="108"/>
  <c r="D29" i="108"/>
  <c r="D791" i="108"/>
  <c r="I658" i="108"/>
  <c r="G482" i="108"/>
  <c r="G485" i="108" s="1"/>
  <c r="D858" i="105"/>
  <c r="D751" i="105"/>
  <c r="D36" i="105"/>
  <c r="D231" i="105"/>
  <c r="D462" i="105"/>
  <c r="D150" i="105"/>
  <c r="D803" i="105"/>
  <c r="D49" i="105"/>
  <c r="D24" i="105"/>
  <c r="D35" i="105"/>
  <c r="D546" i="105"/>
  <c r="D338" i="105"/>
  <c r="D179" i="105"/>
  <c r="D358" i="105"/>
  <c r="D182" i="105"/>
  <c r="D32" i="105"/>
  <c r="D754" i="105"/>
  <c r="D40" i="105"/>
  <c r="D41" i="105"/>
  <c r="D494" i="105"/>
  <c r="D51" i="105"/>
  <c r="D14" i="105"/>
  <c r="D39" i="105"/>
  <c r="D34" i="105"/>
  <c r="D439" i="105"/>
  <c r="D38" i="105"/>
  <c r="D17" i="105"/>
  <c r="D29" i="105"/>
  <c r="D43" i="105"/>
  <c r="D28" i="105"/>
  <c r="D48" i="105"/>
  <c r="D30" i="105"/>
  <c r="D22" i="105"/>
  <c r="D16" i="105"/>
  <c r="D21" i="105"/>
  <c r="D806" i="105"/>
  <c r="D618" i="105"/>
  <c r="D50" i="105"/>
  <c r="D543" i="105"/>
  <c r="D33" i="105"/>
  <c r="D47" i="105"/>
  <c r="D31" i="105"/>
  <c r="D543" i="106"/>
  <c r="D774" i="106"/>
  <c r="D182" i="106"/>
  <c r="D546" i="106"/>
  <c r="D234" i="106"/>
  <c r="D254" i="106"/>
  <c r="D699" i="106"/>
  <c r="D36" i="106"/>
  <c r="D283" i="106"/>
  <c r="D494" i="106"/>
  <c r="D130" i="106"/>
  <c r="D722" i="106"/>
  <c r="D150" i="106"/>
  <c r="D16" i="106"/>
  <c r="D29" i="106"/>
  <c r="D335" i="106"/>
  <c r="D21" i="106"/>
  <c r="D48" i="106"/>
  <c r="D25" i="106"/>
  <c r="D286" i="106"/>
  <c r="D803" i="106"/>
  <c r="D439" i="106"/>
  <c r="D491" i="106"/>
  <c r="D15" i="106"/>
  <c r="D410" i="106"/>
  <c r="D598" i="106"/>
  <c r="D618" i="106"/>
  <c r="D28" i="106"/>
  <c r="D179" i="106"/>
  <c r="D41" i="106"/>
  <c r="D38" i="106"/>
  <c r="D18" i="106"/>
  <c r="D35" i="106"/>
  <c r="D51" i="106"/>
  <c r="D387" i="106"/>
  <c r="D17" i="106"/>
  <c r="D127" i="106"/>
  <c r="D49" i="106"/>
  <c r="D19" i="106"/>
  <c r="D44" i="106"/>
  <c r="D50" i="106"/>
  <c r="D34" i="106"/>
  <c r="D33" i="106"/>
  <c r="D31" i="106"/>
  <c r="D14" i="106"/>
  <c r="D32" i="106"/>
  <c r="D30" i="106"/>
  <c r="D39" i="106"/>
  <c r="D27" i="106"/>
  <c r="D22" i="106"/>
  <c r="D702" i="106"/>
  <c r="D47" i="106"/>
  <c r="D43" i="106"/>
  <c r="L724" i="107"/>
  <c r="K242" i="108"/>
  <c r="L189" i="108"/>
  <c r="M172" i="108"/>
  <c r="K434" i="108"/>
  <c r="M417" i="108"/>
  <c r="M822" i="108"/>
  <c r="H578" i="108"/>
  <c r="L242" i="108"/>
  <c r="L290" i="108"/>
  <c r="M290" i="108" s="1"/>
  <c r="M287" i="108"/>
  <c r="H37" i="105"/>
  <c r="J670" i="105"/>
  <c r="D550" i="108"/>
  <c r="D133" i="107"/>
  <c r="L11" i="120"/>
  <c r="L20" i="120"/>
  <c r="L30" i="120"/>
  <c r="I704" i="107"/>
  <c r="M817" i="107"/>
  <c r="L820" i="107"/>
  <c r="M820" i="107" s="1"/>
  <c r="L28" i="107"/>
  <c r="L94" i="107"/>
  <c r="M77" i="107"/>
  <c r="I724" i="107"/>
  <c r="M675" i="108"/>
  <c r="M658" i="108"/>
  <c r="I142" i="107"/>
  <c r="F145" i="107"/>
  <c r="I145" i="107" s="1"/>
  <c r="K581" i="108"/>
  <c r="F97" i="107"/>
  <c r="F723" i="108"/>
  <c r="I706" i="108"/>
  <c r="M819" i="108"/>
  <c r="H771" i="108"/>
  <c r="H774" i="108" s="1"/>
  <c r="I754" i="108"/>
  <c r="K28" i="108"/>
  <c r="K141" i="108"/>
  <c r="K144" i="108" s="1"/>
  <c r="I675" i="108"/>
  <c r="F678" i="108"/>
  <c r="I678" i="108" s="1"/>
  <c r="I124" i="108"/>
  <c r="F141" i="108"/>
  <c r="I21" i="108"/>
  <c r="I482" i="108"/>
  <c r="F485" i="108"/>
  <c r="D751" i="106"/>
  <c r="M465" i="108"/>
  <c r="L482" i="108"/>
  <c r="M368" i="108"/>
  <c r="L385" i="108"/>
  <c r="F189" i="108"/>
  <c r="I172" i="108"/>
  <c r="F290" i="107"/>
  <c r="I290" i="107" s="1"/>
  <c r="I287" i="107"/>
  <c r="F769" i="107"/>
  <c r="I752" i="107"/>
  <c r="D752" i="107" s="1"/>
  <c r="I577" i="107"/>
  <c r="F580" i="107"/>
  <c r="K721" i="107"/>
  <c r="K724" i="107" s="1"/>
  <c r="M704" i="107"/>
  <c r="M464" i="107"/>
  <c r="M43" i="107"/>
  <c r="M19" i="107"/>
  <c r="E239" i="107"/>
  <c r="M678" i="108"/>
  <c r="M142" i="107"/>
  <c r="L145" i="107"/>
  <c r="M145" i="107" s="1"/>
  <c r="I368" i="107"/>
  <c r="F385" i="107"/>
  <c r="F385" i="108"/>
  <c r="I368" i="108"/>
  <c r="D368" i="108" s="1"/>
  <c r="D598" i="105"/>
  <c r="F290" i="108"/>
  <c r="I290" i="108" s="1"/>
  <c r="I287" i="108"/>
  <c r="D52" i="105"/>
  <c r="J23" i="106"/>
  <c r="L628" i="107"/>
  <c r="F335" i="107"/>
  <c r="I318" i="107"/>
  <c r="E580" i="107"/>
  <c r="D237" i="108"/>
  <c r="M481" i="107"/>
  <c r="L484" i="107"/>
  <c r="M484" i="107" s="1"/>
  <c r="H28" i="107"/>
  <c r="H94" i="107"/>
  <c r="M17" i="107"/>
  <c r="M706" i="108"/>
  <c r="L723" i="108"/>
  <c r="F774" i="108"/>
  <c r="F626" i="108"/>
  <c r="I609" i="108"/>
  <c r="D609" i="108" s="1"/>
  <c r="I22" i="108"/>
  <c r="M318" i="108"/>
  <c r="D24" i="106"/>
  <c r="D42" i="105"/>
  <c r="D19" i="105"/>
  <c r="K385" i="107"/>
  <c r="M368" i="107"/>
  <c r="G578" i="108"/>
  <c r="F93" i="108"/>
  <c r="I76" i="108"/>
  <c r="F28" i="108"/>
  <c r="I26" i="108"/>
  <c r="D220" i="108"/>
  <c r="D66" i="107"/>
  <c r="F628" i="107"/>
  <c r="I628" i="107" s="1"/>
  <c r="I625" i="107"/>
  <c r="F433" i="107"/>
  <c r="I416" i="107"/>
  <c r="G580" i="107"/>
  <c r="I270" i="107"/>
  <c r="D270" i="107" s="1"/>
  <c r="I800" i="107"/>
  <c r="D800" i="107" s="1"/>
  <c r="M222" i="107"/>
  <c r="L239" i="107"/>
  <c r="M416" i="107"/>
  <c r="L433" i="107"/>
  <c r="E28" i="107"/>
  <c r="I19" i="107"/>
  <c r="M771" i="108"/>
  <c r="L774" i="108"/>
  <c r="M774" i="108" s="1"/>
  <c r="M290" i="107"/>
  <c r="K28" i="107"/>
  <c r="G94" i="107"/>
  <c r="G28" i="107"/>
  <c r="D878" i="105"/>
  <c r="J17" i="108"/>
  <c r="M209" i="108"/>
  <c r="M335" i="108"/>
  <c r="L338" i="108"/>
  <c r="M338" i="108" s="1"/>
  <c r="D335" i="105"/>
  <c r="J26" i="105"/>
  <c r="J23" i="105"/>
  <c r="D231" i="106"/>
  <c r="D27" i="105"/>
  <c r="D566" i="106"/>
  <c r="K577" i="107"/>
  <c r="F819" i="108"/>
  <c r="I802" i="108"/>
  <c r="H239" i="107"/>
  <c r="M512" i="107"/>
  <c r="L529" i="107"/>
  <c r="I721" i="107"/>
  <c r="G17" i="108"/>
  <c r="G834" i="106"/>
  <c r="G54" i="106" s="1"/>
  <c r="J670" i="106"/>
  <c r="J678" i="106" s="1"/>
  <c r="D92" i="107"/>
  <c r="L7" i="120"/>
  <c r="L15" i="120"/>
  <c r="L24" i="120"/>
  <c r="J577" i="107"/>
  <c r="F529" i="107"/>
  <c r="I512" i="107"/>
  <c r="M335" i="107"/>
  <c r="L338" i="107"/>
  <c r="M338" i="107" s="1"/>
  <c r="M287" i="107"/>
  <c r="K97" i="107"/>
  <c r="I338" i="108"/>
  <c r="H530" i="108"/>
  <c r="H533" i="108" s="1"/>
  <c r="I513" i="108"/>
  <c r="I209" i="108"/>
  <c r="M561" i="108"/>
  <c r="L578" i="108"/>
  <c r="F533" i="108"/>
  <c r="I481" i="107"/>
  <c r="M124" i="108"/>
  <c r="L141" i="108"/>
  <c r="L28" i="108"/>
  <c r="L533" i="108"/>
  <c r="M533" i="108" s="1"/>
  <c r="M530" i="108"/>
  <c r="M43" i="108"/>
  <c r="M21" i="108"/>
  <c r="D387" i="105"/>
  <c r="D15" i="105"/>
  <c r="L193" i="107"/>
  <c r="M193" i="107" s="1"/>
  <c r="M190" i="107"/>
  <c r="M560" i="107"/>
  <c r="L577" i="107"/>
  <c r="F673" i="107"/>
  <c r="I656" i="107"/>
  <c r="J9" i="102"/>
  <c r="D68" i="107"/>
  <c r="L8" i="120"/>
  <c r="L16" i="120"/>
  <c r="L26" i="120"/>
  <c r="M656" i="107"/>
  <c r="L673" i="107"/>
  <c r="H580" i="107"/>
  <c r="J239" i="107"/>
  <c r="M318" i="107"/>
  <c r="K625" i="107"/>
  <c r="K628" i="107" s="1"/>
  <c r="M608" i="107"/>
  <c r="I173" i="107"/>
  <c r="D173" i="107" s="1"/>
  <c r="F190" i="107"/>
  <c r="I561" i="108"/>
  <c r="F578" i="108"/>
  <c r="M802" i="108"/>
  <c r="E581" i="108"/>
  <c r="F820" i="107"/>
  <c r="I820" i="107" s="1"/>
  <c r="I817" i="107"/>
  <c r="D817" i="107" s="1"/>
  <c r="I36" i="107"/>
  <c r="K96" i="108"/>
  <c r="M96" i="108" s="1"/>
  <c r="L629" i="108"/>
  <c r="M629" i="108" s="1"/>
  <c r="F239" i="108"/>
  <c r="I43" i="108"/>
  <c r="I484" i="107"/>
  <c r="D484" i="107" s="1"/>
  <c r="I417" i="108"/>
  <c r="F434" i="108"/>
  <c r="L7" i="100"/>
  <c r="F32" i="118"/>
  <c r="M513" i="108"/>
  <c r="J94" i="107"/>
  <c r="J28" i="107"/>
  <c r="D283" i="105"/>
  <c r="D25" i="105"/>
  <c r="D52" i="106"/>
  <c r="M36" i="108"/>
  <c r="J10" i="102"/>
  <c r="L32" i="120"/>
  <c r="D551" i="107"/>
  <c r="D11" i="107"/>
  <c r="D12" i="107"/>
  <c r="D13" i="107"/>
  <c r="D14" i="107"/>
  <c r="D15" i="107"/>
  <c r="D16" i="107"/>
  <c r="D18" i="107"/>
  <c r="D21" i="107"/>
  <c r="D22" i="107"/>
  <c r="D23" i="107"/>
  <c r="D24" i="107"/>
  <c r="D25" i="107"/>
  <c r="D26" i="107"/>
  <c r="D27" i="107"/>
  <c r="D30" i="107"/>
  <c r="D31" i="107"/>
  <c r="D32" i="107"/>
  <c r="D33" i="107"/>
  <c r="D34" i="107"/>
  <c r="D35" i="107"/>
  <c r="D37" i="107"/>
  <c r="D38" i="107"/>
  <c r="D39" i="107"/>
  <c r="D40" i="107"/>
  <c r="D41" i="107"/>
  <c r="D42" i="107"/>
  <c r="D44" i="107"/>
  <c r="D46" i="107"/>
  <c r="D47" i="107"/>
  <c r="D697" i="108"/>
  <c r="E706" i="108"/>
  <c r="D552" i="108"/>
  <c r="D11" i="108"/>
  <c r="D12" i="108"/>
  <c r="D13" i="108"/>
  <c r="D14" i="108"/>
  <c r="D15" i="108"/>
  <c r="D16" i="108"/>
  <c r="D18" i="108"/>
  <c r="D20" i="108"/>
  <c r="D22" i="108"/>
  <c r="D23" i="108"/>
  <c r="D25" i="108"/>
  <c r="D26" i="108"/>
  <c r="D27" i="108"/>
  <c r="D31" i="108"/>
  <c r="D32" i="108"/>
  <c r="D33" i="108"/>
  <c r="D34" i="108"/>
  <c r="D35" i="108"/>
  <c r="D37" i="108"/>
  <c r="D38" i="108"/>
  <c r="D39" i="108"/>
  <c r="D40" i="108"/>
  <c r="D41" i="108"/>
  <c r="D42" i="108"/>
  <c r="D44" i="108"/>
  <c r="D46" i="108"/>
  <c r="D47" i="108"/>
  <c r="E222" i="108"/>
  <c r="E19" i="108"/>
  <c r="J222" i="108"/>
  <c r="J19" i="108"/>
  <c r="M211" i="108"/>
  <c r="G222" i="108"/>
  <c r="G19" i="108"/>
  <c r="H211" i="108"/>
  <c r="H24" i="108"/>
  <c r="I216" i="108"/>
  <c r="M24" i="108"/>
  <c r="N886" i="105"/>
  <c r="D885" i="105"/>
  <c r="J886" i="105"/>
  <c r="N869" i="105"/>
  <c r="D852" i="105"/>
  <c r="J869" i="105"/>
  <c r="N834" i="105"/>
  <c r="D833" i="105"/>
  <c r="J834" i="105"/>
  <c r="D825" i="105"/>
  <c r="J826" i="105"/>
  <c r="G46" i="105"/>
  <c r="N817" i="105"/>
  <c r="D800" i="105"/>
  <c r="J817" i="105"/>
  <c r="N782" i="105"/>
  <c r="D781" i="105"/>
  <c r="J782" i="105"/>
  <c r="N765" i="105"/>
  <c r="D748" i="105"/>
  <c r="J765" i="105"/>
  <c r="N730" i="105"/>
  <c r="D729" i="105"/>
  <c r="J730" i="105"/>
  <c r="N713" i="105"/>
  <c r="D696" i="105"/>
  <c r="J713" i="105"/>
  <c r="N678" i="105"/>
  <c r="J678" i="105"/>
  <c r="D677" i="105"/>
  <c r="D669" i="105"/>
  <c r="J45" i="105"/>
  <c r="H46" i="105"/>
  <c r="D650" i="105"/>
  <c r="D647" i="105"/>
  <c r="N661" i="105"/>
  <c r="D644" i="105"/>
  <c r="J661" i="105"/>
  <c r="N626" i="105"/>
  <c r="D625" i="105"/>
  <c r="J626" i="105"/>
  <c r="N609" i="105"/>
  <c r="D592" i="105"/>
  <c r="J609" i="105"/>
  <c r="N574" i="105"/>
  <c r="D573" i="105"/>
  <c r="J574" i="105"/>
  <c r="N557" i="105"/>
  <c r="D540" i="105"/>
  <c r="J557" i="105"/>
  <c r="N522" i="105"/>
  <c r="D521" i="105"/>
  <c r="J522" i="105"/>
  <c r="N505" i="105"/>
  <c r="D488" i="105"/>
  <c r="J505" i="105"/>
  <c r="N470" i="105"/>
  <c r="D469" i="105"/>
  <c r="J470" i="105"/>
  <c r="N453" i="105"/>
  <c r="D436" i="105"/>
  <c r="J453" i="105"/>
  <c r="N418" i="105"/>
  <c r="D417" i="105"/>
  <c r="J418" i="105"/>
  <c r="N401" i="105"/>
  <c r="D384" i="105"/>
  <c r="J401" i="105"/>
  <c r="N366" i="105"/>
  <c r="D365" i="105"/>
  <c r="J366" i="105"/>
  <c r="N349" i="105"/>
  <c r="D332" i="105"/>
  <c r="J349" i="105"/>
  <c r="N314" i="105"/>
  <c r="D313" i="105"/>
  <c r="J314" i="105"/>
  <c r="D280" i="105"/>
  <c r="N297" i="105"/>
  <c r="D278" i="105"/>
  <c r="J18" i="105"/>
  <c r="J297" i="105"/>
  <c r="N262" i="105"/>
  <c r="D261" i="105"/>
  <c r="J262" i="105"/>
  <c r="N245" i="105"/>
  <c r="D228" i="105"/>
  <c r="J245" i="105"/>
  <c r="D209" i="105"/>
  <c r="J210" i="105"/>
  <c r="K202" i="105"/>
  <c r="N200" i="105"/>
  <c r="K44" i="105"/>
  <c r="N193" i="105"/>
  <c r="D176" i="105"/>
  <c r="J193" i="105"/>
  <c r="N158" i="105"/>
  <c r="D157" i="105"/>
  <c r="J158" i="105"/>
  <c r="N141" i="105"/>
  <c r="D124" i="105"/>
  <c r="J141" i="105"/>
  <c r="M54" i="105"/>
  <c r="L54" i="105"/>
  <c r="N53" i="105"/>
  <c r="N106" i="105"/>
  <c r="I54" i="105"/>
  <c r="H54" i="105"/>
  <c r="D105" i="105"/>
  <c r="J53" i="105"/>
  <c r="J106" i="105"/>
  <c r="G54" i="105"/>
  <c r="F54" i="105"/>
  <c r="E54" i="105"/>
  <c r="D98" i="105"/>
  <c r="D78" i="105"/>
  <c r="N26" i="105"/>
  <c r="E37" i="105"/>
  <c r="D75" i="105"/>
  <c r="N23" i="105"/>
  <c r="M37" i="105"/>
  <c r="L37" i="105"/>
  <c r="N20" i="105"/>
  <c r="N89" i="105"/>
  <c r="K37" i="105"/>
  <c r="I37" i="105"/>
  <c r="D72" i="105"/>
  <c r="J20" i="105"/>
  <c r="J89" i="105"/>
  <c r="G37" i="105"/>
  <c r="F37" i="105"/>
  <c r="N886" i="106"/>
  <c r="D885" i="106"/>
  <c r="J886" i="106"/>
  <c r="N869" i="106"/>
  <c r="D852" i="106"/>
  <c r="J869" i="106"/>
  <c r="N834" i="106"/>
  <c r="D833" i="106"/>
  <c r="D825" i="106"/>
  <c r="N817" i="106"/>
  <c r="D800" i="106"/>
  <c r="J817" i="106"/>
  <c r="N782" i="106"/>
  <c r="D781" i="106"/>
  <c r="J782" i="106"/>
  <c r="N765" i="106"/>
  <c r="D748" i="106"/>
  <c r="J765" i="106"/>
  <c r="N730" i="106"/>
  <c r="D729" i="106"/>
  <c r="J730" i="106"/>
  <c r="N713" i="106"/>
  <c r="D696" i="106"/>
  <c r="J713" i="106"/>
  <c r="N678" i="106"/>
  <c r="D677" i="106"/>
  <c r="D669" i="106"/>
  <c r="H46" i="106"/>
  <c r="D666" i="106"/>
  <c r="J42" i="106"/>
  <c r="D664" i="106"/>
  <c r="J40" i="106"/>
  <c r="I46" i="106"/>
  <c r="D650" i="106"/>
  <c r="D647" i="106"/>
  <c r="N661" i="106"/>
  <c r="D644" i="106"/>
  <c r="J661" i="106"/>
  <c r="N626" i="106"/>
  <c r="D625" i="106"/>
  <c r="J626" i="106"/>
  <c r="N609" i="106"/>
  <c r="D592" i="106"/>
  <c r="J609" i="106"/>
  <c r="N574" i="106"/>
  <c r="D573" i="106"/>
  <c r="J574" i="106"/>
  <c r="N557" i="106"/>
  <c r="D540" i="106"/>
  <c r="J557" i="106"/>
  <c r="N522" i="106"/>
  <c r="D521" i="106"/>
  <c r="J522" i="106"/>
  <c r="N505" i="106"/>
  <c r="D488" i="106"/>
  <c r="J505" i="106"/>
  <c r="N470" i="106"/>
  <c r="D469" i="106"/>
  <c r="J470" i="106"/>
  <c r="N453" i="106"/>
  <c r="D436" i="106"/>
  <c r="J453" i="106"/>
  <c r="N418" i="106"/>
  <c r="D417" i="106"/>
  <c r="J418" i="106"/>
  <c r="N401" i="106"/>
  <c r="D384" i="106"/>
  <c r="J401" i="106"/>
  <c r="N366" i="106"/>
  <c r="D365" i="106"/>
  <c r="J366" i="106"/>
  <c r="D357" i="106"/>
  <c r="J45" i="106"/>
  <c r="J358" i="106"/>
  <c r="G46" i="106"/>
  <c r="D338" i="106"/>
  <c r="J349" i="106"/>
  <c r="N349" i="106"/>
  <c r="D332" i="106"/>
  <c r="H37" i="106"/>
  <c r="N314" i="106"/>
  <c r="D313" i="106"/>
  <c r="J314" i="106"/>
  <c r="N297" i="106"/>
  <c r="D280" i="106"/>
  <c r="J297" i="106"/>
  <c r="N262" i="106"/>
  <c r="D261" i="106"/>
  <c r="J262" i="106"/>
  <c r="N245" i="106"/>
  <c r="D228" i="106"/>
  <c r="J245" i="106"/>
  <c r="N210" i="106"/>
  <c r="D209" i="106"/>
  <c r="J210" i="106"/>
  <c r="N193" i="106"/>
  <c r="D176" i="106"/>
  <c r="J193" i="106"/>
  <c r="N158" i="106"/>
  <c r="D157" i="106"/>
  <c r="J158" i="106"/>
  <c r="N141" i="106"/>
  <c r="D124" i="106"/>
  <c r="J20" i="106"/>
  <c r="J141" i="106"/>
  <c r="F37" i="106"/>
  <c r="M54" i="106"/>
  <c r="L54" i="106"/>
  <c r="N53" i="106"/>
  <c r="N106" i="106"/>
  <c r="K54" i="106"/>
  <c r="I54" i="106"/>
  <c r="H54" i="106"/>
  <c r="D105" i="106"/>
  <c r="J53" i="106"/>
  <c r="J106" i="106"/>
  <c r="F54" i="106"/>
  <c r="E54" i="106"/>
  <c r="D98" i="106"/>
  <c r="N46" i="106"/>
  <c r="N26" i="106"/>
  <c r="I37" i="106"/>
  <c r="D78" i="106"/>
  <c r="J26" i="106"/>
  <c r="J89" i="106"/>
  <c r="G37" i="106"/>
  <c r="E37" i="106"/>
  <c r="D75" i="106"/>
  <c r="N23" i="106"/>
  <c r="M37" i="106"/>
  <c r="L37" i="106"/>
  <c r="D72" i="106"/>
  <c r="N20" i="106"/>
  <c r="N89" i="106"/>
  <c r="K37" i="106"/>
  <c r="J13" i="102"/>
  <c r="J36" i="102"/>
  <c r="J35" i="102"/>
  <c r="J34" i="102"/>
  <c r="J33" i="102"/>
  <c r="J32" i="102"/>
  <c r="J31" i="102"/>
  <c r="J30" i="102"/>
  <c r="J29" i="102"/>
  <c r="J28" i="102"/>
  <c r="J27" i="102"/>
  <c r="J26" i="102"/>
  <c r="J25" i="102"/>
  <c r="J24" i="102"/>
  <c r="J23" i="102"/>
  <c r="J22" i="102"/>
  <c r="J21" i="102"/>
  <c r="J20" i="102"/>
  <c r="J19" i="102"/>
  <c r="J18" i="102"/>
  <c r="J17" i="102"/>
  <c r="J16" i="102"/>
  <c r="J15" i="102"/>
  <c r="J12" i="102"/>
  <c r="J11" i="102"/>
  <c r="J14" i="102"/>
  <c r="H36" i="132"/>
  <c r="D21" i="108" l="1"/>
  <c r="D30" i="108"/>
  <c r="G144" i="108"/>
  <c r="I94" i="107"/>
  <c r="D17" i="107"/>
  <c r="D608" i="107"/>
  <c r="D77" i="107"/>
  <c r="G242" i="107"/>
  <c r="D36" i="107"/>
  <c r="D43" i="107"/>
  <c r="F45" i="107"/>
  <c r="D290" i="107"/>
  <c r="I239" i="107"/>
  <c r="D464" i="107"/>
  <c r="D19" i="107"/>
  <c r="D560" i="107"/>
  <c r="D368" i="107"/>
  <c r="D287" i="107"/>
  <c r="M724" i="107"/>
  <c r="D724" i="107" s="1"/>
  <c r="D820" i="107"/>
  <c r="D481" i="107"/>
  <c r="D417" i="108"/>
  <c r="D318" i="108"/>
  <c r="J581" i="108"/>
  <c r="D335" i="108"/>
  <c r="I36" i="108"/>
  <c r="D230" i="108"/>
  <c r="D76" i="108"/>
  <c r="D43" i="108"/>
  <c r="I485" i="108"/>
  <c r="D465" i="108"/>
  <c r="I533" i="108"/>
  <c r="D533" i="108" s="1"/>
  <c r="M17" i="108"/>
  <c r="D287" i="108"/>
  <c r="D802" i="108"/>
  <c r="D754" i="108"/>
  <c r="D658" i="108"/>
  <c r="D670" i="105"/>
  <c r="D262" i="105"/>
  <c r="D470" i="105"/>
  <c r="J46" i="105"/>
  <c r="D886" i="105"/>
  <c r="D106" i="105"/>
  <c r="D349" i="105"/>
  <c r="D834" i="105"/>
  <c r="D314" i="105"/>
  <c r="D418" i="105"/>
  <c r="D522" i="105"/>
  <c r="D574" i="105"/>
  <c r="D626" i="105"/>
  <c r="D782" i="105"/>
  <c r="D366" i="105"/>
  <c r="D505" i="105"/>
  <c r="D678" i="105"/>
  <c r="D869" i="105"/>
  <c r="D158" i="105"/>
  <c r="D401" i="105"/>
  <c r="D730" i="105"/>
  <c r="D158" i="106"/>
  <c r="D262" i="106"/>
  <c r="D522" i="106"/>
  <c r="D418" i="106"/>
  <c r="J834" i="106"/>
  <c r="D626" i="106"/>
  <c r="D106" i="106"/>
  <c r="D401" i="106"/>
  <c r="D782" i="106"/>
  <c r="D349" i="106"/>
  <c r="D574" i="106"/>
  <c r="D678" i="106"/>
  <c r="D366" i="106"/>
  <c r="D505" i="106"/>
  <c r="D834" i="106"/>
  <c r="D210" i="106"/>
  <c r="D314" i="106"/>
  <c r="D730" i="106"/>
  <c r="D869" i="106"/>
  <c r="D670" i="106"/>
  <c r="D470" i="106"/>
  <c r="D886" i="106"/>
  <c r="D675" i="108"/>
  <c r="K580" i="107"/>
  <c r="G581" i="108"/>
  <c r="D290" i="108"/>
  <c r="L192" i="108"/>
  <c r="M192" i="108" s="1"/>
  <c r="M189" i="108"/>
  <c r="I673" i="107"/>
  <c r="F676" i="107"/>
  <c r="I676" i="107" s="1"/>
  <c r="D513" i="108"/>
  <c r="L436" i="107"/>
  <c r="M436" i="107" s="1"/>
  <c r="M433" i="107"/>
  <c r="D318" i="107"/>
  <c r="D172" i="108"/>
  <c r="M28" i="107"/>
  <c r="D222" i="107"/>
  <c r="F437" i="108"/>
  <c r="I437" i="108" s="1"/>
  <c r="I434" i="108"/>
  <c r="K45" i="108"/>
  <c r="J242" i="107"/>
  <c r="L580" i="107"/>
  <c r="M577" i="107"/>
  <c r="L532" i="107"/>
  <c r="M532" i="107" s="1"/>
  <c r="M529" i="107"/>
  <c r="G45" i="107"/>
  <c r="G97" i="107"/>
  <c r="G48" i="107" s="1"/>
  <c r="D416" i="107"/>
  <c r="M385" i="107"/>
  <c r="K388" i="107"/>
  <c r="M388" i="107" s="1"/>
  <c r="H45" i="107"/>
  <c r="H97" i="107"/>
  <c r="I335" i="107"/>
  <c r="D335" i="107" s="1"/>
  <c r="F338" i="107"/>
  <c r="I338" i="107" s="1"/>
  <c r="D338" i="107" s="1"/>
  <c r="I580" i="107"/>
  <c r="F192" i="108"/>
  <c r="I192" i="108" s="1"/>
  <c r="I189" i="108"/>
  <c r="M94" i="107"/>
  <c r="L97" i="107"/>
  <c r="L45" i="107"/>
  <c r="M141" i="108"/>
  <c r="L144" i="108"/>
  <c r="L45" i="108"/>
  <c r="M628" i="107"/>
  <c r="L388" i="108"/>
  <c r="M388" i="108" s="1"/>
  <c r="M385" i="108"/>
  <c r="H581" i="108"/>
  <c r="I819" i="108"/>
  <c r="D819" i="108" s="1"/>
  <c r="F822" i="108"/>
  <c r="I822" i="108" s="1"/>
  <c r="D822" i="108" s="1"/>
  <c r="L726" i="108"/>
  <c r="M726" i="108" s="1"/>
  <c r="M723" i="108"/>
  <c r="D656" i="107"/>
  <c r="D209" i="108"/>
  <c r="I578" i="108"/>
  <c r="F581" i="108"/>
  <c r="D338" i="108"/>
  <c r="I433" i="107"/>
  <c r="F436" i="107"/>
  <c r="I436" i="107" s="1"/>
  <c r="D436" i="107" s="1"/>
  <c r="L581" i="108"/>
  <c r="M578" i="108"/>
  <c r="K45" i="107"/>
  <c r="D512" i="107"/>
  <c r="H242" i="107"/>
  <c r="M239" i="107"/>
  <c r="L242" i="107"/>
  <c r="I626" i="108"/>
  <c r="D626" i="108" s="1"/>
  <c r="F629" i="108"/>
  <c r="I629" i="108" s="1"/>
  <c r="D629" i="108" s="1"/>
  <c r="M625" i="107"/>
  <c r="D625" i="107" s="1"/>
  <c r="E242" i="107"/>
  <c r="E45" i="107"/>
  <c r="I141" i="108"/>
  <c r="F144" i="108"/>
  <c r="I144" i="108" s="1"/>
  <c r="D145" i="107"/>
  <c r="M721" i="107"/>
  <c r="D721" i="107" s="1"/>
  <c r="I28" i="107"/>
  <c r="I530" i="108"/>
  <c r="D530" i="108" s="1"/>
  <c r="I190" i="107"/>
  <c r="D190" i="107" s="1"/>
  <c r="F193" i="107"/>
  <c r="I193" i="107" s="1"/>
  <c r="D193" i="107" s="1"/>
  <c r="I529" i="107"/>
  <c r="F532" i="107"/>
  <c r="I532" i="107" s="1"/>
  <c r="D628" i="107"/>
  <c r="I774" i="108"/>
  <c r="D774" i="108" s="1"/>
  <c r="I385" i="108"/>
  <c r="F388" i="108"/>
  <c r="I388" i="108" s="1"/>
  <c r="L485" i="108"/>
  <c r="M485" i="108" s="1"/>
  <c r="M482" i="108"/>
  <c r="D482" i="108" s="1"/>
  <c r="D124" i="108"/>
  <c r="D142" i="107"/>
  <c r="J45" i="107"/>
  <c r="J97" i="107"/>
  <c r="F242" i="108"/>
  <c r="L676" i="107"/>
  <c r="M676" i="107" s="1"/>
  <c r="M673" i="107"/>
  <c r="J580" i="107"/>
  <c r="I17" i="108"/>
  <c r="I93" i="108"/>
  <c r="D93" i="108" s="1"/>
  <c r="F96" i="108"/>
  <c r="F45" i="108"/>
  <c r="I771" i="108"/>
  <c r="D771" i="108" s="1"/>
  <c r="I385" i="107"/>
  <c r="D385" i="107" s="1"/>
  <c r="F388" i="107"/>
  <c r="I388" i="107" s="1"/>
  <c r="I769" i="107"/>
  <c r="D769" i="107" s="1"/>
  <c r="F772" i="107"/>
  <c r="I772" i="107" s="1"/>
  <c r="D772" i="107" s="1"/>
  <c r="D678" i="108"/>
  <c r="I723" i="108"/>
  <c r="F726" i="108"/>
  <c r="I726" i="108" s="1"/>
  <c r="D704" i="107"/>
  <c r="K437" i="108"/>
  <c r="M437" i="108" s="1"/>
  <c r="M434" i="108"/>
  <c r="I24" i="108"/>
  <c r="I211" i="108"/>
  <c r="D216" i="108"/>
  <c r="H222" i="108"/>
  <c r="I222" i="108" s="1"/>
  <c r="H19" i="108"/>
  <c r="G239" i="108"/>
  <c r="G28" i="108"/>
  <c r="M19" i="108"/>
  <c r="M222" i="108"/>
  <c r="J239" i="108"/>
  <c r="J28" i="108"/>
  <c r="E239" i="108"/>
  <c r="E28" i="108"/>
  <c r="D706" i="108"/>
  <c r="E723" i="108"/>
  <c r="J37" i="105"/>
  <c r="D89" i="105"/>
  <c r="D20" i="105"/>
  <c r="N37" i="105"/>
  <c r="D23" i="105"/>
  <c r="D26" i="105"/>
  <c r="J54" i="105"/>
  <c r="D53" i="105"/>
  <c r="D141" i="105"/>
  <c r="D193" i="105"/>
  <c r="D200" i="105"/>
  <c r="N44" i="105"/>
  <c r="N202" i="105"/>
  <c r="K46" i="105"/>
  <c r="K210" i="105"/>
  <c r="D245" i="105"/>
  <c r="D297" i="105"/>
  <c r="D18" i="105"/>
  <c r="D453" i="105"/>
  <c r="D557" i="105"/>
  <c r="D609" i="105"/>
  <c r="D661" i="105"/>
  <c r="D45" i="105"/>
  <c r="D713" i="105"/>
  <c r="D765" i="105"/>
  <c r="D817" i="105"/>
  <c r="D826" i="105"/>
  <c r="N37" i="106"/>
  <c r="D89" i="106"/>
  <c r="D20" i="106"/>
  <c r="D23" i="106"/>
  <c r="J37" i="106"/>
  <c r="D26" i="106"/>
  <c r="J54" i="106"/>
  <c r="D53" i="106"/>
  <c r="N54" i="106"/>
  <c r="D141" i="106"/>
  <c r="D193" i="106"/>
  <c r="D245" i="106"/>
  <c r="D297" i="106"/>
  <c r="D358" i="106"/>
  <c r="J46" i="106"/>
  <c r="D45" i="106"/>
  <c r="D453" i="106"/>
  <c r="D557" i="106"/>
  <c r="D609" i="106"/>
  <c r="D40" i="106"/>
  <c r="D42" i="106"/>
  <c r="D713" i="106"/>
  <c r="D765" i="106"/>
  <c r="D817" i="106"/>
  <c r="I28" i="130"/>
  <c r="H48" i="107" l="1"/>
  <c r="D532" i="107"/>
  <c r="D676" i="107"/>
  <c r="D673" i="107"/>
  <c r="D388" i="107"/>
  <c r="I97" i="107"/>
  <c r="I242" i="107"/>
  <c r="D36" i="108"/>
  <c r="D485" i="108"/>
  <c r="D385" i="108"/>
  <c r="D222" i="108"/>
  <c r="K48" i="108"/>
  <c r="D189" i="108"/>
  <c r="D434" i="108"/>
  <c r="D141" i="108"/>
  <c r="D437" i="108"/>
  <c r="D388" i="108"/>
  <c r="D54" i="106"/>
  <c r="M144" i="108"/>
  <c r="D144" i="108" s="1"/>
  <c r="L48" i="108"/>
  <c r="J48" i="107"/>
  <c r="D239" i="107"/>
  <c r="M242" i="107"/>
  <c r="D17" i="108"/>
  <c r="M581" i="108"/>
  <c r="M97" i="107"/>
  <c r="L48" i="107"/>
  <c r="D578" i="108"/>
  <c r="E48" i="107"/>
  <c r="D529" i="107"/>
  <c r="D433" i="107"/>
  <c r="M45" i="107"/>
  <c r="D577" i="107"/>
  <c r="D28" i="107"/>
  <c r="I96" i="108"/>
  <c r="D96" i="108" s="1"/>
  <c r="F48" i="108"/>
  <c r="K48" i="107"/>
  <c r="D94" i="107"/>
  <c r="M580" i="107"/>
  <c r="I581" i="108"/>
  <c r="I45" i="107"/>
  <c r="D192" i="108"/>
  <c r="F48" i="107"/>
  <c r="D723" i="108"/>
  <c r="E726" i="108"/>
  <c r="D726" i="108" s="1"/>
  <c r="E242" i="108"/>
  <c r="E45" i="108"/>
  <c r="M239" i="108"/>
  <c r="J242" i="108"/>
  <c r="J45" i="108"/>
  <c r="M28" i="108"/>
  <c r="G242" i="108"/>
  <c r="G45" i="108"/>
  <c r="I28" i="108"/>
  <c r="H239" i="108"/>
  <c r="H28" i="108"/>
  <c r="D24" i="108"/>
  <c r="I19" i="108"/>
  <c r="D211" i="108"/>
  <c r="N210" i="105"/>
  <c r="K54" i="105"/>
  <c r="D202" i="105"/>
  <c r="N46" i="105"/>
  <c r="D44" i="105"/>
  <c r="D37" i="105"/>
  <c r="D46" i="106"/>
  <c r="D37" i="106"/>
  <c r="D242" i="107" l="1"/>
  <c r="I48" i="107"/>
  <c r="M48" i="107"/>
  <c r="D45" i="107"/>
  <c r="D28" i="108"/>
  <c r="D581" i="108"/>
  <c r="D97" i="107"/>
  <c r="D580" i="107"/>
  <c r="D19" i="108"/>
  <c r="H242" i="108"/>
  <c r="I242" i="108" s="1"/>
  <c r="H45" i="108"/>
  <c r="I239" i="108"/>
  <c r="G48" i="108"/>
  <c r="M242" i="108"/>
  <c r="J48" i="108"/>
  <c r="M45" i="108"/>
  <c r="E48" i="108"/>
  <c r="D46" i="105"/>
  <c r="D210" i="105"/>
  <c r="N54" i="105"/>
  <c r="D242" i="108" l="1"/>
  <c r="D48" i="107"/>
  <c r="M48" i="108"/>
  <c r="I48" i="108"/>
  <c r="I45" i="108"/>
  <c r="D239" i="108"/>
  <c r="H48" i="108"/>
  <c r="D54" i="105"/>
  <c r="G72" i="134"/>
  <c r="G74" i="134" s="1"/>
  <c r="F72" i="134"/>
  <c r="F74" i="134" s="1"/>
  <c r="E72" i="134"/>
  <c r="E74" i="134" s="1"/>
  <c r="D72" i="134"/>
  <c r="D74" i="134" s="1"/>
  <c r="C72" i="134"/>
  <c r="C74" i="134" s="1"/>
  <c r="H71" i="134"/>
  <c r="H70" i="134"/>
  <c r="H69" i="134"/>
  <c r="H68" i="134"/>
  <c r="H67" i="134"/>
  <c r="H66" i="134"/>
  <c r="H65" i="134"/>
  <c r="H64" i="134"/>
  <c r="H63" i="134"/>
  <c r="H62" i="134"/>
  <c r="H61" i="134"/>
  <c r="H60" i="134"/>
  <c r="H59" i="134"/>
  <c r="H58" i="134"/>
  <c r="F33" i="98"/>
  <c r="F35" i="98" s="1"/>
  <c r="E33" i="98"/>
  <c r="E35" i="98" s="1"/>
  <c r="F22" i="98"/>
  <c r="F24" i="98" s="1"/>
  <c r="E22" i="98"/>
  <c r="E24" i="98"/>
  <c r="G11" i="98"/>
  <c r="G13" i="98" s="1"/>
  <c r="F11" i="98"/>
  <c r="F13" i="98" s="1"/>
  <c r="E11" i="98"/>
  <c r="E13" i="98" s="1"/>
  <c r="C47" i="133"/>
  <c r="D48" i="108" l="1"/>
  <c r="D45" i="108"/>
  <c r="H72" i="134"/>
  <c r="H74" i="134" s="1"/>
  <c r="G72" i="133" l="1"/>
  <c r="G74" i="133" s="1"/>
  <c r="F72" i="133"/>
  <c r="F74" i="133" s="1"/>
  <c r="E72" i="133"/>
  <c r="E74" i="133" s="1"/>
  <c r="D72" i="133"/>
  <c r="D74" i="133" s="1"/>
  <c r="C72" i="133"/>
  <c r="C74" i="133" s="1"/>
  <c r="H71" i="133"/>
  <c r="H70" i="133"/>
  <c r="H69" i="133"/>
  <c r="H68" i="133"/>
  <c r="H67" i="133"/>
  <c r="H66" i="133"/>
  <c r="H65" i="133"/>
  <c r="H64" i="133"/>
  <c r="H63" i="133"/>
  <c r="H62" i="133"/>
  <c r="H61" i="133"/>
  <c r="H60" i="133"/>
  <c r="H59" i="133"/>
  <c r="H58" i="133"/>
  <c r="H72" i="133" l="1"/>
  <c r="H74" i="133" s="1"/>
  <c r="G70" i="132" l="1"/>
  <c r="G72" i="132" s="1"/>
  <c r="F70" i="132"/>
  <c r="F72" i="132" s="1"/>
  <c r="E70" i="132"/>
  <c r="E72" i="132" s="1"/>
  <c r="D70" i="132"/>
  <c r="D72" i="132" s="1"/>
  <c r="C70" i="132"/>
  <c r="C72" i="132" s="1"/>
  <c r="H69" i="132"/>
  <c r="H68" i="132"/>
  <c r="H67" i="132"/>
  <c r="H66" i="132"/>
  <c r="H65" i="132"/>
  <c r="H64" i="132"/>
  <c r="H63" i="132"/>
  <c r="H62" i="132"/>
  <c r="H61" i="132"/>
  <c r="H60" i="132"/>
  <c r="H59" i="132"/>
  <c r="H58" i="132"/>
  <c r="H57" i="132"/>
  <c r="H56" i="132"/>
  <c r="G23" i="131"/>
  <c r="F23" i="131"/>
  <c r="F25" i="131" s="1"/>
  <c r="G14" i="131"/>
  <c r="F14" i="131"/>
  <c r="F42" i="131"/>
  <c r="E42" i="131"/>
  <c r="D42" i="131"/>
  <c r="C42" i="131"/>
  <c r="E17" i="131"/>
  <c r="E28" i="131" s="1"/>
  <c r="E39" i="131" s="1"/>
  <c r="E45" i="131" s="1"/>
  <c r="E50" i="131" s="1"/>
  <c r="G25" i="131" l="1"/>
  <c r="G36" i="131" s="1"/>
  <c r="G34" i="131"/>
  <c r="H70" i="132"/>
  <c r="H72" i="132" s="1"/>
  <c r="H63" i="130" l="1"/>
  <c r="F63" i="130"/>
  <c r="E63" i="130"/>
  <c r="D63" i="130"/>
  <c r="C63" i="130"/>
  <c r="I62" i="130"/>
  <c r="I61" i="130"/>
  <c r="I60" i="130"/>
  <c r="I59" i="130"/>
  <c r="I58" i="130"/>
  <c r="I57" i="130"/>
  <c r="I56" i="130"/>
  <c r="I55" i="130"/>
  <c r="I54" i="130"/>
  <c r="I53" i="130"/>
  <c r="I52" i="130"/>
  <c r="I51" i="130"/>
  <c r="I50" i="130"/>
  <c r="I49" i="130"/>
  <c r="I63" i="130" l="1"/>
  <c r="I527" i="143"/>
  <c r="I524" i="143"/>
  <c r="I523" i="143"/>
  <c r="I522" i="143"/>
  <c r="I521" i="143"/>
  <c r="I520" i="143"/>
  <c r="I518" i="143"/>
  <c r="H517" i="143"/>
  <c r="G517" i="143"/>
  <c r="G519" i="143" s="1"/>
  <c r="G525" i="143" s="1"/>
  <c r="F517" i="143"/>
  <c r="F519" i="143" s="1"/>
  <c r="F525" i="143" s="1"/>
  <c r="E517" i="143"/>
  <c r="E519" i="143" s="1"/>
  <c r="E525" i="143" s="1"/>
  <c r="D517" i="143"/>
  <c r="D519" i="143" s="1"/>
  <c r="D525" i="143" s="1"/>
  <c r="C517" i="143"/>
  <c r="C519" i="143" s="1"/>
  <c r="C525" i="143" s="1"/>
  <c r="I516" i="143"/>
  <c r="I515" i="143"/>
  <c r="I514" i="143"/>
  <c r="I513" i="143"/>
  <c r="I491" i="143"/>
  <c r="I488" i="143"/>
  <c r="I487" i="143"/>
  <c r="I486" i="143"/>
  <c r="I485" i="143"/>
  <c r="I484" i="143"/>
  <c r="I482" i="143"/>
  <c r="H481" i="143"/>
  <c r="G481" i="143"/>
  <c r="F481" i="143"/>
  <c r="F483" i="143" s="1"/>
  <c r="F489" i="143" s="1"/>
  <c r="E481" i="143"/>
  <c r="E483" i="143" s="1"/>
  <c r="E489" i="143" s="1"/>
  <c r="D481" i="143"/>
  <c r="D483" i="143" s="1"/>
  <c r="D489" i="143" s="1"/>
  <c r="C481" i="143"/>
  <c r="C483" i="143" s="1"/>
  <c r="C489" i="143" s="1"/>
  <c r="I480" i="143"/>
  <c r="I479" i="143"/>
  <c r="I478" i="143"/>
  <c r="I477" i="143"/>
  <c r="I455" i="143"/>
  <c r="I452" i="143"/>
  <c r="I451" i="143"/>
  <c r="I450" i="143"/>
  <c r="I449" i="143"/>
  <c r="I448" i="143"/>
  <c r="I446" i="143"/>
  <c r="H445" i="143"/>
  <c r="G445" i="143"/>
  <c r="G447" i="143" s="1"/>
  <c r="G453" i="143" s="1"/>
  <c r="F445" i="143"/>
  <c r="F447" i="143" s="1"/>
  <c r="F453" i="143" s="1"/>
  <c r="E445" i="143"/>
  <c r="E447" i="143" s="1"/>
  <c r="E453" i="143" s="1"/>
  <c r="D445" i="143"/>
  <c r="D447" i="143" s="1"/>
  <c r="D453" i="143" s="1"/>
  <c r="C445" i="143"/>
  <c r="C447" i="143" s="1"/>
  <c r="C453" i="143" s="1"/>
  <c r="I444" i="143"/>
  <c r="I443" i="143"/>
  <c r="I442" i="143"/>
  <c r="I441" i="143"/>
  <c r="I419" i="143"/>
  <c r="I418" i="143"/>
  <c r="I416" i="143"/>
  <c r="I415" i="143"/>
  <c r="I414" i="143"/>
  <c r="I413" i="143"/>
  <c r="I412" i="143"/>
  <c r="I410" i="143"/>
  <c r="H409" i="143"/>
  <c r="H411" i="143" s="1"/>
  <c r="G409" i="143"/>
  <c r="G411" i="143" s="1"/>
  <c r="G417" i="143" s="1"/>
  <c r="F409" i="143"/>
  <c r="E409" i="143"/>
  <c r="E411" i="143" s="1"/>
  <c r="E417" i="143" s="1"/>
  <c r="D409" i="143"/>
  <c r="D411" i="143" s="1"/>
  <c r="D417" i="143" s="1"/>
  <c r="C409" i="143"/>
  <c r="C411" i="143" s="1"/>
  <c r="C417" i="143" s="1"/>
  <c r="I408" i="143"/>
  <c r="I407" i="143"/>
  <c r="I406" i="143"/>
  <c r="I405" i="143"/>
  <c r="J388" i="143"/>
  <c r="K388" i="143"/>
  <c r="K383" i="143"/>
  <c r="J382" i="143"/>
  <c r="J380" i="143"/>
  <c r="J379" i="143"/>
  <c r="J378" i="143"/>
  <c r="J377" i="143"/>
  <c r="J376" i="143"/>
  <c r="J374" i="143"/>
  <c r="K373" i="143"/>
  <c r="K375" i="143" s="1"/>
  <c r="K381" i="143" s="1"/>
  <c r="K20" i="143" s="1"/>
  <c r="I373" i="143"/>
  <c r="I375" i="143" s="1"/>
  <c r="H373" i="143"/>
  <c r="H375" i="143" s="1"/>
  <c r="H381" i="143" s="1"/>
  <c r="G373" i="143"/>
  <c r="G375" i="143" s="1"/>
  <c r="G381" i="143" s="1"/>
  <c r="F373" i="143"/>
  <c r="F375" i="143" s="1"/>
  <c r="F381" i="143" s="1"/>
  <c r="E373" i="143"/>
  <c r="E375" i="143" s="1"/>
  <c r="E381" i="143" s="1"/>
  <c r="D373" i="143"/>
  <c r="D375" i="143" s="1"/>
  <c r="D381" i="143" s="1"/>
  <c r="C373" i="143"/>
  <c r="C375" i="143" s="1"/>
  <c r="C381" i="143" s="1"/>
  <c r="J372" i="143"/>
  <c r="J371" i="143"/>
  <c r="J370" i="143"/>
  <c r="J369" i="143"/>
  <c r="I347" i="143"/>
  <c r="I344" i="143"/>
  <c r="I343" i="143"/>
  <c r="I342" i="143"/>
  <c r="I341" i="143"/>
  <c r="I340" i="143"/>
  <c r="I338" i="143"/>
  <c r="H337" i="143"/>
  <c r="G337" i="143"/>
  <c r="G339" i="143" s="1"/>
  <c r="G345" i="143" s="1"/>
  <c r="F337" i="143"/>
  <c r="F339" i="143" s="1"/>
  <c r="F345" i="143" s="1"/>
  <c r="E337" i="143"/>
  <c r="E339" i="143" s="1"/>
  <c r="E345" i="143" s="1"/>
  <c r="D337" i="143"/>
  <c r="C337" i="143"/>
  <c r="C339" i="143" s="1"/>
  <c r="C345" i="143" s="1"/>
  <c r="I336" i="143"/>
  <c r="I335" i="143"/>
  <c r="I334" i="143"/>
  <c r="I333" i="143"/>
  <c r="I311" i="143"/>
  <c r="I308" i="143"/>
  <c r="I307" i="143"/>
  <c r="I306" i="143"/>
  <c r="I305" i="143"/>
  <c r="I304" i="143"/>
  <c r="H301" i="143"/>
  <c r="G301" i="143"/>
  <c r="G303" i="143" s="1"/>
  <c r="G309" i="143" s="1"/>
  <c r="F301" i="143"/>
  <c r="E301" i="143"/>
  <c r="E303" i="143" s="1"/>
  <c r="E309" i="143" s="1"/>
  <c r="D301" i="143"/>
  <c r="D303" i="143" s="1"/>
  <c r="D309" i="143" s="1"/>
  <c r="C301" i="143"/>
  <c r="C303" i="143" s="1"/>
  <c r="C309" i="143" s="1"/>
  <c r="I300" i="143"/>
  <c r="I298" i="143"/>
  <c r="I297" i="143"/>
  <c r="I274" i="143"/>
  <c r="I271" i="143"/>
  <c r="I270" i="143"/>
  <c r="I269" i="143"/>
  <c r="I268" i="143"/>
  <c r="I267" i="143"/>
  <c r="I265" i="143"/>
  <c r="H264" i="143"/>
  <c r="H266" i="143" s="1"/>
  <c r="H272" i="143" s="1"/>
  <c r="G264" i="143"/>
  <c r="G266" i="143" s="1"/>
  <c r="G272" i="143" s="1"/>
  <c r="F264" i="143"/>
  <c r="F266" i="143" s="1"/>
  <c r="F272" i="143" s="1"/>
  <c r="E264" i="143"/>
  <c r="E266" i="143" s="1"/>
  <c r="E272" i="143" s="1"/>
  <c r="D264" i="143"/>
  <c r="D266" i="143" s="1"/>
  <c r="D272" i="143" s="1"/>
  <c r="C264" i="143"/>
  <c r="C266" i="143" s="1"/>
  <c r="C272" i="143" s="1"/>
  <c r="I263" i="143"/>
  <c r="I262" i="143"/>
  <c r="I261" i="143"/>
  <c r="I260" i="143"/>
  <c r="I238" i="143"/>
  <c r="I235" i="143"/>
  <c r="I234" i="143"/>
  <c r="I233" i="143"/>
  <c r="I232" i="143"/>
  <c r="I231" i="143"/>
  <c r="I229" i="143"/>
  <c r="H228" i="143"/>
  <c r="G228" i="143"/>
  <c r="G230" i="143" s="1"/>
  <c r="G236" i="143" s="1"/>
  <c r="F228" i="143"/>
  <c r="F230" i="143" s="1"/>
  <c r="F236" i="143" s="1"/>
  <c r="E228" i="143"/>
  <c r="E230" i="143" s="1"/>
  <c r="E236" i="143" s="1"/>
  <c r="D228" i="143"/>
  <c r="D230" i="143" s="1"/>
  <c r="D236" i="143" s="1"/>
  <c r="C228" i="143"/>
  <c r="C230" i="143" s="1"/>
  <c r="C236" i="143" s="1"/>
  <c r="I227" i="143"/>
  <c r="I226" i="143"/>
  <c r="I225" i="143"/>
  <c r="I224" i="143"/>
  <c r="I202" i="143"/>
  <c r="I199" i="143"/>
  <c r="I198" i="143"/>
  <c r="I197" i="143"/>
  <c r="I196" i="143"/>
  <c r="I195" i="143"/>
  <c r="I193" i="143"/>
  <c r="H192" i="143"/>
  <c r="H194" i="143" s="1"/>
  <c r="G192" i="143"/>
  <c r="G194" i="143" s="1"/>
  <c r="G200" i="143" s="1"/>
  <c r="F192" i="143"/>
  <c r="F194" i="143" s="1"/>
  <c r="F200" i="143" s="1"/>
  <c r="E192" i="143"/>
  <c r="E194" i="143" s="1"/>
  <c r="E200" i="143" s="1"/>
  <c r="D192" i="143"/>
  <c r="D194" i="143" s="1"/>
  <c r="D200" i="143" s="1"/>
  <c r="C192" i="143"/>
  <c r="C194" i="143" s="1"/>
  <c r="C200" i="143" s="1"/>
  <c r="I191" i="143"/>
  <c r="I190" i="143"/>
  <c r="I189" i="143"/>
  <c r="I188" i="143"/>
  <c r="I166" i="143"/>
  <c r="I162" i="143"/>
  <c r="I161" i="143"/>
  <c r="I160" i="143"/>
  <c r="I159" i="143"/>
  <c r="I157" i="143"/>
  <c r="H156" i="143"/>
  <c r="H158" i="143" s="1"/>
  <c r="G156" i="143"/>
  <c r="G158" i="143" s="1"/>
  <c r="G164" i="143" s="1"/>
  <c r="F156" i="143"/>
  <c r="F158" i="143" s="1"/>
  <c r="F164" i="143" s="1"/>
  <c r="E156" i="143"/>
  <c r="E158" i="143" s="1"/>
  <c r="E164" i="143" s="1"/>
  <c r="D156" i="143"/>
  <c r="D158" i="143" s="1"/>
  <c r="D164" i="143" s="1"/>
  <c r="C156" i="143"/>
  <c r="C158" i="143" s="1"/>
  <c r="C164" i="143" s="1"/>
  <c r="I155" i="143"/>
  <c r="I154" i="143"/>
  <c r="I153" i="143"/>
  <c r="I152" i="143"/>
  <c r="I130" i="143"/>
  <c r="I127" i="143"/>
  <c r="I126" i="143"/>
  <c r="I125" i="143"/>
  <c r="I124" i="143"/>
  <c r="I123" i="143"/>
  <c r="I121" i="143"/>
  <c r="H120" i="143"/>
  <c r="G120" i="143"/>
  <c r="G122" i="143" s="1"/>
  <c r="G128" i="143" s="1"/>
  <c r="F120" i="143"/>
  <c r="E120" i="143"/>
  <c r="E122" i="143" s="1"/>
  <c r="E128" i="143" s="1"/>
  <c r="D120" i="143"/>
  <c r="C120" i="143"/>
  <c r="C122" i="143" s="1"/>
  <c r="C128" i="143" s="1"/>
  <c r="I119" i="143"/>
  <c r="I118" i="143"/>
  <c r="I117" i="143"/>
  <c r="I116" i="143"/>
  <c r="I94" i="143"/>
  <c r="I90" i="143"/>
  <c r="I89" i="143"/>
  <c r="I87" i="143"/>
  <c r="I85" i="143"/>
  <c r="H84" i="143"/>
  <c r="H86" i="143" s="1"/>
  <c r="H92" i="143" s="1"/>
  <c r="G84" i="143"/>
  <c r="G86" i="143" s="1"/>
  <c r="G92" i="143" s="1"/>
  <c r="F84" i="143"/>
  <c r="F86" i="143" s="1"/>
  <c r="F92" i="143" s="1"/>
  <c r="E84" i="143"/>
  <c r="E86" i="143" s="1"/>
  <c r="E92" i="143" s="1"/>
  <c r="D84" i="143"/>
  <c r="D86" i="143" s="1"/>
  <c r="D92" i="143" s="1"/>
  <c r="C84" i="143"/>
  <c r="C86" i="143" s="1"/>
  <c r="C92" i="143" s="1"/>
  <c r="I83" i="143"/>
  <c r="I82" i="143"/>
  <c r="I81" i="143"/>
  <c r="I80" i="143"/>
  <c r="I58" i="143"/>
  <c r="I55" i="143"/>
  <c r="I54" i="143"/>
  <c r="I53" i="143"/>
  <c r="I52" i="143"/>
  <c r="I51" i="143"/>
  <c r="I49" i="143"/>
  <c r="H48" i="143"/>
  <c r="H50" i="143" s="1"/>
  <c r="H56" i="143" s="1"/>
  <c r="G48" i="143"/>
  <c r="G50" i="143" s="1"/>
  <c r="F48" i="143"/>
  <c r="F50" i="143" s="1"/>
  <c r="E50" i="143"/>
  <c r="D48" i="143"/>
  <c r="D50" i="143" s="1"/>
  <c r="C48" i="143"/>
  <c r="I47" i="143"/>
  <c r="I46" i="143"/>
  <c r="I44" i="143"/>
  <c r="K33" i="143"/>
  <c r="J33" i="143"/>
  <c r="K31" i="143"/>
  <c r="J31" i="143"/>
  <c r="K29" i="143"/>
  <c r="J29" i="143"/>
  <c r="K28" i="143"/>
  <c r="J28" i="143"/>
  <c r="K26" i="143"/>
  <c r="J24" i="143"/>
  <c r="J23" i="143"/>
  <c r="J22" i="143"/>
  <c r="K21" i="143"/>
  <c r="J21" i="143"/>
  <c r="I19" i="143"/>
  <c r="H19" i="143"/>
  <c r="G19" i="143"/>
  <c r="F19" i="143"/>
  <c r="E19" i="143"/>
  <c r="D19" i="143"/>
  <c r="C19" i="143"/>
  <c r="I18" i="143"/>
  <c r="H18" i="143"/>
  <c r="G18" i="143"/>
  <c r="F18" i="143"/>
  <c r="E18" i="143"/>
  <c r="D18" i="143"/>
  <c r="C18" i="143"/>
  <c r="I17" i="143"/>
  <c r="H17" i="143"/>
  <c r="G17" i="143"/>
  <c r="F17" i="143"/>
  <c r="E17" i="143"/>
  <c r="D17" i="143"/>
  <c r="C17" i="143"/>
  <c r="K16" i="143"/>
  <c r="H16" i="143"/>
  <c r="G16" i="143"/>
  <c r="F16" i="143"/>
  <c r="E16" i="143"/>
  <c r="D16" i="143"/>
  <c r="C16" i="143"/>
  <c r="K15" i="143"/>
  <c r="I15" i="143"/>
  <c r="H15" i="143"/>
  <c r="G15" i="143"/>
  <c r="F15" i="143"/>
  <c r="E15" i="143"/>
  <c r="D15" i="143"/>
  <c r="C15" i="143"/>
  <c r="K13" i="143"/>
  <c r="I13" i="143"/>
  <c r="H13" i="143"/>
  <c r="G13" i="143"/>
  <c r="F13" i="143"/>
  <c r="E13" i="143"/>
  <c r="D13" i="143"/>
  <c r="C13" i="143"/>
  <c r="K12" i="143"/>
  <c r="K11" i="143"/>
  <c r="I11" i="143"/>
  <c r="H11" i="143"/>
  <c r="G11" i="143"/>
  <c r="F11" i="143"/>
  <c r="E11" i="143"/>
  <c r="D11" i="143"/>
  <c r="C11" i="143"/>
  <c r="K10" i="143"/>
  <c r="I10" i="143"/>
  <c r="H10" i="143"/>
  <c r="G10" i="143"/>
  <c r="F10" i="143"/>
  <c r="E10" i="143"/>
  <c r="D10" i="143"/>
  <c r="C10" i="143"/>
  <c r="K9" i="143"/>
  <c r="I9" i="143"/>
  <c r="H9" i="143"/>
  <c r="G9" i="143"/>
  <c r="F9" i="143"/>
  <c r="E9" i="143"/>
  <c r="D9" i="143"/>
  <c r="C9" i="143"/>
  <c r="K8" i="143"/>
  <c r="I8" i="143"/>
  <c r="H8" i="143"/>
  <c r="G8" i="143"/>
  <c r="F8" i="143"/>
  <c r="E8" i="143"/>
  <c r="D8" i="143"/>
  <c r="C8" i="143"/>
  <c r="I526" i="142"/>
  <c r="I523" i="142"/>
  <c r="I522" i="142"/>
  <c r="I521" i="142"/>
  <c r="H520" i="142"/>
  <c r="G520" i="142"/>
  <c r="F520" i="142"/>
  <c r="E520" i="142"/>
  <c r="D520" i="142"/>
  <c r="C520" i="142"/>
  <c r="I517" i="142"/>
  <c r="H518" i="142"/>
  <c r="H524" i="142" s="1"/>
  <c r="G518" i="142"/>
  <c r="G524" i="142" s="1"/>
  <c r="F518" i="142"/>
  <c r="F524" i="142" s="1"/>
  <c r="E518" i="142"/>
  <c r="E524" i="142" s="1"/>
  <c r="D518" i="142"/>
  <c r="D524" i="142" s="1"/>
  <c r="C518" i="142"/>
  <c r="C524" i="142" s="1"/>
  <c r="I515" i="142"/>
  <c r="I514" i="142"/>
  <c r="I513" i="142"/>
  <c r="I512" i="142"/>
  <c r="I490" i="142"/>
  <c r="I486" i="142"/>
  <c r="I485" i="142"/>
  <c r="H484" i="142"/>
  <c r="G484" i="142"/>
  <c r="F484" i="142"/>
  <c r="E484" i="142"/>
  <c r="D484" i="142"/>
  <c r="C484" i="142"/>
  <c r="I481" i="142"/>
  <c r="H480" i="142"/>
  <c r="H482" i="142" s="1"/>
  <c r="H488" i="142" s="1"/>
  <c r="G480" i="142"/>
  <c r="G482" i="142" s="1"/>
  <c r="G488" i="142" s="1"/>
  <c r="F480" i="142"/>
  <c r="F482" i="142" s="1"/>
  <c r="F488" i="142" s="1"/>
  <c r="E480" i="142"/>
  <c r="E482" i="142" s="1"/>
  <c r="E488" i="142" s="1"/>
  <c r="D480" i="142"/>
  <c r="D482" i="142" s="1"/>
  <c r="D488" i="142" s="1"/>
  <c r="C480" i="142"/>
  <c r="C482" i="142" s="1"/>
  <c r="C488" i="142" s="1"/>
  <c r="I479" i="142"/>
  <c r="I478" i="142"/>
  <c r="I477" i="142"/>
  <c r="I476" i="142"/>
  <c r="I454" i="142"/>
  <c r="I450" i="142"/>
  <c r="I449" i="142"/>
  <c r="H448" i="142"/>
  <c r="G448" i="142"/>
  <c r="F448" i="142"/>
  <c r="E448" i="142"/>
  <c r="D448" i="142"/>
  <c r="C448" i="142"/>
  <c r="I445" i="142"/>
  <c r="H446" i="142"/>
  <c r="H452" i="142" s="1"/>
  <c r="G446" i="142"/>
  <c r="G452" i="142" s="1"/>
  <c r="F446" i="142"/>
  <c r="F452" i="142" s="1"/>
  <c r="E446" i="142"/>
  <c r="E452" i="142" s="1"/>
  <c r="D446" i="142"/>
  <c r="D452" i="142" s="1"/>
  <c r="C446" i="142"/>
  <c r="C452" i="142" s="1"/>
  <c r="I443" i="142"/>
  <c r="I442" i="142"/>
  <c r="I441" i="142"/>
  <c r="I440" i="142"/>
  <c r="I418" i="142"/>
  <c r="I415" i="142"/>
  <c r="I414" i="142"/>
  <c r="I413" i="142"/>
  <c r="H412" i="142"/>
  <c r="G412" i="142"/>
  <c r="F412" i="142"/>
  <c r="E412" i="142"/>
  <c r="D412" i="142"/>
  <c r="C412" i="142"/>
  <c r="I409" i="142"/>
  <c r="H408" i="142"/>
  <c r="H410" i="142" s="1"/>
  <c r="H416" i="142" s="1"/>
  <c r="G408" i="142"/>
  <c r="G410" i="142" s="1"/>
  <c r="G416" i="142" s="1"/>
  <c r="F408" i="142"/>
  <c r="F410" i="142" s="1"/>
  <c r="F416" i="142" s="1"/>
  <c r="E408" i="142"/>
  <c r="E410" i="142" s="1"/>
  <c r="E416" i="142" s="1"/>
  <c r="D408" i="142"/>
  <c r="D410" i="142" s="1"/>
  <c r="D416" i="142" s="1"/>
  <c r="C408" i="142"/>
  <c r="C410" i="142" s="1"/>
  <c r="C416" i="142" s="1"/>
  <c r="I407" i="142"/>
  <c r="I406" i="142"/>
  <c r="I405" i="142"/>
  <c r="I404" i="142"/>
  <c r="J382" i="142"/>
  <c r="K382" i="142"/>
  <c r="J379" i="142"/>
  <c r="J378" i="142"/>
  <c r="J377" i="142"/>
  <c r="K376" i="142"/>
  <c r="I376" i="142"/>
  <c r="H376" i="142"/>
  <c r="G376" i="142"/>
  <c r="F376" i="142"/>
  <c r="E376" i="142"/>
  <c r="D376" i="142"/>
  <c r="C376" i="142"/>
  <c r="J373" i="142"/>
  <c r="K372" i="142"/>
  <c r="K374" i="142" s="1"/>
  <c r="K380" i="142" s="1"/>
  <c r="I372" i="142"/>
  <c r="I374" i="142" s="1"/>
  <c r="I380" i="142" s="1"/>
  <c r="H372" i="142"/>
  <c r="H374" i="142" s="1"/>
  <c r="H380" i="142" s="1"/>
  <c r="G372" i="142"/>
  <c r="G374" i="142" s="1"/>
  <c r="G380" i="142" s="1"/>
  <c r="F372" i="142"/>
  <c r="F374" i="142" s="1"/>
  <c r="F380" i="142" s="1"/>
  <c r="E372" i="142"/>
  <c r="E374" i="142" s="1"/>
  <c r="E380" i="142" s="1"/>
  <c r="D372" i="142"/>
  <c r="D374" i="142" s="1"/>
  <c r="D380" i="142" s="1"/>
  <c r="C372" i="142"/>
  <c r="C374" i="142" s="1"/>
  <c r="J371" i="142"/>
  <c r="J370" i="142"/>
  <c r="J369" i="142"/>
  <c r="J368" i="142"/>
  <c r="I346" i="142"/>
  <c r="I343" i="142"/>
  <c r="I342" i="142"/>
  <c r="I341" i="142"/>
  <c r="H340" i="142"/>
  <c r="G340" i="142"/>
  <c r="F340" i="142"/>
  <c r="E340" i="142"/>
  <c r="D340" i="142"/>
  <c r="C340" i="142"/>
  <c r="I337" i="142"/>
  <c r="H336" i="142"/>
  <c r="H338" i="142" s="1"/>
  <c r="H344" i="142" s="1"/>
  <c r="G336" i="142"/>
  <c r="G338" i="142" s="1"/>
  <c r="G344" i="142" s="1"/>
  <c r="F336" i="142"/>
  <c r="F338" i="142" s="1"/>
  <c r="F344" i="142" s="1"/>
  <c r="E336" i="142"/>
  <c r="E338" i="142" s="1"/>
  <c r="E344" i="142" s="1"/>
  <c r="D336" i="142"/>
  <c r="D338" i="142" s="1"/>
  <c r="D344" i="142" s="1"/>
  <c r="C336" i="142"/>
  <c r="C338" i="142" s="1"/>
  <c r="C344" i="142" s="1"/>
  <c r="I335" i="142"/>
  <c r="I334" i="142"/>
  <c r="I333" i="142"/>
  <c r="I332" i="142"/>
  <c r="I310" i="142"/>
  <c r="I307" i="142"/>
  <c r="I306" i="142"/>
  <c r="I305" i="142"/>
  <c r="H304" i="142"/>
  <c r="G304" i="142"/>
  <c r="F304" i="142"/>
  <c r="E304" i="142"/>
  <c r="D304" i="142"/>
  <c r="C304" i="142"/>
  <c r="I301" i="142"/>
  <c r="H300" i="142"/>
  <c r="H302" i="142" s="1"/>
  <c r="H308" i="142" s="1"/>
  <c r="G300" i="142"/>
  <c r="G302" i="142" s="1"/>
  <c r="G308" i="142" s="1"/>
  <c r="F300" i="142"/>
  <c r="F302" i="142" s="1"/>
  <c r="F308" i="142" s="1"/>
  <c r="E300" i="142"/>
  <c r="E302" i="142" s="1"/>
  <c r="E308" i="142" s="1"/>
  <c r="D300" i="142"/>
  <c r="D302" i="142" s="1"/>
  <c r="D308" i="142" s="1"/>
  <c r="C300" i="142"/>
  <c r="C302" i="142" s="1"/>
  <c r="C308" i="142" s="1"/>
  <c r="I299" i="142"/>
  <c r="I298" i="142"/>
  <c r="I297" i="142"/>
  <c r="I296" i="142"/>
  <c r="I274" i="142"/>
  <c r="I271" i="142"/>
  <c r="I270" i="142"/>
  <c r="I269" i="142"/>
  <c r="H268" i="142"/>
  <c r="G268" i="142"/>
  <c r="F268" i="142"/>
  <c r="E268" i="142"/>
  <c r="D268" i="142"/>
  <c r="C268" i="142"/>
  <c r="I265" i="142"/>
  <c r="H264" i="142"/>
  <c r="H266" i="142" s="1"/>
  <c r="H272" i="142" s="1"/>
  <c r="G264" i="142"/>
  <c r="G266" i="142" s="1"/>
  <c r="G272" i="142" s="1"/>
  <c r="F264" i="142"/>
  <c r="F266" i="142" s="1"/>
  <c r="F272" i="142" s="1"/>
  <c r="E264" i="142"/>
  <c r="E266" i="142" s="1"/>
  <c r="E272" i="142" s="1"/>
  <c r="D264" i="142"/>
  <c r="D266" i="142" s="1"/>
  <c r="D272" i="142" s="1"/>
  <c r="C264" i="142"/>
  <c r="C266" i="142" s="1"/>
  <c r="C272" i="142" s="1"/>
  <c r="I263" i="142"/>
  <c r="I262" i="142"/>
  <c r="I261" i="142"/>
  <c r="I260" i="142"/>
  <c r="I238" i="142"/>
  <c r="I235" i="142"/>
  <c r="I234" i="142"/>
  <c r="I233" i="142"/>
  <c r="I229" i="142"/>
  <c r="H228" i="142"/>
  <c r="H230" i="142" s="1"/>
  <c r="H236" i="142" s="1"/>
  <c r="G228" i="142"/>
  <c r="G230" i="142" s="1"/>
  <c r="G236" i="142" s="1"/>
  <c r="F228" i="142"/>
  <c r="F230" i="142" s="1"/>
  <c r="F236" i="142" s="1"/>
  <c r="E228" i="142"/>
  <c r="E230" i="142" s="1"/>
  <c r="E236" i="142" s="1"/>
  <c r="D228" i="142"/>
  <c r="D230" i="142" s="1"/>
  <c r="D236" i="142" s="1"/>
  <c r="C228" i="142"/>
  <c r="C230" i="142" s="1"/>
  <c r="C236" i="142" s="1"/>
  <c r="I227" i="142"/>
  <c r="I226" i="142"/>
  <c r="I225" i="142"/>
  <c r="I224" i="142"/>
  <c r="I202" i="142"/>
  <c r="I199" i="142"/>
  <c r="I198" i="142"/>
  <c r="I197" i="142"/>
  <c r="H196" i="142"/>
  <c r="G196" i="142"/>
  <c r="F196" i="142"/>
  <c r="E196" i="142"/>
  <c r="D196" i="142"/>
  <c r="C196" i="142"/>
  <c r="I193" i="142"/>
  <c r="H194" i="142"/>
  <c r="H200" i="142" s="1"/>
  <c r="G194" i="142"/>
  <c r="G200" i="142" s="1"/>
  <c r="F194" i="142"/>
  <c r="F200" i="142" s="1"/>
  <c r="E194" i="142"/>
  <c r="E200" i="142" s="1"/>
  <c r="D194" i="142"/>
  <c r="D200" i="142" s="1"/>
  <c r="C194" i="142"/>
  <c r="C200" i="142" s="1"/>
  <c r="I191" i="142"/>
  <c r="I190" i="142"/>
  <c r="I189" i="142"/>
  <c r="I188" i="142"/>
  <c r="I166" i="142"/>
  <c r="I162" i="142"/>
  <c r="I161" i="142"/>
  <c r="H160" i="142"/>
  <c r="G160" i="142"/>
  <c r="F160" i="142"/>
  <c r="E160" i="142"/>
  <c r="D160" i="142"/>
  <c r="C160" i="142"/>
  <c r="I157" i="142"/>
  <c r="H156" i="142"/>
  <c r="H158" i="142" s="1"/>
  <c r="H164" i="142" s="1"/>
  <c r="G156" i="142"/>
  <c r="G158" i="142" s="1"/>
  <c r="G164" i="142" s="1"/>
  <c r="F156" i="142"/>
  <c r="F158" i="142" s="1"/>
  <c r="F164" i="142" s="1"/>
  <c r="E156" i="142"/>
  <c r="E158" i="142" s="1"/>
  <c r="E164" i="142" s="1"/>
  <c r="D156" i="142"/>
  <c r="D158" i="142" s="1"/>
  <c r="D164" i="142" s="1"/>
  <c r="C156" i="142"/>
  <c r="C158" i="142" s="1"/>
  <c r="C164" i="142" s="1"/>
  <c r="I155" i="142"/>
  <c r="I154" i="142"/>
  <c r="I153" i="142"/>
  <c r="I152" i="142"/>
  <c r="I135" i="142"/>
  <c r="I130" i="142"/>
  <c r="I127" i="142"/>
  <c r="I126" i="142"/>
  <c r="I125" i="142"/>
  <c r="H124" i="142"/>
  <c r="G124" i="142"/>
  <c r="F124" i="142"/>
  <c r="E124" i="142"/>
  <c r="D124" i="142"/>
  <c r="C124" i="142"/>
  <c r="I121" i="142"/>
  <c r="H120" i="142"/>
  <c r="H122" i="142" s="1"/>
  <c r="H128" i="142" s="1"/>
  <c r="G120" i="142"/>
  <c r="G122" i="142" s="1"/>
  <c r="G128" i="142" s="1"/>
  <c r="F120" i="142"/>
  <c r="F122" i="142" s="1"/>
  <c r="F128" i="142" s="1"/>
  <c r="E120" i="142"/>
  <c r="E122" i="142" s="1"/>
  <c r="E128" i="142" s="1"/>
  <c r="D120" i="142"/>
  <c r="D122" i="142" s="1"/>
  <c r="D128" i="142" s="1"/>
  <c r="C120" i="142"/>
  <c r="C122" i="142" s="1"/>
  <c r="C128" i="142" s="1"/>
  <c r="I119" i="142"/>
  <c r="I118" i="142"/>
  <c r="I117" i="142"/>
  <c r="I116" i="142"/>
  <c r="I99" i="142"/>
  <c r="I94" i="142"/>
  <c r="I90" i="142"/>
  <c r="I89" i="142"/>
  <c r="H88" i="142"/>
  <c r="G88" i="142"/>
  <c r="F88" i="142"/>
  <c r="E88" i="142"/>
  <c r="D88" i="142"/>
  <c r="C88" i="142"/>
  <c r="I85" i="142"/>
  <c r="H84" i="142"/>
  <c r="H86" i="142" s="1"/>
  <c r="H92" i="142" s="1"/>
  <c r="G84" i="142"/>
  <c r="G86" i="142" s="1"/>
  <c r="G92" i="142" s="1"/>
  <c r="F84" i="142"/>
  <c r="F86" i="142" s="1"/>
  <c r="F92" i="142" s="1"/>
  <c r="E84" i="142"/>
  <c r="E86" i="142" s="1"/>
  <c r="E92" i="142" s="1"/>
  <c r="D84" i="142"/>
  <c r="D86" i="142" s="1"/>
  <c r="D92" i="142" s="1"/>
  <c r="C84" i="142"/>
  <c r="C86" i="142" s="1"/>
  <c r="C92" i="142" s="1"/>
  <c r="I83" i="142"/>
  <c r="I82" i="142"/>
  <c r="I81" i="142"/>
  <c r="I80" i="142"/>
  <c r="I58" i="142"/>
  <c r="I54" i="142"/>
  <c r="I53" i="142"/>
  <c r="H52" i="142"/>
  <c r="G52" i="142"/>
  <c r="F52" i="142"/>
  <c r="D52" i="142"/>
  <c r="C52" i="142"/>
  <c r="I49" i="142"/>
  <c r="H48" i="142"/>
  <c r="H50" i="142" s="1"/>
  <c r="H56" i="142" s="1"/>
  <c r="G48" i="142"/>
  <c r="G50" i="142" s="1"/>
  <c r="G56" i="142" s="1"/>
  <c r="F48" i="142"/>
  <c r="F50" i="142" s="1"/>
  <c r="F56" i="142" s="1"/>
  <c r="E56" i="142"/>
  <c r="D48" i="142"/>
  <c r="D50" i="142" s="1"/>
  <c r="D56" i="142" s="1"/>
  <c r="C48" i="142"/>
  <c r="C50" i="142" s="1"/>
  <c r="C56" i="142" s="1"/>
  <c r="I47" i="142"/>
  <c r="I46" i="142"/>
  <c r="K33" i="142"/>
  <c r="J33" i="142"/>
  <c r="K31" i="142"/>
  <c r="J31" i="142"/>
  <c r="K29" i="142"/>
  <c r="J29" i="142"/>
  <c r="K28" i="142"/>
  <c r="K27" i="142" s="1"/>
  <c r="K26" i="142"/>
  <c r="J26" i="142"/>
  <c r="K25" i="142"/>
  <c r="J25" i="142"/>
  <c r="K24" i="142"/>
  <c r="J24" i="142"/>
  <c r="K23" i="142"/>
  <c r="J23" i="142"/>
  <c r="K21" i="142"/>
  <c r="K19" i="142"/>
  <c r="I19" i="142"/>
  <c r="H19" i="142"/>
  <c r="G19" i="142"/>
  <c r="F19" i="142"/>
  <c r="E19" i="142"/>
  <c r="D19" i="142"/>
  <c r="C19" i="142"/>
  <c r="K18" i="142"/>
  <c r="I18" i="142"/>
  <c r="H18" i="142"/>
  <c r="G18" i="142"/>
  <c r="F18" i="142"/>
  <c r="E18" i="142"/>
  <c r="D18" i="142"/>
  <c r="C18" i="142"/>
  <c r="K17" i="142"/>
  <c r="I17" i="142"/>
  <c r="I16" i="142" s="1"/>
  <c r="H17" i="142"/>
  <c r="H16" i="142" s="1"/>
  <c r="G17" i="142"/>
  <c r="F17" i="142"/>
  <c r="F16" i="142" s="1"/>
  <c r="E17" i="142"/>
  <c r="D17" i="142"/>
  <c r="C17" i="142"/>
  <c r="K15" i="142"/>
  <c r="I15" i="142"/>
  <c r="C15" i="142"/>
  <c r="K13" i="142"/>
  <c r="I13" i="142"/>
  <c r="H13" i="142"/>
  <c r="G13" i="142"/>
  <c r="F13" i="142"/>
  <c r="E13" i="142"/>
  <c r="D13" i="142"/>
  <c r="C13" i="142"/>
  <c r="K11" i="142"/>
  <c r="I11" i="142"/>
  <c r="H11" i="142"/>
  <c r="G11" i="142"/>
  <c r="F11" i="142"/>
  <c r="E11" i="142"/>
  <c r="D11" i="142"/>
  <c r="C11" i="142"/>
  <c r="K10" i="142"/>
  <c r="I10" i="142"/>
  <c r="H10" i="142"/>
  <c r="G10" i="142"/>
  <c r="F10" i="142"/>
  <c r="E10" i="142"/>
  <c r="D10" i="142"/>
  <c r="C10" i="142"/>
  <c r="K9" i="142"/>
  <c r="I9" i="142"/>
  <c r="H9" i="142"/>
  <c r="G9" i="142"/>
  <c r="F9" i="142"/>
  <c r="E9" i="142"/>
  <c r="D9" i="142"/>
  <c r="C9" i="142"/>
  <c r="K8" i="142"/>
  <c r="K12" i="142" s="1"/>
  <c r="I8" i="142"/>
  <c r="I12" i="142" s="1"/>
  <c r="I14" i="142" s="1"/>
  <c r="H8" i="142"/>
  <c r="H12" i="142" s="1"/>
  <c r="H14" i="142" s="1"/>
  <c r="G8" i="142"/>
  <c r="F8" i="142"/>
  <c r="F12" i="142" s="1"/>
  <c r="F14" i="142" s="1"/>
  <c r="E8" i="142"/>
  <c r="E12" i="142" s="1"/>
  <c r="E14" i="142" s="1"/>
  <c r="D8" i="142"/>
  <c r="D12" i="142" s="1"/>
  <c r="D14" i="142" s="1"/>
  <c r="C8" i="142"/>
  <c r="F548" i="141"/>
  <c r="F547" i="141"/>
  <c r="F546" i="141"/>
  <c r="F545" i="141"/>
  <c r="F544" i="141"/>
  <c r="F543" i="141"/>
  <c r="F542" i="141"/>
  <c r="F541" i="141"/>
  <c r="F540" i="141"/>
  <c r="F539" i="141"/>
  <c r="F538" i="141"/>
  <c r="F537" i="141"/>
  <c r="F536" i="141"/>
  <c r="F535" i="141"/>
  <c r="F534" i="141"/>
  <c r="F533" i="141"/>
  <c r="F532" i="141"/>
  <c r="F531" i="141"/>
  <c r="F530" i="141"/>
  <c r="F529" i="141"/>
  <c r="F528" i="141"/>
  <c r="F527" i="141"/>
  <c r="F526" i="141"/>
  <c r="F525" i="141"/>
  <c r="F524" i="141"/>
  <c r="F523" i="141"/>
  <c r="F520" i="141"/>
  <c r="F519" i="141"/>
  <c r="F518" i="141"/>
  <c r="F517" i="141"/>
  <c r="F516" i="141"/>
  <c r="F515" i="141"/>
  <c r="F514" i="141"/>
  <c r="E47" i="141"/>
  <c r="G46" i="141"/>
  <c r="E46" i="141"/>
  <c r="G45" i="141"/>
  <c r="E45" i="141"/>
  <c r="F45" i="141"/>
  <c r="G44" i="141"/>
  <c r="E44" i="141"/>
  <c r="G43" i="141"/>
  <c r="E43" i="141"/>
  <c r="G42" i="141"/>
  <c r="E42" i="141"/>
  <c r="G40" i="141"/>
  <c r="E40" i="141"/>
  <c r="F40" i="141"/>
  <c r="G39" i="141"/>
  <c r="E39" i="141"/>
  <c r="G38" i="141"/>
  <c r="E38" i="141"/>
  <c r="G37" i="141"/>
  <c r="E37" i="141"/>
  <c r="F37" i="141"/>
  <c r="G36" i="141"/>
  <c r="E36" i="141"/>
  <c r="G35" i="141"/>
  <c r="E35" i="141"/>
  <c r="G34" i="141"/>
  <c r="E34" i="141"/>
  <c r="G33" i="141"/>
  <c r="E33" i="141"/>
  <c r="G31" i="141"/>
  <c r="E31" i="141"/>
  <c r="F31" i="141"/>
  <c r="G30" i="141"/>
  <c r="E30" i="141"/>
  <c r="G29" i="141"/>
  <c r="E29" i="141"/>
  <c r="G28" i="141"/>
  <c r="E28" i="141"/>
  <c r="G27" i="141"/>
  <c r="E27" i="141"/>
  <c r="G26" i="141"/>
  <c r="E26" i="141"/>
  <c r="G25" i="141"/>
  <c r="E25" i="141"/>
  <c r="G24" i="141"/>
  <c r="E24" i="141"/>
  <c r="F24" i="141"/>
  <c r="G23" i="141"/>
  <c r="E23" i="141"/>
  <c r="G22" i="141"/>
  <c r="E22" i="141"/>
  <c r="G20" i="141"/>
  <c r="E20" i="141"/>
  <c r="G19" i="141"/>
  <c r="E19" i="141"/>
  <c r="G18" i="141"/>
  <c r="E18" i="141"/>
  <c r="G17" i="141"/>
  <c r="E17" i="141"/>
  <c r="G16" i="141"/>
  <c r="E16" i="141"/>
  <c r="F16" i="141"/>
  <c r="G15" i="141"/>
  <c r="E15" i="141"/>
  <c r="G14" i="141"/>
  <c r="E14" i="141"/>
  <c r="F14" i="141"/>
  <c r="G13" i="141"/>
  <c r="E13" i="141"/>
  <c r="E12" i="141"/>
  <c r="G11" i="141"/>
  <c r="E11" i="141"/>
  <c r="G10" i="141"/>
  <c r="E10" i="141"/>
  <c r="F10" i="141"/>
  <c r="G9" i="141"/>
  <c r="E9" i="141"/>
  <c r="F548" i="140"/>
  <c r="F547" i="140"/>
  <c r="F546" i="140"/>
  <c r="F541" i="140"/>
  <c r="F540" i="140"/>
  <c r="F539" i="140"/>
  <c r="F537" i="140"/>
  <c r="F536" i="140"/>
  <c r="F535" i="140"/>
  <c r="F532" i="140"/>
  <c r="F531" i="140"/>
  <c r="F530" i="140"/>
  <c r="F529" i="140"/>
  <c r="F528" i="140"/>
  <c r="F527" i="140"/>
  <c r="F524" i="140"/>
  <c r="F523" i="140"/>
  <c r="F522" i="140"/>
  <c r="F513" i="140"/>
  <c r="F512" i="140"/>
  <c r="F510" i="140"/>
  <c r="E48" i="140"/>
  <c r="D48" i="140"/>
  <c r="G47" i="140"/>
  <c r="E47" i="140"/>
  <c r="D47" i="140"/>
  <c r="G46" i="140"/>
  <c r="E46" i="140"/>
  <c r="D46" i="140"/>
  <c r="G45" i="140"/>
  <c r="E45" i="140"/>
  <c r="D45" i="140"/>
  <c r="G44" i="140"/>
  <c r="E44" i="140"/>
  <c r="D44" i="140"/>
  <c r="G43" i="140"/>
  <c r="E43" i="140"/>
  <c r="D43" i="140"/>
  <c r="G42" i="140"/>
  <c r="E42" i="140"/>
  <c r="G41" i="140"/>
  <c r="E41" i="140"/>
  <c r="D41" i="140"/>
  <c r="G40" i="140"/>
  <c r="E40" i="140"/>
  <c r="D40" i="140"/>
  <c r="G39" i="140"/>
  <c r="E39" i="140"/>
  <c r="D39" i="140"/>
  <c r="G38" i="140"/>
  <c r="E38" i="140"/>
  <c r="D38" i="140"/>
  <c r="G37" i="140"/>
  <c r="E37" i="140"/>
  <c r="D37" i="140"/>
  <c r="G36" i="140"/>
  <c r="E36" i="140"/>
  <c r="D36" i="140"/>
  <c r="G35" i="140"/>
  <c r="E35" i="140"/>
  <c r="D35" i="140"/>
  <c r="D34" i="140"/>
  <c r="D33" i="140"/>
  <c r="G31" i="140"/>
  <c r="E31" i="140"/>
  <c r="D31" i="140"/>
  <c r="G30" i="140"/>
  <c r="E30" i="140"/>
  <c r="D30" i="140"/>
  <c r="G29" i="140"/>
  <c r="E29" i="140"/>
  <c r="D29" i="140"/>
  <c r="G28" i="140"/>
  <c r="E28" i="140"/>
  <c r="D28" i="140"/>
  <c r="G27" i="140"/>
  <c r="D27" i="140"/>
  <c r="G26" i="140"/>
  <c r="D26" i="140"/>
  <c r="G25" i="140"/>
  <c r="E25" i="140"/>
  <c r="D25" i="140"/>
  <c r="G24" i="140"/>
  <c r="E24" i="140"/>
  <c r="D24" i="140"/>
  <c r="G23" i="140"/>
  <c r="E23" i="140"/>
  <c r="D23" i="140"/>
  <c r="G22" i="140"/>
  <c r="E22" i="140"/>
  <c r="G20" i="140"/>
  <c r="E20" i="140"/>
  <c r="D20" i="140"/>
  <c r="G19" i="140"/>
  <c r="E19" i="140"/>
  <c r="D19" i="140"/>
  <c r="G17" i="140"/>
  <c r="E17" i="140"/>
  <c r="D17" i="140"/>
  <c r="G16" i="140"/>
  <c r="E16" i="140"/>
  <c r="D16" i="140"/>
  <c r="G14" i="140"/>
  <c r="F14" i="140"/>
  <c r="G13" i="140"/>
  <c r="E13" i="140"/>
  <c r="D13" i="140"/>
  <c r="G12" i="140"/>
  <c r="E12" i="140"/>
  <c r="D12" i="140"/>
  <c r="G11" i="140"/>
  <c r="E11" i="140"/>
  <c r="D11" i="140"/>
  <c r="G10" i="140"/>
  <c r="E10" i="140"/>
  <c r="D10" i="140"/>
  <c r="G9" i="140"/>
  <c r="E9" i="140"/>
  <c r="D9" i="140"/>
  <c r="J33" i="139"/>
  <c r="D34" i="139"/>
  <c r="I34" i="139"/>
  <c r="G34" i="139"/>
  <c r="F34" i="139"/>
  <c r="J30" i="139"/>
  <c r="J29" i="139"/>
  <c r="J28" i="139"/>
  <c r="J27" i="139"/>
  <c r="J26" i="139"/>
  <c r="J25" i="139"/>
  <c r="J24" i="139"/>
  <c r="J23" i="139"/>
  <c r="H16" i="139"/>
  <c r="J32" i="139"/>
  <c r="I16" i="139"/>
  <c r="G16" i="139"/>
  <c r="F16" i="139"/>
  <c r="D16" i="139"/>
  <c r="C16" i="139"/>
  <c r="F22" i="137"/>
  <c r="E22" i="137"/>
  <c r="G23" i="137" s="1"/>
  <c r="F48" i="140" l="1"/>
  <c r="F30" i="140"/>
  <c r="F43" i="140"/>
  <c r="F40" i="140"/>
  <c r="E21" i="141"/>
  <c r="F28" i="140"/>
  <c r="F25" i="140"/>
  <c r="F31" i="140"/>
  <c r="G21" i="141"/>
  <c r="F20" i="140"/>
  <c r="E16" i="142"/>
  <c r="E20" i="142" s="1"/>
  <c r="D18" i="140"/>
  <c r="F521" i="140"/>
  <c r="F11" i="141"/>
  <c r="F23" i="141"/>
  <c r="F34" i="141"/>
  <c r="F42" i="141"/>
  <c r="J8" i="143"/>
  <c r="J9" i="143"/>
  <c r="J10" i="143"/>
  <c r="E12" i="143"/>
  <c r="G483" i="143"/>
  <c r="G14" i="143" s="1"/>
  <c r="F9" i="140"/>
  <c r="D21" i="140"/>
  <c r="F42" i="140"/>
  <c r="J17" i="143"/>
  <c r="F34" i="140"/>
  <c r="F12" i="140"/>
  <c r="D15" i="140"/>
  <c r="F33" i="140"/>
  <c r="F37" i="140"/>
  <c r="F45" i="140"/>
  <c r="F9" i="141"/>
  <c r="F27" i="141"/>
  <c r="J15" i="143"/>
  <c r="J16" i="143"/>
  <c r="J10" i="142"/>
  <c r="K22" i="142"/>
  <c r="I412" i="142"/>
  <c r="I444" i="142"/>
  <c r="J9" i="142"/>
  <c r="J11" i="142"/>
  <c r="G16" i="142"/>
  <c r="I160" i="142"/>
  <c r="I268" i="142"/>
  <c r="I340" i="142"/>
  <c r="J372" i="142"/>
  <c r="I448" i="142"/>
  <c r="I520" i="142"/>
  <c r="J13" i="142"/>
  <c r="H20" i="142"/>
  <c r="F13" i="140"/>
  <c r="F17" i="140"/>
  <c r="D339" i="143"/>
  <c r="D345" i="143" s="1"/>
  <c r="F303" i="143"/>
  <c r="F309" i="143" s="1"/>
  <c r="D29" i="141"/>
  <c r="D12" i="141"/>
  <c r="J19" i="142"/>
  <c r="I120" i="142"/>
  <c r="I196" i="142"/>
  <c r="I264" i="142"/>
  <c r="I304" i="142"/>
  <c r="I336" i="142"/>
  <c r="J18" i="143"/>
  <c r="F46" i="141"/>
  <c r="F15" i="141"/>
  <c r="F19" i="141"/>
  <c r="F20" i="141"/>
  <c r="F39" i="141"/>
  <c r="J374" i="142"/>
  <c r="E23" i="137"/>
  <c r="H34" i="139"/>
  <c r="F16" i="140"/>
  <c r="F22" i="140"/>
  <c r="F44" i="140"/>
  <c r="E32" i="141"/>
  <c r="D21" i="141"/>
  <c r="E41" i="141"/>
  <c r="G41" i="141"/>
  <c r="G47" i="141"/>
  <c r="J18" i="142"/>
  <c r="I48" i="142"/>
  <c r="I124" i="142"/>
  <c r="I156" i="142"/>
  <c r="K390" i="142"/>
  <c r="K392" i="142" s="1"/>
  <c r="I480" i="142"/>
  <c r="J11" i="143"/>
  <c r="G12" i="143"/>
  <c r="J13" i="143"/>
  <c r="D12" i="143"/>
  <c r="I120" i="143"/>
  <c r="I301" i="143"/>
  <c r="J373" i="143"/>
  <c r="I517" i="143"/>
  <c r="J31" i="139"/>
  <c r="J34" i="139" s="1"/>
  <c r="D47" i="141"/>
  <c r="F44" i="141"/>
  <c r="F20" i="142"/>
  <c r="J8" i="142"/>
  <c r="D16" i="142"/>
  <c r="D20" i="142" s="1"/>
  <c r="I52" i="142"/>
  <c r="I84" i="142"/>
  <c r="I300" i="142"/>
  <c r="I12" i="143"/>
  <c r="I192" i="143"/>
  <c r="I337" i="143"/>
  <c r="E16" i="139"/>
  <c r="D32" i="140"/>
  <c r="F23" i="140"/>
  <c r="F24" i="140"/>
  <c r="F29" i="140"/>
  <c r="F35" i="140"/>
  <c r="F36" i="140"/>
  <c r="F41" i="140"/>
  <c r="F13" i="141"/>
  <c r="G32" i="141"/>
  <c r="F28" i="141"/>
  <c r="F30" i="141"/>
  <c r="F43" i="141"/>
  <c r="C12" i="142"/>
  <c r="C14" i="142" s="1"/>
  <c r="G12" i="142"/>
  <c r="G14" i="142" s="1"/>
  <c r="I88" i="142"/>
  <c r="I228" i="142"/>
  <c r="J376" i="142"/>
  <c r="I408" i="142"/>
  <c r="I484" i="142"/>
  <c r="I516" i="142"/>
  <c r="J19" i="143"/>
  <c r="C12" i="143"/>
  <c r="F12" i="143"/>
  <c r="F122" i="143"/>
  <c r="F128" i="143" s="1"/>
  <c r="I228" i="143"/>
  <c r="J383" i="143"/>
  <c r="I409" i="143"/>
  <c r="I445" i="143"/>
  <c r="K16" i="142"/>
  <c r="J22" i="142"/>
  <c r="I192" i="142"/>
  <c r="I481" i="143"/>
  <c r="G21" i="140"/>
  <c r="G18" i="140"/>
  <c r="G15" i="140"/>
  <c r="G56" i="143"/>
  <c r="D56" i="143"/>
  <c r="I14" i="143"/>
  <c r="I381" i="143"/>
  <c r="I20" i="143" s="1"/>
  <c r="E14" i="143"/>
  <c r="E56" i="143"/>
  <c r="E20" i="143" s="1"/>
  <c r="I86" i="143"/>
  <c r="H200" i="143"/>
  <c r="I200" i="143" s="1"/>
  <c r="I194" i="143"/>
  <c r="F56" i="143"/>
  <c r="K14" i="143"/>
  <c r="K391" i="143"/>
  <c r="I272" i="143"/>
  <c r="I266" i="143"/>
  <c r="H417" i="143"/>
  <c r="H164" i="143"/>
  <c r="I164" i="143" s="1"/>
  <c r="I158" i="143"/>
  <c r="I48" i="143"/>
  <c r="D122" i="143"/>
  <c r="D128" i="143" s="1"/>
  <c r="I156" i="143"/>
  <c r="I264" i="143"/>
  <c r="H447" i="143"/>
  <c r="C50" i="143"/>
  <c r="C56" i="143" s="1"/>
  <c r="H303" i="143"/>
  <c r="H12" i="143"/>
  <c r="J25" i="143"/>
  <c r="H483" i="143"/>
  <c r="I84" i="143"/>
  <c r="H122" i="143"/>
  <c r="H128" i="143" s="1"/>
  <c r="H230" i="143"/>
  <c r="H236" i="143" s="1"/>
  <c r="F411" i="143"/>
  <c r="F417" i="143" s="1"/>
  <c r="H339" i="143"/>
  <c r="H519" i="143"/>
  <c r="K394" i="142"/>
  <c r="K34" i="142" s="1"/>
  <c r="K32" i="142"/>
  <c r="J12" i="142"/>
  <c r="I20" i="142"/>
  <c r="K14" i="142"/>
  <c r="J28" i="142"/>
  <c r="C380" i="142"/>
  <c r="C16" i="142"/>
  <c r="C20" i="142" s="1"/>
  <c r="J17" i="142"/>
  <c r="F29" i="141"/>
  <c r="F47" i="141"/>
  <c r="D41" i="141"/>
  <c r="F18" i="141"/>
  <c r="F26" i="141"/>
  <c r="F36" i="141"/>
  <c r="F38" i="141"/>
  <c r="F12" i="141"/>
  <c r="F17" i="141"/>
  <c r="F25" i="141"/>
  <c r="F35" i="141"/>
  <c r="F22" i="141"/>
  <c r="E21" i="140"/>
  <c r="F11" i="140"/>
  <c r="E18" i="140"/>
  <c r="F19" i="140"/>
  <c r="F27" i="140"/>
  <c r="F39" i="140"/>
  <c r="F47" i="140"/>
  <c r="F10" i="140"/>
  <c r="F26" i="140"/>
  <c r="F38" i="140"/>
  <c r="F46" i="140"/>
  <c r="E15" i="140"/>
  <c r="E34" i="139"/>
  <c r="C34" i="139"/>
  <c r="D17" i="138"/>
  <c r="I92" i="143" l="1"/>
  <c r="E48" i="141"/>
  <c r="J375" i="143"/>
  <c r="D32" i="141"/>
  <c r="F21" i="141"/>
  <c r="G489" i="143"/>
  <c r="I210" i="143"/>
  <c r="F21" i="140"/>
  <c r="J14" i="142"/>
  <c r="G20" i="143"/>
  <c r="I282" i="143"/>
  <c r="F15" i="140"/>
  <c r="G20" i="142"/>
  <c r="I174" i="143"/>
  <c r="J16" i="142"/>
  <c r="J12" i="143"/>
  <c r="I410" i="142"/>
  <c r="I266" i="142"/>
  <c r="I158" i="142"/>
  <c r="I518" i="142"/>
  <c r="I230" i="142"/>
  <c r="I302" i="142"/>
  <c r="I338" i="142"/>
  <c r="I122" i="142"/>
  <c r="I194" i="142"/>
  <c r="I86" i="142"/>
  <c r="I482" i="142"/>
  <c r="I50" i="142"/>
  <c r="J380" i="142"/>
  <c r="I446" i="142"/>
  <c r="F32" i="141"/>
  <c r="I56" i="143"/>
  <c r="C20" i="143"/>
  <c r="E32" i="140"/>
  <c r="I417" i="143"/>
  <c r="G48" i="141"/>
  <c r="F20" i="143"/>
  <c r="G32" i="140"/>
  <c r="I339" i="143"/>
  <c r="H345" i="143"/>
  <c r="I345" i="143" s="1"/>
  <c r="K30" i="143"/>
  <c r="K393" i="143"/>
  <c r="C14" i="143"/>
  <c r="I50" i="143"/>
  <c r="I122" i="143"/>
  <c r="I128" i="143"/>
  <c r="I411" i="143"/>
  <c r="F14" i="143"/>
  <c r="D14" i="143"/>
  <c r="H309" i="143"/>
  <c r="I309" i="143" s="1"/>
  <c r="I303" i="143"/>
  <c r="I230" i="143"/>
  <c r="I236" i="143"/>
  <c r="H489" i="143"/>
  <c r="I483" i="143"/>
  <c r="D20" i="143"/>
  <c r="H453" i="143"/>
  <c r="I453" i="143" s="1"/>
  <c r="I447" i="143"/>
  <c r="H14" i="143"/>
  <c r="I519" i="143"/>
  <c r="H525" i="143"/>
  <c r="K20" i="142"/>
  <c r="D48" i="141"/>
  <c r="F41" i="141"/>
  <c r="F48" i="141" s="1"/>
  <c r="F18" i="140"/>
  <c r="C23" i="109"/>
  <c r="D23" i="109"/>
  <c r="E23" i="109"/>
  <c r="F23" i="109"/>
  <c r="I176" i="143" l="1"/>
  <c r="I284" i="143"/>
  <c r="I212" i="143"/>
  <c r="J381" i="143"/>
  <c r="I319" i="143"/>
  <c r="I427" i="143"/>
  <c r="I246" i="143"/>
  <c r="I355" i="143"/>
  <c r="I463" i="143"/>
  <c r="F32" i="140"/>
  <c r="I66" i="143"/>
  <c r="J20" i="142"/>
  <c r="I489" i="143"/>
  <c r="I138" i="143"/>
  <c r="I102" i="143"/>
  <c r="I452" i="142"/>
  <c r="I92" i="142"/>
  <c r="I128" i="142"/>
  <c r="I308" i="142"/>
  <c r="I524" i="142"/>
  <c r="I272" i="142"/>
  <c r="I56" i="142"/>
  <c r="J390" i="142"/>
  <c r="I488" i="142"/>
  <c r="I200" i="142"/>
  <c r="I344" i="142"/>
  <c r="I236" i="142"/>
  <c r="I164" i="142"/>
  <c r="I416" i="142"/>
  <c r="I525" i="143"/>
  <c r="G23" i="109"/>
  <c r="J14" i="143"/>
  <c r="K395" i="143"/>
  <c r="K34" i="143" s="1"/>
  <c r="K32" i="143"/>
  <c r="H20" i="143"/>
  <c r="J20" i="143" s="1"/>
  <c r="K30" i="142"/>
  <c r="I178" i="143" l="1"/>
  <c r="I357" i="143"/>
  <c r="J391" i="143"/>
  <c r="I321" i="143"/>
  <c r="I248" i="143"/>
  <c r="I104" i="143"/>
  <c r="I214" i="143"/>
  <c r="I429" i="143"/>
  <c r="I286" i="143"/>
  <c r="I499" i="143"/>
  <c r="I246" i="142"/>
  <c r="I248" i="142" s="1"/>
  <c r="I535" i="143"/>
  <c r="I140" i="143"/>
  <c r="I465" i="143"/>
  <c r="I426" i="142"/>
  <c r="J392" i="142"/>
  <c r="I282" i="142"/>
  <c r="I318" i="142"/>
  <c r="I102" i="142"/>
  <c r="I174" i="142"/>
  <c r="I210" i="142"/>
  <c r="I498" i="142"/>
  <c r="I66" i="142"/>
  <c r="I534" i="142"/>
  <c r="I138" i="142"/>
  <c r="J30" i="143"/>
  <c r="I68" i="143"/>
  <c r="I323" i="143" l="1"/>
  <c r="J393" i="143"/>
  <c r="J395" i="143" s="1"/>
  <c r="I467" i="143"/>
  <c r="I501" i="143"/>
  <c r="I106" i="143"/>
  <c r="I142" i="143"/>
  <c r="I359" i="143"/>
  <c r="I537" i="143"/>
  <c r="I431" i="143"/>
  <c r="I250" i="143"/>
  <c r="I140" i="142"/>
  <c r="I284" i="142"/>
  <c r="I250" i="142"/>
  <c r="I68" i="142"/>
  <c r="I212" i="142"/>
  <c r="I104" i="142"/>
  <c r="I536" i="142"/>
  <c r="I500" i="142"/>
  <c r="I176" i="142"/>
  <c r="I320" i="142"/>
  <c r="J394" i="142"/>
  <c r="I428" i="142"/>
  <c r="J32" i="143"/>
  <c r="I70" i="143"/>
  <c r="I539" i="143" l="1"/>
  <c r="I503" i="143"/>
  <c r="I106" i="142"/>
  <c r="I70" i="142"/>
  <c r="I286" i="142"/>
  <c r="I430" i="142"/>
  <c r="I322" i="142"/>
  <c r="I502" i="142"/>
  <c r="I178" i="142"/>
  <c r="I538" i="142"/>
  <c r="I214" i="142"/>
  <c r="I142" i="142"/>
  <c r="G7" i="116"/>
  <c r="G8" i="116"/>
  <c r="G10" i="116"/>
  <c r="G6" i="116"/>
  <c r="G9" i="116"/>
  <c r="G32" i="116"/>
  <c r="G45" i="116"/>
  <c r="G55" i="116"/>
  <c r="G65" i="116"/>
  <c r="G78" i="116"/>
  <c r="G89" i="116"/>
  <c r="G112" i="116"/>
  <c r="G122" i="116"/>
  <c r="G133" i="116"/>
  <c r="G146" i="116"/>
  <c r="G156" i="116"/>
  <c r="G167" i="116"/>
  <c r="G177" i="116"/>
  <c r="J34" i="143" l="1"/>
  <c r="G11" i="116"/>
  <c r="G99" i="116"/>
  <c r="G8" i="115"/>
  <c r="G31" i="115"/>
  <c r="G43" i="115"/>
  <c r="G63" i="115"/>
  <c r="G73" i="115"/>
  <c r="G85" i="115"/>
  <c r="G7" i="115"/>
  <c r="G9" i="115"/>
  <c r="G10" i="115"/>
  <c r="G105" i="115"/>
  <c r="G114" i="115"/>
  <c r="G126" i="115"/>
  <c r="G136" i="115"/>
  <c r="G146" i="115"/>
  <c r="G155" i="115"/>
  <c r="G164" i="115"/>
  <c r="G11" i="115" l="1"/>
  <c r="G95" i="115"/>
  <c r="H17" i="114" l="1"/>
  <c r="H132" i="114"/>
  <c r="H118" i="114"/>
  <c r="H111" i="114"/>
  <c r="H104" i="114"/>
  <c r="H94" i="114"/>
  <c r="H86" i="114"/>
  <c r="H78" i="114"/>
  <c r="H68" i="114"/>
  <c r="H60" i="114"/>
  <c r="H52" i="114"/>
  <c r="H33" i="114"/>
  <c r="H25" i="114"/>
  <c r="G20" i="113" l="1"/>
  <c r="H20" i="112"/>
  <c r="G254" i="135" l="1"/>
  <c r="H254" i="135"/>
  <c r="I254" i="135"/>
  <c r="K254" i="135"/>
  <c r="L254" i="135"/>
  <c r="M254" i="135"/>
  <c r="D254" i="135"/>
  <c r="E254" i="135"/>
  <c r="C254" i="135"/>
  <c r="L7" i="135"/>
  <c r="M7" i="135"/>
  <c r="L8" i="135"/>
  <c r="M8" i="135"/>
  <c r="L9" i="135"/>
  <c r="M9" i="135"/>
  <c r="L10" i="135"/>
  <c r="M10" i="135"/>
  <c r="L11" i="135"/>
  <c r="M11" i="135"/>
  <c r="L12" i="135"/>
  <c r="M12" i="135"/>
  <c r="L13" i="135"/>
  <c r="M13" i="135"/>
  <c r="L14" i="135"/>
  <c r="M14" i="135"/>
  <c r="L15" i="135"/>
  <c r="M15" i="135"/>
  <c r="K15" i="135"/>
  <c r="K8" i="135"/>
  <c r="K9" i="135"/>
  <c r="K10" i="135"/>
  <c r="K11" i="135"/>
  <c r="K12" i="135"/>
  <c r="K13" i="135"/>
  <c r="K14" i="135"/>
  <c r="K7" i="135"/>
  <c r="H7" i="135"/>
  <c r="I7" i="135"/>
  <c r="H8" i="135"/>
  <c r="I8" i="135"/>
  <c r="H9" i="135"/>
  <c r="I9" i="135"/>
  <c r="H10" i="135"/>
  <c r="I10" i="135"/>
  <c r="H11" i="135"/>
  <c r="I11" i="135"/>
  <c r="H12" i="135"/>
  <c r="I12" i="135"/>
  <c r="H13" i="135"/>
  <c r="I13" i="135"/>
  <c r="H14" i="135"/>
  <c r="I14" i="135"/>
  <c r="H15" i="135"/>
  <c r="I15" i="135"/>
  <c r="G8" i="135"/>
  <c r="G9" i="135"/>
  <c r="G10" i="135"/>
  <c r="G11" i="135"/>
  <c r="G12" i="135"/>
  <c r="G13" i="135"/>
  <c r="G14" i="135"/>
  <c r="G15" i="135"/>
  <c r="G7" i="135"/>
  <c r="D7" i="135"/>
  <c r="E7" i="135"/>
  <c r="D8" i="135"/>
  <c r="E8" i="135"/>
  <c r="D9" i="135"/>
  <c r="E9" i="135"/>
  <c r="D10" i="135"/>
  <c r="E10" i="135"/>
  <c r="D11" i="135"/>
  <c r="E11" i="135"/>
  <c r="D12" i="135"/>
  <c r="E12" i="135"/>
  <c r="D13" i="135"/>
  <c r="E13" i="135"/>
  <c r="D14" i="135"/>
  <c r="E14" i="135"/>
  <c r="D15" i="135"/>
  <c r="E15" i="135"/>
  <c r="C8" i="135"/>
  <c r="C9" i="135"/>
  <c r="C10" i="135"/>
  <c r="C11" i="135"/>
  <c r="C12" i="135"/>
  <c r="C13" i="135"/>
  <c r="C14" i="135"/>
  <c r="C15" i="135"/>
  <c r="C7" i="135"/>
  <c r="G337" i="135"/>
  <c r="H337" i="135"/>
  <c r="I337" i="135"/>
  <c r="K337" i="135"/>
  <c r="L337" i="135"/>
  <c r="M337" i="135"/>
  <c r="F7" i="135" l="1"/>
  <c r="J31" i="104" l="1"/>
  <c r="J18" i="104" l="1"/>
  <c r="I18" i="104"/>
  <c r="C18" i="104" l="1"/>
  <c r="J22" i="100" l="1"/>
  <c r="D238" i="135" l="1"/>
  <c r="E238" i="135"/>
  <c r="G238" i="135"/>
  <c r="H238" i="135"/>
  <c r="I238" i="135"/>
  <c r="K238" i="135"/>
  <c r="L238" i="135"/>
  <c r="M238" i="135"/>
  <c r="C238" i="135"/>
  <c r="N450" i="135"/>
  <c r="N449" i="135"/>
  <c r="N448" i="135"/>
  <c r="N447" i="135"/>
  <c r="N446" i="135"/>
  <c r="N445" i="135"/>
  <c r="N444" i="135"/>
  <c r="N443" i="135"/>
  <c r="N442" i="135"/>
  <c r="J450" i="135"/>
  <c r="J449" i="135"/>
  <c r="J448" i="135"/>
  <c r="J447" i="135"/>
  <c r="J446" i="135"/>
  <c r="J445" i="135"/>
  <c r="J444" i="135"/>
  <c r="J443" i="135"/>
  <c r="J442" i="135"/>
  <c r="F450" i="135"/>
  <c r="F449" i="135"/>
  <c r="F448" i="135"/>
  <c r="F447" i="135"/>
  <c r="F446" i="135"/>
  <c r="F445" i="135"/>
  <c r="F444" i="135"/>
  <c r="F443" i="135"/>
  <c r="F442" i="135"/>
  <c r="N434" i="135"/>
  <c r="N433" i="135"/>
  <c r="N432" i="135"/>
  <c r="N431" i="135"/>
  <c r="N430" i="135"/>
  <c r="N429" i="135"/>
  <c r="N428" i="135"/>
  <c r="N427" i="135"/>
  <c r="N426" i="135"/>
  <c r="J434" i="135"/>
  <c r="J433" i="135"/>
  <c r="J432" i="135"/>
  <c r="J431" i="135"/>
  <c r="J430" i="135"/>
  <c r="J429" i="135"/>
  <c r="J428" i="135"/>
  <c r="J427" i="135"/>
  <c r="J426" i="135"/>
  <c r="F434" i="135"/>
  <c r="F433" i="135"/>
  <c r="F432" i="135"/>
  <c r="F431" i="135"/>
  <c r="F430" i="135"/>
  <c r="F429" i="135"/>
  <c r="F428" i="135"/>
  <c r="F427" i="135"/>
  <c r="F426" i="135"/>
  <c r="N418" i="135"/>
  <c r="N417" i="135"/>
  <c r="N416" i="135"/>
  <c r="N415" i="135"/>
  <c r="N414" i="135"/>
  <c r="N413" i="135"/>
  <c r="N412" i="135"/>
  <c r="N411" i="135"/>
  <c r="N410" i="135"/>
  <c r="J418" i="135"/>
  <c r="J417" i="135"/>
  <c r="J416" i="135"/>
  <c r="J415" i="135"/>
  <c r="J414" i="135"/>
  <c r="J413" i="135"/>
  <c r="J412" i="135"/>
  <c r="J411" i="135"/>
  <c r="J410" i="135"/>
  <c r="F418" i="135"/>
  <c r="F417" i="135"/>
  <c r="F416" i="135"/>
  <c r="F415" i="135"/>
  <c r="F414" i="135"/>
  <c r="F413" i="135"/>
  <c r="F412" i="135"/>
  <c r="F411" i="135"/>
  <c r="F410" i="135"/>
  <c r="N401" i="135"/>
  <c r="N400" i="135"/>
  <c r="N399" i="135"/>
  <c r="N398" i="135"/>
  <c r="N397" i="135"/>
  <c r="N396" i="135"/>
  <c r="N395" i="135"/>
  <c r="N394" i="135"/>
  <c r="N393" i="135"/>
  <c r="J401" i="135"/>
  <c r="J400" i="135"/>
  <c r="J399" i="135"/>
  <c r="J398" i="135"/>
  <c r="J397" i="135"/>
  <c r="J396" i="135"/>
  <c r="J395" i="135"/>
  <c r="J394" i="135"/>
  <c r="J393" i="135"/>
  <c r="F401" i="135"/>
  <c r="F400" i="135"/>
  <c r="F399" i="135"/>
  <c r="F398" i="135"/>
  <c r="F397" i="135"/>
  <c r="F396" i="135"/>
  <c r="F395" i="135"/>
  <c r="F394" i="135"/>
  <c r="F393" i="135"/>
  <c r="N385" i="135"/>
  <c r="N384" i="135"/>
  <c r="N383" i="135"/>
  <c r="N382" i="135"/>
  <c r="N381" i="135"/>
  <c r="N380" i="135"/>
  <c r="N379" i="135"/>
  <c r="N378" i="135"/>
  <c r="N377" i="135"/>
  <c r="J385" i="135"/>
  <c r="J384" i="135"/>
  <c r="J383" i="135"/>
  <c r="J382" i="135"/>
  <c r="J381" i="135"/>
  <c r="J380" i="135"/>
  <c r="J379" i="135"/>
  <c r="J378" i="135"/>
  <c r="J377" i="135"/>
  <c r="F385" i="135"/>
  <c r="F384" i="135"/>
  <c r="F383" i="135"/>
  <c r="F382" i="135"/>
  <c r="F381" i="135"/>
  <c r="F380" i="135"/>
  <c r="F379" i="135"/>
  <c r="F378" i="135"/>
  <c r="F377" i="135"/>
  <c r="N369" i="135"/>
  <c r="N368" i="135"/>
  <c r="N367" i="135"/>
  <c r="N366" i="135"/>
  <c r="N365" i="135"/>
  <c r="N364" i="135"/>
  <c r="N363" i="135"/>
  <c r="N362" i="135"/>
  <c r="N361" i="135"/>
  <c r="J369" i="135"/>
  <c r="J368" i="135"/>
  <c r="J367" i="135"/>
  <c r="J366" i="135"/>
  <c r="J365" i="135"/>
  <c r="J364" i="135"/>
  <c r="J363" i="135"/>
  <c r="J362" i="135"/>
  <c r="J361" i="135"/>
  <c r="F369" i="135"/>
  <c r="F368" i="135"/>
  <c r="F367" i="135"/>
  <c r="F366" i="135"/>
  <c r="F365" i="135"/>
  <c r="F364" i="135"/>
  <c r="F363" i="135"/>
  <c r="F362" i="135"/>
  <c r="F361" i="135"/>
  <c r="N352" i="135"/>
  <c r="N351" i="135"/>
  <c r="N350" i="135"/>
  <c r="N349" i="135"/>
  <c r="N348" i="135"/>
  <c r="N347" i="135"/>
  <c r="N346" i="135"/>
  <c r="N345" i="135"/>
  <c r="N344" i="135"/>
  <c r="J352" i="135"/>
  <c r="J351" i="135"/>
  <c r="J350" i="135"/>
  <c r="J349" i="135"/>
  <c r="J348" i="135"/>
  <c r="J347" i="135"/>
  <c r="J346" i="135"/>
  <c r="J345" i="135"/>
  <c r="J344" i="135"/>
  <c r="F352" i="135"/>
  <c r="F351" i="135"/>
  <c r="F350" i="135"/>
  <c r="F349" i="135"/>
  <c r="F348" i="135"/>
  <c r="F347" i="135"/>
  <c r="F346" i="135"/>
  <c r="F345" i="135"/>
  <c r="F344" i="135"/>
  <c r="N336" i="135"/>
  <c r="N335" i="135"/>
  <c r="N334" i="135"/>
  <c r="N333" i="135"/>
  <c r="N332" i="135"/>
  <c r="N331" i="135"/>
  <c r="N330" i="135"/>
  <c r="N329" i="135"/>
  <c r="N328" i="135"/>
  <c r="J336" i="135"/>
  <c r="J335" i="135"/>
  <c r="J334" i="135"/>
  <c r="J333" i="135"/>
  <c r="J332" i="135"/>
  <c r="J331" i="135"/>
  <c r="J330" i="135"/>
  <c r="J329" i="135"/>
  <c r="J328" i="135"/>
  <c r="F336" i="135"/>
  <c r="F335" i="135"/>
  <c r="F334" i="135"/>
  <c r="F333" i="135"/>
  <c r="F332" i="135"/>
  <c r="F331" i="135"/>
  <c r="F330" i="135"/>
  <c r="F329" i="135"/>
  <c r="F328" i="135"/>
  <c r="N320" i="135"/>
  <c r="N319" i="135"/>
  <c r="N318" i="135"/>
  <c r="N317" i="135"/>
  <c r="N316" i="135"/>
  <c r="N315" i="135"/>
  <c r="N314" i="135"/>
  <c r="N313" i="135"/>
  <c r="N312" i="135"/>
  <c r="J320" i="135"/>
  <c r="J319" i="135"/>
  <c r="J318" i="135"/>
  <c r="J317" i="135"/>
  <c r="J316" i="135"/>
  <c r="J315" i="135"/>
  <c r="J314" i="135"/>
  <c r="J313" i="135"/>
  <c r="J312" i="135"/>
  <c r="F320" i="135"/>
  <c r="F319" i="135"/>
  <c r="F318" i="135"/>
  <c r="F317" i="135"/>
  <c r="F316" i="135"/>
  <c r="F315" i="135"/>
  <c r="F314" i="135"/>
  <c r="F313" i="135"/>
  <c r="F312" i="135"/>
  <c r="N303" i="135"/>
  <c r="N302" i="135"/>
  <c r="N301" i="135"/>
  <c r="N300" i="135"/>
  <c r="N299" i="135"/>
  <c r="N298" i="135"/>
  <c r="N297" i="135"/>
  <c r="N296" i="135"/>
  <c r="N295" i="135"/>
  <c r="J303" i="135"/>
  <c r="J302" i="135"/>
  <c r="J301" i="135"/>
  <c r="J300" i="135"/>
  <c r="J299" i="135"/>
  <c r="J298" i="135"/>
  <c r="J297" i="135"/>
  <c r="J296" i="135"/>
  <c r="J295" i="135"/>
  <c r="F303" i="135"/>
  <c r="F302" i="135"/>
  <c r="F301" i="135"/>
  <c r="F300" i="135"/>
  <c r="F299" i="135"/>
  <c r="F298" i="135"/>
  <c r="F297" i="135"/>
  <c r="F296" i="135"/>
  <c r="F295" i="135"/>
  <c r="N287" i="135"/>
  <c r="N286" i="135"/>
  <c r="N285" i="135"/>
  <c r="N284" i="135"/>
  <c r="N283" i="135"/>
  <c r="N282" i="135"/>
  <c r="N281" i="135"/>
  <c r="N280" i="135"/>
  <c r="N279" i="135"/>
  <c r="J287" i="135"/>
  <c r="J286" i="135"/>
  <c r="J285" i="135"/>
  <c r="J284" i="135"/>
  <c r="J283" i="135"/>
  <c r="J282" i="135"/>
  <c r="J281" i="135"/>
  <c r="J280" i="135"/>
  <c r="J279" i="135"/>
  <c r="F287" i="135"/>
  <c r="F286" i="135"/>
  <c r="F285" i="135"/>
  <c r="F284" i="135"/>
  <c r="F283" i="135"/>
  <c r="F282" i="135"/>
  <c r="F281" i="135"/>
  <c r="F280" i="135"/>
  <c r="F279" i="135"/>
  <c r="N269" i="135"/>
  <c r="N268" i="135"/>
  <c r="N267" i="135"/>
  <c r="N266" i="135"/>
  <c r="N265" i="135"/>
  <c r="N264" i="135"/>
  <c r="N263" i="135"/>
  <c r="N262" i="135"/>
  <c r="N261" i="135"/>
  <c r="J269" i="135"/>
  <c r="J268" i="135"/>
  <c r="J267" i="135"/>
  <c r="J266" i="135"/>
  <c r="J265" i="135"/>
  <c r="J264" i="135"/>
  <c r="J263" i="135"/>
  <c r="J262" i="135"/>
  <c r="J261" i="135"/>
  <c r="F269" i="135"/>
  <c r="F268" i="135"/>
  <c r="F267" i="135"/>
  <c r="F266" i="135"/>
  <c r="F265" i="135"/>
  <c r="F264" i="135"/>
  <c r="F263" i="135"/>
  <c r="F262" i="135"/>
  <c r="F261" i="135"/>
  <c r="N253" i="135"/>
  <c r="N252" i="135"/>
  <c r="N251" i="135"/>
  <c r="N250" i="135"/>
  <c r="N249" i="135"/>
  <c r="N248" i="135"/>
  <c r="N247" i="135"/>
  <c r="N246" i="135"/>
  <c r="N245" i="135"/>
  <c r="J253" i="135"/>
  <c r="J252" i="135"/>
  <c r="J251" i="135"/>
  <c r="J250" i="135"/>
  <c r="J249" i="135"/>
  <c r="J248" i="135"/>
  <c r="J247" i="135"/>
  <c r="J246" i="135"/>
  <c r="J245" i="135"/>
  <c r="F253" i="135"/>
  <c r="F252" i="135"/>
  <c r="F251" i="135"/>
  <c r="F250" i="135"/>
  <c r="F249" i="135"/>
  <c r="F248" i="135"/>
  <c r="F247" i="135"/>
  <c r="F246" i="135"/>
  <c r="F245" i="135"/>
  <c r="N237" i="135"/>
  <c r="N236" i="135"/>
  <c r="N235" i="135"/>
  <c r="N234" i="135"/>
  <c r="N233" i="135"/>
  <c r="N232" i="135"/>
  <c r="N231" i="135"/>
  <c r="N230" i="135"/>
  <c r="N229" i="135"/>
  <c r="J237" i="135"/>
  <c r="J236" i="135"/>
  <c r="J235" i="135"/>
  <c r="J234" i="135"/>
  <c r="J233" i="135"/>
  <c r="J232" i="135"/>
  <c r="J231" i="135"/>
  <c r="J230" i="135"/>
  <c r="J229" i="135"/>
  <c r="F237" i="135"/>
  <c r="F236" i="135"/>
  <c r="F235" i="135"/>
  <c r="F234" i="135"/>
  <c r="F233" i="135"/>
  <c r="F232" i="135"/>
  <c r="F231" i="135"/>
  <c r="F230" i="135"/>
  <c r="F229" i="135"/>
  <c r="N220" i="135"/>
  <c r="N219" i="135"/>
  <c r="N218" i="135"/>
  <c r="N217" i="135"/>
  <c r="N216" i="135"/>
  <c r="N215" i="135"/>
  <c r="N214" i="135"/>
  <c r="N213" i="135"/>
  <c r="N212" i="135"/>
  <c r="J220" i="135"/>
  <c r="J219" i="135"/>
  <c r="J218" i="135"/>
  <c r="J217" i="135"/>
  <c r="J216" i="135"/>
  <c r="J215" i="135"/>
  <c r="J214" i="135"/>
  <c r="J213" i="135"/>
  <c r="J212" i="135"/>
  <c r="F220" i="135"/>
  <c r="F219" i="135"/>
  <c r="F218" i="135"/>
  <c r="F217" i="135"/>
  <c r="F216" i="135"/>
  <c r="F215" i="135"/>
  <c r="F214" i="135"/>
  <c r="F213" i="135"/>
  <c r="F212" i="135"/>
  <c r="N204" i="135"/>
  <c r="N203" i="135"/>
  <c r="N202" i="135"/>
  <c r="N201" i="135"/>
  <c r="N200" i="135"/>
  <c r="N199" i="135"/>
  <c r="N198" i="135"/>
  <c r="N197" i="135"/>
  <c r="N196" i="135"/>
  <c r="J204" i="135"/>
  <c r="J203" i="135"/>
  <c r="J202" i="135"/>
  <c r="J201" i="135"/>
  <c r="J200" i="135"/>
  <c r="J199" i="135"/>
  <c r="J198" i="135"/>
  <c r="J197" i="135"/>
  <c r="J196" i="135"/>
  <c r="F204" i="135"/>
  <c r="F203" i="135"/>
  <c r="F202" i="135"/>
  <c r="F201" i="135"/>
  <c r="F200" i="135"/>
  <c r="F199" i="135"/>
  <c r="F198" i="135"/>
  <c r="F197" i="135"/>
  <c r="F196" i="135"/>
  <c r="N188" i="135"/>
  <c r="N187" i="135"/>
  <c r="N186" i="135"/>
  <c r="N185" i="135"/>
  <c r="N184" i="135"/>
  <c r="N183" i="135"/>
  <c r="N182" i="135"/>
  <c r="N181" i="135"/>
  <c r="N180" i="135"/>
  <c r="J188" i="135"/>
  <c r="J187" i="135"/>
  <c r="J186" i="135"/>
  <c r="J185" i="135"/>
  <c r="J184" i="135"/>
  <c r="J183" i="135"/>
  <c r="J182" i="135"/>
  <c r="J181" i="135"/>
  <c r="J180" i="135"/>
  <c r="F188" i="135"/>
  <c r="F187" i="135"/>
  <c r="F186" i="135"/>
  <c r="F185" i="135"/>
  <c r="F184" i="135"/>
  <c r="F183" i="135"/>
  <c r="F182" i="135"/>
  <c r="F181" i="135"/>
  <c r="F180" i="135"/>
  <c r="N171" i="135"/>
  <c r="N170" i="135"/>
  <c r="N169" i="135"/>
  <c r="N168" i="135"/>
  <c r="N167" i="135"/>
  <c r="N166" i="135"/>
  <c r="N165" i="135"/>
  <c r="N164" i="135"/>
  <c r="N163" i="135"/>
  <c r="J171" i="135"/>
  <c r="J170" i="135"/>
  <c r="J169" i="135"/>
  <c r="J168" i="135"/>
  <c r="J167" i="135"/>
  <c r="J166" i="135"/>
  <c r="J165" i="135"/>
  <c r="J164" i="135"/>
  <c r="J163" i="135"/>
  <c r="F171" i="135"/>
  <c r="F170" i="135"/>
  <c r="F169" i="135"/>
  <c r="F168" i="135"/>
  <c r="F167" i="135"/>
  <c r="F166" i="135"/>
  <c r="F165" i="135"/>
  <c r="F164" i="135"/>
  <c r="F163" i="135"/>
  <c r="N155" i="135"/>
  <c r="N154" i="135"/>
  <c r="N153" i="135"/>
  <c r="N152" i="135"/>
  <c r="N151" i="135"/>
  <c r="N150" i="135"/>
  <c r="N149" i="135"/>
  <c r="N148" i="135"/>
  <c r="N147" i="135"/>
  <c r="J155" i="135"/>
  <c r="J154" i="135"/>
  <c r="J153" i="135"/>
  <c r="J152" i="135"/>
  <c r="J151" i="135"/>
  <c r="J150" i="135"/>
  <c r="J149" i="135"/>
  <c r="J148" i="135"/>
  <c r="J147" i="135"/>
  <c r="F155" i="135"/>
  <c r="F154" i="135"/>
  <c r="F153" i="135"/>
  <c r="F152" i="135"/>
  <c r="F151" i="135"/>
  <c r="F150" i="135"/>
  <c r="F149" i="135"/>
  <c r="F148" i="135"/>
  <c r="F147" i="135"/>
  <c r="N139" i="135"/>
  <c r="N138" i="135"/>
  <c r="N137" i="135"/>
  <c r="N136" i="135"/>
  <c r="N135" i="135"/>
  <c r="N134" i="135"/>
  <c r="N133" i="135"/>
  <c r="N132" i="135"/>
  <c r="N131" i="135"/>
  <c r="J139" i="135"/>
  <c r="J138" i="135"/>
  <c r="J137" i="135"/>
  <c r="J136" i="135"/>
  <c r="J135" i="135"/>
  <c r="J134" i="135"/>
  <c r="J133" i="135"/>
  <c r="J132" i="135"/>
  <c r="J131" i="135"/>
  <c r="F139" i="135"/>
  <c r="F138" i="135"/>
  <c r="F137" i="135"/>
  <c r="F136" i="135"/>
  <c r="F135" i="135"/>
  <c r="F134" i="135"/>
  <c r="F133" i="135"/>
  <c r="F132" i="135"/>
  <c r="F131" i="135"/>
  <c r="N122" i="135"/>
  <c r="N121" i="135"/>
  <c r="N120" i="135"/>
  <c r="N119" i="135"/>
  <c r="N118" i="135"/>
  <c r="N117" i="135"/>
  <c r="N116" i="135"/>
  <c r="N115" i="135"/>
  <c r="N114" i="135"/>
  <c r="J122" i="135"/>
  <c r="J121" i="135"/>
  <c r="J120" i="135"/>
  <c r="J119" i="135"/>
  <c r="J118" i="135"/>
  <c r="J117" i="135"/>
  <c r="J116" i="135"/>
  <c r="J115" i="135"/>
  <c r="J114" i="135"/>
  <c r="F122" i="135"/>
  <c r="F121" i="135"/>
  <c r="F120" i="135"/>
  <c r="F119" i="135"/>
  <c r="F118" i="135"/>
  <c r="F117" i="135"/>
  <c r="F116" i="135"/>
  <c r="F115" i="135"/>
  <c r="F114" i="135"/>
  <c r="N107" i="135"/>
  <c r="N106" i="135"/>
  <c r="N105" i="135"/>
  <c r="N104" i="135"/>
  <c r="N103" i="135"/>
  <c r="N102" i="135"/>
  <c r="N101" i="135"/>
  <c r="N100" i="135"/>
  <c r="N99" i="135"/>
  <c r="J107" i="135"/>
  <c r="J106" i="135"/>
  <c r="J105" i="135"/>
  <c r="J104" i="135"/>
  <c r="J103" i="135"/>
  <c r="J102" i="135"/>
  <c r="J101" i="135"/>
  <c r="J100" i="135"/>
  <c r="J99" i="135"/>
  <c r="F107" i="135"/>
  <c r="F106" i="135"/>
  <c r="F105" i="135"/>
  <c r="F104" i="135"/>
  <c r="F103" i="135"/>
  <c r="F102" i="135"/>
  <c r="F101" i="135"/>
  <c r="F100" i="135"/>
  <c r="F99" i="135"/>
  <c r="N92" i="135"/>
  <c r="N91" i="135"/>
  <c r="N90" i="135"/>
  <c r="N89" i="135"/>
  <c r="N88" i="135"/>
  <c r="N87" i="135"/>
  <c r="N86" i="135"/>
  <c r="N85" i="135"/>
  <c r="N84" i="135"/>
  <c r="J92" i="135"/>
  <c r="J91" i="135"/>
  <c r="J90" i="135"/>
  <c r="J89" i="135"/>
  <c r="J88" i="135"/>
  <c r="J87" i="135"/>
  <c r="J86" i="135"/>
  <c r="J85" i="135"/>
  <c r="J84" i="135"/>
  <c r="F92" i="135"/>
  <c r="F91" i="135"/>
  <c r="F90" i="135"/>
  <c r="F89" i="135"/>
  <c r="F88" i="135"/>
  <c r="F87" i="135"/>
  <c r="F86" i="135"/>
  <c r="F85" i="135"/>
  <c r="F84" i="135"/>
  <c r="N76" i="135"/>
  <c r="N75" i="135"/>
  <c r="N74" i="135"/>
  <c r="N73" i="135"/>
  <c r="N72" i="135"/>
  <c r="N71" i="135"/>
  <c r="N70" i="135"/>
  <c r="N69" i="135"/>
  <c r="N68" i="135"/>
  <c r="J76" i="135"/>
  <c r="J75" i="135"/>
  <c r="J74" i="135"/>
  <c r="J73" i="135"/>
  <c r="J72" i="135"/>
  <c r="J71" i="135"/>
  <c r="J70" i="135"/>
  <c r="J69" i="135"/>
  <c r="J68" i="135"/>
  <c r="F76" i="135"/>
  <c r="F75" i="135"/>
  <c r="F74" i="135"/>
  <c r="F73" i="135"/>
  <c r="F72" i="135"/>
  <c r="F71" i="135"/>
  <c r="F70" i="135"/>
  <c r="F69" i="135"/>
  <c r="F68" i="135"/>
  <c r="N61" i="135"/>
  <c r="N60" i="135"/>
  <c r="N59" i="135"/>
  <c r="N58" i="135"/>
  <c r="N57" i="135"/>
  <c r="N56" i="135"/>
  <c r="N55" i="135"/>
  <c r="N54" i="135"/>
  <c r="N53" i="135"/>
  <c r="J61" i="135"/>
  <c r="J60" i="135"/>
  <c r="J59" i="135"/>
  <c r="J58" i="135"/>
  <c r="J57" i="135"/>
  <c r="J56" i="135"/>
  <c r="J55" i="135"/>
  <c r="J54" i="135"/>
  <c r="J53" i="135"/>
  <c r="H47" i="135"/>
  <c r="I47" i="135"/>
  <c r="K47" i="135"/>
  <c r="L47" i="135"/>
  <c r="M47" i="135"/>
  <c r="C47" i="135"/>
  <c r="D47" i="135"/>
  <c r="E47" i="135"/>
  <c r="N46" i="135"/>
  <c r="N45" i="135"/>
  <c r="N44" i="135"/>
  <c r="N43" i="135"/>
  <c r="N42" i="135"/>
  <c r="N41" i="135"/>
  <c r="N40" i="135"/>
  <c r="N39" i="135"/>
  <c r="N38" i="135"/>
  <c r="J46" i="135"/>
  <c r="J45" i="135"/>
  <c r="J44" i="135"/>
  <c r="J43" i="135"/>
  <c r="J42" i="135"/>
  <c r="J41" i="135"/>
  <c r="J40" i="135"/>
  <c r="J39" i="135"/>
  <c r="J38" i="135"/>
  <c r="F46" i="135"/>
  <c r="F45" i="135"/>
  <c r="F44" i="135"/>
  <c r="F43" i="135"/>
  <c r="F42" i="135"/>
  <c r="F41" i="135"/>
  <c r="F40" i="135"/>
  <c r="F39" i="135"/>
  <c r="F38" i="135"/>
  <c r="N30" i="135"/>
  <c r="N29" i="135"/>
  <c r="N28" i="135"/>
  <c r="N27" i="135"/>
  <c r="N26" i="135"/>
  <c r="N25" i="135"/>
  <c r="N24" i="135"/>
  <c r="N23" i="135"/>
  <c r="N22" i="135"/>
  <c r="J30" i="135"/>
  <c r="J29" i="135"/>
  <c r="J28" i="135"/>
  <c r="J27" i="135"/>
  <c r="J26" i="135"/>
  <c r="J25" i="135"/>
  <c r="J24" i="135"/>
  <c r="J23" i="135"/>
  <c r="J22" i="135"/>
  <c r="D31" i="135"/>
  <c r="E31" i="135"/>
  <c r="G31" i="135"/>
  <c r="H31" i="135"/>
  <c r="I31" i="135"/>
  <c r="K31" i="135"/>
  <c r="L31" i="135"/>
  <c r="M31" i="135"/>
  <c r="C31" i="135"/>
  <c r="F77" i="135" l="1"/>
  <c r="N77" i="135"/>
  <c r="J77" i="135"/>
  <c r="J238" i="135"/>
  <c r="J31" i="135"/>
  <c r="N254" i="135"/>
  <c r="N238" i="135"/>
  <c r="J337" i="135"/>
  <c r="J254" i="135"/>
  <c r="N419" i="135"/>
  <c r="N337" i="135"/>
  <c r="F337" i="135"/>
  <c r="F254" i="135"/>
  <c r="F238" i="135"/>
  <c r="F47" i="135"/>
  <c r="J47" i="135"/>
  <c r="N47" i="135"/>
  <c r="N31" i="135"/>
  <c r="J36" i="104" l="1"/>
  <c r="C10" i="116" l="1"/>
  <c r="C9" i="116"/>
  <c r="D9" i="116"/>
  <c r="C8" i="116"/>
  <c r="D8" i="116"/>
  <c r="E8" i="116"/>
  <c r="F8" i="116"/>
  <c r="C7" i="116"/>
  <c r="D7" i="116"/>
  <c r="C6" i="116"/>
  <c r="D6" i="116"/>
  <c r="C31" i="115"/>
  <c r="C8" i="115"/>
  <c r="D8" i="115"/>
  <c r="E8" i="115"/>
  <c r="F8" i="115"/>
  <c r="C9" i="115"/>
  <c r="D9" i="115"/>
  <c r="C7" i="115"/>
  <c r="D7" i="115"/>
  <c r="C6" i="115"/>
  <c r="D6" i="115"/>
  <c r="D9" i="114"/>
  <c r="E9" i="114"/>
  <c r="F9" i="114"/>
  <c r="G9" i="114"/>
  <c r="C419" i="135"/>
  <c r="J419" i="135"/>
  <c r="M419" i="135"/>
  <c r="L419" i="135"/>
  <c r="K419" i="135"/>
  <c r="I419" i="135"/>
  <c r="H419" i="135"/>
  <c r="G419" i="135"/>
  <c r="F419" i="135"/>
  <c r="E419" i="135"/>
  <c r="D33" i="118" l="1"/>
  <c r="E33" i="118" s="1"/>
  <c r="H6" i="118" l="1"/>
  <c r="H9" i="118"/>
  <c r="H25" i="118"/>
  <c r="F31" i="118"/>
  <c r="L20" i="100" s="1"/>
  <c r="F22" i="118"/>
  <c r="L16" i="100" s="1"/>
  <c r="L12" i="100"/>
  <c r="F30" i="118"/>
  <c r="L19" i="100" s="1"/>
  <c r="F21" i="118"/>
  <c r="L15" i="100" s="1"/>
  <c r="F18" i="118"/>
  <c r="L13" i="100" s="1"/>
  <c r="F20" i="118"/>
  <c r="L14" i="100" s="1"/>
  <c r="L21" i="100"/>
  <c r="E177" i="116"/>
  <c r="F10" i="116"/>
  <c r="F9" i="116"/>
  <c r="F7" i="116"/>
  <c r="F6" i="116"/>
  <c r="E98" i="116"/>
  <c r="E10" i="116" s="1"/>
  <c r="E97" i="116"/>
  <c r="E9" i="116" s="1"/>
  <c r="E95" i="116"/>
  <c r="E7" i="116" s="1"/>
  <c r="E94" i="116"/>
  <c r="E6" i="116" s="1"/>
  <c r="E78" i="116"/>
  <c r="F22" i="116"/>
  <c r="F10" i="115"/>
  <c r="F9" i="115"/>
  <c r="F7" i="115"/>
  <c r="F6" i="115"/>
  <c r="E94" i="115"/>
  <c r="E10" i="115" s="1"/>
  <c r="E93" i="115"/>
  <c r="E9" i="115" s="1"/>
  <c r="E91" i="115"/>
  <c r="E7" i="115" s="1"/>
  <c r="E90" i="115"/>
  <c r="E6" i="115" s="1"/>
  <c r="L22" i="100" l="1"/>
  <c r="F33" i="118"/>
  <c r="E11" i="115"/>
  <c r="F11" i="116"/>
  <c r="E11" i="116"/>
  <c r="F164" i="115"/>
  <c r="E164" i="115"/>
  <c r="F136" i="115"/>
  <c r="E136" i="115"/>
  <c r="F63" i="115"/>
  <c r="E63" i="115"/>
  <c r="E43" i="115"/>
  <c r="F43" i="115"/>
  <c r="F31" i="115"/>
  <c r="F21" i="115"/>
  <c r="N7" i="135" l="1"/>
  <c r="N9" i="135"/>
  <c r="N10" i="135"/>
  <c r="N13" i="135"/>
  <c r="N14" i="135"/>
  <c r="L16" i="135"/>
  <c r="J9" i="135"/>
  <c r="J10" i="135"/>
  <c r="J11" i="135"/>
  <c r="J12" i="135"/>
  <c r="J13" i="135"/>
  <c r="J14" i="135"/>
  <c r="J15" i="135"/>
  <c r="J7" i="135"/>
  <c r="F8" i="135"/>
  <c r="F9" i="135"/>
  <c r="F12" i="135"/>
  <c r="F13" i="135"/>
  <c r="N8" i="135"/>
  <c r="N11" i="135"/>
  <c r="N12" i="135"/>
  <c r="N15" i="135"/>
  <c r="J8" i="135"/>
  <c r="E402" i="135"/>
  <c r="F402" i="135"/>
  <c r="G402" i="135"/>
  <c r="H402" i="135"/>
  <c r="I402" i="135"/>
  <c r="J402" i="135"/>
  <c r="K402" i="135"/>
  <c r="L402" i="135"/>
  <c r="M402" i="135"/>
  <c r="N402" i="135"/>
  <c r="D402" i="135"/>
  <c r="E451" i="135"/>
  <c r="F451" i="135"/>
  <c r="G451" i="135"/>
  <c r="H451" i="135"/>
  <c r="I451" i="135"/>
  <c r="J451" i="135"/>
  <c r="K451" i="135"/>
  <c r="L451" i="135"/>
  <c r="M451" i="135"/>
  <c r="N451" i="135"/>
  <c r="D451" i="135"/>
  <c r="F435" i="135"/>
  <c r="G435" i="135"/>
  <c r="H435" i="135"/>
  <c r="I435" i="135"/>
  <c r="J435" i="135"/>
  <c r="K435" i="135"/>
  <c r="L435" i="135"/>
  <c r="M435" i="135"/>
  <c r="N435" i="135"/>
  <c r="E435" i="135"/>
  <c r="F386" i="135"/>
  <c r="G386" i="135"/>
  <c r="J386" i="135"/>
  <c r="K386" i="135"/>
  <c r="N386" i="135"/>
  <c r="C386" i="135"/>
  <c r="F370" i="135"/>
  <c r="G370" i="135"/>
  <c r="J370" i="135"/>
  <c r="K370" i="135"/>
  <c r="N370" i="135"/>
  <c r="C370" i="135"/>
  <c r="F353" i="135"/>
  <c r="G353" i="135"/>
  <c r="J353" i="135"/>
  <c r="C353" i="135"/>
  <c r="E337" i="135"/>
  <c r="E321" i="135"/>
  <c r="F321" i="135"/>
  <c r="G321" i="135"/>
  <c r="H321" i="135"/>
  <c r="I321" i="135"/>
  <c r="J321" i="135"/>
  <c r="K321" i="135"/>
  <c r="L321" i="135"/>
  <c r="M321" i="135"/>
  <c r="N321" i="135"/>
  <c r="D321" i="135"/>
  <c r="D304" i="135"/>
  <c r="E304" i="135"/>
  <c r="F304" i="135"/>
  <c r="G304" i="135"/>
  <c r="H304" i="135"/>
  <c r="I304" i="135"/>
  <c r="J304" i="135"/>
  <c r="K304" i="135"/>
  <c r="L304" i="135"/>
  <c r="M304" i="135"/>
  <c r="N304" i="135"/>
  <c r="C304" i="135"/>
  <c r="E288" i="135"/>
  <c r="F288" i="135"/>
  <c r="G288" i="135"/>
  <c r="H288" i="135"/>
  <c r="I288" i="135"/>
  <c r="J288" i="135"/>
  <c r="K288" i="135"/>
  <c r="L288" i="135"/>
  <c r="M288" i="135"/>
  <c r="N288" i="135"/>
  <c r="D288" i="135"/>
  <c r="E270" i="135"/>
  <c r="F270" i="135"/>
  <c r="G270" i="135"/>
  <c r="H270" i="135"/>
  <c r="I270" i="135"/>
  <c r="J270" i="135"/>
  <c r="K270" i="135"/>
  <c r="L270" i="135"/>
  <c r="M270" i="135"/>
  <c r="N270" i="135"/>
  <c r="D270" i="135"/>
  <c r="N221" i="135"/>
  <c r="L221" i="135"/>
  <c r="J221" i="135"/>
  <c r="H221" i="135"/>
  <c r="F221" i="135"/>
  <c r="D221" i="135"/>
  <c r="N205" i="135"/>
  <c r="K205" i="135"/>
  <c r="J205" i="135"/>
  <c r="G205" i="135"/>
  <c r="F205" i="135"/>
  <c r="C205" i="135"/>
  <c r="N189" i="135"/>
  <c r="K189" i="135"/>
  <c r="J189" i="135"/>
  <c r="G189" i="135"/>
  <c r="C189" i="135"/>
  <c r="L172" i="135"/>
  <c r="H172" i="135"/>
  <c r="D172" i="135"/>
  <c r="K156" i="135"/>
  <c r="D156" i="135"/>
  <c r="H156" i="135"/>
  <c r="I156" i="135"/>
  <c r="J156" i="135"/>
  <c r="L156" i="135"/>
  <c r="M156" i="135"/>
  <c r="N156" i="135"/>
  <c r="G156" i="135"/>
  <c r="E156" i="135"/>
  <c r="F156" i="135"/>
  <c r="C156" i="135"/>
  <c r="L140" i="135"/>
  <c r="M140" i="135"/>
  <c r="N140" i="135"/>
  <c r="K140" i="135"/>
  <c r="H140" i="135"/>
  <c r="I140" i="135"/>
  <c r="J140" i="135"/>
  <c r="G140" i="135"/>
  <c r="D140" i="135"/>
  <c r="E140" i="135"/>
  <c r="F140" i="135"/>
  <c r="C140" i="135"/>
  <c r="L123" i="135"/>
  <c r="H123" i="135"/>
  <c r="D123" i="135"/>
  <c r="L108" i="135"/>
  <c r="H108" i="135"/>
  <c r="D108" i="135"/>
  <c r="L93" i="135"/>
  <c r="H93" i="135"/>
  <c r="D93" i="135"/>
  <c r="C77" i="135"/>
  <c r="L62" i="135"/>
  <c r="H62" i="135"/>
  <c r="F54" i="135"/>
  <c r="F55" i="135"/>
  <c r="F56" i="135"/>
  <c r="F57" i="135"/>
  <c r="F58" i="135"/>
  <c r="F59" i="135"/>
  <c r="F60" i="135"/>
  <c r="F61" i="135"/>
  <c r="F53" i="135"/>
  <c r="D62" i="135"/>
  <c r="G47" i="135"/>
  <c r="F15" i="135" l="1"/>
  <c r="F11" i="135"/>
  <c r="F14" i="135"/>
  <c r="F10" i="135"/>
  <c r="E16" i="135"/>
  <c r="D16" i="135"/>
  <c r="H16" i="135"/>
  <c r="M16" i="135"/>
  <c r="I16" i="135"/>
  <c r="F62" i="135"/>
  <c r="J93" i="135"/>
  <c r="F108" i="135"/>
  <c r="F172" i="135"/>
  <c r="J123" i="135"/>
  <c r="F93" i="135"/>
  <c r="N93" i="135"/>
  <c r="J108" i="135"/>
  <c r="F123" i="135"/>
  <c r="N123" i="135"/>
  <c r="J172" i="135"/>
  <c r="J62" i="135"/>
  <c r="N108" i="135"/>
  <c r="N172" i="135"/>
  <c r="N16" i="135"/>
  <c r="K16" i="135"/>
  <c r="C16" i="135"/>
  <c r="G16" i="135"/>
  <c r="J16" i="135"/>
  <c r="F189" i="135"/>
  <c r="N62" i="135"/>
  <c r="F16" i="135" l="1"/>
  <c r="F23" i="135"/>
  <c r="F24" i="135"/>
  <c r="F25" i="135"/>
  <c r="F26" i="135"/>
  <c r="F27" i="135"/>
  <c r="F28" i="135"/>
  <c r="F29" i="135"/>
  <c r="F30" i="135"/>
  <c r="F22" i="135"/>
  <c r="F31" i="135" l="1"/>
  <c r="H36" i="134"/>
  <c r="H34" i="134"/>
  <c r="G97" i="134"/>
  <c r="G99" i="134" s="1"/>
  <c r="F97" i="134"/>
  <c r="F99" i="134" s="1"/>
  <c r="E97" i="134"/>
  <c r="E99" i="134" s="1"/>
  <c r="D97" i="134"/>
  <c r="D99" i="134" s="1"/>
  <c r="C97" i="134"/>
  <c r="C99" i="134" s="1"/>
  <c r="H96" i="134"/>
  <c r="H95" i="134"/>
  <c r="H94" i="134"/>
  <c r="H93" i="134"/>
  <c r="H92" i="134"/>
  <c r="H91" i="134"/>
  <c r="H90" i="134"/>
  <c r="H89" i="134"/>
  <c r="H88" i="134"/>
  <c r="H87" i="134"/>
  <c r="H86" i="134"/>
  <c r="H85" i="134"/>
  <c r="H84" i="134"/>
  <c r="H83" i="134"/>
  <c r="G48" i="134"/>
  <c r="G50" i="134" s="1"/>
  <c r="F48" i="134"/>
  <c r="F50" i="134" s="1"/>
  <c r="E48" i="134"/>
  <c r="E50" i="134" s="1"/>
  <c r="D48" i="134"/>
  <c r="D50" i="134" s="1"/>
  <c r="C48" i="134"/>
  <c r="C50" i="134" s="1"/>
  <c r="H47" i="134"/>
  <c r="H46" i="134"/>
  <c r="H45" i="134"/>
  <c r="H44" i="134"/>
  <c r="H43" i="134"/>
  <c r="H42" i="134"/>
  <c r="H41" i="134"/>
  <c r="H40" i="134"/>
  <c r="H39" i="134"/>
  <c r="H38" i="134"/>
  <c r="H37" i="134"/>
  <c r="H35" i="134"/>
  <c r="H97" i="134" l="1"/>
  <c r="H99" i="134" s="1"/>
  <c r="H48" i="134"/>
  <c r="H50" i="134" s="1"/>
  <c r="G33" i="98"/>
  <c r="G22" i="98"/>
  <c r="G24" i="98" s="1"/>
  <c r="G35" i="98" l="1"/>
  <c r="G46" i="98" s="1"/>
  <c r="G44" i="98"/>
  <c r="H85" i="133"/>
  <c r="H86" i="133"/>
  <c r="H83" i="133"/>
  <c r="C46" i="132" l="1"/>
  <c r="H33" i="132"/>
  <c r="H32" i="132"/>
  <c r="G42" i="131"/>
  <c r="H38" i="104" l="1"/>
  <c r="D38" i="104"/>
  <c r="C38" i="104"/>
  <c r="H22" i="100" l="1"/>
  <c r="E22" i="100"/>
  <c r="G97" i="133" l="1"/>
  <c r="G99" i="133" s="1"/>
  <c r="F97" i="133"/>
  <c r="F99" i="133" s="1"/>
  <c r="E97" i="133"/>
  <c r="E99" i="133" s="1"/>
  <c r="D97" i="133"/>
  <c r="D99" i="133" s="1"/>
  <c r="C97" i="133"/>
  <c r="H96" i="133"/>
  <c r="H95" i="133"/>
  <c r="H94" i="133"/>
  <c r="H93" i="133"/>
  <c r="H92" i="133"/>
  <c r="H91" i="133"/>
  <c r="H90" i="133"/>
  <c r="H89" i="133"/>
  <c r="H88" i="133"/>
  <c r="H87" i="133"/>
  <c r="H84" i="133"/>
  <c r="C49" i="133"/>
  <c r="G47" i="133"/>
  <c r="G49" i="133" s="1"/>
  <c r="F47" i="133"/>
  <c r="F49" i="133" s="1"/>
  <c r="E47" i="133"/>
  <c r="E49" i="133" s="1"/>
  <c r="D47" i="133"/>
  <c r="H46" i="133"/>
  <c r="H45" i="133"/>
  <c r="H44" i="133"/>
  <c r="H43" i="133"/>
  <c r="H42" i="133"/>
  <c r="H41" i="133"/>
  <c r="H40" i="133"/>
  <c r="H39" i="133"/>
  <c r="H38" i="133"/>
  <c r="H37" i="133"/>
  <c r="H36" i="133"/>
  <c r="H35" i="133"/>
  <c r="H34" i="133"/>
  <c r="H33" i="133"/>
  <c r="G94" i="132"/>
  <c r="G96" i="132" s="1"/>
  <c r="F94" i="132"/>
  <c r="F96" i="132" s="1"/>
  <c r="E94" i="132"/>
  <c r="E96" i="132" s="1"/>
  <c r="D94" i="132"/>
  <c r="D96" i="132" s="1"/>
  <c r="C94" i="132"/>
  <c r="C96" i="132" s="1"/>
  <c r="H93" i="132"/>
  <c r="H92" i="132"/>
  <c r="H91" i="132"/>
  <c r="H90" i="132"/>
  <c r="H89" i="132"/>
  <c r="H88" i="132"/>
  <c r="H87" i="132"/>
  <c r="H86" i="132"/>
  <c r="H85" i="132"/>
  <c r="H84" i="132"/>
  <c r="H83" i="132"/>
  <c r="H82" i="132"/>
  <c r="H81" i="132"/>
  <c r="H80" i="132"/>
  <c r="C48" i="132"/>
  <c r="G46" i="132"/>
  <c r="G48" i="132" s="1"/>
  <c r="F48" i="132"/>
  <c r="E46" i="132"/>
  <c r="E48" i="132" s="1"/>
  <c r="D46" i="132"/>
  <c r="H45" i="132"/>
  <c r="H44" i="132"/>
  <c r="H43" i="132"/>
  <c r="H42" i="132"/>
  <c r="H41" i="132"/>
  <c r="H40" i="132"/>
  <c r="H39" i="132"/>
  <c r="H38" i="132"/>
  <c r="H37" i="132"/>
  <c r="H35" i="132"/>
  <c r="H34" i="132"/>
  <c r="H84" i="130"/>
  <c r="G84" i="130"/>
  <c r="F84" i="130"/>
  <c r="E84" i="130"/>
  <c r="D84" i="130"/>
  <c r="C84" i="130"/>
  <c r="I83" i="130"/>
  <c r="I82" i="130"/>
  <c r="I81" i="130"/>
  <c r="I80" i="130"/>
  <c r="I79" i="130"/>
  <c r="I78" i="130"/>
  <c r="I77" i="130"/>
  <c r="I76" i="130"/>
  <c r="I75" i="130"/>
  <c r="I74" i="130"/>
  <c r="I73" i="130"/>
  <c r="I72" i="130"/>
  <c r="I71" i="130"/>
  <c r="I70" i="130"/>
  <c r="H42" i="130"/>
  <c r="G42" i="130"/>
  <c r="F42" i="130"/>
  <c r="E42" i="130"/>
  <c r="D42" i="130"/>
  <c r="C42" i="130"/>
  <c r="I41" i="130"/>
  <c r="I40" i="130"/>
  <c r="I39" i="130"/>
  <c r="I38" i="130"/>
  <c r="I37" i="130"/>
  <c r="I36" i="130"/>
  <c r="I35" i="130"/>
  <c r="I34" i="130"/>
  <c r="I33" i="130"/>
  <c r="I32" i="130"/>
  <c r="I31" i="130"/>
  <c r="I30" i="130"/>
  <c r="I29" i="130"/>
  <c r="D48" i="132" l="1"/>
  <c r="H46" i="132"/>
  <c r="I42" i="130"/>
  <c r="C99" i="133"/>
  <c r="H97" i="133"/>
  <c r="H99" i="133" s="1"/>
  <c r="D49" i="133"/>
  <c r="H47" i="133"/>
  <c r="H49" i="133" s="1"/>
  <c r="H48" i="132"/>
  <c r="I84" i="130"/>
  <c r="H94" i="132"/>
  <c r="H96" i="132" l="1"/>
  <c r="E32" i="120"/>
  <c r="C32" i="120"/>
  <c r="F31" i="120"/>
  <c r="F30" i="120"/>
  <c r="F29" i="120"/>
  <c r="F28" i="120"/>
  <c r="F27" i="120"/>
  <c r="F26" i="120"/>
  <c r="F24" i="120"/>
  <c r="F23" i="120"/>
  <c r="F22" i="120"/>
  <c r="F21" i="120"/>
  <c r="F20" i="120"/>
  <c r="F19" i="120"/>
  <c r="F18" i="120"/>
  <c r="F17" i="120"/>
  <c r="F16" i="120"/>
  <c r="F15" i="120"/>
  <c r="F14" i="120"/>
  <c r="F13" i="120"/>
  <c r="F12" i="120"/>
  <c r="F11" i="120"/>
  <c r="F10" i="120"/>
  <c r="F9" i="120"/>
  <c r="F8" i="120"/>
  <c r="F7" i="120"/>
  <c r="F32" i="120" l="1"/>
  <c r="G6" i="120" s="1"/>
  <c r="G33" i="118"/>
  <c r="G21" i="120" l="1"/>
  <c r="G26" i="120"/>
  <c r="G24" i="120"/>
  <c r="G11" i="120"/>
  <c r="G12" i="120"/>
  <c r="G13" i="120"/>
  <c r="G22" i="120"/>
  <c r="G7" i="120"/>
  <c r="G16" i="120"/>
  <c r="G20" i="120"/>
  <c r="G8" i="120"/>
  <c r="G18" i="120"/>
  <c r="G9" i="120"/>
  <c r="G14" i="120"/>
  <c r="G19" i="120"/>
  <c r="G31" i="120"/>
  <c r="G29" i="120"/>
  <c r="G27" i="120"/>
  <c r="G10" i="120"/>
  <c r="G30" i="120"/>
  <c r="G25" i="120"/>
  <c r="G23" i="120"/>
  <c r="G28" i="120"/>
  <c r="G17" i="120"/>
  <c r="G15" i="120"/>
  <c r="H10" i="118"/>
  <c r="G32" i="120" l="1"/>
  <c r="H7" i="118"/>
  <c r="H28" i="118"/>
  <c r="H23" i="118"/>
  <c r="H18" i="118"/>
  <c r="H30" i="118"/>
  <c r="H13" i="118"/>
  <c r="H20" i="118"/>
  <c r="H19" i="118"/>
  <c r="H31" i="118"/>
  <c r="H14" i="118"/>
  <c r="H16" i="118"/>
  <c r="H32" i="118"/>
  <c r="H15" i="118"/>
  <c r="H26" i="118"/>
  <c r="H21" i="118"/>
  <c r="H29" i="118"/>
  <c r="H12" i="118"/>
  <c r="H27" i="118"/>
  <c r="H11" i="118"/>
  <c r="H22" i="118"/>
  <c r="H17" i="118"/>
  <c r="H24" i="118"/>
  <c r="H8" i="118"/>
  <c r="H33" i="118" l="1"/>
  <c r="J41" i="110" l="1"/>
  <c r="D41" i="110"/>
  <c r="E41" i="110"/>
  <c r="F41" i="110"/>
  <c r="H41" i="110"/>
  <c r="C41" i="110"/>
  <c r="F177" i="116" l="1"/>
  <c r="F156" i="116"/>
  <c r="E156" i="116"/>
  <c r="F146" i="116"/>
  <c r="E146" i="116"/>
  <c r="F133" i="116"/>
  <c r="E133" i="116"/>
  <c r="F122" i="116"/>
  <c r="E122" i="116"/>
  <c r="F112" i="116"/>
  <c r="E112" i="116"/>
  <c r="F99" i="116"/>
  <c r="E99" i="116"/>
  <c r="F89" i="116"/>
  <c r="E89" i="116"/>
  <c r="F78" i="116"/>
  <c r="F65" i="116"/>
  <c r="E65" i="116"/>
  <c r="F55" i="116"/>
  <c r="E55" i="116"/>
  <c r="F45" i="116"/>
  <c r="E45" i="116"/>
  <c r="F32" i="116"/>
  <c r="E32" i="116"/>
  <c r="E22" i="116"/>
  <c r="F167" i="116"/>
  <c r="E167" i="116"/>
  <c r="C164" i="115"/>
  <c r="D164" i="115"/>
  <c r="C155" i="115"/>
  <c r="D155" i="115"/>
  <c r="E155" i="115"/>
  <c r="F155" i="115"/>
  <c r="C146" i="115"/>
  <c r="D146" i="115"/>
  <c r="E146" i="115"/>
  <c r="F146" i="115"/>
  <c r="C136" i="115"/>
  <c r="D136" i="115"/>
  <c r="C126" i="115"/>
  <c r="D126" i="115"/>
  <c r="E126" i="115"/>
  <c r="F126" i="115"/>
  <c r="C114" i="115"/>
  <c r="D114" i="115"/>
  <c r="E114" i="115"/>
  <c r="F114" i="115"/>
  <c r="C105" i="115"/>
  <c r="D105" i="115"/>
  <c r="E105" i="115"/>
  <c r="F105" i="115"/>
  <c r="C95" i="115"/>
  <c r="D95" i="115"/>
  <c r="E95" i="115"/>
  <c r="F95" i="115"/>
  <c r="C85" i="115"/>
  <c r="D85" i="115"/>
  <c r="E85" i="115"/>
  <c r="F85" i="115"/>
  <c r="C73" i="115"/>
  <c r="D73" i="115"/>
  <c r="E73" i="115"/>
  <c r="F73" i="115"/>
  <c r="C63" i="115"/>
  <c r="D63" i="115"/>
  <c r="C53" i="115"/>
  <c r="D53" i="115"/>
  <c r="E53" i="115"/>
  <c r="F53" i="115"/>
  <c r="C43" i="115"/>
  <c r="D43" i="115"/>
  <c r="D31" i="115"/>
  <c r="E31" i="115"/>
  <c r="C21" i="115"/>
  <c r="D21" i="115"/>
  <c r="E21" i="115"/>
  <c r="F11" i="115"/>
  <c r="D11" i="115"/>
  <c r="C11" i="115"/>
  <c r="J27" i="104"/>
  <c r="J29" i="104"/>
  <c r="J30" i="104"/>
  <c r="J32" i="104"/>
  <c r="J33" i="104"/>
  <c r="J34" i="104"/>
  <c r="J35" i="104"/>
  <c r="J37" i="104"/>
  <c r="G38" i="104"/>
  <c r="E38" i="104"/>
  <c r="G18" i="104"/>
  <c r="I38" i="104" l="1"/>
  <c r="J26" i="104"/>
  <c r="H9" i="114"/>
  <c r="F38" i="104"/>
  <c r="D18" i="104"/>
  <c r="E18" i="104"/>
  <c r="F18" i="104"/>
  <c r="H18" i="104"/>
  <c r="J38" i="104" l="1"/>
  <c r="C15" i="103"/>
  <c r="D15" i="103" l="1"/>
  <c r="D34" i="102" l="1"/>
  <c r="D21" i="102"/>
  <c r="D33" i="102"/>
  <c r="D25" i="102"/>
  <c r="D18" i="102"/>
  <c r="D10" i="102"/>
  <c r="D32" i="102"/>
  <c r="D24" i="102"/>
  <c r="D17" i="102"/>
  <c r="D14" i="102"/>
  <c r="D27" i="102"/>
  <c r="D11" i="102"/>
  <c r="D31" i="102"/>
  <c r="D23" i="102"/>
  <c r="D16" i="102"/>
  <c r="D30" i="102"/>
  <c r="D15" i="102"/>
  <c r="D20" i="102"/>
  <c r="D19" i="102"/>
  <c r="D29" i="102"/>
  <c r="D22" i="102"/>
  <c r="D13" i="102"/>
  <c r="D35" i="102"/>
  <c r="D12" i="102"/>
  <c r="D26" i="102"/>
  <c r="D36" i="102" l="1"/>
  <c r="O312" i="41"/>
  <c r="N312" i="41"/>
  <c r="M312" i="41"/>
  <c r="J312" i="41"/>
  <c r="I312" i="41"/>
  <c r="H312" i="41"/>
  <c r="F312" i="41"/>
  <c r="E312" i="41"/>
  <c r="D312" i="41"/>
  <c r="P311" i="41"/>
  <c r="L311" i="41"/>
  <c r="G311" i="41"/>
  <c r="P310" i="41"/>
  <c r="L310" i="41"/>
  <c r="G310" i="41"/>
  <c r="P309" i="41"/>
  <c r="L309" i="41"/>
  <c r="G309" i="41"/>
  <c r="P308" i="41"/>
  <c r="L308" i="41"/>
  <c r="G308" i="41"/>
  <c r="P307" i="41"/>
  <c r="L307" i="41"/>
  <c r="G307" i="41"/>
  <c r="P306" i="41"/>
  <c r="L306" i="41"/>
  <c r="G306" i="41"/>
  <c r="P305" i="41"/>
  <c r="L305" i="41"/>
  <c r="G305" i="41"/>
  <c r="P304" i="41"/>
  <c r="L304" i="41"/>
  <c r="G304" i="41"/>
  <c r="P303" i="41"/>
  <c r="L303" i="41"/>
  <c r="G303" i="41"/>
  <c r="O299" i="41"/>
  <c r="N299" i="41"/>
  <c r="M299" i="41"/>
  <c r="J299" i="41"/>
  <c r="I299" i="41"/>
  <c r="H299" i="41"/>
  <c r="F299" i="41"/>
  <c r="E299" i="41"/>
  <c r="D299" i="41"/>
  <c r="P298" i="41"/>
  <c r="L298" i="41"/>
  <c r="G298" i="41"/>
  <c r="P297" i="41"/>
  <c r="L297" i="41"/>
  <c r="G297" i="41"/>
  <c r="P296" i="41"/>
  <c r="L296" i="41"/>
  <c r="G296" i="41"/>
  <c r="P295" i="41"/>
  <c r="L295" i="41"/>
  <c r="G295" i="41"/>
  <c r="P294" i="41"/>
  <c r="L294" i="41"/>
  <c r="G294" i="41"/>
  <c r="P293" i="41"/>
  <c r="L293" i="41"/>
  <c r="G293" i="41"/>
  <c r="P292" i="41"/>
  <c r="L292" i="41"/>
  <c r="G292" i="41"/>
  <c r="P291" i="41"/>
  <c r="L291" i="41"/>
  <c r="G291" i="41"/>
  <c r="P290" i="41"/>
  <c r="L290" i="41"/>
  <c r="G290" i="41"/>
  <c r="O286" i="41"/>
  <c r="N286" i="41"/>
  <c r="M286" i="41"/>
  <c r="J286" i="41"/>
  <c r="I286" i="41"/>
  <c r="H286" i="41"/>
  <c r="F286" i="41"/>
  <c r="E286" i="41"/>
  <c r="D286" i="41"/>
  <c r="P285" i="41"/>
  <c r="L285" i="41"/>
  <c r="G285" i="41"/>
  <c r="P284" i="41"/>
  <c r="L284" i="41"/>
  <c r="G284" i="41"/>
  <c r="P283" i="41"/>
  <c r="L283" i="41"/>
  <c r="G283" i="41"/>
  <c r="P282" i="41"/>
  <c r="L282" i="41"/>
  <c r="G282" i="41"/>
  <c r="P281" i="41"/>
  <c r="L281" i="41"/>
  <c r="G281" i="41"/>
  <c r="P280" i="41"/>
  <c r="L280" i="41"/>
  <c r="G280" i="41"/>
  <c r="P279" i="41"/>
  <c r="L279" i="41"/>
  <c r="G279" i="41"/>
  <c r="P278" i="41"/>
  <c r="L278" i="41"/>
  <c r="G278" i="41"/>
  <c r="P277" i="41"/>
  <c r="L277" i="41"/>
  <c r="G277" i="41"/>
  <c r="O273" i="41"/>
  <c r="N273" i="41"/>
  <c r="M273" i="41"/>
  <c r="J273" i="41"/>
  <c r="I273" i="41"/>
  <c r="H273" i="41"/>
  <c r="F273" i="41"/>
  <c r="E273" i="41"/>
  <c r="D273" i="41"/>
  <c r="P272" i="41"/>
  <c r="L272" i="41"/>
  <c r="G272" i="41"/>
  <c r="P271" i="41"/>
  <c r="L271" i="41"/>
  <c r="G271" i="41"/>
  <c r="P270" i="41"/>
  <c r="L270" i="41"/>
  <c r="G270" i="41"/>
  <c r="P269" i="41"/>
  <c r="L269" i="41"/>
  <c r="G269" i="41"/>
  <c r="P268" i="41"/>
  <c r="L268" i="41"/>
  <c r="G268" i="41"/>
  <c r="P267" i="41"/>
  <c r="L267" i="41"/>
  <c r="G267" i="41"/>
  <c r="P266" i="41"/>
  <c r="L266" i="41"/>
  <c r="G266" i="41"/>
  <c r="P265" i="41"/>
  <c r="L265" i="41"/>
  <c r="G265" i="41"/>
  <c r="P264" i="41"/>
  <c r="L264" i="41"/>
  <c r="G264" i="41"/>
  <c r="O260" i="41"/>
  <c r="N260" i="41"/>
  <c r="M260" i="41"/>
  <c r="J260" i="41"/>
  <c r="I260" i="41"/>
  <c r="H260" i="41"/>
  <c r="F260" i="41"/>
  <c r="E260" i="41"/>
  <c r="D260" i="41"/>
  <c r="P259" i="41"/>
  <c r="L259" i="41"/>
  <c r="G259" i="41"/>
  <c r="P258" i="41"/>
  <c r="L258" i="41"/>
  <c r="G258" i="41"/>
  <c r="P257" i="41"/>
  <c r="L257" i="41"/>
  <c r="G257" i="41"/>
  <c r="P256" i="41"/>
  <c r="L256" i="41"/>
  <c r="G256" i="41"/>
  <c r="P255" i="41"/>
  <c r="L255" i="41"/>
  <c r="G255" i="41"/>
  <c r="P254" i="41"/>
  <c r="L254" i="41"/>
  <c r="G254" i="41"/>
  <c r="P253" i="41"/>
  <c r="L253" i="41"/>
  <c r="G253" i="41"/>
  <c r="P252" i="41"/>
  <c r="L252" i="41"/>
  <c r="G252" i="41"/>
  <c r="P251" i="41"/>
  <c r="L251" i="41"/>
  <c r="G251" i="41"/>
  <c r="P247" i="41"/>
  <c r="S5" i="41" s="1"/>
  <c r="O247" i="41"/>
  <c r="N247" i="41"/>
  <c r="M247" i="41"/>
  <c r="L247" i="41"/>
  <c r="J247" i="41"/>
  <c r="I247" i="41"/>
  <c r="H247" i="41"/>
  <c r="G247" i="41"/>
  <c r="F247" i="41"/>
  <c r="E247" i="41"/>
  <c r="D247" i="41"/>
  <c r="L233" i="41"/>
  <c r="L232" i="41"/>
  <c r="L231" i="41"/>
  <c r="L230" i="41"/>
  <c r="L229" i="41"/>
  <c r="L228" i="41"/>
  <c r="L227" i="41"/>
  <c r="L226" i="41"/>
  <c r="L225" i="41"/>
  <c r="O221" i="41"/>
  <c r="N221" i="41"/>
  <c r="M221" i="41"/>
  <c r="L221" i="41"/>
  <c r="J221" i="41"/>
  <c r="I221" i="41"/>
  <c r="H221" i="41"/>
  <c r="G221" i="41"/>
  <c r="F221" i="41"/>
  <c r="E221" i="41"/>
  <c r="D221" i="41"/>
  <c r="P220" i="41"/>
  <c r="P219" i="41"/>
  <c r="P218" i="41"/>
  <c r="P217" i="41"/>
  <c r="P216" i="41"/>
  <c r="P215" i="41"/>
  <c r="P214" i="41"/>
  <c r="P213" i="41"/>
  <c r="P212" i="41"/>
  <c r="O208" i="41"/>
  <c r="N208" i="41"/>
  <c r="M208" i="41"/>
  <c r="K208" i="41"/>
  <c r="J208" i="41"/>
  <c r="I208" i="41"/>
  <c r="H208" i="41"/>
  <c r="F208" i="41"/>
  <c r="E208" i="41"/>
  <c r="D208" i="41"/>
  <c r="P207" i="41"/>
  <c r="L207" i="41"/>
  <c r="G207" i="41"/>
  <c r="P206" i="41"/>
  <c r="L206" i="41"/>
  <c r="G206" i="41"/>
  <c r="P205" i="41"/>
  <c r="L205" i="41"/>
  <c r="G205" i="41"/>
  <c r="P204" i="41"/>
  <c r="L204" i="41"/>
  <c r="G204" i="41"/>
  <c r="P203" i="41"/>
  <c r="L203" i="41"/>
  <c r="G203" i="41"/>
  <c r="P202" i="41"/>
  <c r="L202" i="41"/>
  <c r="G202" i="41"/>
  <c r="P201" i="41"/>
  <c r="L201" i="41"/>
  <c r="G201" i="41"/>
  <c r="P200" i="41"/>
  <c r="L200" i="41"/>
  <c r="G200" i="41"/>
  <c r="P199" i="41"/>
  <c r="L199" i="41"/>
  <c r="G199" i="41"/>
  <c r="O195" i="41"/>
  <c r="N195" i="41"/>
  <c r="M195" i="41"/>
  <c r="J195" i="41"/>
  <c r="I195" i="41"/>
  <c r="H195" i="41"/>
  <c r="F195" i="41"/>
  <c r="E195" i="41"/>
  <c r="D195" i="41"/>
  <c r="P194" i="41"/>
  <c r="L194" i="41"/>
  <c r="G194" i="41"/>
  <c r="P193" i="41"/>
  <c r="L193" i="41"/>
  <c r="G193" i="41"/>
  <c r="P192" i="41"/>
  <c r="L192" i="41"/>
  <c r="G192" i="41"/>
  <c r="P191" i="41"/>
  <c r="L191" i="41"/>
  <c r="G191" i="41"/>
  <c r="P190" i="41"/>
  <c r="L190" i="41"/>
  <c r="G190" i="41"/>
  <c r="P189" i="41"/>
  <c r="L189" i="41"/>
  <c r="G189" i="41"/>
  <c r="P188" i="41"/>
  <c r="L188" i="41"/>
  <c r="G188" i="41"/>
  <c r="P187" i="41"/>
  <c r="L187" i="41"/>
  <c r="G187" i="41"/>
  <c r="P186" i="41"/>
  <c r="L186" i="41"/>
  <c r="G186" i="41"/>
  <c r="O182" i="41"/>
  <c r="N182" i="41"/>
  <c r="M182" i="41"/>
  <c r="J182" i="41"/>
  <c r="I182" i="41"/>
  <c r="H182" i="41"/>
  <c r="F182" i="41"/>
  <c r="E182" i="41"/>
  <c r="D182" i="41"/>
  <c r="P181" i="41"/>
  <c r="L181" i="41"/>
  <c r="G181" i="41"/>
  <c r="P180" i="41"/>
  <c r="L180" i="41"/>
  <c r="G180" i="41"/>
  <c r="P179" i="41"/>
  <c r="L179" i="41"/>
  <c r="G179" i="41"/>
  <c r="P178" i="41"/>
  <c r="L178" i="41"/>
  <c r="G178" i="41"/>
  <c r="P177" i="41"/>
  <c r="L177" i="41"/>
  <c r="G177" i="41"/>
  <c r="P176" i="41"/>
  <c r="L176" i="41"/>
  <c r="G176" i="41"/>
  <c r="P175" i="41"/>
  <c r="L175" i="41"/>
  <c r="G175" i="41"/>
  <c r="P174" i="41"/>
  <c r="L174" i="41"/>
  <c r="G174" i="41"/>
  <c r="P173" i="41"/>
  <c r="L173" i="41"/>
  <c r="G173" i="41"/>
  <c r="O169" i="41"/>
  <c r="N169" i="41"/>
  <c r="M169" i="41"/>
  <c r="J169" i="41"/>
  <c r="I169" i="41"/>
  <c r="H169" i="41"/>
  <c r="G169" i="41"/>
  <c r="F169" i="41"/>
  <c r="E169" i="41"/>
  <c r="D169" i="41"/>
  <c r="P168" i="41"/>
  <c r="L168" i="41"/>
  <c r="P167" i="41"/>
  <c r="L167" i="41"/>
  <c r="P166" i="41"/>
  <c r="L166" i="41"/>
  <c r="P165" i="41"/>
  <c r="L165" i="41"/>
  <c r="P164" i="41"/>
  <c r="L164" i="41"/>
  <c r="P163" i="41"/>
  <c r="L163" i="41"/>
  <c r="P162" i="41"/>
  <c r="L162" i="41"/>
  <c r="P161" i="41"/>
  <c r="L161" i="41"/>
  <c r="P160" i="41"/>
  <c r="L160" i="41"/>
  <c r="O156" i="41"/>
  <c r="N156" i="41"/>
  <c r="M156" i="41"/>
  <c r="J156" i="41"/>
  <c r="I156" i="41"/>
  <c r="H156" i="41"/>
  <c r="F156" i="41"/>
  <c r="E156" i="41"/>
  <c r="D156" i="41"/>
  <c r="P155" i="41"/>
  <c r="L155" i="41"/>
  <c r="G155" i="41"/>
  <c r="P154" i="41"/>
  <c r="L154" i="41"/>
  <c r="G154" i="41"/>
  <c r="P153" i="41"/>
  <c r="L153" i="41"/>
  <c r="G153" i="41"/>
  <c r="P152" i="41"/>
  <c r="L152" i="41"/>
  <c r="G152" i="41"/>
  <c r="P151" i="41"/>
  <c r="L151" i="41"/>
  <c r="G151" i="41"/>
  <c r="P150" i="41"/>
  <c r="L150" i="41"/>
  <c r="G150" i="41"/>
  <c r="P149" i="41"/>
  <c r="L149" i="41"/>
  <c r="G149" i="41"/>
  <c r="P148" i="41"/>
  <c r="L148" i="41"/>
  <c r="G148" i="41"/>
  <c r="P147" i="41"/>
  <c r="L147" i="41"/>
  <c r="G147" i="41"/>
  <c r="O143" i="41"/>
  <c r="N143" i="41"/>
  <c r="M143" i="41"/>
  <c r="J143" i="41"/>
  <c r="I143" i="41"/>
  <c r="H143" i="41"/>
  <c r="F143" i="41"/>
  <c r="E143" i="41"/>
  <c r="D143" i="41"/>
  <c r="P142" i="41"/>
  <c r="L142" i="41"/>
  <c r="G142" i="41"/>
  <c r="P141" i="41"/>
  <c r="L141" i="41"/>
  <c r="G141" i="41"/>
  <c r="P140" i="41"/>
  <c r="L140" i="41"/>
  <c r="G140" i="41"/>
  <c r="P139" i="41"/>
  <c r="L139" i="41"/>
  <c r="G139" i="41"/>
  <c r="P138" i="41"/>
  <c r="L138" i="41"/>
  <c r="G138" i="41"/>
  <c r="P137" i="41"/>
  <c r="L137" i="41"/>
  <c r="G137" i="41"/>
  <c r="P136" i="41"/>
  <c r="L136" i="41"/>
  <c r="G136" i="41"/>
  <c r="P135" i="41"/>
  <c r="L135" i="41"/>
  <c r="G135" i="41"/>
  <c r="P134" i="41"/>
  <c r="L134" i="41"/>
  <c r="G134" i="41"/>
  <c r="O130" i="41"/>
  <c r="N130" i="41"/>
  <c r="M130" i="41"/>
  <c r="J130" i="41"/>
  <c r="I130" i="41"/>
  <c r="H130" i="41"/>
  <c r="F130" i="41"/>
  <c r="E130" i="41"/>
  <c r="D130" i="41"/>
  <c r="P129" i="41"/>
  <c r="L129" i="41"/>
  <c r="G129" i="41"/>
  <c r="P128" i="41"/>
  <c r="L128" i="41"/>
  <c r="G128" i="41"/>
  <c r="P127" i="41"/>
  <c r="L127" i="41"/>
  <c r="G127" i="41"/>
  <c r="P126" i="41"/>
  <c r="L126" i="41"/>
  <c r="G126" i="41"/>
  <c r="P125" i="41"/>
  <c r="L125" i="41"/>
  <c r="G125" i="41"/>
  <c r="P124" i="41"/>
  <c r="L124" i="41"/>
  <c r="G124" i="41"/>
  <c r="P123" i="41"/>
  <c r="L123" i="41"/>
  <c r="G123" i="41"/>
  <c r="P122" i="41"/>
  <c r="L122" i="41"/>
  <c r="G122" i="41"/>
  <c r="P121" i="41"/>
  <c r="L121" i="41"/>
  <c r="G121" i="41"/>
  <c r="O117" i="41"/>
  <c r="N117" i="41"/>
  <c r="M117" i="41"/>
  <c r="J117" i="41"/>
  <c r="I117" i="41"/>
  <c r="H117" i="41"/>
  <c r="F117" i="41"/>
  <c r="E117" i="41"/>
  <c r="D117" i="41"/>
  <c r="P116" i="41"/>
  <c r="L116" i="41"/>
  <c r="G116" i="41"/>
  <c r="P115" i="41"/>
  <c r="L115" i="41"/>
  <c r="G115" i="41"/>
  <c r="P114" i="41"/>
  <c r="L114" i="41"/>
  <c r="G114" i="41"/>
  <c r="P113" i="41"/>
  <c r="L113" i="41"/>
  <c r="G113" i="41"/>
  <c r="P112" i="41"/>
  <c r="L112" i="41"/>
  <c r="G112" i="41"/>
  <c r="P111" i="41"/>
  <c r="L111" i="41"/>
  <c r="G111" i="41"/>
  <c r="P110" i="41"/>
  <c r="L110" i="41"/>
  <c r="G110" i="41"/>
  <c r="P109" i="41"/>
  <c r="L109" i="41"/>
  <c r="G109" i="41"/>
  <c r="P108" i="41"/>
  <c r="L108" i="41"/>
  <c r="G108" i="41"/>
  <c r="O104" i="41"/>
  <c r="N104" i="41"/>
  <c r="M104" i="41"/>
  <c r="J104" i="41"/>
  <c r="I104" i="41"/>
  <c r="H104" i="41"/>
  <c r="F104" i="41"/>
  <c r="E104" i="41"/>
  <c r="D104" i="41"/>
  <c r="P103" i="41"/>
  <c r="L103" i="41"/>
  <c r="G103" i="41"/>
  <c r="P102" i="41"/>
  <c r="L102" i="41"/>
  <c r="G102" i="41"/>
  <c r="P101" i="41"/>
  <c r="L101" i="41"/>
  <c r="G101" i="41"/>
  <c r="P100" i="41"/>
  <c r="L100" i="41"/>
  <c r="G100" i="41"/>
  <c r="P99" i="41"/>
  <c r="L99" i="41"/>
  <c r="G99" i="41"/>
  <c r="P98" i="41"/>
  <c r="L98" i="41"/>
  <c r="G98" i="41"/>
  <c r="P97" i="41"/>
  <c r="L97" i="41"/>
  <c r="G97" i="41"/>
  <c r="P96" i="41"/>
  <c r="L96" i="41"/>
  <c r="G96" i="41"/>
  <c r="P95" i="41"/>
  <c r="L95" i="41"/>
  <c r="G95" i="41"/>
  <c r="O91" i="41"/>
  <c r="N91" i="41"/>
  <c r="M91" i="41"/>
  <c r="J91" i="41"/>
  <c r="I91" i="41"/>
  <c r="F91" i="41"/>
  <c r="E91" i="41"/>
  <c r="D91" i="41"/>
  <c r="P90" i="41"/>
  <c r="H90" i="41"/>
  <c r="L90" i="41" s="1"/>
  <c r="G90" i="41"/>
  <c r="P89" i="41"/>
  <c r="L89" i="41"/>
  <c r="G89" i="41"/>
  <c r="P88" i="41"/>
  <c r="L88" i="41"/>
  <c r="G88" i="41"/>
  <c r="P87" i="41"/>
  <c r="L87" i="41"/>
  <c r="G87" i="41"/>
  <c r="P86" i="41"/>
  <c r="L86" i="41"/>
  <c r="G86" i="41"/>
  <c r="P85" i="41"/>
  <c r="L85" i="41"/>
  <c r="G85" i="41"/>
  <c r="P84" i="41"/>
  <c r="L84" i="41"/>
  <c r="G84" i="41"/>
  <c r="P83" i="41"/>
  <c r="L83" i="41"/>
  <c r="G83" i="41"/>
  <c r="P82" i="41"/>
  <c r="L82" i="41"/>
  <c r="G82" i="41"/>
  <c r="O78" i="41"/>
  <c r="N78" i="41"/>
  <c r="M78" i="41"/>
  <c r="J78" i="41"/>
  <c r="I78" i="41"/>
  <c r="H78" i="41"/>
  <c r="F78" i="41"/>
  <c r="E78" i="41"/>
  <c r="D78" i="41"/>
  <c r="P77" i="41"/>
  <c r="L77" i="41"/>
  <c r="G77" i="41"/>
  <c r="P76" i="41"/>
  <c r="L76" i="41"/>
  <c r="G76" i="41"/>
  <c r="P75" i="41"/>
  <c r="L75" i="41"/>
  <c r="G75" i="41"/>
  <c r="P74" i="41"/>
  <c r="L74" i="41"/>
  <c r="G74" i="41"/>
  <c r="P73" i="41"/>
  <c r="L73" i="41"/>
  <c r="G73" i="41"/>
  <c r="P72" i="41"/>
  <c r="L72" i="41"/>
  <c r="G72" i="41"/>
  <c r="P71" i="41"/>
  <c r="L71" i="41"/>
  <c r="G71" i="41"/>
  <c r="P70" i="41"/>
  <c r="L70" i="41"/>
  <c r="G70" i="41"/>
  <c r="P69" i="41"/>
  <c r="L69" i="41"/>
  <c r="G69" i="41"/>
  <c r="O65" i="41"/>
  <c r="N65" i="41"/>
  <c r="M65" i="41"/>
  <c r="J65" i="41"/>
  <c r="P64" i="41"/>
  <c r="L64" i="41"/>
  <c r="P63" i="41"/>
  <c r="L63" i="41"/>
  <c r="P62" i="41"/>
  <c r="L62" i="41"/>
  <c r="P61" i="41"/>
  <c r="L61" i="41"/>
  <c r="P60" i="41"/>
  <c r="L60" i="41"/>
  <c r="P59" i="41"/>
  <c r="L59" i="41"/>
  <c r="P58" i="41"/>
  <c r="L58" i="41"/>
  <c r="P57" i="41"/>
  <c r="L57" i="41"/>
  <c r="P56" i="41"/>
  <c r="L56" i="41"/>
  <c r="O52" i="41"/>
  <c r="N52" i="41"/>
  <c r="M52" i="41"/>
  <c r="J52" i="41"/>
  <c r="I52" i="41"/>
  <c r="H52" i="41"/>
  <c r="F52" i="41"/>
  <c r="E52" i="41"/>
  <c r="D52" i="41"/>
  <c r="P51" i="41"/>
  <c r="L51" i="41"/>
  <c r="G51" i="41"/>
  <c r="P50" i="41"/>
  <c r="L50" i="41"/>
  <c r="G50" i="41"/>
  <c r="P49" i="41"/>
  <c r="L49" i="41"/>
  <c r="G49" i="41"/>
  <c r="P48" i="41"/>
  <c r="L48" i="41"/>
  <c r="G48" i="41"/>
  <c r="P47" i="41"/>
  <c r="L47" i="41"/>
  <c r="G47" i="41"/>
  <c r="P46" i="41"/>
  <c r="L46" i="41"/>
  <c r="G46" i="41"/>
  <c r="P45" i="41"/>
  <c r="L45" i="41"/>
  <c r="G45" i="41"/>
  <c r="P44" i="41"/>
  <c r="L44" i="41"/>
  <c r="G44" i="41"/>
  <c r="P43" i="41"/>
  <c r="L43" i="41"/>
  <c r="G43" i="41"/>
  <c r="O38" i="41"/>
  <c r="N38" i="41"/>
  <c r="M38" i="41"/>
  <c r="J38" i="41"/>
  <c r="I38" i="41"/>
  <c r="H38" i="41"/>
  <c r="F38" i="41"/>
  <c r="E38" i="41"/>
  <c r="D38" i="41"/>
  <c r="P37" i="41"/>
  <c r="L37" i="41"/>
  <c r="G37" i="41"/>
  <c r="P36" i="41"/>
  <c r="L36" i="41"/>
  <c r="G36" i="41"/>
  <c r="P35" i="41"/>
  <c r="L35" i="41"/>
  <c r="G35" i="41"/>
  <c r="P34" i="41"/>
  <c r="L34" i="41"/>
  <c r="G34" i="41"/>
  <c r="P33" i="41"/>
  <c r="L33" i="41"/>
  <c r="G33" i="41"/>
  <c r="P32" i="41"/>
  <c r="L32" i="41"/>
  <c r="G32" i="41"/>
  <c r="P31" i="41"/>
  <c r="L31" i="41"/>
  <c r="G31" i="41"/>
  <c r="P30" i="41"/>
  <c r="L30" i="41"/>
  <c r="G30" i="41"/>
  <c r="P29" i="41"/>
  <c r="L29" i="41"/>
  <c r="G29" i="41"/>
  <c r="O14" i="41"/>
  <c r="N14" i="41"/>
  <c r="M14" i="41"/>
  <c r="J14" i="41"/>
  <c r="I14" i="41"/>
  <c r="F14" i="41"/>
  <c r="E14" i="41"/>
  <c r="D14" i="41"/>
  <c r="O13" i="41"/>
  <c r="N13" i="41"/>
  <c r="M13" i="41"/>
  <c r="J13" i="41"/>
  <c r="I13" i="41"/>
  <c r="H13" i="41"/>
  <c r="F13" i="41"/>
  <c r="E13" i="41"/>
  <c r="D13" i="41"/>
  <c r="O12" i="41"/>
  <c r="N12" i="41"/>
  <c r="M12" i="41"/>
  <c r="J12" i="41"/>
  <c r="I12" i="41"/>
  <c r="H12" i="41"/>
  <c r="F12" i="41"/>
  <c r="E12" i="41"/>
  <c r="D12" i="41"/>
  <c r="O11" i="41"/>
  <c r="N11" i="41"/>
  <c r="M11" i="41"/>
  <c r="J11" i="41"/>
  <c r="I11" i="41"/>
  <c r="H11" i="41"/>
  <c r="F11" i="41"/>
  <c r="E11" i="41"/>
  <c r="D11" i="41"/>
  <c r="O10" i="41"/>
  <c r="N10" i="41"/>
  <c r="M10" i="41"/>
  <c r="J10" i="41"/>
  <c r="I10" i="41"/>
  <c r="H10" i="41"/>
  <c r="F10" i="41"/>
  <c r="E10" i="41"/>
  <c r="D10" i="41"/>
  <c r="O9" i="41"/>
  <c r="N9" i="41"/>
  <c r="M9" i="41"/>
  <c r="J9" i="41"/>
  <c r="I9" i="41"/>
  <c r="H9" i="41"/>
  <c r="F9" i="41"/>
  <c r="E9" i="41"/>
  <c r="D9" i="41"/>
  <c r="O8" i="41"/>
  <c r="N8" i="41"/>
  <c r="M8" i="41"/>
  <c r="J8" i="41"/>
  <c r="I8" i="41"/>
  <c r="H8" i="41"/>
  <c r="F8" i="41"/>
  <c r="E8" i="41"/>
  <c r="D8" i="41"/>
  <c r="O7" i="41"/>
  <c r="N7" i="41"/>
  <c r="M7" i="41"/>
  <c r="J7" i="41"/>
  <c r="I7" i="41"/>
  <c r="H7" i="41"/>
  <c r="F7" i="41"/>
  <c r="E7" i="41"/>
  <c r="D7" i="41"/>
  <c r="O6" i="41"/>
  <c r="N6" i="41"/>
  <c r="M6" i="41"/>
  <c r="J6" i="41"/>
  <c r="I6" i="41"/>
  <c r="H6" i="41"/>
  <c r="F6" i="41"/>
  <c r="E6" i="41"/>
  <c r="D6" i="41"/>
  <c r="H14" i="41" l="1"/>
  <c r="L14" i="41" s="1"/>
  <c r="E15" i="41"/>
  <c r="G7" i="41"/>
  <c r="P9" i="41"/>
  <c r="L12" i="41"/>
  <c r="G38" i="41"/>
  <c r="P78" i="41"/>
  <c r="S6" i="41" s="1"/>
  <c r="T6" i="41" s="1"/>
  <c r="L273" i="41"/>
  <c r="L65" i="41"/>
  <c r="P65" i="41"/>
  <c r="L169" i="41"/>
  <c r="G9" i="41"/>
  <c r="P11" i="41"/>
  <c r="L208" i="41"/>
  <c r="G8" i="41"/>
  <c r="P10" i="41"/>
  <c r="P12" i="41"/>
  <c r="L9" i="41"/>
  <c r="G12" i="41"/>
  <c r="P13" i="41"/>
  <c r="P14" i="41"/>
  <c r="L38" i="41"/>
  <c r="G117" i="41"/>
  <c r="G143" i="41"/>
  <c r="G195" i="41"/>
  <c r="P273" i="41"/>
  <c r="S7" i="41" s="1"/>
  <c r="T7" i="41" s="1"/>
  <c r="P299" i="41"/>
  <c r="H15" i="41"/>
  <c r="L13" i="41"/>
  <c r="P38" i="41"/>
  <c r="G91" i="41"/>
  <c r="L117" i="41"/>
  <c r="L143" i="41"/>
  <c r="P169" i="41"/>
  <c r="L195" i="41"/>
  <c r="P221" i="41"/>
  <c r="I15" i="41"/>
  <c r="L7" i="41"/>
  <c r="G10" i="41"/>
  <c r="L91" i="41"/>
  <c r="P117" i="41"/>
  <c r="P143" i="41"/>
  <c r="P195" i="41"/>
  <c r="G260" i="41"/>
  <c r="G286" i="41"/>
  <c r="G312" i="41"/>
  <c r="F15" i="41"/>
  <c r="J15" i="41"/>
  <c r="L8" i="41"/>
  <c r="G11" i="41"/>
  <c r="G52" i="41"/>
  <c r="P91" i="41"/>
  <c r="Q92" i="41" s="1"/>
  <c r="L260" i="41"/>
  <c r="L286" i="41"/>
  <c r="L312" i="41"/>
  <c r="M15" i="41"/>
  <c r="L52" i="41"/>
  <c r="G104" i="41"/>
  <c r="G130" i="41"/>
  <c r="G156" i="41"/>
  <c r="G182" i="41"/>
  <c r="G208" i="41"/>
  <c r="P260" i="41"/>
  <c r="P286" i="41"/>
  <c r="P312" i="41"/>
  <c r="L299" i="41"/>
  <c r="N15" i="41"/>
  <c r="P7" i="41"/>
  <c r="L10" i="41"/>
  <c r="P52" i="41"/>
  <c r="G78" i="41"/>
  <c r="L104" i="41"/>
  <c r="L130" i="41"/>
  <c r="L156" i="41"/>
  <c r="L182" i="41"/>
  <c r="L234" i="41"/>
  <c r="D15" i="41"/>
  <c r="O15" i="41"/>
  <c r="P8" i="41"/>
  <c r="L11" i="41"/>
  <c r="G13" i="41"/>
  <c r="G14" i="41"/>
  <c r="L78" i="41"/>
  <c r="P104" i="41"/>
  <c r="P130" i="41"/>
  <c r="S8" i="41" s="1"/>
  <c r="T8" i="41" s="1"/>
  <c r="P156" i="41"/>
  <c r="P182" i="41"/>
  <c r="S9" i="41" s="1"/>
  <c r="T9" i="41" s="1"/>
  <c r="P208" i="41"/>
  <c r="G273" i="41"/>
  <c r="G299" i="41"/>
  <c r="T5" i="41"/>
  <c r="T11" i="41" s="1"/>
  <c r="G6" i="41"/>
  <c r="L6" i="41"/>
  <c r="P6" i="41"/>
  <c r="H91" i="41"/>
  <c r="L15" i="41" l="1"/>
  <c r="G15" i="41"/>
  <c r="S10" i="41"/>
  <c r="T10" i="41" s="1"/>
  <c r="P15" i="41"/>
  <c r="S11" i="41" l="1"/>
  <c r="S13" i="41" s="1"/>
  <c r="N18" i="56" l="1"/>
  <c r="S19" i="55" l="1"/>
  <c r="W58" i="58"/>
  <c r="U58" i="58"/>
  <c r="T58" i="58"/>
  <c r="S58" i="58"/>
  <c r="R58" i="58"/>
  <c r="Q58" i="58"/>
  <c r="P58" i="58"/>
  <c r="O58" i="58"/>
  <c r="N58" i="58"/>
  <c r="M58" i="58"/>
  <c r="L58" i="58"/>
  <c r="K58" i="58"/>
  <c r="J58" i="58"/>
  <c r="I58" i="58"/>
  <c r="H58" i="58"/>
  <c r="G58" i="58"/>
  <c r="F58" i="58"/>
  <c r="E58" i="58"/>
  <c r="D58" i="58"/>
  <c r="C58" i="58"/>
  <c r="B58" i="58"/>
  <c r="V57" i="58"/>
  <c r="V56" i="58"/>
  <c r="V55" i="58"/>
  <c r="V54" i="58"/>
  <c r="V53" i="58"/>
  <c r="W47" i="58"/>
  <c r="U47" i="58"/>
  <c r="T47" i="58"/>
  <c r="S47" i="58"/>
  <c r="R47" i="58"/>
  <c r="Q47" i="58"/>
  <c r="P47" i="58"/>
  <c r="O47" i="58"/>
  <c r="N47" i="58"/>
  <c r="M47" i="58"/>
  <c r="L47" i="58"/>
  <c r="K47" i="58"/>
  <c r="J47" i="58"/>
  <c r="I47" i="58"/>
  <c r="H47" i="58"/>
  <c r="G47" i="58"/>
  <c r="F47" i="58"/>
  <c r="E47" i="58"/>
  <c r="D47" i="58"/>
  <c r="C47" i="58"/>
  <c r="B47" i="58"/>
  <c r="V46" i="58"/>
  <c r="V45" i="58"/>
  <c r="V44" i="58"/>
  <c r="V43" i="58"/>
  <c r="V42" i="58"/>
  <c r="T24" i="58"/>
  <c r="S24" i="58"/>
  <c r="R24" i="58"/>
  <c r="Q24" i="58"/>
  <c r="P24" i="58"/>
  <c r="N24" i="58"/>
  <c r="M24" i="58"/>
  <c r="K24" i="58"/>
  <c r="J24" i="58"/>
  <c r="I24" i="58"/>
  <c r="G24" i="58"/>
  <c r="F24" i="58"/>
  <c r="E24" i="58"/>
  <c r="D24" i="58"/>
  <c r="C24" i="58"/>
  <c r="B24" i="58"/>
  <c r="U23" i="58"/>
  <c r="U25" i="58" s="1"/>
  <c r="O23" i="58"/>
  <c r="O25" i="58" s="1"/>
  <c r="J23" i="58"/>
  <c r="T22" i="58"/>
  <c r="S22" i="58"/>
  <c r="R22" i="58"/>
  <c r="Q22" i="58"/>
  <c r="P22" i="58"/>
  <c r="N22" i="58"/>
  <c r="M22" i="58"/>
  <c r="K22" i="58"/>
  <c r="I22" i="58"/>
  <c r="G22" i="58"/>
  <c r="F22" i="58"/>
  <c r="E22" i="58"/>
  <c r="D22" i="58"/>
  <c r="C22" i="58"/>
  <c r="B22" i="58"/>
  <c r="T21" i="58"/>
  <c r="S21" i="58"/>
  <c r="R21" i="58"/>
  <c r="Q21" i="58"/>
  <c r="P21" i="58"/>
  <c r="N21" i="58"/>
  <c r="M21" i="58"/>
  <c r="L21" i="58"/>
  <c r="K21" i="58"/>
  <c r="I21" i="58"/>
  <c r="G21" i="58"/>
  <c r="F21" i="58"/>
  <c r="E21" i="58"/>
  <c r="D21" i="58"/>
  <c r="C21" i="58"/>
  <c r="B21" i="58"/>
  <c r="T20" i="58"/>
  <c r="S20" i="58"/>
  <c r="R20" i="58"/>
  <c r="Q20" i="58"/>
  <c r="P20" i="58"/>
  <c r="N20" i="58"/>
  <c r="M20" i="58"/>
  <c r="K20" i="58"/>
  <c r="I20" i="58"/>
  <c r="G20" i="58"/>
  <c r="F20" i="58"/>
  <c r="E20" i="58"/>
  <c r="D20" i="58"/>
  <c r="C20" i="58"/>
  <c r="B20" i="58"/>
  <c r="T19" i="58"/>
  <c r="S19" i="58"/>
  <c r="R19" i="58"/>
  <c r="Q19" i="58"/>
  <c r="P19" i="58"/>
  <c r="N19" i="58"/>
  <c r="M19" i="58"/>
  <c r="K19" i="58"/>
  <c r="I19" i="58"/>
  <c r="G19" i="58"/>
  <c r="F19" i="58"/>
  <c r="E19" i="58"/>
  <c r="D19" i="58"/>
  <c r="C19" i="58"/>
  <c r="B19" i="58"/>
  <c r="T18" i="58"/>
  <c r="S18" i="58"/>
  <c r="R18" i="58"/>
  <c r="Q18" i="58"/>
  <c r="P18" i="58"/>
  <c r="N18" i="58"/>
  <c r="M18" i="58"/>
  <c r="K18" i="58"/>
  <c r="I18" i="58"/>
  <c r="G18" i="58"/>
  <c r="F18" i="58"/>
  <c r="E18" i="58"/>
  <c r="D18" i="58"/>
  <c r="C18" i="58"/>
  <c r="B18" i="58"/>
  <c r="U13" i="58"/>
  <c r="T13" i="58"/>
  <c r="S13" i="58"/>
  <c r="R13" i="58"/>
  <c r="Q13" i="58"/>
  <c r="P13" i="58"/>
  <c r="O13" i="58"/>
  <c r="N13" i="58"/>
  <c r="M13" i="58"/>
  <c r="K13" i="58"/>
  <c r="J13" i="58"/>
  <c r="I13" i="58"/>
  <c r="G13" i="58"/>
  <c r="F13" i="58"/>
  <c r="E13" i="58"/>
  <c r="D13" i="58"/>
  <c r="C13" i="58"/>
  <c r="B13" i="58"/>
  <c r="U12" i="58"/>
  <c r="O12" i="58"/>
  <c r="J12" i="58"/>
  <c r="T11" i="58"/>
  <c r="S11" i="58"/>
  <c r="R11" i="58"/>
  <c r="Q11" i="58"/>
  <c r="P11" i="58"/>
  <c r="N11" i="58"/>
  <c r="M11" i="58"/>
  <c r="K11" i="58"/>
  <c r="I11" i="58"/>
  <c r="G11" i="58"/>
  <c r="F11" i="58"/>
  <c r="E11" i="58"/>
  <c r="D11" i="58"/>
  <c r="C11" i="58"/>
  <c r="B11" i="58"/>
  <c r="T10" i="58"/>
  <c r="S10" i="58"/>
  <c r="R10" i="58"/>
  <c r="Q10" i="58"/>
  <c r="P10" i="58"/>
  <c r="N10" i="58"/>
  <c r="M10" i="58"/>
  <c r="L10" i="58"/>
  <c r="K10" i="58"/>
  <c r="I10" i="58"/>
  <c r="G10" i="58"/>
  <c r="F10" i="58"/>
  <c r="E10" i="58"/>
  <c r="D10" i="58"/>
  <c r="C10" i="58"/>
  <c r="B10" i="58"/>
  <c r="T9" i="58"/>
  <c r="S9" i="58"/>
  <c r="R9" i="58"/>
  <c r="Q9" i="58"/>
  <c r="P9" i="58"/>
  <c r="N9" i="58"/>
  <c r="M9" i="58"/>
  <c r="K9" i="58"/>
  <c r="I9" i="58"/>
  <c r="G9" i="58"/>
  <c r="F9" i="58"/>
  <c r="E9" i="58"/>
  <c r="D9" i="58"/>
  <c r="C9" i="58"/>
  <c r="B9" i="58"/>
  <c r="T8" i="58"/>
  <c r="S8" i="58"/>
  <c r="R8" i="58"/>
  <c r="Q8" i="58"/>
  <c r="P8" i="58"/>
  <c r="N8" i="58"/>
  <c r="M8" i="58"/>
  <c r="K8" i="58"/>
  <c r="I8" i="58"/>
  <c r="G8" i="58"/>
  <c r="F8" i="58"/>
  <c r="E8" i="58"/>
  <c r="D8" i="58"/>
  <c r="C8" i="58"/>
  <c r="B8" i="58"/>
  <c r="T7" i="58"/>
  <c r="S7" i="58"/>
  <c r="R7" i="58"/>
  <c r="Q7" i="58"/>
  <c r="P7" i="58"/>
  <c r="N7" i="58"/>
  <c r="M7" i="58"/>
  <c r="K7" i="58"/>
  <c r="I7" i="58"/>
  <c r="G7" i="58"/>
  <c r="F7" i="58"/>
  <c r="E7" i="58"/>
  <c r="D7" i="58"/>
  <c r="C7" i="58"/>
  <c r="B7" i="58"/>
  <c r="W55" i="56"/>
  <c r="U55" i="56"/>
  <c r="T55" i="56"/>
  <c r="S55" i="56"/>
  <c r="R55" i="56"/>
  <c r="Q55" i="56"/>
  <c r="P55" i="56"/>
  <c r="O55" i="56"/>
  <c r="N55" i="56"/>
  <c r="M55" i="56"/>
  <c r="L55" i="56"/>
  <c r="K55" i="56"/>
  <c r="J55" i="56"/>
  <c r="I55" i="56"/>
  <c r="H55" i="56"/>
  <c r="G55" i="56"/>
  <c r="F55" i="56"/>
  <c r="E55" i="56"/>
  <c r="D55" i="56"/>
  <c r="C55" i="56"/>
  <c r="B55" i="56"/>
  <c r="V54" i="56"/>
  <c r="V53" i="56"/>
  <c r="V52" i="56"/>
  <c r="V51" i="56"/>
  <c r="V50" i="56"/>
  <c r="W44" i="56"/>
  <c r="U44" i="56"/>
  <c r="T44" i="56"/>
  <c r="S44" i="56"/>
  <c r="R44" i="56"/>
  <c r="Q44" i="56"/>
  <c r="P44" i="56"/>
  <c r="O44" i="56"/>
  <c r="N44" i="56"/>
  <c r="M44" i="56"/>
  <c r="L44" i="56"/>
  <c r="K44" i="56"/>
  <c r="J44" i="56"/>
  <c r="I44" i="56"/>
  <c r="H44" i="56"/>
  <c r="G44" i="56"/>
  <c r="F44" i="56"/>
  <c r="E44" i="56"/>
  <c r="D44" i="56"/>
  <c r="C44" i="56"/>
  <c r="B44" i="56"/>
  <c r="V43" i="56"/>
  <c r="V42" i="56"/>
  <c r="V41" i="56"/>
  <c r="V40" i="56"/>
  <c r="V39" i="56"/>
  <c r="L34" i="56"/>
  <c r="W33" i="56"/>
  <c r="W35" i="56" s="1"/>
  <c r="U33" i="56"/>
  <c r="T33" i="56"/>
  <c r="S33" i="56"/>
  <c r="R33" i="56"/>
  <c r="Q33" i="56"/>
  <c r="P33" i="56"/>
  <c r="O33" i="56"/>
  <c r="N33" i="56"/>
  <c r="M33" i="56"/>
  <c r="L33" i="56"/>
  <c r="K33" i="56"/>
  <c r="J33" i="56"/>
  <c r="I33" i="56"/>
  <c r="H33" i="56"/>
  <c r="G33" i="56"/>
  <c r="F33" i="56"/>
  <c r="E33" i="56"/>
  <c r="D33" i="56"/>
  <c r="C33" i="56"/>
  <c r="B33" i="56"/>
  <c r="V32" i="56"/>
  <c r="V31" i="56"/>
  <c r="V30" i="56"/>
  <c r="V29" i="56"/>
  <c r="V28" i="56"/>
  <c r="U22" i="56"/>
  <c r="T22" i="56"/>
  <c r="O22" i="56"/>
  <c r="J22" i="56"/>
  <c r="S21" i="56"/>
  <c r="R21" i="56"/>
  <c r="Q21" i="56"/>
  <c r="P21" i="56"/>
  <c r="N21" i="56"/>
  <c r="M21" i="56"/>
  <c r="L21" i="56"/>
  <c r="K21" i="56"/>
  <c r="I21" i="56"/>
  <c r="H21" i="56"/>
  <c r="G21" i="56"/>
  <c r="F21" i="56"/>
  <c r="E21" i="56"/>
  <c r="D21" i="56"/>
  <c r="C21" i="56"/>
  <c r="B21" i="56"/>
  <c r="S20" i="56"/>
  <c r="Q20" i="56"/>
  <c r="M20" i="56"/>
  <c r="K20" i="56"/>
  <c r="H20" i="56"/>
  <c r="G20" i="56"/>
  <c r="F20" i="56"/>
  <c r="E20" i="56"/>
  <c r="D20" i="56"/>
  <c r="C20" i="56"/>
  <c r="B20" i="56"/>
  <c r="S19" i="56"/>
  <c r="R19" i="56"/>
  <c r="Q19" i="56"/>
  <c r="P19" i="56"/>
  <c r="N19" i="56"/>
  <c r="M19" i="56"/>
  <c r="L19" i="56"/>
  <c r="K19" i="56"/>
  <c r="I19" i="56"/>
  <c r="H19" i="56"/>
  <c r="G19" i="56"/>
  <c r="F19" i="56"/>
  <c r="E19" i="56"/>
  <c r="D19" i="56"/>
  <c r="C19" i="56"/>
  <c r="B19" i="56"/>
  <c r="S18" i="56"/>
  <c r="Q18" i="56"/>
  <c r="P18" i="56"/>
  <c r="M18" i="56"/>
  <c r="L18" i="56"/>
  <c r="K18" i="56"/>
  <c r="I18" i="56"/>
  <c r="H18" i="56"/>
  <c r="G18" i="56"/>
  <c r="F18" i="56"/>
  <c r="E18" i="56"/>
  <c r="D18" i="56"/>
  <c r="C18" i="56"/>
  <c r="B18" i="56"/>
  <c r="S17" i="56"/>
  <c r="R17" i="56"/>
  <c r="Q17" i="56"/>
  <c r="P17" i="56"/>
  <c r="N17" i="56"/>
  <c r="M17" i="56"/>
  <c r="L17" i="56"/>
  <c r="K17" i="56"/>
  <c r="I17" i="56"/>
  <c r="H17" i="56"/>
  <c r="G17" i="56"/>
  <c r="F17" i="56"/>
  <c r="E17" i="56"/>
  <c r="D17" i="56"/>
  <c r="C17" i="56"/>
  <c r="B17" i="56"/>
  <c r="W11" i="56"/>
  <c r="U11" i="56"/>
  <c r="O11" i="56"/>
  <c r="J11" i="56"/>
  <c r="T10" i="56"/>
  <c r="S10" i="56"/>
  <c r="R10" i="56"/>
  <c r="Q10" i="56"/>
  <c r="P10" i="56"/>
  <c r="N10" i="56"/>
  <c r="M10" i="56"/>
  <c r="L10" i="56"/>
  <c r="K10" i="56"/>
  <c r="I10" i="56"/>
  <c r="H10" i="56"/>
  <c r="G10" i="56"/>
  <c r="F10" i="56"/>
  <c r="E10" i="56"/>
  <c r="D10" i="56"/>
  <c r="C10" i="56"/>
  <c r="B10" i="56"/>
  <c r="S9" i="56"/>
  <c r="R9" i="56"/>
  <c r="Q9" i="56"/>
  <c r="M9" i="56"/>
  <c r="K9" i="56"/>
  <c r="H9" i="56"/>
  <c r="G9" i="56"/>
  <c r="F9" i="56"/>
  <c r="E9" i="56"/>
  <c r="D9" i="56"/>
  <c r="C9" i="56"/>
  <c r="B9" i="56"/>
  <c r="T8" i="56"/>
  <c r="S8" i="56"/>
  <c r="R8" i="56"/>
  <c r="Q8" i="56"/>
  <c r="P8" i="56"/>
  <c r="N8" i="56"/>
  <c r="M8" i="56"/>
  <c r="L8" i="56"/>
  <c r="K8" i="56"/>
  <c r="I8" i="56"/>
  <c r="H8" i="56"/>
  <c r="G8" i="56"/>
  <c r="F8" i="56"/>
  <c r="E8" i="56"/>
  <c r="D8" i="56"/>
  <c r="C8" i="56"/>
  <c r="B8" i="56"/>
  <c r="T7" i="56"/>
  <c r="S7" i="56"/>
  <c r="Q7" i="56"/>
  <c r="P7" i="56"/>
  <c r="N7" i="56"/>
  <c r="M7" i="56"/>
  <c r="L7" i="56"/>
  <c r="K7" i="56"/>
  <c r="I7" i="56"/>
  <c r="H7" i="56"/>
  <c r="G7" i="56"/>
  <c r="F7" i="56"/>
  <c r="E7" i="56"/>
  <c r="D7" i="56"/>
  <c r="C7" i="56"/>
  <c r="B7" i="56"/>
  <c r="T6" i="56"/>
  <c r="S6" i="56"/>
  <c r="R6" i="56"/>
  <c r="Q6" i="56"/>
  <c r="P6" i="56"/>
  <c r="N6" i="56"/>
  <c r="M6" i="56"/>
  <c r="L6" i="56"/>
  <c r="K6" i="56"/>
  <c r="I6" i="56"/>
  <c r="H6" i="56"/>
  <c r="G6" i="56"/>
  <c r="F6" i="56"/>
  <c r="E6" i="56"/>
  <c r="D6" i="56"/>
  <c r="C6" i="56"/>
  <c r="B6" i="56"/>
  <c r="W55" i="55"/>
  <c r="U55" i="55"/>
  <c r="T55" i="55"/>
  <c r="S55" i="55"/>
  <c r="R55" i="55"/>
  <c r="Q55" i="55"/>
  <c r="P55" i="55"/>
  <c r="O55" i="55"/>
  <c r="N55" i="55"/>
  <c r="M55" i="55"/>
  <c r="L55" i="55"/>
  <c r="K55" i="55"/>
  <c r="J55" i="55"/>
  <c r="I55" i="55"/>
  <c r="H55" i="55"/>
  <c r="G55" i="55"/>
  <c r="F55" i="55"/>
  <c r="E55" i="55"/>
  <c r="D55" i="55"/>
  <c r="C55" i="55"/>
  <c r="B55" i="55"/>
  <c r="V54" i="55"/>
  <c r="V53" i="55"/>
  <c r="V52" i="55"/>
  <c r="V51" i="55"/>
  <c r="V50" i="55"/>
  <c r="W44" i="55"/>
  <c r="U44" i="55"/>
  <c r="T44" i="55"/>
  <c r="S44" i="55"/>
  <c r="R44" i="55"/>
  <c r="Q44" i="55"/>
  <c r="P44" i="55"/>
  <c r="O44" i="55"/>
  <c r="N44" i="55"/>
  <c r="M44" i="55"/>
  <c r="L44" i="55"/>
  <c r="K44" i="55"/>
  <c r="J44" i="55"/>
  <c r="I44" i="55"/>
  <c r="H44" i="55"/>
  <c r="G44" i="55"/>
  <c r="F44" i="55"/>
  <c r="E44" i="55"/>
  <c r="D44" i="55"/>
  <c r="C44" i="55"/>
  <c r="B44" i="55"/>
  <c r="V43" i="55"/>
  <c r="V42" i="55"/>
  <c r="V41" i="55"/>
  <c r="V40" i="55"/>
  <c r="V39" i="55"/>
  <c r="W33" i="55"/>
  <c r="U33" i="55"/>
  <c r="T33" i="55"/>
  <c r="S33" i="55"/>
  <c r="R33" i="55"/>
  <c r="Q33" i="55"/>
  <c r="P33" i="55"/>
  <c r="O33" i="55"/>
  <c r="N33" i="55"/>
  <c r="M33" i="55"/>
  <c r="L33" i="55"/>
  <c r="K33" i="55"/>
  <c r="J33" i="55"/>
  <c r="I33" i="55"/>
  <c r="H33" i="55"/>
  <c r="G33" i="55"/>
  <c r="F33" i="55"/>
  <c r="E33" i="55"/>
  <c r="D33" i="55"/>
  <c r="C33" i="55"/>
  <c r="B33" i="55"/>
  <c r="V32" i="55"/>
  <c r="V31" i="55"/>
  <c r="V30" i="55"/>
  <c r="V29" i="55"/>
  <c r="V28" i="55"/>
  <c r="U22" i="55"/>
  <c r="O22" i="55"/>
  <c r="J22" i="55"/>
  <c r="T21" i="55"/>
  <c r="S21" i="55"/>
  <c r="R21" i="55"/>
  <c r="Q21" i="55"/>
  <c r="P21" i="55"/>
  <c r="N21" i="55"/>
  <c r="M21" i="55"/>
  <c r="L21" i="55"/>
  <c r="K21" i="55"/>
  <c r="I21" i="55"/>
  <c r="H21" i="55"/>
  <c r="G21" i="55"/>
  <c r="F21" i="55"/>
  <c r="E21" i="55"/>
  <c r="D21" i="55"/>
  <c r="C21" i="55"/>
  <c r="B21" i="55"/>
  <c r="T20" i="55"/>
  <c r="S20" i="55"/>
  <c r="R20" i="55"/>
  <c r="Q20" i="55"/>
  <c r="M20" i="55"/>
  <c r="K20" i="55"/>
  <c r="H20" i="55"/>
  <c r="G20" i="55"/>
  <c r="F20" i="55"/>
  <c r="E20" i="55"/>
  <c r="D20" i="55"/>
  <c r="C20" i="55"/>
  <c r="B20" i="55"/>
  <c r="T19" i="55"/>
  <c r="R19" i="55"/>
  <c r="Q19" i="55"/>
  <c r="P19" i="55"/>
  <c r="N19" i="55"/>
  <c r="M19" i="55"/>
  <c r="L19" i="55"/>
  <c r="K19" i="55"/>
  <c r="I19" i="55"/>
  <c r="H19" i="55"/>
  <c r="G19" i="55"/>
  <c r="F19" i="55"/>
  <c r="E19" i="55"/>
  <c r="D19" i="55"/>
  <c r="C19" i="55"/>
  <c r="B19" i="55"/>
  <c r="T18" i="55"/>
  <c r="S18" i="55"/>
  <c r="R18" i="55"/>
  <c r="Q18" i="55"/>
  <c r="P18" i="55"/>
  <c r="N18" i="55"/>
  <c r="M18" i="55"/>
  <c r="L18" i="55"/>
  <c r="K18" i="55"/>
  <c r="I18" i="55"/>
  <c r="H18" i="55"/>
  <c r="G18" i="55"/>
  <c r="F18" i="55"/>
  <c r="E18" i="55"/>
  <c r="D18" i="55"/>
  <c r="C18" i="55"/>
  <c r="B18" i="55"/>
  <c r="T17" i="55"/>
  <c r="S17" i="55"/>
  <c r="R17" i="55"/>
  <c r="Q17" i="55"/>
  <c r="P17" i="55"/>
  <c r="N17" i="55"/>
  <c r="M17" i="55"/>
  <c r="L17" i="55"/>
  <c r="K17" i="55"/>
  <c r="I17" i="55"/>
  <c r="G17" i="55"/>
  <c r="F17" i="55"/>
  <c r="E17" i="55"/>
  <c r="D17" i="55"/>
  <c r="C17" i="55"/>
  <c r="B17" i="55"/>
  <c r="U11" i="55"/>
  <c r="O11" i="55"/>
  <c r="J11" i="55"/>
  <c r="T10" i="55"/>
  <c r="S10" i="55"/>
  <c r="R10" i="55"/>
  <c r="Q10" i="55"/>
  <c r="P10" i="55"/>
  <c r="N10" i="55"/>
  <c r="M10" i="55"/>
  <c r="L10" i="55"/>
  <c r="K10" i="55"/>
  <c r="I10" i="55"/>
  <c r="H10" i="55"/>
  <c r="G10" i="55"/>
  <c r="F10" i="55"/>
  <c r="E10" i="55"/>
  <c r="D10" i="55"/>
  <c r="C10" i="55"/>
  <c r="B10" i="55"/>
  <c r="S9" i="55"/>
  <c r="R9" i="55"/>
  <c r="Q9" i="55"/>
  <c r="M9" i="55"/>
  <c r="K9" i="55"/>
  <c r="H9" i="55"/>
  <c r="G9" i="55"/>
  <c r="F9" i="55"/>
  <c r="E9" i="55"/>
  <c r="D9" i="55"/>
  <c r="C9" i="55"/>
  <c r="B9" i="55"/>
  <c r="T8" i="55"/>
  <c r="S8" i="55"/>
  <c r="R8" i="55"/>
  <c r="Q8" i="55"/>
  <c r="P8" i="55"/>
  <c r="N8" i="55"/>
  <c r="M8" i="55"/>
  <c r="L8" i="55"/>
  <c r="K8" i="55"/>
  <c r="I8" i="55"/>
  <c r="H8" i="55"/>
  <c r="G8" i="55"/>
  <c r="F8" i="55"/>
  <c r="E8" i="55"/>
  <c r="D8" i="55"/>
  <c r="C8" i="55"/>
  <c r="B8" i="55"/>
  <c r="T7" i="55"/>
  <c r="S7" i="55"/>
  <c r="Q7" i="55"/>
  <c r="P7" i="55"/>
  <c r="N7" i="55"/>
  <c r="M7" i="55"/>
  <c r="L7" i="55"/>
  <c r="K7" i="55"/>
  <c r="I7" i="55"/>
  <c r="H7" i="55"/>
  <c r="G7" i="55"/>
  <c r="B7" i="55"/>
  <c r="T6" i="55"/>
  <c r="S6" i="55"/>
  <c r="R6" i="55"/>
  <c r="Q6" i="55"/>
  <c r="P6" i="55"/>
  <c r="N6" i="55"/>
  <c r="M6" i="55"/>
  <c r="L6" i="55"/>
  <c r="K6" i="55"/>
  <c r="I6" i="55"/>
  <c r="H6" i="55"/>
  <c r="G6" i="55"/>
  <c r="F6" i="55"/>
  <c r="E6" i="55"/>
  <c r="D6" i="55"/>
  <c r="C6" i="55"/>
  <c r="B6" i="55"/>
  <c r="W55" i="53"/>
  <c r="U55" i="53"/>
  <c r="T55" i="53"/>
  <c r="S55" i="53"/>
  <c r="R55" i="53"/>
  <c r="Q55" i="53"/>
  <c r="P55" i="53"/>
  <c r="O55" i="53"/>
  <c r="N55" i="53"/>
  <c r="M55" i="53"/>
  <c r="L55" i="53"/>
  <c r="K55" i="53"/>
  <c r="J55" i="53"/>
  <c r="I55" i="53"/>
  <c r="H55" i="53"/>
  <c r="G55" i="53"/>
  <c r="F55" i="53"/>
  <c r="E55" i="53"/>
  <c r="D55" i="53"/>
  <c r="C55" i="53"/>
  <c r="B55" i="53"/>
  <c r="V54" i="53"/>
  <c r="V53" i="53"/>
  <c r="V52" i="53"/>
  <c r="V51" i="53"/>
  <c r="V50" i="53"/>
  <c r="W44" i="53"/>
  <c r="U44" i="53"/>
  <c r="T44" i="53"/>
  <c r="S44" i="53"/>
  <c r="R44" i="53"/>
  <c r="Q44" i="53"/>
  <c r="P44" i="53"/>
  <c r="O44" i="53"/>
  <c r="N44" i="53"/>
  <c r="M44" i="53"/>
  <c r="L44" i="53"/>
  <c r="K44" i="53"/>
  <c r="J44" i="53"/>
  <c r="I44" i="53"/>
  <c r="H44" i="53"/>
  <c r="G44" i="53"/>
  <c r="F44" i="53"/>
  <c r="E44" i="53"/>
  <c r="D44" i="53"/>
  <c r="C44" i="53"/>
  <c r="B44" i="53"/>
  <c r="V43" i="53"/>
  <c r="V42" i="53"/>
  <c r="V41" i="53"/>
  <c r="V40" i="53"/>
  <c r="V39" i="53"/>
  <c r="W33" i="53"/>
  <c r="U33" i="53"/>
  <c r="T33" i="53"/>
  <c r="S33" i="53"/>
  <c r="R33" i="53"/>
  <c r="Q33" i="53"/>
  <c r="P33" i="53"/>
  <c r="O33" i="53"/>
  <c r="N33" i="53"/>
  <c r="M33" i="53"/>
  <c r="L33" i="53"/>
  <c r="K33" i="53"/>
  <c r="J33" i="53"/>
  <c r="I33" i="53"/>
  <c r="H33" i="53"/>
  <c r="G33" i="53"/>
  <c r="F33" i="53"/>
  <c r="E33" i="53"/>
  <c r="D33" i="53"/>
  <c r="C33" i="53"/>
  <c r="B33" i="53"/>
  <c r="V32" i="53"/>
  <c r="V31" i="53"/>
  <c r="V30" i="53"/>
  <c r="V29" i="53"/>
  <c r="V28" i="53"/>
  <c r="U22" i="53"/>
  <c r="O22" i="53"/>
  <c r="J22" i="53"/>
  <c r="T21" i="53"/>
  <c r="S21" i="53"/>
  <c r="R21" i="53"/>
  <c r="Q21" i="53"/>
  <c r="P21" i="53"/>
  <c r="N21" i="53"/>
  <c r="M21" i="53"/>
  <c r="L21" i="53"/>
  <c r="K21" i="53"/>
  <c r="I21" i="53"/>
  <c r="H21" i="53"/>
  <c r="G21" i="53"/>
  <c r="F21" i="53"/>
  <c r="E21" i="53"/>
  <c r="D21" i="53"/>
  <c r="C21" i="53"/>
  <c r="B21" i="53"/>
  <c r="T20" i="53"/>
  <c r="S20" i="53"/>
  <c r="R20" i="53"/>
  <c r="Q20" i="53"/>
  <c r="M20" i="53"/>
  <c r="K20" i="53"/>
  <c r="H20" i="53"/>
  <c r="G20" i="53"/>
  <c r="F20" i="53"/>
  <c r="E20" i="53"/>
  <c r="D20" i="53"/>
  <c r="C20" i="53"/>
  <c r="B20" i="53"/>
  <c r="T19" i="53"/>
  <c r="S19" i="53"/>
  <c r="R19" i="53"/>
  <c r="Q19" i="53"/>
  <c r="P19" i="53"/>
  <c r="N19" i="53"/>
  <c r="M19" i="53"/>
  <c r="L19" i="53"/>
  <c r="K19" i="53"/>
  <c r="I19" i="53"/>
  <c r="H19" i="53"/>
  <c r="G19" i="53"/>
  <c r="F19" i="53"/>
  <c r="E19" i="53"/>
  <c r="D19" i="53"/>
  <c r="C19" i="53"/>
  <c r="B19" i="53"/>
  <c r="T18" i="53"/>
  <c r="S18" i="53"/>
  <c r="R18" i="53"/>
  <c r="Q18" i="53"/>
  <c r="P18" i="53"/>
  <c r="N18" i="53"/>
  <c r="M18" i="53"/>
  <c r="L18" i="53"/>
  <c r="K18" i="53"/>
  <c r="I18" i="53"/>
  <c r="H18" i="53"/>
  <c r="G18" i="53"/>
  <c r="F18" i="53"/>
  <c r="E18" i="53"/>
  <c r="D18" i="53"/>
  <c r="C18" i="53"/>
  <c r="B18" i="53"/>
  <c r="T17" i="53"/>
  <c r="S17" i="53"/>
  <c r="R17" i="53"/>
  <c r="Q17" i="53"/>
  <c r="P17" i="53"/>
  <c r="N17" i="53"/>
  <c r="M17" i="53"/>
  <c r="L17" i="53"/>
  <c r="K17" i="53"/>
  <c r="I17" i="53"/>
  <c r="G17" i="53"/>
  <c r="F17" i="53"/>
  <c r="E17" i="53"/>
  <c r="D17" i="53"/>
  <c r="C17" i="53"/>
  <c r="B17" i="53"/>
  <c r="U11" i="53"/>
  <c r="O11" i="53"/>
  <c r="J11" i="53"/>
  <c r="T10" i="53"/>
  <c r="S10" i="53"/>
  <c r="R10" i="53"/>
  <c r="Q10" i="53"/>
  <c r="P10" i="53"/>
  <c r="N10" i="53"/>
  <c r="M10" i="53"/>
  <c r="L10" i="53"/>
  <c r="K10" i="53"/>
  <c r="I10" i="53"/>
  <c r="H10" i="53"/>
  <c r="G10" i="53"/>
  <c r="F10" i="53"/>
  <c r="E10" i="53"/>
  <c r="D10" i="53"/>
  <c r="C10" i="53"/>
  <c r="B10" i="53"/>
  <c r="S9" i="53"/>
  <c r="R9" i="53"/>
  <c r="Q9" i="53"/>
  <c r="M9" i="53"/>
  <c r="K9" i="53"/>
  <c r="H9" i="53"/>
  <c r="G9" i="53"/>
  <c r="F9" i="53"/>
  <c r="E9" i="53"/>
  <c r="D9" i="53"/>
  <c r="C9" i="53"/>
  <c r="B9" i="53"/>
  <c r="T8" i="53"/>
  <c r="S8" i="53"/>
  <c r="R8" i="53"/>
  <c r="Q8" i="53"/>
  <c r="P8" i="53"/>
  <c r="N8" i="53"/>
  <c r="M8" i="53"/>
  <c r="L8" i="53"/>
  <c r="K8" i="53"/>
  <c r="I8" i="53"/>
  <c r="H8" i="53"/>
  <c r="G8" i="53"/>
  <c r="F8" i="53"/>
  <c r="E8" i="53"/>
  <c r="D8" i="53"/>
  <c r="C8" i="53"/>
  <c r="B8" i="53"/>
  <c r="T7" i="53"/>
  <c r="S7" i="53"/>
  <c r="Q7" i="53"/>
  <c r="P7" i="53"/>
  <c r="N7" i="53"/>
  <c r="M7" i="53"/>
  <c r="L7" i="53"/>
  <c r="K7" i="53"/>
  <c r="I7" i="53"/>
  <c r="H7" i="53"/>
  <c r="G7" i="53"/>
  <c r="F7" i="53"/>
  <c r="E7" i="53"/>
  <c r="D7" i="53"/>
  <c r="C7" i="53"/>
  <c r="B7" i="53"/>
  <c r="T6" i="53"/>
  <c r="S6" i="53"/>
  <c r="R6" i="53"/>
  <c r="Q6" i="53"/>
  <c r="P6" i="53"/>
  <c r="N6" i="53"/>
  <c r="M6" i="53"/>
  <c r="L6" i="53"/>
  <c r="K6" i="53"/>
  <c r="I6" i="53"/>
  <c r="H6" i="53"/>
  <c r="G6" i="53"/>
  <c r="F6" i="53"/>
  <c r="E6" i="53"/>
  <c r="D6" i="53"/>
  <c r="C6" i="53"/>
  <c r="B6" i="53"/>
  <c r="W77" i="51"/>
  <c r="U77" i="51"/>
  <c r="T77" i="51"/>
  <c r="S77" i="51"/>
  <c r="R77" i="51"/>
  <c r="Q77" i="51"/>
  <c r="P77" i="51"/>
  <c r="O77" i="51"/>
  <c r="N77" i="51"/>
  <c r="M77" i="51"/>
  <c r="L77" i="51"/>
  <c r="K77" i="51"/>
  <c r="J77" i="51"/>
  <c r="I77" i="51"/>
  <c r="H77" i="51"/>
  <c r="G77" i="51"/>
  <c r="F77" i="51"/>
  <c r="E77" i="51"/>
  <c r="D77" i="51"/>
  <c r="C77" i="51"/>
  <c r="B77" i="51"/>
  <c r="V76" i="51"/>
  <c r="V75" i="51"/>
  <c r="V74" i="51"/>
  <c r="V73" i="51"/>
  <c r="V72" i="51"/>
  <c r="W66" i="51"/>
  <c r="U66" i="51"/>
  <c r="T66" i="51"/>
  <c r="S66" i="51"/>
  <c r="R66" i="51"/>
  <c r="Q66" i="51"/>
  <c r="P66" i="51"/>
  <c r="O66" i="51"/>
  <c r="N66" i="51"/>
  <c r="M66" i="51"/>
  <c r="L66" i="51"/>
  <c r="K66" i="51"/>
  <c r="J66" i="51"/>
  <c r="I66" i="51"/>
  <c r="H66" i="51"/>
  <c r="G66" i="51"/>
  <c r="F66" i="51"/>
  <c r="E66" i="51"/>
  <c r="D66" i="51"/>
  <c r="C66" i="51"/>
  <c r="B66" i="51"/>
  <c r="V65" i="51"/>
  <c r="V64" i="51"/>
  <c r="V63" i="51"/>
  <c r="V62" i="51"/>
  <c r="V61" i="51"/>
  <c r="W55" i="51"/>
  <c r="U55" i="51"/>
  <c r="T55" i="51"/>
  <c r="S55" i="51"/>
  <c r="R55" i="51"/>
  <c r="Q55" i="51"/>
  <c r="P55" i="51"/>
  <c r="O55" i="51"/>
  <c r="N55" i="51"/>
  <c r="M55" i="51"/>
  <c r="L55" i="51"/>
  <c r="K55" i="51"/>
  <c r="J55" i="51"/>
  <c r="I55" i="51"/>
  <c r="H55" i="51"/>
  <c r="G55" i="51"/>
  <c r="F55" i="51"/>
  <c r="E55" i="51"/>
  <c r="D55" i="51"/>
  <c r="C55" i="51"/>
  <c r="B55" i="51"/>
  <c r="V54" i="51"/>
  <c r="V53" i="51"/>
  <c r="V52" i="51"/>
  <c r="V51" i="51"/>
  <c r="V50" i="51"/>
  <c r="W44" i="51"/>
  <c r="U44" i="51"/>
  <c r="T44" i="51"/>
  <c r="S44" i="51"/>
  <c r="R44" i="51"/>
  <c r="Q44" i="51"/>
  <c r="P44" i="51"/>
  <c r="O44" i="51"/>
  <c r="N44" i="51"/>
  <c r="M44" i="51"/>
  <c r="L44" i="51"/>
  <c r="K44" i="51"/>
  <c r="J44" i="51"/>
  <c r="I44" i="51"/>
  <c r="H44" i="51"/>
  <c r="G44" i="51"/>
  <c r="F44" i="51"/>
  <c r="E44" i="51"/>
  <c r="D44" i="51"/>
  <c r="C44" i="51"/>
  <c r="B44" i="51"/>
  <c r="V43" i="51"/>
  <c r="V42" i="51"/>
  <c r="V41" i="51"/>
  <c r="V40" i="51"/>
  <c r="V39" i="51"/>
  <c r="W33" i="51"/>
  <c r="U33" i="51"/>
  <c r="T33" i="51"/>
  <c r="S33" i="51"/>
  <c r="R33" i="51"/>
  <c r="Q33" i="51"/>
  <c r="P33" i="51"/>
  <c r="O33" i="51"/>
  <c r="N33" i="51"/>
  <c r="M33" i="51"/>
  <c r="L33" i="51"/>
  <c r="K33" i="51"/>
  <c r="J33" i="51"/>
  <c r="I33" i="51"/>
  <c r="H33" i="51"/>
  <c r="G33" i="51"/>
  <c r="F33" i="51"/>
  <c r="E33" i="51"/>
  <c r="D33" i="51"/>
  <c r="C33" i="51"/>
  <c r="B33" i="51"/>
  <c r="V32" i="51"/>
  <c r="V31" i="51"/>
  <c r="V30" i="51"/>
  <c r="V29" i="51"/>
  <c r="V28" i="51"/>
  <c r="U22" i="51"/>
  <c r="O22" i="51"/>
  <c r="J22" i="51"/>
  <c r="T21" i="51"/>
  <c r="S21" i="51"/>
  <c r="R21" i="51"/>
  <c r="Q21" i="51"/>
  <c r="P21" i="51"/>
  <c r="N21" i="51"/>
  <c r="M21" i="51"/>
  <c r="L21" i="51"/>
  <c r="K21" i="51"/>
  <c r="I21" i="51"/>
  <c r="H21" i="51"/>
  <c r="G21" i="51"/>
  <c r="F21" i="51"/>
  <c r="E21" i="51"/>
  <c r="D21" i="51"/>
  <c r="C21" i="51"/>
  <c r="B21" i="51"/>
  <c r="T20" i="51"/>
  <c r="S20" i="51"/>
  <c r="R20" i="51"/>
  <c r="Q20" i="51"/>
  <c r="M20" i="51"/>
  <c r="K20" i="51"/>
  <c r="H20" i="51"/>
  <c r="G20" i="51"/>
  <c r="F20" i="51"/>
  <c r="E20" i="51"/>
  <c r="D20" i="51"/>
  <c r="C20" i="51"/>
  <c r="B20" i="51"/>
  <c r="T19" i="51"/>
  <c r="S19" i="51"/>
  <c r="R19" i="51"/>
  <c r="Q19" i="51"/>
  <c r="P19" i="51"/>
  <c r="N19" i="51"/>
  <c r="M19" i="51"/>
  <c r="L19" i="51"/>
  <c r="K19" i="51"/>
  <c r="I19" i="51"/>
  <c r="H19" i="51"/>
  <c r="G19" i="51"/>
  <c r="F19" i="51"/>
  <c r="E19" i="51"/>
  <c r="D19" i="51"/>
  <c r="C19" i="51"/>
  <c r="B19" i="51"/>
  <c r="T18" i="51"/>
  <c r="S18" i="51"/>
  <c r="R18" i="51"/>
  <c r="Q18" i="51"/>
  <c r="P18" i="51"/>
  <c r="N18" i="51"/>
  <c r="M18" i="51"/>
  <c r="L18" i="51"/>
  <c r="K18" i="51"/>
  <c r="I18" i="51"/>
  <c r="H18" i="51"/>
  <c r="G18" i="51"/>
  <c r="F18" i="51"/>
  <c r="E18" i="51"/>
  <c r="D18" i="51"/>
  <c r="C18" i="51"/>
  <c r="B18" i="51"/>
  <c r="T17" i="51"/>
  <c r="S17" i="51"/>
  <c r="R17" i="51"/>
  <c r="Q17" i="51"/>
  <c r="P17" i="51"/>
  <c r="N17" i="51"/>
  <c r="M17" i="51"/>
  <c r="L17" i="51"/>
  <c r="K17" i="51"/>
  <c r="I17" i="51"/>
  <c r="G17" i="51"/>
  <c r="F17" i="51"/>
  <c r="E17" i="51"/>
  <c r="D17" i="51"/>
  <c r="C17" i="51"/>
  <c r="B17" i="51"/>
  <c r="U11" i="51"/>
  <c r="O11" i="51"/>
  <c r="J11" i="51"/>
  <c r="T10" i="51"/>
  <c r="S10" i="51"/>
  <c r="R10" i="51"/>
  <c r="Q10" i="51"/>
  <c r="P10" i="51"/>
  <c r="N10" i="51"/>
  <c r="M10" i="51"/>
  <c r="L10" i="51"/>
  <c r="K10" i="51"/>
  <c r="I10" i="51"/>
  <c r="H10" i="51"/>
  <c r="G10" i="51"/>
  <c r="F10" i="51"/>
  <c r="E10" i="51"/>
  <c r="D10" i="51"/>
  <c r="C10" i="51"/>
  <c r="B10" i="51"/>
  <c r="S9" i="51"/>
  <c r="R9" i="51"/>
  <c r="Q9" i="51"/>
  <c r="M9" i="51"/>
  <c r="K9" i="51"/>
  <c r="H9" i="51"/>
  <c r="G9" i="51"/>
  <c r="F9" i="51"/>
  <c r="E9" i="51"/>
  <c r="D9" i="51"/>
  <c r="C9" i="51"/>
  <c r="B9" i="51"/>
  <c r="T8" i="51"/>
  <c r="S8" i="51"/>
  <c r="R8" i="51"/>
  <c r="Q8" i="51"/>
  <c r="P8" i="51"/>
  <c r="N8" i="51"/>
  <c r="M8" i="51"/>
  <c r="L8" i="51"/>
  <c r="K8" i="51"/>
  <c r="I8" i="51"/>
  <c r="H8" i="51"/>
  <c r="G8" i="51"/>
  <c r="F8" i="51"/>
  <c r="E8" i="51"/>
  <c r="D8" i="51"/>
  <c r="C8" i="51"/>
  <c r="B8" i="51"/>
  <c r="T7" i="51"/>
  <c r="S7" i="51"/>
  <c r="Q7" i="51"/>
  <c r="P7" i="51"/>
  <c r="N7" i="51"/>
  <c r="M7" i="51"/>
  <c r="L7" i="51"/>
  <c r="K7" i="51"/>
  <c r="I7" i="51"/>
  <c r="H7" i="51"/>
  <c r="G7" i="51"/>
  <c r="F7" i="51"/>
  <c r="E7" i="51"/>
  <c r="D7" i="51"/>
  <c r="C7" i="51"/>
  <c r="B7" i="51"/>
  <c r="T6" i="51"/>
  <c r="S6" i="51"/>
  <c r="R6" i="51"/>
  <c r="Q6" i="51"/>
  <c r="P6" i="51"/>
  <c r="N6" i="51"/>
  <c r="M6" i="51"/>
  <c r="L6" i="51"/>
  <c r="K6" i="51"/>
  <c r="I6" i="51"/>
  <c r="H6" i="51"/>
  <c r="G6" i="51"/>
  <c r="F6" i="51"/>
  <c r="E6" i="51"/>
  <c r="D6" i="51"/>
  <c r="C6" i="51"/>
  <c r="B6" i="51"/>
  <c r="C110" i="49"/>
  <c r="K109" i="49"/>
  <c r="J109" i="49"/>
  <c r="I109" i="49"/>
  <c r="G109" i="49"/>
  <c r="D109" i="49"/>
  <c r="K108" i="49"/>
  <c r="J108" i="49"/>
  <c r="I108" i="49"/>
  <c r="G108" i="49"/>
  <c r="D108" i="49"/>
  <c r="K107" i="49"/>
  <c r="J107" i="49"/>
  <c r="I107" i="49"/>
  <c r="G107" i="49"/>
  <c r="K106" i="49"/>
  <c r="J106" i="49"/>
  <c r="I106" i="49"/>
  <c r="G106" i="49"/>
  <c r="D106" i="49"/>
  <c r="K105" i="49"/>
  <c r="J105" i="49"/>
  <c r="I105" i="49"/>
  <c r="G105" i="49"/>
  <c r="D105" i="49"/>
  <c r="K104" i="49"/>
  <c r="J104" i="49"/>
  <c r="I104" i="49"/>
  <c r="G104" i="49"/>
  <c r="D104" i="49"/>
  <c r="K103" i="49"/>
  <c r="J103" i="49"/>
  <c r="I103" i="49"/>
  <c r="G103" i="49"/>
  <c r="D103" i="49"/>
  <c r="K102" i="49"/>
  <c r="J102" i="49"/>
  <c r="I102" i="49"/>
  <c r="G102" i="49"/>
  <c r="D102" i="49"/>
  <c r="K101" i="49"/>
  <c r="J101" i="49"/>
  <c r="I101" i="49"/>
  <c r="G101" i="49"/>
  <c r="D101" i="49"/>
  <c r="K100" i="49"/>
  <c r="J100" i="49"/>
  <c r="I100" i="49"/>
  <c r="G100" i="49"/>
  <c r="D100" i="49"/>
  <c r="K99" i="49"/>
  <c r="J99" i="49"/>
  <c r="I99" i="49"/>
  <c r="G99" i="49"/>
  <c r="D99" i="49"/>
  <c r="M98" i="49"/>
  <c r="L98" i="49"/>
  <c r="K98" i="49"/>
  <c r="J98" i="49"/>
  <c r="I98" i="49"/>
  <c r="G98" i="49"/>
  <c r="D98" i="49"/>
  <c r="K97" i="49"/>
  <c r="J97" i="49"/>
  <c r="I97" i="49"/>
  <c r="G97" i="49"/>
  <c r="D97" i="49"/>
  <c r="K96" i="49"/>
  <c r="J96" i="49"/>
  <c r="I96" i="49"/>
  <c r="G96" i="49"/>
  <c r="D96" i="49"/>
  <c r="K95" i="49"/>
  <c r="J95" i="49"/>
  <c r="I95" i="49"/>
  <c r="G95" i="49"/>
  <c r="D95" i="49"/>
  <c r="K94" i="49"/>
  <c r="J94" i="49"/>
  <c r="I94" i="49"/>
  <c r="G94" i="49"/>
  <c r="D94" i="49"/>
  <c r="K93" i="49"/>
  <c r="J93" i="49"/>
  <c r="I93" i="49"/>
  <c r="G93" i="49"/>
  <c r="D93" i="49"/>
  <c r="K92" i="49"/>
  <c r="J92" i="49"/>
  <c r="I92" i="49"/>
  <c r="G92" i="49"/>
  <c r="D92" i="49"/>
  <c r="K49" i="49"/>
  <c r="G49" i="49"/>
  <c r="M29" i="49"/>
  <c r="K29" i="49"/>
  <c r="M26" i="49"/>
  <c r="W53" i="49" s="1"/>
  <c r="K26" i="49"/>
  <c r="T57" i="49" s="1"/>
  <c r="I26" i="49"/>
  <c r="J25" i="49" s="1"/>
  <c r="G26" i="49"/>
  <c r="H21" i="49" s="1"/>
  <c r="Q25" i="49"/>
  <c r="M109" i="49" s="1"/>
  <c r="O25" i="49"/>
  <c r="L109" i="49" s="1"/>
  <c r="Q24" i="49"/>
  <c r="M108" i="49" s="1"/>
  <c r="O24" i="49"/>
  <c r="L108" i="49" s="1"/>
  <c r="Q23" i="49"/>
  <c r="M107" i="49" s="1"/>
  <c r="O23" i="49"/>
  <c r="L107" i="49" s="1"/>
  <c r="D23" i="49"/>
  <c r="D107" i="49" s="1"/>
  <c r="Q22" i="49"/>
  <c r="M106" i="49" s="1"/>
  <c r="O22" i="49"/>
  <c r="L106" i="49" s="1"/>
  <c r="Q21" i="49"/>
  <c r="M105" i="49" s="1"/>
  <c r="O21" i="49"/>
  <c r="L105" i="49" s="1"/>
  <c r="J21" i="49"/>
  <c r="Q20" i="49"/>
  <c r="M104" i="49" s="1"/>
  <c r="O20" i="49"/>
  <c r="L104" i="49" s="1"/>
  <c r="Q19" i="49"/>
  <c r="M103" i="49" s="1"/>
  <c r="O19" i="49"/>
  <c r="L103" i="49" s="1"/>
  <c r="J19" i="49"/>
  <c r="Q17" i="49"/>
  <c r="M101" i="49" s="1"/>
  <c r="O17" i="49"/>
  <c r="L101" i="49" s="1"/>
  <c r="J17" i="49"/>
  <c r="Q16" i="49"/>
  <c r="M100" i="49" s="1"/>
  <c r="O16" i="49"/>
  <c r="L100" i="49" s="1"/>
  <c r="Q15" i="49"/>
  <c r="M99" i="49" s="1"/>
  <c r="O15" i="49"/>
  <c r="L99" i="49" s="1"/>
  <c r="L15" i="49"/>
  <c r="J15" i="49"/>
  <c r="Z14" i="49"/>
  <c r="Y14" i="49"/>
  <c r="X14" i="49"/>
  <c r="W14" i="49"/>
  <c r="V14" i="49"/>
  <c r="Z13" i="49"/>
  <c r="Y13" i="49"/>
  <c r="Z12" i="49"/>
  <c r="Y12" i="49"/>
  <c r="AJ12" i="49" s="1"/>
  <c r="X12" i="49"/>
  <c r="AI12" i="49" s="1"/>
  <c r="W12" i="49"/>
  <c r="T12" i="49"/>
  <c r="V12" i="49" s="1"/>
  <c r="Q12" i="49"/>
  <c r="M96" i="49" s="1"/>
  <c r="O12" i="49"/>
  <c r="L96" i="49" s="1"/>
  <c r="Z11" i="49"/>
  <c r="Y11" i="49"/>
  <c r="AJ11" i="49" s="1"/>
  <c r="X11" i="49"/>
  <c r="AI11" i="49" s="1"/>
  <c r="W11" i="49"/>
  <c r="T11" i="49"/>
  <c r="V11" i="49" s="1"/>
  <c r="Q11" i="49"/>
  <c r="M95" i="49" s="1"/>
  <c r="O11" i="49"/>
  <c r="L95" i="49" s="1"/>
  <c r="J11" i="49"/>
  <c r="Z10" i="49"/>
  <c r="Y10" i="49"/>
  <c r="X10" i="49"/>
  <c r="W10" i="49"/>
  <c r="V10" i="49"/>
  <c r="Q10" i="49"/>
  <c r="M94" i="49" s="1"/>
  <c r="O10" i="49"/>
  <c r="L94" i="49" s="1"/>
  <c r="Z9" i="49"/>
  <c r="Y9" i="49"/>
  <c r="X9" i="49"/>
  <c r="W9" i="49"/>
  <c r="V9" i="49"/>
  <c r="Q9" i="49"/>
  <c r="M93" i="49" s="1"/>
  <c r="O9" i="49"/>
  <c r="L93" i="49" s="1"/>
  <c r="N9" i="49"/>
  <c r="L9" i="49"/>
  <c r="Q8" i="49"/>
  <c r="M92" i="49" s="1"/>
  <c r="O8" i="49"/>
  <c r="L92" i="49" s="1"/>
  <c r="N8" i="49"/>
  <c r="L8" i="49"/>
  <c r="K131" i="42"/>
  <c r="J131" i="42"/>
  <c r="C87" i="42"/>
  <c r="J86" i="42"/>
  <c r="I86" i="42"/>
  <c r="H86" i="42"/>
  <c r="G86" i="42"/>
  <c r="D86" i="42"/>
  <c r="J85" i="42"/>
  <c r="I85" i="42"/>
  <c r="H85" i="42"/>
  <c r="G85" i="42"/>
  <c r="D85" i="42"/>
  <c r="J84" i="42"/>
  <c r="I84" i="42"/>
  <c r="H84" i="42"/>
  <c r="G84" i="42"/>
  <c r="D84" i="42"/>
  <c r="J83" i="42"/>
  <c r="I83" i="42"/>
  <c r="H83" i="42"/>
  <c r="G83" i="42"/>
  <c r="D83" i="42"/>
  <c r="J82" i="42"/>
  <c r="I82" i="42"/>
  <c r="H82" i="42"/>
  <c r="G82" i="42"/>
  <c r="D82" i="42"/>
  <c r="J81" i="42"/>
  <c r="I81" i="42"/>
  <c r="H81" i="42"/>
  <c r="G81" i="42"/>
  <c r="D81" i="42"/>
  <c r="J80" i="42"/>
  <c r="I80" i="42"/>
  <c r="H80" i="42"/>
  <c r="G80" i="42"/>
  <c r="D80" i="42"/>
  <c r="J79" i="42"/>
  <c r="I79" i="42"/>
  <c r="H79" i="42"/>
  <c r="G79" i="42"/>
  <c r="D79" i="42"/>
  <c r="J78" i="42"/>
  <c r="I78" i="42"/>
  <c r="H78" i="42"/>
  <c r="G78" i="42"/>
  <c r="D78" i="42"/>
  <c r="J77" i="42"/>
  <c r="I77" i="42"/>
  <c r="H77" i="42"/>
  <c r="G77" i="42"/>
  <c r="D77" i="42"/>
  <c r="J76" i="42"/>
  <c r="I76" i="42"/>
  <c r="H76" i="42"/>
  <c r="G76" i="42"/>
  <c r="D76" i="42"/>
  <c r="J75" i="42"/>
  <c r="I75" i="42"/>
  <c r="H75" i="42"/>
  <c r="G75" i="42"/>
  <c r="D75" i="42"/>
  <c r="J74" i="42"/>
  <c r="I74" i="42"/>
  <c r="H74" i="42"/>
  <c r="G74" i="42"/>
  <c r="D74" i="42"/>
  <c r="J73" i="42"/>
  <c r="I73" i="42"/>
  <c r="H73" i="42"/>
  <c r="G73" i="42"/>
  <c r="D73" i="42"/>
  <c r="J72" i="42"/>
  <c r="I72" i="42"/>
  <c r="H72" i="42"/>
  <c r="G72" i="42"/>
  <c r="D72" i="42"/>
  <c r="K29" i="42"/>
  <c r="G29" i="42"/>
  <c r="M22" i="42"/>
  <c r="L125" i="42" s="1"/>
  <c r="K22" i="42"/>
  <c r="L12" i="42" s="1"/>
  <c r="I22" i="42"/>
  <c r="J20" i="42" s="1"/>
  <c r="G22" i="42"/>
  <c r="H14" i="42" s="1"/>
  <c r="D22" i="42"/>
  <c r="D87" i="42" s="1"/>
  <c r="Q21" i="42"/>
  <c r="L86" i="42" s="1"/>
  <c r="O21" i="42"/>
  <c r="K86" i="42" s="1"/>
  <c r="Q20" i="42"/>
  <c r="L84" i="42" s="1"/>
  <c r="O20" i="42"/>
  <c r="K84" i="42" s="1"/>
  <c r="Q19" i="42"/>
  <c r="L85" i="42" s="1"/>
  <c r="O19" i="42"/>
  <c r="K85" i="42" s="1"/>
  <c r="N19" i="42"/>
  <c r="Q18" i="42"/>
  <c r="L83" i="42" s="1"/>
  <c r="O18" i="42"/>
  <c r="K83" i="42" s="1"/>
  <c r="Q17" i="42"/>
  <c r="L82" i="42" s="1"/>
  <c r="O17" i="42"/>
  <c r="K82" i="42" s="1"/>
  <c r="Q16" i="42"/>
  <c r="L81" i="42" s="1"/>
  <c r="O16" i="42"/>
  <c r="K81" i="42" s="1"/>
  <c r="N16" i="42"/>
  <c r="E15" i="42"/>
  <c r="Q14" i="42"/>
  <c r="L79" i="42" s="1"/>
  <c r="O14" i="42"/>
  <c r="K79" i="42" s="1"/>
  <c r="E14" i="42"/>
  <c r="Q13" i="42"/>
  <c r="L78" i="42" s="1"/>
  <c r="O13" i="42"/>
  <c r="K78" i="42" s="1"/>
  <c r="N13" i="42"/>
  <c r="AC12" i="42"/>
  <c r="AB12" i="42"/>
  <c r="AA12" i="42"/>
  <c r="Z12" i="42"/>
  <c r="Y12" i="42"/>
  <c r="X12" i="42"/>
  <c r="AJ14" i="42" s="1"/>
  <c r="Q12" i="42"/>
  <c r="L77" i="42" s="1"/>
  <c r="O12" i="42"/>
  <c r="K77" i="42" s="1"/>
  <c r="E12" i="42"/>
  <c r="AC11" i="42"/>
  <c r="AN11" i="42" s="1"/>
  <c r="AB11" i="42"/>
  <c r="AA11" i="42"/>
  <c r="Y11" i="42"/>
  <c r="X11" i="42"/>
  <c r="Q11" i="42"/>
  <c r="L72" i="42" s="1"/>
  <c r="O11" i="42"/>
  <c r="K72" i="42" s="1"/>
  <c r="N11" i="42"/>
  <c r="E11" i="42"/>
  <c r="AC10" i="42"/>
  <c r="AB10" i="42"/>
  <c r="AA10" i="42"/>
  <c r="Z10" i="42"/>
  <c r="Y10" i="42"/>
  <c r="X10" i="42"/>
  <c r="AJ10" i="42" s="1"/>
  <c r="Q10" i="42"/>
  <c r="L73" i="42" s="1"/>
  <c r="O10" i="42"/>
  <c r="K73" i="42" s="1"/>
  <c r="N10" i="42"/>
  <c r="E10" i="42"/>
  <c r="AC9" i="42"/>
  <c r="AN8" i="42" s="1"/>
  <c r="AB9" i="42"/>
  <c r="AA9" i="42"/>
  <c r="Z9" i="42"/>
  <c r="Y9" i="42"/>
  <c r="X9" i="42"/>
  <c r="AJ8" i="42" s="1"/>
  <c r="Q9" i="42"/>
  <c r="L76" i="42" s="1"/>
  <c r="O9" i="42"/>
  <c r="K76" i="42" s="1"/>
  <c r="N9" i="42"/>
  <c r="E9" i="42"/>
  <c r="AC8" i="42"/>
  <c r="AB8" i="42"/>
  <c r="AA8" i="42"/>
  <c r="Z8" i="42"/>
  <c r="Y8" i="42"/>
  <c r="X8" i="42"/>
  <c r="AJ9" i="42" s="1"/>
  <c r="Q8" i="42"/>
  <c r="L74" i="42" s="1"/>
  <c r="O8" i="42"/>
  <c r="K74" i="42" s="1"/>
  <c r="N8" i="42"/>
  <c r="E8" i="42"/>
  <c r="AC7" i="42"/>
  <c r="AB7" i="42"/>
  <c r="AA7" i="42"/>
  <c r="Z7" i="42"/>
  <c r="Y7" i="42"/>
  <c r="X7" i="42"/>
  <c r="AJ7" i="42" s="1"/>
  <c r="Q7" i="42"/>
  <c r="L75" i="42" s="1"/>
  <c r="O7" i="42"/>
  <c r="K75" i="42" s="1"/>
  <c r="N7" i="42"/>
  <c r="E7" i="42"/>
  <c r="N14" i="42" l="1"/>
  <c r="N18" i="42"/>
  <c r="N12" i="42"/>
  <c r="H12" i="42"/>
  <c r="L12" i="49"/>
  <c r="L13" i="49"/>
  <c r="L18" i="49"/>
  <c r="L20" i="49"/>
  <c r="L21" i="49"/>
  <c r="L11" i="49"/>
  <c r="AJ9" i="49"/>
  <c r="AJ10" i="49"/>
  <c r="AJ13" i="49"/>
  <c r="L16" i="49"/>
  <c r="L17" i="49"/>
  <c r="L10" i="49"/>
  <c r="L14" i="49"/>
  <c r="AE7" i="42"/>
  <c r="AD9" i="42"/>
  <c r="AO17" i="42" s="1"/>
  <c r="AA9" i="49"/>
  <c r="L18" i="42"/>
  <c r="N11" i="49"/>
  <c r="AB12" i="49"/>
  <c r="AA13" i="49"/>
  <c r="I22" i="56"/>
  <c r="S22" i="56"/>
  <c r="AK9" i="49"/>
  <c r="AK13" i="49"/>
  <c r="N18" i="49"/>
  <c r="N10" i="49"/>
  <c r="AK10" i="49"/>
  <c r="N19" i="49"/>
  <c r="N21" i="49"/>
  <c r="L8" i="42"/>
  <c r="L16" i="42"/>
  <c r="H8" i="42"/>
  <c r="H7" i="42"/>
  <c r="H11" i="42"/>
  <c r="L11" i="42"/>
  <c r="L20" i="42"/>
  <c r="L7" i="42"/>
  <c r="H9" i="42"/>
  <c r="L9" i="42"/>
  <c r="L14" i="42"/>
  <c r="E20" i="42"/>
  <c r="AG9" i="49"/>
  <c r="J14" i="49"/>
  <c r="AI9" i="49"/>
  <c r="J12" i="49"/>
  <c r="H24" i="49"/>
  <c r="J9" i="49"/>
  <c r="J20" i="49"/>
  <c r="AD10" i="42"/>
  <c r="AO18" i="42" s="1"/>
  <c r="J13" i="49"/>
  <c r="J16" i="49"/>
  <c r="J18" i="49"/>
  <c r="H22" i="49"/>
  <c r="AE10" i="42"/>
  <c r="AI10" i="49"/>
  <c r="M11" i="56"/>
  <c r="J8" i="49"/>
  <c r="J10" i="49"/>
  <c r="AN18" i="42"/>
  <c r="H18" i="42"/>
  <c r="F22" i="51"/>
  <c r="V55" i="55"/>
  <c r="X55" i="55" s="1"/>
  <c r="J22" i="49"/>
  <c r="J24" i="49"/>
  <c r="I11" i="51"/>
  <c r="S11" i="51"/>
  <c r="J23" i="49"/>
  <c r="C11" i="55"/>
  <c r="J12" i="42"/>
  <c r="J18" i="42"/>
  <c r="D89" i="42"/>
  <c r="AG11" i="49"/>
  <c r="V33" i="53"/>
  <c r="V44" i="55"/>
  <c r="X44" i="55" s="1"/>
  <c r="J9" i="42"/>
  <c r="AL8" i="42"/>
  <c r="H87" i="42"/>
  <c r="H11" i="49"/>
  <c r="V33" i="51"/>
  <c r="V55" i="56"/>
  <c r="AL11" i="42"/>
  <c r="J17" i="42"/>
  <c r="N20" i="42"/>
  <c r="H9" i="49"/>
  <c r="V47" i="58"/>
  <c r="J11" i="42"/>
  <c r="H12" i="49"/>
  <c r="H15" i="49"/>
  <c r="J15" i="42"/>
  <c r="J19" i="42"/>
  <c r="H8" i="49"/>
  <c r="AG10" i="49"/>
  <c r="H17" i="49"/>
  <c r="J110" i="49"/>
  <c r="J8" i="42"/>
  <c r="J7" i="42"/>
  <c r="J10" i="42"/>
  <c r="E16" i="42"/>
  <c r="E18" i="42"/>
  <c r="H25" i="49"/>
  <c r="K110" i="49"/>
  <c r="J14" i="42"/>
  <c r="H13" i="49"/>
  <c r="J21" i="42"/>
  <c r="AK18" i="42"/>
  <c r="E13" i="42"/>
  <c r="H16" i="42"/>
  <c r="N17" i="42"/>
  <c r="H20" i="42"/>
  <c r="N21" i="42"/>
  <c r="V77" i="51"/>
  <c r="J13" i="42"/>
  <c r="J16" i="42"/>
  <c r="S11" i="53"/>
  <c r="V44" i="53"/>
  <c r="H11" i="56"/>
  <c r="R11" i="56"/>
  <c r="E22" i="56"/>
  <c r="N22" i="56"/>
  <c r="E19" i="42"/>
  <c r="L19" i="49"/>
  <c r="L22" i="49"/>
  <c r="V44" i="51"/>
  <c r="V55" i="53"/>
  <c r="X55" i="53" s="1"/>
  <c r="V33" i="56"/>
  <c r="X33" i="56" s="1"/>
  <c r="V55" i="51"/>
  <c r="V58" i="58"/>
  <c r="V33" i="55"/>
  <c r="X33" i="55" s="1"/>
  <c r="D11" i="56"/>
  <c r="N15" i="42"/>
  <c r="E17" i="42"/>
  <c r="E21" i="42"/>
  <c r="K23" i="42"/>
  <c r="AB14" i="42" s="1"/>
  <c r="J87" i="42"/>
  <c r="J133" i="42"/>
  <c r="J134" i="42" s="1"/>
  <c r="N16" i="49"/>
  <c r="H20" i="49"/>
  <c r="E11" i="51"/>
  <c r="M22" i="51"/>
  <c r="V66" i="51"/>
  <c r="X66" i="51" s="1"/>
  <c r="V44" i="56"/>
  <c r="J14" i="58"/>
  <c r="L23" i="49"/>
  <c r="R22" i="51"/>
  <c r="D22" i="53"/>
  <c r="B12" i="58"/>
  <c r="B14" i="58" s="1"/>
  <c r="F12" i="58"/>
  <c r="F14" i="58" s="1"/>
  <c r="M12" i="58"/>
  <c r="M14" i="58" s="1"/>
  <c r="K23" i="58"/>
  <c r="K25" i="58" s="1"/>
  <c r="C11" i="51"/>
  <c r="G11" i="51"/>
  <c r="L11" i="51"/>
  <c r="K22" i="51"/>
  <c r="P22" i="51"/>
  <c r="T22" i="51"/>
  <c r="F22" i="53"/>
  <c r="E11" i="55"/>
  <c r="D12" i="58"/>
  <c r="D14" i="58" s="1"/>
  <c r="D22" i="51"/>
  <c r="B11" i="56"/>
  <c r="F11" i="56"/>
  <c r="K11" i="56"/>
  <c r="P11" i="56"/>
  <c r="T11" i="56"/>
  <c r="C22" i="56"/>
  <c r="G22" i="56"/>
  <c r="L22" i="56"/>
  <c r="AK11" i="49"/>
  <c r="N12" i="49"/>
  <c r="AG12" i="49"/>
  <c r="N13" i="49"/>
  <c r="H14" i="49"/>
  <c r="N15" i="49"/>
  <c r="N17" i="49"/>
  <c r="N20" i="49"/>
  <c r="N22" i="49"/>
  <c r="H23" i="49"/>
  <c r="I110" i="49"/>
  <c r="H10" i="49"/>
  <c r="AK12" i="49"/>
  <c r="N14" i="49"/>
  <c r="H16" i="49"/>
  <c r="H18" i="49"/>
  <c r="H19" i="49"/>
  <c r="N23" i="49"/>
  <c r="L24" i="49"/>
  <c r="N24" i="49"/>
  <c r="N25" i="49"/>
  <c r="L25" i="49"/>
  <c r="G110" i="49"/>
  <c r="G23" i="42"/>
  <c r="Y14" i="42" s="1"/>
  <c r="AM15" i="42"/>
  <c r="AM17" i="42"/>
  <c r="O73" i="42"/>
  <c r="AK16" i="42"/>
  <c r="AN16" i="42"/>
  <c r="AM8" i="42"/>
  <c r="L10" i="42"/>
  <c r="AM10" i="42"/>
  <c r="AK11" i="42"/>
  <c r="AM11" i="42"/>
  <c r="AK19" i="42"/>
  <c r="AN19" i="42"/>
  <c r="H13" i="42"/>
  <c r="L13" i="42"/>
  <c r="H15" i="42"/>
  <c r="L15" i="42"/>
  <c r="H17" i="42"/>
  <c r="L17" i="42"/>
  <c r="H19" i="42"/>
  <c r="L19" i="42"/>
  <c r="G87" i="42"/>
  <c r="H89" i="42" s="1"/>
  <c r="I87" i="42"/>
  <c r="O74" i="42"/>
  <c r="O75" i="42"/>
  <c r="V9" i="56"/>
  <c r="V10" i="56"/>
  <c r="Q22" i="56"/>
  <c r="K12" i="58"/>
  <c r="K14" i="58" s="1"/>
  <c r="O14" i="58"/>
  <c r="B23" i="58"/>
  <c r="B25" i="58" s="1"/>
  <c r="D23" i="58"/>
  <c r="D25" i="58" s="1"/>
  <c r="F23" i="58"/>
  <c r="F25" i="58" s="1"/>
  <c r="M23" i="58"/>
  <c r="M25" i="58" s="1"/>
  <c r="P23" i="58"/>
  <c r="P25" i="58" s="1"/>
  <c r="R23" i="58"/>
  <c r="R25" i="58" s="1"/>
  <c r="T23" i="58"/>
  <c r="T25" i="58" s="1"/>
  <c r="O93" i="49"/>
  <c r="P94" i="49"/>
  <c r="R94" i="49"/>
  <c r="O95" i="49"/>
  <c r="P96" i="49"/>
  <c r="R96" i="49"/>
  <c r="O97" i="49"/>
  <c r="P98" i="49"/>
  <c r="R98" i="49"/>
  <c r="O99" i="49"/>
  <c r="O101" i="49"/>
  <c r="O103" i="49"/>
  <c r="O105" i="49"/>
  <c r="O108" i="49"/>
  <c r="P93" i="49"/>
  <c r="R93" i="49"/>
  <c r="O94" i="49"/>
  <c r="P95" i="49"/>
  <c r="R95" i="49"/>
  <c r="O96" i="49"/>
  <c r="P97" i="49"/>
  <c r="R97" i="49"/>
  <c r="O98" i="49"/>
  <c r="O100" i="49"/>
  <c r="O102" i="49"/>
  <c r="O104" i="49"/>
  <c r="O106" i="49"/>
  <c r="O107" i="49"/>
  <c r="O109" i="49"/>
  <c r="AK15" i="42"/>
  <c r="AL15" i="42"/>
  <c r="AN15" i="42"/>
  <c r="AM16" i="42"/>
  <c r="AK17" i="42"/>
  <c r="AL17" i="42"/>
  <c r="AN17" i="42"/>
  <c r="AK10" i="42"/>
  <c r="AM19" i="42"/>
  <c r="H21" i="42"/>
  <c r="L21" i="42"/>
  <c r="I23" i="42"/>
  <c r="AA14" i="42" s="1"/>
  <c r="K30" i="42"/>
  <c r="K31" i="42" s="1"/>
  <c r="O72" i="42"/>
  <c r="N77" i="42"/>
  <c r="P77" i="42"/>
  <c r="N79" i="42"/>
  <c r="P79" i="42"/>
  <c r="N81" i="42"/>
  <c r="P81" i="42"/>
  <c r="N83" i="42"/>
  <c r="P83" i="42"/>
  <c r="O84" i="42"/>
  <c r="N85" i="42"/>
  <c r="P85" i="42"/>
  <c r="O86" i="42"/>
  <c r="AL16" i="42"/>
  <c r="AL18" i="42"/>
  <c r="AL19" i="42"/>
  <c r="G30" i="42"/>
  <c r="G31" i="42" s="1"/>
  <c r="N73" i="42"/>
  <c r="P73" i="42"/>
  <c r="N74" i="42"/>
  <c r="P74" i="42"/>
  <c r="N75" i="42"/>
  <c r="P75" i="42"/>
  <c r="N76" i="42"/>
  <c r="P76" i="42"/>
  <c r="N78" i="42"/>
  <c r="P78" i="42"/>
  <c r="N80" i="42"/>
  <c r="P80" i="42"/>
  <c r="N82" i="42"/>
  <c r="P82" i="42"/>
  <c r="N84" i="42"/>
  <c r="P84" i="42"/>
  <c r="O85" i="42"/>
  <c r="N86" i="42"/>
  <c r="P86" i="42"/>
  <c r="G11" i="55"/>
  <c r="L11" i="55"/>
  <c r="R12" i="58"/>
  <c r="R14" i="58" s="1"/>
  <c r="I11" i="55"/>
  <c r="S11" i="55"/>
  <c r="P12" i="58"/>
  <c r="P14" i="58" s="1"/>
  <c r="T12" i="58"/>
  <c r="T14" i="58" s="1"/>
  <c r="C11" i="53"/>
  <c r="E11" i="53"/>
  <c r="G11" i="53"/>
  <c r="K22" i="53"/>
  <c r="M22" i="53"/>
  <c r="P22" i="53"/>
  <c r="R22" i="53"/>
  <c r="T22" i="53"/>
  <c r="N11" i="55"/>
  <c r="Q11" i="55"/>
  <c r="V7" i="55"/>
  <c r="AD7" i="42"/>
  <c r="AO15" i="42" s="1"/>
  <c r="AE9" i="42"/>
  <c r="AB9" i="49"/>
  <c r="I27" i="49"/>
  <c r="K30" i="49"/>
  <c r="L30" i="49" s="1"/>
  <c r="G50" i="49"/>
  <c r="G51" i="49" s="1"/>
  <c r="K52" i="49"/>
  <c r="P92" i="49"/>
  <c r="Q94" i="49"/>
  <c r="Q96" i="49"/>
  <c r="Q98" i="49"/>
  <c r="Q100" i="49"/>
  <c r="Q102" i="49"/>
  <c r="Q104" i="49"/>
  <c r="Q106" i="49"/>
  <c r="Q107" i="49"/>
  <c r="Q109" i="49"/>
  <c r="J25" i="58"/>
  <c r="K27" i="49"/>
  <c r="M30" i="49"/>
  <c r="K50" i="49"/>
  <c r="K51" i="49" s="1"/>
  <c r="R92" i="49"/>
  <c r="Q93" i="49"/>
  <c r="Q95" i="49"/>
  <c r="Q97" i="49"/>
  <c r="Q99" i="49"/>
  <c r="Q101" i="49"/>
  <c r="Q103" i="49"/>
  <c r="Q105" i="49"/>
  <c r="Q108" i="49"/>
  <c r="I11" i="53"/>
  <c r="N11" i="51"/>
  <c r="L11" i="53"/>
  <c r="Q11" i="51"/>
  <c r="N11" i="53"/>
  <c r="Q11" i="53"/>
  <c r="D22" i="55"/>
  <c r="F22" i="55"/>
  <c r="K22" i="55"/>
  <c r="M22" i="55"/>
  <c r="P22" i="55"/>
  <c r="R22" i="55"/>
  <c r="T22" i="55"/>
  <c r="V19" i="51"/>
  <c r="V21" i="51"/>
  <c r="V21" i="53"/>
  <c r="X47" i="58"/>
  <c r="X58" i="58"/>
  <c r="V7" i="51"/>
  <c r="V8" i="51"/>
  <c r="V10" i="51"/>
  <c r="V7" i="53"/>
  <c r="V8" i="53"/>
  <c r="V19" i="55"/>
  <c r="V19" i="56"/>
  <c r="AA12" i="49"/>
  <c r="AB13" i="49"/>
  <c r="B11" i="51"/>
  <c r="D11" i="51"/>
  <c r="F11" i="51"/>
  <c r="H11" i="51"/>
  <c r="K11" i="51"/>
  <c r="M11" i="51"/>
  <c r="P11" i="51"/>
  <c r="R11" i="51"/>
  <c r="T11" i="51"/>
  <c r="V9" i="51"/>
  <c r="C22" i="51"/>
  <c r="E22" i="51"/>
  <c r="G22" i="51"/>
  <c r="I22" i="51"/>
  <c r="L22" i="51"/>
  <c r="N22" i="51"/>
  <c r="Q22" i="51"/>
  <c r="S22" i="51"/>
  <c r="V18" i="51"/>
  <c r="V20" i="51"/>
  <c r="X33" i="51"/>
  <c r="X44" i="51"/>
  <c r="X55" i="51"/>
  <c r="X77" i="51"/>
  <c r="B11" i="53"/>
  <c r="D11" i="53"/>
  <c r="F11" i="53"/>
  <c r="H11" i="53"/>
  <c r="K11" i="53"/>
  <c r="M11" i="53"/>
  <c r="P11" i="53"/>
  <c r="R11" i="53"/>
  <c r="T11" i="53"/>
  <c r="V9" i="53"/>
  <c r="C22" i="53"/>
  <c r="E22" i="53"/>
  <c r="G22" i="53"/>
  <c r="I22" i="53"/>
  <c r="L22" i="53"/>
  <c r="N22" i="53"/>
  <c r="Q22" i="53"/>
  <c r="S22" i="53"/>
  <c r="V18" i="53"/>
  <c r="X33" i="53"/>
  <c r="X44" i="53"/>
  <c r="B11" i="55"/>
  <c r="D11" i="55"/>
  <c r="F11" i="55"/>
  <c r="H11" i="55"/>
  <c r="K11" i="55"/>
  <c r="M11" i="55"/>
  <c r="P11" i="55"/>
  <c r="R11" i="55"/>
  <c r="T11" i="55"/>
  <c r="V9" i="55"/>
  <c r="C22" i="55"/>
  <c r="E22" i="55"/>
  <c r="G22" i="55"/>
  <c r="I22" i="55"/>
  <c r="L22" i="55"/>
  <c r="N22" i="55"/>
  <c r="Q22" i="55"/>
  <c r="S22" i="55"/>
  <c r="V18" i="55"/>
  <c r="V21" i="55"/>
  <c r="C11" i="56"/>
  <c r="E11" i="56"/>
  <c r="G11" i="56"/>
  <c r="I11" i="56"/>
  <c r="L11" i="56"/>
  <c r="N11" i="56"/>
  <c r="Q11" i="56"/>
  <c r="S11" i="56"/>
  <c r="V7" i="56"/>
  <c r="V8" i="56"/>
  <c r="B22" i="56"/>
  <c r="D22" i="56"/>
  <c r="F22" i="56"/>
  <c r="H22" i="56"/>
  <c r="K22" i="56"/>
  <c r="M22" i="56"/>
  <c r="P22" i="56"/>
  <c r="R22" i="56"/>
  <c r="V18" i="56"/>
  <c r="V20" i="56"/>
  <c r="V21" i="56"/>
  <c r="L35" i="56"/>
  <c r="X44" i="56"/>
  <c r="X55" i="56"/>
  <c r="C12" i="58"/>
  <c r="C14" i="58" s="1"/>
  <c r="E12" i="58"/>
  <c r="E14" i="58" s="1"/>
  <c r="G12" i="58"/>
  <c r="G14" i="58" s="1"/>
  <c r="I12" i="58"/>
  <c r="I14" i="58" s="1"/>
  <c r="N12" i="58"/>
  <c r="N14" i="58" s="1"/>
  <c r="Q12" i="58"/>
  <c r="Q14" i="58" s="1"/>
  <c r="S12" i="58"/>
  <c r="S14" i="58" s="1"/>
  <c r="U14" i="58"/>
  <c r="C23" i="58"/>
  <c r="C25" i="58" s="1"/>
  <c r="E23" i="58"/>
  <c r="E25" i="58" s="1"/>
  <c r="G23" i="58"/>
  <c r="G25" i="58" s="1"/>
  <c r="I23" i="58"/>
  <c r="I25" i="58" s="1"/>
  <c r="N23" i="58"/>
  <c r="N25" i="58" s="1"/>
  <c r="Q23" i="58"/>
  <c r="Q25" i="58" s="1"/>
  <c r="S23" i="58"/>
  <c r="S25" i="58" s="1"/>
  <c r="AE11" i="42"/>
  <c r="V6" i="56"/>
  <c r="V17" i="56"/>
  <c r="V8" i="55"/>
  <c r="V10" i="55"/>
  <c r="V20" i="55"/>
  <c r="V6" i="55"/>
  <c r="B22" i="55"/>
  <c r="V19" i="53"/>
  <c r="V10" i="53"/>
  <c r="V20" i="53"/>
  <c r="V6" i="53"/>
  <c r="B22" i="53"/>
  <c r="V6" i="51"/>
  <c r="B22" i="51"/>
  <c r="T60" i="49"/>
  <c r="T58" i="49"/>
  <c r="T59" i="49" s="1"/>
  <c r="N107" i="49"/>
  <c r="N98" i="49"/>
  <c r="N97" i="49"/>
  <c r="N96" i="49"/>
  <c r="N95" i="49"/>
  <c r="N94" i="49"/>
  <c r="N93" i="49"/>
  <c r="N92" i="49"/>
  <c r="AH9" i="49"/>
  <c r="AH12" i="49"/>
  <c r="W56" i="49"/>
  <c r="W54" i="49"/>
  <c r="W55" i="49" s="1"/>
  <c r="D110" i="49"/>
  <c r="G111" i="49" s="1"/>
  <c r="AB14" i="49"/>
  <c r="D26" i="49"/>
  <c r="AE10" i="49" s="1"/>
  <c r="M27" i="49"/>
  <c r="O92" i="49"/>
  <c r="Q92" i="49"/>
  <c r="AA14" i="49"/>
  <c r="N99" i="49"/>
  <c r="P99" i="49"/>
  <c r="R99" i="49"/>
  <c r="N100" i="49"/>
  <c r="P100" i="49"/>
  <c r="R100" i="49"/>
  <c r="N101" i="49"/>
  <c r="P101" i="49"/>
  <c r="R101" i="49"/>
  <c r="N102" i="49"/>
  <c r="P102" i="49"/>
  <c r="R102" i="49"/>
  <c r="N103" i="49"/>
  <c r="P103" i="49"/>
  <c r="R103" i="49"/>
  <c r="N104" i="49"/>
  <c r="P104" i="49"/>
  <c r="R104" i="49"/>
  <c r="N105" i="49"/>
  <c r="P105" i="49"/>
  <c r="R105" i="49"/>
  <c r="N106" i="49"/>
  <c r="P106" i="49"/>
  <c r="R106" i="49"/>
  <c r="P107" i="49"/>
  <c r="R107" i="49"/>
  <c r="N108" i="49"/>
  <c r="P108" i="49"/>
  <c r="R108" i="49"/>
  <c r="N109" i="49"/>
  <c r="P109" i="49"/>
  <c r="R109" i="49"/>
  <c r="I89" i="42"/>
  <c r="K133" i="42"/>
  <c r="K134" i="42" s="1"/>
  <c r="S7" i="42"/>
  <c r="AK7" i="42"/>
  <c r="AM7" i="42"/>
  <c r="AD8" i="42"/>
  <c r="AK8" i="42"/>
  <c r="AK9" i="42"/>
  <c r="AM9" i="42"/>
  <c r="S10" i="42"/>
  <c r="AL10" i="42"/>
  <c r="AN10" i="42"/>
  <c r="S11" i="42"/>
  <c r="AD11" i="42"/>
  <c r="AK14" i="42"/>
  <c r="AM14" i="42"/>
  <c r="AM18" i="42"/>
  <c r="S21" i="42"/>
  <c r="D23" i="42"/>
  <c r="X14" i="42" s="1"/>
  <c r="M23" i="42"/>
  <c r="AC14" i="42" s="1"/>
  <c r="N72" i="42"/>
  <c r="P72" i="42"/>
  <c r="AL7" i="42"/>
  <c r="AN7" i="42"/>
  <c r="S8" i="42"/>
  <c r="AE8" i="42"/>
  <c r="S9" i="42"/>
  <c r="AL9" i="42"/>
  <c r="AN9" i="42"/>
  <c r="S12" i="42"/>
  <c r="S13" i="42"/>
  <c r="S14" i="42"/>
  <c r="AL14" i="42"/>
  <c r="AN14" i="42"/>
  <c r="S16" i="42"/>
  <c r="S17" i="42"/>
  <c r="S18" i="42"/>
  <c r="S19" i="42"/>
  <c r="S20" i="42"/>
  <c r="O76" i="42"/>
  <c r="O77" i="42"/>
  <c r="O78" i="42"/>
  <c r="O79" i="42"/>
  <c r="O80" i="42"/>
  <c r="O81" i="42"/>
  <c r="O82" i="42"/>
  <c r="O83" i="42"/>
  <c r="H22" i="11"/>
  <c r="F22" i="11"/>
  <c r="D22" i="11"/>
  <c r="V18" i="49" l="1"/>
  <c r="V19" i="49" s="1"/>
  <c r="G89" i="42"/>
  <c r="AJ14" i="49"/>
  <c r="AP17" i="42"/>
  <c r="AP18" i="42"/>
  <c r="AI14" i="49"/>
  <c r="I111" i="49"/>
  <c r="J89" i="42"/>
  <c r="K111" i="49"/>
  <c r="J26" i="49"/>
  <c r="J22" i="42"/>
  <c r="J111" i="49"/>
  <c r="N22" i="42"/>
  <c r="E22" i="42"/>
  <c r="N30" i="49"/>
  <c r="V11" i="51"/>
  <c r="V11" i="56"/>
  <c r="X11" i="56" s="1"/>
  <c r="V22" i="56"/>
  <c r="V11" i="53"/>
  <c r="H26" i="49"/>
  <c r="AK14" i="49"/>
  <c r="H22" i="42"/>
  <c r="L26" i="49"/>
  <c r="N26" i="49"/>
  <c r="L22" i="42"/>
  <c r="AP15" i="42"/>
  <c r="V11" i="55"/>
  <c r="AE12" i="49"/>
  <c r="G27" i="49"/>
  <c r="E25" i="49"/>
  <c r="E23" i="49"/>
  <c r="E22" i="49"/>
  <c r="E20" i="49"/>
  <c r="E19" i="49"/>
  <c r="E18" i="49"/>
  <c r="E16" i="49"/>
  <c r="E14" i="49"/>
  <c r="E12" i="49"/>
  <c r="E8" i="49"/>
  <c r="D27" i="49"/>
  <c r="D111" i="49" s="1"/>
  <c r="E24" i="49"/>
  <c r="E21" i="49"/>
  <c r="E17" i="49"/>
  <c r="E15" i="49"/>
  <c r="E13" i="49"/>
  <c r="E11" i="49"/>
  <c r="E10" i="49"/>
  <c r="E9" i="49"/>
  <c r="AE11" i="49"/>
  <c r="AE9" i="49"/>
  <c r="AP16" i="42"/>
  <c r="AL12" i="42"/>
  <c r="W20" i="42"/>
  <c r="W21" i="42" s="1"/>
  <c r="AO16" i="42"/>
  <c r="AM12" i="42"/>
  <c r="AN12" i="42"/>
  <c r="I19" i="9"/>
  <c r="D19" i="9"/>
  <c r="E26" i="49" l="1"/>
  <c r="G8" i="9"/>
  <c r="G7" i="9" l="1"/>
  <c r="B44" i="46" l="1"/>
  <c r="E23" i="46"/>
  <c r="B23" i="46"/>
  <c r="B22" i="46"/>
  <c r="B18" i="46"/>
  <c r="E17" i="46"/>
  <c r="B17" i="46"/>
  <c r="E16" i="46"/>
  <c r="B16" i="46"/>
  <c r="E15" i="46"/>
  <c r="E12" i="46"/>
  <c r="E11" i="46"/>
  <c r="B9" i="46"/>
  <c r="E8" i="46"/>
  <c r="B8" i="46"/>
  <c r="E7" i="46"/>
  <c r="E6" i="47"/>
  <c r="B18" i="47"/>
  <c r="B17" i="47"/>
  <c r="B16" i="47"/>
  <c r="E10" i="46" l="1"/>
  <c r="B9" i="47" l="1"/>
  <c r="B8" i="47"/>
  <c r="F26" i="47" l="1"/>
  <c r="C26" i="47"/>
  <c r="B19" i="47"/>
  <c r="B10" i="47"/>
  <c r="D10" i="47" s="1"/>
  <c r="G21" i="9"/>
  <c r="G22" i="9"/>
  <c r="G23" i="9"/>
  <c r="G24" i="9"/>
  <c r="G25" i="9"/>
  <c r="G26" i="9"/>
  <c r="G27" i="9"/>
  <c r="G9" i="9"/>
  <c r="G10" i="9"/>
  <c r="G11" i="9"/>
  <c r="G12" i="9"/>
  <c r="G13" i="9"/>
  <c r="G14" i="9"/>
  <c r="G15" i="9"/>
  <c r="G16" i="9"/>
  <c r="G17" i="9"/>
  <c r="G18" i="9"/>
  <c r="G19" i="9"/>
  <c r="G20" i="9"/>
  <c r="K67" i="64"/>
  <c r="K59" i="64"/>
  <c r="K58" i="64"/>
  <c r="K57" i="64"/>
  <c r="K47" i="64"/>
  <c r="K40" i="64"/>
  <c r="K39" i="64"/>
  <c r="K38" i="64"/>
  <c r="K37" i="64"/>
  <c r="K30" i="64"/>
  <c r="K29" i="64"/>
  <c r="K28" i="64"/>
  <c r="K27" i="64"/>
  <c r="H23" i="54"/>
  <c r="G23" i="54"/>
  <c r="F23" i="54"/>
  <c r="E23" i="54"/>
  <c r="D23" i="54"/>
  <c r="H19" i="54"/>
  <c r="G19" i="54"/>
  <c r="F19" i="54"/>
  <c r="E19" i="54"/>
  <c r="D19" i="54"/>
  <c r="H11" i="54"/>
  <c r="H31" i="54" s="1"/>
  <c r="G11" i="54"/>
  <c r="G31" i="54" s="1"/>
  <c r="F11" i="54"/>
  <c r="F31" i="54" s="1"/>
  <c r="E11" i="54"/>
  <c r="E31" i="54" s="1"/>
  <c r="D11" i="54"/>
  <c r="D31" i="54" s="1"/>
  <c r="C540" i="50"/>
  <c r="C111" i="50"/>
  <c r="E45" i="50"/>
  <c r="E47" i="50" s="1"/>
  <c r="E53" i="50" s="1"/>
  <c r="E62" i="50" s="1"/>
  <c r="E64" i="50" s="1"/>
  <c r="E66" i="50" s="1"/>
  <c r="D45" i="50"/>
  <c r="D47" i="50" s="1"/>
  <c r="D53" i="50" s="1"/>
  <c r="D62" i="50" s="1"/>
  <c r="D64" i="50" s="1"/>
  <c r="D66" i="50" s="1"/>
  <c r="C45" i="50"/>
  <c r="C47" i="50" s="1"/>
  <c r="C53" i="50" s="1"/>
  <c r="C62" i="50" s="1"/>
  <c r="C64" i="50" s="1"/>
  <c r="C66" i="50" s="1"/>
  <c r="H19" i="50"/>
  <c r="H18" i="50"/>
  <c r="H17" i="50"/>
  <c r="C12" i="50"/>
  <c r="C14" i="50" s="1"/>
  <c r="C20" i="50" s="1"/>
  <c r="C22" i="48"/>
  <c r="C17" i="48"/>
  <c r="C20" i="48" s="1"/>
  <c r="G11" i="48"/>
  <c r="F11" i="48"/>
  <c r="E11" i="48"/>
  <c r="D11" i="48"/>
  <c r="C11" i="48"/>
  <c r="F5" i="48"/>
  <c r="F8" i="48" s="1"/>
  <c r="E5" i="48"/>
  <c r="E8" i="48" s="1"/>
  <c r="E12" i="48" s="1"/>
  <c r="D5" i="48"/>
  <c r="D8" i="48" s="1"/>
  <c r="D12" i="48" s="1"/>
  <c r="C5" i="48"/>
  <c r="C8" i="48" s="1"/>
  <c r="E19" i="47"/>
  <c r="G19" i="47" s="1"/>
  <c r="E13" i="47"/>
  <c r="G13" i="47" s="1"/>
  <c r="E10" i="47"/>
  <c r="D26" i="4"/>
  <c r="C26" i="4"/>
  <c r="E5" i="4"/>
  <c r="I145" i="79"/>
  <c r="I136" i="79"/>
  <c r="I127" i="79"/>
  <c r="I118" i="79"/>
  <c r="I109" i="79"/>
  <c r="I100" i="79"/>
  <c r="I91" i="79"/>
  <c r="I82" i="79"/>
  <c r="I10" i="79"/>
  <c r="I19" i="79"/>
  <c r="I28" i="79"/>
  <c r="I37" i="79"/>
  <c r="I46" i="79"/>
  <c r="I55" i="79"/>
  <c r="I64" i="79"/>
  <c r="I73" i="79"/>
  <c r="H73" i="79"/>
  <c r="G73" i="79"/>
  <c r="F73" i="79"/>
  <c r="E73" i="79"/>
  <c r="H64" i="79"/>
  <c r="G64" i="79"/>
  <c r="F64" i="79"/>
  <c r="E64" i="79"/>
  <c r="H55" i="79"/>
  <c r="G55" i="79"/>
  <c r="F55" i="79"/>
  <c r="E55" i="79"/>
  <c r="E46" i="79"/>
  <c r="F46" i="79"/>
  <c r="G46" i="79"/>
  <c r="H46" i="79"/>
  <c r="H37" i="79"/>
  <c r="G37" i="79"/>
  <c r="F37" i="79"/>
  <c r="E37" i="79"/>
  <c r="G28" i="79"/>
  <c r="F28" i="79"/>
  <c r="E28" i="79"/>
  <c r="G19" i="79"/>
  <c r="F19" i="79"/>
  <c r="E19" i="79"/>
  <c r="E10" i="79"/>
  <c r="H10" i="79"/>
  <c r="H28" i="79"/>
  <c r="H19" i="79"/>
  <c r="G10" i="79"/>
  <c r="F10" i="79"/>
  <c r="I55" i="77"/>
  <c r="H55" i="77"/>
  <c r="G55" i="77"/>
  <c r="F55" i="77"/>
  <c r="E55" i="77"/>
  <c r="I28" i="77"/>
  <c r="H28" i="77"/>
  <c r="G28" i="77"/>
  <c r="F28" i="77"/>
  <c r="E28" i="77"/>
  <c r="I19" i="77"/>
  <c r="H19" i="77"/>
  <c r="G19" i="77"/>
  <c r="F19" i="77"/>
  <c r="E19" i="77"/>
  <c r="I10" i="77"/>
  <c r="H10" i="77"/>
  <c r="G10" i="77"/>
  <c r="F10" i="77"/>
  <c r="E10" i="77"/>
  <c r="I64" i="77"/>
  <c r="H64" i="77"/>
  <c r="G64" i="77"/>
  <c r="F64" i="77"/>
  <c r="E64" i="77"/>
  <c r="I46" i="77"/>
  <c r="H46" i="77"/>
  <c r="G46" i="77"/>
  <c r="F46" i="77"/>
  <c r="E46" i="77"/>
  <c r="K170" i="64"/>
  <c r="K169" i="64"/>
  <c r="K168" i="64"/>
  <c r="K165" i="64"/>
  <c r="K166" i="64"/>
  <c r="K159" i="64"/>
  <c r="K158" i="64"/>
  <c r="K157" i="64"/>
  <c r="K156" i="64"/>
  <c r="K155" i="64"/>
  <c r="K167" i="64"/>
  <c r="K154" i="64"/>
  <c r="K148" i="64"/>
  <c r="K143" i="64"/>
  <c r="K145" i="64"/>
  <c r="K146" i="64"/>
  <c r="K147" i="64"/>
  <c r="K144" i="64"/>
  <c r="K133" i="64"/>
  <c r="K134" i="64"/>
  <c r="K135" i="64"/>
  <c r="K136" i="64"/>
  <c r="K137" i="64"/>
  <c r="K121" i="64"/>
  <c r="K123" i="64"/>
  <c r="K124" i="64"/>
  <c r="K125" i="64"/>
  <c r="K126" i="64"/>
  <c r="K122" i="64"/>
  <c r="K110" i="64"/>
  <c r="K112" i="64"/>
  <c r="K113" i="64"/>
  <c r="K114" i="64"/>
  <c r="K115" i="64"/>
  <c r="K111" i="64"/>
  <c r="K104" i="64"/>
  <c r="K103" i="64"/>
  <c r="K102" i="64"/>
  <c r="K101" i="64"/>
  <c r="K100" i="64"/>
  <c r="K88" i="64"/>
  <c r="K77" i="64"/>
  <c r="K66" i="64"/>
  <c r="K91" i="64"/>
  <c r="K90" i="64"/>
  <c r="K92" i="64"/>
  <c r="K93" i="64"/>
  <c r="K89" i="64"/>
  <c r="K78" i="64"/>
  <c r="K79" i="64"/>
  <c r="K80" i="64"/>
  <c r="K81" i="64"/>
  <c r="K82" i="64"/>
  <c r="K68" i="64"/>
  <c r="K69" i="64"/>
  <c r="K70" i="64"/>
  <c r="K71" i="64"/>
  <c r="K60" i="64"/>
  <c r="K56" i="64"/>
  <c r="K36" i="64"/>
  <c r="K46" i="64"/>
  <c r="K48" i="64"/>
  <c r="K49" i="64"/>
  <c r="K50" i="64"/>
  <c r="K26" i="64"/>
  <c r="K17" i="64"/>
  <c r="K16" i="64"/>
  <c r="K18" i="64"/>
  <c r="K19" i="64"/>
  <c r="K20" i="64"/>
  <c r="K7" i="64"/>
  <c r="K6" i="64"/>
  <c r="K8" i="64"/>
  <c r="K9" i="64"/>
  <c r="K10" i="64"/>
  <c r="D180" i="60"/>
  <c r="E180" i="60"/>
  <c r="F180" i="60"/>
  <c r="G180" i="60"/>
  <c r="H180" i="60"/>
  <c r="C180" i="60"/>
  <c r="D175" i="60"/>
  <c r="E175" i="60"/>
  <c r="F175" i="60"/>
  <c r="G175" i="60"/>
  <c r="H175" i="60"/>
  <c r="C175" i="60"/>
  <c r="D170" i="60"/>
  <c r="E170" i="60"/>
  <c r="F170" i="60"/>
  <c r="G170" i="60"/>
  <c r="H170" i="60"/>
  <c r="C170" i="60"/>
  <c r="D165" i="60"/>
  <c r="C165" i="60"/>
  <c r="E165" i="60"/>
  <c r="F165" i="60"/>
  <c r="G165" i="60"/>
  <c r="H165" i="60"/>
  <c r="D160" i="60"/>
  <c r="E160" i="60"/>
  <c r="G160" i="60"/>
  <c r="H160" i="60"/>
  <c r="C160" i="60"/>
  <c r="G155" i="60"/>
  <c r="D155" i="60"/>
  <c r="E155" i="60"/>
  <c r="F155" i="60"/>
  <c r="H155" i="60"/>
  <c r="C155" i="60"/>
  <c r="H150" i="60"/>
  <c r="F150" i="60"/>
  <c r="G150" i="60"/>
  <c r="E150" i="60"/>
  <c r="G145" i="60"/>
  <c r="F145" i="60"/>
  <c r="H145" i="60"/>
  <c r="E145" i="60"/>
  <c r="H140" i="60"/>
  <c r="G135" i="60"/>
  <c r="H135" i="60"/>
  <c r="H130" i="60"/>
  <c r="C130" i="60"/>
  <c r="D125" i="60"/>
  <c r="E125" i="60"/>
  <c r="F125" i="60"/>
  <c r="G125" i="60"/>
  <c r="H125" i="60"/>
  <c r="C125" i="60"/>
  <c r="G120" i="60"/>
  <c r="H120" i="60"/>
  <c r="F120" i="60"/>
  <c r="G115" i="60"/>
  <c r="H115" i="60"/>
  <c r="F115" i="60"/>
  <c r="H110" i="60"/>
  <c r="H105" i="60"/>
  <c r="D100" i="60"/>
  <c r="E100" i="60"/>
  <c r="F100" i="60"/>
  <c r="G100" i="60"/>
  <c r="H100" i="60"/>
  <c r="D95" i="60"/>
  <c r="E95" i="60"/>
  <c r="F95" i="60"/>
  <c r="G95" i="60"/>
  <c r="H95" i="60"/>
  <c r="C95" i="60"/>
  <c r="D90" i="60"/>
  <c r="E90" i="60"/>
  <c r="F90" i="60"/>
  <c r="G90" i="60"/>
  <c r="H90" i="60"/>
  <c r="C90" i="60"/>
  <c r="H85" i="60"/>
  <c r="E85" i="60"/>
  <c r="F85" i="60"/>
  <c r="G85" i="60"/>
  <c r="D85" i="60"/>
  <c r="C85" i="60"/>
  <c r="H75" i="60"/>
  <c r="H80" i="60"/>
  <c r="G80" i="60"/>
  <c r="F80" i="60"/>
  <c r="E80" i="60"/>
  <c r="G75" i="60"/>
  <c r="F75" i="60"/>
  <c r="E75" i="60"/>
  <c r="D75" i="60"/>
  <c r="C75" i="60"/>
  <c r="H70" i="60"/>
  <c r="D65" i="60"/>
  <c r="E65" i="60"/>
  <c r="F65" i="60"/>
  <c r="G65" i="60"/>
  <c r="H65" i="60"/>
  <c r="C65" i="60"/>
  <c r="D60" i="60"/>
  <c r="E60" i="60"/>
  <c r="F60" i="60"/>
  <c r="G60" i="60"/>
  <c r="H60" i="60"/>
  <c r="C60" i="60"/>
  <c r="D55" i="60"/>
  <c r="E55" i="60"/>
  <c r="F55" i="60"/>
  <c r="G55" i="60"/>
  <c r="H55" i="60"/>
  <c r="C55" i="60"/>
  <c r="G45" i="60"/>
  <c r="F45" i="60"/>
  <c r="E45" i="60"/>
  <c r="D45" i="60"/>
  <c r="C45" i="60"/>
  <c r="H45" i="60"/>
  <c r="H50" i="60"/>
  <c r="D50" i="60"/>
  <c r="E50" i="60"/>
  <c r="F50" i="60"/>
  <c r="G50" i="60"/>
  <c r="C50" i="60"/>
  <c r="G40" i="60"/>
  <c r="D40" i="60"/>
  <c r="E40" i="60"/>
  <c r="F40" i="60"/>
  <c r="H40" i="60"/>
  <c r="C40" i="60"/>
  <c r="D35" i="60"/>
  <c r="E35" i="60"/>
  <c r="F35" i="60"/>
  <c r="G35" i="60"/>
  <c r="H35" i="60"/>
  <c r="C35" i="60"/>
  <c r="H30" i="60"/>
  <c r="D30" i="60"/>
  <c r="E30" i="60"/>
  <c r="F30" i="60"/>
  <c r="G30" i="60"/>
  <c r="C30" i="60"/>
  <c r="G25" i="60"/>
  <c r="D25" i="60"/>
  <c r="E25" i="60"/>
  <c r="F25" i="60"/>
  <c r="H25" i="60"/>
  <c r="C25" i="60"/>
  <c r="D20" i="60"/>
  <c r="E20" i="60"/>
  <c r="F20" i="60"/>
  <c r="G20" i="60"/>
  <c r="H20" i="60"/>
  <c r="C20" i="60"/>
  <c r="H15" i="60"/>
  <c r="D15" i="60"/>
  <c r="E15" i="60"/>
  <c r="F15" i="60"/>
  <c r="G15" i="60"/>
  <c r="C15" i="60"/>
  <c r="H5" i="60"/>
  <c r="H10" i="60"/>
  <c r="D10" i="60"/>
  <c r="E10" i="60"/>
  <c r="F10" i="60"/>
  <c r="G10" i="60"/>
  <c r="C10" i="60"/>
  <c r="D5" i="60"/>
  <c r="E5" i="60"/>
  <c r="F5" i="60"/>
  <c r="G5" i="60"/>
  <c r="C5" i="60"/>
  <c r="I31" i="57"/>
  <c r="I27" i="57"/>
  <c r="I34" i="57"/>
  <c r="I33" i="57"/>
  <c r="I32" i="57"/>
  <c r="D31" i="57"/>
  <c r="D27" i="57"/>
  <c r="H27" i="57"/>
  <c r="I19" i="57"/>
  <c r="I11" i="57"/>
  <c r="I35" i="57" s="1"/>
  <c r="D11" i="57"/>
  <c r="H24" i="54"/>
  <c r="H25" i="54"/>
  <c r="H26" i="54"/>
  <c r="G24" i="54"/>
  <c r="G25" i="54"/>
  <c r="G26" i="54"/>
  <c r="F24" i="54"/>
  <c r="F25" i="54"/>
  <c r="F26" i="54"/>
  <c r="E24" i="54"/>
  <c r="E25" i="54"/>
  <c r="E26" i="54"/>
  <c r="D24" i="54"/>
  <c r="D25" i="54"/>
  <c r="D26" i="54"/>
  <c r="H18" i="52"/>
  <c r="H17" i="52"/>
  <c r="H16" i="52"/>
  <c r="H15" i="52"/>
  <c r="G18" i="52"/>
  <c r="G17" i="52"/>
  <c r="G16" i="52"/>
  <c r="G15" i="52"/>
  <c r="F16" i="52"/>
  <c r="F17" i="52"/>
  <c r="F18" i="52"/>
  <c r="F15" i="52"/>
  <c r="E16" i="52"/>
  <c r="E17" i="52"/>
  <c r="E18" i="52"/>
  <c r="E15" i="52"/>
  <c r="D15" i="52"/>
  <c r="D17" i="52"/>
  <c r="D18" i="52"/>
  <c r="D16" i="52"/>
  <c r="C11" i="52"/>
  <c r="D11" i="52"/>
  <c r="D24" i="52" s="1"/>
  <c r="D54" i="52"/>
  <c r="H11" i="52"/>
  <c r="H26" i="52" s="1"/>
  <c r="E11" i="52"/>
  <c r="F11" i="52"/>
  <c r="G11" i="52"/>
  <c r="E441" i="50"/>
  <c r="E408" i="50"/>
  <c r="E410" i="50" s="1"/>
  <c r="D408" i="50"/>
  <c r="D410" i="50" s="1"/>
  <c r="C408" i="50"/>
  <c r="C410" i="50" s="1"/>
  <c r="H211" i="50"/>
  <c r="H208" i="50"/>
  <c r="H207" i="50"/>
  <c r="H206" i="50"/>
  <c r="H173" i="50"/>
  <c r="H174" i="50"/>
  <c r="H175" i="50"/>
  <c r="H176" i="50"/>
  <c r="E177" i="50"/>
  <c r="E179" i="50" s="1"/>
  <c r="E185" i="50" s="1"/>
  <c r="E194" i="50" s="1"/>
  <c r="E196" i="50" s="1"/>
  <c r="E198" i="50" s="1"/>
  <c r="D177" i="50"/>
  <c r="D179" i="50" s="1"/>
  <c r="D185" i="50" s="1"/>
  <c r="D194" i="50" s="1"/>
  <c r="D196" i="50" s="1"/>
  <c r="D198" i="50" s="1"/>
  <c r="C177" i="50"/>
  <c r="C179" i="50" s="1"/>
  <c r="C185" i="50" s="1"/>
  <c r="C194" i="50" s="1"/>
  <c r="C196" i="50" s="1"/>
  <c r="C198" i="50" s="1"/>
  <c r="F177" i="50"/>
  <c r="F179" i="50" s="1"/>
  <c r="F185" i="50" s="1"/>
  <c r="F194" i="50" s="1"/>
  <c r="F196" i="50" s="1"/>
  <c r="F198" i="50" s="1"/>
  <c r="G177" i="50"/>
  <c r="G179" i="50" s="1"/>
  <c r="G185" i="50" s="1"/>
  <c r="G194" i="50" s="1"/>
  <c r="G196" i="50" s="1"/>
  <c r="G198" i="50" s="1"/>
  <c r="F144" i="50"/>
  <c r="F146" i="50" s="1"/>
  <c r="F152" i="50" s="1"/>
  <c r="F161" i="50" s="1"/>
  <c r="F163" i="50" s="1"/>
  <c r="F165" i="50" s="1"/>
  <c r="E144" i="50"/>
  <c r="E146" i="50" s="1"/>
  <c r="E152" i="50" s="1"/>
  <c r="E161" i="50" s="1"/>
  <c r="E163" i="50" s="1"/>
  <c r="E165" i="50" s="1"/>
  <c r="D144" i="50"/>
  <c r="D146" i="50" s="1"/>
  <c r="D152" i="50" s="1"/>
  <c r="D161" i="50" s="1"/>
  <c r="D163" i="50" s="1"/>
  <c r="D165" i="50" s="1"/>
  <c r="C144" i="50"/>
  <c r="C146" i="50" s="1"/>
  <c r="C152" i="50" s="1"/>
  <c r="C161" i="50" s="1"/>
  <c r="C163" i="50" s="1"/>
  <c r="C165" i="50" s="1"/>
  <c r="H162" i="50"/>
  <c r="G144" i="50"/>
  <c r="H145" i="50"/>
  <c r="H143" i="50"/>
  <c r="H142" i="50"/>
  <c r="H141" i="50"/>
  <c r="H140" i="50"/>
  <c r="C113" i="50"/>
  <c r="C119" i="50" s="1"/>
  <c r="C128" i="50" s="1"/>
  <c r="C130" i="50" s="1"/>
  <c r="C132" i="50" s="1"/>
  <c r="D111" i="50"/>
  <c r="E111" i="50"/>
  <c r="E113" i="50" s="1"/>
  <c r="E119" i="50" s="1"/>
  <c r="E128" i="50" s="1"/>
  <c r="E130" i="50" s="1"/>
  <c r="E132" i="50" s="1"/>
  <c r="F111" i="50"/>
  <c r="F113" i="50" s="1"/>
  <c r="F119" i="50" s="1"/>
  <c r="F128" i="50" s="1"/>
  <c r="F130" i="50" s="1"/>
  <c r="F132" i="50" s="1"/>
  <c r="G111" i="50"/>
  <c r="G113" i="50" s="1"/>
  <c r="G119" i="50" s="1"/>
  <c r="G128" i="50" s="1"/>
  <c r="G130" i="50" s="1"/>
  <c r="G132" i="50" s="1"/>
  <c r="H112" i="50"/>
  <c r="H110" i="50"/>
  <c r="H109" i="50"/>
  <c r="H108" i="50"/>
  <c r="H107" i="50"/>
  <c r="H74" i="50"/>
  <c r="H61" i="50"/>
  <c r="F45" i="50"/>
  <c r="F47" i="50" s="1"/>
  <c r="F53" i="50" s="1"/>
  <c r="F62" i="50" s="1"/>
  <c r="F64" i="50" s="1"/>
  <c r="F66" i="50" s="1"/>
  <c r="G45" i="50"/>
  <c r="G47" i="50" s="1"/>
  <c r="G53" i="50" s="1"/>
  <c r="G62" i="50" s="1"/>
  <c r="G64" i="50" s="1"/>
  <c r="G66" i="50" s="1"/>
  <c r="H44" i="50"/>
  <c r="H43" i="50"/>
  <c r="H42" i="50"/>
  <c r="H41" i="50"/>
  <c r="D12" i="50"/>
  <c r="D14" i="50" s="1"/>
  <c r="D20" i="50" s="1"/>
  <c r="E12" i="50"/>
  <c r="E14" i="50" s="1"/>
  <c r="E20" i="50" s="1"/>
  <c r="F12" i="50"/>
  <c r="F14" i="50" s="1"/>
  <c r="F20" i="50" s="1"/>
  <c r="G12" i="50"/>
  <c r="G14" i="50" s="1"/>
  <c r="G20" i="50" s="1"/>
  <c r="H11" i="50"/>
  <c r="H10" i="50"/>
  <c r="H9" i="50"/>
  <c r="H8" i="50"/>
  <c r="D187" i="48"/>
  <c r="E187" i="48"/>
  <c r="F187" i="48"/>
  <c r="G187" i="48"/>
  <c r="C187" i="48"/>
  <c r="D182" i="48"/>
  <c r="D185" i="48" s="1"/>
  <c r="E182" i="48"/>
  <c r="E185" i="48" s="1"/>
  <c r="F182" i="48"/>
  <c r="F185" i="48" s="1"/>
  <c r="G182" i="48"/>
  <c r="G185" i="48" s="1"/>
  <c r="C182" i="48"/>
  <c r="C185" i="48" s="1"/>
  <c r="D176" i="48"/>
  <c r="E176" i="48"/>
  <c r="F176" i="48"/>
  <c r="G176" i="48"/>
  <c r="C176" i="48"/>
  <c r="D171" i="48"/>
  <c r="D174" i="48" s="1"/>
  <c r="E171" i="48"/>
  <c r="E174" i="48" s="1"/>
  <c r="F171" i="48"/>
  <c r="F174" i="48" s="1"/>
  <c r="G171" i="48"/>
  <c r="G174" i="48" s="1"/>
  <c r="C171" i="48"/>
  <c r="C174" i="48" s="1"/>
  <c r="D165" i="48"/>
  <c r="E165" i="48"/>
  <c r="F165" i="48"/>
  <c r="G165" i="48"/>
  <c r="D160" i="48"/>
  <c r="D163" i="48" s="1"/>
  <c r="E160" i="48"/>
  <c r="E163" i="48" s="1"/>
  <c r="F160" i="48"/>
  <c r="F163" i="48" s="1"/>
  <c r="G160" i="48"/>
  <c r="G163" i="48" s="1"/>
  <c r="C165" i="48"/>
  <c r="C160" i="48"/>
  <c r="C163" i="48" s="1"/>
  <c r="D154" i="48"/>
  <c r="E154" i="48"/>
  <c r="F154" i="48"/>
  <c r="G154" i="48"/>
  <c r="C154" i="48"/>
  <c r="D149" i="48"/>
  <c r="D152" i="48" s="1"/>
  <c r="E149" i="48"/>
  <c r="E152" i="48" s="1"/>
  <c r="F149" i="48"/>
  <c r="F152" i="48" s="1"/>
  <c r="G149" i="48"/>
  <c r="G152" i="48" s="1"/>
  <c r="C149" i="48"/>
  <c r="C152" i="48" s="1"/>
  <c r="D143" i="48"/>
  <c r="E143" i="48"/>
  <c r="F143" i="48"/>
  <c r="G143" i="48"/>
  <c r="D138" i="48"/>
  <c r="D141" i="48" s="1"/>
  <c r="E138" i="48"/>
  <c r="E141" i="48" s="1"/>
  <c r="F138" i="48"/>
  <c r="F141" i="48" s="1"/>
  <c r="G138" i="48"/>
  <c r="G141" i="48" s="1"/>
  <c r="G144" i="48" s="1"/>
  <c r="C143" i="48"/>
  <c r="C138" i="48"/>
  <c r="C141" i="48" s="1"/>
  <c r="G132" i="48"/>
  <c r="H130" i="48"/>
  <c r="G127" i="48"/>
  <c r="G130" i="48" s="1"/>
  <c r="D116" i="48"/>
  <c r="D119" i="48" s="1"/>
  <c r="D121" i="48" s="1"/>
  <c r="E116" i="48"/>
  <c r="E119" i="48" s="1"/>
  <c r="E121" i="48" s="1"/>
  <c r="F116" i="48"/>
  <c r="F119" i="48" s="1"/>
  <c r="F121" i="48" s="1"/>
  <c r="G116" i="48"/>
  <c r="G119" i="48" s="1"/>
  <c r="C116" i="48"/>
  <c r="C119" i="48" s="1"/>
  <c r="D110" i="48"/>
  <c r="E110" i="48"/>
  <c r="F110" i="48"/>
  <c r="G110" i="48"/>
  <c r="C110" i="48"/>
  <c r="D105" i="48"/>
  <c r="D108" i="48" s="1"/>
  <c r="E105" i="48"/>
  <c r="E108" i="48" s="1"/>
  <c r="F105" i="48"/>
  <c r="F108" i="48" s="1"/>
  <c r="G105" i="48"/>
  <c r="G108" i="48" s="1"/>
  <c r="C105" i="48"/>
  <c r="C108" i="48" s="1"/>
  <c r="G99" i="48"/>
  <c r="F99" i="48"/>
  <c r="E99" i="48"/>
  <c r="D99" i="48"/>
  <c r="C99" i="48"/>
  <c r="D94" i="48"/>
  <c r="D97" i="48" s="1"/>
  <c r="E94" i="48"/>
  <c r="E97" i="48" s="1"/>
  <c r="F94" i="48"/>
  <c r="F97" i="48" s="1"/>
  <c r="G94" i="48"/>
  <c r="G97" i="48" s="1"/>
  <c r="G100" i="48" s="1"/>
  <c r="C94" i="48"/>
  <c r="C97" i="48" s="1"/>
  <c r="F88" i="48"/>
  <c r="G88" i="48"/>
  <c r="E88" i="48"/>
  <c r="D88" i="48"/>
  <c r="D83" i="48"/>
  <c r="D86" i="48" s="1"/>
  <c r="E83" i="48"/>
  <c r="E86" i="48" s="1"/>
  <c r="F83" i="48"/>
  <c r="F86" i="48" s="1"/>
  <c r="G83" i="48"/>
  <c r="G86" i="48" s="1"/>
  <c r="C88" i="48"/>
  <c r="C83" i="48"/>
  <c r="C86" i="48" s="1"/>
  <c r="G77" i="48"/>
  <c r="G72" i="48"/>
  <c r="G75" i="48" s="1"/>
  <c r="G66" i="48"/>
  <c r="G61" i="48"/>
  <c r="G64" i="48" s="1"/>
  <c r="F61" i="48"/>
  <c r="F64" i="48" s="1"/>
  <c r="G54" i="48"/>
  <c r="G55" i="48" s="1"/>
  <c r="G50" i="48"/>
  <c r="G53" i="48" s="1"/>
  <c r="G44" i="48"/>
  <c r="G39" i="48"/>
  <c r="G42" i="48" s="1"/>
  <c r="G33" i="48"/>
  <c r="G28" i="48"/>
  <c r="G31" i="48" s="1"/>
  <c r="G22" i="48"/>
  <c r="G17" i="48"/>
  <c r="G20" i="48" s="1"/>
  <c r="G5" i="48"/>
  <c r="G8" i="48" s="1"/>
  <c r="E77" i="48"/>
  <c r="F77" i="48"/>
  <c r="E72" i="48"/>
  <c r="E75" i="48" s="1"/>
  <c r="F72" i="48"/>
  <c r="F75" i="48" s="1"/>
  <c r="D66" i="48"/>
  <c r="E66" i="48"/>
  <c r="F66" i="48"/>
  <c r="C66" i="48"/>
  <c r="D61" i="48"/>
  <c r="D64" i="48" s="1"/>
  <c r="E61" i="48"/>
  <c r="E64" i="48" s="1"/>
  <c r="C61" i="48"/>
  <c r="C64" i="48" s="1"/>
  <c r="E50" i="48"/>
  <c r="E53" i="48" s="1"/>
  <c r="D44" i="48"/>
  <c r="E44" i="48"/>
  <c r="F44" i="48"/>
  <c r="C44" i="48"/>
  <c r="D39" i="48"/>
  <c r="D42" i="48" s="1"/>
  <c r="E39" i="48"/>
  <c r="E42" i="48" s="1"/>
  <c r="E45" i="48" s="1"/>
  <c r="F39" i="48"/>
  <c r="F42" i="48" s="1"/>
  <c r="C39" i="48"/>
  <c r="C42" i="48" s="1"/>
  <c r="D33" i="48"/>
  <c r="E33" i="48"/>
  <c r="F33" i="48"/>
  <c r="C33" i="48"/>
  <c r="D28" i="48"/>
  <c r="D31" i="48" s="1"/>
  <c r="E28" i="48"/>
  <c r="E31" i="48" s="1"/>
  <c r="E34" i="48" s="1"/>
  <c r="F28" i="48"/>
  <c r="F31" i="48" s="1"/>
  <c r="C28" i="48"/>
  <c r="C31" i="48" s="1"/>
  <c r="F22" i="48"/>
  <c r="E22" i="48"/>
  <c r="D22" i="48"/>
  <c r="D17" i="48"/>
  <c r="D20" i="48" s="1"/>
  <c r="E17" i="48"/>
  <c r="E20" i="48" s="1"/>
  <c r="F17" i="48"/>
  <c r="F20" i="48" s="1"/>
  <c r="F49" i="48"/>
  <c r="F51" i="48"/>
  <c r="F52" i="48"/>
  <c r="F54" i="48"/>
  <c r="G23" i="47"/>
  <c r="G24" i="47"/>
  <c r="G25" i="47"/>
  <c r="G22" i="47"/>
  <c r="G18" i="47"/>
  <c r="G10" i="47"/>
  <c r="G6" i="47"/>
  <c r="D23" i="47"/>
  <c r="D24" i="47"/>
  <c r="D25" i="47"/>
  <c r="D22" i="47"/>
  <c r="D18" i="47"/>
  <c r="D19" i="47"/>
  <c r="H31" i="11"/>
  <c r="G31" i="11"/>
  <c r="F31" i="11"/>
  <c r="I11" i="11"/>
  <c r="J11" i="11" s="1"/>
  <c r="I12" i="11"/>
  <c r="J12" i="11" s="1"/>
  <c r="I13" i="11"/>
  <c r="J13" i="11" s="1"/>
  <c r="I14" i="11"/>
  <c r="J14" i="11" s="1"/>
  <c r="I15" i="11"/>
  <c r="J15" i="11" s="1"/>
  <c r="I16" i="11"/>
  <c r="J16" i="11" s="1"/>
  <c r="I17" i="11"/>
  <c r="J17" i="11" s="1"/>
  <c r="I18" i="11"/>
  <c r="J18" i="11" s="1"/>
  <c r="I19" i="11"/>
  <c r="J19" i="11" s="1"/>
  <c r="I20" i="11"/>
  <c r="J20" i="11" s="1"/>
  <c r="I21" i="11"/>
  <c r="J21" i="11" s="1"/>
  <c r="I22" i="11"/>
  <c r="J22" i="11" s="1"/>
  <c r="I23" i="11"/>
  <c r="J23" i="11" s="1"/>
  <c r="I24" i="11"/>
  <c r="J24" i="11" s="1"/>
  <c r="I25" i="11"/>
  <c r="J25" i="11" s="1"/>
  <c r="I26" i="11"/>
  <c r="J26" i="11" s="1"/>
  <c r="I27" i="11"/>
  <c r="J27" i="11" s="1"/>
  <c r="I28" i="11"/>
  <c r="J28" i="11" s="1"/>
  <c r="I29" i="11"/>
  <c r="J29" i="11" s="1"/>
  <c r="I30" i="11"/>
  <c r="J30" i="11" s="1"/>
  <c r="I10" i="11"/>
  <c r="D31" i="11"/>
  <c r="E15" i="11" s="1"/>
  <c r="K28" i="9"/>
  <c r="J28" i="9"/>
  <c r="I28" i="9"/>
  <c r="F28" i="9"/>
  <c r="E28" i="9"/>
  <c r="D28" i="9"/>
  <c r="L8" i="9"/>
  <c r="L9" i="9"/>
  <c r="L10" i="9"/>
  <c r="L11" i="9"/>
  <c r="L12" i="9"/>
  <c r="L13" i="9"/>
  <c r="L14" i="9"/>
  <c r="L15" i="9"/>
  <c r="L16" i="9"/>
  <c r="L17" i="9"/>
  <c r="L18" i="9"/>
  <c r="L19" i="9"/>
  <c r="L20" i="9"/>
  <c r="L21" i="9"/>
  <c r="L22" i="9"/>
  <c r="L23" i="9"/>
  <c r="L24" i="9"/>
  <c r="L25" i="9"/>
  <c r="L26" i="9"/>
  <c r="L27" i="9"/>
  <c r="C34" i="48" l="1"/>
  <c r="H27" i="54"/>
  <c r="H33" i="54" s="1"/>
  <c r="F34" i="48"/>
  <c r="D111" i="48"/>
  <c r="D34" i="48"/>
  <c r="D45" i="48"/>
  <c r="F144" i="48"/>
  <c r="F12" i="48"/>
  <c r="G133" i="48"/>
  <c r="G67" i="48"/>
  <c r="F111" i="48"/>
  <c r="F45" i="48"/>
  <c r="E78" i="48"/>
  <c r="D166" i="48"/>
  <c r="F89" i="48"/>
  <c r="C111" i="48"/>
  <c r="E177" i="48"/>
  <c r="G188" i="48"/>
  <c r="G12" i="48"/>
  <c r="C45" i="48"/>
  <c r="E166" i="48"/>
  <c r="G89" i="48"/>
  <c r="C100" i="48"/>
  <c r="E144" i="48"/>
  <c r="H177" i="50"/>
  <c r="F19" i="52"/>
  <c r="G166" i="48"/>
  <c r="E100" i="48"/>
  <c r="F166" i="48"/>
  <c r="C12" i="48"/>
  <c r="F78" i="48"/>
  <c r="G78" i="48"/>
  <c r="C144" i="48"/>
  <c r="E19" i="52"/>
  <c r="E29" i="52" s="1"/>
  <c r="F155" i="48"/>
  <c r="D144" i="48"/>
  <c r="E89" i="48"/>
  <c r="F100" i="48"/>
  <c r="H144" i="50"/>
  <c r="G111" i="48"/>
  <c r="G177" i="48"/>
  <c r="C67" i="48"/>
  <c r="C155" i="48"/>
  <c r="H12" i="50"/>
  <c r="H14" i="50" s="1"/>
  <c r="H20" i="50" s="1"/>
  <c r="H29" i="50" s="1"/>
  <c r="H31" i="50" s="1"/>
  <c r="H33" i="50" s="1"/>
  <c r="D100" i="48"/>
  <c r="C23" i="48"/>
  <c r="F67" i="48"/>
  <c r="D55" i="52"/>
  <c r="D25" i="52"/>
  <c r="E111" i="48"/>
  <c r="G155" i="48"/>
  <c r="E155" i="48"/>
  <c r="E188" i="48"/>
  <c r="D155" i="48"/>
  <c r="G19" i="52"/>
  <c r="H19" i="52"/>
  <c r="H29" i="52" s="1"/>
  <c r="C166" i="48"/>
  <c r="C177" i="48"/>
  <c r="F177" i="48"/>
  <c r="D177" i="48"/>
  <c r="C188" i="48"/>
  <c r="G23" i="48"/>
  <c r="G34" i="48"/>
  <c r="E26" i="4"/>
  <c r="H26" i="4" s="1"/>
  <c r="F5" i="4"/>
  <c r="G26" i="4"/>
  <c r="G5" i="4"/>
  <c r="H45" i="50"/>
  <c r="I31" i="11"/>
  <c r="E16" i="11"/>
  <c r="E24" i="11"/>
  <c r="E19" i="11"/>
  <c r="E10" i="11"/>
  <c r="L28" i="9"/>
  <c r="M28" i="9" s="1"/>
  <c r="E26" i="47"/>
  <c r="G26" i="47" s="1"/>
  <c r="F26" i="4"/>
  <c r="D89" i="48"/>
  <c r="D67" i="48"/>
  <c r="C89" i="48"/>
  <c r="G28" i="9"/>
  <c r="H7" i="9" s="1"/>
  <c r="F188" i="48"/>
  <c r="D188" i="48"/>
  <c r="D113" i="50"/>
  <c r="D119" i="50" s="1"/>
  <c r="D128" i="50" s="1"/>
  <c r="D130" i="50" s="1"/>
  <c r="D132" i="50" s="1"/>
  <c r="H111" i="50"/>
  <c r="F55" i="48"/>
  <c r="G45" i="48"/>
  <c r="D19" i="52"/>
  <c r="D29" i="52" s="1"/>
  <c r="D23" i="52"/>
  <c r="D26" i="52"/>
  <c r="E23" i="48"/>
  <c r="D122" i="48"/>
  <c r="E122" i="48"/>
  <c r="H25" i="52"/>
  <c r="H23" i="52"/>
  <c r="H24" i="52"/>
  <c r="H113" i="50"/>
  <c r="C121" i="48"/>
  <c r="C122" i="48" s="1"/>
  <c r="G121" i="48"/>
  <c r="G122" i="48" s="1"/>
  <c r="F23" i="48"/>
  <c r="D23" i="48"/>
  <c r="E67" i="48"/>
  <c r="G56" i="48"/>
  <c r="F50" i="48"/>
  <c r="F53" i="48" s="1"/>
  <c r="J10" i="11"/>
  <c r="J31" i="11" s="1"/>
  <c r="K31" i="11" s="1"/>
  <c r="E17" i="11"/>
  <c r="E21" i="11"/>
  <c r="E28" i="11"/>
  <c r="E14" i="11"/>
  <c r="E20" i="11"/>
  <c r="E22" i="11"/>
  <c r="E26" i="11"/>
  <c r="E30" i="11"/>
  <c r="E12" i="11"/>
  <c r="E23" i="11"/>
  <c r="E25" i="11"/>
  <c r="E27" i="11"/>
  <c r="E29" i="11"/>
  <c r="E31" i="11"/>
  <c r="E11" i="11"/>
  <c r="E13" i="11"/>
  <c r="L20" i="11"/>
  <c r="H14" i="9" l="1"/>
  <c r="H18" i="9"/>
  <c r="H10" i="9"/>
  <c r="H22" i="9"/>
  <c r="H15" i="9"/>
  <c r="H23" i="9"/>
  <c r="H27" i="9"/>
  <c r="H11" i="9"/>
  <c r="H5" i="4"/>
  <c r="M21" i="9"/>
  <c r="M16" i="9"/>
  <c r="H19" i="9"/>
  <c r="F56" i="48"/>
  <c r="H12" i="9"/>
  <c r="H20" i="9"/>
  <c r="H28" i="9"/>
  <c r="H17" i="9"/>
  <c r="H25" i="9"/>
  <c r="H16" i="9"/>
  <c r="H24" i="9"/>
  <c r="H13" i="9"/>
  <c r="H21" i="9"/>
  <c r="H8" i="9"/>
  <c r="H9" i="9"/>
  <c r="H26" i="9"/>
  <c r="M24" i="9"/>
  <c r="M8" i="9"/>
  <c r="M13" i="9"/>
  <c r="M20" i="9"/>
  <c r="M12" i="9"/>
  <c r="M25" i="9"/>
  <c r="M17" i="9"/>
  <c r="M9" i="9"/>
  <c r="M26" i="9"/>
  <c r="M22" i="9"/>
  <c r="M18" i="9"/>
  <c r="M14" i="9"/>
  <c r="M10" i="9"/>
  <c r="M27" i="9"/>
  <c r="M23" i="9"/>
  <c r="M19" i="9"/>
  <c r="M15" i="9"/>
  <c r="M11" i="9"/>
  <c r="M7" i="9"/>
  <c r="D27" i="52"/>
  <c r="H27" i="52"/>
  <c r="K12" i="11"/>
  <c r="K16" i="11"/>
  <c r="K20" i="11"/>
  <c r="K24" i="11"/>
  <c r="K28" i="11"/>
  <c r="K11" i="11"/>
  <c r="K15" i="11"/>
  <c r="K19" i="11"/>
  <c r="K23" i="11"/>
  <c r="K27" i="11"/>
  <c r="K10" i="11"/>
  <c r="K14" i="11"/>
  <c r="K18" i="11"/>
  <c r="K22" i="11"/>
  <c r="K26" i="11"/>
  <c r="K30" i="11"/>
  <c r="K13" i="11"/>
  <c r="K17" i="11"/>
  <c r="K21" i="11"/>
  <c r="K25" i="11"/>
  <c r="K29" i="11"/>
  <c r="T36" i="80" l="1"/>
  <c r="S36" i="80"/>
  <c r="R36" i="80"/>
  <c r="Q36" i="80"/>
  <c r="P36" i="80"/>
  <c r="O36" i="80"/>
  <c r="N36" i="80"/>
  <c r="M36" i="80"/>
  <c r="L36" i="80"/>
  <c r="K36" i="80"/>
  <c r="J36" i="80"/>
  <c r="I36" i="80"/>
  <c r="H36" i="80"/>
  <c r="G36" i="80"/>
  <c r="F36" i="80"/>
  <c r="T12" i="80"/>
  <c r="S12" i="80"/>
  <c r="R12" i="80"/>
  <c r="Q12" i="80"/>
  <c r="P12" i="80"/>
  <c r="O12" i="80"/>
  <c r="N12" i="80"/>
  <c r="M12" i="80"/>
  <c r="L12" i="80"/>
  <c r="K12" i="80"/>
  <c r="J12" i="80"/>
  <c r="I12" i="80"/>
  <c r="H12" i="80"/>
  <c r="G12" i="80"/>
  <c r="F12" i="80"/>
  <c r="G39" i="67"/>
  <c r="F39" i="67"/>
  <c r="E39" i="67"/>
  <c r="D39" i="67"/>
  <c r="C39" i="67"/>
  <c r="G14" i="67"/>
  <c r="E14" i="67"/>
  <c r="D14" i="67"/>
  <c r="C14" i="67"/>
  <c r="H230" i="50"/>
  <c r="H228" i="50"/>
  <c r="G209" i="50"/>
  <c r="F209" i="50"/>
  <c r="E209" i="50"/>
  <c r="D209" i="50"/>
  <c r="C209" i="50"/>
  <c r="I36" i="77"/>
  <c r="I37" i="77" s="1"/>
  <c r="H36" i="77"/>
  <c r="H37" i="77" s="1"/>
  <c r="G36" i="77"/>
  <c r="G37" i="77" s="1"/>
  <c r="F36" i="77"/>
  <c r="F37" i="77" s="1"/>
  <c r="E36" i="77"/>
  <c r="E37" i="77" s="1"/>
  <c r="T9" i="80"/>
  <c r="S9" i="80"/>
  <c r="R9" i="80"/>
  <c r="Q9" i="80"/>
  <c r="P9" i="80"/>
  <c r="O9" i="80"/>
  <c r="N9" i="80"/>
  <c r="M9" i="80"/>
  <c r="L9" i="80"/>
  <c r="K9" i="80"/>
  <c r="J9" i="80"/>
  <c r="I9" i="80"/>
  <c r="H9" i="80"/>
  <c r="G9" i="80"/>
  <c r="F9" i="80"/>
  <c r="G36" i="67"/>
  <c r="E36" i="67"/>
  <c r="D36" i="67"/>
  <c r="C36" i="67"/>
  <c r="G11" i="67"/>
  <c r="D11" i="67"/>
  <c r="C11" i="67"/>
  <c r="H209" i="50" l="1"/>
  <c r="E10" i="4"/>
  <c r="E9" i="4" l="1"/>
  <c r="E14" i="4"/>
  <c r="E127" i="79" l="1"/>
  <c r="F127" i="79"/>
  <c r="G127" i="79"/>
  <c r="H127" i="79"/>
  <c r="E145" i="77"/>
  <c r="I127" i="77"/>
  <c r="H127" i="77"/>
  <c r="G127" i="77"/>
  <c r="F127" i="77"/>
  <c r="E127" i="77"/>
  <c r="F158" i="60" l="1"/>
  <c r="F160" i="60" s="1"/>
  <c r="G68" i="60"/>
  <c r="G70" i="60" s="1"/>
  <c r="F68" i="60"/>
  <c r="F70" i="60" s="1"/>
  <c r="E68" i="60"/>
  <c r="E70" i="60" s="1"/>
  <c r="D68" i="60"/>
  <c r="D70" i="60" s="1"/>
  <c r="C68" i="60"/>
  <c r="C70" i="60" s="1"/>
  <c r="H527" i="50" l="1"/>
  <c r="H525" i="50"/>
  <c r="H523" i="50"/>
  <c r="H522" i="50"/>
  <c r="H521" i="50"/>
  <c r="H520" i="50"/>
  <c r="H519" i="50"/>
  <c r="H518" i="50"/>
  <c r="H517" i="50"/>
  <c r="H516" i="50"/>
  <c r="H514" i="50"/>
  <c r="H513" i="50"/>
  <c r="H512" i="50"/>
  <c r="H511" i="50"/>
  <c r="H510" i="50"/>
  <c r="H508" i="50"/>
  <c r="G507" i="50"/>
  <c r="G509" i="50" s="1"/>
  <c r="G515" i="50" s="1"/>
  <c r="G524" i="50" s="1"/>
  <c r="G526" i="50" s="1"/>
  <c r="G528" i="50" s="1"/>
  <c r="F507" i="50"/>
  <c r="F509" i="50" s="1"/>
  <c r="F515" i="50" s="1"/>
  <c r="F524" i="50" s="1"/>
  <c r="F526" i="50" s="1"/>
  <c r="F528" i="50" s="1"/>
  <c r="E507" i="50"/>
  <c r="E509" i="50" s="1"/>
  <c r="E515" i="50" s="1"/>
  <c r="E524" i="50" s="1"/>
  <c r="E526" i="50" s="1"/>
  <c r="E528" i="50" s="1"/>
  <c r="D507" i="50"/>
  <c r="C507" i="50"/>
  <c r="C509" i="50" s="1"/>
  <c r="C515" i="50" s="1"/>
  <c r="H506" i="50"/>
  <c r="H505" i="50"/>
  <c r="H504" i="50"/>
  <c r="H503" i="50"/>
  <c r="H461" i="50"/>
  <c r="H459" i="50"/>
  <c r="H457" i="50"/>
  <c r="H456" i="50"/>
  <c r="H455" i="50"/>
  <c r="H454" i="50"/>
  <c r="H453" i="50"/>
  <c r="H452" i="50"/>
  <c r="H451" i="50"/>
  <c r="H450" i="50"/>
  <c r="H448" i="50"/>
  <c r="H447" i="50"/>
  <c r="H446" i="50"/>
  <c r="H445" i="50"/>
  <c r="H444" i="50"/>
  <c r="H442" i="50"/>
  <c r="F441" i="50"/>
  <c r="F443" i="50" s="1"/>
  <c r="F449" i="50" s="1"/>
  <c r="F458" i="50" s="1"/>
  <c r="F460" i="50" s="1"/>
  <c r="F462" i="50" s="1"/>
  <c r="E443" i="50"/>
  <c r="G440" i="50"/>
  <c r="G441" i="50" s="1"/>
  <c r="G443" i="50" s="1"/>
  <c r="G449" i="50" s="1"/>
  <c r="G458" i="50" s="1"/>
  <c r="G460" i="50" s="1"/>
  <c r="G462" i="50" s="1"/>
  <c r="D440" i="50"/>
  <c r="C440" i="50"/>
  <c r="C441" i="50" s="1"/>
  <c r="H439" i="50"/>
  <c r="H438" i="50"/>
  <c r="H437" i="50"/>
  <c r="H224" i="50"/>
  <c r="H219" i="50"/>
  <c r="H217" i="50"/>
  <c r="H216" i="50"/>
  <c r="H215" i="50"/>
  <c r="H214" i="50"/>
  <c r="H213" i="50"/>
  <c r="G210" i="50"/>
  <c r="G212" i="50" s="1"/>
  <c r="G218" i="50" s="1"/>
  <c r="G227" i="50" s="1"/>
  <c r="G229" i="50" s="1"/>
  <c r="G231" i="50" s="1"/>
  <c r="F210" i="50"/>
  <c r="E210" i="50"/>
  <c r="D210" i="50"/>
  <c r="H164" i="50"/>
  <c r="H158" i="50"/>
  <c r="H154" i="50"/>
  <c r="H153" i="50"/>
  <c r="H151" i="50"/>
  <c r="H150" i="50"/>
  <c r="H149" i="50"/>
  <c r="H148" i="50"/>
  <c r="H147" i="50"/>
  <c r="G146" i="50"/>
  <c r="G152" i="50" s="1"/>
  <c r="G161" i="50" s="1"/>
  <c r="G163" i="50" s="1"/>
  <c r="G165" i="50" s="1"/>
  <c r="H131" i="50"/>
  <c r="H129" i="50"/>
  <c r="H127" i="50"/>
  <c r="H126" i="50"/>
  <c r="H125" i="50"/>
  <c r="H124" i="50"/>
  <c r="H123" i="50"/>
  <c r="H122" i="50"/>
  <c r="H121" i="50"/>
  <c r="H120" i="50"/>
  <c r="H118" i="50"/>
  <c r="H117" i="50"/>
  <c r="H116" i="50"/>
  <c r="H115" i="50"/>
  <c r="H114" i="50"/>
  <c r="H98" i="50"/>
  <c r="H96" i="50"/>
  <c r="H94" i="50"/>
  <c r="H93" i="50"/>
  <c r="H92" i="50"/>
  <c r="H91" i="50"/>
  <c r="H90" i="50"/>
  <c r="H89" i="50"/>
  <c r="H88" i="50"/>
  <c r="H87" i="50"/>
  <c r="H85" i="50"/>
  <c r="H84" i="50"/>
  <c r="H83" i="50"/>
  <c r="H82" i="50"/>
  <c r="H81" i="50"/>
  <c r="H79" i="50"/>
  <c r="G78" i="50"/>
  <c r="G80" i="50" s="1"/>
  <c r="G86" i="50" s="1"/>
  <c r="G95" i="50" s="1"/>
  <c r="G97" i="50" s="1"/>
  <c r="G99" i="50" s="1"/>
  <c r="F78" i="50"/>
  <c r="F80" i="50" s="1"/>
  <c r="F86" i="50" s="1"/>
  <c r="F95" i="50" s="1"/>
  <c r="F97" i="50" s="1"/>
  <c r="F99" i="50" s="1"/>
  <c r="E78" i="50"/>
  <c r="E80" i="50" s="1"/>
  <c r="E86" i="50" s="1"/>
  <c r="E95" i="50" s="1"/>
  <c r="E97" i="50" s="1"/>
  <c r="E99" i="50" s="1"/>
  <c r="D78" i="50"/>
  <c r="D80" i="50" s="1"/>
  <c r="D86" i="50" s="1"/>
  <c r="D95" i="50" s="1"/>
  <c r="D97" i="50" s="1"/>
  <c r="D99" i="50" s="1"/>
  <c r="C78" i="50"/>
  <c r="C80" i="50" s="1"/>
  <c r="C86" i="50" s="1"/>
  <c r="C95" i="50" s="1"/>
  <c r="C97" i="50" s="1"/>
  <c r="H77" i="50"/>
  <c r="H76" i="50"/>
  <c r="H75" i="50"/>
  <c r="H65" i="50"/>
  <c r="H63" i="50"/>
  <c r="H60" i="50"/>
  <c r="H59" i="50"/>
  <c r="H58" i="50"/>
  <c r="H56" i="50"/>
  <c r="H55" i="50"/>
  <c r="H54" i="50"/>
  <c r="H52" i="50"/>
  <c r="H51" i="50"/>
  <c r="H50" i="50"/>
  <c r="H49" i="50"/>
  <c r="H48" i="50"/>
  <c r="H46" i="50"/>
  <c r="H47" i="50" s="1"/>
  <c r="H571" i="50"/>
  <c r="H570" i="50"/>
  <c r="H538" i="50"/>
  <c r="H537" i="50"/>
  <c r="H472" i="50"/>
  <c r="H471" i="50"/>
  <c r="H406" i="50"/>
  <c r="H405" i="50"/>
  <c r="H373" i="50"/>
  <c r="H372" i="50"/>
  <c r="H340" i="50"/>
  <c r="H339" i="50"/>
  <c r="H307" i="50"/>
  <c r="H306" i="50"/>
  <c r="H274" i="50"/>
  <c r="H273" i="50"/>
  <c r="H241" i="50"/>
  <c r="H240" i="50"/>
  <c r="E54" i="48"/>
  <c r="E55" i="48" s="1"/>
  <c r="C99" i="50" l="1"/>
  <c r="H97" i="50"/>
  <c r="H99" i="50" s="1"/>
  <c r="D212" i="50"/>
  <c r="D218" i="50" s="1"/>
  <c r="D227" i="50" s="1"/>
  <c r="D229" i="50" s="1"/>
  <c r="D231" i="50" s="1"/>
  <c r="F212" i="50"/>
  <c r="F218" i="50" s="1"/>
  <c r="F227" i="50" s="1"/>
  <c r="F229" i="50" s="1"/>
  <c r="F231" i="50" s="1"/>
  <c r="E212" i="50"/>
  <c r="E218" i="50" s="1"/>
  <c r="E227" i="50" s="1"/>
  <c r="E229" i="50" s="1"/>
  <c r="E231" i="50" s="1"/>
  <c r="D441" i="50"/>
  <c r="D443" i="50" s="1"/>
  <c r="E449" i="50"/>
  <c r="E458" i="50" s="1"/>
  <c r="E460" i="50" s="1"/>
  <c r="E462" i="50" s="1"/>
  <c r="H53" i="50"/>
  <c r="H62" i="50" s="1"/>
  <c r="H64" i="50" s="1"/>
  <c r="H66" i="50" s="1"/>
  <c r="H119" i="50"/>
  <c r="H128" i="50" s="1"/>
  <c r="H130" i="50" s="1"/>
  <c r="H132" i="50" s="1"/>
  <c r="H146" i="50"/>
  <c r="H152" i="50" s="1"/>
  <c r="H161" i="50" s="1"/>
  <c r="H163" i="50" s="1"/>
  <c r="H165" i="50" s="1"/>
  <c r="H105" i="50"/>
  <c r="H507" i="50"/>
  <c r="C524" i="50"/>
  <c r="D509" i="50"/>
  <c r="D515" i="50" s="1"/>
  <c r="D524" i="50" s="1"/>
  <c r="D526" i="50" s="1"/>
  <c r="D528" i="50" s="1"/>
  <c r="C443" i="50"/>
  <c r="C449" i="50" s="1"/>
  <c r="C458" i="50" s="1"/>
  <c r="C460" i="50" s="1"/>
  <c r="C462" i="50" s="1"/>
  <c r="H441" i="50"/>
  <c r="H440" i="50"/>
  <c r="C210" i="50"/>
  <c r="H138" i="50"/>
  <c r="H86" i="50"/>
  <c r="H95" i="50" s="1"/>
  <c r="H78" i="50"/>
  <c r="H80" i="50"/>
  <c r="H72" i="50" s="1"/>
  <c r="H39" i="50"/>
  <c r="D449" i="50" l="1"/>
  <c r="D458" i="50" s="1"/>
  <c r="D460" i="50" s="1"/>
  <c r="D462" i="50" s="1"/>
  <c r="C212" i="50"/>
  <c r="H210" i="50"/>
  <c r="H509" i="50"/>
  <c r="H501" i="50" s="1"/>
  <c r="H515" i="50"/>
  <c r="C526" i="50"/>
  <c r="H524" i="50"/>
  <c r="H443" i="50"/>
  <c r="H435" i="50" s="1"/>
  <c r="C218" i="50" l="1"/>
  <c r="C227" i="50" s="1"/>
  <c r="C229" i="50" s="1"/>
  <c r="C231" i="50" s="1"/>
  <c r="H212" i="50"/>
  <c r="H218" i="50" s="1"/>
  <c r="H227" i="50" s="1"/>
  <c r="C528" i="50"/>
  <c r="H526" i="50"/>
  <c r="H528" i="50" s="1"/>
  <c r="H449" i="50"/>
  <c r="H204" i="50" l="1"/>
  <c r="H458" i="50"/>
  <c r="H229" i="50"/>
  <c r="H231" i="50" s="1"/>
  <c r="H462" i="50" l="1"/>
  <c r="H460" i="50"/>
  <c r="H8" i="66" l="1"/>
  <c r="D28" i="66"/>
  <c r="G7" i="73" l="1"/>
  <c r="E139" i="68" l="1"/>
  <c r="E137" i="68"/>
  <c r="F137" i="68" l="1"/>
  <c r="D55" i="70"/>
  <c r="D28" i="70"/>
  <c r="C28" i="70"/>
  <c r="N41" i="80"/>
  <c r="T17" i="80"/>
  <c r="R17" i="80"/>
  <c r="Q17" i="80"/>
  <c r="O17" i="80"/>
  <c r="N17" i="80"/>
  <c r="M17" i="80"/>
  <c r="L17" i="80"/>
  <c r="K17" i="80"/>
  <c r="I17" i="80"/>
  <c r="H17" i="80"/>
  <c r="F17" i="80"/>
  <c r="E6" i="4" l="1"/>
  <c r="E8" i="4"/>
  <c r="D53" i="69"/>
  <c r="E53" i="69"/>
  <c r="E62" i="68"/>
  <c r="B79" i="61"/>
  <c r="S10" i="80"/>
  <c r="R10" i="80"/>
  <c r="P10" i="80"/>
  <c r="O10" i="80"/>
  <c r="M10" i="80"/>
  <c r="L10" i="80"/>
  <c r="J10" i="80"/>
  <c r="I10" i="80"/>
  <c r="G10" i="80"/>
  <c r="F10" i="80"/>
  <c r="E18" i="4" l="1"/>
  <c r="E15" i="4"/>
  <c r="F9" i="4" l="1"/>
  <c r="F18" i="4"/>
  <c r="F23" i="4"/>
  <c r="F24" i="4"/>
  <c r="F17" i="4"/>
  <c r="F6" i="4"/>
  <c r="F8" i="4"/>
  <c r="F10" i="4"/>
  <c r="F12" i="4"/>
  <c r="F14" i="4"/>
  <c r="F16" i="4"/>
  <c r="F22" i="4"/>
  <c r="F7" i="4"/>
  <c r="F11" i="4"/>
  <c r="F13" i="4"/>
  <c r="F15" i="4"/>
  <c r="F21" i="4"/>
  <c r="F19" i="4"/>
  <c r="F25" i="4"/>
  <c r="F20" i="4"/>
  <c r="B41" i="47" l="1"/>
  <c r="B40" i="47"/>
  <c r="B39" i="47"/>
  <c r="B38" i="47"/>
  <c r="B37" i="47"/>
  <c r="B36" i="47"/>
  <c r="B35" i="47"/>
  <c r="B34" i="47"/>
  <c r="B33" i="47"/>
  <c r="B42" i="47" l="1"/>
  <c r="F21" i="59"/>
  <c r="F19" i="59"/>
  <c r="F18" i="59"/>
  <c r="F16" i="59"/>
  <c r="F15" i="59"/>
  <c r="F14" i="59"/>
  <c r="F13" i="59"/>
  <c r="F12" i="59"/>
  <c r="F10" i="59"/>
  <c r="F9" i="59"/>
  <c r="F6" i="59"/>
  <c r="H362" i="50"/>
  <c r="J145" i="75"/>
  <c r="J144" i="75"/>
  <c r="J143" i="75"/>
  <c r="J142" i="75"/>
  <c r="J141" i="75"/>
  <c r="J136" i="75"/>
  <c r="J135" i="75"/>
  <c r="J134" i="75"/>
  <c r="J133" i="75"/>
  <c r="J132" i="75"/>
  <c r="J118" i="75"/>
  <c r="J117" i="75"/>
  <c r="J116" i="75"/>
  <c r="J115" i="75"/>
  <c r="J114" i="75"/>
  <c r="J109" i="75"/>
  <c r="J108" i="75"/>
  <c r="J107" i="75"/>
  <c r="J106" i="75"/>
  <c r="J105" i="75"/>
  <c r="J100" i="75"/>
  <c r="J99" i="75"/>
  <c r="J98" i="75"/>
  <c r="J97" i="75"/>
  <c r="J96" i="75"/>
  <c r="J46" i="75"/>
  <c r="C37" i="75"/>
  <c r="J37" i="75" s="1"/>
  <c r="C36" i="75"/>
  <c r="J36" i="75" s="1"/>
  <c r="C35" i="75"/>
  <c r="J35" i="75" s="1"/>
  <c r="C34" i="75"/>
  <c r="J34" i="75" s="1"/>
  <c r="C33" i="75"/>
  <c r="J33" i="75" s="1"/>
  <c r="I10" i="75"/>
  <c r="H10" i="75"/>
  <c r="G10" i="75"/>
  <c r="F10" i="75"/>
  <c r="E10" i="75"/>
  <c r="D10" i="75"/>
  <c r="I9" i="75"/>
  <c r="H9" i="75"/>
  <c r="G9" i="75"/>
  <c r="F9" i="75"/>
  <c r="E9" i="75"/>
  <c r="D9" i="75"/>
  <c r="C9" i="75"/>
  <c r="I8" i="75"/>
  <c r="H8" i="75"/>
  <c r="G8" i="75"/>
  <c r="F8" i="75"/>
  <c r="E8" i="75"/>
  <c r="D8" i="75"/>
  <c r="I7" i="75"/>
  <c r="H7" i="75"/>
  <c r="G7" i="75"/>
  <c r="F7" i="75"/>
  <c r="E7" i="75"/>
  <c r="D7" i="75"/>
  <c r="C7" i="75"/>
  <c r="I6" i="75"/>
  <c r="H6" i="75"/>
  <c r="G6" i="75"/>
  <c r="F6" i="75"/>
  <c r="E6" i="75"/>
  <c r="D6" i="75"/>
  <c r="J9" i="75" l="1"/>
  <c r="J7" i="75"/>
  <c r="F17" i="59"/>
  <c r="F11" i="59"/>
  <c r="F8" i="59"/>
  <c r="C6" i="75"/>
  <c r="J6" i="75" s="1"/>
  <c r="C8" i="75"/>
  <c r="J8" i="75" s="1"/>
  <c r="C10" i="75"/>
  <c r="J10" i="75" s="1"/>
  <c r="D124" i="65"/>
  <c r="C124" i="65"/>
  <c r="E266" i="59" l="1"/>
  <c r="T40" i="80"/>
  <c r="K40" i="80"/>
  <c r="C98" i="60"/>
  <c r="C100" i="60" s="1"/>
  <c r="B193" i="65"/>
  <c r="B191" i="65"/>
  <c r="L6" i="75" l="1"/>
  <c r="E42" i="68"/>
  <c r="E10" i="80"/>
  <c r="D10" i="80"/>
  <c r="E17" i="4"/>
  <c r="H91" i="79" l="1"/>
  <c r="C109" i="60"/>
  <c r="C108" i="60"/>
  <c r="C107" i="60"/>
  <c r="C106" i="60"/>
  <c r="C104" i="60"/>
  <c r="D109" i="60"/>
  <c r="D108" i="60"/>
  <c r="D107" i="60"/>
  <c r="D106" i="60"/>
  <c r="D104" i="60"/>
  <c r="E109" i="60"/>
  <c r="E108" i="60"/>
  <c r="E107" i="60"/>
  <c r="E106" i="60"/>
  <c r="E104" i="60"/>
  <c r="F109" i="60"/>
  <c r="F108" i="60"/>
  <c r="F107" i="60"/>
  <c r="F106" i="60"/>
  <c r="F104" i="60"/>
  <c r="G109" i="60"/>
  <c r="G108" i="60"/>
  <c r="G107" i="60"/>
  <c r="G106" i="60"/>
  <c r="G104" i="60"/>
  <c r="H360" i="50"/>
  <c r="S40" i="80"/>
  <c r="R40" i="80"/>
  <c r="J40" i="80"/>
  <c r="I40" i="80"/>
  <c r="G40" i="80"/>
  <c r="F40" i="80"/>
  <c r="T16" i="80"/>
  <c r="S16" i="80"/>
  <c r="R16" i="80"/>
  <c r="N16" i="80"/>
  <c r="M16" i="80"/>
  <c r="L16" i="80"/>
  <c r="K16" i="80"/>
  <c r="J16" i="80"/>
  <c r="I16" i="80"/>
  <c r="H16" i="80"/>
  <c r="G16" i="80"/>
  <c r="F16" i="80"/>
  <c r="G105" i="60" l="1"/>
  <c r="G110" i="60"/>
  <c r="E105" i="60"/>
  <c r="E110" i="60"/>
  <c r="C105" i="60"/>
  <c r="C110" i="60"/>
  <c r="F105" i="60"/>
  <c r="F110" i="60"/>
  <c r="D105" i="60"/>
  <c r="D110" i="60"/>
  <c r="T33" i="80"/>
  <c r="S33" i="80"/>
  <c r="R33" i="80"/>
  <c r="Q33" i="80"/>
  <c r="P33" i="80"/>
  <c r="O33" i="80"/>
  <c r="N33" i="80"/>
  <c r="M33" i="80"/>
  <c r="L33" i="80"/>
  <c r="K33" i="80"/>
  <c r="J33" i="80"/>
  <c r="I33" i="80"/>
  <c r="H33" i="80"/>
  <c r="G33" i="80"/>
  <c r="F33" i="80"/>
  <c r="E16" i="59" l="1"/>
  <c r="G16" i="59" s="1"/>
  <c r="E25" i="4"/>
  <c r="N46" i="80"/>
  <c r="M46" i="80"/>
  <c r="L46" i="80"/>
  <c r="O22" i="80"/>
  <c r="N22" i="80"/>
  <c r="M22" i="80"/>
  <c r="L22" i="80"/>
  <c r="K22" i="80"/>
  <c r="J22" i="80"/>
  <c r="I22" i="80"/>
  <c r="H22" i="80"/>
  <c r="G22" i="80"/>
  <c r="F22" i="80"/>
  <c r="B189" i="61" l="1"/>
  <c r="B68" i="61"/>
  <c r="E112" i="59"/>
  <c r="E24" i="4" l="1"/>
  <c r="B178" i="65"/>
  <c r="B211" i="61"/>
  <c r="E398" i="59"/>
  <c r="T45" i="80"/>
  <c r="S45" i="80"/>
  <c r="R45" i="80"/>
  <c r="Q45" i="80"/>
  <c r="P45" i="80"/>
  <c r="O45" i="80"/>
  <c r="N45" i="80"/>
  <c r="M45" i="80"/>
  <c r="L45" i="80"/>
  <c r="H45" i="80"/>
  <c r="G45" i="80"/>
  <c r="F45" i="80"/>
  <c r="T21" i="80"/>
  <c r="S21" i="80"/>
  <c r="R21" i="80"/>
  <c r="Q21" i="80"/>
  <c r="P21" i="80"/>
  <c r="O21" i="80"/>
  <c r="N21" i="80"/>
  <c r="M21" i="80"/>
  <c r="L21" i="80"/>
  <c r="H21" i="80"/>
  <c r="G21" i="80"/>
  <c r="F21" i="80"/>
  <c r="E15" i="67" l="1"/>
  <c r="C15" i="67"/>
  <c r="E72" i="77"/>
  <c r="E73" i="77" s="1"/>
  <c r="F72" i="77"/>
  <c r="F73" i="77" s="1"/>
  <c r="G72" i="77"/>
  <c r="G73" i="77" s="1"/>
  <c r="H72" i="77"/>
  <c r="H73" i="77" s="1"/>
  <c r="I72" i="77"/>
  <c r="I73" i="77" s="1"/>
  <c r="E200" i="59"/>
  <c r="T37" i="80"/>
  <c r="S37" i="80"/>
  <c r="R37" i="80"/>
  <c r="Q37" i="80"/>
  <c r="P37" i="80"/>
  <c r="O37" i="80"/>
  <c r="N37" i="80"/>
  <c r="M37" i="80"/>
  <c r="L37" i="80"/>
  <c r="K37" i="80"/>
  <c r="J37" i="80"/>
  <c r="I37" i="80"/>
  <c r="H37" i="80"/>
  <c r="G37" i="80"/>
  <c r="F37" i="80"/>
  <c r="T13" i="80"/>
  <c r="S13" i="80"/>
  <c r="R13" i="80"/>
  <c r="Q13" i="80"/>
  <c r="P13" i="80"/>
  <c r="O13" i="80"/>
  <c r="N13" i="80"/>
  <c r="M13" i="80"/>
  <c r="L13" i="80"/>
  <c r="K13" i="80"/>
  <c r="J13" i="80"/>
  <c r="I13" i="80"/>
  <c r="H13" i="80"/>
  <c r="G13" i="80"/>
  <c r="F13" i="80"/>
  <c r="C74" i="48"/>
  <c r="D74" i="48"/>
  <c r="C73" i="48"/>
  <c r="D73" i="48"/>
  <c r="E13" i="4"/>
  <c r="E178" i="59"/>
  <c r="C46" i="67"/>
  <c r="C77" i="48" l="1"/>
  <c r="C72" i="48"/>
  <c r="C75" i="48" s="1"/>
  <c r="D72" i="48"/>
  <c r="D75" i="48" s="1"/>
  <c r="D77" i="48"/>
  <c r="E22" i="4"/>
  <c r="C189" i="61"/>
  <c r="E354" i="59"/>
  <c r="G474" i="50"/>
  <c r="E474" i="50"/>
  <c r="D474" i="50"/>
  <c r="C474" i="50"/>
  <c r="T43" i="80"/>
  <c r="S43" i="80"/>
  <c r="R43" i="80"/>
  <c r="Q43" i="80"/>
  <c r="P43" i="80"/>
  <c r="O43" i="80"/>
  <c r="N43" i="80"/>
  <c r="M43" i="80"/>
  <c r="L43" i="80"/>
  <c r="K43" i="80"/>
  <c r="I43" i="80"/>
  <c r="H43" i="80"/>
  <c r="G43" i="80"/>
  <c r="F43" i="80"/>
  <c r="T19" i="80"/>
  <c r="S19" i="80"/>
  <c r="R19" i="80"/>
  <c r="Q19" i="80"/>
  <c r="P19" i="80"/>
  <c r="O19" i="80"/>
  <c r="N19" i="80"/>
  <c r="M19" i="80"/>
  <c r="L19" i="80"/>
  <c r="K19" i="80"/>
  <c r="I19" i="80"/>
  <c r="H19" i="80"/>
  <c r="G19" i="80"/>
  <c r="F19" i="80"/>
  <c r="F122" i="48"/>
  <c r="H100" i="77"/>
  <c r="E95" i="77"/>
  <c r="E100" i="77" s="1"/>
  <c r="F95" i="77"/>
  <c r="F100" i="77" s="1"/>
  <c r="G95" i="77"/>
  <c r="G100" i="77" s="1"/>
  <c r="I95" i="77"/>
  <c r="I100" i="77" s="1"/>
  <c r="F37" i="87"/>
  <c r="E16" i="4"/>
  <c r="E241" i="59"/>
  <c r="E228" i="59"/>
  <c r="H329" i="50"/>
  <c r="C309" i="50"/>
  <c r="T39" i="80"/>
  <c r="S39" i="80"/>
  <c r="R39" i="80"/>
  <c r="Q39" i="80"/>
  <c r="P39" i="80"/>
  <c r="O39" i="80"/>
  <c r="N39" i="80"/>
  <c r="M39" i="80"/>
  <c r="L39" i="80"/>
  <c r="K39" i="80"/>
  <c r="J39" i="80"/>
  <c r="I39" i="80"/>
  <c r="H39" i="80"/>
  <c r="G39" i="80"/>
  <c r="F39" i="80"/>
  <c r="T15" i="80"/>
  <c r="S15" i="80"/>
  <c r="R15" i="80"/>
  <c r="Q15" i="80"/>
  <c r="P15" i="80"/>
  <c r="O15" i="80"/>
  <c r="N15" i="80"/>
  <c r="M15" i="80"/>
  <c r="L15" i="80"/>
  <c r="K15" i="80"/>
  <c r="J15" i="80"/>
  <c r="I15" i="80"/>
  <c r="H15" i="80"/>
  <c r="G15" i="80"/>
  <c r="F15" i="80"/>
  <c r="C78" i="48" l="1"/>
  <c r="D78" i="48"/>
  <c r="E244" i="59"/>
  <c r="G34" i="67"/>
  <c r="C34" i="67"/>
  <c r="G9" i="67"/>
  <c r="D9" i="67"/>
  <c r="C9" i="67"/>
  <c r="E7" i="4"/>
  <c r="E68" i="59"/>
  <c r="E15" i="80"/>
  <c r="N31" i="80"/>
  <c r="T31" i="80"/>
  <c r="S31" i="80"/>
  <c r="R31" i="80"/>
  <c r="Q31" i="80"/>
  <c r="P31" i="80"/>
  <c r="O31" i="80"/>
  <c r="M31" i="80"/>
  <c r="L31" i="80"/>
  <c r="K31" i="80"/>
  <c r="J31" i="80"/>
  <c r="I31" i="80"/>
  <c r="H31" i="80"/>
  <c r="G31" i="80"/>
  <c r="F31" i="80"/>
  <c r="T7" i="80"/>
  <c r="S7" i="80"/>
  <c r="R7" i="80"/>
  <c r="Q7" i="80"/>
  <c r="P7" i="80"/>
  <c r="O7" i="80"/>
  <c r="N7" i="80"/>
  <c r="M7" i="80"/>
  <c r="L7" i="80"/>
  <c r="K7" i="80"/>
  <c r="J7" i="80"/>
  <c r="I7" i="80"/>
  <c r="H7" i="80"/>
  <c r="G7" i="80"/>
  <c r="F7" i="80"/>
  <c r="E7" i="80" l="1"/>
  <c r="G33" i="67"/>
  <c r="D33" i="67"/>
  <c r="C33" i="67"/>
  <c r="F34" i="65"/>
  <c r="E34" i="65"/>
  <c r="D34" i="65"/>
  <c r="B34" i="65"/>
  <c r="E46" i="59"/>
  <c r="H197" i="50"/>
  <c r="H195" i="50"/>
  <c r="H192" i="50"/>
  <c r="H189" i="50"/>
  <c r="H188" i="50"/>
  <c r="H190" i="50"/>
  <c r="H191" i="50"/>
  <c r="H193" i="50"/>
  <c r="K30" i="80"/>
  <c r="N30" i="80"/>
  <c r="T30" i="80"/>
  <c r="S30" i="80"/>
  <c r="R30" i="80"/>
  <c r="Q30" i="80"/>
  <c r="P30" i="80"/>
  <c r="O30" i="80"/>
  <c r="M30" i="80"/>
  <c r="L30" i="80"/>
  <c r="J30" i="80"/>
  <c r="I30" i="80"/>
  <c r="H30" i="80"/>
  <c r="G30" i="80"/>
  <c r="F30" i="80"/>
  <c r="T6" i="80"/>
  <c r="S6" i="80"/>
  <c r="R6" i="80"/>
  <c r="Q6" i="80"/>
  <c r="P6" i="80"/>
  <c r="O6" i="80"/>
  <c r="N6" i="80"/>
  <c r="M6" i="80"/>
  <c r="L6" i="80"/>
  <c r="K6" i="80"/>
  <c r="J6" i="80"/>
  <c r="I6" i="80"/>
  <c r="H6" i="80"/>
  <c r="G6" i="80"/>
  <c r="F6" i="80"/>
  <c r="G47" i="67" l="1"/>
  <c r="C47" i="67"/>
  <c r="E376" i="59"/>
  <c r="H560" i="50"/>
  <c r="H558" i="50"/>
  <c r="E23" i="4" l="1"/>
  <c r="H58" i="66"/>
  <c r="E11" i="4"/>
  <c r="E134" i="59"/>
  <c r="T34" i="80"/>
  <c r="S34" i="80"/>
  <c r="R34" i="80"/>
  <c r="Q34" i="80"/>
  <c r="P34" i="80"/>
  <c r="O34" i="80"/>
  <c r="N34" i="80"/>
  <c r="M34" i="80"/>
  <c r="L34" i="80"/>
  <c r="K34" i="80"/>
  <c r="J34" i="80"/>
  <c r="I34" i="80"/>
  <c r="H34" i="80"/>
  <c r="G34" i="80"/>
  <c r="F34" i="80"/>
  <c r="T44" i="80" l="1"/>
  <c r="S44" i="80"/>
  <c r="R44" i="80"/>
  <c r="Q44" i="80"/>
  <c r="P44" i="80"/>
  <c r="O44" i="80"/>
  <c r="N44" i="80"/>
  <c r="M44" i="80"/>
  <c r="L44" i="80"/>
  <c r="K44" i="80"/>
  <c r="J44" i="80"/>
  <c r="I44" i="80"/>
  <c r="H44" i="80"/>
  <c r="G44" i="80"/>
  <c r="F44" i="80"/>
  <c r="T20" i="80"/>
  <c r="S20" i="80"/>
  <c r="R20" i="80"/>
  <c r="Q20" i="80"/>
  <c r="P20" i="80"/>
  <c r="O20" i="80"/>
  <c r="N20" i="80"/>
  <c r="M20" i="80"/>
  <c r="L20" i="80"/>
  <c r="K20" i="80"/>
  <c r="J20" i="80"/>
  <c r="I20" i="80"/>
  <c r="H20" i="80"/>
  <c r="G20" i="80"/>
  <c r="F20" i="80"/>
  <c r="G35" i="67"/>
  <c r="C35" i="67"/>
  <c r="G10" i="67"/>
  <c r="E10" i="67"/>
  <c r="D10" i="67"/>
  <c r="C10" i="67"/>
  <c r="E90" i="59" l="1"/>
  <c r="T32" i="80"/>
  <c r="S32" i="80"/>
  <c r="R32" i="80"/>
  <c r="Q32" i="80"/>
  <c r="P32" i="80"/>
  <c r="O32" i="80"/>
  <c r="N32" i="80"/>
  <c r="M32" i="80"/>
  <c r="L32" i="80"/>
  <c r="K32" i="80"/>
  <c r="J32" i="80"/>
  <c r="I32" i="80"/>
  <c r="H32" i="80"/>
  <c r="G32" i="80"/>
  <c r="F32" i="80"/>
  <c r="T8" i="80"/>
  <c r="S8" i="80"/>
  <c r="R8" i="80"/>
  <c r="Q8" i="80"/>
  <c r="P8" i="80"/>
  <c r="O8" i="80"/>
  <c r="N8" i="80"/>
  <c r="M8" i="80"/>
  <c r="L8" i="80"/>
  <c r="K8" i="80"/>
  <c r="J8" i="80"/>
  <c r="I8" i="80"/>
  <c r="H8" i="80"/>
  <c r="G8" i="80"/>
  <c r="F8" i="80"/>
  <c r="E8" i="80" l="1"/>
  <c r="C8" i="80"/>
  <c r="D8" i="80"/>
  <c r="G145" i="77"/>
  <c r="F145" i="77"/>
  <c r="I145" i="77"/>
  <c r="E420" i="59" l="1"/>
  <c r="H584" i="50"/>
  <c r="D33" i="70" l="1"/>
  <c r="T46" i="80"/>
  <c r="S46" i="80"/>
  <c r="R46" i="80"/>
  <c r="Q46" i="80"/>
  <c r="P46" i="80"/>
  <c r="O46" i="80"/>
  <c r="K46" i="80"/>
  <c r="I46" i="80"/>
  <c r="J46" i="80"/>
  <c r="H46" i="80"/>
  <c r="G46" i="80"/>
  <c r="F46" i="80"/>
  <c r="T22" i="80"/>
  <c r="S22" i="80"/>
  <c r="R22" i="80"/>
  <c r="Q22" i="80"/>
  <c r="P22" i="80"/>
  <c r="E46" i="80" l="1"/>
  <c r="G38" i="67"/>
  <c r="F38" i="67"/>
  <c r="C38" i="67"/>
  <c r="G13" i="67"/>
  <c r="F13" i="67"/>
  <c r="D13" i="67"/>
  <c r="C13" i="67"/>
  <c r="E156" i="59"/>
  <c r="H242" i="50"/>
  <c r="C243" i="50"/>
  <c r="T35" i="80"/>
  <c r="S35" i="80"/>
  <c r="R35" i="80"/>
  <c r="Q35" i="80"/>
  <c r="P35" i="80"/>
  <c r="O35" i="80"/>
  <c r="N35" i="80"/>
  <c r="M35" i="80"/>
  <c r="L35" i="80"/>
  <c r="K35" i="80"/>
  <c r="J35" i="80"/>
  <c r="I35" i="80"/>
  <c r="H35" i="80"/>
  <c r="G35" i="80"/>
  <c r="F35" i="80"/>
  <c r="T11" i="80"/>
  <c r="S11" i="80"/>
  <c r="R11" i="80"/>
  <c r="Q11" i="80"/>
  <c r="P11" i="80"/>
  <c r="O11" i="80"/>
  <c r="N11" i="80"/>
  <c r="M11" i="80"/>
  <c r="L11" i="80"/>
  <c r="K11" i="80"/>
  <c r="J11" i="80"/>
  <c r="I11" i="80"/>
  <c r="H11" i="80"/>
  <c r="G11" i="80"/>
  <c r="F11" i="80"/>
  <c r="E12" i="4" l="1"/>
  <c r="C245" i="50"/>
  <c r="C20" i="67" l="1"/>
  <c r="E129" i="48"/>
  <c r="F129" i="48"/>
  <c r="E128" i="48"/>
  <c r="F128" i="48"/>
  <c r="E126" i="48"/>
  <c r="F126" i="48"/>
  <c r="L41" i="80"/>
  <c r="F132" i="48" l="1"/>
  <c r="F127" i="48"/>
  <c r="F130" i="48" s="1"/>
  <c r="E127" i="48"/>
  <c r="E130" i="48" s="1"/>
  <c r="E132" i="48"/>
  <c r="E19" i="4"/>
  <c r="F133" i="48" l="1"/>
  <c r="E133" i="48"/>
  <c r="E21" i="4" l="1"/>
  <c r="F135" i="60"/>
  <c r="F138" i="60" s="1"/>
  <c r="F140" i="60" s="1"/>
  <c r="G138" i="60"/>
  <c r="G140" i="60" l="1"/>
  <c r="E327" i="59"/>
  <c r="E316" i="59"/>
  <c r="N47" i="80"/>
  <c r="L47" i="80"/>
  <c r="K47" i="80"/>
  <c r="I47" i="80"/>
  <c r="H47" i="80"/>
  <c r="F47" i="80"/>
  <c r="T23" i="80"/>
  <c r="R23" i="80"/>
  <c r="Q23" i="80"/>
  <c r="O23" i="80"/>
  <c r="N23" i="80"/>
  <c r="M23" i="80"/>
  <c r="L23" i="80"/>
  <c r="K23" i="80"/>
  <c r="J23" i="80"/>
  <c r="I23" i="80"/>
  <c r="H23" i="80"/>
  <c r="G23" i="80"/>
  <c r="F23" i="80"/>
  <c r="E47" i="80" l="1"/>
  <c r="E332" i="59"/>
  <c r="G28" i="66" l="1"/>
  <c r="B151" i="65"/>
  <c r="H7" i="73" l="1"/>
  <c r="E310" i="59"/>
  <c r="G415" i="50"/>
  <c r="G414" i="50"/>
  <c r="E415" i="50"/>
  <c r="C416" i="50"/>
  <c r="F408" i="50"/>
  <c r="F410" i="50" s="1"/>
  <c r="F416" i="50" s="1"/>
  <c r="F425" i="50" s="1"/>
  <c r="F427" i="50" s="1"/>
  <c r="F429" i="50" s="1"/>
  <c r="G408" i="50"/>
  <c r="G410" i="50" s="1"/>
  <c r="D416" i="50"/>
  <c r="D425" i="50" s="1"/>
  <c r="D427" i="50" s="1"/>
  <c r="D429" i="50" s="1"/>
  <c r="D56" i="70"/>
  <c r="D29" i="70"/>
  <c r="D36" i="70" s="1"/>
  <c r="D10" i="70" s="1"/>
  <c r="C29" i="70"/>
  <c r="C36" i="70" s="1"/>
  <c r="C10" i="70" s="1"/>
  <c r="T42" i="80"/>
  <c r="N42" i="80"/>
  <c r="K42" i="80"/>
  <c r="H42" i="80"/>
  <c r="S42" i="80"/>
  <c r="M42" i="80"/>
  <c r="J42" i="80"/>
  <c r="G42" i="80"/>
  <c r="R42" i="80"/>
  <c r="L42" i="80"/>
  <c r="I42" i="80"/>
  <c r="F42" i="80"/>
  <c r="T18" i="80"/>
  <c r="T25" i="80" s="1"/>
  <c r="N18" i="80"/>
  <c r="N25" i="80" s="1"/>
  <c r="K18" i="80"/>
  <c r="K25" i="80" s="1"/>
  <c r="H18" i="80"/>
  <c r="H25" i="80" s="1"/>
  <c r="S18" i="80"/>
  <c r="S25" i="80" s="1"/>
  <c r="M18" i="80"/>
  <c r="M25" i="80" s="1"/>
  <c r="J18" i="80"/>
  <c r="J25" i="80" s="1"/>
  <c r="G18" i="80"/>
  <c r="G25" i="80" s="1"/>
  <c r="R18" i="80"/>
  <c r="R25" i="80" s="1"/>
  <c r="O18" i="80"/>
  <c r="L18" i="80"/>
  <c r="L25" i="80" s="1"/>
  <c r="I18" i="80"/>
  <c r="I25" i="80" s="1"/>
  <c r="F18" i="80"/>
  <c r="F25" i="80" s="1"/>
  <c r="F22" i="59"/>
  <c r="F20" i="59"/>
  <c r="F5" i="59"/>
  <c r="E145" i="79"/>
  <c r="F145" i="79"/>
  <c r="G145" i="79"/>
  <c r="H145" i="79"/>
  <c r="E136" i="79"/>
  <c r="F136" i="79"/>
  <c r="G136" i="79"/>
  <c r="H136" i="79"/>
  <c r="E118" i="79"/>
  <c r="F118" i="79"/>
  <c r="G118" i="79"/>
  <c r="H118" i="79"/>
  <c r="E109" i="79"/>
  <c r="F109" i="79"/>
  <c r="G109" i="79"/>
  <c r="H109" i="79"/>
  <c r="E100" i="79"/>
  <c r="F100" i="79"/>
  <c r="G100" i="79"/>
  <c r="H100" i="79"/>
  <c r="E91" i="79"/>
  <c r="F91" i="79"/>
  <c r="G91" i="79"/>
  <c r="E82" i="79"/>
  <c r="F82" i="79"/>
  <c r="G82" i="79"/>
  <c r="H82" i="79"/>
  <c r="H145" i="77"/>
  <c r="E136" i="77"/>
  <c r="F136" i="77"/>
  <c r="G136" i="77"/>
  <c r="H136" i="77"/>
  <c r="I136" i="77"/>
  <c r="E118" i="77"/>
  <c r="F118" i="77"/>
  <c r="G118" i="77"/>
  <c r="H118" i="77"/>
  <c r="I118" i="77"/>
  <c r="E109" i="77"/>
  <c r="F109" i="77"/>
  <c r="G109" i="77"/>
  <c r="H109" i="77"/>
  <c r="I109" i="77"/>
  <c r="E91" i="77"/>
  <c r="F91" i="77"/>
  <c r="G91" i="77"/>
  <c r="H91" i="77"/>
  <c r="I91" i="77"/>
  <c r="E82" i="77"/>
  <c r="F82" i="77"/>
  <c r="G82" i="77"/>
  <c r="H82" i="77"/>
  <c r="I82" i="77"/>
  <c r="F10" i="68"/>
  <c r="E10" i="68"/>
  <c r="F9" i="68"/>
  <c r="E9" i="68"/>
  <c r="F8" i="68"/>
  <c r="E8" i="68"/>
  <c r="F7" i="68"/>
  <c r="E7" i="68"/>
  <c r="F6" i="68"/>
  <c r="E6" i="68"/>
  <c r="F192" i="68"/>
  <c r="E192" i="68"/>
  <c r="F182" i="68"/>
  <c r="E182" i="68"/>
  <c r="F172" i="68"/>
  <c r="E172" i="68"/>
  <c r="F162" i="68"/>
  <c r="E162" i="68"/>
  <c r="F152" i="68"/>
  <c r="E152" i="68"/>
  <c r="F142" i="68"/>
  <c r="E142" i="68"/>
  <c r="F132" i="68"/>
  <c r="E132" i="68"/>
  <c r="F122" i="68"/>
  <c r="E122" i="68"/>
  <c r="F112" i="68"/>
  <c r="E112" i="68"/>
  <c r="F102" i="68"/>
  <c r="E102" i="68"/>
  <c r="F92" i="68"/>
  <c r="E92" i="68"/>
  <c r="F82" i="68"/>
  <c r="E82" i="68"/>
  <c r="F72" i="68"/>
  <c r="E72" i="68"/>
  <c r="F62" i="68"/>
  <c r="F52" i="68"/>
  <c r="E52" i="68"/>
  <c r="F42" i="68"/>
  <c r="F32" i="68"/>
  <c r="E32" i="68"/>
  <c r="F22" i="68"/>
  <c r="E22" i="68"/>
  <c r="E22" i="59"/>
  <c r="E21" i="59"/>
  <c r="G21" i="59" s="1"/>
  <c r="E20" i="59"/>
  <c r="E19" i="59"/>
  <c r="G19" i="59" s="1"/>
  <c r="E18" i="59"/>
  <c r="G18" i="59" s="1"/>
  <c r="J7" i="59"/>
  <c r="E15" i="59"/>
  <c r="G15" i="59" s="1"/>
  <c r="E14" i="59"/>
  <c r="G14" i="59" s="1"/>
  <c r="E13" i="59"/>
  <c r="G13" i="59" s="1"/>
  <c r="E12" i="59"/>
  <c r="G12" i="59" s="1"/>
  <c r="E10" i="59"/>
  <c r="E9" i="59"/>
  <c r="G9" i="59" s="1"/>
  <c r="E7" i="59"/>
  <c r="E6" i="59"/>
  <c r="G6" i="59" s="1"/>
  <c r="E5" i="59"/>
  <c r="E36" i="70"/>
  <c r="G10" i="70" s="1"/>
  <c r="C7" i="80"/>
  <c r="C6" i="80"/>
  <c r="Q25" i="80"/>
  <c r="P25" i="80"/>
  <c r="O25" i="80"/>
  <c r="E24" i="80"/>
  <c r="D24" i="80"/>
  <c r="C24" i="80"/>
  <c r="E23" i="80"/>
  <c r="D23" i="80"/>
  <c r="C23" i="80"/>
  <c r="E22" i="80"/>
  <c r="D22" i="80"/>
  <c r="C22" i="80"/>
  <c r="E21" i="80"/>
  <c r="D21" i="80"/>
  <c r="C21" i="80"/>
  <c r="E20" i="80"/>
  <c r="D20" i="80"/>
  <c r="C20" i="80"/>
  <c r="E19" i="80"/>
  <c r="D19" i="80"/>
  <c r="C19" i="80"/>
  <c r="E17" i="80"/>
  <c r="D17" i="80"/>
  <c r="C17" i="80"/>
  <c r="E16" i="80"/>
  <c r="D16" i="80"/>
  <c r="C16" i="80"/>
  <c r="D15" i="80"/>
  <c r="C15" i="80"/>
  <c r="E14" i="80"/>
  <c r="D14" i="80"/>
  <c r="C14" i="80"/>
  <c r="E13" i="80"/>
  <c r="D13" i="80"/>
  <c r="C13" i="80"/>
  <c r="E12" i="80"/>
  <c r="D12" i="80"/>
  <c r="C12" i="80"/>
  <c r="E11" i="80"/>
  <c r="D11" i="80"/>
  <c r="C11" i="80"/>
  <c r="C10" i="80"/>
  <c r="E9" i="80"/>
  <c r="D9" i="80"/>
  <c r="C9" i="80"/>
  <c r="D7" i="80"/>
  <c r="E6" i="80"/>
  <c r="D6" i="80"/>
  <c r="C30" i="80"/>
  <c r="D30" i="80"/>
  <c r="E30" i="80"/>
  <c r="E11" i="68" l="1"/>
  <c r="F11" i="68"/>
  <c r="E4" i="59"/>
  <c r="J4" i="59" s="1"/>
  <c r="C425" i="50"/>
  <c r="C427" i="50" s="1"/>
  <c r="C429" i="50" s="1"/>
  <c r="E8" i="59"/>
  <c r="G8" i="59" s="1"/>
  <c r="G10" i="59"/>
  <c r="G5" i="59"/>
  <c r="G22" i="59"/>
  <c r="F128" i="60"/>
  <c r="F130" i="60" s="1"/>
  <c r="G128" i="60"/>
  <c r="G130" i="60" s="1"/>
  <c r="G416" i="50"/>
  <c r="G425" i="50" s="1"/>
  <c r="G427" i="50" s="1"/>
  <c r="G429" i="50" s="1"/>
  <c r="E416" i="50"/>
  <c r="E425" i="50" s="1"/>
  <c r="E427" i="50" s="1"/>
  <c r="E429" i="50" s="1"/>
  <c r="E128" i="60"/>
  <c r="E130" i="60" s="1"/>
  <c r="D128" i="60"/>
  <c r="D130" i="60" s="1"/>
  <c r="E18" i="80"/>
  <c r="E25" i="80" s="1"/>
  <c r="I7" i="73"/>
  <c r="E20" i="4"/>
  <c r="G22" i="4"/>
  <c r="C18" i="80"/>
  <c r="C25" i="80" s="1"/>
  <c r="J9" i="59"/>
  <c r="G20" i="59"/>
  <c r="F7" i="59"/>
  <c r="F4" i="59" s="1"/>
  <c r="F23" i="59" s="1"/>
  <c r="B27" i="47"/>
  <c r="E17" i="59"/>
  <c r="E11" i="59"/>
  <c r="G11" i="59" s="1"/>
  <c r="D18" i="80"/>
  <c r="D25" i="80" s="1"/>
  <c r="J5" i="59" l="1"/>
  <c r="J6" i="59"/>
  <c r="H20" i="4"/>
  <c r="J8" i="59"/>
  <c r="G17" i="59"/>
  <c r="I13" i="73"/>
  <c r="G8" i="4"/>
  <c r="G13" i="4"/>
  <c r="G7" i="4"/>
  <c r="G15" i="4"/>
  <c r="G10" i="4"/>
  <c r="G6" i="4"/>
  <c r="G18" i="4"/>
  <c r="G17" i="4"/>
  <c r="G16" i="4"/>
  <c r="G11" i="4"/>
  <c r="G25" i="4"/>
  <c r="G24" i="4"/>
  <c r="G14" i="4"/>
  <c r="G23" i="4"/>
  <c r="G9" i="4"/>
  <c r="G12" i="4"/>
  <c r="G19" i="4"/>
  <c r="G21" i="4"/>
  <c r="G20" i="4"/>
  <c r="G4" i="59"/>
  <c r="G7" i="59"/>
  <c r="E23" i="59"/>
  <c r="H37" i="87"/>
  <c r="J10" i="59" l="1"/>
  <c r="K4" i="59" s="1"/>
  <c r="G23" i="59"/>
  <c r="H21" i="4"/>
  <c r="H23" i="4"/>
  <c r="H16" i="4"/>
  <c r="H14" i="4"/>
  <c r="H12" i="4"/>
  <c r="H10" i="4"/>
  <c r="H8" i="4"/>
  <c r="H6" i="4"/>
  <c r="H22" i="4"/>
  <c r="H24" i="4"/>
  <c r="H15" i="4"/>
  <c r="H13" i="4"/>
  <c r="H11" i="4"/>
  <c r="H9" i="4"/>
  <c r="H7" i="4"/>
  <c r="H18" i="4"/>
  <c r="H25" i="4"/>
  <c r="H17" i="4"/>
  <c r="H19" i="4"/>
  <c r="E27" i="47"/>
  <c r="G37" i="87"/>
  <c r="K7" i="59" l="1"/>
  <c r="K5" i="59"/>
  <c r="K8" i="59"/>
  <c r="K6" i="59"/>
  <c r="K9" i="59"/>
  <c r="H593" i="50"/>
  <c r="H591" i="50"/>
  <c r="H589" i="50"/>
  <c r="H588" i="50"/>
  <c r="H587" i="50"/>
  <c r="H583" i="50"/>
  <c r="H582" i="50"/>
  <c r="H580" i="50"/>
  <c r="H579" i="50"/>
  <c r="H578" i="50"/>
  <c r="H577" i="50"/>
  <c r="H576" i="50"/>
  <c r="H574" i="50"/>
  <c r="G573" i="50"/>
  <c r="G575" i="50" s="1"/>
  <c r="F573" i="50"/>
  <c r="F575" i="50" s="1"/>
  <c r="E573" i="50"/>
  <c r="E575" i="50" s="1"/>
  <c r="D573" i="50"/>
  <c r="D575" i="50" s="1"/>
  <c r="C573" i="50"/>
  <c r="C575" i="50" s="1"/>
  <c r="H572" i="50"/>
  <c r="H569" i="50"/>
  <c r="H550" i="50"/>
  <c r="H549" i="50"/>
  <c r="H547" i="50"/>
  <c r="H546" i="50"/>
  <c r="H545" i="50"/>
  <c r="H544" i="50"/>
  <c r="H543" i="50"/>
  <c r="H541" i="50"/>
  <c r="G540" i="50"/>
  <c r="G542" i="50" s="1"/>
  <c r="G548" i="50" s="1"/>
  <c r="G557" i="50" s="1"/>
  <c r="G559" i="50" s="1"/>
  <c r="G561" i="50" s="1"/>
  <c r="F540" i="50"/>
  <c r="F542" i="50" s="1"/>
  <c r="E540" i="50"/>
  <c r="E542" i="50" s="1"/>
  <c r="E548" i="50" s="1"/>
  <c r="E557" i="50" s="1"/>
  <c r="E559" i="50" s="1"/>
  <c r="E561" i="50" s="1"/>
  <c r="D540" i="50"/>
  <c r="D542" i="50" s="1"/>
  <c r="H539" i="50"/>
  <c r="H536" i="50"/>
  <c r="H494" i="50"/>
  <c r="H492" i="50"/>
  <c r="H490" i="50"/>
  <c r="H489" i="50"/>
  <c r="H488" i="50"/>
  <c r="H487" i="50"/>
  <c r="H486" i="50"/>
  <c r="H485" i="50"/>
  <c r="H484" i="50"/>
  <c r="H483" i="50"/>
  <c r="H481" i="50"/>
  <c r="H480" i="50"/>
  <c r="H479" i="50"/>
  <c r="H478" i="50"/>
  <c r="H477" i="50"/>
  <c r="H475" i="50"/>
  <c r="G476" i="50"/>
  <c r="F474" i="50"/>
  <c r="E476" i="50"/>
  <c r="E482" i="50" s="1"/>
  <c r="D476" i="50"/>
  <c r="C476" i="50"/>
  <c r="C482" i="50" s="1"/>
  <c r="H473" i="50"/>
  <c r="H470" i="50"/>
  <c r="H428" i="50"/>
  <c r="H426" i="50"/>
  <c r="H424" i="50"/>
  <c r="H423" i="50"/>
  <c r="H422" i="50"/>
  <c r="H421" i="50"/>
  <c r="H420" i="50"/>
  <c r="H419" i="50"/>
  <c r="H418" i="50"/>
  <c r="H417" i="50"/>
  <c r="H415" i="50"/>
  <c r="H414" i="50"/>
  <c r="H413" i="50"/>
  <c r="H412" i="50"/>
  <c r="H411" i="50"/>
  <c r="H409" i="50"/>
  <c r="H407" i="50"/>
  <c r="H404" i="50"/>
  <c r="H395" i="50"/>
  <c r="H393" i="50"/>
  <c r="H391" i="50"/>
  <c r="H390" i="50"/>
  <c r="H389" i="50"/>
  <c r="H388" i="50"/>
  <c r="H387" i="50"/>
  <c r="H386" i="50"/>
  <c r="H385" i="50"/>
  <c r="H384" i="50"/>
  <c r="H382" i="50"/>
  <c r="H381" i="50"/>
  <c r="H380" i="50"/>
  <c r="H379" i="50"/>
  <c r="H378" i="50"/>
  <c r="H376" i="50"/>
  <c r="G375" i="50"/>
  <c r="G377" i="50" s="1"/>
  <c r="F375" i="50"/>
  <c r="F377" i="50" s="1"/>
  <c r="F383" i="50" s="1"/>
  <c r="F392" i="50" s="1"/>
  <c r="F394" i="50" s="1"/>
  <c r="F396" i="50" s="1"/>
  <c r="E375" i="50"/>
  <c r="E377" i="50" s="1"/>
  <c r="D375" i="50"/>
  <c r="D377" i="50" s="1"/>
  <c r="D383" i="50" s="1"/>
  <c r="D392" i="50" s="1"/>
  <c r="D394" i="50" s="1"/>
  <c r="D396" i="50" s="1"/>
  <c r="C375" i="50"/>
  <c r="C377" i="50" s="1"/>
  <c r="H374" i="50"/>
  <c r="H371" i="50"/>
  <c r="H358" i="50"/>
  <c r="H356" i="50"/>
  <c r="H352" i="50"/>
  <c r="H351" i="50"/>
  <c r="H349" i="50"/>
  <c r="H348" i="50"/>
  <c r="H347" i="50"/>
  <c r="H346" i="50"/>
  <c r="H345" i="50"/>
  <c r="H343" i="50"/>
  <c r="G342" i="50"/>
  <c r="G344" i="50" s="1"/>
  <c r="F342" i="50"/>
  <c r="F344" i="50" s="1"/>
  <c r="E342" i="50"/>
  <c r="E344" i="50" s="1"/>
  <c r="D342" i="50"/>
  <c r="D344" i="50" s="1"/>
  <c r="C342" i="50"/>
  <c r="C344" i="50" s="1"/>
  <c r="C350" i="50" s="1"/>
  <c r="H341" i="50"/>
  <c r="H338" i="50"/>
  <c r="H327" i="50"/>
  <c r="H319" i="50"/>
  <c r="H318" i="50"/>
  <c r="H316" i="50"/>
  <c r="H315" i="50"/>
  <c r="H314" i="50"/>
  <c r="H313" i="50"/>
  <c r="H312" i="50"/>
  <c r="H310" i="50"/>
  <c r="G309" i="50"/>
  <c r="G311" i="50" s="1"/>
  <c r="F309" i="50"/>
  <c r="F311" i="50" s="1"/>
  <c r="E309" i="50"/>
  <c r="E311" i="50" s="1"/>
  <c r="D309" i="50"/>
  <c r="D311" i="50" s="1"/>
  <c r="C311" i="50"/>
  <c r="H308" i="50"/>
  <c r="H305" i="50"/>
  <c r="H296" i="50"/>
  <c r="H294" i="50"/>
  <c r="H292" i="50"/>
  <c r="H291" i="50"/>
  <c r="H290" i="50"/>
  <c r="H289" i="50"/>
  <c r="H288" i="50"/>
  <c r="H287" i="50"/>
  <c r="H286" i="50"/>
  <c r="H285" i="50"/>
  <c r="H283" i="50"/>
  <c r="H282" i="50"/>
  <c r="H281" i="50"/>
  <c r="H280" i="50"/>
  <c r="H279" i="50"/>
  <c r="H277" i="50"/>
  <c r="G276" i="50"/>
  <c r="G278" i="50" s="1"/>
  <c r="F276" i="50"/>
  <c r="F278" i="50" s="1"/>
  <c r="E276" i="50"/>
  <c r="E278" i="50" s="1"/>
  <c r="D276" i="50"/>
  <c r="D278" i="50" s="1"/>
  <c r="C276" i="50"/>
  <c r="C278" i="50" s="1"/>
  <c r="H275" i="50"/>
  <c r="H272" i="50"/>
  <c r="H263" i="50"/>
  <c r="H261" i="50"/>
  <c r="H259" i="50"/>
  <c r="H258" i="50"/>
  <c r="H257" i="50"/>
  <c r="H256" i="50"/>
  <c r="H255" i="50"/>
  <c r="H254" i="50"/>
  <c r="H253" i="50"/>
  <c r="H252" i="50"/>
  <c r="H250" i="50"/>
  <c r="H249" i="50"/>
  <c r="H248" i="50"/>
  <c r="H247" i="50"/>
  <c r="H246" i="50"/>
  <c r="H244" i="50"/>
  <c r="G243" i="50"/>
  <c r="G245" i="50" s="1"/>
  <c r="F243" i="50"/>
  <c r="F245" i="50" s="1"/>
  <c r="E243" i="50"/>
  <c r="E245" i="50" s="1"/>
  <c r="D243" i="50"/>
  <c r="H239" i="50"/>
  <c r="H187" i="50"/>
  <c r="H186" i="50"/>
  <c r="H184" i="50"/>
  <c r="H183" i="50"/>
  <c r="H182" i="50"/>
  <c r="H181" i="50"/>
  <c r="H180" i="50"/>
  <c r="H178" i="50"/>
  <c r="H179" i="50" s="1"/>
  <c r="F30" i="87"/>
  <c r="E10" i="69"/>
  <c r="D10" i="69"/>
  <c r="E9" i="69"/>
  <c r="D9" i="69"/>
  <c r="E8" i="69"/>
  <c r="D8" i="69"/>
  <c r="E7" i="69"/>
  <c r="D7" i="69"/>
  <c r="E6" i="69"/>
  <c r="D6" i="69"/>
  <c r="D11" i="69" s="1"/>
  <c r="E157" i="69"/>
  <c r="D157" i="69"/>
  <c r="E149" i="69"/>
  <c r="D149" i="69"/>
  <c r="E141" i="69"/>
  <c r="D141" i="69"/>
  <c r="E133" i="69"/>
  <c r="D133" i="69"/>
  <c r="E125" i="69"/>
  <c r="D125" i="69"/>
  <c r="E117" i="69"/>
  <c r="D117" i="69"/>
  <c r="E109" i="69"/>
  <c r="D109" i="69"/>
  <c r="E101" i="69"/>
  <c r="D101" i="69"/>
  <c r="E93" i="69"/>
  <c r="D93" i="69"/>
  <c r="E85" i="69"/>
  <c r="D85" i="69"/>
  <c r="E77" i="69"/>
  <c r="D77" i="69"/>
  <c r="E69" i="69"/>
  <c r="D69" i="69"/>
  <c r="E61" i="69"/>
  <c r="D61" i="69"/>
  <c r="E45" i="69"/>
  <c r="D45" i="69"/>
  <c r="E37" i="69"/>
  <c r="D37" i="69"/>
  <c r="E28" i="69"/>
  <c r="D28" i="69"/>
  <c r="E20" i="69"/>
  <c r="D20" i="69"/>
  <c r="F18" i="87"/>
  <c r="E18" i="87"/>
  <c r="D18" i="87"/>
  <c r="C18" i="87"/>
  <c r="F17" i="87"/>
  <c r="E17" i="87"/>
  <c r="D17" i="87"/>
  <c r="C17" i="87"/>
  <c r="F16" i="87"/>
  <c r="E16" i="87"/>
  <c r="D16" i="87"/>
  <c r="C16" i="87"/>
  <c r="F15" i="87"/>
  <c r="E15" i="87"/>
  <c r="D15" i="87"/>
  <c r="C15" i="87"/>
  <c r="F10" i="87"/>
  <c r="E10" i="87"/>
  <c r="D10" i="87"/>
  <c r="C10" i="87"/>
  <c r="F9" i="87"/>
  <c r="E9" i="87"/>
  <c r="D9" i="87"/>
  <c r="C9" i="87"/>
  <c r="F8" i="87"/>
  <c r="E8" i="87"/>
  <c r="D8" i="87"/>
  <c r="C8" i="87"/>
  <c r="F7" i="87"/>
  <c r="F11" i="87" s="1"/>
  <c r="E7" i="87"/>
  <c r="E11" i="87" s="1"/>
  <c r="D7" i="87"/>
  <c r="D11" i="87" s="1"/>
  <c r="C7" i="87"/>
  <c r="C11" i="87" s="1"/>
  <c r="G6" i="81"/>
  <c r="G7" i="81"/>
  <c r="G8" i="81"/>
  <c r="G9" i="81"/>
  <c r="G10" i="81"/>
  <c r="G11" i="81"/>
  <c r="G12" i="81"/>
  <c r="G13" i="81"/>
  <c r="G14" i="81"/>
  <c r="G15" i="81"/>
  <c r="G16" i="81"/>
  <c r="G17" i="81"/>
  <c r="G18" i="81"/>
  <c r="G19" i="81"/>
  <c r="G20" i="81"/>
  <c r="G21" i="81"/>
  <c r="G22" i="81"/>
  <c r="G5" i="81"/>
  <c r="D6" i="81"/>
  <c r="D7" i="81"/>
  <c r="D8" i="81"/>
  <c r="D9" i="81"/>
  <c r="D10" i="81"/>
  <c r="D11" i="81"/>
  <c r="D12" i="81"/>
  <c r="D13" i="81"/>
  <c r="D14" i="81"/>
  <c r="D15" i="81"/>
  <c r="D16" i="81"/>
  <c r="D17" i="81"/>
  <c r="D18" i="81"/>
  <c r="D19" i="81"/>
  <c r="D20" i="81"/>
  <c r="D21" i="81"/>
  <c r="D22" i="81"/>
  <c r="D5" i="81"/>
  <c r="G6" i="72"/>
  <c r="G7" i="72"/>
  <c r="G8" i="72"/>
  <c r="G9" i="72"/>
  <c r="G10" i="72"/>
  <c r="G11" i="72"/>
  <c r="G12" i="72"/>
  <c r="G13" i="72"/>
  <c r="G14" i="72"/>
  <c r="G15" i="72"/>
  <c r="G16" i="72"/>
  <c r="G17" i="72"/>
  <c r="G18" i="72"/>
  <c r="G19" i="72"/>
  <c r="G5" i="72"/>
  <c r="D6" i="72"/>
  <c r="D7" i="72"/>
  <c r="D8" i="72"/>
  <c r="D9" i="72"/>
  <c r="D10" i="72"/>
  <c r="D11" i="72"/>
  <c r="D12" i="72"/>
  <c r="D13" i="72"/>
  <c r="D14" i="72"/>
  <c r="D15" i="72"/>
  <c r="D16" i="72"/>
  <c r="D17" i="72"/>
  <c r="D18" i="72"/>
  <c r="D19" i="72"/>
  <c r="D5" i="72"/>
  <c r="H185" i="50" l="1"/>
  <c r="H194" i="50" s="1"/>
  <c r="H196" i="50" s="1"/>
  <c r="H198" i="50" s="1"/>
  <c r="E11" i="69"/>
  <c r="D30" i="87" s="1"/>
  <c r="D36" i="87" s="1"/>
  <c r="D482" i="50"/>
  <c r="D491" i="50" s="1"/>
  <c r="D493" i="50" s="1"/>
  <c r="D495" i="50" s="1"/>
  <c r="F25" i="59"/>
  <c r="G25" i="59" s="1"/>
  <c r="F476" i="50"/>
  <c r="F482" i="50" s="1"/>
  <c r="F491" i="50" s="1"/>
  <c r="F493" i="50" s="1"/>
  <c r="F495" i="50" s="1"/>
  <c r="H474" i="50"/>
  <c r="H575" i="50"/>
  <c r="H567" i="50" s="1"/>
  <c r="F31" i="87"/>
  <c r="G20" i="72"/>
  <c r="D20" i="72"/>
  <c r="D284" i="50"/>
  <c r="D293" i="50" s="1"/>
  <c r="D295" i="50" s="1"/>
  <c r="D297" i="50" s="1"/>
  <c r="F284" i="50"/>
  <c r="F293" i="50" s="1"/>
  <c r="F295" i="50" s="1"/>
  <c r="F297" i="50" s="1"/>
  <c r="C542" i="50"/>
  <c r="H542" i="50" s="1"/>
  <c r="H534" i="50" s="1"/>
  <c r="F36" i="87"/>
  <c r="D245" i="50"/>
  <c r="H245" i="50" s="1"/>
  <c r="H237" i="50" s="1"/>
  <c r="H243" i="50"/>
  <c r="E30" i="87"/>
  <c r="H171" i="50"/>
  <c r="C251" i="50"/>
  <c r="C260" i="50" s="1"/>
  <c r="E251" i="50"/>
  <c r="G251" i="50"/>
  <c r="C284" i="50"/>
  <c r="H278" i="50"/>
  <c r="H270" i="50" s="1"/>
  <c r="E284" i="50"/>
  <c r="E293" i="50" s="1"/>
  <c r="E295" i="50" s="1"/>
  <c r="E297" i="50" s="1"/>
  <c r="G284" i="50"/>
  <c r="G293" i="50" s="1"/>
  <c r="G295" i="50" s="1"/>
  <c r="G297" i="50" s="1"/>
  <c r="F251" i="50"/>
  <c r="D317" i="50"/>
  <c r="D326" i="50" s="1"/>
  <c r="D328" i="50" s="1"/>
  <c r="D330" i="50" s="1"/>
  <c r="F317" i="50"/>
  <c r="F326" i="50" s="1"/>
  <c r="F328" i="50" s="1"/>
  <c r="F330" i="50" s="1"/>
  <c r="H344" i="50"/>
  <c r="H336" i="50" s="1"/>
  <c r="E350" i="50"/>
  <c r="E359" i="50" s="1"/>
  <c r="E361" i="50" s="1"/>
  <c r="E363" i="50" s="1"/>
  <c r="G350" i="50"/>
  <c r="G359" i="50" s="1"/>
  <c r="G361" i="50" s="1"/>
  <c r="G363" i="50" s="1"/>
  <c r="C383" i="50"/>
  <c r="H377" i="50"/>
  <c r="H369" i="50" s="1"/>
  <c r="E383" i="50"/>
  <c r="E392" i="50" s="1"/>
  <c r="E394" i="50" s="1"/>
  <c r="E396" i="50" s="1"/>
  <c r="G383" i="50"/>
  <c r="G392" i="50" s="1"/>
  <c r="G394" i="50" s="1"/>
  <c r="G396" i="50" s="1"/>
  <c r="D581" i="50"/>
  <c r="D590" i="50" s="1"/>
  <c r="D592" i="50" s="1"/>
  <c r="D594" i="50" s="1"/>
  <c r="F581" i="50"/>
  <c r="F590" i="50" s="1"/>
  <c r="F592" i="50" s="1"/>
  <c r="F594" i="50" s="1"/>
  <c r="H276" i="50"/>
  <c r="C317" i="50"/>
  <c r="H311" i="50"/>
  <c r="H303" i="50" s="1"/>
  <c r="E317" i="50"/>
  <c r="E326" i="50" s="1"/>
  <c r="E328" i="50" s="1"/>
  <c r="E330" i="50" s="1"/>
  <c r="G317" i="50"/>
  <c r="G326" i="50" s="1"/>
  <c r="G328" i="50" s="1"/>
  <c r="G330" i="50" s="1"/>
  <c r="D350" i="50"/>
  <c r="D359" i="50" s="1"/>
  <c r="D361" i="50" s="1"/>
  <c r="D363" i="50" s="1"/>
  <c r="F350" i="50"/>
  <c r="F359" i="50" s="1"/>
  <c r="F361" i="50" s="1"/>
  <c r="F363" i="50" s="1"/>
  <c r="H416" i="50"/>
  <c r="E491" i="50"/>
  <c r="E493" i="50" s="1"/>
  <c r="E495" i="50" s="1"/>
  <c r="G482" i="50"/>
  <c r="G491" i="50" s="1"/>
  <c r="G493" i="50" s="1"/>
  <c r="G495" i="50" s="1"/>
  <c r="D548" i="50"/>
  <c r="D557" i="50" s="1"/>
  <c r="D559" i="50" s="1"/>
  <c r="D561" i="50" s="1"/>
  <c r="F548" i="50"/>
  <c r="F557" i="50" s="1"/>
  <c r="F559" i="50" s="1"/>
  <c r="F561" i="50" s="1"/>
  <c r="C581" i="50"/>
  <c r="E581" i="50"/>
  <c r="E590" i="50" s="1"/>
  <c r="E592" i="50" s="1"/>
  <c r="E594" i="50" s="1"/>
  <c r="G581" i="50"/>
  <c r="G590" i="50" s="1"/>
  <c r="G592" i="50" s="1"/>
  <c r="G594" i="50" s="1"/>
  <c r="H342" i="50"/>
  <c r="H408" i="50"/>
  <c r="H540" i="50"/>
  <c r="H573" i="50"/>
  <c r="H309" i="50"/>
  <c r="H375" i="50"/>
  <c r="H410" i="50"/>
  <c r="H402" i="50" s="1"/>
  <c r="C23" i="87"/>
  <c r="E23" i="87"/>
  <c r="C24" i="87"/>
  <c r="E24" i="87"/>
  <c r="C25" i="87"/>
  <c r="E25" i="87"/>
  <c r="C26" i="87"/>
  <c r="E26" i="87"/>
  <c r="D23" i="87"/>
  <c r="F23" i="87"/>
  <c r="D24" i="87"/>
  <c r="F24" i="87"/>
  <c r="D25" i="87"/>
  <c r="F25" i="87"/>
  <c r="D26" i="87"/>
  <c r="F26" i="87"/>
  <c r="D19" i="87"/>
  <c r="D27" i="87" s="1"/>
  <c r="F19" i="87"/>
  <c r="F27" i="87" s="1"/>
  <c r="C19" i="87"/>
  <c r="C27" i="87" s="1"/>
  <c r="E19" i="87"/>
  <c r="E27" i="87" s="1"/>
  <c r="D31" i="87" l="1"/>
  <c r="D33" i="87" s="1"/>
  <c r="D251" i="50"/>
  <c r="H476" i="50"/>
  <c r="H468" i="50" s="1"/>
  <c r="F260" i="50"/>
  <c r="F262" i="50" s="1"/>
  <c r="F264" i="50" s="1"/>
  <c r="G260" i="50"/>
  <c r="G262" i="50" s="1"/>
  <c r="G264" i="50" s="1"/>
  <c r="D260" i="50"/>
  <c r="D262" i="50" s="1"/>
  <c r="D264" i="50" s="1"/>
  <c r="E260" i="50"/>
  <c r="E262" i="50" s="1"/>
  <c r="E264" i="50" s="1"/>
  <c r="H317" i="50"/>
  <c r="H326" i="50" s="1"/>
  <c r="H328" i="50" s="1"/>
  <c r="H330" i="50" s="1"/>
  <c r="F35" i="87"/>
  <c r="E35" i="87"/>
  <c r="D35" i="87"/>
  <c r="F33" i="87"/>
  <c r="C548" i="50"/>
  <c r="C557" i="50" s="1"/>
  <c r="C559" i="50" s="1"/>
  <c r="E36" i="87"/>
  <c r="E31" i="87"/>
  <c r="E33" i="87" s="1"/>
  <c r="H482" i="50"/>
  <c r="C491" i="50"/>
  <c r="H425" i="50"/>
  <c r="C326" i="50"/>
  <c r="C293" i="50"/>
  <c r="H293" i="50" s="1"/>
  <c r="H284" i="50"/>
  <c r="C590" i="50"/>
  <c r="H581" i="50"/>
  <c r="H590" i="50" s="1"/>
  <c r="H592" i="50" s="1"/>
  <c r="H594" i="50" s="1"/>
  <c r="H383" i="50"/>
  <c r="C392" i="50"/>
  <c r="C359" i="50"/>
  <c r="H350" i="50"/>
  <c r="H359" i="50" s="1"/>
  <c r="H361" i="50" s="1"/>
  <c r="H363" i="50" s="1"/>
  <c r="H251" i="50"/>
  <c r="R8" i="74"/>
  <c r="R7" i="74"/>
  <c r="H548" i="50" l="1"/>
  <c r="H557" i="50" s="1"/>
  <c r="H559" i="50" s="1"/>
  <c r="H561" i="50" s="1"/>
  <c r="G30" i="87"/>
  <c r="G36" i="87" s="1"/>
  <c r="M6" i="75"/>
  <c r="P10" i="75" s="1"/>
  <c r="M7" i="75"/>
  <c r="R9" i="74"/>
  <c r="C394" i="50"/>
  <c r="H392" i="50"/>
  <c r="C295" i="50"/>
  <c r="C561" i="50"/>
  <c r="H429" i="50"/>
  <c r="H427" i="50"/>
  <c r="C262" i="50"/>
  <c r="H260" i="50"/>
  <c r="C361" i="50"/>
  <c r="C592" i="50"/>
  <c r="C328" i="50"/>
  <c r="C493" i="50"/>
  <c r="H491" i="50"/>
  <c r="C495" i="50" l="1"/>
  <c r="H495" i="50" s="1"/>
  <c r="H493" i="50"/>
  <c r="C330" i="50"/>
  <c r="C594" i="50"/>
  <c r="C363" i="50"/>
  <c r="C264" i="50"/>
  <c r="H264" i="50" s="1"/>
  <c r="H262" i="50"/>
  <c r="C297" i="50"/>
  <c r="H297" i="50" s="1"/>
  <c r="H295" i="50"/>
  <c r="C396" i="50"/>
  <c r="H396" i="50" s="1"/>
  <c r="H394" i="50"/>
  <c r="D25" i="74" l="1"/>
  <c r="C5" i="72"/>
  <c r="C22" i="81"/>
  <c r="I8" i="74"/>
  <c r="I24" i="74"/>
  <c r="E17" i="85"/>
  <c r="B50" i="85"/>
  <c r="H8" i="67"/>
  <c r="H9" i="67"/>
  <c r="H10" i="67"/>
  <c r="H11" i="67"/>
  <c r="H12" i="67"/>
  <c r="H13" i="67"/>
  <c r="H14" i="67"/>
  <c r="H15" i="67"/>
  <c r="H16" i="67"/>
  <c r="H17" i="67"/>
  <c r="H18" i="67"/>
  <c r="H19" i="67"/>
  <c r="H20" i="67"/>
  <c r="H21" i="67"/>
  <c r="H22" i="67"/>
  <c r="H23" i="67"/>
  <c r="H24" i="67"/>
  <c r="H25" i="67"/>
  <c r="C26" i="67"/>
  <c r="D26" i="67"/>
  <c r="E26" i="67"/>
  <c r="F26" i="67"/>
  <c r="G26" i="67"/>
  <c r="H33" i="67"/>
  <c r="H34" i="67"/>
  <c r="H35" i="67"/>
  <c r="H36" i="67"/>
  <c r="H37" i="67"/>
  <c r="H38" i="67"/>
  <c r="H39" i="67"/>
  <c r="H40" i="67"/>
  <c r="H41" i="67"/>
  <c r="H42" i="67"/>
  <c r="H43" i="67"/>
  <c r="H44" i="67"/>
  <c r="H45" i="67"/>
  <c r="H46" i="67"/>
  <c r="H47" i="67"/>
  <c r="H48" i="67"/>
  <c r="H49" i="67"/>
  <c r="H50" i="67"/>
  <c r="C51" i="67"/>
  <c r="D51" i="67"/>
  <c r="E51" i="67"/>
  <c r="F51" i="67"/>
  <c r="G51" i="67"/>
  <c r="I8" i="67"/>
  <c r="H9" i="66"/>
  <c r="I9" i="67" s="1"/>
  <c r="H10" i="66"/>
  <c r="I10" i="67" s="1"/>
  <c r="H11" i="66"/>
  <c r="I11" i="67" s="1"/>
  <c r="H12" i="66"/>
  <c r="I12" i="67" s="1"/>
  <c r="H13" i="66"/>
  <c r="I13" i="67" s="1"/>
  <c r="H14" i="66"/>
  <c r="I14" i="67" s="1"/>
  <c r="H15" i="66"/>
  <c r="I15" i="67" s="1"/>
  <c r="H16" i="66"/>
  <c r="I16" i="67" s="1"/>
  <c r="H17" i="66"/>
  <c r="I17" i="67" s="1"/>
  <c r="H18" i="66"/>
  <c r="I18" i="67" s="1"/>
  <c r="J18" i="67" s="1"/>
  <c r="H19" i="66"/>
  <c r="I19" i="67" s="1"/>
  <c r="J19" i="67" s="1"/>
  <c r="H20" i="66"/>
  <c r="H21" i="66"/>
  <c r="I20" i="67" s="1"/>
  <c r="H22" i="66"/>
  <c r="I21" i="67" s="1"/>
  <c r="H23" i="66"/>
  <c r="H24" i="66"/>
  <c r="I23" i="67" s="1"/>
  <c r="H25" i="66"/>
  <c r="I24" i="67" s="1"/>
  <c r="H26" i="66"/>
  <c r="I25" i="67" s="1"/>
  <c r="H27" i="66"/>
  <c r="C28" i="66"/>
  <c r="E28" i="66"/>
  <c r="F28" i="66"/>
  <c r="H35" i="66"/>
  <c r="H36" i="66"/>
  <c r="I34" i="67" s="1"/>
  <c r="H37" i="66"/>
  <c r="I35" i="67" s="1"/>
  <c r="H38" i="66"/>
  <c r="I36" i="67" s="1"/>
  <c r="H39" i="66"/>
  <c r="I37" i="67" s="1"/>
  <c r="J37" i="67" s="1"/>
  <c r="H40" i="66"/>
  <c r="I38" i="67" s="1"/>
  <c r="H41" i="66"/>
  <c r="I39" i="67" s="1"/>
  <c r="H42" i="66"/>
  <c r="I40" i="67" s="1"/>
  <c r="J40" i="67" s="1"/>
  <c r="H43" i="66"/>
  <c r="I41" i="67" s="1"/>
  <c r="H44" i="66"/>
  <c r="I42" i="67" s="1"/>
  <c r="H45" i="66"/>
  <c r="I43" i="67" s="1"/>
  <c r="H46" i="66"/>
  <c r="I44" i="67" s="1"/>
  <c r="J44" i="67" s="1"/>
  <c r="H47" i="66"/>
  <c r="H48" i="66"/>
  <c r="I45" i="67" s="1"/>
  <c r="H49" i="66"/>
  <c r="G55" i="66"/>
  <c r="H50" i="66"/>
  <c r="I47" i="67" s="1"/>
  <c r="H51" i="66"/>
  <c r="I48" i="67" s="1"/>
  <c r="J48" i="67" s="1"/>
  <c r="H52" i="66"/>
  <c r="I49" i="67" s="1"/>
  <c r="J49" i="67" s="1"/>
  <c r="H53" i="66"/>
  <c r="I50" i="67" s="1"/>
  <c r="H54" i="66"/>
  <c r="C55" i="66"/>
  <c r="D55" i="66"/>
  <c r="E55" i="66"/>
  <c r="F55" i="66"/>
  <c r="C5" i="84"/>
  <c r="F5" i="84"/>
  <c r="B17" i="65"/>
  <c r="C17" i="65"/>
  <c r="D17" i="65"/>
  <c r="E17" i="65"/>
  <c r="B18" i="65"/>
  <c r="C18" i="65"/>
  <c r="D18" i="65"/>
  <c r="E18" i="65"/>
  <c r="F18" i="65"/>
  <c r="B19" i="65"/>
  <c r="C19" i="65"/>
  <c r="D19" i="65"/>
  <c r="E19" i="65"/>
  <c r="F19" i="65"/>
  <c r="B20" i="65"/>
  <c r="C20" i="65"/>
  <c r="D20" i="65"/>
  <c r="E20" i="65"/>
  <c r="F20" i="65"/>
  <c r="B21" i="65"/>
  <c r="C21" i="65"/>
  <c r="D21" i="65"/>
  <c r="E21" i="65"/>
  <c r="F21" i="65"/>
  <c r="C34" i="65"/>
  <c r="B43" i="65"/>
  <c r="C43" i="65"/>
  <c r="D43" i="65"/>
  <c r="E43" i="65"/>
  <c r="F43" i="65"/>
  <c r="B52" i="65"/>
  <c r="C52" i="65"/>
  <c r="D52" i="65"/>
  <c r="E52" i="65"/>
  <c r="F52" i="65"/>
  <c r="B61" i="65"/>
  <c r="C61" i="65"/>
  <c r="D61" i="65"/>
  <c r="E61" i="65"/>
  <c r="F61" i="65"/>
  <c r="B70" i="65"/>
  <c r="C70" i="65"/>
  <c r="D70" i="65"/>
  <c r="E70" i="65"/>
  <c r="F70" i="65"/>
  <c r="F17" i="65"/>
  <c r="C79" i="65"/>
  <c r="D79" i="65"/>
  <c r="E79" i="65"/>
  <c r="F79" i="65"/>
  <c r="B88" i="65"/>
  <c r="C88" i="65"/>
  <c r="D88" i="65"/>
  <c r="E88" i="65"/>
  <c r="F88" i="65"/>
  <c r="B97" i="65"/>
  <c r="C97" i="65"/>
  <c r="D97" i="65"/>
  <c r="E97" i="65"/>
  <c r="F97" i="65"/>
  <c r="B106" i="65"/>
  <c r="C106" i="65"/>
  <c r="D106" i="65"/>
  <c r="E106" i="65"/>
  <c r="F106" i="65"/>
  <c r="B115" i="65"/>
  <c r="C115" i="65"/>
  <c r="D115" i="65"/>
  <c r="E115" i="65"/>
  <c r="F115" i="65"/>
  <c r="B124" i="65"/>
  <c r="E124" i="65"/>
  <c r="F124" i="65"/>
  <c r="B133" i="65"/>
  <c r="C133" i="65"/>
  <c r="D133" i="65"/>
  <c r="E133" i="65"/>
  <c r="F133" i="65"/>
  <c r="B142" i="65"/>
  <c r="C142" i="65"/>
  <c r="D142" i="65"/>
  <c r="E142" i="65"/>
  <c r="F142" i="65"/>
  <c r="C151" i="65"/>
  <c r="D151" i="65"/>
  <c r="E151" i="65"/>
  <c r="F151" i="65"/>
  <c r="B160" i="65"/>
  <c r="C160" i="65"/>
  <c r="D160" i="65"/>
  <c r="E160" i="65"/>
  <c r="F160" i="65"/>
  <c r="B169" i="65"/>
  <c r="C169" i="65"/>
  <c r="D169" i="65"/>
  <c r="E169" i="65"/>
  <c r="F169" i="65"/>
  <c r="C178" i="65"/>
  <c r="D178" i="65"/>
  <c r="E178" i="65"/>
  <c r="F178" i="65"/>
  <c r="B187" i="65"/>
  <c r="C187" i="65"/>
  <c r="D187" i="65"/>
  <c r="E187" i="65"/>
  <c r="F187" i="65"/>
  <c r="B196" i="65"/>
  <c r="C196" i="65"/>
  <c r="D196" i="65"/>
  <c r="E196" i="65"/>
  <c r="F196" i="65"/>
  <c r="B205" i="65"/>
  <c r="C205" i="65"/>
  <c r="D205" i="65"/>
  <c r="E205" i="65"/>
  <c r="F205" i="65"/>
  <c r="B16" i="61"/>
  <c r="C16" i="61"/>
  <c r="B17" i="61"/>
  <c r="C17" i="61"/>
  <c r="B18" i="61"/>
  <c r="C18" i="61"/>
  <c r="B19" i="61"/>
  <c r="C19" i="61"/>
  <c r="D19" i="61"/>
  <c r="E19" i="61"/>
  <c r="B20" i="61"/>
  <c r="C20" i="61"/>
  <c r="D20" i="61"/>
  <c r="E20" i="61"/>
  <c r="B35" i="61"/>
  <c r="C35" i="61"/>
  <c r="D35" i="61"/>
  <c r="E35" i="61"/>
  <c r="F35" i="61"/>
  <c r="B46" i="61"/>
  <c r="C46" i="61"/>
  <c r="D46" i="61"/>
  <c r="E46" i="61"/>
  <c r="F46" i="61"/>
  <c r="B57" i="61"/>
  <c r="C57" i="61"/>
  <c r="D57" i="61"/>
  <c r="E57" i="61"/>
  <c r="F57" i="61"/>
  <c r="C68" i="61"/>
  <c r="D68" i="61"/>
  <c r="E68" i="61"/>
  <c r="F68" i="61"/>
  <c r="C79" i="61"/>
  <c r="D79" i="61"/>
  <c r="E79" i="61"/>
  <c r="F79" i="61"/>
  <c r="B90" i="61"/>
  <c r="C90" i="61"/>
  <c r="D90" i="61"/>
  <c r="D92" i="61" s="1"/>
  <c r="E90" i="61"/>
  <c r="E92" i="61" s="1"/>
  <c r="F90" i="61"/>
  <c r="F92" i="61" s="1"/>
  <c r="B101" i="61"/>
  <c r="C101" i="61"/>
  <c r="D101" i="61"/>
  <c r="E101" i="61"/>
  <c r="F101" i="61"/>
  <c r="B112" i="61"/>
  <c r="C112" i="61"/>
  <c r="D112" i="61"/>
  <c r="E112" i="61"/>
  <c r="F112" i="61"/>
  <c r="B123" i="61"/>
  <c r="C123" i="61"/>
  <c r="D123" i="61"/>
  <c r="E123" i="61"/>
  <c r="F123" i="61"/>
  <c r="B134" i="61"/>
  <c r="C134" i="61"/>
  <c r="D134" i="61"/>
  <c r="E134" i="61"/>
  <c r="F134" i="61"/>
  <c r="F16" i="61"/>
  <c r="E16" i="61"/>
  <c r="D16" i="61"/>
  <c r="F17" i="61"/>
  <c r="E17" i="61"/>
  <c r="D17" i="61"/>
  <c r="F18" i="61"/>
  <c r="E18" i="61"/>
  <c r="D18" i="61"/>
  <c r="C145" i="61"/>
  <c r="E145" i="61"/>
  <c r="F145" i="61"/>
  <c r="B156" i="61"/>
  <c r="C156" i="61"/>
  <c r="C158" i="61" s="1"/>
  <c r="D156" i="61"/>
  <c r="D158" i="61" s="1"/>
  <c r="E156" i="61"/>
  <c r="E158" i="61" s="1"/>
  <c r="F156" i="61"/>
  <c r="F158" i="61" s="1"/>
  <c r="B167" i="61"/>
  <c r="C167" i="61"/>
  <c r="C169" i="61" s="1"/>
  <c r="D167" i="61"/>
  <c r="D169" i="61" s="1"/>
  <c r="E167" i="61"/>
  <c r="E169" i="61" s="1"/>
  <c r="F167" i="61"/>
  <c r="B178" i="61"/>
  <c r="C178" i="61"/>
  <c r="D178" i="61"/>
  <c r="E178" i="61"/>
  <c r="F178" i="61"/>
  <c r="D189" i="61"/>
  <c r="D191" i="61" s="1"/>
  <c r="E189" i="61"/>
  <c r="F189" i="61"/>
  <c r="B200" i="61"/>
  <c r="C200" i="61"/>
  <c r="D200" i="61"/>
  <c r="E200" i="61"/>
  <c r="F200" i="61"/>
  <c r="C211" i="61"/>
  <c r="C213" i="61" s="1"/>
  <c r="D211" i="61"/>
  <c r="D213" i="61" s="1"/>
  <c r="E211" i="61"/>
  <c r="E213" i="61" s="1"/>
  <c r="F211" i="61"/>
  <c r="B222" i="61"/>
  <c r="C222" i="61"/>
  <c r="D222" i="61"/>
  <c r="E222" i="61"/>
  <c r="F222" i="61"/>
  <c r="F19" i="61"/>
  <c r="F20" i="61"/>
  <c r="B233" i="61"/>
  <c r="C233" i="61"/>
  <c r="D233" i="61"/>
  <c r="E233" i="61"/>
  <c r="F233" i="61"/>
  <c r="B244" i="61"/>
  <c r="C244" i="61"/>
  <c r="D244" i="61"/>
  <c r="E244" i="61"/>
  <c r="F244" i="61"/>
  <c r="C6" i="82"/>
  <c r="D6" i="82"/>
  <c r="E6" i="82"/>
  <c r="C7" i="82"/>
  <c r="D7" i="82"/>
  <c r="E7" i="82"/>
  <c r="C8" i="82"/>
  <c r="D8" i="82"/>
  <c r="E8" i="82"/>
  <c r="C9" i="82"/>
  <c r="D9" i="82"/>
  <c r="E9" i="82"/>
  <c r="C10" i="82"/>
  <c r="D10" i="82"/>
  <c r="E10" i="82"/>
  <c r="C11" i="82"/>
  <c r="D11" i="82"/>
  <c r="E11" i="82"/>
  <c r="C12" i="82"/>
  <c r="D12" i="82"/>
  <c r="E12" i="82"/>
  <c r="C13" i="82"/>
  <c r="D13" i="82"/>
  <c r="E13" i="82"/>
  <c r="C14" i="82"/>
  <c r="D14" i="82"/>
  <c r="E14" i="82"/>
  <c r="C15" i="82"/>
  <c r="D15" i="82"/>
  <c r="E15" i="82"/>
  <c r="C16" i="82"/>
  <c r="D16" i="82"/>
  <c r="E16" i="82"/>
  <c r="C17" i="82"/>
  <c r="D17" i="82"/>
  <c r="E17" i="82"/>
  <c r="C18" i="82"/>
  <c r="D18" i="82"/>
  <c r="E18" i="82"/>
  <c r="C19" i="82"/>
  <c r="D19" i="82"/>
  <c r="E19" i="82"/>
  <c r="C20" i="82"/>
  <c r="D20" i="82"/>
  <c r="E20" i="82"/>
  <c r="C21" i="82"/>
  <c r="D21" i="82"/>
  <c r="E21" i="82"/>
  <c r="C22" i="82"/>
  <c r="D22" i="82"/>
  <c r="E22" i="82"/>
  <c r="C23" i="82"/>
  <c r="D23" i="82"/>
  <c r="E23" i="82"/>
  <c r="C24" i="82"/>
  <c r="C25" i="82" s="1"/>
  <c r="D24" i="82"/>
  <c r="E24" i="82"/>
  <c r="F25" i="82"/>
  <c r="G25" i="82"/>
  <c r="P142" i="82" s="1"/>
  <c r="H25" i="82"/>
  <c r="I25" i="82"/>
  <c r="J25" i="82"/>
  <c r="K25" i="82"/>
  <c r="Q143" i="82" s="1"/>
  <c r="L25" i="82"/>
  <c r="M25" i="82"/>
  <c r="N25" i="82"/>
  <c r="O25" i="82"/>
  <c r="O145" i="82" s="1"/>
  <c r="P25" i="82"/>
  <c r="Q25" i="82"/>
  <c r="R25" i="82"/>
  <c r="S25" i="82"/>
  <c r="P146" i="82" s="1"/>
  <c r="T25" i="82"/>
  <c r="C32" i="82"/>
  <c r="D32" i="82"/>
  <c r="E32" i="82"/>
  <c r="C33" i="82"/>
  <c r="D33" i="82"/>
  <c r="E33" i="82"/>
  <c r="C34" i="82"/>
  <c r="D34" i="82"/>
  <c r="E34" i="82"/>
  <c r="C35" i="82"/>
  <c r="D35" i="82"/>
  <c r="E35" i="82"/>
  <c r="C36" i="82"/>
  <c r="D36" i="82"/>
  <c r="E36" i="82"/>
  <c r="C37" i="82"/>
  <c r="D37" i="82"/>
  <c r="E37" i="82"/>
  <c r="C38" i="82"/>
  <c r="D38" i="82"/>
  <c r="E38" i="82"/>
  <c r="C39" i="82"/>
  <c r="D39" i="82"/>
  <c r="E39" i="82"/>
  <c r="C40" i="82"/>
  <c r="D40" i="82"/>
  <c r="E40" i="82"/>
  <c r="C41" i="82"/>
  <c r="D41" i="82"/>
  <c r="E41" i="82"/>
  <c r="C42" i="82"/>
  <c r="D42" i="82"/>
  <c r="E42" i="82"/>
  <c r="C43" i="82"/>
  <c r="D43" i="82"/>
  <c r="E43" i="82"/>
  <c r="C44" i="82"/>
  <c r="D44" i="82"/>
  <c r="E44" i="82"/>
  <c r="C45" i="82"/>
  <c r="D45" i="82"/>
  <c r="E45" i="82"/>
  <c r="C46" i="82"/>
  <c r="D46" i="82"/>
  <c r="E46" i="82"/>
  <c r="C47" i="82"/>
  <c r="D47" i="82"/>
  <c r="E47" i="82"/>
  <c r="C48" i="82"/>
  <c r="D48" i="82"/>
  <c r="E48" i="82"/>
  <c r="C49" i="82"/>
  <c r="D49" i="82"/>
  <c r="E49" i="82"/>
  <c r="C50" i="82"/>
  <c r="D50" i="82"/>
  <c r="E50" i="82"/>
  <c r="F51" i="82"/>
  <c r="G51" i="82"/>
  <c r="M142" i="82" s="1"/>
  <c r="H51" i="82"/>
  <c r="I51" i="82"/>
  <c r="J51" i="82"/>
  <c r="K51" i="82"/>
  <c r="N143" i="82" s="1"/>
  <c r="L51" i="82"/>
  <c r="L144" i="82" s="1"/>
  <c r="M51" i="82"/>
  <c r="N51" i="82"/>
  <c r="O51" i="82"/>
  <c r="L145" i="82" s="1"/>
  <c r="P51" i="82"/>
  <c r="Q51" i="82"/>
  <c r="R51" i="82"/>
  <c r="S51" i="82"/>
  <c r="M146" i="82" s="1"/>
  <c r="T51" i="82"/>
  <c r="C58" i="82"/>
  <c r="D58" i="82"/>
  <c r="E58" i="82"/>
  <c r="C59" i="82"/>
  <c r="D59" i="82"/>
  <c r="E59" i="82"/>
  <c r="C60" i="82"/>
  <c r="D60" i="82"/>
  <c r="E60" i="82"/>
  <c r="C61" i="82"/>
  <c r="D61" i="82"/>
  <c r="E61" i="82"/>
  <c r="C62" i="82"/>
  <c r="D62" i="82"/>
  <c r="E62" i="82"/>
  <c r="C63" i="82"/>
  <c r="D63" i="82"/>
  <c r="E63" i="82"/>
  <c r="C64" i="82"/>
  <c r="D64" i="82"/>
  <c r="E64" i="82"/>
  <c r="C65" i="82"/>
  <c r="D65" i="82"/>
  <c r="E65" i="82"/>
  <c r="C66" i="82"/>
  <c r="D66" i="82"/>
  <c r="E66" i="82"/>
  <c r="C67" i="82"/>
  <c r="D67" i="82"/>
  <c r="E67" i="82"/>
  <c r="C68" i="82"/>
  <c r="D68" i="82"/>
  <c r="E68" i="82"/>
  <c r="C69" i="82"/>
  <c r="D69" i="82"/>
  <c r="E69" i="82"/>
  <c r="C70" i="82"/>
  <c r="D70" i="82"/>
  <c r="E70" i="82"/>
  <c r="C71" i="82"/>
  <c r="D71" i="82"/>
  <c r="E71" i="82"/>
  <c r="C72" i="82"/>
  <c r="D72" i="82"/>
  <c r="E72" i="82"/>
  <c r="C73" i="82"/>
  <c r="D73" i="82"/>
  <c r="E73" i="82"/>
  <c r="C74" i="82"/>
  <c r="D74" i="82"/>
  <c r="E74" i="82"/>
  <c r="C75" i="82"/>
  <c r="D75" i="82"/>
  <c r="E75" i="82"/>
  <c r="C76" i="82"/>
  <c r="D76" i="82"/>
  <c r="E76" i="82"/>
  <c r="F77" i="82"/>
  <c r="G77" i="82"/>
  <c r="J142" i="82" s="1"/>
  <c r="H77" i="82"/>
  <c r="I77" i="82"/>
  <c r="I143" i="82" s="1"/>
  <c r="J77" i="82"/>
  <c r="K77" i="82"/>
  <c r="K143" i="82" s="1"/>
  <c r="L77" i="82"/>
  <c r="M77" i="82"/>
  <c r="N77" i="82"/>
  <c r="O77" i="82"/>
  <c r="I145" i="82" s="1"/>
  <c r="P77" i="82"/>
  <c r="Q77" i="82"/>
  <c r="K145" i="82" s="1"/>
  <c r="R77" i="82"/>
  <c r="S77" i="82"/>
  <c r="J146" i="82" s="1"/>
  <c r="T77" i="82"/>
  <c r="K146" i="82" s="1"/>
  <c r="C84" i="82"/>
  <c r="D84" i="82"/>
  <c r="E84" i="82"/>
  <c r="C85" i="82"/>
  <c r="D85" i="82"/>
  <c r="E85" i="82"/>
  <c r="C86" i="82"/>
  <c r="D86" i="82"/>
  <c r="E86" i="82"/>
  <c r="C87" i="82"/>
  <c r="D87" i="82"/>
  <c r="E87" i="82"/>
  <c r="C88" i="82"/>
  <c r="D88" i="82"/>
  <c r="E88" i="82"/>
  <c r="C89" i="82"/>
  <c r="D89" i="82"/>
  <c r="E89" i="82"/>
  <c r="C90" i="82"/>
  <c r="D90" i="82"/>
  <c r="E90" i="82"/>
  <c r="C91" i="82"/>
  <c r="D91" i="82"/>
  <c r="E91" i="82"/>
  <c r="C92" i="82"/>
  <c r="D92" i="82"/>
  <c r="E92" i="82"/>
  <c r="C93" i="82"/>
  <c r="D93" i="82"/>
  <c r="E93" i="82"/>
  <c r="C94" i="82"/>
  <c r="D94" i="82"/>
  <c r="E94" i="82"/>
  <c r="C95" i="82"/>
  <c r="D95" i="82"/>
  <c r="E95" i="82"/>
  <c r="C96" i="82"/>
  <c r="D96" i="82"/>
  <c r="E96" i="82"/>
  <c r="C97" i="82"/>
  <c r="D97" i="82"/>
  <c r="E97" i="82"/>
  <c r="C98" i="82"/>
  <c r="D98" i="82"/>
  <c r="E98" i="82"/>
  <c r="C99" i="82"/>
  <c r="D99" i="82"/>
  <c r="E99" i="82"/>
  <c r="C100" i="82"/>
  <c r="D100" i="82"/>
  <c r="E100" i="82"/>
  <c r="C101" i="82"/>
  <c r="D101" i="82"/>
  <c r="E101" i="82"/>
  <c r="C102" i="82"/>
  <c r="D102" i="82"/>
  <c r="E102" i="82"/>
  <c r="F103" i="82"/>
  <c r="G103" i="82"/>
  <c r="G142" i="82" s="1"/>
  <c r="H103" i="82"/>
  <c r="I103" i="82"/>
  <c r="F143" i="82" s="1"/>
  <c r="J103" i="82"/>
  <c r="K103" i="82"/>
  <c r="H143" i="82" s="1"/>
  <c r="L103" i="82"/>
  <c r="F144" i="82" s="1"/>
  <c r="M103" i="82"/>
  <c r="G144" i="82" s="1"/>
  <c r="N103" i="82"/>
  <c r="O103" i="82"/>
  <c r="F145" i="82" s="1"/>
  <c r="P103" i="82"/>
  <c r="Q103" i="82"/>
  <c r="H145" i="82" s="1"/>
  <c r="R103" i="82"/>
  <c r="S103" i="82"/>
  <c r="G146" i="82" s="1"/>
  <c r="T103" i="82"/>
  <c r="C110" i="82"/>
  <c r="D110" i="82"/>
  <c r="E110" i="82"/>
  <c r="C111" i="82"/>
  <c r="D111" i="82"/>
  <c r="E111" i="82"/>
  <c r="C112" i="82"/>
  <c r="D112" i="82"/>
  <c r="E112" i="82"/>
  <c r="C113" i="82"/>
  <c r="D113" i="82"/>
  <c r="E113" i="82"/>
  <c r="C114" i="82"/>
  <c r="D114" i="82"/>
  <c r="E114" i="82"/>
  <c r="C115" i="82"/>
  <c r="D115" i="82"/>
  <c r="E115" i="82"/>
  <c r="C116" i="82"/>
  <c r="D116" i="82"/>
  <c r="E116" i="82"/>
  <c r="C117" i="82"/>
  <c r="D117" i="82"/>
  <c r="E117" i="82"/>
  <c r="C118" i="82"/>
  <c r="D118" i="82"/>
  <c r="E118" i="82"/>
  <c r="C119" i="82"/>
  <c r="D119" i="82"/>
  <c r="E119" i="82"/>
  <c r="C120" i="82"/>
  <c r="D120" i="82"/>
  <c r="E120" i="82"/>
  <c r="C121" i="82"/>
  <c r="D121" i="82"/>
  <c r="E121" i="82"/>
  <c r="C122" i="82"/>
  <c r="D122" i="82"/>
  <c r="E122" i="82"/>
  <c r="C123" i="82"/>
  <c r="D123" i="82"/>
  <c r="E123" i="82"/>
  <c r="C124" i="82"/>
  <c r="D124" i="82"/>
  <c r="E124" i="82"/>
  <c r="C125" i="82"/>
  <c r="D125" i="82"/>
  <c r="E125" i="82"/>
  <c r="C126" i="82"/>
  <c r="D126" i="82"/>
  <c r="E126" i="82"/>
  <c r="C127" i="82"/>
  <c r="D127" i="82"/>
  <c r="E127" i="82"/>
  <c r="C128" i="82"/>
  <c r="D128" i="82"/>
  <c r="E128" i="82"/>
  <c r="F129" i="82"/>
  <c r="C142" i="82" s="1"/>
  <c r="G129" i="82"/>
  <c r="D142" i="82" s="1"/>
  <c r="H129" i="82"/>
  <c r="E142" i="82" s="1"/>
  <c r="I129" i="82"/>
  <c r="J129" i="82"/>
  <c r="D143" i="82" s="1"/>
  <c r="K129" i="82"/>
  <c r="E143" i="82" s="1"/>
  <c r="L129" i="82"/>
  <c r="C144" i="82" s="1"/>
  <c r="M129" i="82"/>
  <c r="D144" i="82" s="1"/>
  <c r="N129" i="82"/>
  <c r="E144" i="82" s="1"/>
  <c r="O129" i="82"/>
  <c r="C145" i="82" s="1"/>
  <c r="P129" i="82"/>
  <c r="D145" i="82" s="1"/>
  <c r="Q129" i="82"/>
  <c r="E145" i="82" s="1"/>
  <c r="R129" i="82"/>
  <c r="C146" i="82" s="1"/>
  <c r="S129" i="82"/>
  <c r="D146" i="82" s="1"/>
  <c r="T129" i="82"/>
  <c r="E146" i="82" s="1"/>
  <c r="F142" i="82"/>
  <c r="H142" i="82"/>
  <c r="I142" i="82"/>
  <c r="K142" i="82"/>
  <c r="L142" i="82"/>
  <c r="N142" i="82"/>
  <c r="O142" i="82"/>
  <c r="Q142" i="82"/>
  <c r="C143" i="82"/>
  <c r="G143" i="82"/>
  <c r="J143" i="82"/>
  <c r="L143" i="82"/>
  <c r="M143" i="82"/>
  <c r="O143" i="82"/>
  <c r="P143" i="82"/>
  <c r="H144" i="82"/>
  <c r="I144" i="82"/>
  <c r="J144" i="82"/>
  <c r="K144" i="82"/>
  <c r="M144" i="82"/>
  <c r="N144" i="82"/>
  <c r="O144" i="82"/>
  <c r="P144" i="82"/>
  <c r="Q144" i="82"/>
  <c r="G145" i="82"/>
  <c r="J145" i="82"/>
  <c r="M145" i="82"/>
  <c r="N145" i="82"/>
  <c r="P145" i="82"/>
  <c r="Q145" i="82"/>
  <c r="F146" i="82"/>
  <c r="H146" i="82"/>
  <c r="I146" i="82"/>
  <c r="L146" i="82"/>
  <c r="N146" i="82"/>
  <c r="O146" i="82"/>
  <c r="Q146" i="82"/>
  <c r="B6" i="83"/>
  <c r="C6" i="83"/>
  <c r="E6" i="83" s="1"/>
  <c r="C7" i="83"/>
  <c r="E7" i="83" s="1"/>
  <c r="C8" i="83"/>
  <c r="E8" i="83" s="1"/>
  <c r="C9" i="83"/>
  <c r="E9" i="83" s="1"/>
  <c r="B10" i="83"/>
  <c r="E5" i="70"/>
  <c r="F5" i="70"/>
  <c r="E6" i="70"/>
  <c r="F6" i="70"/>
  <c r="E7" i="70"/>
  <c r="F7" i="70"/>
  <c r="E8" i="70"/>
  <c r="F8" i="70"/>
  <c r="C63" i="70"/>
  <c r="C9" i="70" s="1"/>
  <c r="D63" i="70"/>
  <c r="D9" i="70" s="1"/>
  <c r="E63" i="70"/>
  <c r="G9" i="70" s="1"/>
  <c r="C89" i="70"/>
  <c r="C8" i="70" s="1"/>
  <c r="D89" i="70"/>
  <c r="D8" i="70" s="1"/>
  <c r="G8" i="70"/>
  <c r="C115" i="70"/>
  <c r="C7" i="70" s="1"/>
  <c r="D115" i="70"/>
  <c r="D7" i="70" s="1"/>
  <c r="G7" i="70"/>
  <c r="C141" i="70"/>
  <c r="C6" i="70" s="1"/>
  <c r="D141" i="70"/>
  <c r="D6" i="70" s="1"/>
  <c r="G6" i="70"/>
  <c r="C167" i="70"/>
  <c r="C5" i="70" s="1"/>
  <c r="D167" i="70"/>
  <c r="D5" i="70" s="1"/>
  <c r="G5" i="70"/>
  <c r="C31" i="80"/>
  <c r="D31" i="80"/>
  <c r="E31" i="80"/>
  <c r="C32" i="80"/>
  <c r="D32" i="80"/>
  <c r="E32" i="80"/>
  <c r="C33" i="80"/>
  <c r="D33" i="80"/>
  <c r="E33" i="80"/>
  <c r="C34" i="80"/>
  <c r="D34" i="80"/>
  <c r="E34" i="80"/>
  <c r="C35" i="80"/>
  <c r="D35" i="80"/>
  <c r="E35" i="80"/>
  <c r="C36" i="80"/>
  <c r="D36" i="80"/>
  <c r="E36" i="80"/>
  <c r="C37" i="80"/>
  <c r="D37" i="80"/>
  <c r="E37" i="80"/>
  <c r="C38" i="80"/>
  <c r="D38" i="80"/>
  <c r="E38" i="80"/>
  <c r="C39" i="80"/>
  <c r="D39" i="80"/>
  <c r="E39" i="80"/>
  <c r="C40" i="80"/>
  <c r="D40" i="80"/>
  <c r="E40" i="80"/>
  <c r="C41" i="80"/>
  <c r="D41" i="80"/>
  <c r="E41" i="80"/>
  <c r="C42" i="80"/>
  <c r="D42" i="80"/>
  <c r="E42" i="80"/>
  <c r="C43" i="80"/>
  <c r="D43" i="80"/>
  <c r="E43" i="80"/>
  <c r="C44" i="80"/>
  <c r="D44" i="80"/>
  <c r="E44" i="80"/>
  <c r="C45" i="80"/>
  <c r="D45" i="80"/>
  <c r="E45" i="80"/>
  <c r="C46" i="80"/>
  <c r="D46" i="80"/>
  <c r="C47" i="80"/>
  <c r="D47" i="80"/>
  <c r="C48" i="80"/>
  <c r="D48" i="80"/>
  <c r="E48" i="80"/>
  <c r="F49" i="80"/>
  <c r="O159" i="80" s="1"/>
  <c r="G49" i="80"/>
  <c r="P159" i="80" s="1"/>
  <c r="H49" i="80"/>
  <c r="Q159" i="80" s="1"/>
  <c r="I49" i="80"/>
  <c r="O160" i="80" s="1"/>
  <c r="J49" i="80"/>
  <c r="P160" i="80" s="1"/>
  <c r="K49" i="80"/>
  <c r="Q160" i="80" s="1"/>
  <c r="L49" i="80"/>
  <c r="O161" i="80" s="1"/>
  <c r="M49" i="80"/>
  <c r="P161" i="80" s="1"/>
  <c r="N49" i="80"/>
  <c r="Q161" i="80" s="1"/>
  <c r="O49" i="80"/>
  <c r="O162" i="80" s="1"/>
  <c r="P49" i="80"/>
  <c r="P162" i="80" s="1"/>
  <c r="Q49" i="80"/>
  <c r="Q162" i="80" s="1"/>
  <c r="R49" i="80"/>
  <c r="O163" i="80" s="1"/>
  <c r="S49" i="80"/>
  <c r="P163" i="80" s="1"/>
  <c r="T49" i="80"/>
  <c r="Q163" i="80" s="1"/>
  <c r="C56" i="80"/>
  <c r="D56" i="80"/>
  <c r="E56" i="80"/>
  <c r="C57" i="80"/>
  <c r="D57" i="80"/>
  <c r="E57" i="80"/>
  <c r="C58" i="80"/>
  <c r="D58" i="80"/>
  <c r="E58" i="80"/>
  <c r="C59" i="80"/>
  <c r="D59" i="80"/>
  <c r="E59" i="80"/>
  <c r="C60" i="80"/>
  <c r="D60" i="80"/>
  <c r="E60" i="80"/>
  <c r="C61" i="80"/>
  <c r="D61" i="80"/>
  <c r="E61" i="80"/>
  <c r="C62" i="80"/>
  <c r="D62" i="80"/>
  <c r="E62" i="80"/>
  <c r="C63" i="80"/>
  <c r="D63" i="80"/>
  <c r="E63" i="80"/>
  <c r="C64" i="80"/>
  <c r="D64" i="80"/>
  <c r="E64" i="80"/>
  <c r="C65" i="80"/>
  <c r="D65" i="80"/>
  <c r="E65" i="80"/>
  <c r="C66" i="80"/>
  <c r="D66" i="80"/>
  <c r="E66" i="80"/>
  <c r="C67" i="80"/>
  <c r="D67" i="80"/>
  <c r="E67" i="80"/>
  <c r="C68" i="80"/>
  <c r="D68" i="80"/>
  <c r="E68" i="80"/>
  <c r="C69" i="80"/>
  <c r="D69" i="80"/>
  <c r="E69" i="80"/>
  <c r="C70" i="80"/>
  <c r="D70" i="80"/>
  <c r="E70" i="80"/>
  <c r="C71" i="80"/>
  <c r="D71" i="80"/>
  <c r="E71" i="80"/>
  <c r="C72" i="80"/>
  <c r="D72" i="80"/>
  <c r="E72" i="80"/>
  <c r="C73" i="80"/>
  <c r="D73" i="80"/>
  <c r="E73" i="80"/>
  <c r="C74" i="80"/>
  <c r="D74" i="80"/>
  <c r="E74" i="80"/>
  <c r="F75" i="80"/>
  <c r="L159" i="80" s="1"/>
  <c r="G75" i="80"/>
  <c r="H75" i="80"/>
  <c r="N159" i="80" s="1"/>
  <c r="I75" i="80"/>
  <c r="J75" i="80"/>
  <c r="M160" i="80" s="1"/>
  <c r="K75" i="80"/>
  <c r="L75" i="80"/>
  <c r="L161" i="80" s="1"/>
  <c r="M75" i="80"/>
  <c r="N75" i="80"/>
  <c r="N161" i="80" s="1"/>
  <c r="O75" i="80"/>
  <c r="P75" i="80"/>
  <c r="M162" i="80" s="1"/>
  <c r="Q75" i="80"/>
  <c r="R75" i="80"/>
  <c r="L163" i="80" s="1"/>
  <c r="S75" i="80"/>
  <c r="T75" i="80"/>
  <c r="N163" i="80" s="1"/>
  <c r="C82" i="80"/>
  <c r="D82" i="80"/>
  <c r="E82" i="80"/>
  <c r="C83" i="80"/>
  <c r="D83" i="80"/>
  <c r="E83" i="80"/>
  <c r="C84" i="80"/>
  <c r="D84" i="80"/>
  <c r="E84" i="80"/>
  <c r="C85" i="80"/>
  <c r="D85" i="80"/>
  <c r="E85" i="80"/>
  <c r="C86" i="80"/>
  <c r="D86" i="80"/>
  <c r="E86" i="80"/>
  <c r="C87" i="80"/>
  <c r="D87" i="80"/>
  <c r="E87" i="80"/>
  <c r="C88" i="80"/>
  <c r="D88" i="80"/>
  <c r="E88" i="80"/>
  <c r="C89" i="80"/>
  <c r="D89" i="80"/>
  <c r="E89" i="80"/>
  <c r="C90" i="80"/>
  <c r="D90" i="80"/>
  <c r="E90" i="80"/>
  <c r="C91" i="80"/>
  <c r="D91" i="80"/>
  <c r="E91" i="80"/>
  <c r="C92" i="80"/>
  <c r="D92" i="80"/>
  <c r="E92" i="80"/>
  <c r="C93" i="80"/>
  <c r="D93" i="80"/>
  <c r="E93" i="80"/>
  <c r="C94" i="80"/>
  <c r="D94" i="80"/>
  <c r="E94" i="80"/>
  <c r="C95" i="80"/>
  <c r="D95" i="80"/>
  <c r="E95" i="80"/>
  <c r="C96" i="80"/>
  <c r="D96" i="80"/>
  <c r="E96" i="80"/>
  <c r="C97" i="80"/>
  <c r="D97" i="80"/>
  <c r="E97" i="80"/>
  <c r="C98" i="80"/>
  <c r="D98" i="80"/>
  <c r="E98" i="80"/>
  <c r="C99" i="80"/>
  <c r="D99" i="80"/>
  <c r="E99" i="80"/>
  <c r="C100" i="80"/>
  <c r="D100" i="80"/>
  <c r="E100" i="80"/>
  <c r="F101" i="80"/>
  <c r="I159" i="80" s="1"/>
  <c r="G101" i="80"/>
  <c r="H101" i="80"/>
  <c r="K159" i="80" s="1"/>
  <c r="I101" i="80"/>
  <c r="J101" i="80"/>
  <c r="J160" i="80" s="1"/>
  <c r="K101" i="80"/>
  <c r="K160" i="80" s="1"/>
  <c r="L101" i="80"/>
  <c r="I161" i="80" s="1"/>
  <c r="M101" i="80"/>
  <c r="N101" i="80"/>
  <c r="K161" i="80" s="1"/>
  <c r="O101" i="80"/>
  <c r="P101" i="80"/>
  <c r="J162" i="80" s="1"/>
  <c r="Q101" i="80"/>
  <c r="R101" i="80"/>
  <c r="I163" i="80" s="1"/>
  <c r="S101" i="80"/>
  <c r="T101" i="80"/>
  <c r="K163" i="80" s="1"/>
  <c r="C108" i="80"/>
  <c r="D108" i="80"/>
  <c r="E108" i="80"/>
  <c r="C109" i="80"/>
  <c r="D109" i="80"/>
  <c r="E109" i="80"/>
  <c r="C110" i="80"/>
  <c r="D110" i="80"/>
  <c r="E110" i="80"/>
  <c r="C111" i="80"/>
  <c r="D111" i="80"/>
  <c r="E111" i="80"/>
  <c r="C112" i="80"/>
  <c r="D112" i="80"/>
  <c r="E112" i="80"/>
  <c r="C113" i="80"/>
  <c r="D113" i="80"/>
  <c r="E113" i="80"/>
  <c r="C114" i="80"/>
  <c r="D114" i="80"/>
  <c r="E114" i="80"/>
  <c r="C115" i="80"/>
  <c r="D115" i="80"/>
  <c r="E115" i="80"/>
  <c r="C116" i="80"/>
  <c r="D116" i="80"/>
  <c r="E116" i="80"/>
  <c r="C117" i="80"/>
  <c r="D117" i="80"/>
  <c r="E117" i="80"/>
  <c r="C118" i="80"/>
  <c r="D118" i="80"/>
  <c r="E118" i="80"/>
  <c r="C119" i="80"/>
  <c r="D119" i="80"/>
  <c r="E119" i="80"/>
  <c r="C120" i="80"/>
  <c r="D120" i="80"/>
  <c r="E120" i="80"/>
  <c r="C121" i="80"/>
  <c r="D121" i="80"/>
  <c r="E121" i="80"/>
  <c r="C122" i="80"/>
  <c r="D122" i="80"/>
  <c r="E122" i="80"/>
  <c r="C123" i="80"/>
  <c r="D123" i="80"/>
  <c r="E123" i="80"/>
  <c r="C124" i="80"/>
  <c r="D124" i="80"/>
  <c r="E124" i="80"/>
  <c r="C125" i="80"/>
  <c r="D125" i="80"/>
  <c r="E125" i="80"/>
  <c r="C126" i="80"/>
  <c r="D126" i="80"/>
  <c r="E126" i="80"/>
  <c r="F127" i="80"/>
  <c r="F159" i="80" s="1"/>
  <c r="G127" i="80"/>
  <c r="H127" i="80"/>
  <c r="I127" i="80"/>
  <c r="J127" i="80"/>
  <c r="G160" i="80" s="1"/>
  <c r="K127" i="80"/>
  <c r="H160" i="80" s="1"/>
  <c r="L127" i="80"/>
  <c r="F161" i="80" s="1"/>
  <c r="M127" i="80"/>
  <c r="G161" i="80" s="1"/>
  <c r="N127" i="80"/>
  <c r="H161" i="80" s="1"/>
  <c r="O127" i="80"/>
  <c r="P127" i="80"/>
  <c r="G162" i="80" s="1"/>
  <c r="Q127" i="80"/>
  <c r="R127" i="80"/>
  <c r="F163" i="80" s="1"/>
  <c r="S127" i="80"/>
  <c r="G163" i="80" s="1"/>
  <c r="T127" i="80"/>
  <c r="H163" i="80" s="1"/>
  <c r="C134" i="80"/>
  <c r="D134" i="80"/>
  <c r="E134" i="80"/>
  <c r="C135" i="80"/>
  <c r="D135" i="80"/>
  <c r="E135" i="80"/>
  <c r="C136" i="80"/>
  <c r="D136" i="80"/>
  <c r="E136" i="80"/>
  <c r="C137" i="80"/>
  <c r="D137" i="80"/>
  <c r="E137" i="80"/>
  <c r="C138" i="80"/>
  <c r="D138" i="80"/>
  <c r="E138" i="80"/>
  <c r="C139" i="80"/>
  <c r="D139" i="80"/>
  <c r="E139" i="80"/>
  <c r="C140" i="80"/>
  <c r="D140" i="80"/>
  <c r="E140" i="80"/>
  <c r="C141" i="80"/>
  <c r="D141" i="80"/>
  <c r="E141" i="80"/>
  <c r="C142" i="80"/>
  <c r="D142" i="80"/>
  <c r="E142" i="80"/>
  <c r="C143" i="80"/>
  <c r="D143" i="80"/>
  <c r="E143" i="80"/>
  <c r="C144" i="80"/>
  <c r="D144" i="80"/>
  <c r="E144" i="80"/>
  <c r="C145" i="80"/>
  <c r="D145" i="80"/>
  <c r="E145" i="80"/>
  <c r="C146" i="80"/>
  <c r="D146" i="80"/>
  <c r="E146" i="80"/>
  <c r="C147" i="80"/>
  <c r="D147" i="80"/>
  <c r="E147" i="80"/>
  <c r="C148" i="80"/>
  <c r="D148" i="80"/>
  <c r="E148" i="80"/>
  <c r="C149" i="80"/>
  <c r="D149" i="80"/>
  <c r="E149" i="80"/>
  <c r="C150" i="80"/>
  <c r="D150" i="80"/>
  <c r="E150" i="80"/>
  <c r="C151" i="80"/>
  <c r="D151" i="80"/>
  <c r="E151" i="80"/>
  <c r="C152" i="80"/>
  <c r="D152" i="80"/>
  <c r="E152" i="80"/>
  <c r="F153" i="80"/>
  <c r="C159" i="80" s="1"/>
  <c r="G153" i="80"/>
  <c r="D159" i="80" s="1"/>
  <c r="H153" i="80"/>
  <c r="E159" i="80" s="1"/>
  <c r="I153" i="80"/>
  <c r="J153" i="80"/>
  <c r="D160" i="80" s="1"/>
  <c r="K153" i="80"/>
  <c r="E160" i="80" s="1"/>
  <c r="L153" i="80"/>
  <c r="C161" i="80" s="1"/>
  <c r="M153" i="80"/>
  <c r="D161" i="80" s="1"/>
  <c r="N153" i="80"/>
  <c r="E161" i="80" s="1"/>
  <c r="O153" i="80"/>
  <c r="P153" i="80"/>
  <c r="D162" i="80" s="1"/>
  <c r="Q153" i="80"/>
  <c r="R153" i="80"/>
  <c r="C163" i="80" s="1"/>
  <c r="S153" i="80"/>
  <c r="D163" i="80" s="1"/>
  <c r="T153" i="80"/>
  <c r="E163" i="80" s="1"/>
  <c r="G159" i="80"/>
  <c r="H159" i="80"/>
  <c r="J159" i="80"/>
  <c r="M159" i="80"/>
  <c r="C160" i="80"/>
  <c r="F160" i="80"/>
  <c r="I160" i="80"/>
  <c r="L160" i="80"/>
  <c r="N160" i="80"/>
  <c r="J161" i="80"/>
  <c r="M161" i="80"/>
  <c r="C162" i="80"/>
  <c r="E162" i="80"/>
  <c r="F162" i="80"/>
  <c r="H162" i="80"/>
  <c r="I162" i="80"/>
  <c r="K162" i="80"/>
  <c r="L162" i="80"/>
  <c r="N162" i="80"/>
  <c r="J163" i="80"/>
  <c r="M163" i="80"/>
  <c r="B7" i="85"/>
  <c r="C6" i="85"/>
  <c r="C5" i="81"/>
  <c r="F5" i="81"/>
  <c r="C6" i="81"/>
  <c r="F6" i="81"/>
  <c r="C7" i="81"/>
  <c r="F7" i="81"/>
  <c r="C8" i="81"/>
  <c r="F8" i="81"/>
  <c r="C9" i="81"/>
  <c r="F9" i="81"/>
  <c r="C11" i="81"/>
  <c r="F11" i="81"/>
  <c r="C12" i="81"/>
  <c r="F12" i="81"/>
  <c r="C13" i="81"/>
  <c r="F13" i="81"/>
  <c r="C14" i="81"/>
  <c r="F14" i="81"/>
  <c r="C15" i="81"/>
  <c r="F15" i="81"/>
  <c r="C16" i="81"/>
  <c r="F16" i="81"/>
  <c r="C17" i="81"/>
  <c r="F17" i="81"/>
  <c r="C18" i="81"/>
  <c r="F18" i="81"/>
  <c r="C19" i="81"/>
  <c r="F19" i="81"/>
  <c r="C20" i="81"/>
  <c r="F20" i="81"/>
  <c r="C21" i="81"/>
  <c r="F21" i="81"/>
  <c r="F22" i="81"/>
  <c r="F5" i="72"/>
  <c r="F6" i="72"/>
  <c r="C7" i="72"/>
  <c r="F7" i="72"/>
  <c r="F8" i="72"/>
  <c r="C9" i="72"/>
  <c r="F9" i="72"/>
  <c r="C10" i="72"/>
  <c r="F10" i="72"/>
  <c r="C11" i="72"/>
  <c r="F11" i="72"/>
  <c r="C12" i="72"/>
  <c r="F12" i="72"/>
  <c r="C13" i="72"/>
  <c r="F13" i="72"/>
  <c r="C14" i="72"/>
  <c r="F14" i="72"/>
  <c r="C15" i="72"/>
  <c r="F15" i="72"/>
  <c r="C16" i="72"/>
  <c r="F16" i="72"/>
  <c r="C17" i="72"/>
  <c r="F17" i="72"/>
  <c r="C18" i="72"/>
  <c r="F18" i="72"/>
  <c r="C19" i="72"/>
  <c r="F19" i="72"/>
  <c r="D7" i="74"/>
  <c r="E7" i="74"/>
  <c r="F7" i="74"/>
  <c r="I7" i="74"/>
  <c r="J7" i="74"/>
  <c r="K7" i="74"/>
  <c r="D8" i="74"/>
  <c r="E8" i="74"/>
  <c r="F8" i="74"/>
  <c r="J8" i="74"/>
  <c r="K8" i="74"/>
  <c r="D9" i="74"/>
  <c r="E9" i="74"/>
  <c r="F9" i="74"/>
  <c r="I9" i="74"/>
  <c r="J9" i="74"/>
  <c r="K9" i="74"/>
  <c r="O9" i="74"/>
  <c r="P9" i="74"/>
  <c r="Q9" i="74"/>
  <c r="D10" i="74"/>
  <c r="E10" i="74"/>
  <c r="F10" i="74"/>
  <c r="I10" i="74"/>
  <c r="J10" i="74"/>
  <c r="K10" i="74"/>
  <c r="E11" i="74"/>
  <c r="F11" i="74"/>
  <c r="I11" i="74"/>
  <c r="J11" i="74"/>
  <c r="K11" i="74"/>
  <c r="D12" i="74"/>
  <c r="E12" i="74"/>
  <c r="F12" i="74"/>
  <c r="I12" i="74"/>
  <c r="J12" i="74"/>
  <c r="K12" i="74"/>
  <c r="D13" i="74"/>
  <c r="E13" i="74"/>
  <c r="F13" i="74"/>
  <c r="I13" i="74"/>
  <c r="J13" i="74"/>
  <c r="K13" i="74"/>
  <c r="D14" i="74"/>
  <c r="F14" i="74"/>
  <c r="I14" i="74"/>
  <c r="K14" i="74"/>
  <c r="D15" i="74"/>
  <c r="E15" i="74"/>
  <c r="F15" i="74"/>
  <c r="I15" i="74"/>
  <c r="J15" i="74"/>
  <c r="D16" i="74"/>
  <c r="E16" i="74"/>
  <c r="F16" i="74"/>
  <c r="I16" i="74"/>
  <c r="J16" i="74"/>
  <c r="K16" i="74"/>
  <c r="D17" i="74"/>
  <c r="E17" i="74"/>
  <c r="F17" i="74"/>
  <c r="I17" i="74"/>
  <c r="J17" i="74"/>
  <c r="K17" i="74"/>
  <c r="D18" i="74"/>
  <c r="E18" i="74"/>
  <c r="F18" i="74"/>
  <c r="I18" i="74"/>
  <c r="J18" i="74"/>
  <c r="K18" i="74"/>
  <c r="D19" i="74"/>
  <c r="E19" i="74"/>
  <c r="F19" i="74"/>
  <c r="I19" i="74"/>
  <c r="J19" i="74"/>
  <c r="K19" i="74"/>
  <c r="D20" i="74"/>
  <c r="E20" i="74"/>
  <c r="F20" i="74"/>
  <c r="I20" i="74"/>
  <c r="J20" i="74"/>
  <c r="K20" i="74"/>
  <c r="D21" i="74"/>
  <c r="E21" i="74"/>
  <c r="F21" i="74"/>
  <c r="I21" i="74"/>
  <c r="J21" i="74"/>
  <c r="K21" i="74"/>
  <c r="D22" i="74"/>
  <c r="E22" i="74"/>
  <c r="F22" i="74"/>
  <c r="I22" i="74"/>
  <c r="J22" i="74"/>
  <c r="K22" i="74"/>
  <c r="D23" i="74"/>
  <c r="E23" i="74"/>
  <c r="F23" i="74"/>
  <c r="I23" i="74"/>
  <c r="J23" i="74"/>
  <c r="K23" i="74"/>
  <c r="D24" i="74"/>
  <c r="E24" i="74"/>
  <c r="F24" i="74"/>
  <c r="J24" i="74"/>
  <c r="K24" i="74"/>
  <c r="E25" i="74"/>
  <c r="F25" i="74"/>
  <c r="I25" i="74"/>
  <c r="J25" i="74"/>
  <c r="K25" i="74"/>
  <c r="D26" i="74"/>
  <c r="E26" i="74"/>
  <c r="F26" i="74"/>
  <c r="I26" i="74"/>
  <c r="J26" i="74"/>
  <c r="K26" i="74"/>
  <c r="E27" i="74"/>
  <c r="F27" i="74"/>
  <c r="I27" i="74"/>
  <c r="J27" i="74"/>
  <c r="K27" i="74"/>
  <c r="C15" i="57"/>
  <c r="C16" i="57"/>
  <c r="C17" i="57"/>
  <c r="C18" i="57"/>
  <c r="H15" i="87"/>
  <c r="H16" i="87"/>
  <c r="H17" i="87"/>
  <c r="G15" i="87"/>
  <c r="G16" i="87"/>
  <c r="G17" i="87"/>
  <c r="H7" i="87"/>
  <c r="H8" i="87"/>
  <c r="H9" i="87"/>
  <c r="G7" i="87"/>
  <c r="G8" i="87"/>
  <c r="G9" i="87"/>
  <c r="C7" i="54"/>
  <c r="C11" i="54" s="1"/>
  <c r="C8" i="54"/>
  <c r="C9" i="54"/>
  <c r="C10" i="54"/>
  <c r="C15" i="54"/>
  <c r="C16" i="54"/>
  <c r="C17" i="54"/>
  <c r="C18" i="54"/>
  <c r="C19" i="54"/>
  <c r="D27" i="54"/>
  <c r="D33" i="54" s="1"/>
  <c r="E27" i="54"/>
  <c r="E33" i="54" s="1"/>
  <c r="F32" i="57"/>
  <c r="C22" i="61"/>
  <c r="E4" i="86"/>
  <c r="F36" i="61"/>
  <c r="F37" i="61" s="1"/>
  <c r="E36" i="61"/>
  <c r="E37" i="61" s="1"/>
  <c r="D36" i="61"/>
  <c r="B36" i="61"/>
  <c r="B37" i="61" s="1"/>
  <c r="F47" i="61"/>
  <c r="F48" i="61" s="1"/>
  <c r="E47" i="61"/>
  <c r="E48" i="61" s="1"/>
  <c r="D47" i="61"/>
  <c r="D48" i="61" s="1"/>
  <c r="C47" i="61"/>
  <c r="B47" i="61"/>
  <c r="B48" i="61" s="1"/>
  <c r="E58" i="61"/>
  <c r="E59" i="61" s="1"/>
  <c r="C58" i="61"/>
  <c r="C59" i="61" s="1"/>
  <c r="F69" i="61"/>
  <c r="F70" i="61" s="1"/>
  <c r="E69" i="61"/>
  <c r="E70" i="61" s="1"/>
  <c r="C69" i="61"/>
  <c r="C70" i="61" s="1"/>
  <c r="F80" i="61"/>
  <c r="E80" i="61"/>
  <c r="E81" i="61" s="1"/>
  <c r="D80" i="61"/>
  <c r="D81" i="61" s="1"/>
  <c r="C80" i="61"/>
  <c r="C81" i="61" s="1"/>
  <c r="B80" i="61"/>
  <c r="B81" i="61" s="1"/>
  <c r="C91" i="61"/>
  <c r="C92" i="61" s="1"/>
  <c r="B91" i="61"/>
  <c r="B92" i="61" s="1"/>
  <c r="F102" i="61"/>
  <c r="F103" i="61" s="1"/>
  <c r="D102" i="61"/>
  <c r="F113" i="61"/>
  <c r="F114" i="61" s="1"/>
  <c r="E113" i="61"/>
  <c r="E114" i="61" s="1"/>
  <c r="C113" i="61"/>
  <c r="F124" i="61"/>
  <c r="E124" i="61"/>
  <c r="E125" i="61" s="1"/>
  <c r="C124" i="61"/>
  <c r="C125" i="61" s="1"/>
  <c r="F135" i="61"/>
  <c r="F136" i="61" s="1"/>
  <c r="E135" i="61"/>
  <c r="D135" i="61"/>
  <c r="D136" i="61" s="1"/>
  <c r="C135" i="61"/>
  <c r="C136" i="61" s="1"/>
  <c r="B135" i="61"/>
  <c r="B136" i="61" s="1"/>
  <c r="E146" i="61"/>
  <c r="C146" i="61"/>
  <c r="C147" i="61" s="1"/>
  <c r="F168" i="61"/>
  <c r="F169" i="61" s="1"/>
  <c r="B168" i="61"/>
  <c r="B169" i="61" s="1"/>
  <c r="F179" i="61"/>
  <c r="E179" i="61"/>
  <c r="E180" i="61" s="1"/>
  <c r="D179" i="61"/>
  <c r="D180" i="61" s="1"/>
  <c r="C179" i="61"/>
  <c r="C180" i="61" s="1"/>
  <c r="B179" i="61"/>
  <c r="F234" i="61"/>
  <c r="F190" i="61"/>
  <c r="F191" i="61" s="1"/>
  <c r="E190" i="61"/>
  <c r="C190" i="61"/>
  <c r="B190" i="61"/>
  <c r="B191" i="61" s="1"/>
  <c r="E201" i="61"/>
  <c r="E202" i="61" s="1"/>
  <c r="C201" i="61"/>
  <c r="C202" i="61" s="1"/>
  <c r="B212" i="61"/>
  <c r="B213" i="61" s="1"/>
  <c r="F223" i="61"/>
  <c r="F224" i="61" s="1"/>
  <c r="D223" i="61"/>
  <c r="D224" i="61" s="1"/>
  <c r="B223" i="61"/>
  <c r="B224" i="61" s="1"/>
  <c r="B7" i="83"/>
  <c r="B9" i="83"/>
  <c r="C10" i="83"/>
  <c r="E10" i="83" s="1"/>
  <c r="D6" i="73"/>
  <c r="D12" i="73" s="1"/>
  <c r="I6" i="73"/>
  <c r="E6" i="73"/>
  <c r="E12" i="73" s="1"/>
  <c r="F6" i="73"/>
  <c r="F12" i="73" s="1"/>
  <c r="G6" i="73"/>
  <c r="H6" i="73"/>
  <c r="E7" i="73"/>
  <c r="E13" i="73" s="1"/>
  <c r="F7" i="73"/>
  <c r="F13" i="73" s="1"/>
  <c r="G13" i="73"/>
  <c r="H13" i="73"/>
  <c r="C8" i="73"/>
  <c r="C11" i="73" s="1"/>
  <c r="C4" i="86"/>
  <c r="F4" i="86"/>
  <c r="D7" i="86"/>
  <c r="G7" i="86"/>
  <c r="D8" i="86"/>
  <c r="G8" i="86"/>
  <c r="C48" i="61" l="1"/>
  <c r="J43" i="67"/>
  <c r="J50" i="67"/>
  <c r="J47" i="67"/>
  <c r="J41" i="67"/>
  <c r="B180" i="61"/>
  <c r="F180" i="61"/>
  <c r="E147" i="61"/>
  <c r="E136" i="61"/>
  <c r="F125" i="61"/>
  <c r="D103" i="61"/>
  <c r="F81" i="61"/>
  <c r="D37" i="61"/>
  <c r="C114" i="61"/>
  <c r="D129" i="82"/>
  <c r="E25" i="82"/>
  <c r="J42" i="67"/>
  <c r="J16" i="67"/>
  <c r="J8" i="67"/>
  <c r="E127" i="80"/>
  <c r="B17" i="83" s="1"/>
  <c r="J35" i="67"/>
  <c r="M147" i="82"/>
  <c r="J25" i="67"/>
  <c r="J17" i="67"/>
  <c r="Q147" i="82"/>
  <c r="C20" i="83" s="1"/>
  <c r="E20" i="83" s="1"/>
  <c r="J45" i="67"/>
  <c r="C23" i="54"/>
  <c r="G164" i="80"/>
  <c r="D170" i="80" s="1"/>
  <c r="I147" i="82"/>
  <c r="K147" i="82"/>
  <c r="C18" i="83" s="1"/>
  <c r="E18" i="83" s="1"/>
  <c r="C101" i="80"/>
  <c r="K164" i="80"/>
  <c r="E171" i="80" s="1"/>
  <c r="O147" i="82"/>
  <c r="E103" i="82"/>
  <c r="C103" i="82"/>
  <c r="D77" i="82"/>
  <c r="M164" i="80"/>
  <c r="F170" i="80" s="1"/>
  <c r="I164" i="80"/>
  <c r="E169" i="80" s="1"/>
  <c r="C75" i="80"/>
  <c r="C153" i="80"/>
  <c r="P147" i="82"/>
  <c r="N147" i="82"/>
  <c r="C19" i="83" s="1"/>
  <c r="E19" i="83" s="1"/>
  <c r="L147" i="82"/>
  <c r="J147" i="82"/>
  <c r="H147" i="82"/>
  <c r="C17" i="83" s="1"/>
  <c r="E17" i="83" s="1"/>
  <c r="D103" i="82"/>
  <c r="N164" i="80"/>
  <c r="F171" i="80" s="1"/>
  <c r="L164" i="80"/>
  <c r="F169" i="80" s="1"/>
  <c r="J164" i="80"/>
  <c r="E170" i="80" s="1"/>
  <c r="H164" i="80"/>
  <c r="D171" i="80" s="1"/>
  <c r="F164" i="80"/>
  <c r="D169" i="80" s="1"/>
  <c r="E164" i="80"/>
  <c r="C171" i="80" s="1"/>
  <c r="C164" i="80"/>
  <c r="C169" i="80" s="1"/>
  <c r="C127" i="80"/>
  <c r="F147" i="82"/>
  <c r="E129" i="82"/>
  <c r="C129" i="82"/>
  <c r="D164" i="80"/>
  <c r="C170" i="80" s="1"/>
  <c r="D147" i="82"/>
  <c r="E147" i="82"/>
  <c r="C16" i="83" s="1"/>
  <c r="E16" i="83" s="1"/>
  <c r="C147" i="82"/>
  <c r="G147" i="82"/>
  <c r="D153" i="80"/>
  <c r="D127" i="80"/>
  <c r="E101" i="80"/>
  <c r="B18" i="83" s="1"/>
  <c r="D51" i="82"/>
  <c r="D25" i="82"/>
  <c r="E75" i="80"/>
  <c r="B19" i="83" s="1"/>
  <c r="D101" i="80"/>
  <c r="D75" i="80"/>
  <c r="E77" i="82"/>
  <c r="E51" i="82"/>
  <c r="C51" i="82"/>
  <c r="E153" i="80"/>
  <c r="B16" i="83" s="1"/>
  <c r="C77" i="82"/>
  <c r="C24" i="54"/>
  <c r="M9" i="75"/>
  <c r="B8" i="83"/>
  <c r="M8" i="75"/>
  <c r="M10" i="75"/>
  <c r="D27" i="74"/>
  <c r="G27" i="74" s="1"/>
  <c r="C6" i="72"/>
  <c r="H51" i="67"/>
  <c r="H56" i="66" s="1"/>
  <c r="H26" i="67"/>
  <c r="E19" i="57"/>
  <c r="E52" i="57" s="1"/>
  <c r="F19" i="57"/>
  <c r="F52" i="57" s="1"/>
  <c r="C19" i="57"/>
  <c r="C52" i="57" s="1"/>
  <c r="C26" i="54"/>
  <c r="C25" i="54"/>
  <c r="C27" i="54"/>
  <c r="E54" i="52"/>
  <c r="F33" i="57"/>
  <c r="J36" i="67"/>
  <c r="J34" i="67"/>
  <c r="J15" i="67"/>
  <c r="J11" i="67"/>
  <c r="J9" i="67"/>
  <c r="J39" i="67"/>
  <c r="G12" i="73"/>
  <c r="G8" i="73"/>
  <c r="G11" i="73" s="1"/>
  <c r="H12" i="73"/>
  <c r="H8" i="73"/>
  <c r="I12" i="73"/>
  <c r="I8" i="73"/>
  <c r="H32" i="57"/>
  <c r="G32" i="57"/>
  <c r="H33" i="57"/>
  <c r="I22" i="67"/>
  <c r="J22" i="67" s="1"/>
  <c r="I23" i="66"/>
  <c r="H28" i="66"/>
  <c r="D11" i="74"/>
  <c r="G11" i="74" s="1"/>
  <c r="C8" i="72"/>
  <c r="J10" i="67"/>
  <c r="D49" i="80"/>
  <c r="E49" i="80"/>
  <c r="B20" i="83" s="1"/>
  <c r="C36" i="61"/>
  <c r="C37" i="61" s="1"/>
  <c r="J14" i="67"/>
  <c r="B102" i="61"/>
  <c r="B103" i="61" s="1"/>
  <c r="J21" i="67"/>
  <c r="C21" i="61"/>
  <c r="C6" i="61" s="1"/>
  <c r="C191" i="61"/>
  <c r="E191" i="61"/>
  <c r="H25" i="87"/>
  <c r="B21" i="61"/>
  <c r="B9" i="61" s="1"/>
  <c r="I33" i="67"/>
  <c r="J33" i="67" s="1"/>
  <c r="J23" i="67"/>
  <c r="J12" i="67"/>
  <c r="G24" i="87"/>
  <c r="H24" i="87"/>
  <c r="F24" i="52"/>
  <c r="J38" i="67"/>
  <c r="J13" i="67"/>
  <c r="G25" i="87"/>
  <c r="G33" i="57"/>
  <c r="J20" i="67"/>
  <c r="C49" i="80"/>
  <c r="G18" i="87"/>
  <c r="G19" i="87" s="1"/>
  <c r="H18" i="87"/>
  <c r="H19" i="87" s="1"/>
  <c r="G10" i="87"/>
  <c r="G23" i="87"/>
  <c r="H10" i="87"/>
  <c r="H11" i="87" s="1"/>
  <c r="H23" i="87"/>
  <c r="E22" i="65"/>
  <c r="E5" i="65" s="1"/>
  <c r="Q164" i="80"/>
  <c r="G171" i="80" s="1"/>
  <c r="O164" i="80"/>
  <c r="G169" i="80" s="1"/>
  <c r="P164" i="80"/>
  <c r="G170" i="80" s="1"/>
  <c r="C22" i="65"/>
  <c r="C5" i="65" s="1"/>
  <c r="D22" i="65"/>
  <c r="D6" i="65" s="1"/>
  <c r="B22" i="65"/>
  <c r="B6" i="65" s="1"/>
  <c r="B4" i="86"/>
  <c r="D4" i="86" s="1"/>
  <c r="J24" i="67"/>
  <c r="I14" i="66"/>
  <c r="F8" i="73"/>
  <c r="F14" i="73" s="1"/>
  <c r="E223" i="61"/>
  <c r="E224" i="61" s="1"/>
  <c r="C223" i="61"/>
  <c r="C224" i="61" s="1"/>
  <c r="F201" i="61"/>
  <c r="F202" i="61" s="1"/>
  <c r="D201" i="61"/>
  <c r="D202" i="61" s="1"/>
  <c r="B201" i="61"/>
  <c r="B202" i="61" s="1"/>
  <c r="F146" i="61"/>
  <c r="F147" i="61" s="1"/>
  <c r="D146" i="61"/>
  <c r="B146" i="61"/>
  <c r="D124" i="61"/>
  <c r="D125" i="61" s="1"/>
  <c r="B124" i="61"/>
  <c r="B125" i="61" s="1"/>
  <c r="D113" i="61"/>
  <c r="D114" i="61" s="1"/>
  <c r="B113" i="61"/>
  <c r="B114" i="61" s="1"/>
  <c r="E102" i="61"/>
  <c r="E103" i="61" s="1"/>
  <c r="C102" i="61"/>
  <c r="C103" i="61" s="1"/>
  <c r="D69" i="61"/>
  <c r="D70" i="61" s="1"/>
  <c r="B69" i="61"/>
  <c r="B70" i="61" s="1"/>
  <c r="F58" i="61"/>
  <c r="F59" i="61" s="1"/>
  <c r="D58" i="61"/>
  <c r="D59" i="61" s="1"/>
  <c r="B58" i="61"/>
  <c r="B59" i="61" s="1"/>
  <c r="F22" i="61"/>
  <c r="D22" i="61"/>
  <c r="C25" i="85"/>
  <c r="C70" i="85" s="1"/>
  <c r="G4" i="86"/>
  <c r="E22" i="61"/>
  <c r="E8" i="73"/>
  <c r="E23" i="65"/>
  <c r="C23" i="65"/>
  <c r="F23" i="65"/>
  <c r="D23" i="65"/>
  <c r="B23" i="65"/>
  <c r="F20" i="72"/>
  <c r="J43" i="74" s="1"/>
  <c r="L19" i="74"/>
  <c r="I28" i="74"/>
  <c r="D7" i="73"/>
  <c r="C7" i="85"/>
  <c r="C5" i="85" s="1"/>
  <c r="G21" i="74"/>
  <c r="L10" i="74"/>
  <c r="F28" i="74"/>
  <c r="S7" i="74" s="1"/>
  <c r="G25" i="74"/>
  <c r="G23" i="74"/>
  <c r="L16" i="74"/>
  <c r="G8" i="74"/>
  <c r="G19" i="74"/>
  <c r="L12" i="74"/>
  <c r="G26" i="74"/>
  <c r="G22" i="74"/>
  <c r="G18" i="74"/>
  <c r="L11" i="74"/>
  <c r="G7" i="74"/>
  <c r="G24" i="74"/>
  <c r="G20" i="74"/>
  <c r="L17" i="74"/>
  <c r="L13" i="74"/>
  <c r="G9" i="74"/>
  <c r="L26" i="74"/>
  <c r="L24" i="74"/>
  <c r="L22" i="74"/>
  <c r="L20" i="74"/>
  <c r="L18" i="74"/>
  <c r="G16" i="74"/>
  <c r="G12" i="74"/>
  <c r="G10" i="74"/>
  <c r="L9" i="74"/>
  <c r="L7" i="74"/>
  <c r="L27" i="74"/>
  <c r="L25" i="74"/>
  <c r="L23" i="74"/>
  <c r="L21" i="74"/>
  <c r="G17" i="74"/>
  <c r="G15" i="74"/>
  <c r="G13" i="74"/>
  <c r="L8" i="74"/>
  <c r="D21" i="61"/>
  <c r="D6" i="61" s="1"/>
  <c r="F21" i="61"/>
  <c r="F6" i="61" s="1"/>
  <c r="E21" i="61"/>
  <c r="E7" i="61" s="1"/>
  <c r="F22" i="65"/>
  <c r="F5" i="65" s="1"/>
  <c r="H55" i="66"/>
  <c r="I46" i="67"/>
  <c r="J46" i="67" s="1"/>
  <c r="D145" i="61"/>
  <c r="B145" i="61"/>
  <c r="B79" i="65"/>
  <c r="B22" i="61"/>
  <c r="E34" i="57"/>
  <c r="C10" i="57"/>
  <c r="C26" i="57" s="1"/>
  <c r="C34" i="57" s="1"/>
  <c r="E33" i="57"/>
  <c r="C9" i="57"/>
  <c r="C25" i="57" s="1"/>
  <c r="C33" i="57" s="1"/>
  <c r="E32" i="57"/>
  <c r="F58" i="57" s="1"/>
  <c r="C8" i="57"/>
  <c r="C24" i="57" s="1"/>
  <c r="C32" i="57" s="1"/>
  <c r="C7" i="57"/>
  <c r="C7" i="61" l="1"/>
  <c r="E24" i="65"/>
  <c r="B23" i="61"/>
  <c r="D147" i="61"/>
  <c r="B9" i="65"/>
  <c r="D9" i="65"/>
  <c r="D8" i="61"/>
  <c r="G26" i="87"/>
  <c r="H9" i="73"/>
  <c r="F8" i="61"/>
  <c r="C9" i="65"/>
  <c r="E9" i="61"/>
  <c r="D9" i="61"/>
  <c r="F9" i="61"/>
  <c r="C7" i="65"/>
  <c r="B7" i="65"/>
  <c r="C9" i="61"/>
  <c r="G29" i="52"/>
  <c r="C20" i="72"/>
  <c r="D41" i="74" s="1"/>
  <c r="D28" i="74"/>
  <c r="C5" i="86" s="1"/>
  <c r="B147" i="61"/>
  <c r="F59" i="57"/>
  <c r="I26" i="67"/>
  <c r="J26" i="67" s="1"/>
  <c r="F24" i="61" s="1"/>
  <c r="F212" i="61"/>
  <c r="F213" i="61" s="1"/>
  <c r="K8" i="75"/>
  <c r="O8" i="75" s="1"/>
  <c r="K9" i="75"/>
  <c r="O7" i="75" s="1"/>
  <c r="K10" i="75"/>
  <c r="O6" i="75" s="1"/>
  <c r="E11" i="73"/>
  <c r="F9" i="73"/>
  <c r="D32" i="57"/>
  <c r="C37" i="47"/>
  <c r="E37" i="47" s="1"/>
  <c r="C38" i="47"/>
  <c r="E38" i="47" s="1"/>
  <c r="C41" i="47"/>
  <c r="E41" i="47" s="1"/>
  <c r="C36" i="47"/>
  <c r="E36" i="47" s="1"/>
  <c r="C40" i="47"/>
  <c r="E40" i="47" s="1"/>
  <c r="G19" i="57"/>
  <c r="E14" i="73"/>
  <c r="I11" i="73"/>
  <c r="I9" i="73"/>
  <c r="G9" i="73"/>
  <c r="D33" i="57"/>
  <c r="F26" i="52"/>
  <c r="L10" i="75"/>
  <c r="P6" i="75" s="1"/>
  <c r="L9" i="75"/>
  <c r="P7" i="75" s="1"/>
  <c r="L8" i="75"/>
  <c r="P8" i="75" s="1"/>
  <c r="L7" i="75"/>
  <c r="P9" i="75" s="1"/>
  <c r="K7" i="75"/>
  <c r="O9" i="75" s="1"/>
  <c r="K6" i="75"/>
  <c r="O10" i="75" s="1"/>
  <c r="C34" i="47"/>
  <c r="D33" i="47"/>
  <c r="D34" i="57"/>
  <c r="F11" i="73"/>
  <c r="D24" i="65"/>
  <c r="H11" i="73"/>
  <c r="H19" i="57"/>
  <c r="H52" i="57" s="1"/>
  <c r="B7" i="61"/>
  <c r="F27" i="54"/>
  <c r="F33" i="54" s="1"/>
  <c r="H31" i="57"/>
  <c r="B8" i="61"/>
  <c r="C8" i="61"/>
  <c r="C23" i="61"/>
  <c r="D5" i="65"/>
  <c r="B8" i="65"/>
  <c r="B5" i="65"/>
  <c r="C6" i="65"/>
  <c r="C8" i="65"/>
  <c r="H35" i="87"/>
  <c r="D8" i="65"/>
  <c r="D7" i="65"/>
  <c r="C24" i="65"/>
  <c r="E7" i="65"/>
  <c r="E9" i="65"/>
  <c r="E6" i="65"/>
  <c r="E8" i="65"/>
  <c r="B6" i="61"/>
  <c r="H57" i="66"/>
  <c r="H59" i="66" s="1"/>
  <c r="I14" i="73"/>
  <c r="H14" i="73"/>
  <c r="F23" i="61"/>
  <c r="F25" i="52"/>
  <c r="C15" i="85"/>
  <c r="C19" i="85" s="1"/>
  <c r="B24" i="65"/>
  <c r="F23" i="52"/>
  <c r="F7" i="61"/>
  <c r="H26" i="87"/>
  <c r="G27" i="54"/>
  <c r="G33" i="54" s="1"/>
  <c r="G11" i="87"/>
  <c r="H27" i="87"/>
  <c r="B6" i="85"/>
  <c r="B5" i="85" s="1"/>
  <c r="D7" i="61"/>
  <c r="E8" i="61"/>
  <c r="E6" i="61"/>
  <c r="F54" i="52"/>
  <c r="F55" i="52" s="1"/>
  <c r="G14" i="73"/>
  <c r="E5" i="72"/>
  <c r="D36" i="47"/>
  <c r="D38" i="47"/>
  <c r="D41" i="47"/>
  <c r="D35" i="47"/>
  <c r="D37" i="47"/>
  <c r="D39" i="47"/>
  <c r="D40" i="47"/>
  <c r="D13" i="73"/>
  <c r="D8" i="73"/>
  <c r="E9" i="73" s="1"/>
  <c r="F6" i="65"/>
  <c r="F7" i="65"/>
  <c r="F8" i="65"/>
  <c r="F9" i="65"/>
  <c r="F24" i="65"/>
  <c r="E23" i="61"/>
  <c r="D23" i="61"/>
  <c r="E26" i="52"/>
  <c r="B42" i="85"/>
  <c r="C6" i="84"/>
  <c r="I51" i="67"/>
  <c r="J51" i="67" s="1"/>
  <c r="E24" i="61" s="1"/>
  <c r="B46" i="85"/>
  <c r="D19" i="57"/>
  <c r="D52" i="57" s="1"/>
  <c r="E11" i="57"/>
  <c r="B60" i="85"/>
  <c r="C11" i="57"/>
  <c r="C23" i="57"/>
  <c r="G31" i="57"/>
  <c r="F31" i="57"/>
  <c r="F10" i="61" l="1"/>
  <c r="C10" i="61"/>
  <c r="D10" i="61"/>
  <c r="B10" i="61"/>
  <c r="E10" i="61"/>
  <c r="B33" i="85"/>
  <c r="F37" i="47"/>
  <c r="F38" i="47"/>
  <c r="F40" i="47"/>
  <c r="F36" i="47"/>
  <c r="G25" i="52"/>
  <c r="G52" i="57"/>
  <c r="D53" i="57"/>
  <c r="B61" i="85"/>
  <c r="B59" i="85" s="1"/>
  <c r="C39" i="47"/>
  <c r="E39" i="47" s="1"/>
  <c r="C35" i="47"/>
  <c r="E35" i="47" s="1"/>
  <c r="F41" i="47"/>
  <c r="G23" i="52"/>
  <c r="F27" i="52"/>
  <c r="C42" i="85"/>
  <c r="C64" i="85" s="1"/>
  <c r="H11" i="57"/>
  <c r="H35" i="57" s="1"/>
  <c r="H34" i="57"/>
  <c r="H53" i="57"/>
  <c r="G26" i="52"/>
  <c r="C33" i="47"/>
  <c r="E34" i="47"/>
  <c r="D34" i="47"/>
  <c r="D42" i="47" s="1"/>
  <c r="D10" i="65"/>
  <c r="C43" i="85"/>
  <c r="G24" i="52"/>
  <c r="G11" i="57"/>
  <c r="C18" i="85" s="1"/>
  <c r="C69" i="85" s="1"/>
  <c r="C67" i="85" s="1"/>
  <c r="C10" i="65"/>
  <c r="B10" i="65"/>
  <c r="E10" i="65"/>
  <c r="G35" i="87"/>
  <c r="G31" i="87"/>
  <c r="G27" i="87"/>
  <c r="F10" i="65"/>
  <c r="G23" i="81"/>
  <c r="H10" i="81" s="1"/>
  <c r="D23" i="81"/>
  <c r="B55" i="85"/>
  <c r="E19" i="72"/>
  <c r="E17" i="72"/>
  <c r="E15" i="72"/>
  <c r="E13" i="72"/>
  <c r="E11" i="72"/>
  <c r="E9" i="72"/>
  <c r="E6" i="72"/>
  <c r="E18" i="72"/>
  <c r="E16" i="72"/>
  <c r="E14" i="72"/>
  <c r="E12" i="72"/>
  <c r="E10" i="72"/>
  <c r="E8" i="72"/>
  <c r="E7" i="72"/>
  <c r="H5" i="72"/>
  <c r="D11" i="73"/>
  <c r="D14" i="73"/>
  <c r="D9" i="73"/>
  <c r="B5" i="84"/>
  <c r="D5" i="84" s="1"/>
  <c r="C51" i="85"/>
  <c r="F11" i="57"/>
  <c r="B64" i="85"/>
  <c r="E24" i="52"/>
  <c r="F29" i="52"/>
  <c r="E23" i="52"/>
  <c r="E25" i="52"/>
  <c r="E55" i="52"/>
  <c r="B6" i="84"/>
  <c r="D6" i="84" s="1"/>
  <c r="C27" i="57"/>
  <c r="C53" i="57" s="1"/>
  <c r="C31" i="57"/>
  <c r="B51" i="85"/>
  <c r="B49" i="85" s="1"/>
  <c r="B5" i="86"/>
  <c r="D5" i="86" s="1"/>
  <c r="E27" i="57"/>
  <c r="E53" i="57" s="1"/>
  <c r="E31" i="57"/>
  <c r="F57" i="57" s="1"/>
  <c r="F39" i="47" l="1"/>
  <c r="G27" i="52"/>
  <c r="C17" i="85"/>
  <c r="F35" i="47"/>
  <c r="E27" i="52"/>
  <c r="C41" i="85"/>
  <c r="F33" i="47"/>
  <c r="E33" i="47"/>
  <c r="C42" i="47"/>
  <c r="F34" i="47"/>
  <c r="C65" i="85"/>
  <c r="C63" i="85" s="1"/>
  <c r="C47" i="85"/>
  <c r="G34" i="57"/>
  <c r="G27" i="57"/>
  <c r="G33" i="87"/>
  <c r="C68" i="85"/>
  <c r="C55" i="85"/>
  <c r="E21" i="81"/>
  <c r="E19" i="81"/>
  <c r="E17" i="81"/>
  <c r="E7" i="81"/>
  <c r="E14" i="81"/>
  <c r="E12" i="81"/>
  <c r="E10" i="81"/>
  <c r="E8" i="81"/>
  <c r="E22" i="81"/>
  <c r="E20" i="81"/>
  <c r="E18" i="81"/>
  <c r="E16" i="81"/>
  <c r="E6" i="81"/>
  <c r="E15" i="81"/>
  <c r="E13" i="81"/>
  <c r="E11" i="81"/>
  <c r="E9" i="81"/>
  <c r="H8" i="81"/>
  <c r="H9" i="81"/>
  <c r="H6" i="81"/>
  <c r="H7" i="81"/>
  <c r="H15" i="81"/>
  <c r="H13" i="81"/>
  <c r="H22" i="81"/>
  <c r="H20" i="81"/>
  <c r="H18" i="81"/>
  <c r="H16" i="81"/>
  <c r="C54" i="85"/>
  <c r="H11" i="81"/>
  <c r="H14" i="81"/>
  <c r="H12" i="81"/>
  <c r="H21" i="81"/>
  <c r="H19" i="81"/>
  <c r="H17" i="81"/>
  <c r="E5" i="81"/>
  <c r="H5" i="81"/>
  <c r="B25" i="85"/>
  <c r="B70" i="85" s="1"/>
  <c r="H7" i="72"/>
  <c r="H19" i="72"/>
  <c r="H17" i="72"/>
  <c r="H15" i="72"/>
  <c r="H13" i="72"/>
  <c r="H11" i="72"/>
  <c r="H9" i="72"/>
  <c r="B54" i="85"/>
  <c r="B53" i="85" s="1"/>
  <c r="H6" i="72"/>
  <c r="H18" i="72"/>
  <c r="H16" i="72"/>
  <c r="H14" i="72"/>
  <c r="H12" i="72"/>
  <c r="H10" i="72"/>
  <c r="H8" i="72"/>
  <c r="E20" i="72"/>
  <c r="B69" i="85"/>
  <c r="C29" i="85"/>
  <c r="F34" i="57"/>
  <c r="F27" i="57"/>
  <c r="F53" i="57" s="1"/>
  <c r="D35" i="57"/>
  <c r="E35" i="57"/>
  <c r="C35" i="57"/>
  <c r="C53" i="85" l="1"/>
  <c r="G53" i="57"/>
  <c r="G35" i="57"/>
  <c r="F49" i="57"/>
  <c r="G49" i="57" s="1"/>
  <c r="F60" i="57"/>
  <c r="F42" i="47"/>
  <c r="E42" i="47"/>
  <c r="H20" i="72"/>
  <c r="H23" i="81"/>
  <c r="E23" i="81"/>
  <c r="C28" i="85"/>
  <c r="C27" i="85" s="1"/>
  <c r="F35" i="57"/>
  <c r="B29" i="85"/>
  <c r="B43" i="85" s="1"/>
  <c r="B67" i="85"/>
  <c r="B68" i="85"/>
  <c r="B24" i="85"/>
  <c r="B47" i="85" l="1"/>
  <c r="B45" i="85" s="1"/>
  <c r="B65" i="85"/>
  <c r="B63" i="85" s="1"/>
  <c r="B41" i="85"/>
  <c r="B32" i="85"/>
  <c r="B31" i="85" s="1"/>
  <c r="B23" i="85"/>
  <c r="B28" i="85"/>
  <c r="B27" i="85" s="1"/>
  <c r="B39" i="85" l="1"/>
  <c r="F10" i="81"/>
  <c r="F23" i="81" s="1"/>
  <c r="J14" i="74"/>
  <c r="J28" i="74" s="1"/>
  <c r="L14" i="74" l="1"/>
  <c r="J41" i="74"/>
  <c r="I29" i="74" s="1"/>
  <c r="E5" i="86"/>
  <c r="F34" i="81"/>
  <c r="I15" i="81"/>
  <c r="F33" i="81"/>
  <c r="I22" i="81"/>
  <c r="I7" i="81"/>
  <c r="K43" i="74"/>
  <c r="K44" i="74" s="1"/>
  <c r="C60" i="85" l="1"/>
  <c r="H60" i="85" s="1"/>
  <c r="C61" i="85"/>
  <c r="H61" i="85" s="1"/>
  <c r="J29" i="74"/>
  <c r="C59" i="85" l="1"/>
  <c r="H59" i="85"/>
  <c r="E6" i="84"/>
  <c r="E6" i="86"/>
  <c r="C10" i="85"/>
  <c r="C14" i="85" l="1"/>
  <c r="C13" i="85" s="1"/>
  <c r="C10" i="81"/>
  <c r="C23" i="81" s="1"/>
  <c r="E14" i="74"/>
  <c r="G14" i="74" s="1"/>
  <c r="G28" i="74" l="1"/>
  <c r="E41" i="74"/>
  <c r="E42" i="74" s="1"/>
  <c r="C37" i="85"/>
  <c r="F6" i="86"/>
  <c r="G6" i="86" s="1"/>
  <c r="E28" i="74"/>
  <c r="E5" i="84" l="1"/>
  <c r="G5" i="84" s="1"/>
  <c r="H14" i="74"/>
  <c r="H7" i="74"/>
  <c r="J40" i="74"/>
  <c r="C33" i="85"/>
  <c r="F5" i="86"/>
  <c r="G5" i="86" s="1"/>
  <c r="I41" i="74"/>
  <c r="D29" i="74" s="1"/>
  <c r="F37" i="85"/>
  <c r="H15" i="74"/>
  <c r="H24" i="74"/>
  <c r="H8" i="74"/>
  <c r="H23" i="74"/>
  <c r="H25" i="74"/>
  <c r="H20" i="74"/>
  <c r="H21" i="74"/>
  <c r="H13" i="74"/>
  <c r="H10" i="74"/>
  <c r="H19" i="74"/>
  <c r="S8" i="74"/>
  <c r="H17" i="74"/>
  <c r="H16" i="74"/>
  <c r="H11" i="74"/>
  <c r="H26" i="74"/>
  <c r="H27" i="74"/>
  <c r="H12" i="74"/>
  <c r="H22" i="74"/>
  <c r="H9" i="74"/>
  <c r="H18" i="74"/>
  <c r="H28" i="74" l="1"/>
  <c r="S9" i="74"/>
  <c r="S10" i="74"/>
  <c r="E29" i="74"/>
  <c r="C50" i="85" l="1"/>
  <c r="C49" i="85" s="1"/>
  <c r="F6" i="84"/>
  <c r="G6" i="84" s="1"/>
  <c r="C46" i="85" l="1"/>
  <c r="C45" i="85" s="1"/>
  <c r="C39" i="85" s="1"/>
  <c r="H30" i="87" l="1"/>
  <c r="C24" i="85"/>
  <c r="H36" i="87" l="1"/>
  <c r="H31" i="87"/>
  <c r="H33" i="87" s="1"/>
  <c r="C23" i="85"/>
  <c r="C32" i="85"/>
  <c r="C36" i="85" l="1"/>
  <c r="C35" i="85" s="1"/>
  <c r="C31" i="85"/>
  <c r="K15" i="74" l="1"/>
  <c r="L15" i="74" l="1"/>
  <c r="K28" i="74"/>
  <c r="T7" i="74" s="1"/>
  <c r="L28" i="74" l="1"/>
  <c r="M15" i="74" s="1"/>
  <c r="M7" i="74" l="1"/>
  <c r="M26" i="74"/>
  <c r="M13" i="74"/>
  <c r="M10" i="74"/>
  <c r="M27" i="74"/>
  <c r="M22" i="74"/>
  <c r="M12" i="74"/>
  <c r="M11" i="74"/>
  <c r="M18" i="74"/>
  <c r="M24" i="74"/>
  <c r="M20" i="74"/>
  <c r="N28" i="74"/>
  <c r="M25" i="74"/>
  <c r="M21" i="74"/>
  <c r="M19" i="74"/>
  <c r="M17" i="74"/>
  <c r="C11" i="85"/>
  <c r="C9" i="85" s="1"/>
  <c r="M16" i="74"/>
  <c r="M9" i="74"/>
  <c r="T8" i="74"/>
  <c r="M8" i="74"/>
  <c r="M23" i="74"/>
  <c r="M14" i="74"/>
  <c r="T9" i="74" l="1"/>
  <c r="T10" i="74"/>
  <c r="M28" i="74"/>
  <c r="D35" i="46" l="1"/>
  <c r="E22" i="46" l="1"/>
  <c r="B21" i="46"/>
  <c r="E21" i="46"/>
  <c r="E18" i="46"/>
  <c r="E14" i="46"/>
  <c r="E13" i="46" s="1"/>
  <c r="B12" i="46"/>
  <c r="B11" i="46"/>
  <c r="E9" i="46"/>
  <c r="E6" i="46" s="1"/>
  <c r="B7" i="46" l="1"/>
  <c r="B6" i="46" s="1"/>
  <c r="B7" i="47"/>
  <c r="B6" i="47" s="1"/>
  <c r="B14" i="46"/>
  <c r="B14" i="47"/>
  <c r="B20" i="46"/>
  <c r="B19" i="46" s="1"/>
  <c r="B10" i="46"/>
  <c r="B15" i="46"/>
  <c r="B15" i="47"/>
  <c r="E20" i="46"/>
  <c r="E24" i="46"/>
  <c r="B13" i="47" l="1"/>
  <c r="D13" i="47" s="1"/>
  <c r="H20" i="46"/>
  <c r="E19" i="46"/>
  <c r="D6" i="47"/>
  <c r="B13" i="46"/>
  <c r="B26" i="47" l="1"/>
  <c r="D26" i="47" s="1"/>
  <c r="B24" i="46" l="1"/>
  <c r="B25" i="46" l="1"/>
  <c r="B26" i="46" s="1"/>
  <c r="E25" i="46"/>
  <c r="E26" i="46" s="1"/>
  <c r="B27" i="46" l="1"/>
  <c r="B30" i="46" s="1"/>
  <c r="E27" i="46" l="1"/>
  <c r="C43" i="46" l="1"/>
  <c r="E43" i="46" l="1"/>
  <c r="C25" i="46" s="1"/>
  <c r="D25" i="46" s="1"/>
  <c r="C41" i="46"/>
  <c r="C37" i="46"/>
  <c r="C38" i="46"/>
  <c r="C39" i="46"/>
  <c r="C40" i="46"/>
  <c r="E40" i="46" l="1"/>
  <c r="C22" i="46" s="1"/>
  <c r="D22" i="46" s="1"/>
  <c r="E41" i="46"/>
  <c r="C23" i="46" s="1"/>
  <c r="D23" i="46" s="1"/>
  <c r="C36" i="46"/>
  <c r="E38" i="46"/>
  <c r="C18" i="46" s="1"/>
  <c r="D18" i="46" s="1"/>
  <c r="E39" i="46"/>
  <c r="C19" i="46" s="1"/>
  <c r="D19" i="46" s="1"/>
  <c r="E37" i="46"/>
  <c r="C13" i="46" s="1"/>
  <c r="D13" i="46" s="1"/>
  <c r="E36" i="46" l="1"/>
  <c r="C10" i="46" s="1"/>
  <c r="D10" i="46" s="1"/>
  <c r="D40" i="46" l="1"/>
  <c r="F40" i="46" s="1"/>
  <c r="F22" i="46" s="1"/>
  <c r="G22" i="46" s="1"/>
  <c r="D36" i="46" l="1"/>
  <c r="D43" i="46"/>
  <c r="F43" i="46" s="1"/>
  <c r="F25" i="46" s="1"/>
  <c r="G25" i="46" s="1"/>
  <c r="D37" i="46"/>
  <c r="F37" i="46" s="1"/>
  <c r="F13" i="46" s="1"/>
  <c r="G13" i="46" s="1"/>
  <c r="D38" i="46"/>
  <c r="F38" i="46" s="1"/>
  <c r="F18" i="46" s="1"/>
  <c r="G18" i="46" s="1"/>
  <c r="D42" i="46"/>
  <c r="D39" i="46"/>
  <c r="F39" i="46" s="1"/>
  <c r="F19" i="46" s="1"/>
  <c r="G19" i="46" s="1"/>
  <c r="D41" i="46"/>
  <c r="F41" i="46" s="1"/>
  <c r="F23" i="46" s="1"/>
  <c r="G23" i="46" s="1"/>
  <c r="D44" i="46" l="1"/>
  <c r="F36" i="46"/>
  <c r="F10" i="46" s="1"/>
  <c r="G10" i="46" s="1"/>
  <c r="C42" i="46" l="1"/>
  <c r="E42" i="46" l="1"/>
  <c r="C24" i="46" s="1"/>
  <c r="D24" i="46" s="1"/>
  <c r="F42" i="46"/>
  <c r="F24" i="46" s="1"/>
  <c r="G24" i="46" s="1"/>
  <c r="C35" i="46" l="1"/>
  <c r="E35" i="46" l="1"/>
  <c r="C44" i="46"/>
  <c r="F35" i="46"/>
  <c r="F44" i="46" l="1"/>
  <c r="F6" i="46"/>
  <c r="E44" i="46"/>
  <c r="C6" i="46"/>
  <c r="C26" i="46" l="1"/>
  <c r="D26" i="46" s="1"/>
  <c r="D6" i="46"/>
  <c r="F26" i="46"/>
  <c r="G26" i="46" s="1"/>
  <c r="G6" i="46"/>
  <c r="W12" i="58" l="1"/>
  <c r="W23" i="58" l="1"/>
  <c r="H22" i="58" l="1"/>
  <c r="H20" i="58"/>
  <c r="H19" i="58"/>
  <c r="H11" i="58"/>
  <c r="H10" i="58"/>
  <c r="V10" i="58" s="1"/>
  <c r="H21" i="58" l="1"/>
  <c r="V21" i="58" s="1"/>
  <c r="H8" i="58"/>
  <c r="H18" i="58"/>
  <c r="H9" i="58"/>
  <c r="H23" i="58" l="1"/>
  <c r="H7" i="58"/>
  <c r="O13" i="49"/>
  <c r="L97" i="49" l="1"/>
  <c r="AA10" i="49"/>
  <c r="H12" i="58"/>
  <c r="Q13" i="49" l="1"/>
  <c r="M97" i="49" l="1"/>
  <c r="AB10" i="49"/>
  <c r="AH10" i="49" l="1"/>
  <c r="L22" i="58" l="1"/>
  <c r="V22" i="58" s="1"/>
  <c r="L20" i="58"/>
  <c r="V20" i="58" s="1"/>
  <c r="L19" i="58"/>
  <c r="V19" i="58" s="1"/>
  <c r="L18" i="58"/>
  <c r="L11" i="58"/>
  <c r="V11" i="58" s="1"/>
  <c r="L9" i="58"/>
  <c r="V9" i="58" s="1"/>
  <c r="L8" i="58"/>
  <c r="V8" i="58" s="1"/>
  <c r="L7" i="58"/>
  <c r="L12" i="58" l="1"/>
  <c r="V7" i="58"/>
  <c r="V12" i="58" s="1"/>
  <c r="X12" i="58" s="1"/>
  <c r="L23" i="58"/>
  <c r="V18" i="58"/>
  <c r="V23" i="58" s="1"/>
  <c r="X23" i="58" s="1"/>
  <c r="O15" i="42" l="1"/>
  <c r="Q15" i="42"/>
  <c r="K80" i="42" l="1"/>
  <c r="AD12" i="42"/>
  <c r="O22" i="42"/>
  <c r="AE12" i="42"/>
  <c r="Q22" i="42"/>
  <c r="S15" i="42"/>
  <c r="L80" i="42"/>
  <c r="R7" i="42" l="1"/>
  <c r="R9" i="42"/>
  <c r="R13" i="42"/>
  <c r="AP11" i="42"/>
  <c r="R21" i="42"/>
  <c r="R20" i="42"/>
  <c r="R11" i="42"/>
  <c r="AP9" i="42"/>
  <c r="R10" i="42"/>
  <c r="R18" i="42"/>
  <c r="AP8" i="42"/>
  <c r="AP7" i="42"/>
  <c r="Q23" i="42"/>
  <c r="AE14" i="42" s="1"/>
  <c r="R16" i="42"/>
  <c r="AP10" i="42"/>
  <c r="R19" i="42"/>
  <c r="R12" i="42"/>
  <c r="R14" i="42"/>
  <c r="R8" i="42"/>
  <c r="R17" i="42"/>
  <c r="AO8" i="42"/>
  <c r="AO11" i="42"/>
  <c r="P10" i="42"/>
  <c r="P14" i="42"/>
  <c r="AO9" i="42"/>
  <c r="P20" i="42"/>
  <c r="P9" i="42"/>
  <c r="P17" i="42"/>
  <c r="P12" i="42"/>
  <c r="P16" i="42"/>
  <c r="P7" i="42"/>
  <c r="P13" i="42"/>
  <c r="P8" i="42"/>
  <c r="O23" i="42"/>
  <c r="AD14" i="42" s="1"/>
  <c r="AO10" i="42"/>
  <c r="P18" i="42"/>
  <c r="AO7" i="42"/>
  <c r="P11" i="42"/>
  <c r="P19" i="42"/>
  <c r="P21" i="42"/>
  <c r="Q78" i="42"/>
  <c r="Q74" i="42"/>
  <c r="Q86" i="42"/>
  <c r="AF10" i="42" s="1"/>
  <c r="Q85" i="42"/>
  <c r="Q82" i="42"/>
  <c r="Q80" i="42"/>
  <c r="AF12" i="42" s="1"/>
  <c r="Q73" i="42"/>
  <c r="K87" i="42"/>
  <c r="K89" i="42" s="1"/>
  <c r="Q72" i="42"/>
  <c r="Q75" i="42"/>
  <c r="AF9" i="42" s="1"/>
  <c r="Q84" i="42"/>
  <c r="AF8" i="42" s="1"/>
  <c r="Q83" i="42"/>
  <c r="Q81" i="42"/>
  <c r="Q77" i="42"/>
  <c r="AF7" i="42" s="1"/>
  <c r="Q79" i="42"/>
  <c r="Q76" i="42"/>
  <c r="R75" i="42"/>
  <c r="R82" i="42"/>
  <c r="R86" i="42"/>
  <c r="R85" i="42"/>
  <c r="R73" i="42"/>
  <c r="R80" i="42"/>
  <c r="R78" i="42"/>
  <c r="L87" i="42"/>
  <c r="L89" i="42" s="1"/>
  <c r="R79" i="42"/>
  <c r="R74" i="42"/>
  <c r="R72" i="42"/>
  <c r="R76" i="42"/>
  <c r="R83" i="42"/>
  <c r="R84" i="42"/>
  <c r="R77" i="42"/>
  <c r="R81" i="42"/>
  <c r="AP19" i="42"/>
  <c r="AP14" i="42"/>
  <c r="AO19" i="42"/>
  <c r="AO14" i="42"/>
  <c r="R15" i="42"/>
  <c r="P15" i="42"/>
  <c r="AO12" i="42" l="1"/>
  <c r="P22" i="42"/>
  <c r="R22" i="42"/>
  <c r="X20" i="42"/>
  <c r="AP12" i="42"/>
  <c r="X21" i="42" l="1"/>
  <c r="Y21" i="42" s="1"/>
  <c r="Y20" i="42"/>
  <c r="L24" i="58" l="1"/>
  <c r="L25" i="58" s="1"/>
  <c r="H24" i="58"/>
  <c r="H25" i="58" s="1"/>
  <c r="L13" i="58"/>
  <c r="L14" i="58" s="1"/>
  <c r="H13" i="58"/>
  <c r="H14" i="58" s="1"/>
  <c r="Q18" i="49" l="1"/>
  <c r="H17" i="55"/>
  <c r="H17" i="53"/>
  <c r="H17" i="51"/>
  <c r="O18" i="49"/>
  <c r="L102" i="49" l="1"/>
  <c r="AA11" i="49"/>
  <c r="O26" i="49"/>
  <c r="P18" i="49" s="1"/>
  <c r="H22" i="51"/>
  <c r="V17" i="51"/>
  <c r="V22" i="51" s="1"/>
  <c r="V17" i="55"/>
  <c r="V22" i="55" s="1"/>
  <c r="H22" i="55"/>
  <c r="H22" i="53"/>
  <c r="V17" i="53"/>
  <c r="V22" i="53" s="1"/>
  <c r="M102" i="49"/>
  <c r="AB11" i="49"/>
  <c r="Q26" i="49"/>
  <c r="R18" i="49" l="1"/>
  <c r="R14" i="49"/>
  <c r="R19" i="49"/>
  <c r="R9" i="49"/>
  <c r="R12" i="49"/>
  <c r="M110" i="49"/>
  <c r="T101" i="49" s="1"/>
  <c r="R21" i="49"/>
  <c r="AM13" i="49"/>
  <c r="R11" i="49"/>
  <c r="R24" i="49"/>
  <c r="AM12" i="49"/>
  <c r="R25" i="49"/>
  <c r="R22" i="49"/>
  <c r="R8" i="49"/>
  <c r="R20" i="49"/>
  <c r="AM9" i="49"/>
  <c r="R17" i="49"/>
  <c r="Q27" i="49"/>
  <c r="R15" i="49"/>
  <c r="R16" i="49"/>
  <c r="R10" i="49"/>
  <c r="R23" i="49"/>
  <c r="R13" i="49"/>
  <c r="AM10" i="49"/>
  <c r="AH11" i="49"/>
  <c r="S102" i="49"/>
  <c r="S104" i="49"/>
  <c r="S97" i="49"/>
  <c r="S99" i="49"/>
  <c r="S100" i="49"/>
  <c r="L110" i="49"/>
  <c r="L111" i="49" s="1"/>
  <c r="S107" i="49"/>
  <c r="S98" i="49"/>
  <c r="S103" i="49"/>
  <c r="S106" i="49"/>
  <c r="S93" i="49"/>
  <c r="S96" i="49"/>
  <c r="S105" i="49"/>
  <c r="S95" i="49"/>
  <c r="S108" i="49"/>
  <c r="S101" i="49"/>
  <c r="S92" i="49"/>
  <c r="S94" i="49"/>
  <c r="S109" i="49"/>
  <c r="P23" i="49"/>
  <c r="P8" i="49"/>
  <c r="P15" i="49"/>
  <c r="P12" i="49"/>
  <c r="P10" i="49"/>
  <c r="P24" i="49"/>
  <c r="P11" i="49"/>
  <c r="P22" i="49"/>
  <c r="AL9" i="49"/>
  <c r="O27" i="49"/>
  <c r="P16" i="49"/>
  <c r="P17" i="49"/>
  <c r="P20" i="49"/>
  <c r="P21" i="49"/>
  <c r="P14" i="49"/>
  <c r="AL12" i="49"/>
  <c r="P25" i="49"/>
  <c r="P9" i="49"/>
  <c r="AL13" i="49"/>
  <c r="P19" i="49"/>
  <c r="P13" i="49"/>
  <c r="AL10" i="49"/>
  <c r="AM11" i="49"/>
  <c r="AL11" i="49"/>
  <c r="T102" i="49" l="1"/>
  <c r="T103" i="49"/>
  <c r="T100" i="49"/>
  <c r="T104" i="49"/>
  <c r="T96" i="49"/>
  <c r="T98" i="49"/>
  <c r="T93" i="49"/>
  <c r="T97" i="49"/>
  <c r="T108" i="49"/>
  <c r="T109" i="49"/>
  <c r="T106" i="49"/>
  <c r="T95" i="49"/>
  <c r="T105" i="49"/>
  <c r="T107" i="49"/>
  <c r="T92" i="49"/>
  <c r="T94" i="49"/>
  <c r="T99" i="49"/>
  <c r="R26" i="49"/>
  <c r="AL14" i="49"/>
  <c r="P26" i="49"/>
  <c r="AM14" i="49"/>
  <c r="W18" i="49"/>
  <c r="M111" i="49"/>
  <c r="X18" i="49" l="1"/>
  <c r="W19" i="49"/>
  <c r="X19" i="49" s="1"/>
  <c r="W22" i="56" l="1"/>
  <c r="X22" i="56" s="1"/>
  <c r="O29" i="49" l="1"/>
  <c r="O30" i="49" s="1"/>
  <c r="P30" i="49" s="1"/>
  <c r="V24" i="58"/>
  <c r="V25" i="58" s="1"/>
  <c r="W22" i="53" l="1"/>
  <c r="X22" i="53" s="1"/>
  <c r="W22" i="51"/>
  <c r="X22" i="51" s="1"/>
  <c r="W22" i="55"/>
  <c r="X22" i="55" s="1"/>
  <c r="Q29" i="49" l="1"/>
  <c r="Q30" i="49" s="1"/>
  <c r="R30" i="49" s="1"/>
  <c r="V13" i="58" l="1"/>
  <c r="V14" i="58" s="1"/>
  <c r="W11" i="53" l="1"/>
  <c r="X11" i="53" s="1"/>
  <c r="W11" i="55"/>
  <c r="X11" i="55" s="1"/>
  <c r="W11" i="51"/>
  <c r="X11" i="51" s="1"/>
  <c r="I354" i="142"/>
  <c r="J27" i="142"/>
  <c r="I462" i="142"/>
  <c r="J30" i="142" l="1"/>
  <c r="I464" i="142"/>
  <c r="I356" i="142"/>
  <c r="I358" i="142" l="1"/>
  <c r="J32" i="142"/>
  <c r="I466" i="142"/>
  <c r="J34" i="142" l="1"/>
</calcChain>
</file>

<file path=xl/comments1.xml><?xml version="1.0" encoding="utf-8"?>
<comments xmlns="http://schemas.openxmlformats.org/spreadsheetml/2006/main">
  <authors>
    <author>thilini</author>
  </authors>
  <commentList>
    <comment ref="D13" authorId="0" shapeId="0">
      <text>
        <r>
          <rPr>
            <b/>
            <i/>
            <sz val="9"/>
            <color indexed="81"/>
            <rFont val="Tahoma"/>
            <family val="2"/>
          </rPr>
          <t>thilini:</t>
        </r>
        <r>
          <rPr>
            <sz val="9"/>
            <color indexed="81"/>
            <rFont val="Tahoma"/>
            <family val="2"/>
          </rPr>
          <t xml:space="preserve">
10,041,212
</t>
        </r>
      </text>
    </comment>
  </commentList>
</comments>
</file>

<file path=xl/comments10.xml><?xml version="1.0" encoding="utf-8"?>
<comments xmlns="http://schemas.openxmlformats.org/spreadsheetml/2006/main">
  <authors>
    <author>hasini</author>
  </authors>
  <commentList>
    <comment ref="C92" authorId="0" shapeId="0">
      <text>
        <r>
          <rPr>
            <b/>
            <i/>
            <sz val="9"/>
            <color indexed="81"/>
            <rFont val="Tahoma"/>
            <family val="2"/>
          </rPr>
          <t>hasini:</t>
        </r>
        <r>
          <rPr>
            <i/>
            <sz val="9"/>
            <color indexed="81"/>
            <rFont val="Tahoma"/>
            <family val="2"/>
          </rPr>
          <t xml:space="preserve">
AIG; since closed during the year no branches available
</t>
        </r>
      </text>
    </comment>
    <comment ref="K198" authorId="0" shapeId="0">
      <text>
        <r>
          <rPr>
            <b/>
            <i/>
            <sz val="9"/>
            <color indexed="81"/>
            <rFont val="Tahoma"/>
            <family val="2"/>
          </rPr>
          <t>hasini:</t>
        </r>
        <r>
          <rPr>
            <i/>
            <sz val="9"/>
            <color indexed="81"/>
            <rFont val="Tahoma"/>
            <family val="2"/>
          </rPr>
          <t xml:space="preserve">
Added to composite colomn, while consolidating figures
</t>
        </r>
      </text>
    </comment>
  </commentList>
</comments>
</file>

<file path=xl/comments11.xml><?xml version="1.0" encoding="utf-8"?>
<comments xmlns="http://schemas.openxmlformats.org/spreadsheetml/2006/main">
  <authors>
    <author>thilini</author>
    <author>shanika</author>
  </authors>
  <commentList>
    <comment ref="H60" authorId="0" shapeId="0">
      <text>
        <r>
          <rPr>
            <b/>
            <i/>
            <sz val="9"/>
            <color indexed="81"/>
            <rFont val="Tahoma"/>
            <family val="2"/>
          </rPr>
          <t>thilini:</t>
        </r>
        <r>
          <rPr>
            <sz val="9"/>
            <color indexed="81"/>
            <rFont val="Tahoma"/>
            <family val="2"/>
          </rPr>
          <t xml:space="preserve">
Value taken to below Amortization...
</t>
        </r>
      </text>
    </comment>
    <comment ref="H61" authorId="0" shapeId="0">
      <text>
        <r>
          <rPr>
            <b/>
            <i/>
            <sz val="9"/>
            <color indexed="81"/>
            <rFont val="Tahoma"/>
            <family val="2"/>
          </rPr>
          <t>thilini:</t>
        </r>
        <r>
          <rPr>
            <sz val="9"/>
            <color indexed="81"/>
            <rFont val="Tahoma"/>
            <family val="2"/>
          </rPr>
          <t xml:space="preserve">
Should go to up
</t>
        </r>
      </text>
    </comment>
    <comment ref="C340" authorId="1" shapeId="0">
      <text>
        <r>
          <rPr>
            <b/>
            <i/>
            <sz val="9"/>
            <color indexed="81"/>
            <rFont val="Tahoma"/>
            <family val="2"/>
          </rPr>
          <t>Comapany sheet saya 135,172</t>
        </r>
        <r>
          <rPr>
            <sz val="9"/>
            <color indexed="81"/>
            <rFont val="Tahoma"/>
            <family val="2"/>
          </rPr>
          <t xml:space="preserve">
</t>
        </r>
      </text>
    </comment>
    <comment ref="D340" authorId="1" shapeId="0">
      <text>
        <r>
          <rPr>
            <b/>
            <i/>
            <sz val="9"/>
            <color indexed="81"/>
            <rFont val="Tahoma"/>
            <family val="2"/>
          </rPr>
          <t>Company figure is 4,190</t>
        </r>
        <r>
          <rPr>
            <sz val="9"/>
            <color indexed="81"/>
            <rFont val="Tahoma"/>
            <family val="2"/>
          </rPr>
          <t xml:space="preserve">
</t>
        </r>
      </text>
    </comment>
    <comment ref="G340" authorId="1" shapeId="0">
      <text>
        <r>
          <rPr>
            <b/>
            <i/>
            <sz val="9"/>
            <color indexed="81"/>
            <rFont val="Tahoma"/>
            <family val="2"/>
          </rPr>
          <t>Company figure is 30,840</t>
        </r>
        <r>
          <rPr>
            <sz val="9"/>
            <color indexed="81"/>
            <rFont val="Tahoma"/>
            <family val="2"/>
          </rPr>
          <t xml:space="preserve">
</t>
        </r>
      </text>
    </comment>
    <comment ref="C341" authorId="1" shapeId="0">
      <text>
        <r>
          <rPr>
            <b/>
            <i/>
            <sz val="9"/>
            <color indexed="81"/>
            <rFont val="Tahoma"/>
            <family val="2"/>
          </rPr>
          <t>Company figure is 283,553</t>
        </r>
        <r>
          <rPr>
            <sz val="9"/>
            <color indexed="81"/>
            <rFont val="Tahoma"/>
            <family val="2"/>
          </rPr>
          <t xml:space="preserve">
</t>
        </r>
      </text>
    </comment>
    <comment ref="D341" authorId="1" shapeId="0">
      <text>
        <r>
          <rPr>
            <b/>
            <i/>
            <sz val="9"/>
            <color indexed="81"/>
            <rFont val="Tahoma"/>
            <family val="2"/>
          </rPr>
          <t>Company figure is 56,477</t>
        </r>
        <r>
          <rPr>
            <sz val="9"/>
            <color indexed="81"/>
            <rFont val="Tahoma"/>
            <family val="2"/>
          </rPr>
          <t xml:space="preserve">
</t>
        </r>
      </text>
    </comment>
    <comment ref="G341" authorId="1" shapeId="0">
      <text>
        <r>
          <rPr>
            <b/>
            <i/>
            <sz val="9"/>
            <color indexed="81"/>
            <rFont val="Tahoma"/>
            <family val="2"/>
          </rPr>
          <t>Company figure is 100,966</t>
        </r>
        <r>
          <rPr>
            <sz val="9"/>
            <color indexed="81"/>
            <rFont val="Tahoma"/>
            <family val="2"/>
          </rPr>
          <t xml:space="preserve">
</t>
        </r>
      </text>
    </comment>
  </commentList>
</comments>
</file>

<file path=xl/comments12.xml><?xml version="1.0" encoding="utf-8"?>
<comments xmlns="http://schemas.openxmlformats.org/spreadsheetml/2006/main">
  <authors>
    <author>thilini</author>
    <author>shanika</author>
  </authors>
  <commentList>
    <comment ref="C27" authorId="0" shapeId="0">
      <text>
        <r>
          <rPr>
            <b/>
            <i/>
            <sz val="9"/>
            <color indexed="81"/>
            <rFont val="Tahoma"/>
            <family val="2"/>
          </rPr>
          <t>thilini:</t>
        </r>
        <r>
          <rPr>
            <sz val="9"/>
            <color indexed="81"/>
            <rFont val="Tahoma"/>
            <family val="2"/>
          </rPr>
          <t xml:space="preserve">
Other liabilities missing
</t>
        </r>
      </text>
    </comment>
    <comment ref="C94" authorId="1" shapeId="0">
      <text>
        <r>
          <rPr>
            <b/>
            <i/>
            <sz val="9"/>
            <color indexed="81"/>
            <rFont val="Tahoma"/>
            <family val="2"/>
          </rPr>
          <t>these figures are not tally with company figures in sheet 2,No.9</t>
        </r>
        <r>
          <rPr>
            <sz val="9"/>
            <color indexed="81"/>
            <rFont val="Tahoma"/>
            <family val="2"/>
          </rPr>
          <t xml:space="preserve">
</t>
        </r>
      </text>
    </comment>
    <comment ref="C96" authorId="1" shapeId="0">
      <text>
        <r>
          <rPr>
            <b/>
            <i/>
            <sz val="9"/>
            <color indexed="81"/>
            <rFont val="Tahoma"/>
            <family val="2"/>
          </rPr>
          <t>thses data are not available in the company sheet2,No.9</t>
        </r>
        <r>
          <rPr>
            <sz val="9"/>
            <color indexed="81"/>
            <rFont val="Tahoma"/>
            <family val="2"/>
          </rPr>
          <t xml:space="preserve">
</t>
        </r>
      </text>
    </comment>
    <comment ref="E96" authorId="1" shapeId="0">
      <text>
        <r>
          <rPr>
            <b/>
            <i/>
            <sz val="9"/>
            <color indexed="81"/>
            <rFont val="Tahoma"/>
            <family val="2"/>
          </rPr>
          <t>Data not available in company (sheet 2, No.9)</t>
        </r>
        <r>
          <rPr>
            <sz val="9"/>
            <color indexed="81"/>
            <rFont val="Tahoma"/>
            <family val="2"/>
          </rPr>
          <t xml:space="preserve">
</t>
        </r>
      </text>
    </comment>
    <comment ref="C98" authorId="1" shapeId="0">
      <text>
        <r>
          <rPr>
            <b/>
            <i/>
            <sz val="9"/>
            <color indexed="81"/>
            <rFont val="Tahoma"/>
            <family val="2"/>
          </rPr>
          <t xml:space="preserve">these figures are not tally with company figures in sheet 2,No.9 </t>
        </r>
        <r>
          <rPr>
            <sz val="9"/>
            <color indexed="81"/>
            <rFont val="Tahoma"/>
            <family val="2"/>
          </rPr>
          <t xml:space="preserve">
</t>
        </r>
      </text>
    </comment>
    <comment ref="G115" authorId="1" shapeId="0">
      <text>
        <r>
          <rPr>
            <b/>
            <i/>
            <sz val="9"/>
            <color indexed="81"/>
            <rFont val="Tahoma"/>
            <family val="2"/>
          </rPr>
          <t>As per company this should be 1177,882</t>
        </r>
        <r>
          <rPr>
            <sz val="9"/>
            <color indexed="81"/>
            <rFont val="Tahoma"/>
            <family val="2"/>
          </rPr>
          <t xml:space="preserve">
</t>
        </r>
      </text>
    </comment>
    <comment ref="G116" authorId="1" shapeId="0">
      <text>
        <r>
          <rPr>
            <b/>
            <i/>
            <sz val="9"/>
            <color indexed="81"/>
            <rFont val="Tahoma"/>
            <family val="2"/>
          </rPr>
          <t>As per company this  should be 890,463</t>
        </r>
        <r>
          <rPr>
            <sz val="9"/>
            <color indexed="81"/>
            <rFont val="Tahoma"/>
            <family val="2"/>
          </rPr>
          <t xml:space="preserve">
</t>
        </r>
      </text>
    </comment>
    <comment ref="G118" authorId="1" shapeId="0">
      <text>
        <r>
          <rPr>
            <b/>
            <i/>
            <sz val="9"/>
            <color indexed="81"/>
            <rFont val="Tahoma"/>
            <family val="2"/>
          </rPr>
          <t>As per company this should be 288,492</t>
        </r>
        <r>
          <rPr>
            <sz val="9"/>
            <color indexed="81"/>
            <rFont val="Tahoma"/>
            <family val="2"/>
          </rPr>
          <t xml:space="preserve">
</t>
        </r>
      </text>
    </comment>
  </commentList>
</comments>
</file>

<file path=xl/comments13.xml><?xml version="1.0" encoding="utf-8"?>
<comments xmlns="http://schemas.openxmlformats.org/spreadsheetml/2006/main">
  <authors>
    <author>kapila</author>
  </authors>
  <commentList>
    <comment ref="E4" authorId="0" shapeId="0">
      <text>
        <r>
          <rPr>
            <b/>
            <sz val="9"/>
            <color indexed="81"/>
            <rFont val="Tahoma"/>
            <family val="2"/>
          </rPr>
          <t>kapila:</t>
        </r>
        <r>
          <rPr>
            <b/>
            <i/>
            <sz val="9"/>
            <color indexed="81"/>
            <rFont val="Tahoma"/>
            <family val="2"/>
          </rPr>
          <t xml:space="preserve">
</t>
        </r>
        <r>
          <rPr>
            <i/>
            <sz val="9"/>
            <color indexed="81"/>
            <rFont val="Tahoma"/>
            <family val="2"/>
          </rPr>
          <t>Obtained from RMV</t>
        </r>
      </text>
    </comment>
    <comment ref="F4" authorId="0" shapeId="0">
      <text>
        <r>
          <rPr>
            <b/>
            <sz val="9"/>
            <color indexed="81"/>
            <rFont val="Tahoma"/>
            <family val="2"/>
          </rPr>
          <t>kapila:</t>
        </r>
        <r>
          <rPr>
            <b/>
            <i/>
            <sz val="9"/>
            <color indexed="81"/>
            <rFont val="Tahoma"/>
            <family val="2"/>
          </rPr>
          <t xml:space="preserve">
</t>
        </r>
        <r>
          <rPr>
            <i/>
            <sz val="9"/>
            <color indexed="81"/>
            <rFont val="Tahoma"/>
            <family val="2"/>
          </rPr>
          <t>Obtained from RMV</t>
        </r>
      </text>
    </comment>
  </commentList>
</comments>
</file>

<file path=xl/comments14.xml><?xml version="1.0" encoding="utf-8"?>
<comments xmlns="http://schemas.openxmlformats.org/spreadsheetml/2006/main">
  <authors>
    <author>shanika</author>
  </authors>
  <commentList>
    <comment ref="I86" authorId="0" shapeId="0">
      <text>
        <r>
          <rPr>
            <b/>
            <i/>
            <sz val="9"/>
            <color indexed="81"/>
            <rFont val="Tahoma"/>
            <family val="2"/>
          </rPr>
          <t>Maturity benefits are not mentioned in the company data.</t>
        </r>
        <r>
          <rPr>
            <sz val="9"/>
            <color indexed="81"/>
            <rFont val="Tahoma"/>
            <family val="2"/>
          </rPr>
          <t xml:space="preserve">
</t>
        </r>
      </text>
    </comment>
  </commentList>
</comments>
</file>

<file path=xl/comments15.xml><?xml version="1.0" encoding="utf-8"?>
<comments xmlns="http://schemas.openxmlformats.org/spreadsheetml/2006/main">
  <authors>
    <author>shanika</author>
  </authors>
  <commentList>
    <comment ref="G87" authorId="0" shapeId="0">
      <text>
        <r>
          <rPr>
            <b/>
            <i/>
            <sz val="9"/>
            <color indexed="81"/>
            <rFont val="Tahoma"/>
            <family val="2"/>
          </rPr>
          <t xml:space="preserve">This shuld be 344 as per compay data.
</t>
        </r>
      </text>
    </comment>
    <comment ref="H87" authorId="0" shapeId="0">
      <text>
        <r>
          <rPr>
            <b/>
            <i/>
            <sz val="9"/>
            <color indexed="81"/>
            <rFont val="Tahoma"/>
            <family val="2"/>
          </rPr>
          <t>As per company data this is 329</t>
        </r>
        <r>
          <rPr>
            <sz val="9"/>
            <color indexed="81"/>
            <rFont val="Tahoma"/>
            <family val="2"/>
          </rPr>
          <t xml:space="preserve">
</t>
        </r>
      </text>
    </comment>
    <comment ref="G90" authorId="0" shapeId="0">
      <text>
        <r>
          <rPr>
            <b/>
            <i/>
            <sz val="9"/>
            <color indexed="81"/>
            <rFont val="Tahoma"/>
            <family val="2"/>
          </rPr>
          <t>As per company data this is 7,140</t>
        </r>
        <r>
          <rPr>
            <sz val="9"/>
            <color indexed="81"/>
            <rFont val="Tahoma"/>
            <family val="2"/>
          </rPr>
          <t xml:space="preserve">
</t>
        </r>
      </text>
    </comment>
    <comment ref="H90" authorId="0" shapeId="0">
      <text>
        <r>
          <rPr>
            <b/>
            <i/>
            <sz val="9"/>
            <color indexed="81"/>
            <rFont val="Tahoma"/>
            <family val="2"/>
          </rPr>
          <t>As per company data this is 9,939</t>
        </r>
        <r>
          <rPr>
            <sz val="9"/>
            <color indexed="81"/>
            <rFont val="Tahoma"/>
            <family val="2"/>
          </rPr>
          <t xml:space="preserve">
</t>
        </r>
      </text>
    </comment>
  </commentList>
</comments>
</file>

<file path=xl/comments16.xml><?xml version="1.0" encoding="utf-8"?>
<comments xmlns="http://schemas.openxmlformats.org/spreadsheetml/2006/main">
  <authors>
    <author>kapila</author>
  </authors>
  <commentList>
    <comment ref="B46" authorId="0" shapeId="0">
      <text>
        <r>
          <rPr>
            <b/>
            <sz val="9"/>
            <color indexed="81"/>
            <rFont val="Tahoma"/>
            <family val="2"/>
          </rPr>
          <t>kapila:</t>
        </r>
        <r>
          <rPr>
            <b/>
            <i/>
            <sz val="9"/>
            <color indexed="81"/>
            <rFont val="Tahoma"/>
            <family val="2"/>
          </rPr>
          <t xml:space="preserve">
Revised with total operating expenses</t>
        </r>
      </text>
    </comment>
    <comment ref="C46" authorId="0" shapeId="0">
      <text>
        <r>
          <rPr>
            <b/>
            <sz val="9"/>
            <color indexed="81"/>
            <rFont val="Tahoma"/>
            <family val="2"/>
          </rPr>
          <t>kapila:</t>
        </r>
        <r>
          <rPr>
            <b/>
            <i/>
            <sz val="9"/>
            <color indexed="81"/>
            <rFont val="Tahoma"/>
            <family val="2"/>
          </rPr>
          <t xml:space="preserve">
Revised with total operating expenses</t>
        </r>
      </text>
    </comment>
  </commentList>
</comments>
</file>

<file path=xl/comments2.xml><?xml version="1.0" encoding="utf-8"?>
<comments xmlns="http://schemas.openxmlformats.org/spreadsheetml/2006/main">
  <authors>
    <author>Ravindu Hansaka</author>
  </authors>
  <commentList>
    <comment ref="E23" authorId="0" shapeId="0">
      <text>
        <r>
          <rPr>
            <sz val="11"/>
            <color theme="1"/>
            <rFont val="Calibri"/>
            <family val="2"/>
            <scheme val="minor"/>
          </rPr>
          <t xml:space="preserve">Ravindu Hansaka:
Include NIC
</t>
        </r>
      </text>
    </comment>
  </commentList>
</comments>
</file>

<file path=xl/comments3.xml><?xml version="1.0" encoding="utf-8"?>
<comments xmlns="http://schemas.openxmlformats.org/spreadsheetml/2006/main">
  <authors>
    <author>shanika</author>
  </authors>
  <commentList>
    <comment ref="G28" authorId="0" shapeId="0">
      <text>
        <r>
          <rPr>
            <b/>
            <i/>
            <sz val="9"/>
            <color indexed="81"/>
            <rFont val="Tahoma"/>
            <family val="2"/>
          </rPr>
          <t>This is not purely CR and this is Life policy holder fund.</t>
        </r>
        <r>
          <rPr>
            <sz val="9"/>
            <color indexed="81"/>
            <rFont val="Tahoma"/>
            <family val="2"/>
          </rPr>
          <t xml:space="preserve">
</t>
        </r>
      </text>
    </comment>
    <comment ref="G29" authorId="0" shapeId="0">
      <text>
        <r>
          <rPr>
            <sz val="9"/>
            <color indexed="81"/>
            <rFont val="Tahoma"/>
            <family val="2"/>
          </rPr>
          <t xml:space="preserve">Total balance of CR includes Life Policyholder Fund of (396,670)
</t>
        </r>
      </text>
    </comment>
  </commentList>
</comments>
</file>

<file path=xl/comments4.xml><?xml version="1.0" encoding="utf-8"?>
<comments xmlns="http://schemas.openxmlformats.org/spreadsheetml/2006/main">
  <authors>
    <author>Shashika Naotunna</author>
  </authors>
  <commentList>
    <comment ref="C16" authorId="0" shapeId="0">
      <text>
        <r>
          <rPr>
            <b/>
            <sz val="9"/>
            <color indexed="81"/>
            <rFont val="Tahoma"/>
            <family val="2"/>
          </rPr>
          <t>Shashika Naotunna:</t>
        </r>
        <r>
          <rPr>
            <sz val="9"/>
            <color indexed="81"/>
            <rFont val="Tahoma"/>
            <family val="2"/>
          </rPr>
          <t xml:space="preserve">
intangible asset, other assets, deferred tax assets, other loans</t>
        </r>
      </text>
    </comment>
    <comment ref="D16" authorId="0" shapeId="0">
      <text>
        <r>
          <rPr>
            <b/>
            <sz val="9"/>
            <color indexed="81"/>
            <rFont val="Tahoma"/>
            <family val="2"/>
          </rPr>
          <t>Shashika Naotunna:</t>
        </r>
        <r>
          <rPr>
            <sz val="9"/>
            <color indexed="81"/>
            <rFont val="Tahoma"/>
            <family val="2"/>
          </rPr>
          <t xml:space="preserve">
intangible asset, other assets, deferred tax assets, other loans</t>
        </r>
      </text>
    </comment>
    <comment ref="E16" authorId="0" shapeId="0">
      <text>
        <r>
          <rPr>
            <b/>
            <sz val="9"/>
            <color indexed="81"/>
            <rFont val="Tahoma"/>
            <family val="2"/>
          </rPr>
          <t>Shashika Naotunna:</t>
        </r>
        <r>
          <rPr>
            <sz val="9"/>
            <color indexed="81"/>
            <rFont val="Tahoma"/>
            <family val="2"/>
          </rPr>
          <t xml:space="preserve">
other assets, intangible aseets</t>
        </r>
      </text>
    </comment>
    <comment ref="F16" authorId="0" shapeId="0">
      <text>
        <r>
          <rPr>
            <b/>
            <sz val="9"/>
            <color indexed="81"/>
            <rFont val="Tahoma"/>
            <family val="2"/>
          </rPr>
          <t>Shashika Naotunna:</t>
        </r>
        <r>
          <rPr>
            <sz val="9"/>
            <color indexed="81"/>
            <rFont val="Tahoma"/>
            <family val="2"/>
          </rPr>
          <t xml:space="preserve">
other assets, other loans, intangible aseets</t>
        </r>
      </text>
    </comment>
    <comment ref="G16" authorId="0" shapeId="0">
      <text>
        <r>
          <rPr>
            <b/>
            <sz val="9"/>
            <color indexed="81"/>
            <rFont val="Tahoma"/>
            <family val="2"/>
          </rPr>
          <t>Shashika Naotunna:</t>
        </r>
        <r>
          <rPr>
            <sz val="9"/>
            <color indexed="81"/>
            <rFont val="Tahoma"/>
            <family val="2"/>
          </rPr>
          <t xml:space="preserve">
Intangibel assets, other loans, other assets</t>
        </r>
      </text>
    </comment>
    <comment ref="H16" authorId="0" shapeId="0">
      <text>
        <r>
          <rPr>
            <b/>
            <sz val="9"/>
            <color indexed="81"/>
            <rFont val="Tahoma"/>
            <family val="2"/>
          </rPr>
          <t>Shashika Naotunna:</t>
        </r>
        <r>
          <rPr>
            <sz val="9"/>
            <color indexed="81"/>
            <rFont val="Tahoma"/>
            <family val="2"/>
          </rPr>
          <t xml:space="preserve">
intangible assets, deferred tax assets, other assets</t>
        </r>
      </text>
    </comment>
    <comment ref="I16" authorId="0" shapeId="0">
      <text>
        <r>
          <rPr>
            <b/>
            <sz val="9"/>
            <color indexed="81"/>
            <rFont val="Tahoma"/>
            <family val="2"/>
          </rPr>
          <t>Shashika Naotunna:</t>
        </r>
        <r>
          <rPr>
            <sz val="9"/>
            <color indexed="81"/>
            <rFont val="Tahoma"/>
            <family val="2"/>
          </rPr>
          <t xml:space="preserve">
intangible assets, other loans, other assets, deferred tax asset</t>
        </r>
      </text>
    </comment>
    <comment ref="J16" authorId="0" shapeId="0">
      <text>
        <r>
          <rPr>
            <sz val="11"/>
            <color theme="1"/>
            <rFont val="Calibri"/>
            <family val="2"/>
            <scheme val="minor"/>
          </rPr>
          <t>Shashika Naotunna:
intangible assets, other assets, other loans, deferred tax asset + Other assets(NIC)</t>
        </r>
      </text>
    </comment>
    <comment ref="C36" authorId="0" shapeId="0">
      <text>
        <r>
          <rPr>
            <b/>
            <sz val="9"/>
            <color indexed="81"/>
            <rFont val="Tahoma"/>
            <family val="2"/>
          </rPr>
          <t>Shashika Naotunna:</t>
        </r>
        <r>
          <rPr>
            <sz val="9"/>
            <color indexed="81"/>
            <rFont val="Tahoma"/>
            <family val="2"/>
          </rPr>
          <t xml:space="preserve">
other assets, other loans, deferred tax asset, intangible assets</t>
        </r>
      </text>
    </comment>
    <comment ref="D36" authorId="0" shapeId="0">
      <text>
        <r>
          <rPr>
            <b/>
            <sz val="9"/>
            <color indexed="81"/>
            <rFont val="Tahoma"/>
            <family val="2"/>
          </rPr>
          <t>Shashika Naotunna:</t>
        </r>
        <r>
          <rPr>
            <sz val="9"/>
            <color indexed="81"/>
            <rFont val="Tahoma"/>
            <family val="2"/>
          </rPr>
          <t xml:space="preserve">
intangible assets, other loans , other assets</t>
        </r>
      </text>
    </comment>
    <comment ref="E36" authorId="0" shapeId="0">
      <text>
        <r>
          <rPr>
            <b/>
            <sz val="9"/>
            <color indexed="81"/>
            <rFont val="Tahoma"/>
            <family val="2"/>
          </rPr>
          <t>Shashika Naotunna:</t>
        </r>
        <r>
          <rPr>
            <sz val="9"/>
            <color indexed="81"/>
            <rFont val="Tahoma"/>
            <family val="2"/>
          </rPr>
          <t xml:space="preserve">
other loans, deferred tax asset</t>
        </r>
      </text>
    </comment>
    <comment ref="F36" authorId="0" shapeId="0">
      <text>
        <r>
          <rPr>
            <b/>
            <sz val="9"/>
            <color indexed="81"/>
            <rFont val="Tahoma"/>
            <family val="2"/>
          </rPr>
          <t>Shashika Naotunna:</t>
        </r>
        <r>
          <rPr>
            <sz val="9"/>
            <color indexed="81"/>
            <rFont val="Tahoma"/>
            <family val="2"/>
          </rPr>
          <t xml:space="preserve">
other assets, intangible assets</t>
        </r>
      </text>
    </comment>
    <comment ref="H36" authorId="0" shapeId="0">
      <text>
        <r>
          <rPr>
            <b/>
            <sz val="9"/>
            <color indexed="81"/>
            <rFont val="Tahoma"/>
            <family val="2"/>
          </rPr>
          <t>Shashika Naotunna:</t>
        </r>
        <r>
          <rPr>
            <sz val="9"/>
            <color indexed="81"/>
            <rFont val="Tahoma"/>
            <family val="2"/>
          </rPr>
          <t xml:space="preserve">
other assets, deferred tax asset, intangible assets</t>
        </r>
      </text>
    </comment>
    <comment ref="I36" authorId="0" shapeId="0">
      <text>
        <r>
          <rPr>
            <b/>
            <sz val="9"/>
            <color indexed="81"/>
            <rFont val="Tahoma"/>
            <family val="2"/>
          </rPr>
          <t>Shashika Naotunna:</t>
        </r>
        <r>
          <rPr>
            <sz val="9"/>
            <color indexed="81"/>
            <rFont val="Tahoma"/>
            <family val="2"/>
          </rPr>
          <t xml:space="preserve">
intangible assets, other assets</t>
        </r>
      </text>
    </comment>
  </commentList>
</comments>
</file>

<file path=xl/comments5.xml><?xml version="1.0" encoding="utf-8"?>
<comments xmlns="http://schemas.openxmlformats.org/spreadsheetml/2006/main">
  <authors>
    <author>Shashika Naotunna</author>
  </authors>
  <commentList>
    <comment ref="C50" authorId="0" shapeId="0">
      <text>
        <r>
          <rPr>
            <sz val="11"/>
            <color theme="1"/>
            <rFont val="Calibri"/>
            <family val="2"/>
            <scheme val="minor"/>
          </rPr>
          <t>Shashika Naotunna:
adjusted to tally totals</t>
        </r>
      </text>
    </comment>
    <comment ref="D597" authorId="0" shapeId="0">
      <text>
        <r>
          <rPr>
            <b/>
            <sz val="9"/>
            <color indexed="81"/>
            <rFont val="Tahoma"/>
            <family val="2"/>
          </rPr>
          <t>Shashika Naotunna:</t>
        </r>
        <r>
          <rPr>
            <sz val="9"/>
            <color indexed="81"/>
            <rFont val="Tahoma"/>
            <family val="2"/>
          </rPr>
          <t xml:space="preserve">
company's figure as per AR</t>
        </r>
      </text>
    </comment>
    <comment ref="D608" authorId="0" shapeId="0">
      <text>
        <r>
          <rPr>
            <b/>
            <sz val="9"/>
            <color indexed="81"/>
            <rFont val="Tahoma"/>
            <family val="2"/>
          </rPr>
          <t>Shashika Naotunna:</t>
        </r>
        <r>
          <rPr>
            <sz val="9"/>
            <color indexed="81"/>
            <rFont val="Tahoma"/>
            <family val="2"/>
          </rPr>
          <t xml:space="preserve">
company's figure as per AR</t>
        </r>
      </text>
    </comment>
  </commentList>
</comments>
</file>

<file path=xl/comments6.xml><?xml version="1.0" encoding="utf-8"?>
<comments xmlns="http://schemas.openxmlformats.org/spreadsheetml/2006/main">
  <authors>
    <author>Shashika Naotunna</author>
  </authors>
  <commentList>
    <comment ref="H94" authorId="0" shapeId="0">
      <text>
        <r>
          <rPr>
            <b/>
            <sz val="9"/>
            <color indexed="81"/>
            <rFont val="Tahoma"/>
            <family val="2"/>
          </rPr>
          <t>Shashika Naotunna:</t>
        </r>
        <r>
          <rPr>
            <sz val="9"/>
            <color indexed="81"/>
            <rFont val="Tahoma"/>
            <family val="2"/>
          </rPr>
          <t xml:space="preserve">
adjusted to tally totals</t>
        </r>
      </text>
    </comment>
    <comment ref="I599" authorId="0" shapeId="0">
      <text>
        <r>
          <rPr>
            <b/>
            <sz val="9"/>
            <color indexed="81"/>
            <rFont val="Tahoma"/>
            <family val="2"/>
          </rPr>
          <t>Shashika Naotunna:</t>
        </r>
        <r>
          <rPr>
            <sz val="9"/>
            <color indexed="81"/>
            <rFont val="Tahoma"/>
            <family val="2"/>
          </rPr>
          <t xml:space="preserve">
manually adjusted as per AR</t>
        </r>
      </text>
    </comment>
  </commentList>
</comments>
</file>

<file path=xl/comments7.xml><?xml version="1.0" encoding="utf-8"?>
<comments xmlns="http://schemas.openxmlformats.org/spreadsheetml/2006/main">
  <authors>
    <author>Shashika Naotunna</author>
  </authors>
  <commentList>
    <comment ref="D505" authorId="0" shapeId="0">
      <text>
        <r>
          <rPr>
            <b/>
            <sz val="9"/>
            <color indexed="81"/>
            <rFont val="Tahoma"/>
            <family val="2"/>
          </rPr>
          <t>Shashika Naotunna:</t>
        </r>
        <r>
          <rPr>
            <sz val="9"/>
            <color indexed="81"/>
            <rFont val="Tahoma"/>
            <family val="2"/>
          </rPr>
          <t xml:space="preserve">
due to intra fund transactions, totals not tallying, added the company figure (as per AR compiling Sheet)
</t>
        </r>
      </text>
    </comment>
    <comment ref="D510" authorId="0" shapeId="0">
      <text>
        <r>
          <rPr>
            <b/>
            <sz val="9"/>
            <color indexed="81"/>
            <rFont val="Tahoma"/>
            <family val="2"/>
          </rPr>
          <t>Shashika Naotunna:</t>
        </r>
        <r>
          <rPr>
            <sz val="9"/>
            <color indexed="81"/>
            <rFont val="Tahoma"/>
            <family val="2"/>
          </rPr>
          <t xml:space="preserve">
due to intra fund transactions, totals not tallying, added the company figure (as per AR compiling Sheet)</t>
        </r>
      </text>
    </comment>
    <comment ref="D526" authorId="0" shapeId="0">
      <text>
        <r>
          <rPr>
            <b/>
            <sz val="9"/>
            <color indexed="81"/>
            <rFont val="Tahoma"/>
            <family val="2"/>
          </rPr>
          <t>Shashika Naotunna:</t>
        </r>
        <r>
          <rPr>
            <sz val="9"/>
            <color indexed="81"/>
            <rFont val="Tahoma"/>
            <family val="2"/>
          </rPr>
          <t xml:space="preserve">
due to intra fund transactions, totals not tallying, added the company figure (as per AR compiling Sheet)</t>
        </r>
      </text>
    </comment>
    <comment ref="D529" authorId="0" shapeId="0">
      <text>
        <r>
          <rPr>
            <b/>
            <sz val="9"/>
            <color indexed="81"/>
            <rFont val="Tahoma"/>
            <family val="2"/>
          </rPr>
          <t>Shashika Naotunna:</t>
        </r>
        <r>
          <rPr>
            <sz val="9"/>
            <color indexed="81"/>
            <rFont val="Tahoma"/>
            <family val="2"/>
          </rPr>
          <t xml:space="preserve">
due to intra fund transactions, totals not tallying, added the company figure (as per AR compiling Sheet)</t>
        </r>
      </text>
    </comment>
  </commentList>
</comments>
</file>

<file path=xl/comments8.xml><?xml version="1.0" encoding="utf-8"?>
<comments xmlns="http://schemas.openxmlformats.org/spreadsheetml/2006/main">
  <authors>
    <author>Sachithra Ranatunga</author>
  </authors>
  <commentList>
    <comment ref="J366" authorId="0" shapeId="0">
      <text>
        <r>
          <rPr>
            <b/>
            <sz val="9"/>
            <color indexed="81"/>
            <rFont val="Tahoma"/>
            <family val="2"/>
          </rPr>
          <t>Sachithra Ranatunga:</t>
        </r>
        <r>
          <rPr>
            <sz val="9"/>
            <color indexed="81"/>
            <rFont val="Tahoma"/>
            <family val="2"/>
          </rPr>
          <t xml:space="preserve">
Direct gen+SRCC</t>
        </r>
      </text>
    </comment>
  </commentList>
</comments>
</file>

<file path=xl/comments9.xml><?xml version="1.0" encoding="utf-8"?>
<comments xmlns="http://schemas.openxmlformats.org/spreadsheetml/2006/main">
  <authors>
    <author>Intern</author>
  </authors>
  <commentList>
    <comment ref="H6" authorId="0" shapeId="0">
      <text>
        <r>
          <rPr>
            <sz val="9"/>
            <color indexed="81"/>
            <rFont val="Tahoma"/>
            <family val="2"/>
          </rPr>
          <t xml:space="preserve">
We  added WCI amount to the miscellaneous</t>
        </r>
      </text>
    </comment>
  </commentList>
</comments>
</file>

<file path=xl/sharedStrings.xml><?xml version="1.0" encoding="utf-8"?>
<sst xmlns="http://schemas.openxmlformats.org/spreadsheetml/2006/main" count="15590" uniqueCount="1101">
  <si>
    <t> </t>
  </si>
  <si>
    <t>COMPILED BY</t>
  </si>
  <si>
    <t xml:space="preserve">  THE INSURANCE REGULATORY COMMISSION OF SRI LANKA</t>
  </si>
  <si>
    <t>Notes to be taken into consideration when interpreting the data given in tables of the Industry Hand Book</t>
  </si>
  <si>
    <t>1.</t>
  </si>
  <si>
    <t>Information in this report is based on the statistics provided by the Insurance Companies and Insurance Brokering Companies.</t>
  </si>
  <si>
    <t>2.</t>
  </si>
  <si>
    <t>Data submitted by NITF regarding Risk Based Capital were not taken into account in order to maintain comparability because NITF handles both reinsurance and insurance business.</t>
  </si>
  <si>
    <t>3.</t>
  </si>
  <si>
    <t>Financial data of crop &amp; loan protection scheme of NITF has been eliminated from statistics from 2014 onwards since the said operation has not been considered as ‘Insurance’</t>
  </si>
  <si>
    <t>4.</t>
  </si>
  <si>
    <t>Slight difference was noted between SRCC GWP of NITF and class wise deduction of SRCC values in the Industry P/L as class wise deductions values have been extracted from Individual companies.</t>
  </si>
  <si>
    <t>5.</t>
  </si>
  <si>
    <t>Figures in some tables have been rounded off to the nearest final digit. Hence, there may be a slight discrepancy between the total as shown and the sum of its components.</t>
  </si>
  <si>
    <t>6.</t>
  </si>
  <si>
    <t>Differences as compared with previously published figures are due to subsequent revisions.</t>
  </si>
  <si>
    <t>7.</t>
  </si>
  <si>
    <t>Values indicated within parenthesis are negative values.</t>
  </si>
  <si>
    <t>The following symbols have been used throughout: -</t>
  </si>
  <si>
    <t xml:space="preserve">(a) = Reinstated and Audited figures  </t>
  </si>
  <si>
    <t xml:space="preserve">(b) = Provisional figures </t>
  </si>
  <si>
    <t xml:space="preserve">     = nil</t>
  </si>
  <si>
    <t>ii</t>
  </si>
  <si>
    <t>List</t>
  </si>
  <si>
    <t>Page No.</t>
  </si>
  <si>
    <t>Company - wise Gross Written Premium and Market Share - Long Term Insurance Business &amp; General Insurance Buisness - 2021</t>
  </si>
  <si>
    <t>Company - wise Gross Written Premium and Market Share - Long Term Insurance Business - 2017 to 2021</t>
  </si>
  <si>
    <t>Company - wise Gross Written Premium &amp; Market Share - General Insurance Business - 2017 to 2021</t>
  </si>
  <si>
    <t xml:space="preserve"> Company - wise analysis of Total Assets</t>
  </si>
  <si>
    <t>Distribution of Total Assets of Major Financial Institutions</t>
  </si>
  <si>
    <t>Total Shareholders' Funds of Insurance Companies</t>
  </si>
  <si>
    <t>Concentration of Assets as at 31st December 2020 and 2021 - Long Term Insurance Business</t>
  </si>
  <si>
    <t>Company - wise Concentration of Assets as at 31st December 2021 - Long Term Insurance Business</t>
  </si>
  <si>
    <t>8-9</t>
  </si>
  <si>
    <t>Concentration of Assets of General Insurance Business and Shareholders - 2020 &amp; 2021</t>
  </si>
  <si>
    <t>Company - wise Concentration of Assets of General Insurance Business (Including Shareholders) - 2021</t>
  </si>
  <si>
    <t>11-12</t>
  </si>
  <si>
    <t>Industry &amp; Company wise Balance Sheets as at 31st December 2021 - Long Term Insurance Business</t>
  </si>
  <si>
    <t>13-29</t>
  </si>
  <si>
    <t>Industry &amp; Company wise Balance Sheets as at 31st December 2020 - Long Term Insurance Business</t>
  </si>
  <si>
    <t>30-46</t>
  </si>
  <si>
    <t>Extract of Income Statement of Long Term Insurance Business - 2021</t>
  </si>
  <si>
    <t>47-63</t>
  </si>
  <si>
    <t>Extract of Income Statement of Long Term Insurance Business - 2020</t>
  </si>
  <si>
    <t>64-80</t>
  </si>
  <si>
    <t>Industry &amp; Company wise Balance Sheets as at 31st December 2021 - General Insurance Business</t>
  </si>
  <si>
    <t>81-95</t>
  </si>
  <si>
    <t>Industry &amp; Company wise Balance Sheets as at 31st December 2020 - General Insurance Business</t>
  </si>
  <si>
    <t>96-110</t>
  </si>
  <si>
    <t xml:space="preserve"> Extract of Income Statement of General Insurance Business - 2021</t>
  </si>
  <si>
    <t>111-125</t>
  </si>
  <si>
    <t xml:space="preserve"> Extract of Income Statement of General Insurance Business - 2020</t>
  </si>
  <si>
    <t>126-140</t>
  </si>
  <si>
    <t>Company - wise Analysis of Total Available Capital (TAC) as at 31st December 2020 and 2021 - Long Term Insurance Business</t>
  </si>
  <si>
    <t>Company - wise Analysis of Risk Capital Required (RCR) as  at 31st December 2020 and 2021 - Long Term Insurance Business</t>
  </si>
  <si>
    <t>Company - wise Analysis of Total Available Capital (TAC) as  at 31st December 2020 and 2021 - General Insurance Business</t>
  </si>
  <si>
    <t>Company - wise Analysis of Risk Capital Required (RCR) as  at 31st December 2020 and 2021 - General Insurance Business</t>
  </si>
  <si>
    <t>Company - wise Analysis of Solvency Position as at 31st December 2020 and 2021 - Long Term Insurance Business</t>
  </si>
  <si>
    <t>Company - wise Analysis of Solvency Position as at 31st December 2020 and 2021 - General Insurance Business</t>
  </si>
  <si>
    <t>Class - wise, Company wise Analysis of Gross written Premium from 2017 to 2021 - General Insurance Business</t>
  </si>
  <si>
    <t>147-151</t>
  </si>
  <si>
    <t>Net Earned Premium, Net Claims Incurred, Net Claims Ratio, Net Expense Ratio and Net Combined Ratio of General Insurance Business - 2017 to 2021</t>
  </si>
  <si>
    <t>Class - wise Analysis of Earned Premium of General Insurance Business - 2017 to 2021</t>
  </si>
  <si>
    <t>153-157</t>
  </si>
  <si>
    <t>Class - wise Analysis of Claims Incurred - General Insurance Business - 2017 to 2021</t>
  </si>
  <si>
    <t>158-162</t>
  </si>
  <si>
    <t>Company - wise Net Combined Ratio of General Insurance Business - 2017 to 2021</t>
  </si>
  <si>
    <t>Gross Written Premium, Reinsurance Premium and Retention by Insurers - General Insurance Business</t>
  </si>
  <si>
    <t>Class - wise  Analysis of Reinsurance Premium of General Insurance Business - 2017 to 2021</t>
  </si>
  <si>
    <t>165-169</t>
  </si>
  <si>
    <t>Branch Network, Employees &amp; Agents as at 31st December 2021</t>
  </si>
  <si>
    <t>170-179</t>
  </si>
  <si>
    <t>Number of New Insurance Policies Issued - Long Term Insurance Buisness</t>
  </si>
  <si>
    <t xml:space="preserve">Number of Life Insurance Policies  in Force </t>
  </si>
  <si>
    <t>Total New Businesses - Long Term Insurance Buisness</t>
  </si>
  <si>
    <t>182-185</t>
  </si>
  <si>
    <t>Life Insurance Benefits Amount in Rs. '000</t>
  </si>
  <si>
    <t>186-189</t>
  </si>
  <si>
    <t>Number of Life Insurance Benefits</t>
  </si>
  <si>
    <t>190-194</t>
  </si>
  <si>
    <t>Abbreviatons</t>
  </si>
  <si>
    <t>i</t>
  </si>
  <si>
    <t>1. Company - wise Gross Written Premium and Market Share - Long Term Insurance Business &amp; General Insurance Buisness - 2021</t>
  </si>
  <si>
    <t>Insurer</t>
  </si>
  <si>
    <t>2021 (b)</t>
  </si>
  <si>
    <t>GWP - Long Term Insurance Business (Rs. '000)</t>
  </si>
  <si>
    <t>GWP - General Insurance Business (Rs. '000)</t>
  </si>
  <si>
    <t>Total (Rs. '000)</t>
  </si>
  <si>
    <t>Mkt Share -  Long Term Insurance Business                (%)</t>
  </si>
  <si>
    <t>Mkt Share -  General Insurance Business                 (%)</t>
  </si>
  <si>
    <t>Mkt Share -Total Insurance Industry                (%)</t>
  </si>
  <si>
    <t>AIA Life</t>
  </si>
  <si>
    <t>Allianz Gen.</t>
  </si>
  <si>
    <t>Allianz Life</t>
  </si>
  <si>
    <t>Amana Life</t>
  </si>
  <si>
    <t>Amana Gen.</t>
  </si>
  <si>
    <t>Arpico</t>
  </si>
  <si>
    <t>Ceylinco Life</t>
  </si>
  <si>
    <t>Ceylinco Gen.</t>
  </si>
  <si>
    <t>Continental</t>
  </si>
  <si>
    <t xml:space="preserve">Cooplife </t>
  </si>
  <si>
    <t>Cooperative Gen.</t>
  </si>
  <si>
    <t>Fairfirst</t>
  </si>
  <si>
    <t>HNB Life</t>
  </si>
  <si>
    <t>HNB Gen.</t>
  </si>
  <si>
    <t>Janashakthi Life</t>
  </si>
  <si>
    <t>LIC</t>
  </si>
  <si>
    <t>LOLC Life</t>
  </si>
  <si>
    <t>LOLC Gen.</t>
  </si>
  <si>
    <t>MBSL</t>
  </si>
  <si>
    <t>NITF</t>
  </si>
  <si>
    <t>Orient</t>
  </si>
  <si>
    <t>People’s</t>
  </si>
  <si>
    <t>Sanasa Life</t>
  </si>
  <si>
    <t>Sanasa Gen.</t>
  </si>
  <si>
    <t>SLIC</t>
  </si>
  <si>
    <t>Softlogic Life</t>
  </si>
  <si>
    <t>Union Life</t>
  </si>
  <si>
    <t>Total</t>
  </si>
  <si>
    <t xml:space="preserve"> </t>
  </si>
  <si>
    <t>Company-wise Industry Gross Written Premium &amp; Market Share</t>
  </si>
  <si>
    <t>Gross Written Premium - Long Term Insurance Business                        (Rs. '000)</t>
  </si>
  <si>
    <t>Gross Written Premium - General Insurance Business                    (Rs. '000)</t>
  </si>
  <si>
    <t xml:space="preserve"> Total              (Rs. '000)</t>
  </si>
  <si>
    <t>Asian Alliance</t>
  </si>
  <si>
    <t>AIA</t>
  </si>
  <si>
    <t>Amana Takaful</t>
  </si>
  <si>
    <t>AIG</t>
  </si>
  <si>
    <t>Ceylinco</t>
  </si>
  <si>
    <t>Cooperative</t>
  </si>
  <si>
    <t>Ceylinco Takaful</t>
  </si>
  <si>
    <t>HNBA</t>
  </si>
  <si>
    <t>Janashakthi</t>
  </si>
  <si>
    <t>LOLC</t>
  </si>
  <si>
    <t>Sanasa</t>
  </si>
  <si>
    <t>UAL</t>
  </si>
  <si>
    <t>2. Company - wise Gross Written Premium and Market Share of Long Term Insurance Business - 2017 to 2021</t>
  </si>
  <si>
    <t>2020 (a)</t>
  </si>
  <si>
    <t>Premium</t>
  </si>
  <si>
    <t>Market Share</t>
  </si>
  <si>
    <t>(Rs.'000)</t>
  </si>
  <si>
    <t>(%)</t>
  </si>
  <si>
    <t>Softlogic life</t>
  </si>
  <si>
    <t>Growth  Rate (%)</t>
  </si>
  <si>
    <t>3. Company - wise Gross Written Premium and Market Share of General Insurance Business - 2017 to 2021</t>
  </si>
  <si>
    <t>Janashakthi Gen.</t>
  </si>
  <si>
    <t>Growth Rate (%)</t>
  </si>
  <si>
    <t>Notes:</t>
  </si>
  <si>
    <t>1. Strike, Riot, Civil Commotion and Terrorism (SRCC &amp; T) premium income of NITF was not considered for  insurance companies'  general  insurance GWP for the years  2010 and 2011.</t>
  </si>
  <si>
    <t>2. Above analysis does not include NITF information since required complete information was not submitted to the Board.</t>
  </si>
  <si>
    <r>
      <t>3.CTL is prohibited from engaging in insurance business since 5</t>
    </r>
    <r>
      <rPr>
        <i/>
        <sz val="10"/>
        <color indexed="8"/>
        <rFont val="Tahoma"/>
        <family val="2"/>
      </rPr>
      <t>th August 2009. The company did not submit audited financials for the year ended 31st December 2010 and relevant data for the year ended 31st December 2011.</t>
    </r>
  </si>
  <si>
    <t>Company - wise Market Share of Gross Written Premium -   General Insurance Business</t>
  </si>
  <si>
    <t>4. Company - wise analysis of Total Assets</t>
  </si>
  <si>
    <t xml:space="preserve">Long Term Insurance (Rs.'000) </t>
  </si>
  <si>
    <t xml:space="preserve">General Insurance / Shareholders           (Rs.'000) </t>
  </si>
  <si>
    <t>Reinsurance (Rs. '000)</t>
  </si>
  <si>
    <t xml:space="preserve"> Total (Rs.'000) </t>
  </si>
  <si>
    <t>%</t>
  </si>
  <si>
    <t xml:space="preserve">Total </t>
  </si>
  <si>
    <t>5. Distribution of Total Assets of the Financial Sector</t>
  </si>
  <si>
    <t>Financial Institutions</t>
  </si>
  <si>
    <t>Rs. Billions</t>
  </si>
  <si>
    <t>Banking Sector</t>
  </si>
  <si>
    <t>Other Deposit Taking  Financial Institutions</t>
  </si>
  <si>
    <t>Specialized Financial Institutions</t>
  </si>
  <si>
    <t>Contractual Savings Institutions</t>
  </si>
  <si>
    <t>Insurance Companies *</t>
  </si>
  <si>
    <t xml:space="preserve"> Source: Central Bank of Sri Lanka Annual Report - 2021</t>
  </si>
  <si>
    <t>* Assets of insurance companies were reinstated based on data received from insurance companies.</t>
  </si>
  <si>
    <t>Total Assets of Insurance Companies</t>
  </si>
  <si>
    <t>Distribution of Assets</t>
  </si>
  <si>
    <t>2012 (a)</t>
  </si>
  <si>
    <t>2013 (b)</t>
  </si>
  <si>
    <t xml:space="preserve">Inter Segment Transactions Elimination (Rs.'000) </t>
  </si>
  <si>
    <t>Total                        (Rs.'000)</t>
  </si>
  <si>
    <t>AAIPLC</t>
  </si>
  <si>
    <t>AIL</t>
  </si>
  <si>
    <t>AILL</t>
  </si>
  <si>
    <t>ALILL</t>
  </si>
  <si>
    <t>ANDBIPLC</t>
  </si>
  <si>
    <t>ATPLC</t>
  </si>
  <si>
    <t>CIL</t>
  </si>
  <si>
    <t>CILL</t>
  </si>
  <si>
    <t>CIPLC</t>
  </si>
  <si>
    <t>COICL</t>
  </si>
  <si>
    <t>CTL</t>
  </si>
  <si>
    <t>HNBAPLC</t>
  </si>
  <si>
    <t>JIPLC</t>
  </si>
  <si>
    <t>LICLL</t>
  </si>
  <si>
    <t>LOLCICL</t>
  </si>
  <si>
    <t>MBSLICL</t>
  </si>
  <si>
    <t>OIL</t>
  </si>
  <si>
    <t>PIL</t>
  </si>
  <si>
    <t>SLICL</t>
  </si>
  <si>
    <t>SSRS</t>
  </si>
  <si>
    <t>UAPLC</t>
  </si>
  <si>
    <t>All figures are correct and confirrmed with AR Publication. There are rounding off differences ignored</t>
  </si>
  <si>
    <t>6. Total Shareholders' Funds of Insurance Companies</t>
  </si>
  <si>
    <t>Total Shareholders' Fund</t>
  </si>
  <si>
    <t>Share Capital</t>
  </si>
  <si>
    <t>Restricted Regulatory Reserve</t>
  </si>
  <si>
    <t>Total Other Reserves</t>
  </si>
  <si>
    <t>Total Reserves</t>
  </si>
  <si>
    <t>Sanasa Gen</t>
  </si>
  <si>
    <t>SoftLogic Life</t>
  </si>
  <si>
    <t>Note: 2020 published figures have been revised in line with the audit adjustments.</t>
  </si>
  <si>
    <t>2012(a)</t>
  </si>
  <si>
    <t>2013(b)</t>
  </si>
  <si>
    <t>Total Shareholders' Funds</t>
  </si>
  <si>
    <t>Share</t>
  </si>
  <si>
    <t>Capital</t>
  </si>
  <si>
    <t>Revenue</t>
  </si>
  <si>
    <t>Total Reserve</t>
  </si>
  <si>
    <t>Reserves</t>
  </si>
  <si>
    <t>Reserves/</t>
  </si>
  <si>
    <t>(Loss)</t>
  </si>
  <si>
    <t>Rs.'000</t>
  </si>
  <si>
    <t>Figures are correct as per BS of the Company.</t>
  </si>
  <si>
    <t>Figures are correct as per BS of the Company. Intersegment reserves 3 bn to be ignored</t>
  </si>
  <si>
    <t>Error Reported</t>
  </si>
  <si>
    <r>
      <t>7.  Concentration of Assets as at 31</t>
    </r>
    <r>
      <rPr>
        <b/>
        <vertAlign val="superscript"/>
        <sz val="8"/>
        <color theme="1"/>
        <rFont val="Tahoma"/>
        <family val="2"/>
      </rPr>
      <t>st</t>
    </r>
    <r>
      <rPr>
        <b/>
        <sz val="10"/>
        <color theme="1"/>
        <rFont val="Tahoma"/>
        <family val="2"/>
      </rPr>
      <t xml:space="preserve"> December 2020 and 2021 - Long Term Insurance Business</t>
    </r>
  </si>
  <si>
    <t>Type of Asset</t>
  </si>
  <si>
    <t>Government Debt Securities</t>
  </si>
  <si>
    <t>Equities</t>
  </si>
  <si>
    <t xml:space="preserve">Corporate Debt </t>
  </si>
  <si>
    <t>Land &amp; Buildings</t>
  </si>
  <si>
    <t xml:space="preserve">Deposits </t>
  </si>
  <si>
    <t xml:space="preserve">Unit Trusts </t>
  </si>
  <si>
    <t>Policy Loans</t>
  </si>
  <si>
    <t>Other Assets</t>
  </si>
  <si>
    <t>Cash and cash equivalents</t>
  </si>
  <si>
    <r>
      <t>8.  Company - wise Concentration of Assets as at 31</t>
    </r>
    <r>
      <rPr>
        <b/>
        <vertAlign val="superscript"/>
        <sz val="10"/>
        <color theme="1"/>
        <rFont val="Tahoma"/>
        <family val="2"/>
      </rPr>
      <t>st</t>
    </r>
    <r>
      <rPr>
        <b/>
        <sz val="10"/>
        <color theme="1"/>
        <rFont val="Tahoma"/>
        <family val="2"/>
      </rPr>
      <t xml:space="preserve"> December 2021  - Long Term Insurance Business</t>
    </r>
  </si>
  <si>
    <t>(All figures in Rs. '000)</t>
  </si>
  <si>
    <t>Cooplife</t>
  </si>
  <si>
    <t>Investment in Gold</t>
  </si>
  <si>
    <t>Reinsurance receivable</t>
  </si>
  <si>
    <t xml:space="preserve">Premium receivable from policyholders and intermediaries </t>
  </si>
  <si>
    <t>Property Plant and Equipments</t>
  </si>
  <si>
    <t>8.  Company - wise Concentration of Assets as at 31st December 2021 - Long Term Insurance Business (Cont..)</t>
  </si>
  <si>
    <t>Note : Slight differences were noted in the above balances with the Balance Sheet figures due to categorization issues</t>
  </si>
  <si>
    <t>9.  Concentration of Assets of General Insurance Businesss - 2020 &amp; 2021</t>
  </si>
  <si>
    <t xml:space="preserve">  </t>
  </si>
  <si>
    <t>Reinsurance Receivable</t>
  </si>
  <si>
    <t>Note : Right of Use Asset (ROU Asset) has been added to Property Plant &amp; Equipment</t>
  </si>
  <si>
    <t>Difference is due to Intersegment receivable and payable balances of NITF</t>
  </si>
  <si>
    <t>10.   Company - wise Concentration of Assets of General Insurance Business - 2021</t>
  </si>
  <si>
    <t>10.   Company - wise Concentration of Assets of General Insurance Business - 2021  (Cont..)</t>
  </si>
  <si>
    <t>Note : Slight differences were noted in the above balances with the Balance Sheet figures and  due to categorization issues</t>
  </si>
  <si>
    <t>STATEMENT FINANCIAL POSITION AS AT 31ST DECEMBER 2021  - LIFE INSURANCE BUSINESS</t>
  </si>
  <si>
    <t>AS AT 31.12.2021</t>
  </si>
  <si>
    <t>INDUSTRY</t>
  </si>
  <si>
    <t>(All figures in LKR '000)</t>
  </si>
  <si>
    <t xml:space="preserve">Line </t>
  </si>
  <si>
    <t>Industry</t>
  </si>
  <si>
    <t>Note</t>
  </si>
  <si>
    <t>Company</t>
  </si>
  <si>
    <t xml:space="preserve">Eliminations* </t>
  </si>
  <si>
    <t xml:space="preserve">Shareholders </t>
  </si>
  <si>
    <t>Long Term Insurance Business</t>
  </si>
  <si>
    <t xml:space="preserve">Insurance Provision Life   </t>
  </si>
  <si>
    <t xml:space="preserve">Linked Long-term Business </t>
  </si>
  <si>
    <t xml:space="preserve">Participating </t>
  </si>
  <si>
    <t xml:space="preserve">Traditional Non Participating </t>
  </si>
  <si>
    <t>Universal Life</t>
  </si>
  <si>
    <t xml:space="preserve">Non-unit  account </t>
  </si>
  <si>
    <t xml:space="preserve">Unit Account - Guaranteed   </t>
  </si>
  <si>
    <t xml:space="preserve">Unit Account- Non guaranteed   </t>
  </si>
  <si>
    <t>(4+5+6)</t>
  </si>
  <si>
    <t>(8+9+10)</t>
  </si>
  <si>
    <t>Assets</t>
  </si>
  <si>
    <t>Goodwill</t>
  </si>
  <si>
    <t>Intangible Assets</t>
  </si>
  <si>
    <t>Deferred Expenses</t>
  </si>
  <si>
    <t>Right of Use Assets</t>
  </si>
  <si>
    <t xml:space="preserve">Property Plant and Equipment </t>
  </si>
  <si>
    <t>Investment Property</t>
  </si>
  <si>
    <t>Investment in Subsidiaries</t>
  </si>
  <si>
    <t>7.1 Investment in segregated company**</t>
  </si>
  <si>
    <t>7.2 Investment in other companies**</t>
  </si>
  <si>
    <t>Investment in Associates</t>
  </si>
  <si>
    <t>8.1 Investment in segregated company**</t>
  </si>
  <si>
    <t>8.2 Investment in other companies**</t>
  </si>
  <si>
    <t xml:space="preserve"> Financial Investments (total of lines 9 to 12)</t>
  </si>
  <si>
    <t>HTM Financial Assets</t>
  </si>
  <si>
    <t>Loans and receivables</t>
  </si>
  <si>
    <t>AFS Financial Assets</t>
  </si>
  <si>
    <t>Financial Assets at Fair Value through Profit and Loss</t>
  </si>
  <si>
    <t>Outstanding policy loans</t>
  </si>
  <si>
    <t>Reinsurance Receivables</t>
  </si>
  <si>
    <t xml:space="preserve">Premium Receivables </t>
  </si>
  <si>
    <t xml:space="preserve">Other Assets </t>
  </si>
  <si>
    <t>Deferred Acquisition Cost</t>
  </si>
  <si>
    <t xml:space="preserve">Cash and Cash Equivalents </t>
  </si>
  <si>
    <t>Total Assets (Total of Lines 1 to 8 and 13 to 18)</t>
  </si>
  <si>
    <t>Equity and Liabilities</t>
  </si>
  <si>
    <t>Liabilities</t>
  </si>
  <si>
    <t>Insurance Contract Liabilities</t>
  </si>
  <si>
    <t xml:space="preserve">Employee Benefits </t>
  </si>
  <si>
    <t xml:space="preserve">Reinsurance Payable </t>
  </si>
  <si>
    <t xml:space="preserve">Deferred Revenue </t>
  </si>
  <si>
    <t>Interest bearing liabilities</t>
  </si>
  <si>
    <t xml:space="preserve">Other Liabilities </t>
  </si>
  <si>
    <t>Total Liabilities (Total of Lines 20 to 25)</t>
  </si>
  <si>
    <t>Shareholders' Equity</t>
  </si>
  <si>
    <t xml:space="preserve">Stated Capital </t>
  </si>
  <si>
    <t>Other Reserves</t>
  </si>
  <si>
    <t>Revaluation reserves</t>
  </si>
  <si>
    <t>Restricted regulatory reserve</t>
  </si>
  <si>
    <t xml:space="preserve">Retained Earnings </t>
  </si>
  <si>
    <t>Total Shareholders' Equity (27 to 30)</t>
  </si>
  <si>
    <t>Total Liabilities and Shareholders' Equity ( 26+31)</t>
  </si>
  <si>
    <t>ANDBPLC</t>
  </si>
  <si>
    <t>AIA Insurance</t>
  </si>
  <si>
    <t xml:space="preserve">Right of Use assets </t>
  </si>
  <si>
    <t xml:space="preserve">Arpico </t>
  </si>
  <si>
    <t xml:space="preserve">Right of use assets </t>
  </si>
  <si>
    <t xml:space="preserve">Right of use  assets </t>
  </si>
  <si>
    <t>NIC</t>
  </si>
  <si>
    <t xml:space="preserve">SriLanka Insurance </t>
  </si>
  <si>
    <t>STATEMENT FINANCIAL POSITION AS AT 31ST DECEMBER 2020  - LIFE INSURANCE BUSINESS</t>
  </si>
  <si>
    <t>AS AT 31.12.2020</t>
  </si>
  <si>
    <t>AmanaLife</t>
  </si>
  <si>
    <t>National Insurance Company</t>
  </si>
  <si>
    <t>13. Extract of Income Statement of Long Term Insurance Business - 2021</t>
  </si>
  <si>
    <t>FOR THE YEAR  ENDED 31.12.2021</t>
  </si>
  <si>
    <t xml:space="preserve">Note </t>
  </si>
  <si>
    <t>Shareholders</t>
  </si>
  <si>
    <t>Linked Long-term Business</t>
  </si>
  <si>
    <t>Non-unit  account</t>
  </si>
  <si>
    <t xml:space="preserve">Unit Account- Non guaranteed </t>
  </si>
  <si>
    <t>(2+6+10)</t>
  </si>
  <si>
    <t>(3+4+5)</t>
  </si>
  <si>
    <t>(7+8+9)</t>
  </si>
  <si>
    <t>GWP</t>
  </si>
  <si>
    <t>Premiums ceded to reinsurers</t>
  </si>
  <si>
    <t xml:space="preserve">Net change in reserve for unearned premium </t>
  </si>
  <si>
    <t>Net earned premiums [1-2+3]</t>
  </si>
  <si>
    <t>Other revenue (5.1 to 5.5)</t>
  </si>
  <si>
    <t>Investment income</t>
  </si>
  <si>
    <t>Fees and commission income</t>
  </si>
  <si>
    <t>Realized gains</t>
  </si>
  <si>
    <t>Fair value gains and losses</t>
  </si>
  <si>
    <t>Other operating revenue (Please specify)</t>
  </si>
  <si>
    <t>……………………</t>
  </si>
  <si>
    <t>Net Income (4+5)</t>
  </si>
  <si>
    <t>Gross benefits and claims paid</t>
  </si>
  <si>
    <t>Claims ceded to reinsurers</t>
  </si>
  <si>
    <t>Gross change in contract liabilities</t>
  </si>
  <si>
    <t>Change in contract liabilities ceded to reinsurers</t>
  </si>
  <si>
    <t xml:space="preserve">Change in contract liability - life </t>
  </si>
  <si>
    <t>Change in contract liability due to transfer of One-off Surplus</t>
  </si>
  <si>
    <t>Net benefits and claims (7 to 11)</t>
  </si>
  <si>
    <t>Underwriting and acquisition costs (including reinsurance)</t>
  </si>
  <si>
    <t>Other operating and administrative expenses</t>
  </si>
  <si>
    <t>Profit attributable to unit-holders</t>
  </si>
  <si>
    <t xml:space="preserve">Finance costs </t>
  </si>
  <si>
    <t>Other expenses (15 to 17)</t>
  </si>
  <si>
    <t>Profit before tax (6+12-13-18)</t>
  </si>
  <si>
    <t>Income tax expense</t>
  </si>
  <si>
    <t>Profit for the period (19-20)</t>
  </si>
  <si>
    <t>Softlogic</t>
  </si>
  <si>
    <t>Sundry Income</t>
  </si>
  <si>
    <t>Rent Income</t>
  </si>
  <si>
    <t>Sundry income</t>
  </si>
  <si>
    <t>Disposal on PPE</t>
  </si>
  <si>
    <t>Profit on sale of property, plant and equipment</t>
  </si>
  <si>
    <t>Others</t>
  </si>
  <si>
    <t xml:space="preserve">National Insurance </t>
  </si>
  <si>
    <t>14. Extract of Income Statement of Long Term Insurance Business - 2020</t>
  </si>
  <si>
    <t>FOR THE YEAR  ENDED 31.12.2020</t>
  </si>
  <si>
    <t>Surplus Transfer to Shareholder</t>
  </si>
  <si>
    <r>
      <rPr>
        <b/>
        <sz val="10"/>
        <color rgb="FF000000"/>
        <rFont val="Tahoma"/>
        <family val="2"/>
      </rPr>
      <t>Industry Balance sheet as at 31</t>
    </r>
    <r>
      <rPr>
        <b/>
        <vertAlign val="superscript"/>
        <sz val="10"/>
        <color rgb="FF000000"/>
        <rFont val="Tahoma"/>
        <family val="2"/>
      </rPr>
      <t>st</t>
    </r>
    <r>
      <rPr>
        <b/>
        <sz val="10"/>
        <color rgb="FF000000"/>
        <rFont val="Tahoma"/>
        <family val="2"/>
      </rPr>
      <t xml:space="preserve"> December 2021 (General Insurance Business)</t>
    </r>
  </si>
  <si>
    <t>Line</t>
  </si>
  <si>
    <t>General Insurance Business</t>
  </si>
  <si>
    <t>SRCC Collected by NITF</t>
  </si>
  <si>
    <t>Total Industry excluding Reinsurance</t>
  </si>
  <si>
    <t>Reinsurance of NITF</t>
  </si>
  <si>
    <t>6.1 Investment in segregrated company</t>
  </si>
  <si>
    <t>6.2 Investment in Other companies</t>
  </si>
  <si>
    <t>Investment Associates</t>
  </si>
  <si>
    <t>7.1 Investment in segregrated company</t>
  </si>
  <si>
    <t>7.2 Investment in Other companies</t>
  </si>
  <si>
    <t>Deffered Acquisistion Cost</t>
  </si>
  <si>
    <t>Total assets (Total of Lines 1 to 8 and 13 to 18)</t>
  </si>
  <si>
    <r>
      <t>Total liabilities (Total of Lines 20</t>
    </r>
    <r>
      <rPr>
        <b/>
        <i/>
        <sz val="10"/>
        <rFont val="Tahoma"/>
        <family val="2"/>
      </rPr>
      <t xml:space="preserve"> - </t>
    </r>
    <r>
      <rPr>
        <b/>
        <sz val="10"/>
        <rFont val="Tahoma"/>
        <family val="2"/>
      </rPr>
      <t>25)</t>
    </r>
  </si>
  <si>
    <t>Shareholder's equity</t>
  </si>
  <si>
    <t>Stated Capital</t>
  </si>
  <si>
    <t>Total Liabilities and Shareholders' Equity (26+31)</t>
  </si>
  <si>
    <t>Note: Difference is due to Intersegment receivable and payable balances of NITF</t>
  </si>
  <si>
    <t>Company wise Balance sheets as at 31st December 2021 - General Insurance Business (Cont..)</t>
  </si>
  <si>
    <t>Alianz Gen.</t>
  </si>
  <si>
    <t>General Insurance Business                   (Rs. '000)</t>
  </si>
  <si>
    <t>Total liabilities (Total of Lines 20-25)</t>
  </si>
  <si>
    <t>6.1 Investment in segregated company</t>
  </si>
  <si>
    <t>6.2 Investment in other companies</t>
  </si>
  <si>
    <t>7.1 Investment in segregated company</t>
  </si>
  <si>
    <t>7.2 Investment in other companies</t>
  </si>
  <si>
    <r>
      <rPr>
        <b/>
        <sz val="10"/>
        <color rgb="FF000000"/>
        <rFont val="Tahoma"/>
        <family val="2"/>
      </rPr>
      <t>Company wise Balance sheets as at 31</t>
    </r>
    <r>
      <rPr>
        <b/>
        <vertAlign val="superscript"/>
        <sz val="10"/>
        <color rgb="FF000000"/>
        <rFont val="Tahoma"/>
        <family val="2"/>
      </rPr>
      <t>st</t>
    </r>
    <r>
      <rPr>
        <b/>
        <sz val="10"/>
        <color rgb="FF000000"/>
        <rFont val="Tahoma"/>
        <family val="2"/>
      </rPr>
      <t xml:space="preserve"> December 2021 - General Insurance Business (Cont..)</t>
    </r>
  </si>
  <si>
    <t>Coperative Gen.</t>
  </si>
  <si>
    <t>SRCC &amp; T</t>
  </si>
  <si>
    <t>Total  excluding Reinsurance</t>
  </si>
  <si>
    <t>Reinsurance</t>
  </si>
  <si>
    <t xml:space="preserve">   </t>
  </si>
  <si>
    <t>People's</t>
  </si>
  <si>
    <r>
      <rPr>
        <b/>
        <sz val="10"/>
        <color rgb="FF000000"/>
        <rFont val="Tahoma"/>
        <family val="2"/>
      </rPr>
      <t>Company wise Balance sheets as at 31</t>
    </r>
    <r>
      <rPr>
        <b/>
        <vertAlign val="superscript"/>
        <sz val="10"/>
        <color rgb="FF000000"/>
        <rFont val="Tahoma"/>
        <family val="2"/>
      </rPr>
      <t>st</t>
    </r>
    <r>
      <rPr>
        <b/>
        <sz val="10"/>
        <color rgb="FF000000"/>
        <rFont val="Tahoma"/>
        <family val="2"/>
      </rPr>
      <t xml:space="preserve"> December 2021- General Insurance Business (Cont..)</t>
    </r>
  </si>
  <si>
    <r>
      <rPr>
        <b/>
        <sz val="10"/>
        <color rgb="FF000000"/>
        <rFont val="Tahoma"/>
        <family val="2"/>
      </rPr>
      <t>16. Industry Balance sheet as at 31</t>
    </r>
    <r>
      <rPr>
        <b/>
        <vertAlign val="superscript"/>
        <sz val="10"/>
        <color rgb="FF000000"/>
        <rFont val="Tahoma"/>
        <family val="2"/>
      </rPr>
      <t>st</t>
    </r>
    <r>
      <rPr>
        <b/>
        <sz val="10"/>
        <color rgb="FF000000"/>
        <rFont val="Tahoma"/>
        <family val="2"/>
      </rPr>
      <t xml:space="preserve"> December 2020 - General Insurance Business - (Reinstated with Audited in 2020)</t>
    </r>
  </si>
  <si>
    <t>Right of Use Asset</t>
  </si>
  <si>
    <r>
      <rPr>
        <b/>
        <sz val="10"/>
        <color rgb="FF000000"/>
        <rFont val="Tahoma"/>
        <family val="2"/>
      </rPr>
      <t>Company wise Balance sheets as at 31</t>
    </r>
    <r>
      <rPr>
        <b/>
        <vertAlign val="superscript"/>
        <sz val="10"/>
        <color rgb="FF000000"/>
        <rFont val="Tahoma"/>
        <family val="2"/>
      </rPr>
      <t xml:space="preserve">st </t>
    </r>
    <r>
      <rPr>
        <b/>
        <sz val="10"/>
        <color rgb="FF000000"/>
        <rFont val="Tahoma"/>
        <family val="2"/>
      </rPr>
      <t xml:space="preserve">December 2020 - General Insurance Business (Cont..) </t>
    </r>
  </si>
  <si>
    <t xml:space="preserve"> (Reinstated with Audited in 2019)</t>
  </si>
  <si>
    <r>
      <rPr>
        <b/>
        <sz val="10"/>
        <color rgb="FF000000"/>
        <rFont val="Tahoma"/>
        <family val="2"/>
      </rPr>
      <t>Company wise Balance sheets as at 31</t>
    </r>
    <r>
      <rPr>
        <b/>
        <vertAlign val="superscript"/>
        <sz val="10"/>
        <color rgb="FF000000"/>
        <rFont val="Tahoma"/>
        <family val="2"/>
      </rPr>
      <t xml:space="preserve">st </t>
    </r>
    <r>
      <rPr>
        <b/>
        <sz val="10"/>
        <color rgb="FF000000"/>
        <rFont val="Tahoma"/>
        <family val="2"/>
      </rPr>
      <t xml:space="preserve">December 2020- General Insurance Business (Cont..) </t>
    </r>
  </si>
  <si>
    <t>General Insurance Business (Rs. '000)</t>
  </si>
  <si>
    <t>17. Extract of Income Statement of General Insurance Business - 2021</t>
  </si>
  <si>
    <t>Fire</t>
  </si>
  <si>
    <t>Marine</t>
  </si>
  <si>
    <t>Motor</t>
  </si>
  <si>
    <t>Health</t>
  </si>
  <si>
    <t>Miscellaneous</t>
  </si>
  <si>
    <t xml:space="preserve">Reinsurance </t>
  </si>
  <si>
    <t>3rd party only</t>
  </si>
  <si>
    <t>Comprehensive</t>
  </si>
  <si>
    <t xml:space="preserve"> - Coinsurance outward </t>
  </si>
  <si>
    <t xml:space="preserve"> - SRCC &amp; TC Premium </t>
  </si>
  <si>
    <t xml:space="preserve"> - Reinsurance</t>
  </si>
  <si>
    <t>NWP (1-(2+3+4))</t>
  </si>
  <si>
    <t>Change in UEP</t>
  </si>
  <si>
    <t>NEP (5+6)</t>
  </si>
  <si>
    <t>Benefits/losses</t>
  </si>
  <si>
    <t>Non Life Insurance Losses and Loss Adj Exp(net)</t>
  </si>
  <si>
    <t>Underwriting and Net Acquisition Costs</t>
  </si>
  <si>
    <t>Other Insurance related costs (net)</t>
  </si>
  <si>
    <t>Underwriting Results</t>
  </si>
  <si>
    <t>Other Revenue</t>
  </si>
  <si>
    <t>Fees &amp; commission income</t>
  </si>
  <si>
    <t xml:space="preserve">Income from investments </t>
  </si>
  <si>
    <t>Other income</t>
  </si>
  <si>
    <t>Expenses</t>
  </si>
  <si>
    <t>Other operating, investment related and admin expenses</t>
  </si>
  <si>
    <t>Amortisation of goodwill &amp; Intangible Assets</t>
  </si>
  <si>
    <t>Profit from operations</t>
  </si>
  <si>
    <t>Interest expense</t>
  </si>
  <si>
    <t>Profit before taxation</t>
  </si>
  <si>
    <t>Tax</t>
  </si>
  <si>
    <t>Profit After taxation</t>
  </si>
  <si>
    <t>Extract of Income Statement of General Insurance Business - 2021(Cont..)</t>
  </si>
  <si>
    <t>Extract of Income Statement of General Insurance Business - 2021 (Cont..)</t>
  </si>
  <si>
    <t xml:space="preserve"> - SRCC &amp; TC Premium</t>
  </si>
  <si>
    <t>Income from investments</t>
  </si>
  <si>
    <t xml:space="preserve"> - Coinsurance outward</t>
  </si>
  <si>
    <t>SRCC</t>
  </si>
  <si>
    <t>18.  Extract of Income Statement of General Insurance Business - 2020 - (Reinstated with Audited 2020)</t>
  </si>
  <si>
    <t>Extract of Income Statement of General Insurance Business - 2020 Cont..) - (Reinstated with Audited 2020)</t>
  </si>
  <si>
    <t>Extract of Income Statement of General Insurance Business - 2020 (Cont..) - (Reinstated with Audited 2020)</t>
  </si>
  <si>
    <t>NEP (5+5)</t>
  </si>
  <si>
    <r>
      <rPr>
        <b/>
        <sz val="10"/>
        <color rgb="FF000000"/>
        <rFont val="Tahoma"/>
        <family val="2"/>
      </rPr>
      <t>19. Company - wise Analysis of Total Available Capital (TAC) as at 31</t>
    </r>
    <r>
      <rPr>
        <b/>
        <vertAlign val="superscript"/>
        <sz val="10"/>
        <color rgb="FF000000"/>
        <rFont val="Tahoma"/>
        <family val="2"/>
      </rPr>
      <t>st</t>
    </r>
    <r>
      <rPr>
        <b/>
        <sz val="10"/>
        <color rgb="FF000000"/>
        <rFont val="Tahoma"/>
        <family val="2"/>
      </rPr>
      <t xml:space="preserve"> December 2020 &amp; 2021 - Long Term Insurance Business</t>
    </r>
  </si>
  <si>
    <r>
      <t>As at 31</t>
    </r>
    <r>
      <rPr>
        <b/>
        <vertAlign val="superscript"/>
        <sz val="10"/>
        <color theme="0"/>
        <rFont val="Tahoma"/>
        <family val="2"/>
      </rPr>
      <t>st</t>
    </r>
    <r>
      <rPr>
        <b/>
        <sz val="10"/>
        <color theme="0"/>
        <rFont val="Tahoma"/>
        <family val="2"/>
      </rPr>
      <t xml:space="preserve"> December 2020 (a)</t>
    </r>
  </si>
  <si>
    <r>
      <t>As at 31</t>
    </r>
    <r>
      <rPr>
        <b/>
        <vertAlign val="superscript"/>
        <sz val="10"/>
        <color theme="0"/>
        <rFont val="Tahoma"/>
        <family val="2"/>
      </rPr>
      <t>st</t>
    </r>
    <r>
      <rPr>
        <b/>
        <sz val="10"/>
        <color theme="0"/>
        <rFont val="Tahoma"/>
        <family val="2"/>
      </rPr>
      <t xml:space="preserve"> December 2021 (b)</t>
    </r>
  </si>
  <si>
    <t>Total Available Capital</t>
  </si>
  <si>
    <t>Tier 1</t>
  </si>
  <si>
    <t>Tier II</t>
  </si>
  <si>
    <t>Deductions</t>
  </si>
  <si>
    <t>Note: Figures recorded for 2021 were obtained from the Annual Returns submitted for the IRCSL for year ended 31st December 2021.</t>
  </si>
  <si>
    <r>
      <rPr>
        <b/>
        <sz val="10"/>
        <color rgb="FF000000"/>
        <rFont val="Tahoma"/>
        <family val="2"/>
      </rPr>
      <t>20. Company - wise Analysis of Risk Capital Required (RCR) as  at 31</t>
    </r>
    <r>
      <rPr>
        <b/>
        <vertAlign val="superscript"/>
        <sz val="10"/>
        <color rgb="FF000000"/>
        <rFont val="Tahoma"/>
        <family val="2"/>
      </rPr>
      <t>st</t>
    </r>
    <r>
      <rPr>
        <b/>
        <sz val="10"/>
        <color rgb="FF000000"/>
        <rFont val="Tahoma"/>
        <family val="2"/>
      </rPr>
      <t xml:space="preserve"> December 2020 &amp; 2021 - Long Term Insurance Business</t>
    </r>
  </si>
  <si>
    <r>
      <t>As at 31</t>
    </r>
    <r>
      <rPr>
        <b/>
        <vertAlign val="superscript"/>
        <sz val="10"/>
        <color theme="0"/>
        <rFont val="Tahoma"/>
        <family val="2"/>
      </rPr>
      <t>st</t>
    </r>
    <r>
      <rPr>
        <b/>
        <sz val="10"/>
        <color theme="0"/>
        <rFont val="Tahoma"/>
        <family val="2"/>
      </rPr>
      <t xml:space="preserve"> December 2020 (a) (Rs.'000)</t>
    </r>
  </si>
  <si>
    <t>Credit Risk</t>
  </si>
  <si>
    <t>Concentration Risk</t>
  </si>
  <si>
    <t>Market Risk</t>
  </si>
  <si>
    <t>Reinsurance Risk</t>
  </si>
  <si>
    <t>Liability Rsik</t>
  </si>
  <si>
    <t>Operational Risk</t>
  </si>
  <si>
    <t>Total Risk Capital Charge (RCR) before diversification</t>
  </si>
  <si>
    <t>Total Risk Capital Charge (RCR) after diversification</t>
  </si>
  <si>
    <r>
      <t>As at 31</t>
    </r>
    <r>
      <rPr>
        <b/>
        <vertAlign val="superscript"/>
        <sz val="10"/>
        <color theme="0"/>
        <rFont val="Tahoma"/>
        <family val="2"/>
      </rPr>
      <t>st</t>
    </r>
    <r>
      <rPr>
        <b/>
        <sz val="10"/>
        <color theme="0"/>
        <rFont val="Tahoma"/>
        <family val="2"/>
      </rPr>
      <t xml:space="preserve"> December 2021 (b) (Rs.'000)</t>
    </r>
  </si>
  <si>
    <r>
      <rPr>
        <b/>
        <sz val="10"/>
        <color rgb="FF000000"/>
        <rFont val="Tahoma"/>
        <family val="2"/>
      </rPr>
      <t>21. Company - wise Analysis of Total Available Capital (TAC) as at 31</t>
    </r>
    <r>
      <rPr>
        <b/>
        <vertAlign val="superscript"/>
        <sz val="10"/>
        <color rgb="FF000000"/>
        <rFont val="Tahoma"/>
        <family val="2"/>
      </rPr>
      <t>st</t>
    </r>
    <r>
      <rPr>
        <b/>
        <sz val="10"/>
        <color rgb="FF000000"/>
        <rFont val="Tahoma"/>
        <family val="2"/>
      </rPr>
      <t xml:space="preserve"> December 2021 &amp; 2021 - General Insurance Business</t>
    </r>
  </si>
  <si>
    <t>(All Figures in Rs. '000)</t>
  </si>
  <si>
    <t xml:space="preserve">TAC 
as at 31st December 2020 (a) 
</t>
  </si>
  <si>
    <t>As at 31st December 2021 (b)</t>
  </si>
  <si>
    <t>TAC</t>
  </si>
  <si>
    <t>Note: Figures recorded for 2021 were obtained from the Annual Returns submitted to the IRCSL for year ended 31st December 2021</t>
  </si>
  <si>
    <r>
      <rPr>
        <b/>
        <sz val="10"/>
        <color rgb="FF000000"/>
        <rFont val="Tahoma"/>
        <family val="2"/>
      </rPr>
      <t>22. Company - wise Analysis of Risk Capital Required (RCR) as  at 31</t>
    </r>
    <r>
      <rPr>
        <b/>
        <vertAlign val="superscript"/>
        <sz val="10"/>
        <color rgb="FF000000"/>
        <rFont val="Tahoma"/>
        <family val="2"/>
      </rPr>
      <t>st</t>
    </r>
    <r>
      <rPr>
        <b/>
        <sz val="10"/>
        <color rgb="FF000000"/>
        <rFont val="Tahoma"/>
        <family val="2"/>
      </rPr>
      <t xml:space="preserve"> December 2020 &amp; 2021 - General Insurance Business</t>
    </r>
  </si>
  <si>
    <t xml:space="preserve">Note: Figures recorded for 2021 were obtained from the Annual Returns submitted to the IRCSL for year ended 31st December 2021 </t>
  </si>
  <si>
    <r>
      <rPr>
        <b/>
        <sz val="10"/>
        <color rgb="FF000000"/>
        <rFont val="Tahoma"/>
        <family val="2"/>
      </rPr>
      <t>23. Company - wise Analysis of Solvency Position as at 31</t>
    </r>
    <r>
      <rPr>
        <b/>
        <vertAlign val="superscript"/>
        <sz val="10"/>
        <color rgb="FF000000"/>
        <rFont val="Tahoma"/>
        <family val="2"/>
      </rPr>
      <t>st</t>
    </r>
    <r>
      <rPr>
        <b/>
        <sz val="10"/>
        <color rgb="FF000000"/>
        <rFont val="Tahoma"/>
        <family val="2"/>
      </rPr>
      <t xml:space="preserve"> December 2020 &amp; 2021 - Long Term Insurance Business</t>
    </r>
  </si>
  <si>
    <t>TAC                  (Rs. '000)</t>
  </si>
  <si>
    <t>RCR             (Rs. '000)</t>
  </si>
  <si>
    <t>SVCC              (Rs. '000)</t>
  </si>
  <si>
    <t>CAR (%)</t>
  </si>
  <si>
    <t>Total/Overall</t>
  </si>
  <si>
    <t>24. Company - wise Analysis of Solvency Position as at 31st December 2020 &amp; 2021- General Insurance Business</t>
  </si>
  <si>
    <t>As at 31st December 2020 (a)</t>
  </si>
  <si>
    <t>TAC (Rs. '000)</t>
  </si>
  <si>
    <t>RCR (Rs. '000)</t>
  </si>
  <si>
    <t>Note: Figures recorded were obtained from the Annual Returns submitted to the IRCSL for year ended 31st December 2021</t>
  </si>
  <si>
    <t>25. Class - wise, Company wise Analysis of Gross Written Premium from  2017 to 2021 - General Insurance Business</t>
  </si>
  <si>
    <t>Class - wise Analysis of Gross Written Premium of General Insurance Business - 2021</t>
  </si>
  <si>
    <t>Class - wise Analysis of Gross Written Premium of General Insurance Business - 2020</t>
  </si>
  <si>
    <t>Class - wise Analysis of Gross Written Premium of General Insurance Business - 2019</t>
  </si>
  <si>
    <t>Class - wise Analysis of Gross Written Premium of General Insurance Business - 2018</t>
  </si>
  <si>
    <t xml:space="preserve">Fire                     </t>
  </si>
  <si>
    <t xml:space="preserve">Marine                      </t>
  </si>
  <si>
    <t xml:space="preserve">Motor                            </t>
  </si>
  <si>
    <t xml:space="preserve">Miscellaneous            </t>
  </si>
  <si>
    <t xml:space="preserve">Total                           </t>
  </si>
  <si>
    <t>Class - wise Analysis of Gross Written Premium of General Insurance Business - 2017</t>
  </si>
  <si>
    <t xml:space="preserve">Marine                       </t>
  </si>
  <si>
    <t xml:space="preserve">Motor                           </t>
  </si>
  <si>
    <t>Cont..</t>
  </si>
  <si>
    <t>26. Net Earned Premium, Net Claims Incurred, Net Claims Ratio, Net Expense Ratio and Net Combined Ratio of General Insurance Business - 2017 to 2021</t>
  </si>
  <si>
    <t>Class</t>
  </si>
  <si>
    <t>Net Earned Premium (Rs. '000)</t>
  </si>
  <si>
    <t xml:space="preserve">Sub Total </t>
  </si>
  <si>
    <t>Net Claims Incurred (Rs. '000)</t>
  </si>
  <si>
    <t>Net Claims Ratio (%)</t>
  </si>
  <si>
    <t>Description</t>
  </si>
  <si>
    <t>Net Expenses (Rs. '000)</t>
  </si>
  <si>
    <t>Net Expenses for all classes of General Insurance Business except SRCC &amp; T</t>
  </si>
  <si>
    <t>Net Expense Ratio (%)</t>
  </si>
  <si>
    <t>Net Expenses Ratio for all classes of General Insurance Business except SRCC &amp; T</t>
  </si>
  <si>
    <t>Net Expense Ratio of General Insurance Business</t>
  </si>
  <si>
    <t>Net Combined Ratio (%)</t>
  </si>
  <si>
    <t>Net Combined Ratio for all classes of General Insurance Business except SRCC &amp; T</t>
  </si>
  <si>
    <t>Net Combined Ratio of General Insurance Business</t>
  </si>
  <si>
    <t>27.  Class - wise Analysis of Earned Premium of General Insurance Business -2017 to 2021</t>
  </si>
  <si>
    <t>Class - wise Analysis of Earned Premium of General Insurance Business - 2021</t>
  </si>
  <si>
    <t xml:space="preserve">Total                            </t>
  </si>
  <si>
    <t>Sub Total</t>
  </si>
  <si>
    <t>Class - wise Analysis of Earned Premium of General Insurance Business - 2020</t>
  </si>
  <si>
    <t>Class - wise Analysis of Earned Premium of General Insurance Business - 2019</t>
  </si>
  <si>
    <t>Class - wise Analysis of Earned Premium of General Insurance Business - 2018</t>
  </si>
  <si>
    <t xml:space="preserve"> Health</t>
  </si>
  <si>
    <t>Class - wise Analysis of Earned Premium of General Insurance Business - 2017</t>
  </si>
  <si>
    <t>28. Class - wise Analysis of Claims Incurred - General Insurance Business - 2017 to 2021</t>
  </si>
  <si>
    <t>Class - wise Analysis of Claims Incurred - General Insurance Business - 2021</t>
  </si>
  <si>
    <t xml:space="preserve"> Health               </t>
  </si>
  <si>
    <t xml:space="preserve">Miscellaneous          </t>
  </si>
  <si>
    <t>Class - wise Analysis of Claims Incurred - General Insurance Business - 2020</t>
  </si>
  <si>
    <t>Class - wise Analysis of Claims Incurred - General Insurance Business - 2019</t>
  </si>
  <si>
    <t>Class - wise Analysis of Claims Incurred - General Insurance Business - 2018</t>
  </si>
  <si>
    <t>Class - wise Analysis of Claims Incurred - General Insurance Business - 2017</t>
  </si>
  <si>
    <t xml:space="preserve">Miscellaneous           </t>
  </si>
  <si>
    <t>29. Company - wise Net Combined Ratio of General Insurance Business - 2017 to 2021</t>
  </si>
  <si>
    <t>(All figures in % )</t>
  </si>
  <si>
    <t xml:space="preserve">2020 (a)     </t>
  </si>
  <si>
    <t xml:space="preserve">2021 (b)     </t>
  </si>
  <si>
    <t>2015 (b)</t>
  </si>
  <si>
    <t xml:space="preserve">Industry </t>
  </si>
  <si>
    <t>30. Gross Written Premium, Reinsurance Premium and Retention by Insurers - General Insurance Business</t>
  </si>
  <si>
    <t>Gross Written Premium (Rs.'000)</t>
  </si>
  <si>
    <t xml:space="preserve">Miscellaneous </t>
  </si>
  <si>
    <t xml:space="preserve"> Total </t>
  </si>
  <si>
    <t>Reinsurance Premium (Rs.'000)</t>
  </si>
  <si>
    <t>2019 (a)</t>
  </si>
  <si>
    <t>2020 (b)</t>
  </si>
  <si>
    <t>Total Reinsurance Premium</t>
  </si>
  <si>
    <t>Retention (Rs.'000)</t>
  </si>
  <si>
    <t>Total Net Written Premium</t>
  </si>
  <si>
    <t>Retention as a percentage of  Gross Written Premium (%)</t>
  </si>
  <si>
    <t>Overall Retention Ratio</t>
  </si>
  <si>
    <t>31.  Class - wise  Analysis of Reinsurance Premium of General Insurance Business - 2017 to 2021</t>
  </si>
  <si>
    <t>Class - wise Analysis of Reinsurance  Premium - General Insurance Business - 2021</t>
  </si>
  <si>
    <t>(All figures in Rs.'000 )</t>
  </si>
  <si>
    <t xml:space="preserve">Miscellaneous             </t>
  </si>
  <si>
    <t>Class - wise Analysis of Reinsurance  Premium - General Insurance Business - 2020</t>
  </si>
  <si>
    <t>Class - wise Analysis of Reinsurance  Premium - General Insurance Business - 2019</t>
  </si>
  <si>
    <t>Class - wise Analysis of Reinsurance  Premium - General Insurance Business - 2018</t>
  </si>
  <si>
    <t>Class - wise Analysis of Reinsurance  Premium - General Insurance Business - 2017</t>
  </si>
  <si>
    <r>
      <rPr>
        <b/>
        <sz val="10"/>
        <color rgb="FF000000"/>
        <rFont val="Tahoma"/>
        <family val="2"/>
      </rPr>
      <t>32. Branch Network, Employees &amp; Agents as at 31</t>
    </r>
    <r>
      <rPr>
        <b/>
        <vertAlign val="superscript"/>
        <sz val="10"/>
        <color rgb="FF000000"/>
        <rFont val="Tahoma"/>
        <family val="2"/>
      </rPr>
      <t>st</t>
    </r>
    <r>
      <rPr>
        <b/>
        <sz val="10"/>
        <color rgb="FF000000"/>
        <rFont val="Tahoma"/>
        <family val="2"/>
      </rPr>
      <t xml:space="preserve"> December 2021</t>
    </r>
  </si>
  <si>
    <t>Indusrtry</t>
  </si>
  <si>
    <t>Province</t>
  </si>
  <si>
    <t>No. of Branches</t>
  </si>
  <si>
    <t>No. of Employees including employees at Head Office</t>
  </si>
  <si>
    <t xml:space="preserve">No. of Agents </t>
  </si>
  <si>
    <t xml:space="preserve">General </t>
  </si>
  <si>
    <t>Long Term</t>
  </si>
  <si>
    <t>Composite</t>
  </si>
  <si>
    <t>Central Province</t>
  </si>
  <si>
    <t>Eastern Province</t>
  </si>
  <si>
    <t>North Central Province</t>
  </si>
  <si>
    <t>North Western Province</t>
  </si>
  <si>
    <t>Nothern Province</t>
  </si>
  <si>
    <t>Sabaragamuwa Province</t>
  </si>
  <si>
    <t>Southern Province</t>
  </si>
  <si>
    <t>Uva Province</t>
  </si>
  <si>
    <t>Western Province</t>
  </si>
  <si>
    <t>Northern Province</t>
  </si>
  <si>
    <t>No. of employees including employees at Head Office</t>
  </si>
  <si>
    <t xml:space="preserve">No. of Employees including employees at Head Office </t>
  </si>
  <si>
    <t>Note: Company Amana Takaful has entered no. of employees who is serving both gen and life companies under composite which is not inconsistent with our format. Hence, we added those employees to parent company which is Amana Takaful PLC in order to avoid double counting of employees.</t>
  </si>
  <si>
    <t>Branch Network, Employees &amp; Agents as at 31st December 2014</t>
  </si>
  <si>
    <t>Companies</t>
  </si>
  <si>
    <t>Number of agents</t>
  </si>
  <si>
    <t xml:space="preserve">others </t>
  </si>
  <si>
    <t>No. of Employees</t>
  </si>
  <si>
    <t>No. of Agents</t>
  </si>
  <si>
    <t>Bancassurance</t>
  </si>
  <si>
    <t>Table 3</t>
  </si>
  <si>
    <t>List of tables'!A1</t>
  </si>
  <si>
    <t>Company-wise Market Share of Gross Written Premium - Long Term Insurance Business</t>
  </si>
  <si>
    <t>Company-wise Market Share of Gross Written Premium - Long-term Insurance Business</t>
  </si>
  <si>
    <t xml:space="preserve">Top Five Insurers'  Market Share as a % of Gross Written Premium for last 5 years - Long Term Insurance Business
</t>
  </si>
  <si>
    <t>Growth Rate</t>
  </si>
  <si>
    <t>Rank 2008</t>
  </si>
  <si>
    <t>Rank 2012</t>
  </si>
  <si>
    <t>Growth  Rate %</t>
  </si>
  <si>
    <t>Growth  Rate % - Ceylinco</t>
  </si>
  <si>
    <t>Growth  Rate % - AIA</t>
  </si>
  <si>
    <t>Growth  Rate % - SLIC</t>
  </si>
  <si>
    <t>Top 5 Companies Market Share Analysis 2009 to 2013 - LTIB</t>
  </si>
  <si>
    <t>Growth  Rate % - UAL</t>
  </si>
  <si>
    <t>Change</t>
  </si>
  <si>
    <t>Growth  Rate % - Janashakthi</t>
  </si>
  <si>
    <t>Top 5</t>
  </si>
  <si>
    <t>Chart 2</t>
  </si>
  <si>
    <t>Growth  Rate(%)</t>
  </si>
  <si>
    <t>(a) Reinstated Audited figures</t>
  </si>
  <si>
    <t>(b) Provisional figures</t>
  </si>
  <si>
    <t>Chart 01</t>
  </si>
  <si>
    <t>Rank 09</t>
  </si>
  <si>
    <t>Rank 10</t>
  </si>
  <si>
    <t>Rank 11</t>
  </si>
  <si>
    <t>Rank 12</t>
  </si>
  <si>
    <t>Rank 13</t>
  </si>
  <si>
    <t>33. Number of New Insurance Policies Issued - Long Term Insurance Buisness</t>
  </si>
  <si>
    <t>Breakup of Investment Income and Average Investments - Long Term Insurance Business</t>
  </si>
  <si>
    <t>Category</t>
  </si>
  <si>
    <t>Investment Income                                            (Rs. '000)</t>
  </si>
  <si>
    <t>Average Investments        (Rs. '000)</t>
  </si>
  <si>
    <t>Investment Yield Ratio (%)</t>
  </si>
  <si>
    <t>Investment Income                                               (Rs. '000)</t>
  </si>
  <si>
    <t>Average Investments  (Rs. '000)</t>
  </si>
  <si>
    <t xml:space="preserve">    - Treasury Bonds</t>
  </si>
  <si>
    <t xml:space="preserve">    - Treasury Bills</t>
  </si>
  <si>
    <t xml:space="preserve">    - Others (REPO)</t>
  </si>
  <si>
    <t>Equity</t>
  </si>
  <si>
    <t xml:space="preserve">    - Capital Gain/Losses</t>
  </si>
  <si>
    <t xml:space="preserve">    - Dividend</t>
  </si>
  <si>
    <t>Corporate Debts</t>
  </si>
  <si>
    <t xml:space="preserve">    - Debentures</t>
  </si>
  <si>
    <t xml:space="preserve">    - Commercial Papers</t>
  </si>
  <si>
    <t xml:space="preserve">    - Asset Backed Securities </t>
  </si>
  <si>
    <t xml:space="preserve">    - Other Similar Financial Instruments </t>
  </si>
  <si>
    <t>Land and Buildings</t>
  </si>
  <si>
    <t>Deposits</t>
  </si>
  <si>
    <t xml:space="preserve">      - Bank</t>
  </si>
  <si>
    <t xml:space="preserve">      - Finance Companies</t>
  </si>
  <si>
    <t>Unit Trust</t>
  </si>
  <si>
    <t>Gold</t>
  </si>
  <si>
    <t xml:space="preserve">Others </t>
  </si>
  <si>
    <t>Average 2012</t>
  </si>
  <si>
    <t>Average 2013</t>
  </si>
  <si>
    <t>Breakup of Investment Income Vs Average Investments - Long Term Insurance Business</t>
  </si>
  <si>
    <t>Average Investment    (Rs. '000)</t>
  </si>
  <si>
    <t>Average Investment  (Rs. '000)</t>
  </si>
  <si>
    <t xml:space="preserve">    - Asset backed securities </t>
  </si>
  <si>
    <t xml:space="preserve">    - Other similar financial instruments </t>
  </si>
  <si>
    <t xml:space="preserve"> The investment income belonging to shareholders of ALILL, AIL and LICLL have been reported under long term insurance business</t>
  </si>
  <si>
    <t>Average 2011</t>
  </si>
  <si>
    <t>Solvency Computation - Long Term Insurance Companies</t>
  </si>
  <si>
    <t>Total Insurance Industry</t>
  </si>
  <si>
    <t>as at 31/12/2009</t>
  </si>
  <si>
    <t>as at 31/12/2010</t>
  </si>
  <si>
    <t>As at 31/12/2011(a)</t>
  </si>
  <si>
    <t>As at 31/12/2012(b)</t>
  </si>
  <si>
    <t>As at 31/12/2013(b)</t>
  </si>
  <si>
    <t>Value of Admissible Assets (Rs. '000)</t>
  </si>
  <si>
    <t>Amount of liabilities  (Rs. '000)</t>
  </si>
  <si>
    <t xml:space="preserve"> - Policy Liabilities (Rs. '000)</t>
  </si>
  <si>
    <t xml:space="preserve"> - Other Liabilities (Rs. '000)</t>
  </si>
  <si>
    <t>Available Solvency Margin (ASM) (Rs. '000)</t>
  </si>
  <si>
    <t>Excess over RSM (Rs. Mn)</t>
  </si>
  <si>
    <t>Factor</t>
  </si>
  <si>
    <t>Required Solvency Margin (Policy Liabilities*0.05)</t>
  </si>
  <si>
    <t>Solvency Ratio</t>
  </si>
  <si>
    <t>as at 31/12/2009*</t>
  </si>
  <si>
    <t>as at 31/12/2010*</t>
  </si>
  <si>
    <t>as at 31/12/2011*</t>
  </si>
  <si>
    <t>as at 31/12/2012</t>
  </si>
  <si>
    <t>as at 31/12/2013</t>
  </si>
  <si>
    <t>Value of Admissible Assets</t>
  </si>
  <si>
    <t xml:space="preserve">Amount of liabilities </t>
  </si>
  <si>
    <t xml:space="preserve"> - Policy Liabilities</t>
  </si>
  <si>
    <t xml:space="preserve"> - Other Liabilities </t>
  </si>
  <si>
    <t>Available Solvency Margin (ASM)</t>
  </si>
  <si>
    <t>NICL</t>
  </si>
  <si>
    <t>Table 4</t>
  </si>
  <si>
    <t>Top 5 Companies Market Share of Gross Written Premium -   General Insurance Business</t>
  </si>
  <si>
    <t>Top 5 Companies Market Share Analysis 2009 to 2013 - GIB</t>
  </si>
  <si>
    <t xml:space="preserve">% Change </t>
  </si>
  <si>
    <t>Chart 05</t>
  </si>
  <si>
    <t>SRCC &amp; TC Premium due to NITF confirmed by Insurers</t>
  </si>
  <si>
    <t>Total Gross Written Premium and Growth Rate (Including SRCC &amp; TC)</t>
  </si>
  <si>
    <t>1. Strike, Riot, Civil Commotion and Terrorism (SRCC &amp; T) premium income of NITF was not considered for  insurance companies'  general  insurance GWP for the years  2010 to 2012.</t>
  </si>
  <si>
    <r>
      <t>3.CTL is prohibited from engaging in insurance business since 5</t>
    </r>
    <r>
      <rPr>
        <i/>
        <sz val="12"/>
        <color indexed="8"/>
        <rFont val="Calibri"/>
        <family val="2"/>
      </rPr>
      <t>th</t>
    </r>
    <r>
      <rPr>
        <i/>
        <sz val="11"/>
        <color indexed="8"/>
        <rFont val="Calibri"/>
        <family val="2"/>
      </rPr>
      <t xml:space="preserve"> August 2009. The company did not submit audited financials for since 2010 and relevant data for the year ended 31st December 2012.</t>
    </r>
  </si>
  <si>
    <t>Chart 4</t>
  </si>
  <si>
    <t>LT</t>
  </si>
  <si>
    <t>GI</t>
  </si>
  <si>
    <r>
      <t>3.CTL is prohibited from engaging in insurance business since 5</t>
    </r>
    <r>
      <rPr>
        <i/>
        <sz val="12"/>
        <color indexed="8"/>
        <rFont val="Calibri"/>
        <family val="2"/>
      </rPr>
      <t>th</t>
    </r>
    <r>
      <rPr>
        <i/>
        <sz val="11"/>
        <color indexed="8"/>
        <rFont val="Calibri"/>
        <family val="2"/>
      </rPr>
      <t xml:space="preserve"> August 2009. The company did not submit audited financials for the year ended 31st December 2010 and relevant data for the year ended 31st December 2011.</t>
    </r>
  </si>
  <si>
    <t>2007*</t>
  </si>
  <si>
    <t>Rank 07</t>
  </si>
  <si>
    <t>Rank 08</t>
  </si>
  <si>
    <t>Rank 2013</t>
  </si>
  <si>
    <t>Income Statement - General Insurance Business - 2012</t>
  </si>
  <si>
    <t>Total General Insurance Industry</t>
  </si>
  <si>
    <t>WCI</t>
  </si>
  <si>
    <t>Misc</t>
  </si>
  <si>
    <t xml:space="preserve"> - Coinsurance outward *</t>
  </si>
  <si>
    <t xml:space="preserve"> - SRCC &amp; TC Premium **</t>
  </si>
  <si>
    <t xml:space="preserve"> - Reinsurance***</t>
  </si>
  <si>
    <t>NWP (Line 2 - (sum of 3,4 &amp; 5))</t>
  </si>
  <si>
    <t>NEP</t>
  </si>
  <si>
    <t>Class-wise Analysis of Earned Premium Rs.'000 - General Insurance - 2013</t>
  </si>
  <si>
    <t>Sub-class</t>
  </si>
  <si>
    <t>Class-wise Analysis of Earned Premium Rs.'000 - General Insurance - 2012</t>
  </si>
  <si>
    <t>Class-wise Analysis of Earned Premium Rs.'000 - General Insurance - 2011</t>
  </si>
  <si>
    <t>Class-wise Analysis of Earned Premium - General Insurance - 2010</t>
  </si>
  <si>
    <t>Class-wise Analysis of Earned Premium - General Insurance - 2009</t>
  </si>
  <si>
    <t>Class-wise Analysis of Earned Premium - General Insurance - 2008</t>
  </si>
  <si>
    <t>Class-wise Analysis of Earned Premium - General Insurance - 2007</t>
  </si>
  <si>
    <t>Class-wise Analysis of Gross Written Premium - General Insurance Business</t>
  </si>
  <si>
    <t>Industry Growth</t>
  </si>
  <si>
    <t>3.CTL is prohibited from engaging in insurance business since 5th August 2009. The company did not submit audited financials for since 2010 and relevant data for the year ended 31st December 2012.</t>
  </si>
  <si>
    <t>Do not delete</t>
  </si>
  <si>
    <t>`</t>
  </si>
  <si>
    <t>Net Earned Premium, Net Claims Incurred and Net Claims and Net Combined Ratio</t>
  </si>
  <si>
    <t>Net Earned Premium (Rs.'000)</t>
  </si>
  <si>
    <t xml:space="preserve">Total  </t>
  </si>
  <si>
    <t>Net Claims Incurred (Rs.'000)</t>
  </si>
  <si>
    <t>2007(a)</t>
  </si>
  <si>
    <t>2012(b)</t>
  </si>
  <si>
    <t>Net Expenses (Rs.'000)</t>
  </si>
  <si>
    <t>Class-wise Analysis of Claims Incurred (Rs.'000) - General Insurance - 2013</t>
  </si>
  <si>
    <t>Class-wise Analysis of Claims Incurred (Rs.'000) - General Insurance - 2012</t>
  </si>
  <si>
    <t>Class-wise Analysis of Claims Incurred (Rs.'000) - General Insurance - 2011</t>
  </si>
  <si>
    <t>Class-wise Analysis of Claims Incurred (Rs.'000) - General Insurance - 2010</t>
  </si>
  <si>
    <t>Class-wise Analysis of Claims Incurred (Rs.'000) - General Insurance - 2009</t>
  </si>
  <si>
    <t>Gross Written Premium, Reinsurance Premium and Retention by Insurers</t>
  </si>
  <si>
    <t>Total Gross Written Premium</t>
  </si>
  <si>
    <t>Reinsurance  Premium (Rs.'000)</t>
  </si>
  <si>
    <t>Retention as a percentage of  Gross Written Premium</t>
  </si>
  <si>
    <t>Overall Retention Ratio %</t>
  </si>
  <si>
    <t>Reinsurance Premium and Retention by Insurer (Rs.'000)</t>
  </si>
  <si>
    <t>Total Reinsurance Premium (Rs.'000)</t>
  </si>
  <si>
    <t>Total Retained Premium (Rs.'000)</t>
  </si>
  <si>
    <t>Miscellanious</t>
  </si>
  <si>
    <t>Class-wise Analysis of Reinsurance  Premium Rs.'000 - General Insurance - 2013</t>
  </si>
  <si>
    <t>Class-wise Analysis of Reinsurance  Premium Rs.'000 - General Insurance - 2012</t>
  </si>
  <si>
    <t>Class-wise Analysis of Reinsurance  Premium Rs.'000 - General Insurance - 2011</t>
  </si>
  <si>
    <t>Class-wise Analysis of Reinsurance  Premium Rs.'000 - General Insurance - 2010</t>
  </si>
  <si>
    <t>Class-wise Analysis of Reinsurance  Premium Rs.'000 - General Insurance - 2009</t>
  </si>
  <si>
    <t>Breakup of Investment Income - 2011</t>
  </si>
  <si>
    <t>Rs. '000</t>
  </si>
  <si>
    <t>Inc SH</t>
  </si>
  <si>
    <t>Total 2011</t>
  </si>
  <si>
    <t xml:space="preserve">    - Others (Repo)</t>
  </si>
  <si>
    <t>Others (including Unit Trust &amp; Gold)</t>
  </si>
  <si>
    <t>Any other (Please specify)</t>
  </si>
  <si>
    <t>Total Investment Income</t>
  </si>
  <si>
    <t>Asian</t>
  </si>
  <si>
    <t>Allianz General</t>
  </si>
  <si>
    <t>Aviva</t>
  </si>
  <si>
    <t>Differ from P&amp;L</t>
  </si>
  <si>
    <t>HNB</t>
  </si>
  <si>
    <t>Union</t>
  </si>
  <si>
    <t>Solvency Computation - General Insurance Companies</t>
  </si>
  <si>
    <t>Total Insurance Industry - General Insurance</t>
  </si>
  <si>
    <t>as at 31/12/2008</t>
  </si>
  <si>
    <t>As at 31/12/2011</t>
  </si>
  <si>
    <t>As at 31/12/2012(a)</t>
  </si>
  <si>
    <t>Value of Admissible Assets  (Rs. '000)</t>
  </si>
  <si>
    <t>Amount of Total Liabilities  (Rs. '000)</t>
  </si>
  <si>
    <t>2.1 Technical Reserves - Net (Gross minus Reinsurance) (Rs. '000)</t>
  </si>
  <si>
    <t>2.2 Other Liabilities (Rs. '000)</t>
  </si>
  <si>
    <t>Available Solvency Margin (Rs. '000)</t>
  </si>
  <si>
    <t>Required Solvency Margin  (Rs. '000)</t>
  </si>
  <si>
    <t>as at 31/12/2008*</t>
  </si>
  <si>
    <t>as at 31/12/20012</t>
  </si>
  <si>
    <t>Distribution Channels - % contribution to GWP of General Insurance</t>
  </si>
  <si>
    <t>Channel</t>
  </si>
  <si>
    <t>GWP  Rs.'000</t>
  </si>
  <si>
    <t>Agent</t>
  </si>
  <si>
    <t>Brokers</t>
  </si>
  <si>
    <t>Direct</t>
  </si>
  <si>
    <t>Bancasurance &amp; Others</t>
  </si>
  <si>
    <t xml:space="preserve">Distribution Channels - GWP </t>
  </si>
  <si>
    <t>Bancasurance</t>
  </si>
  <si>
    <t>Others (Please specify)</t>
  </si>
  <si>
    <t>GWP as per P &amp; L</t>
  </si>
  <si>
    <t>Difference</t>
  </si>
  <si>
    <t>Co Insurance &amp; SRCC &amp; TC Premium</t>
  </si>
  <si>
    <t xml:space="preserve">34.  Number of Life Insurance Policies  in Force </t>
  </si>
  <si>
    <t>35. Total New Businesses - Long Term Insurance Buisness</t>
  </si>
  <si>
    <t>Year</t>
  </si>
  <si>
    <t>No of Policies</t>
  </si>
  <si>
    <t>Sum Assured</t>
  </si>
  <si>
    <t>Participating</t>
  </si>
  <si>
    <t>Non participating</t>
  </si>
  <si>
    <t xml:space="preserve">Total - Unit Linked Business   </t>
  </si>
  <si>
    <t>#</t>
  </si>
  <si>
    <t>Total New Businesses -  Long Term Insurance Buisness (Cont..)</t>
  </si>
  <si>
    <t>source: AR data compiling sheet life 2021- Sheet New business</t>
  </si>
  <si>
    <t>New Business - Long Term Insurance Business</t>
  </si>
  <si>
    <t xml:space="preserve">               Premium - (Rs. '000)</t>
  </si>
  <si>
    <t>Life Insurance</t>
  </si>
  <si>
    <t>Linked long term</t>
  </si>
  <si>
    <t>Annuities</t>
  </si>
  <si>
    <t xml:space="preserve">Contracts for the granting of disability and multiple indemnity, accident and sickness benefits </t>
  </si>
  <si>
    <t>Permanent health</t>
  </si>
  <si>
    <t>Capital Redemption policies</t>
  </si>
  <si>
    <t xml:space="preserve">Pension policies </t>
  </si>
  <si>
    <t xml:space="preserve">Permanent health*  </t>
  </si>
  <si>
    <t>Capital redemption policies</t>
  </si>
  <si>
    <t xml:space="preserve">Permanent health </t>
  </si>
  <si>
    <t>Distribution Channels - % Contribution to GWP  of Long Term Insurance Business</t>
  </si>
  <si>
    <t>As reported in P &amp; L</t>
  </si>
  <si>
    <t>Differences</t>
  </si>
  <si>
    <t>NO Data given</t>
  </si>
  <si>
    <t>SRCC &amp; TC Premium</t>
  </si>
  <si>
    <t>MISC</t>
  </si>
  <si>
    <t>No SRCC</t>
  </si>
  <si>
    <t>Coinsu</t>
  </si>
  <si>
    <t>As per P &amp; Ls</t>
  </si>
  <si>
    <t>Diffe</t>
  </si>
  <si>
    <t>Co Insurance Outward</t>
  </si>
  <si>
    <t>SRCC &amp; TC</t>
  </si>
  <si>
    <t xml:space="preserve">Total Excluded </t>
  </si>
  <si>
    <t>Expenses - Rs.'000</t>
  </si>
  <si>
    <t>Amortisation of goodwill &amp; inta. Assets</t>
  </si>
  <si>
    <t xml:space="preserve">No. of Motor Policies - GI </t>
  </si>
  <si>
    <t>3rd Party</t>
  </si>
  <si>
    <t>Total No. of Motor Vehicles Registered</t>
  </si>
  <si>
    <t>New Motor Vehicles Registered</t>
  </si>
  <si>
    <t>Total Sum Insured                            Rs.'000</t>
  </si>
  <si>
    <t>No. of Policies - GI - 2012</t>
  </si>
  <si>
    <t>Not Submitted</t>
  </si>
  <si>
    <t>No. of Policies - GI - 2011</t>
  </si>
  <si>
    <t>No. of Policies - GI - 2010</t>
  </si>
  <si>
    <t>No. of Policies - GI - 2009</t>
  </si>
  <si>
    <t>NO DATA</t>
  </si>
  <si>
    <t>No. of Policies - GI - 2008</t>
  </si>
  <si>
    <t xml:space="preserve">No Data </t>
  </si>
  <si>
    <t>No. of Policies - GI - 2007</t>
  </si>
  <si>
    <t>Composit Data</t>
  </si>
  <si>
    <t>LTIB</t>
  </si>
  <si>
    <t>GIB</t>
  </si>
  <si>
    <t>Investment Income Vs Assets Invested</t>
  </si>
  <si>
    <t>Premium Income &amp; Penatration</t>
  </si>
  <si>
    <t>Long term Insurance Business total Assets and GWP 2010 Vs 2011</t>
  </si>
  <si>
    <t>General Insurance and Shareholders Business total Assets and GWP 2010 Vs 2011</t>
  </si>
  <si>
    <t>Total Assets distribution among Insurance Companies 2010 and 2011</t>
  </si>
  <si>
    <t>Concentration of Assets of Long-term Insurance  Business  - 2011</t>
  </si>
  <si>
    <t>Concentration of Assets of General Insurance Business and Shareholders - 2011</t>
  </si>
  <si>
    <t>Total Shareholder's Funds of Insurance Companies 2010 &amp; 2011</t>
  </si>
  <si>
    <t>Distribution of Total Assets of Major Financial Institution 2007 to 2011</t>
  </si>
  <si>
    <t>Company-wise Market Share of Gross Written Premium - Long-term Insurance Business 2007 to  2011</t>
  </si>
  <si>
    <t>Company - wise Market Share of Gross Written Premium -   General Insurance Business 2007 to 2011</t>
  </si>
  <si>
    <t>Class-wise Analysis of Gross Written Premium - General Insurance 2007 to 2011</t>
  </si>
  <si>
    <t>Earned Premium, Claims Incurred and Claims Ratio 2007 to  2011</t>
  </si>
  <si>
    <t>Gross Written Premium,Reinsurance Premium and Retention by Insurer 2007 to 2011 - GI</t>
  </si>
  <si>
    <t>Age Analysis - Claims outstanding as at 31/12/2011 - GI</t>
  </si>
  <si>
    <t>Insurance Density</t>
  </si>
  <si>
    <t>BR-IN - Breakup of Investments as at 31st December 2011</t>
  </si>
  <si>
    <t>Branch Network, Employees &amp; Agents as at 31st December 2011</t>
  </si>
  <si>
    <t>Solvency Ratio as at 31/12/2011 - GI</t>
  </si>
  <si>
    <t>Solvency Ratio as at 31/12/2011 - LI</t>
  </si>
  <si>
    <t>Claims outstanding as at 31/12/2011 - GI</t>
  </si>
  <si>
    <t xml:space="preserve">No. of Motor Policies - GI - 3rd Party and Comprehensive </t>
  </si>
  <si>
    <t>Contribution to National Income - Long Term Insurance Business</t>
  </si>
  <si>
    <t>Sum Insured- GI - 2011</t>
  </si>
  <si>
    <t>New Business  Life 2077 to 2011</t>
  </si>
  <si>
    <t>Business in Force  - Life 2007 to 2011</t>
  </si>
  <si>
    <t>Total No of Customers - Business in Force  - LI</t>
  </si>
  <si>
    <t>Forfeitures and Surrenders  LI - 2007 - 2011</t>
  </si>
  <si>
    <t>Lapsation - New Business - As Reported in the Actuarial Returns submitted to the IBSL 2007 - 2011</t>
  </si>
  <si>
    <t>Lapsation - Total - As Reported in the Actuarial Returns submitted to the IBSL - 2007 - 2011</t>
  </si>
  <si>
    <t>LTIB - Total Claims Outstanding VS Premium Income</t>
  </si>
  <si>
    <t>Insurance Agents - As at 31/12/2011</t>
  </si>
  <si>
    <t>Age Analysis - Claims outstanding as at 31/12/2011 - LI</t>
  </si>
  <si>
    <t>Distribution Channels - GWP  - LTIB</t>
  </si>
  <si>
    <t>Distribution Channels - GWP  - GIB</t>
  </si>
  <si>
    <t>Income Statement - GI - 2011</t>
  </si>
  <si>
    <t>Income Statement - GI - 2010</t>
  </si>
  <si>
    <t>Income Statement - Long term Insurance Business 2010 &amp; 2011</t>
  </si>
  <si>
    <t>Income Statement - Long term Insurance Business 2010 &amp; 2011 - Analysis</t>
  </si>
  <si>
    <t>FORM CO-BS - 2010</t>
  </si>
  <si>
    <t>FORM CO-BS - 2011</t>
  </si>
  <si>
    <t>SRCC &amp; TC Premium 2010 &amp; 2011</t>
  </si>
  <si>
    <t>Co Insurance Outward 2010 &amp; 2011</t>
  </si>
  <si>
    <t>Ratio Analysis</t>
  </si>
  <si>
    <t>Long term Insurance Business</t>
  </si>
  <si>
    <t>2011(a)</t>
  </si>
  <si>
    <t>Total Assets       Rs.'000</t>
  </si>
  <si>
    <t>GWP (Rs.'000)</t>
  </si>
  <si>
    <t>Market Share %</t>
  </si>
  <si>
    <t>*The assets belonging to shareholders of ALILL, AIL and LICLL have been reported under long term insurance</t>
  </si>
  <si>
    <t>* JIPLC and NICL reported together</t>
  </si>
  <si>
    <t>* Inter segment transactions (life and general) have not been considered</t>
  </si>
  <si>
    <t>* CTL is prohibited from engaging in insurance business since 5th August 2009</t>
  </si>
  <si>
    <t>* Data pertaining to NITF not included</t>
  </si>
  <si>
    <t>(a) Revised</t>
  </si>
  <si>
    <t>(b) Provisional</t>
  </si>
  <si>
    <t>Table  1</t>
  </si>
  <si>
    <t>Premium Income &amp; Penetration</t>
  </si>
  <si>
    <r>
      <t>2011</t>
    </r>
    <r>
      <rPr>
        <b/>
        <sz val="8"/>
        <color indexed="8"/>
        <rFont val="Tahoma"/>
        <family val="2"/>
      </rPr>
      <t>(a)</t>
    </r>
  </si>
  <si>
    <r>
      <t>2012</t>
    </r>
    <r>
      <rPr>
        <b/>
        <sz val="8"/>
        <color indexed="8"/>
        <rFont val="Tahoma"/>
        <family val="2"/>
      </rPr>
      <t>(b)</t>
    </r>
  </si>
  <si>
    <t>Long Term Insurance (Rs. millions)</t>
  </si>
  <si>
    <t>General Insurance  (Rs. millions)</t>
  </si>
  <si>
    <t>Total Premium Income  (Rs. millions)</t>
  </si>
  <si>
    <t>Growth Rate in Total Premium (%)</t>
  </si>
  <si>
    <t>Gross Domestic Product (Rs. billons)*</t>
  </si>
  <si>
    <t>Penetration as % of GDP - Industry</t>
  </si>
  <si>
    <t>Penetration as % of GDP - Long term Insurance Business</t>
  </si>
  <si>
    <t>Penetration as % of GDP - General Insurance Business</t>
  </si>
  <si>
    <t>Insurance Density - (Total Premium Income/ population) Rs.</t>
  </si>
  <si>
    <t>Population '000 (Mid Year) *</t>
  </si>
  <si>
    <t>* Source Department of Census and Statistics</t>
  </si>
  <si>
    <r>
      <t>(a)</t>
    </r>
    <r>
      <rPr>
        <i/>
        <sz val="7"/>
        <color indexed="8"/>
        <rFont val="Times New Roman"/>
        <family val="1"/>
      </rPr>
      <t xml:space="preserve">   </t>
    </r>
    <r>
      <rPr>
        <i/>
        <sz val="10"/>
        <color indexed="8"/>
        <rFont val="Tahoma"/>
        <family val="2"/>
      </rPr>
      <t>Reinstated Audited figures</t>
    </r>
  </si>
  <si>
    <t>3.CTL is prohibited from engaging in insurance business since 5th August 2009. The company did not submit audited financials since 2010 and relevant data for the year ended 31st December 2012.</t>
  </si>
  <si>
    <t>Composit - 12</t>
  </si>
  <si>
    <t>Life - 3</t>
  </si>
  <si>
    <t>GI - 7</t>
  </si>
  <si>
    <t>Table 8</t>
  </si>
  <si>
    <t xml:space="preserve">Total Net Assets of Insurance Companies </t>
  </si>
  <si>
    <t xml:space="preserve">Long-term Insurance Rs.'000 </t>
  </si>
  <si>
    <t xml:space="preserve">General Insurance / Shareholders           Rs.'000 </t>
  </si>
  <si>
    <t xml:space="preserve">Inter Segment Transactions Elimination Rs.'000 </t>
  </si>
  <si>
    <t>Total                        Rs.'000</t>
  </si>
  <si>
    <t>Long-term Insurance   Rs. '000</t>
  </si>
  <si>
    <t>Total                         Rs.'000</t>
  </si>
  <si>
    <t>Inter Segment</t>
  </si>
  <si>
    <t>1. Above analysis does not include NITF information since required complete information was not submitted to the Board.</t>
  </si>
  <si>
    <t>2. Intersegment balances include amounts receivable from each other segments (Long Term Insurance and General Insurance segments) of composite insurance companies</t>
  </si>
  <si>
    <t>3. The assets belonging to shareholders of ALILL, AIL and LICLL have been reported under long term insurance business</t>
  </si>
  <si>
    <t>4. JIPLC and NICL reported together</t>
  </si>
  <si>
    <t>Chart 09</t>
  </si>
  <si>
    <t>Lapsation - New Business - As Reported in the Actuarial Returns submitted to the IBSL</t>
  </si>
  <si>
    <t xml:space="preserve">            No. of Policies</t>
  </si>
  <si>
    <t>Total Laps - New policies</t>
  </si>
  <si>
    <t>New Policies Issued</t>
  </si>
  <si>
    <t xml:space="preserve">Total Laps </t>
  </si>
  <si>
    <t>Total Life Insurance Policies in force</t>
  </si>
  <si>
    <t>Lapsation New Business on New Policies Issued %</t>
  </si>
  <si>
    <t>Total lapsation on Total Policies inforce %</t>
  </si>
  <si>
    <t>Zero</t>
  </si>
  <si>
    <t>37. Number of Life Insurance Benefits</t>
  </si>
  <si>
    <t>Maturity Benefits</t>
  </si>
  <si>
    <t xml:space="preserve">Death </t>
  </si>
  <si>
    <t>Disability Benefits</t>
  </si>
  <si>
    <t>Surrenders</t>
  </si>
  <si>
    <t>Other benefits</t>
  </si>
  <si>
    <t>Number of Life Insurance Benefits (Cont..)</t>
  </si>
  <si>
    <t>Others (Please Specify)</t>
  </si>
  <si>
    <t>36. Life Insurance Benefits</t>
  </si>
  <si>
    <t>Life Insurance Benefits (Cont..)</t>
  </si>
  <si>
    <t xml:space="preserve">SLIC </t>
  </si>
  <si>
    <t>2016 (a)</t>
  </si>
  <si>
    <t>2017 (b)</t>
  </si>
  <si>
    <t>Incurred Life Insurance Benefits (Rs. '000)</t>
  </si>
  <si>
    <t>Number of Life Insurance Benefits (Incurred)</t>
  </si>
  <si>
    <t>New</t>
  </si>
  <si>
    <t>Renewal</t>
  </si>
  <si>
    <t>Inforce</t>
  </si>
  <si>
    <t>No Data</t>
  </si>
  <si>
    <t>No data given</t>
  </si>
  <si>
    <t># of Policies</t>
  </si>
  <si>
    <t>General Insurance and Shareholders Business</t>
  </si>
  <si>
    <t xml:space="preserve">Total Assets              Rs.'000 </t>
  </si>
  <si>
    <t>Data Not given</t>
  </si>
  <si>
    <t>New -SI</t>
  </si>
  <si>
    <t>Renewal - SI</t>
  </si>
  <si>
    <t>Inforce - SI</t>
  </si>
  <si>
    <t>Sum Insured - GI - 2010</t>
  </si>
  <si>
    <t>Sum Insured - GI - 2009</t>
  </si>
  <si>
    <t>Sum Insured - GI - 2008</t>
  </si>
  <si>
    <t>Sum Insured - GI - 2007</t>
  </si>
  <si>
    <t>Sum Insured</t>
  </si>
  <si>
    <t xml:space="preserve">Year </t>
  </si>
  <si>
    <t>No of Life Policies in Force</t>
  </si>
  <si>
    <t>Sum Assured Rs.Mn</t>
  </si>
  <si>
    <t>National Income Rs. Bn</t>
  </si>
  <si>
    <t>as a % of National Income</t>
  </si>
  <si>
    <t>Contribution to National Income - General Insurance Business</t>
  </si>
  <si>
    <t>Sum Insured Rs.Mn</t>
  </si>
  <si>
    <t>LT - Assets Invested Rs.000</t>
  </si>
  <si>
    <t>LT - Investment Income Rs.000</t>
  </si>
  <si>
    <t>Ratio %</t>
  </si>
  <si>
    <t>GI - Assets Invested Rs.000</t>
  </si>
  <si>
    <t>GI - Investment Income Rs.000</t>
  </si>
  <si>
    <t>As at 31-12-2011</t>
  </si>
  <si>
    <t xml:space="preserve">Actual as per AR data </t>
  </si>
  <si>
    <t>Given to CBSL</t>
  </si>
  <si>
    <t>A.Capital Adequacy</t>
  </si>
  <si>
    <t>Year 2012</t>
  </si>
  <si>
    <t>Year 2011</t>
  </si>
  <si>
    <t>Life</t>
  </si>
  <si>
    <t>General</t>
  </si>
  <si>
    <t>Solvency ratio</t>
  </si>
  <si>
    <t>correct</t>
  </si>
  <si>
    <t>Total available solvency margin</t>
  </si>
  <si>
    <t>Total required sovency margin</t>
  </si>
  <si>
    <t>Capital to total assets</t>
  </si>
  <si>
    <t>Total shareholders funds</t>
  </si>
  <si>
    <t>N/A</t>
  </si>
  <si>
    <t>Total Assets</t>
  </si>
  <si>
    <t>Capital to Technical Reserves</t>
  </si>
  <si>
    <t>Shareholders funds</t>
  </si>
  <si>
    <t>Technical Reserves</t>
  </si>
  <si>
    <t>Technical Reserve Ratio</t>
  </si>
  <si>
    <t xml:space="preserve">Net written premium </t>
  </si>
  <si>
    <t>Total Technical Reserves</t>
  </si>
  <si>
    <t>B. Earnings and Profitability</t>
  </si>
  <si>
    <t>Profitability Ratio</t>
  </si>
  <si>
    <t>Net Profit before tax</t>
  </si>
  <si>
    <t>Underwriting Ratio</t>
  </si>
  <si>
    <t>Underwriting profit</t>
  </si>
  <si>
    <t>Net earned premium</t>
  </si>
  <si>
    <t>Return on Assets (ROA)</t>
  </si>
  <si>
    <t>Net income before Extra ordinary activities</t>
  </si>
  <si>
    <t>Average total assets for the period</t>
  </si>
  <si>
    <t>changed formula avg asset = (asset beginning of period+asset end of period)/2     period is quarter</t>
  </si>
  <si>
    <t>Return on Equity (ROE)</t>
  </si>
  <si>
    <t>Profit before tax and extra ordinary items</t>
  </si>
  <si>
    <t>changed formula avg capital = (capital beginning of period+capital end of period)/2     period is quarter</t>
  </si>
  <si>
    <t>Average capital and reserves for the period</t>
  </si>
  <si>
    <t>Combined operating Ratio</t>
  </si>
  <si>
    <t>Net claims incurred ratio</t>
  </si>
  <si>
    <t xml:space="preserve">Net claims incurred </t>
  </si>
  <si>
    <t>Expense Ratio</t>
  </si>
  <si>
    <t>Investment Yield ratio</t>
  </si>
  <si>
    <t>Total Average invested assets</t>
  </si>
  <si>
    <t>why not equity shares considered as an investment?</t>
  </si>
  <si>
    <t>why divided by 8?</t>
  </si>
  <si>
    <t>Premium Stability ratio</t>
  </si>
  <si>
    <t>changed as quarterly by taking the value of beginning of quarter</t>
  </si>
  <si>
    <t>Change in premium income</t>
  </si>
  <si>
    <t>previous year premium income</t>
  </si>
  <si>
    <t>changed formula to incorporate previous quarter</t>
  </si>
  <si>
    <t>c. Liquidity</t>
  </si>
  <si>
    <t>Liquidity ratio</t>
  </si>
  <si>
    <t>Changed the formula</t>
  </si>
  <si>
    <t>Liquid Assets</t>
  </si>
  <si>
    <t>Total Liabilities</t>
  </si>
  <si>
    <t>Loss Ratio</t>
  </si>
  <si>
    <t>Incurred claims</t>
  </si>
  <si>
    <t>D. Reinsurance and acturial issues</t>
  </si>
  <si>
    <t>Retention Ratio</t>
  </si>
  <si>
    <t>Net written premium</t>
  </si>
  <si>
    <t>Gross written premium</t>
  </si>
  <si>
    <t xml:space="preserve">Description </t>
  </si>
  <si>
    <t>2011 Rs. Mn</t>
  </si>
  <si>
    <t>2010 Rs. Mn.</t>
  </si>
  <si>
    <t>Change %</t>
  </si>
  <si>
    <t>Gross Written Premium</t>
  </si>
  <si>
    <t>Total Assets*</t>
  </si>
  <si>
    <t>Density</t>
  </si>
  <si>
    <t>Calculate for total industry premium</t>
  </si>
  <si>
    <t>Penetration</t>
  </si>
  <si>
    <t>* Intersegment transactions not considered</t>
  </si>
  <si>
    <t>Table 06</t>
  </si>
  <si>
    <t>Chart 07</t>
  </si>
  <si>
    <t>Earned Premium, Claims Incurred and Claims Ratio</t>
  </si>
  <si>
    <r>
      <rPr>
        <b/>
        <sz val="9"/>
        <color indexed="10"/>
        <rFont val="Tahoma"/>
        <family val="2"/>
      </rPr>
      <t>Net</t>
    </r>
    <r>
      <rPr>
        <b/>
        <sz val="9"/>
        <color indexed="8"/>
        <rFont val="Tahoma"/>
        <family val="2"/>
      </rPr>
      <t xml:space="preserve"> Earned Premium (Rs.'000)</t>
    </r>
  </si>
  <si>
    <r>
      <rPr>
        <b/>
        <sz val="9"/>
        <color indexed="10"/>
        <rFont val="Tahoma"/>
        <family val="2"/>
      </rPr>
      <t>Net</t>
    </r>
    <r>
      <rPr>
        <b/>
        <sz val="9"/>
        <color indexed="8"/>
        <rFont val="Tahoma"/>
        <family val="2"/>
      </rPr>
      <t xml:space="preserve"> Claims Incurred (Rs.'000)</t>
    </r>
  </si>
  <si>
    <r>
      <rPr>
        <b/>
        <sz val="9"/>
        <color indexed="10"/>
        <rFont val="Tahoma"/>
        <family val="2"/>
      </rPr>
      <t>Net</t>
    </r>
    <r>
      <rPr>
        <b/>
        <sz val="9"/>
        <color indexed="8"/>
        <rFont val="Tahoma"/>
        <family val="2"/>
      </rPr>
      <t xml:space="preserve"> Claims Ratio (%)</t>
    </r>
  </si>
  <si>
    <t>Excess of premium over net claims paid Rs.'000</t>
  </si>
  <si>
    <t>Net Expenses Rs. '000</t>
  </si>
  <si>
    <t>Investment Income Rs. '000</t>
  </si>
  <si>
    <t xml:space="preserve">38. Abbreviations </t>
  </si>
  <si>
    <t>Abbreviations for Insurance Companies</t>
  </si>
  <si>
    <t>AIA Insurance Lanka Ltd.</t>
  </si>
  <si>
    <r>
      <t>Allianz Gen</t>
    </r>
    <r>
      <rPr>
        <sz val="10"/>
        <color rgb="FF000000"/>
        <rFont val="Iskoola Pota"/>
        <family val="2"/>
      </rPr>
      <t>.</t>
    </r>
  </si>
  <si>
    <r>
      <t>Allianz Insurance Lanka Ltd</t>
    </r>
    <r>
      <rPr>
        <sz val="10"/>
        <color rgb="FF000000"/>
        <rFont val="Iskoola Pota"/>
        <family val="2"/>
      </rPr>
      <t>.</t>
    </r>
  </si>
  <si>
    <r>
      <t>Allianz Life Insurance Lanka Ltd</t>
    </r>
    <r>
      <rPr>
        <sz val="10"/>
        <color rgb="FF000000"/>
        <rFont val="Iskoola Pota"/>
        <family val="2"/>
      </rPr>
      <t>.</t>
    </r>
  </si>
  <si>
    <r>
      <t>Amana Gen</t>
    </r>
    <r>
      <rPr>
        <sz val="10"/>
        <color rgb="FF000000"/>
        <rFont val="Iskoola Pota"/>
        <family val="2"/>
      </rPr>
      <t>.</t>
    </r>
  </si>
  <si>
    <t>Amana Takaful PLC</t>
  </si>
  <si>
    <t>Amana Takaful Life PLC</t>
  </si>
  <si>
    <t>Arpico Insurance PLC</t>
  </si>
  <si>
    <r>
      <t>Ceylinco Gen</t>
    </r>
    <r>
      <rPr>
        <sz val="10"/>
        <color rgb="FF000000"/>
        <rFont val="Iskoola Pota"/>
        <family val="2"/>
      </rPr>
      <t>.</t>
    </r>
  </si>
  <si>
    <r>
      <t>Ceylinco General Insurance Ltd</t>
    </r>
    <r>
      <rPr>
        <sz val="10"/>
        <color rgb="FF000000"/>
        <rFont val="Iskoola Pota"/>
        <family val="2"/>
      </rPr>
      <t>.</t>
    </r>
  </si>
  <si>
    <r>
      <t>Ceylinco Life Insurance Ltd</t>
    </r>
    <r>
      <rPr>
        <sz val="10"/>
        <color rgb="FF000000"/>
        <rFont val="Iskoola Pota"/>
        <family val="2"/>
      </rPr>
      <t>.</t>
    </r>
  </si>
  <si>
    <r>
      <t>Continental Insurance Lanka Ltd</t>
    </r>
    <r>
      <rPr>
        <sz val="10"/>
        <color rgb="FF000000"/>
        <rFont val="Iskoola Pota"/>
        <family val="2"/>
      </rPr>
      <t>.</t>
    </r>
  </si>
  <si>
    <r>
      <t>Cooperative Gen</t>
    </r>
    <r>
      <rPr>
        <sz val="10"/>
        <color rgb="FF000000"/>
        <rFont val="Iskoola Pota"/>
        <family val="2"/>
      </rPr>
      <t>.</t>
    </r>
  </si>
  <si>
    <r>
      <t>Cooperative Insurance Company Ltd</t>
    </r>
    <r>
      <rPr>
        <sz val="10"/>
        <color rgb="FF000000"/>
        <rFont val="Iskoola Pota"/>
        <family val="2"/>
      </rPr>
      <t>.</t>
    </r>
  </si>
  <si>
    <r>
      <t>Cooplife Insurance Ltd</t>
    </r>
    <r>
      <rPr>
        <sz val="10"/>
        <color rgb="FF000000"/>
        <rFont val="Iskoola Pota"/>
        <family val="2"/>
      </rPr>
      <t>.</t>
    </r>
  </si>
  <si>
    <r>
      <t>Fairfirst Insurance Ltd</t>
    </r>
    <r>
      <rPr>
        <sz val="10"/>
        <color rgb="FF000000"/>
        <rFont val="Iskoola Pota"/>
        <family val="2"/>
      </rPr>
      <t xml:space="preserve">. </t>
    </r>
  </si>
  <si>
    <t>HNB Assurance PLC</t>
  </si>
  <si>
    <r>
      <t>HNB Gen</t>
    </r>
    <r>
      <rPr>
        <sz val="10"/>
        <color rgb="FF000000"/>
        <rFont val="Iskoola Pota"/>
        <family val="2"/>
      </rPr>
      <t>.</t>
    </r>
  </si>
  <si>
    <r>
      <t>HNB General Insurance Ltd</t>
    </r>
    <r>
      <rPr>
        <sz val="10"/>
        <color rgb="FF000000"/>
        <rFont val="Iskoola Pota"/>
        <family val="2"/>
      </rPr>
      <t xml:space="preserve">. </t>
    </r>
  </si>
  <si>
    <t>Janashakthi Insurance PLC</t>
  </si>
  <si>
    <r>
      <t>Janashakthi Gen</t>
    </r>
    <r>
      <rPr>
        <sz val="10"/>
        <color rgb="FF000000"/>
        <rFont val="Iskoola Pota"/>
        <family val="2"/>
      </rPr>
      <t>.</t>
    </r>
  </si>
  <si>
    <r>
      <t>Janashakthi General Insurance Ltd</t>
    </r>
    <r>
      <rPr>
        <sz val="10"/>
        <color rgb="FF000000"/>
        <rFont val="Iskoola Pota"/>
        <family val="2"/>
      </rPr>
      <t>.</t>
    </r>
  </si>
  <si>
    <r>
      <t xml:space="preserve">Life Insurance Corporation </t>
    </r>
    <r>
      <rPr>
        <sz val="10"/>
        <color rgb="FF000000"/>
        <rFont val="Iskoola Pota"/>
        <family val="2"/>
      </rPr>
      <t>(</t>
    </r>
    <r>
      <rPr>
        <sz val="10"/>
        <color rgb="FF000000"/>
        <rFont val="Tahoma"/>
        <family val="2"/>
      </rPr>
      <t>Lanka</t>
    </r>
    <r>
      <rPr>
        <sz val="10"/>
        <color rgb="FF000000"/>
        <rFont val="Iskoola Pota"/>
        <family val="2"/>
      </rPr>
      <t xml:space="preserve">) </t>
    </r>
    <r>
      <rPr>
        <sz val="10"/>
        <color rgb="FF000000"/>
        <rFont val="Tahoma"/>
        <family val="2"/>
      </rPr>
      <t>Ltd</t>
    </r>
    <r>
      <rPr>
        <sz val="10"/>
        <color rgb="FF000000"/>
        <rFont val="Iskoola Pota"/>
        <family val="2"/>
      </rPr>
      <t>.</t>
    </r>
  </si>
  <si>
    <r>
      <t>LOLC Gen</t>
    </r>
    <r>
      <rPr>
        <sz val="10"/>
        <color rgb="FF000000"/>
        <rFont val="Iskoola Pota"/>
        <family val="2"/>
      </rPr>
      <t>.</t>
    </r>
  </si>
  <si>
    <r>
      <t>LOLC General Insurance Ltd</t>
    </r>
    <r>
      <rPr>
        <sz val="10"/>
        <color rgb="FF000000"/>
        <rFont val="Iskoola Pota"/>
        <family val="2"/>
      </rPr>
      <t>.</t>
    </r>
  </si>
  <si>
    <r>
      <t>LOLC Life Assurance Ltd</t>
    </r>
    <r>
      <rPr>
        <sz val="10"/>
        <color rgb="FF000000"/>
        <rFont val="Iskoola Pota"/>
        <family val="2"/>
      </rPr>
      <t>.</t>
    </r>
  </si>
  <si>
    <r>
      <t>MBSL Insurance Company Ltd</t>
    </r>
    <r>
      <rPr>
        <sz val="10"/>
        <color rgb="FF000000"/>
        <rFont val="Iskoola Pota"/>
        <family val="2"/>
      </rPr>
      <t>.</t>
    </r>
  </si>
  <si>
    <t>National Insurance Trust Fund</t>
  </si>
  <si>
    <r>
      <t>Orient Insurance Ltd</t>
    </r>
    <r>
      <rPr>
        <sz val="10"/>
        <color rgb="FF000000"/>
        <rFont val="Iskoola Pota"/>
        <family val="2"/>
      </rPr>
      <t>.</t>
    </r>
  </si>
  <si>
    <t>People’s Insurance PLC</t>
  </si>
  <si>
    <t>Sanasa Life Insurance Company Limited</t>
  </si>
  <si>
    <t>Sanasa General Insurance Company Limited</t>
  </si>
  <si>
    <t>Softlogic Life Insurance PLC</t>
  </si>
  <si>
    <r>
      <t>Sri Lanka Insurance Corporation Ltd</t>
    </r>
    <r>
      <rPr>
        <sz val="10"/>
        <color rgb="FF000000"/>
        <rFont val="Iskoola Pota"/>
        <family val="2"/>
      </rPr>
      <t>.</t>
    </r>
  </si>
  <si>
    <t>Union Assurance PLC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</si>
</sst>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8">
    <numFmt numFmtId="41" formatCode="_(* #,##0_);_(* \(#,##0\);_(* &quot;-&quot;_);_(@_)"/>
    <numFmt numFmtId="44" formatCode="_(&quot;$&quot;* #,##0.00_);_(&quot;$&quot;* \(#,##0.00\);_(&quot;$&quot;* &quot;-&quot;??_);_(@_)"/>
    <numFmt numFmtId="43" formatCode="_(* #,##0.00_);_(* \(#,##0.00\);_(* &quot;-&quot;??_);_(@_)"/>
    <numFmt numFmtId="164" formatCode="_-* #,##0.00_-;\-* #,##0.00_-;_-* &quot;-&quot;??_-;_-@_-"/>
    <numFmt numFmtId="165" formatCode="_(* #,##0_);_(* \(#,##0\);_(* &quot;-&quot;??_);_(@_)"/>
    <numFmt numFmtId="166" formatCode="_(* #,##0.0_);_(* \(#,##0.0\);_(* &quot;-&quot;??_);_(@_)"/>
    <numFmt numFmtId="167" formatCode="0.00_);\(0.00\)"/>
    <numFmt numFmtId="168" formatCode="_-* #,##0_-;\-* #,##0_-;_-* &quot;-&quot;??_-;_-@_-"/>
    <numFmt numFmtId="169" formatCode="_(* #,##0_);_(* \(#,##0\);_(* \-??_);_(@_)"/>
    <numFmt numFmtId="170" formatCode="0_);\(0\)"/>
    <numFmt numFmtId="171" formatCode="#,##0.00\ ;&quot; (&quot;#,##0.00\);&quot; -&quot;#\ ;@\ "/>
    <numFmt numFmtId="172" formatCode="#,##0;[Red]#,##0"/>
    <numFmt numFmtId="173" formatCode="#,###,"/>
    <numFmt numFmtId="174" formatCode="[$-409]mmmm\-yy;@"/>
    <numFmt numFmtId="175" formatCode="#,##0.0_-;\(#,##0.0\)"/>
    <numFmt numFmtId="176" formatCode="#,##0.00;\(#,##0.00\)"/>
    <numFmt numFmtId="177" formatCode="_ * #,##0.00_ ;_ * \-#,##0.00_ ;_ * &quot;-&quot;??_ ;_ @_ "/>
    <numFmt numFmtId="178" formatCode="#,##0.00;[Red]#,##0.00"/>
    <numFmt numFmtId="179" formatCode="[$-C09]dd\-mmm\-yy;@"/>
    <numFmt numFmtId="180" formatCode="_-&quot;£&quot;* #,##0.00_-;\-&quot;£&quot;* #,##0.00_-;_-&quot;£&quot;* &quot;-&quot;??_-;_-@_-"/>
    <numFmt numFmtId="181" formatCode="_-&quot;$&quot;* #,##0.00_-;\-&quot;$&quot;* #,##0.00_-;_-&quot;$&quot;* &quot;-&quot;??_-;_-@_-"/>
    <numFmt numFmtId="182" formatCode="#,##0.0_);\(#,##0.0\)"/>
    <numFmt numFmtId="183" formatCode="[$-C09]dd/mmm/yy;@"/>
    <numFmt numFmtId="184" formatCode="#,##0.0"/>
    <numFmt numFmtId="185" formatCode="0.0"/>
    <numFmt numFmtId="186" formatCode="_(* #,##0.0_);_(* \(#,##0.0\);_(* &quot;-&quot;?_);_(@_)"/>
    <numFmt numFmtId="187" formatCode="_(* #,##0.000_);_(* \(#,##0.000\);_(* &quot;-&quot;??_);_(@_)"/>
    <numFmt numFmtId="188" formatCode="0.00000000000000000"/>
  </numFmts>
  <fonts count="176">
    <font>
      <sz val="11"/>
      <color theme="1"/>
      <name val="Calibri"/>
      <family val="2"/>
      <scheme val="minor"/>
    </font>
    <font>
      <sz val="11"/>
      <color indexed="8"/>
      <name val="Calibri"/>
      <family val="2"/>
    </font>
    <font>
      <sz val="10"/>
      <name val="Tahoma"/>
      <family val="2"/>
    </font>
    <font>
      <b/>
      <sz val="10"/>
      <name val="Tahoma"/>
      <family val="2"/>
    </font>
    <font>
      <sz val="11"/>
      <name val="Calibri"/>
      <family val="2"/>
    </font>
    <font>
      <sz val="8"/>
      <name val="Tahoma"/>
      <family val="2"/>
    </font>
    <font>
      <sz val="12"/>
      <name val="Tahoma"/>
      <family val="2"/>
    </font>
    <font>
      <sz val="9"/>
      <name val="Tahoma"/>
      <family val="2"/>
    </font>
    <font>
      <b/>
      <u/>
      <sz val="10"/>
      <name val="Tahoma"/>
      <family val="2"/>
    </font>
    <font>
      <sz val="10"/>
      <name val="Arial"/>
      <family val="2"/>
    </font>
    <font>
      <b/>
      <sz val="9"/>
      <name val="Tahoma"/>
      <family val="2"/>
    </font>
    <font>
      <b/>
      <u/>
      <sz val="9"/>
      <name val="Tahoma"/>
      <family val="2"/>
    </font>
    <font>
      <b/>
      <sz val="10"/>
      <name val="Arial"/>
      <family val="2"/>
    </font>
    <font>
      <b/>
      <sz val="8"/>
      <name val="Tahoma"/>
      <family val="2"/>
    </font>
    <font>
      <sz val="10"/>
      <name val="Arial"/>
      <family val="2"/>
      <charset val="1"/>
    </font>
    <font>
      <b/>
      <sz val="8"/>
      <color indexed="8"/>
      <name val="Tahoma"/>
      <family val="2"/>
    </font>
    <font>
      <i/>
      <sz val="11"/>
      <color indexed="8"/>
      <name val="Calibri"/>
      <family val="2"/>
    </font>
    <font>
      <i/>
      <sz val="7"/>
      <color indexed="8"/>
      <name val="Times New Roman"/>
      <family val="1"/>
    </font>
    <font>
      <i/>
      <sz val="10"/>
      <color indexed="8"/>
      <name val="Tahoma"/>
      <family val="2"/>
    </font>
    <font>
      <i/>
      <sz val="12"/>
      <color indexed="8"/>
      <name val="Calibri"/>
      <family val="2"/>
    </font>
    <font>
      <b/>
      <sz val="9"/>
      <color indexed="8"/>
      <name val="Tahoma"/>
      <family val="2"/>
    </font>
    <font>
      <b/>
      <sz val="9"/>
      <color indexed="10"/>
      <name val="Tahoma"/>
      <family val="2"/>
    </font>
    <font>
      <sz val="11"/>
      <color theme="1"/>
      <name val="Calibri"/>
      <family val="2"/>
      <scheme val="minor"/>
    </font>
    <font>
      <u/>
      <sz val="11"/>
      <color theme="10"/>
      <name val="Calibri"/>
      <family val="2"/>
    </font>
    <font>
      <b/>
      <sz val="11"/>
      <color theme="1"/>
      <name val="Calibri"/>
      <family val="2"/>
      <scheme val="minor"/>
    </font>
    <font>
      <sz val="11"/>
      <color rgb="FFFF0000"/>
      <name val="Calibri"/>
      <family val="2"/>
      <scheme val="minor"/>
    </font>
    <font>
      <b/>
      <sz val="10"/>
      <color theme="1"/>
      <name val="Tahoma"/>
      <family val="2"/>
    </font>
    <font>
      <sz val="10"/>
      <color theme="1"/>
      <name val="Tahoma"/>
      <family val="2"/>
    </font>
    <font>
      <b/>
      <sz val="8"/>
      <color theme="1"/>
      <name val="Tahoma"/>
      <family val="2"/>
    </font>
    <font>
      <sz val="8"/>
      <color theme="1"/>
      <name val="Tahoma"/>
      <family val="2"/>
    </font>
    <font>
      <sz val="11"/>
      <color theme="1"/>
      <name val="Tahoma"/>
      <family val="2"/>
    </font>
    <font>
      <sz val="10"/>
      <color theme="1"/>
      <name val="Calibri"/>
      <family val="2"/>
      <scheme val="minor"/>
    </font>
    <font>
      <b/>
      <sz val="9"/>
      <color theme="1"/>
      <name val="Tahoma"/>
      <family val="2"/>
    </font>
    <font>
      <b/>
      <sz val="11"/>
      <color theme="1"/>
      <name val="Tahoma"/>
      <family val="2"/>
    </font>
    <font>
      <b/>
      <u/>
      <sz val="11"/>
      <color theme="1"/>
      <name val="Calibri"/>
      <family val="2"/>
      <scheme val="minor"/>
    </font>
    <font>
      <sz val="11"/>
      <name val="Calibri"/>
      <family val="2"/>
      <scheme val="minor"/>
    </font>
    <font>
      <sz val="9"/>
      <color theme="1"/>
      <name val="Tahoma"/>
      <family val="2"/>
    </font>
    <font>
      <sz val="10"/>
      <color rgb="FFFF0000"/>
      <name val="Tahoma"/>
      <family val="2"/>
    </font>
    <font>
      <b/>
      <sz val="10"/>
      <color rgb="FFFF0000"/>
      <name val="Tahoma"/>
      <family val="2"/>
    </font>
    <font>
      <b/>
      <sz val="8"/>
      <color rgb="FFFF0000"/>
      <name val="Tahoma"/>
      <family val="2"/>
    </font>
    <font>
      <b/>
      <sz val="11"/>
      <name val="Calibri"/>
      <family val="2"/>
      <scheme val="minor"/>
    </font>
    <font>
      <b/>
      <sz val="14"/>
      <color theme="1"/>
      <name val="Calibri"/>
      <family val="2"/>
      <scheme val="minor"/>
    </font>
    <font>
      <u/>
      <sz val="11"/>
      <color theme="1"/>
      <name val="Calibri"/>
      <family val="2"/>
      <scheme val="minor"/>
    </font>
    <font>
      <u/>
      <sz val="11"/>
      <color theme="10"/>
      <name val="Tahoma"/>
      <family val="2"/>
    </font>
    <font>
      <i/>
      <sz val="11"/>
      <color theme="1"/>
      <name val="Calibri"/>
      <family val="2"/>
      <scheme val="minor"/>
    </font>
    <font>
      <b/>
      <i/>
      <sz val="8"/>
      <color theme="1"/>
      <name val="Tahoma"/>
      <family val="2"/>
    </font>
    <font>
      <i/>
      <sz val="8"/>
      <color theme="1"/>
      <name val="Tahoma"/>
      <family val="2"/>
    </font>
    <font>
      <i/>
      <sz val="10"/>
      <color rgb="FF000000"/>
      <name val="Tahoma"/>
      <family val="2"/>
    </font>
    <font>
      <i/>
      <sz val="10"/>
      <color theme="1"/>
      <name val="Tahoma"/>
      <family val="2"/>
    </font>
    <font>
      <b/>
      <i/>
      <sz val="9"/>
      <color theme="1"/>
      <name val="Tahoma"/>
      <family val="2"/>
    </font>
    <font>
      <b/>
      <i/>
      <sz val="10"/>
      <color theme="1"/>
      <name val="Tahoma"/>
      <family val="2"/>
    </font>
    <font>
      <i/>
      <sz val="9"/>
      <color theme="1"/>
      <name val="Tahoma"/>
      <family val="2"/>
    </font>
    <font>
      <sz val="10"/>
      <name val="Calibri"/>
      <family val="2"/>
      <scheme val="minor"/>
    </font>
    <font>
      <sz val="10"/>
      <color theme="0"/>
      <name val="Tahoma"/>
      <family val="2"/>
    </font>
    <font>
      <b/>
      <sz val="10"/>
      <color theme="0"/>
      <name val="Tahoma"/>
      <family val="2"/>
    </font>
    <font>
      <sz val="8"/>
      <color theme="8" tint="0.39997558519241921"/>
      <name val="Tahoma"/>
      <family val="2"/>
    </font>
    <font>
      <u/>
      <sz val="10"/>
      <name val="Tahoma"/>
      <family val="2"/>
    </font>
    <font>
      <sz val="10"/>
      <color rgb="FF000000"/>
      <name val="Tahoma"/>
      <family val="2"/>
    </font>
    <font>
      <sz val="9"/>
      <color rgb="FFFF0000"/>
      <name val="Tahoma"/>
      <family val="2"/>
    </font>
    <font>
      <sz val="8"/>
      <name val="Arial"/>
      <family val="2"/>
    </font>
    <font>
      <b/>
      <sz val="10"/>
      <color rgb="FF000000"/>
      <name val="Tahoma"/>
      <family val="2"/>
    </font>
    <font>
      <sz val="9"/>
      <color theme="1"/>
      <name val="Calibri"/>
      <family val="2"/>
    </font>
    <font>
      <u/>
      <sz val="10"/>
      <color theme="10"/>
      <name val="Tahoma"/>
      <family val="2"/>
    </font>
    <font>
      <sz val="9"/>
      <color indexed="81"/>
      <name val="Tahoma"/>
      <family val="2"/>
    </font>
    <font>
      <b/>
      <sz val="9"/>
      <color indexed="81"/>
      <name val="Tahoma"/>
      <family val="2"/>
    </font>
    <font>
      <b/>
      <i/>
      <sz val="9"/>
      <color indexed="81"/>
      <name val="Tahoma"/>
      <family val="2"/>
    </font>
    <font>
      <i/>
      <sz val="9"/>
      <color indexed="81"/>
      <name val="Tahoma"/>
      <family val="2"/>
    </font>
    <font>
      <i/>
      <sz val="10"/>
      <name val="Tahoma"/>
      <family val="2"/>
    </font>
    <font>
      <u/>
      <sz val="10"/>
      <color theme="1"/>
      <name val="Tahoma"/>
      <family val="2"/>
    </font>
    <font>
      <u/>
      <sz val="10"/>
      <color theme="10"/>
      <name val="Arial"/>
      <family val="2"/>
    </font>
    <font>
      <sz val="10"/>
      <name val="Trebuchet MS"/>
      <family val="2"/>
    </font>
    <font>
      <sz val="11"/>
      <color indexed="9"/>
      <name val="Calibri"/>
      <family val="2"/>
    </font>
    <font>
      <i/>
      <sz val="10"/>
      <name val="Arial"/>
      <family val="2"/>
    </font>
    <font>
      <sz val="11"/>
      <color indexed="20"/>
      <name val="Calibri"/>
      <family val="2"/>
    </font>
    <font>
      <sz val="11"/>
      <color indexed="37"/>
      <name val="Calibri"/>
      <family val="2"/>
    </font>
    <font>
      <b/>
      <sz val="11"/>
      <color indexed="52"/>
      <name val="Calibri"/>
      <family val="2"/>
    </font>
    <font>
      <b/>
      <sz val="11"/>
      <color indexed="17"/>
      <name val="Calibri"/>
      <family val="2"/>
    </font>
    <font>
      <b/>
      <sz val="11"/>
      <color indexed="9"/>
      <name val="Calibri"/>
      <family val="2"/>
    </font>
    <font>
      <sz val="10"/>
      <color indexed="8"/>
      <name val="Arial"/>
      <family val="2"/>
    </font>
    <font>
      <sz val="10"/>
      <name val="Times New Roman"/>
      <family val="1"/>
    </font>
    <font>
      <sz val="10"/>
      <name val="Century Gothic"/>
      <family val="2"/>
    </font>
    <font>
      <sz val="10"/>
      <color indexed="8"/>
      <name val="Tahoma"/>
      <family val="2"/>
    </font>
    <font>
      <sz val="11"/>
      <color theme="1"/>
      <name val="Times New Roman"/>
      <family val="2"/>
    </font>
    <font>
      <sz val="10"/>
      <color indexed="8"/>
      <name val="Trebuchet MS"/>
      <family val="2"/>
    </font>
    <font>
      <b/>
      <sz val="11"/>
      <color indexed="8"/>
      <name val="Calibri"/>
      <family val="2"/>
    </font>
    <font>
      <i/>
      <sz val="11"/>
      <color indexed="23"/>
      <name val="Calibri"/>
      <family val="2"/>
    </font>
    <font>
      <sz val="11"/>
      <color indexed="17"/>
      <name val="Calibri"/>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b/>
      <sz val="11"/>
      <color indexed="62"/>
      <name val="Calibri"/>
      <family val="2"/>
    </font>
    <font>
      <u/>
      <sz val="10"/>
      <color indexed="12"/>
      <name val="Times New Roman"/>
      <family val="1"/>
    </font>
    <font>
      <u/>
      <sz val="11"/>
      <color indexed="12"/>
      <name val="Calibri"/>
      <family val="2"/>
    </font>
    <font>
      <u/>
      <sz val="10"/>
      <color indexed="12"/>
      <name val="Arial"/>
      <family val="2"/>
    </font>
    <font>
      <u/>
      <sz val="11"/>
      <color theme="10"/>
      <name val="Calibri"/>
      <family val="2"/>
      <scheme val="minor"/>
    </font>
    <font>
      <sz val="11"/>
      <color indexed="62"/>
      <name val="Calibri"/>
      <family val="2"/>
    </font>
    <font>
      <sz val="11"/>
      <color indexed="48"/>
      <name val="Calibri"/>
      <family val="2"/>
    </font>
    <font>
      <sz val="11"/>
      <color indexed="52"/>
      <name val="Calibri"/>
      <family val="2"/>
    </font>
    <font>
      <sz val="11"/>
      <color indexed="60"/>
      <name val="Calibri"/>
      <family val="2"/>
    </font>
    <font>
      <sz val="8"/>
      <name val="Arial (WE)"/>
    </font>
    <font>
      <b/>
      <sz val="11"/>
      <color indexed="63"/>
      <name val="Calibri"/>
      <family val="2"/>
    </font>
    <font>
      <b/>
      <i/>
      <u/>
      <sz val="10"/>
      <name val="Arial"/>
      <family val="2"/>
    </font>
    <font>
      <u/>
      <sz val="10"/>
      <name val="Arial"/>
      <family val="2"/>
    </font>
    <font>
      <sz val="8"/>
      <color indexed="62"/>
      <name val="Arial"/>
      <family val="2"/>
    </font>
    <font>
      <b/>
      <sz val="8"/>
      <color indexed="8"/>
      <name val="Arial"/>
      <family val="2"/>
    </font>
    <font>
      <b/>
      <sz val="10"/>
      <color indexed="8"/>
      <name val="Arial"/>
      <family val="2"/>
    </font>
    <font>
      <b/>
      <sz val="8"/>
      <name val="Arial"/>
      <family val="2"/>
    </font>
    <font>
      <sz val="8"/>
      <color indexed="8"/>
      <name val="Arial"/>
      <family val="2"/>
    </font>
    <font>
      <sz val="10"/>
      <color indexed="39"/>
      <name val="Arial"/>
      <family val="2"/>
    </font>
    <font>
      <sz val="19"/>
      <name val="Arial"/>
      <family val="2"/>
    </font>
    <font>
      <sz val="8"/>
      <color indexed="14"/>
      <name val="Arial"/>
      <family val="2"/>
    </font>
    <font>
      <b/>
      <sz val="18"/>
      <color indexed="62"/>
      <name val="Cambria"/>
      <family val="2"/>
    </font>
    <font>
      <b/>
      <sz val="18"/>
      <color indexed="56"/>
      <name val="Cambria"/>
      <family val="2"/>
    </font>
    <font>
      <sz val="11"/>
      <color indexed="10"/>
      <name val="Calibri"/>
      <family val="2"/>
    </font>
    <font>
      <sz val="11"/>
      <color indexed="14"/>
      <name val="Calibri"/>
      <family val="2"/>
    </font>
    <font>
      <sz val="9"/>
      <color indexed="8"/>
      <name val="Arial"/>
      <family val="2"/>
    </font>
    <font>
      <sz val="9"/>
      <color theme="1"/>
      <name val="Arial"/>
      <family val="2"/>
    </font>
    <font>
      <sz val="14"/>
      <color theme="1"/>
      <name val="Calibri"/>
      <family val="2"/>
    </font>
    <font>
      <b/>
      <i/>
      <sz val="10"/>
      <name val="Tahoma"/>
      <family val="2"/>
    </font>
    <font>
      <i/>
      <sz val="10"/>
      <color rgb="FFFF0000"/>
      <name val="Tahoma"/>
      <family val="2"/>
    </font>
    <font>
      <i/>
      <sz val="10"/>
      <color theme="0"/>
      <name val="Tahoma"/>
      <family val="2"/>
    </font>
    <font>
      <sz val="10"/>
      <color rgb="FFFF0000"/>
      <name val="Calibri"/>
      <family val="2"/>
      <scheme val="minor"/>
    </font>
    <font>
      <sz val="10"/>
      <color theme="9" tint="-0.249977111117893"/>
      <name val="Tahoma"/>
      <family val="2"/>
    </font>
    <font>
      <b/>
      <vertAlign val="superscript"/>
      <sz val="8"/>
      <color theme="1"/>
      <name val="Tahoma"/>
      <family val="2"/>
    </font>
    <font>
      <b/>
      <vertAlign val="superscript"/>
      <sz val="10"/>
      <color theme="1"/>
      <name val="Tahoma"/>
      <family val="2"/>
    </font>
    <font>
      <u/>
      <sz val="11"/>
      <name val="Calibri"/>
      <family val="2"/>
    </font>
    <font>
      <sz val="12"/>
      <color theme="1"/>
      <name val="Tahoma"/>
      <family val="2"/>
    </font>
    <font>
      <b/>
      <u/>
      <sz val="12"/>
      <color theme="1"/>
      <name val="Tahoma"/>
      <family val="2"/>
    </font>
    <font>
      <sz val="11"/>
      <color rgb="FF000000"/>
      <name val="Calibri"/>
      <family val="2"/>
    </font>
    <font>
      <sz val="12"/>
      <color rgb="FFFF0000"/>
      <name val="Tahoma"/>
      <family val="2"/>
    </font>
    <font>
      <sz val="10"/>
      <color rgb="FF000000"/>
      <name val="Iskoola Pota"/>
      <family val="2"/>
    </font>
    <font>
      <i/>
      <sz val="9"/>
      <name val="Tahoma"/>
      <family val="2"/>
    </font>
    <font>
      <i/>
      <sz val="9"/>
      <color rgb="FFFF0000"/>
      <name val="Tahoma"/>
      <family val="2"/>
    </font>
    <font>
      <b/>
      <vertAlign val="superscript"/>
      <sz val="10"/>
      <color rgb="FF000000"/>
      <name val="Tahoma"/>
      <family val="2"/>
    </font>
    <font>
      <b/>
      <sz val="18"/>
      <color rgb="FF000000"/>
      <name val="Calibri"/>
      <family val="2"/>
    </font>
    <font>
      <b/>
      <sz val="16"/>
      <name val="Calibri"/>
      <family val="2"/>
    </font>
    <font>
      <sz val="9"/>
      <color theme="1"/>
      <name val="Calibri"/>
      <family val="2"/>
      <scheme val="minor"/>
    </font>
    <font>
      <i/>
      <sz val="8"/>
      <name val="Arial"/>
      <family val="2"/>
    </font>
    <font>
      <i/>
      <sz val="8"/>
      <color theme="0" tint="-0.14999847407452621"/>
      <name val="Arial"/>
      <family val="2"/>
    </font>
    <font>
      <i/>
      <sz val="9"/>
      <name val="Arial"/>
      <family val="2"/>
    </font>
    <font>
      <sz val="10"/>
      <name val="Calibri"/>
      <family val="2"/>
    </font>
    <font>
      <sz val="11"/>
      <color rgb="FF444444"/>
      <name val="Calibri"/>
      <family val="2"/>
      <charset val="1"/>
    </font>
    <font>
      <b/>
      <sz val="10"/>
      <name val="Calibri"/>
      <family val="2"/>
    </font>
    <font>
      <sz val="9"/>
      <color rgb="FF000000"/>
      <name val="Tahoma"/>
      <family val="2"/>
    </font>
    <font>
      <sz val="8"/>
      <name val="Calibri"/>
      <family val="2"/>
    </font>
    <font>
      <sz val="10"/>
      <color theme="1"/>
      <name val="Thoma"/>
    </font>
    <font>
      <b/>
      <sz val="10"/>
      <name val="Calibri"/>
      <family val="2"/>
      <scheme val="minor"/>
    </font>
    <font>
      <sz val="11"/>
      <color rgb="FF444444"/>
      <name val="Calibri"/>
      <family val="2"/>
    </font>
    <font>
      <b/>
      <sz val="9"/>
      <color rgb="FF000000"/>
      <name val="Tahoma"/>
      <family val="2"/>
    </font>
    <font>
      <sz val="11"/>
      <color rgb="FF000000"/>
      <name val="Tahoma"/>
      <family val="2"/>
    </font>
    <font>
      <b/>
      <sz val="11"/>
      <color rgb="FF000000"/>
      <name val="Calibri"/>
      <family val="2"/>
    </font>
    <font>
      <i/>
      <sz val="9"/>
      <color theme="1"/>
      <name val="Calibri"/>
      <family val="2"/>
      <scheme val="minor"/>
    </font>
    <font>
      <i/>
      <sz val="8"/>
      <name val="Tahoma"/>
      <family val="2"/>
    </font>
    <font>
      <b/>
      <sz val="10"/>
      <name val="Thoma"/>
    </font>
    <font>
      <sz val="10"/>
      <color rgb="FF000000"/>
      <name val="Thoma"/>
    </font>
    <font>
      <sz val="10"/>
      <name val="Thoma"/>
    </font>
    <font>
      <sz val="10"/>
      <color rgb="FF000000"/>
      <name val="Tshoma"/>
    </font>
    <font>
      <sz val="10"/>
      <name val="Tshoma"/>
    </font>
    <font>
      <b/>
      <sz val="10"/>
      <name val="Tshoma"/>
    </font>
    <font>
      <i/>
      <sz val="9"/>
      <color rgb="FF444444"/>
      <name val="Tahoma"/>
      <family val="2"/>
    </font>
    <font>
      <sz val="11"/>
      <color rgb="FF000000"/>
      <name val="Calibri"/>
      <family val="2"/>
      <scheme val="minor"/>
    </font>
    <font>
      <b/>
      <i/>
      <sz val="9"/>
      <name val="Arial"/>
      <family val="2"/>
    </font>
    <font>
      <i/>
      <sz val="12"/>
      <name val="Arial"/>
      <family val="2"/>
    </font>
    <font>
      <b/>
      <i/>
      <sz val="10"/>
      <name val="Arial"/>
      <family val="2"/>
    </font>
    <font>
      <sz val="8"/>
      <name val="Calibri"/>
      <family val="2"/>
      <scheme val="minor"/>
    </font>
    <font>
      <b/>
      <i/>
      <sz val="8"/>
      <name val="Arial"/>
      <family val="2"/>
    </font>
    <font>
      <b/>
      <i/>
      <sz val="8"/>
      <color theme="0" tint="-0.14999847407452621"/>
      <name val="Arial"/>
      <family val="2"/>
    </font>
    <font>
      <sz val="9"/>
      <name val="Calibri"/>
      <family val="2"/>
      <scheme val="minor"/>
    </font>
    <font>
      <sz val="11"/>
      <name val="Calibri"/>
      <family val="2"/>
      <charset val="1"/>
    </font>
    <font>
      <b/>
      <i/>
      <sz val="9"/>
      <name val="Tahoma"/>
      <family val="2"/>
    </font>
    <font>
      <b/>
      <sz val="8"/>
      <name val="Calibri"/>
      <family val="2"/>
    </font>
    <font>
      <b/>
      <sz val="10"/>
      <color theme="0"/>
      <name val="Arial"/>
      <family val="2"/>
    </font>
    <font>
      <sz val="10"/>
      <color theme="0"/>
      <name val="Arial"/>
      <family val="2"/>
    </font>
    <font>
      <b/>
      <vertAlign val="superscript"/>
      <sz val="10"/>
      <color theme="0"/>
      <name val="Tahoma"/>
      <family val="2"/>
    </font>
  </fonts>
  <fills count="110">
    <fill>
      <patternFill patternType="none"/>
    </fill>
    <fill>
      <patternFill patternType="gray125"/>
    </fill>
    <fill>
      <patternFill patternType="solid">
        <fgColor indexed="31"/>
        <bgColor indexed="64"/>
      </patternFill>
    </fill>
    <fill>
      <patternFill patternType="solid">
        <fgColor indexed="44"/>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FFFF00"/>
        <bgColor indexed="64"/>
      </patternFill>
    </fill>
    <fill>
      <patternFill patternType="solid">
        <fgColor rgb="FFFF0000"/>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C00000"/>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9" tint="-0.249977111117893"/>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2"/>
        <bgColor indexed="64"/>
      </patternFill>
    </fill>
    <fill>
      <patternFill patternType="solid">
        <fgColor theme="7" tint="0.59999389629810485"/>
        <bgColor indexed="64"/>
      </patternFill>
    </fill>
    <fill>
      <patternFill patternType="solid">
        <fgColor theme="5"/>
        <bgColor indexed="64"/>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62"/>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10"/>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patternFill>
    </fill>
    <fill>
      <patternFill patternType="solid">
        <fgColor indexed="53"/>
        <bgColor indexed="53"/>
      </patternFill>
    </fill>
    <fill>
      <patternFill patternType="solid">
        <fgColor indexed="9"/>
        <bgColor indexed="64"/>
      </patternFill>
    </fill>
    <fill>
      <patternFill patternType="solid">
        <fgColor indexed="22"/>
      </patternFill>
    </fill>
    <fill>
      <patternFill patternType="solid">
        <fgColor indexed="35"/>
        <bgColor indexed="35"/>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60"/>
      </patternFill>
    </fill>
    <fill>
      <patternFill patternType="solid">
        <fgColor indexed="26"/>
      </patternFill>
    </fill>
    <fill>
      <patternFill patternType="solid">
        <fgColor indexed="43"/>
        <bgColor indexed="64"/>
      </patternFill>
    </fill>
    <fill>
      <patternFill patternType="solid">
        <fgColor indexed="40"/>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54"/>
      </patternFill>
    </fill>
    <fill>
      <patternFill patternType="solid">
        <fgColor indexed="41"/>
      </patternFill>
    </fill>
    <fill>
      <patternFill patternType="solid">
        <fgColor indexed="23"/>
      </patternFill>
    </fill>
    <fill>
      <patternFill patternType="solid">
        <fgColor indexed="9"/>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rgb="FFFFFFFF"/>
        <bgColor rgb="FF000000"/>
      </patternFill>
    </fill>
    <fill>
      <patternFill patternType="solid">
        <fgColor rgb="FFFFFFFF"/>
        <bgColor indexed="64"/>
      </patternFill>
    </fill>
    <fill>
      <patternFill patternType="solid">
        <fgColor rgb="FFE2EFDA"/>
        <bgColor indexed="64"/>
      </patternFill>
    </fill>
    <fill>
      <patternFill patternType="solid">
        <fgColor rgb="FFD9D9D9"/>
        <bgColor rgb="FF000000"/>
      </patternFill>
    </fill>
    <fill>
      <patternFill patternType="solid">
        <fgColor theme="5" tint="0.79998168889431442"/>
        <bgColor indexed="64"/>
      </patternFill>
    </fill>
    <fill>
      <patternFill patternType="solid">
        <fgColor theme="1"/>
        <bgColor indexed="64"/>
      </patternFill>
    </fill>
    <fill>
      <patternFill patternType="solid">
        <fgColor rgb="FFFFFFCC"/>
        <bgColor indexed="64"/>
      </patternFill>
    </fill>
    <fill>
      <patternFill patternType="solid">
        <fgColor rgb="FFFFFFDD"/>
        <bgColor indexed="64"/>
      </patternFill>
    </fill>
    <fill>
      <patternFill patternType="solid">
        <fgColor rgb="FF001B70"/>
        <bgColor indexed="64"/>
      </patternFill>
    </fill>
    <fill>
      <patternFill patternType="solid">
        <fgColor theme="4" tint="0.39997558519241921"/>
        <bgColor indexed="64"/>
      </patternFill>
    </fill>
    <fill>
      <patternFill patternType="solid">
        <fgColor theme="0" tint="-0.34998626667073579"/>
        <bgColor indexed="64"/>
      </patternFill>
    </fill>
    <fill>
      <patternFill patternType="solid">
        <fgColor theme="5" tint="0.59999389629810485"/>
        <bgColor rgb="FF000000"/>
      </patternFill>
    </fill>
    <fill>
      <patternFill patternType="solid">
        <fgColor theme="5" tint="0.79998168889431442"/>
        <bgColor rgb="FF000000"/>
      </patternFill>
    </fill>
    <fill>
      <patternFill patternType="solid">
        <fgColor rgb="FFBDE9BD"/>
        <bgColor indexed="64"/>
      </patternFill>
    </fill>
    <fill>
      <patternFill patternType="solid">
        <fgColor rgb="FFDFF5DF"/>
        <bgColor indexed="64"/>
      </patternFill>
    </fill>
    <fill>
      <patternFill patternType="solid">
        <fgColor rgb="FFBDE9BD"/>
        <bgColor rgb="FF000000"/>
      </patternFill>
    </fill>
    <fill>
      <patternFill patternType="solid">
        <fgColor theme="0" tint="-0.249977111117893"/>
        <bgColor rgb="FF000000"/>
      </patternFill>
    </fill>
    <fill>
      <patternFill patternType="solid">
        <fgColor rgb="FF002060"/>
        <bgColor indexed="64"/>
      </patternFill>
    </fill>
    <fill>
      <patternFill patternType="solid">
        <fgColor rgb="FFE2E2E2"/>
        <bgColor indexed="64"/>
      </patternFill>
    </fill>
  </fills>
  <borders count="24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double">
        <color indexed="64"/>
      </bottom>
      <diagonal/>
    </border>
    <border>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8"/>
      </left>
      <right style="thin">
        <color indexed="8"/>
      </right>
      <top style="thin">
        <color indexed="8"/>
      </top>
      <bottom style="thin">
        <color indexed="8"/>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style="thin">
        <color indexed="12"/>
      </left>
      <right style="thin">
        <color indexed="12"/>
      </right>
      <top style="thin">
        <color indexed="12"/>
      </top>
      <bottom style="thin">
        <color indexed="12"/>
      </bottom>
      <diagonal/>
    </border>
    <border>
      <left style="medium">
        <color indexed="64"/>
      </left>
      <right style="thin">
        <color indexed="64"/>
      </right>
      <top style="medium">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30"/>
      </bottom>
      <diagonal/>
    </border>
    <border>
      <left/>
      <right/>
      <top/>
      <bottom style="medium">
        <color indexed="58"/>
      </bottom>
      <diagonal/>
    </border>
    <border>
      <left/>
      <right/>
      <top/>
      <bottom style="double">
        <color indexed="52"/>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style="thin">
        <color indexed="64"/>
      </right>
      <top/>
      <bottom style="thin">
        <color indexed="64"/>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bottom style="thin">
        <color indexed="64"/>
      </bottom>
      <diagonal/>
    </border>
    <border>
      <left style="medium">
        <color rgb="FF000000"/>
      </left>
      <right style="medium">
        <color rgb="FF000000"/>
      </right>
      <top style="thin">
        <color indexed="64"/>
      </top>
      <bottom style="medium">
        <color rgb="FF000000"/>
      </bottom>
      <diagonal/>
    </border>
    <border>
      <left style="thin">
        <color rgb="FF000000"/>
      </left>
      <right style="thin">
        <color rgb="FF000000"/>
      </right>
      <top style="thin">
        <color rgb="FF000000"/>
      </top>
      <bottom style="thin">
        <color rgb="FF000000"/>
      </bottom>
      <diagonal/>
    </border>
    <border>
      <left/>
      <right/>
      <top/>
      <bottom style="double">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style="thin">
        <color indexed="64"/>
      </bottom>
      <diagonal/>
    </border>
    <border>
      <left style="medium">
        <color rgb="FF000000"/>
      </left>
      <right style="medium">
        <color indexed="64"/>
      </right>
      <top style="medium">
        <color rgb="FF000000"/>
      </top>
      <bottom style="thin">
        <color indexed="64"/>
      </bottom>
      <diagonal/>
    </border>
    <border>
      <left/>
      <right style="medium">
        <color indexed="64"/>
      </right>
      <top style="medium">
        <color rgb="FF000000"/>
      </top>
      <bottom style="thin">
        <color indexed="64"/>
      </bottom>
      <diagonal/>
    </border>
    <border>
      <left style="medium">
        <color indexed="64"/>
      </left>
      <right/>
      <top style="medium">
        <color rgb="FF000000"/>
      </top>
      <bottom style="thin">
        <color indexed="64"/>
      </bottom>
      <diagonal/>
    </border>
    <border>
      <left style="medium">
        <color rgb="FF000000"/>
      </left>
      <right style="medium">
        <color rgb="FF000000"/>
      </right>
      <top style="medium">
        <color rgb="FF000000"/>
      </top>
      <bottom style="thin">
        <color indexed="64"/>
      </bottom>
      <diagonal/>
    </border>
    <border>
      <left style="medium">
        <color rgb="FF000000"/>
      </left>
      <right/>
      <top style="thin">
        <color indexed="64"/>
      </top>
      <bottom style="medium">
        <color rgb="FF000000"/>
      </bottom>
      <diagonal/>
    </border>
    <border>
      <left style="medium">
        <color rgb="FF000000"/>
      </left>
      <right style="medium">
        <color rgb="FF000000"/>
      </right>
      <top style="medium">
        <color indexed="64"/>
      </top>
      <bottom style="medium">
        <color rgb="FF000000"/>
      </bottom>
      <diagonal/>
    </border>
    <border>
      <left style="medium">
        <color rgb="FF000000"/>
      </left>
      <right/>
      <top/>
      <bottom style="thin">
        <color indexed="64"/>
      </bottom>
      <diagonal/>
    </border>
    <border>
      <left/>
      <right style="medium">
        <color indexed="64"/>
      </right>
      <top/>
      <bottom style="medium">
        <color rgb="FF000000"/>
      </bottom>
      <diagonal/>
    </border>
    <border>
      <left style="medium">
        <color rgb="FF000000"/>
      </left>
      <right style="medium">
        <color rgb="FF000000"/>
      </right>
      <top style="medium">
        <color indexed="64"/>
      </top>
      <bottom style="medium">
        <color indexed="64"/>
      </bottom>
      <diagonal/>
    </border>
    <border>
      <left/>
      <right style="medium">
        <color rgb="FF000000"/>
      </right>
      <top/>
      <bottom style="thin">
        <color indexed="64"/>
      </bottom>
      <diagonal/>
    </border>
    <border>
      <left/>
      <right style="medium">
        <color indexed="64"/>
      </right>
      <top style="thin">
        <color rgb="FF000000"/>
      </top>
      <bottom style="thin">
        <color indexed="64"/>
      </bottom>
      <diagonal/>
    </border>
    <border>
      <left style="medium">
        <color indexed="64"/>
      </left>
      <right/>
      <top style="thin">
        <color rgb="FF000000"/>
      </top>
      <bottom style="thin">
        <color indexed="64"/>
      </bottom>
      <diagonal/>
    </border>
    <border>
      <left/>
      <right style="medium">
        <color indexed="64"/>
      </right>
      <top style="thin">
        <color indexed="64"/>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thin">
        <color rgb="FF000000"/>
      </top>
      <bottom style="thin">
        <color indexed="64"/>
      </bottom>
      <diagonal/>
    </border>
    <border>
      <left style="medium">
        <color rgb="FF000000"/>
      </left>
      <right style="medium">
        <color rgb="FF000000"/>
      </right>
      <top/>
      <bottom style="thin">
        <color rgb="FF000000"/>
      </bottom>
      <diagonal/>
    </border>
    <border>
      <left style="medium">
        <color rgb="FF000000"/>
      </left>
      <right style="medium">
        <color rgb="FF000000"/>
      </right>
      <top/>
      <bottom style="medium">
        <color indexed="64"/>
      </bottom>
      <diagonal/>
    </border>
    <border>
      <left/>
      <right/>
      <top style="thin">
        <color indexed="64"/>
      </top>
      <bottom style="medium">
        <color rgb="FF000000"/>
      </bottom>
      <diagonal/>
    </border>
    <border>
      <left style="medium">
        <color rgb="FF000000"/>
      </left>
      <right style="medium">
        <color indexed="64"/>
      </right>
      <top/>
      <bottom style="thin">
        <color indexed="64"/>
      </bottom>
      <diagonal/>
    </border>
    <border>
      <left style="medium">
        <color rgb="FF000000"/>
      </left>
      <right style="medium">
        <color indexed="64"/>
      </right>
      <top/>
      <bottom style="medium">
        <color rgb="FF000000"/>
      </bottom>
      <diagonal/>
    </border>
    <border>
      <left style="medium">
        <color rgb="FF000000"/>
      </left>
      <right style="medium">
        <color rgb="FF000000"/>
      </right>
      <top style="medium">
        <color indexed="64"/>
      </top>
      <bottom/>
      <diagonal/>
    </border>
    <border>
      <left style="thin">
        <color indexed="64"/>
      </left>
      <right/>
      <top style="thin">
        <color indexed="64"/>
      </top>
      <bottom style="medium">
        <color indexed="64"/>
      </bottom>
      <diagonal/>
    </border>
    <border>
      <left/>
      <right/>
      <top style="thin">
        <color rgb="FF000000"/>
      </top>
      <bottom style="thin">
        <color rgb="FF000000"/>
      </bottom>
      <diagonal/>
    </border>
    <border>
      <left/>
      <right style="medium">
        <color indexed="64"/>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thin">
        <color rgb="FF000000"/>
      </top>
      <bottom style="thin">
        <color rgb="FF000000"/>
      </bottom>
      <diagonal/>
    </border>
    <border>
      <left/>
      <right style="thin">
        <color indexed="64"/>
      </right>
      <top style="thin">
        <color indexed="64"/>
      </top>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bottom style="thin">
        <color rgb="FF000000"/>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auto="1"/>
      </top>
      <bottom/>
      <diagonal/>
    </border>
    <border>
      <left style="medium">
        <color indexed="64"/>
      </left>
      <right style="medium">
        <color indexed="64"/>
      </right>
      <top style="thin">
        <color rgb="FF000000"/>
      </top>
      <bottom style="medium">
        <color indexed="64"/>
      </bottom>
      <diagonal/>
    </border>
    <border>
      <left/>
      <right/>
      <top style="thin">
        <color rgb="FF000000"/>
      </top>
      <bottom style="medium">
        <color indexed="64"/>
      </bottom>
      <diagonal/>
    </border>
    <border>
      <left/>
      <right/>
      <top style="thin">
        <color auto="1"/>
      </top>
      <bottom style="medium">
        <color indexed="64"/>
      </bottom>
      <diagonal/>
    </border>
    <border>
      <left style="thin">
        <color rgb="FF000000"/>
      </left>
      <right/>
      <top style="thin">
        <color rgb="FF000000"/>
      </top>
      <bottom style="medium">
        <color indexed="64"/>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style="thin">
        <color auto="1"/>
      </top>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thin">
        <color rgb="FF000000"/>
      </left>
      <right/>
      <top style="thin">
        <color rgb="FF000000"/>
      </top>
      <bottom style="thin">
        <color rgb="FF000000"/>
      </bottom>
      <diagonal/>
    </border>
    <border>
      <left/>
      <right/>
      <top style="medium">
        <color rgb="FF000000"/>
      </top>
      <bottom style="thin">
        <color indexed="64"/>
      </bottom>
      <diagonal/>
    </border>
    <border>
      <left style="medium">
        <color indexed="64"/>
      </left>
      <right style="medium">
        <color indexed="64"/>
      </right>
      <top/>
      <bottom style="medium">
        <color rgb="FF000000"/>
      </bottom>
      <diagonal/>
    </border>
    <border>
      <left style="medium">
        <color indexed="64"/>
      </left>
      <right/>
      <top/>
      <bottom style="medium">
        <color rgb="FF000000"/>
      </bottom>
      <diagonal/>
    </border>
    <border>
      <left/>
      <right/>
      <top/>
      <bottom style="medium">
        <color rgb="FF000000"/>
      </bottom>
      <diagonal/>
    </border>
    <border>
      <left style="medium">
        <color indexed="64"/>
      </left>
      <right style="medium">
        <color indexed="64"/>
      </right>
      <top style="medium">
        <color rgb="FF000000"/>
      </top>
      <bottom style="thin">
        <color indexed="64"/>
      </bottom>
      <diagonal/>
    </border>
    <border>
      <left style="medium">
        <color indexed="64"/>
      </left>
      <right style="medium">
        <color indexed="64"/>
      </right>
      <top style="thin">
        <color indexed="64"/>
      </top>
      <bottom style="medium">
        <color rgb="FF000000"/>
      </bottom>
      <diagonal/>
    </border>
    <border>
      <left/>
      <right style="medium">
        <color rgb="FF000000"/>
      </right>
      <top style="medium">
        <color rgb="FF000000"/>
      </top>
      <bottom style="thin">
        <color indexed="64"/>
      </bottom>
      <diagonal/>
    </border>
    <border>
      <left style="medium">
        <color rgb="FF000000"/>
      </left>
      <right/>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top style="medium">
        <color indexed="64"/>
      </top>
      <bottom style="medium">
        <color rgb="FF000000"/>
      </bottom>
      <diagonal/>
    </border>
    <border>
      <left style="medium">
        <color indexed="64"/>
      </left>
      <right style="medium">
        <color indexed="64"/>
      </right>
      <top style="thin">
        <color rgb="FF000000"/>
      </top>
      <bottom/>
      <diagonal/>
    </border>
    <border>
      <left style="medium">
        <color indexed="64"/>
      </left>
      <right style="medium">
        <color indexed="64"/>
      </right>
      <top style="medium">
        <color indexed="64"/>
      </top>
      <bottom style="medium">
        <color rgb="FF000000"/>
      </bottom>
      <diagonal/>
    </border>
    <border>
      <left style="thin">
        <color auto="1"/>
      </left>
      <right/>
      <top style="thin">
        <color auto="1"/>
      </top>
      <bottom/>
      <diagonal/>
    </border>
    <border>
      <left/>
      <right style="medium">
        <color rgb="FF000000"/>
      </right>
      <top style="thin">
        <color indexed="64"/>
      </top>
      <bottom/>
      <diagonal/>
    </border>
    <border>
      <left style="medium">
        <color rgb="FF000000"/>
      </left>
      <right/>
      <top style="medium">
        <color indexed="64"/>
      </top>
      <bottom/>
      <diagonal/>
    </border>
    <border>
      <left style="medium">
        <color rgb="FF000000"/>
      </left>
      <right/>
      <top/>
      <bottom style="medium">
        <color rgb="FF000000"/>
      </bottom>
      <diagonal/>
    </border>
    <border>
      <left style="thin">
        <color auto="1"/>
      </left>
      <right style="thin">
        <color indexed="64"/>
      </right>
      <top style="thin">
        <color theme="0"/>
      </top>
      <bottom style="thin">
        <color indexed="64"/>
      </bottom>
      <diagonal/>
    </border>
    <border>
      <left style="thin">
        <color theme="0"/>
      </left>
      <right style="thin">
        <color indexed="64"/>
      </right>
      <top/>
      <bottom/>
      <diagonal/>
    </border>
    <border>
      <left style="thin">
        <color theme="0"/>
      </left>
      <right/>
      <top/>
      <bottom/>
      <diagonal/>
    </border>
    <border>
      <left style="thin">
        <color theme="0"/>
      </left>
      <right/>
      <top/>
      <bottom style="thin">
        <color indexed="64"/>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theme="0"/>
      </right>
      <top style="thin">
        <color theme="0"/>
      </top>
      <bottom style="thin">
        <color theme="0"/>
      </bottom>
      <diagonal/>
    </border>
    <border>
      <left style="thin">
        <color indexed="64"/>
      </left>
      <right style="thin">
        <color theme="0"/>
      </right>
      <top style="thin">
        <color theme="0"/>
      </top>
      <bottom/>
      <diagonal/>
    </border>
    <border>
      <left style="thin">
        <color indexed="64"/>
      </left>
      <right style="thin">
        <color theme="0"/>
      </right>
      <top/>
      <bottom/>
      <diagonal/>
    </border>
    <border>
      <left style="thin">
        <color indexed="64"/>
      </left>
      <right style="thin">
        <color theme="0"/>
      </right>
      <top style="thin">
        <color indexed="64"/>
      </top>
      <bottom style="thin">
        <color theme="0"/>
      </bottom>
      <diagonal/>
    </border>
    <border>
      <left/>
      <right/>
      <top/>
      <bottom style="thin">
        <color theme="0"/>
      </bottom>
      <diagonal/>
    </border>
    <border>
      <left style="thin">
        <color indexed="64"/>
      </left>
      <right style="thin">
        <color theme="0"/>
      </right>
      <top/>
      <bottom style="thin">
        <color indexed="64"/>
      </bottom>
      <diagonal/>
    </border>
    <border>
      <left style="thin">
        <color theme="0"/>
      </left>
      <right style="thin">
        <color indexed="64"/>
      </right>
      <top style="thin">
        <color rgb="FF000000"/>
      </top>
      <bottom style="thin">
        <color indexed="64"/>
      </bottom>
      <diagonal/>
    </border>
    <border>
      <left style="thin">
        <color indexed="64"/>
      </left>
      <right style="thin">
        <color theme="0"/>
      </right>
      <top style="thin">
        <color theme="0"/>
      </top>
      <bottom style="thin">
        <color indexed="64"/>
      </bottom>
      <diagonal/>
    </border>
    <border>
      <left style="thin">
        <color theme="0"/>
      </left>
      <right/>
      <top style="thin">
        <color theme="0"/>
      </top>
      <bottom style="thin">
        <color theme="0"/>
      </bottom>
      <diagonal/>
    </border>
    <border>
      <left style="thin">
        <color theme="0"/>
      </left>
      <right style="thin">
        <color indexed="64"/>
      </right>
      <top/>
      <bottom style="thin">
        <color theme="0"/>
      </bottom>
      <diagonal/>
    </border>
    <border>
      <left style="thin">
        <color theme="0"/>
      </left>
      <right/>
      <top style="thin">
        <color rgb="FF000000"/>
      </top>
      <bottom style="thin">
        <color indexed="64"/>
      </bottom>
      <diagonal/>
    </border>
    <border>
      <left style="thin">
        <color theme="0"/>
      </left>
      <right style="thin">
        <color theme="0"/>
      </right>
      <top style="thin">
        <color indexed="64"/>
      </top>
      <bottom style="thin">
        <color theme="0"/>
      </bottom>
      <diagonal/>
    </border>
    <border>
      <left/>
      <right style="thin">
        <color theme="0"/>
      </right>
      <top/>
      <bottom style="thin">
        <color theme="0"/>
      </bottom>
      <diagonal/>
    </border>
    <border>
      <left style="thin">
        <color theme="0"/>
      </left>
      <right style="thin">
        <color rgb="FF000000"/>
      </right>
      <top style="thin">
        <color indexed="64"/>
      </top>
      <bottom style="thin">
        <color theme="0"/>
      </bottom>
      <diagonal/>
    </border>
    <border>
      <left style="thin">
        <color rgb="FF000000"/>
      </left>
      <right style="thin">
        <color rgb="FF000000"/>
      </right>
      <top style="thin">
        <color indexed="64"/>
      </top>
      <bottom style="thin">
        <color theme="0"/>
      </bottom>
      <diagonal/>
    </border>
    <border>
      <left style="thin">
        <color rgb="FF000000"/>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right style="thin">
        <color indexed="64"/>
      </right>
      <top style="thin">
        <color theme="0"/>
      </top>
      <bottom style="thin">
        <color theme="0"/>
      </bottom>
      <diagonal/>
    </border>
    <border>
      <left/>
      <right style="thin">
        <color theme="0"/>
      </right>
      <top style="thin">
        <color rgb="FF000000"/>
      </top>
      <bottom style="thin">
        <color theme="0"/>
      </bottom>
      <diagonal/>
    </border>
    <border>
      <left/>
      <right style="thin">
        <color theme="0"/>
      </right>
      <top style="thin">
        <color theme="0"/>
      </top>
      <bottom style="thin">
        <color theme="0"/>
      </bottom>
      <diagonal/>
    </border>
    <border>
      <left style="thin">
        <color auto="1"/>
      </left>
      <right/>
      <top style="thin">
        <color theme="0"/>
      </top>
      <bottom style="thin">
        <color theme="0"/>
      </bottom>
      <diagonal/>
    </border>
    <border>
      <left/>
      <right style="thin">
        <color rgb="FF000000"/>
      </right>
      <top style="thin">
        <color rgb="FF000000"/>
      </top>
      <bottom style="thin">
        <color rgb="FF000000"/>
      </bottom>
      <diagonal/>
    </border>
    <border>
      <left style="thin">
        <color theme="0"/>
      </left>
      <right style="thin">
        <color indexed="64"/>
      </right>
      <top style="thin">
        <color theme="0"/>
      </top>
      <bottom/>
      <diagonal/>
    </border>
    <border>
      <left style="thin">
        <color theme="0"/>
      </left>
      <right style="thin">
        <color indexed="64"/>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indexed="64"/>
      </left>
      <right style="thin">
        <color theme="0"/>
      </right>
      <top style="thin">
        <color rgb="FF000000"/>
      </top>
      <bottom/>
      <diagonal/>
    </border>
    <border>
      <left style="thin">
        <color rgb="FF000000"/>
      </left>
      <right style="thin">
        <color rgb="FF000000"/>
      </right>
      <top style="thin">
        <color rgb="FF000000"/>
      </top>
      <bottom style="thin">
        <color theme="0"/>
      </bottom>
      <diagonal/>
    </border>
    <border>
      <left/>
      <right/>
      <top style="thin">
        <color theme="0"/>
      </top>
      <bottom style="thin">
        <color theme="0"/>
      </bottom>
      <diagonal/>
    </border>
    <border>
      <left/>
      <right style="thin">
        <color theme="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theme="0"/>
      </left>
      <right style="thin">
        <color theme="0"/>
      </right>
      <top style="thin">
        <color auto="1"/>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auto="1"/>
      </top>
      <bottom style="thin">
        <color auto="1"/>
      </bottom>
      <diagonal/>
    </border>
    <border>
      <left/>
      <right style="medium">
        <color indexed="64"/>
      </right>
      <top style="thin">
        <color indexed="64"/>
      </top>
      <bottom style="thin">
        <color indexed="64"/>
      </bottom>
      <diagonal/>
    </border>
    <border>
      <left style="medium">
        <color indexed="64"/>
      </left>
      <right style="medium">
        <color indexed="64"/>
      </right>
      <top style="thin">
        <color auto="1"/>
      </top>
      <bottom/>
      <diagonal/>
    </border>
    <border>
      <left style="medium">
        <color indexed="64"/>
      </left>
      <right/>
      <top style="thin">
        <color auto="1"/>
      </top>
      <bottom/>
      <diagonal/>
    </border>
    <border>
      <left style="medium">
        <color rgb="FF000000"/>
      </left>
      <right/>
      <top style="thin">
        <color indexed="64"/>
      </top>
      <bottom style="thin">
        <color indexed="64"/>
      </bottom>
      <diagonal/>
    </border>
    <border>
      <left style="medium">
        <color rgb="FF000000"/>
      </left>
      <right style="medium">
        <color indexed="64"/>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style="medium">
        <color rgb="FF000000"/>
      </left>
      <right style="medium">
        <color indexed="64"/>
      </right>
      <top style="thin">
        <color indexed="64"/>
      </top>
      <bottom/>
      <diagonal/>
    </border>
    <border>
      <left style="medium">
        <color rgb="FF000000"/>
      </left>
      <right style="medium">
        <color rgb="FF000000"/>
      </right>
      <top style="thin">
        <color indexed="64"/>
      </top>
      <bottom style="thin">
        <color indexed="64"/>
      </bottom>
      <diagonal/>
    </border>
    <border>
      <left/>
      <right/>
      <top style="thin">
        <color indexed="64"/>
      </top>
      <bottom style="thin">
        <color rgb="FF000000"/>
      </bottom>
      <diagonal/>
    </border>
    <border>
      <left/>
      <right style="medium">
        <color rgb="FF000000"/>
      </right>
      <top style="thin">
        <color indexed="64"/>
      </top>
      <bottom style="thin">
        <color rgb="FF000000"/>
      </bottom>
      <diagonal/>
    </border>
    <border>
      <left style="medium">
        <color rgb="FF000000"/>
      </left>
      <right/>
      <top style="thin">
        <color indexed="64"/>
      </top>
      <bottom style="thin">
        <color rgb="FF000000"/>
      </bottom>
      <diagonal/>
    </border>
    <border>
      <left style="medium">
        <color rgb="FF000000"/>
      </left>
      <right style="medium">
        <color rgb="FF000000"/>
      </right>
      <top style="thin">
        <color indexed="64"/>
      </top>
      <bottom/>
      <diagonal/>
    </border>
    <border>
      <left style="medium">
        <color indexed="64"/>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auto="1"/>
      </left>
      <right style="medium">
        <color indexed="64"/>
      </right>
      <top style="thin">
        <color auto="1"/>
      </top>
      <bottom/>
      <diagonal/>
    </border>
    <border>
      <left style="thin">
        <color indexed="64"/>
      </left>
      <right style="thin">
        <color theme="0"/>
      </right>
      <top style="thin">
        <color indexed="64"/>
      </top>
      <bottom/>
      <diagonal/>
    </border>
    <border>
      <left style="thin">
        <color auto="1"/>
      </left>
      <right/>
      <top style="thin">
        <color auto="1"/>
      </top>
      <bottom style="thin">
        <color theme="0"/>
      </bottom>
      <diagonal/>
    </border>
    <border>
      <left/>
      <right/>
      <top style="thin">
        <color auto="1"/>
      </top>
      <bottom style="thin">
        <color theme="0"/>
      </bottom>
      <diagonal/>
    </border>
    <border>
      <left/>
      <right style="thin">
        <color indexed="64"/>
      </right>
      <top style="thin">
        <color auto="1"/>
      </top>
      <bottom style="thin">
        <color theme="0"/>
      </bottom>
      <diagonal/>
    </border>
    <border>
      <left style="thin">
        <color indexed="64"/>
      </left>
      <right style="thin">
        <color theme="0"/>
      </right>
      <top style="thin">
        <color indexed="64"/>
      </top>
      <bottom style="thin">
        <color indexed="64"/>
      </bottom>
      <diagonal/>
    </border>
    <border>
      <left/>
      <right style="thin">
        <color rgb="FF000000"/>
      </right>
      <top style="thin">
        <color indexed="64"/>
      </top>
      <bottom/>
      <diagonal/>
    </border>
    <border>
      <left style="thin">
        <color indexed="8"/>
      </left>
      <right style="thin">
        <color indexed="8"/>
      </right>
      <top style="thin">
        <color indexed="8"/>
      </top>
      <bottom style="thin">
        <color indexed="8"/>
      </bottom>
      <diagonal/>
    </border>
    <border>
      <left/>
      <right/>
      <top style="thin">
        <color auto="1"/>
      </top>
      <bottom style="thin">
        <color auto="1"/>
      </bottom>
      <diagonal/>
    </border>
    <border>
      <left style="thin">
        <color auto="1"/>
      </left>
      <right/>
      <top style="thin">
        <color auto="1"/>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37585">
    <xf numFmtId="0" fontId="0" fillId="0" borderId="0"/>
    <xf numFmtId="43" fontId="2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3" fillId="0" borderId="0" applyNumberFormat="0" applyFill="0" applyBorder="0" applyAlignment="0" applyProtection="0">
      <alignment vertical="top"/>
      <protection locked="0"/>
    </xf>
    <xf numFmtId="9" fontId="22" fillId="0" borderId="0" applyFont="0" applyFill="0" applyBorder="0" applyAlignment="0" applyProtection="0"/>
    <xf numFmtId="43" fontId="22" fillId="0" borderId="0" applyFont="0" applyFill="0" applyBorder="0" applyAlignment="0" applyProtection="0"/>
    <xf numFmtId="0" fontId="22" fillId="0" borderId="0"/>
    <xf numFmtId="171" fontId="9" fillId="0" borderId="0" applyFont="0" applyFill="0" applyBorder="0" applyAlignment="0" applyProtection="0"/>
    <xf numFmtId="43" fontId="1" fillId="0" borderId="0" applyFont="0" applyFill="0" applyBorder="0" applyAlignment="0" applyProtection="0"/>
    <xf numFmtId="0" fontId="9" fillId="0" borderId="0"/>
    <xf numFmtId="0" fontId="1" fillId="0" borderId="0"/>
    <xf numFmtId="0" fontId="22" fillId="0" borderId="0"/>
    <xf numFmtId="43" fontId="9" fillId="0" borderId="0" applyFont="0" applyFill="0" applyBorder="0" applyAlignment="0" applyProtection="0"/>
    <xf numFmtId="0" fontId="22" fillId="0" borderId="0"/>
    <xf numFmtId="164" fontId="9" fillId="0" borderId="0" applyFont="0" applyFill="0" applyBorder="0" applyAlignment="0" applyProtection="0"/>
    <xf numFmtId="0" fontId="9" fillId="0" borderId="0"/>
    <xf numFmtId="43" fontId="5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164" fontId="22"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5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69" fillId="0" borderId="0" applyNumberFormat="0" applyFill="0" applyBorder="0" applyAlignment="0" applyProtection="0">
      <alignment vertical="top"/>
      <protection locked="0"/>
    </xf>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0" fontId="70" fillId="0" borderId="0" applyNumberFormat="0" applyFon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71" fillId="47"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0" fontId="71" fillId="49"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0" fontId="71" fillId="49" borderId="0" applyNumberFormat="0" applyBorder="0" applyAlignment="0" applyProtection="0"/>
    <xf numFmtId="174" fontId="71" fillId="48" borderId="0" applyNumberFormat="0" applyBorder="0" applyAlignment="0" applyProtection="0"/>
    <xf numFmtId="0" fontId="71" fillId="49" borderId="0" applyNumberFormat="0" applyBorder="0" applyAlignment="0" applyProtection="0"/>
    <xf numFmtId="174" fontId="71" fillId="48" borderId="0" applyNumberFormat="0" applyBorder="0" applyAlignment="0" applyProtection="0"/>
    <xf numFmtId="0" fontId="71" fillId="49"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0" fontId="71" fillId="49" borderId="0" applyNumberFormat="0" applyBorder="0" applyAlignment="0" applyProtection="0"/>
    <xf numFmtId="174" fontId="71" fillId="48" borderId="0" applyNumberFormat="0" applyBorder="0" applyAlignment="0" applyProtection="0"/>
    <xf numFmtId="0" fontId="71" fillId="49" borderId="0" applyNumberFormat="0" applyBorder="0" applyAlignment="0" applyProtection="0"/>
    <xf numFmtId="174" fontId="71" fillId="48" borderId="0" applyNumberFormat="0" applyBorder="0" applyAlignment="0" applyProtection="0"/>
    <xf numFmtId="0" fontId="71" fillId="49" borderId="0" applyNumberFormat="0" applyBorder="0" applyAlignment="0" applyProtection="0"/>
    <xf numFmtId="174" fontId="71" fillId="48"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71" fillId="52"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0" fontId="71" fillId="54"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0" fontId="71" fillId="54" borderId="0" applyNumberFormat="0" applyBorder="0" applyAlignment="0" applyProtection="0"/>
    <xf numFmtId="174" fontId="71" fillId="53" borderId="0" applyNumberFormat="0" applyBorder="0" applyAlignment="0" applyProtection="0"/>
    <xf numFmtId="0" fontId="71" fillId="54" borderId="0" applyNumberFormat="0" applyBorder="0" applyAlignment="0" applyProtection="0"/>
    <xf numFmtId="174" fontId="71" fillId="53" borderId="0" applyNumberFormat="0" applyBorder="0" applyAlignment="0" applyProtection="0"/>
    <xf numFmtId="0" fontId="71" fillId="54"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0" fontId="71" fillId="54" borderId="0" applyNumberFormat="0" applyBorder="0" applyAlignment="0" applyProtection="0"/>
    <xf numFmtId="174" fontId="71" fillId="53" borderId="0" applyNumberFormat="0" applyBorder="0" applyAlignment="0" applyProtection="0"/>
    <xf numFmtId="0" fontId="71" fillId="54" borderId="0" applyNumberFormat="0" applyBorder="0" applyAlignment="0" applyProtection="0"/>
    <xf numFmtId="174" fontId="71" fillId="53" borderId="0" applyNumberFormat="0" applyBorder="0" applyAlignment="0" applyProtection="0"/>
    <xf numFmtId="0" fontId="71" fillId="54" borderId="0" applyNumberFormat="0" applyBorder="0" applyAlignment="0" applyProtection="0"/>
    <xf numFmtId="174" fontId="71" fillId="53"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71" fillId="57"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0" fontId="71" fillId="59"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0" fontId="71" fillId="59" borderId="0" applyNumberFormat="0" applyBorder="0" applyAlignment="0" applyProtection="0"/>
    <xf numFmtId="174" fontId="71" fillId="58" borderId="0" applyNumberFormat="0" applyBorder="0" applyAlignment="0" applyProtection="0"/>
    <xf numFmtId="0" fontId="71" fillId="59" borderId="0" applyNumberFormat="0" applyBorder="0" applyAlignment="0" applyProtection="0"/>
    <xf numFmtId="174" fontId="71" fillId="58" borderId="0" applyNumberFormat="0" applyBorder="0" applyAlignment="0" applyProtection="0"/>
    <xf numFmtId="0" fontId="71" fillId="59"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0" fontId="71" fillId="59" borderId="0" applyNumberFormat="0" applyBorder="0" applyAlignment="0" applyProtection="0"/>
    <xf numFmtId="174" fontId="71" fillId="58" borderId="0" applyNumberFormat="0" applyBorder="0" applyAlignment="0" applyProtection="0"/>
    <xf numFmtId="0" fontId="71" fillId="59" borderId="0" applyNumberFormat="0" applyBorder="0" applyAlignment="0" applyProtection="0"/>
    <xf numFmtId="174" fontId="71" fillId="58" borderId="0" applyNumberFormat="0" applyBorder="0" applyAlignment="0" applyProtection="0"/>
    <xf numFmtId="0" fontId="71" fillId="59" borderId="0" applyNumberFormat="0" applyBorder="0" applyAlignment="0" applyProtection="0"/>
    <xf numFmtId="174" fontId="71" fillId="58" borderId="0" applyNumberFormat="0" applyBorder="0" applyAlignment="0" applyProtection="0"/>
    <xf numFmtId="0" fontId="1" fillId="50" borderId="0" applyNumberFormat="0" applyBorder="0" applyAlignment="0" applyProtection="0"/>
    <xf numFmtId="0" fontId="1" fillId="60" borderId="0" applyNumberFormat="0" applyBorder="0" applyAlignment="0" applyProtection="0"/>
    <xf numFmtId="0" fontId="71" fillId="51"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0" fontId="71" fillId="61"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0" fontId="71" fillId="61" borderId="0" applyNumberFormat="0" applyBorder="0" applyAlignment="0" applyProtection="0"/>
    <xf numFmtId="174" fontId="71" fillId="42" borderId="0" applyNumberFormat="0" applyBorder="0" applyAlignment="0" applyProtection="0"/>
    <xf numFmtId="0" fontId="71" fillId="61" borderId="0" applyNumberFormat="0" applyBorder="0" applyAlignment="0" applyProtection="0"/>
    <xf numFmtId="174" fontId="71" fillId="42" borderId="0" applyNumberFormat="0" applyBorder="0" applyAlignment="0" applyProtection="0"/>
    <xf numFmtId="0" fontId="71" fillId="61"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0" fontId="71" fillId="61" borderId="0" applyNumberFormat="0" applyBorder="0" applyAlignment="0" applyProtection="0"/>
    <xf numFmtId="174" fontId="71" fillId="42" borderId="0" applyNumberFormat="0" applyBorder="0" applyAlignment="0" applyProtection="0"/>
    <xf numFmtId="0" fontId="71" fillId="61" borderId="0" applyNumberFormat="0" applyBorder="0" applyAlignment="0" applyProtection="0"/>
    <xf numFmtId="174" fontId="71" fillId="42" borderId="0" applyNumberFormat="0" applyBorder="0" applyAlignment="0" applyProtection="0"/>
    <xf numFmtId="0" fontId="71" fillId="61" borderId="0" applyNumberFormat="0" applyBorder="0" applyAlignment="0" applyProtection="0"/>
    <xf numFmtId="174" fontId="71" fillId="4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71" fillId="47"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0" fontId="71" fillId="47"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0" fontId="71" fillId="47" borderId="0" applyNumberFormat="0" applyBorder="0" applyAlignment="0" applyProtection="0"/>
    <xf numFmtId="174" fontId="71" fillId="43" borderId="0" applyNumberFormat="0" applyBorder="0" applyAlignment="0" applyProtection="0"/>
    <xf numFmtId="0" fontId="71" fillId="47" borderId="0" applyNumberFormat="0" applyBorder="0" applyAlignment="0" applyProtection="0"/>
    <xf numFmtId="174" fontId="71" fillId="43" borderId="0" applyNumberFormat="0" applyBorder="0" applyAlignment="0" applyProtection="0"/>
    <xf numFmtId="0" fontId="71" fillId="47"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0" fontId="71" fillId="47" borderId="0" applyNumberFormat="0" applyBorder="0" applyAlignment="0" applyProtection="0"/>
    <xf numFmtId="174" fontId="71" fillId="43" borderId="0" applyNumberFormat="0" applyBorder="0" applyAlignment="0" applyProtection="0"/>
    <xf numFmtId="0" fontId="71" fillId="47" borderId="0" applyNumberFormat="0" applyBorder="0" applyAlignment="0" applyProtection="0"/>
    <xf numFmtId="174" fontId="71" fillId="43" borderId="0" applyNumberFormat="0" applyBorder="0" applyAlignment="0" applyProtection="0"/>
    <xf numFmtId="0" fontId="71" fillId="47" borderId="0" applyNumberFormat="0" applyBorder="0" applyAlignment="0" applyProtection="0"/>
    <xf numFmtId="174" fontId="71" fillId="4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71" fillId="66"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0" fontId="71" fillId="68"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0" fontId="71" fillId="68" borderId="0" applyNumberFormat="0" applyBorder="0" applyAlignment="0" applyProtection="0"/>
    <xf numFmtId="174" fontId="71" fillId="67" borderId="0" applyNumberFormat="0" applyBorder="0" applyAlignment="0" applyProtection="0"/>
    <xf numFmtId="0" fontId="71" fillId="68" borderId="0" applyNumberFormat="0" applyBorder="0" applyAlignment="0" applyProtection="0"/>
    <xf numFmtId="174" fontId="71" fillId="67" borderId="0" applyNumberFormat="0" applyBorder="0" applyAlignment="0" applyProtection="0"/>
    <xf numFmtId="0" fontId="71" fillId="68"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0" fontId="71" fillId="68" borderId="0" applyNumberFormat="0" applyBorder="0" applyAlignment="0" applyProtection="0"/>
    <xf numFmtId="174" fontId="71" fillId="67" borderId="0" applyNumberFormat="0" applyBorder="0" applyAlignment="0" applyProtection="0"/>
    <xf numFmtId="0" fontId="71" fillId="68" borderId="0" applyNumberFormat="0" applyBorder="0" applyAlignment="0" applyProtection="0"/>
    <xf numFmtId="174" fontId="71" fillId="67" borderId="0" applyNumberFormat="0" applyBorder="0" applyAlignment="0" applyProtection="0"/>
    <xf numFmtId="0" fontId="71" fillId="68" borderId="0" applyNumberFormat="0" applyBorder="0" applyAlignment="0" applyProtection="0"/>
    <xf numFmtId="174" fontId="71" fillId="67" borderId="0" applyNumberFormat="0" applyBorder="0" applyAlignment="0" applyProtection="0"/>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0" fontId="74" fillId="64"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0" fontId="76" fillId="71" borderId="57"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0" fontId="76" fillId="71" borderId="57"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0" fontId="77" fillId="61"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41"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164" fontId="78" fillId="0" borderId="0" applyFont="0" applyFill="0" applyBorder="0" applyAlignment="0" applyProtection="0">
      <alignment vertical="top"/>
    </xf>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22"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80"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176"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9" fillId="0" borderId="0" applyFont="0" applyFill="0" applyBorder="0" applyAlignment="0" applyProtection="0"/>
    <xf numFmtId="177" fontId="9"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165" fontId="1" fillId="0" borderId="0"/>
    <xf numFmtId="171" fontId="1" fillId="0" borderId="0"/>
    <xf numFmtId="43" fontId="9" fillId="0" borderId="0" applyFont="0" applyFill="0" applyBorder="0" applyAlignment="0" applyProtection="0"/>
    <xf numFmtId="43" fontId="9" fillId="0" borderId="0" applyFill="0" applyBorder="0" applyAlignment="0" applyProtection="0"/>
    <xf numFmtId="171" fontId="1" fillId="0" borderId="0"/>
    <xf numFmtId="164"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ill="0" applyBorder="0" applyAlignment="0" applyProtection="0"/>
    <xf numFmtId="43" fontId="9" fillId="0" borderId="0" applyFill="0" applyBorder="0" applyAlignment="0" applyProtection="0"/>
    <xf numFmtId="43" fontId="9" fillId="0" borderId="0" applyFill="0" applyBorder="0" applyAlignment="0" applyProtection="0"/>
    <xf numFmtId="43" fontId="9" fillId="0" borderId="0" applyFill="0" applyBorder="0" applyAlignment="0" applyProtection="0"/>
    <xf numFmtId="43" fontId="9" fillId="0" borderId="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9" fillId="0" borderId="0" applyFont="0" applyFill="0" applyBorder="0" applyAlignment="0" applyProtection="0"/>
    <xf numFmtId="164" fontId="8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7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9"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22" fillId="0" borderId="0" applyFont="0" applyFill="0" applyBorder="0" applyAlignment="0" applyProtection="0"/>
    <xf numFmtId="178"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2" fillId="0" borderId="0" applyFont="0" applyFill="0" applyBorder="0" applyAlignment="0" applyProtection="0"/>
    <xf numFmtId="43" fontId="1"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78" fillId="0" borderId="0" applyFont="0" applyFill="0" applyBorder="0" applyAlignment="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9" fillId="0" borderId="0" applyFont="0" applyFill="0" applyBorder="0" applyAlignment="0" applyProtection="0"/>
    <xf numFmtId="43" fontId="9" fillId="0" borderId="0" applyFont="0" applyFill="0" applyBorder="0" applyAlignment="0" applyProtection="0"/>
    <xf numFmtId="17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7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2" fillId="0" borderId="0" applyFont="0" applyFill="0" applyBorder="0" applyAlignment="0" applyProtection="0"/>
    <xf numFmtId="43" fontId="7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2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80" fontId="9" fillId="0" borderId="0" applyFont="0" applyFill="0" applyBorder="0" applyAlignment="0" applyProtection="0"/>
    <xf numFmtId="181" fontId="1" fillId="0" borderId="0" applyFont="0" applyFill="0" applyBorder="0" applyAlignment="0" applyProtection="0"/>
    <xf numFmtId="180" fontId="9" fillId="0" borderId="0" applyFont="0" applyFill="0" applyBorder="0" applyAlignment="0" applyProtection="0"/>
    <xf numFmtId="181"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83"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1" fontId="1" fillId="0" borderId="0" applyFont="0" applyFill="0" applyBorder="0" applyAlignment="0" applyProtection="0"/>
    <xf numFmtId="181" fontId="22" fillId="0" borderId="0" applyFont="0" applyFill="0" applyBorder="0" applyAlignment="0" applyProtection="0"/>
    <xf numFmtId="0" fontId="84" fillId="73" borderId="0" applyNumberFormat="0" applyBorder="0" applyAlignment="0" applyProtection="0"/>
    <xf numFmtId="0" fontId="84" fillId="74" borderId="0" applyNumberFormat="0" applyBorder="0" applyAlignment="0" applyProtection="0"/>
    <xf numFmtId="0" fontId="84" fillId="7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82" fontId="70" fillId="0" borderId="0">
      <alignment horizontal="right"/>
    </xf>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0" fontId="1" fillId="56"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0" fontId="88" fillId="0" borderId="60"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0" fontId="90" fillId="0" borderId="62"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0" fontId="92" fillId="0" borderId="64"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0" fontId="92"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3" fillId="0" borderId="0" applyNumberFormat="0" applyFill="0" applyBorder="0" applyAlignment="0" applyProtection="0">
      <alignment vertical="top"/>
      <protection locked="0"/>
    </xf>
    <xf numFmtId="0" fontId="94"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174" fontId="93" fillId="0" borderId="0" applyNumberFormat="0" applyFill="0" applyBorder="0" applyAlignment="0" applyProtection="0">
      <alignment vertical="top"/>
      <protection locked="0"/>
    </xf>
    <xf numFmtId="174" fontId="93" fillId="0" borderId="0" applyNumberFormat="0" applyFill="0" applyBorder="0" applyAlignment="0" applyProtection="0">
      <alignment vertical="top"/>
      <protection locked="0"/>
    </xf>
    <xf numFmtId="174" fontId="93" fillId="0" borderId="0" applyNumberFormat="0" applyFill="0" applyBorder="0" applyAlignment="0" applyProtection="0">
      <alignment vertical="top"/>
      <protection locked="0"/>
    </xf>
    <xf numFmtId="174" fontId="93" fillId="0" borderId="0" applyNumberFormat="0" applyFill="0" applyBorder="0" applyAlignment="0" applyProtection="0">
      <alignment vertical="top"/>
      <protection locked="0"/>
    </xf>
    <xf numFmtId="174" fontId="93" fillId="0" borderId="0" applyNumberFormat="0" applyFill="0" applyBorder="0" applyAlignment="0" applyProtection="0">
      <alignment vertical="top"/>
      <protection locked="0"/>
    </xf>
    <xf numFmtId="174" fontId="93" fillId="0" borderId="0" applyNumberFormat="0" applyFill="0" applyBorder="0" applyAlignment="0" applyProtection="0">
      <alignment vertical="top"/>
      <protection locked="0"/>
    </xf>
    <xf numFmtId="174" fontId="93" fillId="0" borderId="0" applyNumberFormat="0" applyFill="0" applyBorder="0" applyAlignment="0" applyProtection="0">
      <alignment vertical="top"/>
      <protection locked="0"/>
    </xf>
    <xf numFmtId="174" fontId="93"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94" fillId="0" borderId="0" applyNumberFormat="0" applyFill="0" applyBorder="0" applyAlignment="0" applyProtection="0">
      <alignment vertical="top"/>
      <protection locked="0"/>
    </xf>
    <xf numFmtId="174" fontId="93" fillId="0" borderId="0" applyNumberFormat="0" applyFill="0" applyBorder="0" applyAlignment="0" applyProtection="0">
      <alignment vertical="top"/>
      <protection locked="0"/>
    </xf>
    <xf numFmtId="174" fontId="93" fillId="0" borderId="0" applyNumberFormat="0" applyFill="0" applyBorder="0" applyAlignment="0" applyProtection="0">
      <alignment vertical="top"/>
      <protection locked="0"/>
    </xf>
    <xf numFmtId="174" fontId="93" fillId="0" borderId="0" applyNumberFormat="0" applyFill="0" applyBorder="0" applyAlignment="0" applyProtection="0">
      <alignment vertical="top"/>
      <protection locked="0"/>
    </xf>
    <xf numFmtId="174" fontId="93" fillId="0" borderId="0" applyNumberFormat="0" applyFill="0" applyBorder="0" applyAlignment="0" applyProtection="0">
      <alignment vertical="top"/>
      <protection locked="0"/>
    </xf>
    <xf numFmtId="174" fontId="93" fillId="0" borderId="0" applyNumberFormat="0" applyFill="0" applyBorder="0" applyAlignment="0" applyProtection="0">
      <alignment vertical="top"/>
      <protection locked="0"/>
    </xf>
    <xf numFmtId="0" fontId="94"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96" fillId="0" borderId="0" applyNumberFormat="0" applyFill="0" applyBorder="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0" fontId="98" fillId="65" borderId="57"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0" fontId="98" fillId="65" borderId="57"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0" fontId="86" fillId="0" borderId="66"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0" fontId="86" fillId="65"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0" fontId="9" fillId="0" borderId="0"/>
    <xf numFmtId="0" fontId="22" fillId="0" borderId="0"/>
    <xf numFmtId="0" fontId="22" fillId="0" borderId="0"/>
    <xf numFmtId="0" fontId="22" fillId="0" borderId="0"/>
    <xf numFmtId="0" fontId="22" fillId="0" borderId="0"/>
    <xf numFmtId="0" fontId="22" fillId="0" borderId="0"/>
    <xf numFmtId="0" fontId="22" fillId="0" borderId="0"/>
    <xf numFmtId="183" fontId="22" fillId="0" borderId="0"/>
    <xf numFmtId="0" fontId="79" fillId="0" borderId="0"/>
    <xf numFmtId="0" fontId="22" fillId="0" borderId="0"/>
    <xf numFmtId="0" fontId="22" fillId="0" borderId="0"/>
    <xf numFmtId="0" fontId="22" fillId="0" borderId="0"/>
    <xf numFmtId="0" fontId="79" fillId="0" borderId="0"/>
    <xf numFmtId="0" fontId="22" fillId="0" borderId="0"/>
    <xf numFmtId="0" fontId="22" fillId="0" borderId="0"/>
    <xf numFmtId="0" fontId="79" fillId="0" borderId="0"/>
    <xf numFmtId="0" fontId="79" fillId="0" borderId="0"/>
    <xf numFmtId="0" fontId="22" fillId="0" borderId="0"/>
    <xf numFmtId="183" fontId="22" fillId="0" borderId="0"/>
    <xf numFmtId="0" fontId="79" fillId="0" borderId="0"/>
    <xf numFmtId="0" fontId="79" fillId="0" borderId="0"/>
    <xf numFmtId="0" fontId="79" fillId="0" borderId="0"/>
    <xf numFmtId="183" fontId="9" fillId="0" borderId="0"/>
    <xf numFmtId="0" fontId="79" fillId="0" borderId="0"/>
    <xf numFmtId="0" fontId="22" fillId="0" borderId="0"/>
    <xf numFmtId="0" fontId="79" fillId="0" borderId="0"/>
    <xf numFmtId="0" fontId="79" fillId="0" borderId="0"/>
    <xf numFmtId="183" fontId="9" fillId="0" borderId="0"/>
    <xf numFmtId="0" fontId="79" fillId="0" borderId="0"/>
    <xf numFmtId="0" fontId="79" fillId="0" borderId="0"/>
    <xf numFmtId="0" fontId="22" fillId="0" borderId="0"/>
    <xf numFmtId="0" fontId="22" fillId="0" borderId="0"/>
    <xf numFmtId="183" fontId="22" fillId="0" borderId="0"/>
    <xf numFmtId="0" fontId="79" fillId="0" borderId="0"/>
    <xf numFmtId="0" fontId="22" fillId="0" borderId="0"/>
    <xf numFmtId="0" fontId="22" fillId="0" borderId="0"/>
    <xf numFmtId="0" fontId="79" fillId="0" borderId="0"/>
    <xf numFmtId="0" fontId="22" fillId="0" borderId="0"/>
    <xf numFmtId="0" fontId="22" fillId="0" borderId="0"/>
    <xf numFmtId="0" fontId="79" fillId="0" borderId="0"/>
    <xf numFmtId="174" fontId="9" fillId="0" borderId="0"/>
    <xf numFmtId="183" fontId="22" fillId="0" borderId="0"/>
    <xf numFmtId="0" fontId="9" fillId="0" borderId="0"/>
    <xf numFmtId="0" fontId="9" fillId="0" borderId="0"/>
    <xf numFmtId="183" fontId="9" fillId="0" borderId="0"/>
    <xf numFmtId="0" fontId="22" fillId="0" borderId="0"/>
    <xf numFmtId="0" fontId="22" fillId="0" borderId="0"/>
    <xf numFmtId="183" fontId="9" fillId="0" borderId="0"/>
    <xf numFmtId="174" fontId="22" fillId="0" borderId="0"/>
    <xf numFmtId="174" fontId="9" fillId="0" borderId="0"/>
    <xf numFmtId="183" fontId="9" fillId="0" borderId="0"/>
    <xf numFmtId="174" fontId="9" fillId="0" borderId="0"/>
    <xf numFmtId="174" fontId="9" fillId="0" borderId="0"/>
    <xf numFmtId="174" fontId="9" fillId="0" borderId="0"/>
    <xf numFmtId="183" fontId="9" fillId="0" borderId="0"/>
    <xf numFmtId="174" fontId="9" fillId="0" borderId="0"/>
    <xf numFmtId="174" fontId="9" fillId="0" borderId="0"/>
    <xf numFmtId="174" fontId="9" fillId="0" borderId="0"/>
    <xf numFmtId="179"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0" fontId="9" fillId="0" borderId="0"/>
    <xf numFmtId="0" fontId="9" fillId="0" borderId="0"/>
    <xf numFmtId="174" fontId="9" fillId="0" borderId="0"/>
    <xf numFmtId="174" fontId="9" fillId="0" borderId="0"/>
    <xf numFmtId="174" fontId="9" fillId="0" borderId="0"/>
    <xf numFmtId="183" fontId="9" fillId="0" borderId="0"/>
    <xf numFmtId="174" fontId="9" fillId="0" borderId="0"/>
    <xf numFmtId="174" fontId="9" fillId="0" borderId="0"/>
    <xf numFmtId="174" fontId="9" fillId="0" borderId="0"/>
    <xf numFmtId="174" fontId="9" fillId="0" borderId="0"/>
    <xf numFmtId="174" fontId="9" fillId="0" borderId="0"/>
    <xf numFmtId="0" fontId="22" fillId="0" borderId="0"/>
    <xf numFmtId="0" fontId="22" fillId="0" borderId="0"/>
    <xf numFmtId="179" fontId="9" fillId="0" borderId="0"/>
    <xf numFmtId="0" fontId="22" fillId="0" borderId="0"/>
    <xf numFmtId="0" fontId="22" fillId="0" borderId="0"/>
    <xf numFmtId="0" fontId="9" fillId="0" borderId="0"/>
    <xf numFmtId="174" fontId="9" fillId="0" borderId="0"/>
    <xf numFmtId="174" fontId="9" fillId="0" borderId="0"/>
    <xf numFmtId="174" fontId="9" fillId="0" borderId="0"/>
    <xf numFmtId="174" fontId="9" fillId="0" borderId="0"/>
    <xf numFmtId="174" fontId="9" fillId="0" borderId="0"/>
    <xf numFmtId="0" fontId="78" fillId="0" borderId="0">
      <alignment vertical="top"/>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9"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22" fillId="0" borderId="0"/>
    <xf numFmtId="0" fontId="1" fillId="0" borderId="0"/>
    <xf numFmtId="0" fontId="22" fillId="0" borderId="0"/>
    <xf numFmtId="0" fontId="22" fillId="0" borderId="0"/>
    <xf numFmtId="0" fontId="1" fillId="0" borderId="0"/>
    <xf numFmtId="0" fontId="22" fillId="0" borderId="0"/>
    <xf numFmtId="0" fontId="1"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1" fillId="0" borderId="0"/>
    <xf numFmtId="0" fontId="22"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1" fillId="0" borderId="0"/>
    <xf numFmtId="174" fontId="1" fillId="0" borderId="0"/>
    <xf numFmtId="174" fontId="1" fillId="0" borderId="0"/>
    <xf numFmtId="174"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0" fontId="1" fillId="0" borderId="0"/>
    <xf numFmtId="0" fontId="22" fillId="0" borderId="0"/>
    <xf numFmtId="0" fontId="1" fillId="0" borderId="0"/>
    <xf numFmtId="0" fontId="22"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9" fillId="0" borderId="0"/>
    <xf numFmtId="0" fontId="1" fillId="0" borderId="0"/>
    <xf numFmtId="0" fontId="79" fillId="0" borderId="0"/>
    <xf numFmtId="0" fontId="1" fillId="0" borderId="0"/>
    <xf numFmtId="0" fontId="1" fillId="0" borderId="0"/>
    <xf numFmtId="0" fontId="22" fillId="0" borderId="0"/>
    <xf numFmtId="0" fontId="22" fillId="0" borderId="0"/>
    <xf numFmtId="0" fontId="22" fillId="0" borderId="0"/>
    <xf numFmtId="183" fontId="9" fillId="0" borderId="0"/>
    <xf numFmtId="174" fontId="9" fillId="0" borderId="0"/>
    <xf numFmtId="174" fontId="1" fillId="0" borderId="0"/>
    <xf numFmtId="174" fontId="1" fillId="0" borderId="0"/>
    <xf numFmtId="174" fontId="1" fillId="0" borderId="0"/>
    <xf numFmtId="174" fontId="1" fillId="0" borderId="0"/>
    <xf numFmtId="174" fontId="9" fillId="0" borderId="0"/>
    <xf numFmtId="174" fontId="9" fillId="0" borderId="0"/>
    <xf numFmtId="174" fontId="9" fillId="0" borderId="0"/>
    <xf numFmtId="0" fontId="27" fillId="0" borderId="0"/>
    <xf numFmtId="0" fontId="1" fillId="0" borderId="0"/>
    <xf numFmtId="0" fontId="79" fillId="0" borderId="0"/>
    <xf numFmtId="0" fontId="1" fillId="0" borderId="0"/>
    <xf numFmtId="0" fontId="9" fillId="0" borderId="0"/>
    <xf numFmtId="0" fontId="1" fillId="0" borderId="0"/>
    <xf numFmtId="0" fontId="1" fillId="0" borderId="0"/>
    <xf numFmtId="0" fontId="22" fillId="0" borderId="0"/>
    <xf numFmtId="0" fontId="22" fillId="0" borderId="0"/>
    <xf numFmtId="0" fontId="22" fillId="0" borderId="0"/>
    <xf numFmtId="174" fontId="9" fillId="0" borderId="0"/>
    <xf numFmtId="174" fontId="9" fillId="0" borderId="0"/>
    <xf numFmtId="174" fontId="9" fillId="0" borderId="0"/>
    <xf numFmtId="174" fontId="9" fillId="0" borderId="0"/>
    <xf numFmtId="0" fontId="22" fillId="0" borderId="0"/>
    <xf numFmtId="0" fontId="9" fillId="0" borderId="0"/>
    <xf numFmtId="179" fontId="9" fillId="0" borderId="0"/>
    <xf numFmtId="0" fontId="22" fillId="0" borderId="0"/>
    <xf numFmtId="0" fontId="22" fillId="0" borderId="0"/>
    <xf numFmtId="174" fontId="9" fillId="0" borderId="0"/>
    <xf numFmtId="179" fontId="9" fillId="0" borderId="0"/>
    <xf numFmtId="0" fontId="9" fillId="0" borderId="0"/>
    <xf numFmtId="174" fontId="9" fillId="0" borderId="0"/>
    <xf numFmtId="0" fontId="9" fillId="0" borderId="0"/>
    <xf numFmtId="0" fontId="9" fillId="0" borderId="0"/>
    <xf numFmtId="0" fontId="22" fillId="0" borderId="0"/>
    <xf numFmtId="174" fontId="9" fillId="0" borderId="0"/>
    <xf numFmtId="174" fontId="22" fillId="0" borderId="0"/>
    <xf numFmtId="0" fontId="22" fillId="0" borderId="0"/>
    <xf numFmtId="0" fontId="22" fillId="0" borderId="0"/>
    <xf numFmtId="0" fontId="22" fillId="0" borderId="0"/>
    <xf numFmtId="0" fontId="22"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0"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0" fontId="9" fillId="0" borderId="0"/>
    <xf numFmtId="179" fontId="22" fillId="0" borderId="0"/>
    <xf numFmtId="179" fontId="22" fillId="0" borderId="0"/>
    <xf numFmtId="179" fontId="22" fillId="0" borderId="0"/>
    <xf numFmtId="179" fontId="22" fillId="0" borderId="0"/>
    <xf numFmtId="179" fontId="22" fillId="0" borderId="0"/>
    <xf numFmtId="179" fontId="22" fillId="0" borderId="0"/>
    <xf numFmtId="179" fontId="22" fillId="0" borderId="0"/>
    <xf numFmtId="179" fontId="22" fillId="0" borderId="0"/>
    <xf numFmtId="174" fontId="9" fillId="0" borderId="0"/>
    <xf numFmtId="179" fontId="22" fillId="0" borderId="0"/>
    <xf numFmtId="179" fontId="22" fillId="0" borderId="0"/>
    <xf numFmtId="179" fontId="22" fillId="0" borderId="0"/>
    <xf numFmtId="179" fontId="22" fillId="0" borderId="0"/>
    <xf numFmtId="179" fontId="22" fillId="0" borderId="0"/>
    <xf numFmtId="179" fontId="22" fillId="0" borderId="0"/>
    <xf numFmtId="183" fontId="22"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83" fontId="22"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174" fontId="9" fillId="0" borderId="0"/>
    <xf numFmtId="179" fontId="22" fillId="0" borderId="0"/>
    <xf numFmtId="179" fontId="22" fillId="0" borderId="0"/>
    <xf numFmtId="0" fontId="9" fillId="0" borderId="0"/>
    <xf numFmtId="0" fontId="22" fillId="0" borderId="0"/>
    <xf numFmtId="0" fontId="22" fillId="0" borderId="0"/>
    <xf numFmtId="174" fontId="9" fillId="0" borderId="0"/>
    <xf numFmtId="174" fontId="9" fillId="0" borderId="0"/>
    <xf numFmtId="179" fontId="22" fillId="0" borderId="0"/>
    <xf numFmtId="179" fontId="22" fillId="0" borderId="0"/>
    <xf numFmtId="174" fontId="9" fillId="0" borderId="0"/>
    <xf numFmtId="0" fontId="22" fillId="0" borderId="0"/>
    <xf numFmtId="0" fontId="22"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83" fontId="22"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74" fontId="9" fillId="0" borderId="0"/>
    <xf numFmtId="0" fontId="22" fillId="0" borderId="0"/>
    <xf numFmtId="0" fontId="22" fillId="0" borderId="0"/>
    <xf numFmtId="0" fontId="22" fillId="0" borderId="0"/>
    <xf numFmtId="0" fontId="22" fillId="0" borderId="0"/>
    <xf numFmtId="0" fontId="22" fillId="0" borderId="0"/>
    <xf numFmtId="0" fontId="22" fillId="0" borderId="0"/>
    <xf numFmtId="183" fontId="22" fillId="0" borderId="0"/>
    <xf numFmtId="0" fontId="22" fillId="0" borderId="0"/>
    <xf numFmtId="0" fontId="22" fillId="0" borderId="0"/>
    <xf numFmtId="0" fontId="22" fillId="0" borderId="0"/>
    <xf numFmtId="179" fontId="22" fillId="0" borderId="0"/>
    <xf numFmtId="179" fontId="22" fillId="0" borderId="0"/>
    <xf numFmtId="179" fontId="22" fillId="0" borderId="0"/>
    <xf numFmtId="0" fontId="22" fillId="0" borderId="0"/>
    <xf numFmtId="0" fontId="22" fillId="0" borderId="0"/>
    <xf numFmtId="0" fontId="22" fillId="0" borderId="0"/>
    <xf numFmtId="179" fontId="22" fillId="0" borderId="0"/>
    <xf numFmtId="179" fontId="22" fillId="0" borderId="0"/>
    <xf numFmtId="179" fontId="22" fillId="0" borderId="0"/>
    <xf numFmtId="0" fontId="22" fillId="0" borderId="0"/>
    <xf numFmtId="179" fontId="22" fillId="0" borderId="0"/>
    <xf numFmtId="183" fontId="22" fillId="0" borderId="0"/>
    <xf numFmtId="0" fontId="9" fillId="0" borderId="0" applyNumberFormat="0" applyFill="0" applyBorder="0" applyAlignment="0" applyProtection="0"/>
    <xf numFmtId="0" fontId="9" fillId="0" borderId="0" applyNumberFormat="0" applyFill="0" applyBorder="0" applyAlignment="0" applyProtection="0"/>
    <xf numFmtId="174" fontId="9" fillId="0" borderId="0"/>
    <xf numFmtId="179" fontId="22" fillId="0" borderId="0"/>
    <xf numFmtId="183" fontId="9" fillId="0" borderId="0"/>
    <xf numFmtId="183" fontId="22" fillId="0" borderId="0"/>
    <xf numFmtId="174" fontId="9" fillId="0" borderId="0"/>
    <xf numFmtId="0" fontId="22" fillId="0" borderId="0"/>
    <xf numFmtId="183" fontId="9" fillId="0" borderId="0"/>
    <xf numFmtId="0" fontId="9" fillId="0" borderId="0"/>
    <xf numFmtId="0" fontId="9" fillId="0" borderId="0"/>
    <xf numFmtId="179" fontId="22" fillId="0" borderId="0"/>
    <xf numFmtId="183" fontId="9" fillId="0" borderId="0"/>
    <xf numFmtId="174" fontId="9" fillId="0" borderId="0"/>
    <xf numFmtId="0" fontId="22" fillId="0" borderId="0"/>
    <xf numFmtId="0" fontId="22" fillId="0" borderId="0"/>
    <xf numFmtId="174" fontId="9" fillId="0" borderId="0"/>
    <xf numFmtId="174" fontId="9" fillId="0" borderId="0"/>
    <xf numFmtId="174" fontId="9" fillId="0" borderId="0"/>
    <xf numFmtId="0" fontId="22" fillId="0" borderId="0"/>
    <xf numFmtId="0" fontId="22" fillId="0" borderId="0"/>
    <xf numFmtId="0" fontId="22" fillId="0" borderId="0"/>
    <xf numFmtId="0" fontId="22" fillId="0" borderId="0"/>
    <xf numFmtId="0" fontId="9" fillId="0" borderId="0"/>
    <xf numFmtId="0" fontId="9" fillId="0" borderId="0"/>
    <xf numFmtId="0" fontId="9" fillId="0" borderId="0"/>
    <xf numFmtId="0" fontId="9" fillId="0" borderId="0"/>
    <xf numFmtId="0" fontId="9" fillId="0" borderId="0"/>
    <xf numFmtId="0" fontId="9" fillId="0" borderId="0"/>
    <xf numFmtId="0" fontId="2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2" fillId="0" borderId="0"/>
    <xf numFmtId="0" fontId="9" fillId="0" borderId="0"/>
    <xf numFmtId="0" fontId="22" fillId="0" borderId="0"/>
    <xf numFmtId="0" fontId="9" fillId="0" borderId="0"/>
    <xf numFmtId="0" fontId="9" fillId="0" borderId="0"/>
    <xf numFmtId="0" fontId="9" fillId="0" borderId="0"/>
    <xf numFmtId="0" fontId="22" fillId="0" borderId="0"/>
    <xf numFmtId="174" fontId="22" fillId="0" borderId="0"/>
    <xf numFmtId="0" fontId="9" fillId="0" borderId="0"/>
    <xf numFmtId="0" fontId="9" fillId="0" borderId="0"/>
    <xf numFmtId="0" fontId="9" fillId="0" borderId="0"/>
    <xf numFmtId="0" fontId="22" fillId="0" borderId="0"/>
    <xf numFmtId="0" fontId="22" fillId="0" borderId="0"/>
    <xf numFmtId="0" fontId="9" fillId="0" borderId="0"/>
    <xf numFmtId="0" fontId="78" fillId="0" borderId="0">
      <alignment vertical="top"/>
    </xf>
    <xf numFmtId="0" fontId="9" fillId="0" borderId="0"/>
    <xf numFmtId="0" fontId="9" fillId="0" borderId="0"/>
    <xf numFmtId="0" fontId="22" fillId="0" borderId="0"/>
    <xf numFmtId="0" fontId="22" fillId="0" borderId="0"/>
    <xf numFmtId="0" fontId="22" fillId="0" borderId="0"/>
    <xf numFmtId="0" fontId="22" fillId="0" borderId="0"/>
    <xf numFmtId="0" fontId="22" fillId="0" borderId="0"/>
    <xf numFmtId="0" fontId="9" fillId="0" borderId="0"/>
    <xf numFmtId="0" fontId="22" fillId="0" borderId="0"/>
    <xf numFmtId="0" fontId="9" fillId="0" borderId="0"/>
    <xf numFmtId="0" fontId="9" fillId="0" borderId="0"/>
    <xf numFmtId="0" fontId="22" fillId="0" borderId="0"/>
    <xf numFmtId="183" fontId="9" fillId="0" borderId="0"/>
    <xf numFmtId="0" fontId="22" fillId="0" borderId="0"/>
    <xf numFmtId="0" fontId="82" fillId="0" borderId="0"/>
    <xf numFmtId="0" fontId="22" fillId="0" borderId="0"/>
    <xf numFmtId="0" fontId="22" fillId="0" borderId="0"/>
    <xf numFmtId="0" fontId="22" fillId="0" borderId="0"/>
    <xf numFmtId="0" fontId="22" fillId="0" borderId="0"/>
    <xf numFmtId="0" fontId="22" fillId="0" borderId="0"/>
    <xf numFmtId="0" fontId="2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9" fillId="77" borderId="0"/>
    <xf numFmtId="0" fontId="2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2" fillId="0" borderId="0"/>
    <xf numFmtId="0" fontId="9" fillId="0" borderId="0"/>
    <xf numFmtId="0" fontId="9" fillId="0" borderId="0"/>
    <xf numFmtId="0" fontId="9" fillId="0" borderId="0"/>
    <xf numFmtId="0" fontId="22" fillId="0" borderId="0"/>
    <xf numFmtId="174" fontId="22" fillId="0" borderId="0"/>
    <xf numFmtId="0" fontId="9" fillId="0" borderId="0"/>
    <xf numFmtId="0" fontId="9" fillId="0" borderId="0"/>
    <xf numFmtId="0" fontId="9" fillId="0" borderId="0"/>
    <xf numFmtId="0" fontId="22" fillId="0" borderId="0"/>
    <xf numFmtId="0" fontId="22" fillId="0" borderId="0"/>
    <xf numFmtId="0" fontId="9" fillId="0" borderId="0"/>
    <xf numFmtId="0" fontId="9" fillId="0" borderId="0"/>
    <xf numFmtId="0" fontId="22" fillId="0" borderId="0"/>
    <xf numFmtId="0" fontId="22" fillId="0" borderId="0"/>
    <xf numFmtId="0" fontId="22" fillId="0" borderId="0"/>
    <xf numFmtId="0" fontId="22" fillId="0" borderId="0"/>
    <xf numFmtId="0" fontId="22" fillId="0" borderId="0"/>
    <xf numFmtId="0" fontId="9" fillId="0" borderId="0"/>
    <xf numFmtId="0" fontId="22" fillId="0" borderId="0"/>
    <xf numFmtId="0" fontId="9" fillId="0" borderId="0"/>
    <xf numFmtId="0" fontId="9" fillId="0" borderId="0"/>
    <xf numFmtId="0" fontId="22" fillId="0" borderId="0"/>
    <xf numFmtId="183" fontId="9" fillId="0" borderId="0"/>
    <xf numFmtId="0" fontId="22" fillId="0" borderId="0"/>
    <xf numFmtId="0" fontId="9" fillId="0" borderId="0"/>
    <xf numFmtId="0" fontId="22" fillId="0" borderId="0"/>
    <xf numFmtId="0" fontId="22" fillId="0" borderId="0"/>
    <xf numFmtId="0" fontId="22" fillId="0" borderId="0"/>
    <xf numFmtId="0" fontId="22" fillId="0" borderId="0"/>
    <xf numFmtId="0" fontId="22" fillId="0" borderId="0"/>
    <xf numFmtId="0" fontId="22" fillId="0" borderId="0"/>
    <xf numFmtId="174" fontId="9" fillId="0" borderId="0">
      <alignmen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2" fillId="0" borderId="0"/>
    <xf numFmtId="0" fontId="22" fillId="0" borderId="0"/>
    <xf numFmtId="0" fontId="22" fillId="0" borderId="0"/>
    <xf numFmtId="0" fontId="22" fillId="0" borderId="0"/>
    <xf numFmtId="0" fontId="22" fillId="0" borderId="0"/>
    <xf numFmtId="183" fontId="9" fillId="0" borderId="0"/>
    <xf numFmtId="0" fontId="9" fillId="0" borderId="0"/>
    <xf numFmtId="0" fontId="59" fillId="77" borderId="0"/>
    <xf numFmtId="0" fontId="22" fillId="0" borderId="0"/>
    <xf numFmtId="174" fontId="83" fillId="0" borderId="0">
      <alignment vertical="top"/>
    </xf>
    <xf numFmtId="174" fontId="22" fillId="0" borderId="0"/>
    <xf numFmtId="174" fontId="22" fillId="0" borderId="0"/>
    <xf numFmtId="174" fontId="22" fillId="0" borderId="0"/>
    <xf numFmtId="174" fontId="22" fillId="0" borderId="0"/>
    <xf numFmtId="174" fontId="83" fillId="0" borderId="0">
      <alignment vertical="top"/>
    </xf>
    <xf numFmtId="174" fontId="83" fillId="0" borderId="0">
      <alignment vertical="top"/>
    </xf>
    <xf numFmtId="174" fontId="83" fillId="0" borderId="0">
      <alignment vertical="top"/>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9" fillId="0" borderId="0"/>
    <xf numFmtId="0" fontId="9" fillId="0" borderId="0"/>
    <xf numFmtId="0" fontId="22" fillId="0" borderId="0"/>
    <xf numFmtId="174" fontId="101" fillId="0" borderId="0"/>
    <xf numFmtId="183" fontId="22" fillId="0" borderId="0"/>
    <xf numFmtId="0" fontId="22" fillId="0" borderId="0"/>
    <xf numFmtId="174" fontId="101" fillId="0" borderId="0"/>
    <xf numFmtId="174" fontId="101" fillId="0" borderId="0"/>
    <xf numFmtId="174" fontId="101" fillId="0" borderId="0"/>
    <xf numFmtId="174" fontId="101" fillId="0" borderId="0"/>
    <xf numFmtId="174" fontId="101" fillId="0" borderId="0"/>
    <xf numFmtId="183" fontId="22" fillId="0" borderId="0"/>
    <xf numFmtId="174" fontId="101" fillId="0" borderId="0"/>
    <xf numFmtId="0" fontId="22" fillId="0" borderId="0"/>
    <xf numFmtId="0" fontId="22" fillId="0" borderId="0"/>
    <xf numFmtId="174" fontId="101" fillId="0" borderId="0"/>
    <xf numFmtId="0" fontId="22" fillId="0" borderId="0"/>
    <xf numFmtId="0" fontId="22" fillId="0" borderId="0"/>
    <xf numFmtId="174" fontId="101" fillId="0" borderId="0"/>
    <xf numFmtId="0" fontId="22" fillId="0" borderId="0"/>
    <xf numFmtId="0" fontId="22" fillId="0" borderId="0"/>
    <xf numFmtId="0" fontId="22" fillId="0" borderId="0"/>
    <xf numFmtId="0" fontId="22" fillId="0" borderId="0"/>
    <xf numFmtId="183" fontId="22" fillId="0" borderId="0"/>
    <xf numFmtId="0" fontId="22" fillId="0" borderId="0"/>
    <xf numFmtId="0" fontId="22" fillId="0" borderId="0"/>
    <xf numFmtId="0" fontId="22" fillId="0" borderId="0"/>
    <xf numFmtId="183" fontId="22" fillId="0" borderId="0"/>
    <xf numFmtId="174" fontId="101" fillId="0" borderId="0"/>
    <xf numFmtId="0" fontId="22" fillId="0" borderId="0"/>
    <xf numFmtId="0" fontId="22" fillId="0" borderId="0"/>
    <xf numFmtId="0" fontId="22" fillId="0" borderId="0"/>
    <xf numFmtId="174" fontId="101" fillId="0" borderId="0"/>
    <xf numFmtId="0" fontId="22" fillId="0" borderId="0"/>
    <xf numFmtId="0" fontId="22" fillId="0" borderId="0"/>
    <xf numFmtId="174" fontId="101" fillId="0" borderId="0"/>
    <xf numFmtId="0" fontId="22" fillId="0" borderId="0"/>
    <xf numFmtId="0" fontId="22" fillId="0" borderId="0"/>
    <xf numFmtId="174" fontId="101" fillId="0" borderId="0"/>
    <xf numFmtId="174" fontId="101" fillId="0" borderId="0"/>
    <xf numFmtId="174" fontId="101"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0" fontId="9" fillId="0" borderId="0"/>
    <xf numFmtId="0" fontId="22" fillId="0" borderId="0"/>
    <xf numFmtId="0" fontId="22" fillId="0" borderId="0"/>
    <xf numFmtId="0" fontId="22" fillId="0" borderId="0"/>
    <xf numFmtId="183"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83" fontId="22" fillId="0" borderId="0"/>
    <xf numFmtId="174" fontId="9" fillId="0" borderId="0"/>
    <xf numFmtId="174" fontId="9" fillId="0" borderId="0"/>
    <xf numFmtId="174" fontId="9" fillId="0" borderId="0"/>
    <xf numFmtId="174" fontId="9" fillId="0" borderId="0"/>
    <xf numFmtId="183" fontId="22" fillId="0" borderId="0"/>
    <xf numFmtId="0" fontId="9" fillId="0" borderId="0"/>
    <xf numFmtId="0" fontId="82" fillId="0" borderId="0"/>
    <xf numFmtId="0" fontId="9" fillId="0" borderId="0"/>
    <xf numFmtId="0" fontId="22" fillId="0" borderId="0"/>
    <xf numFmtId="0" fontId="22" fillId="0" borderId="0"/>
    <xf numFmtId="183" fontId="22" fillId="0" borderId="0"/>
    <xf numFmtId="174" fontId="9" fillId="0" borderId="0"/>
    <xf numFmtId="0" fontId="22" fillId="0" borderId="0"/>
    <xf numFmtId="0" fontId="22" fillId="0" borderId="0"/>
    <xf numFmtId="0" fontId="22" fillId="0" borderId="0"/>
    <xf numFmtId="174" fontId="9" fillId="0" borderId="0"/>
    <xf numFmtId="0" fontId="22" fillId="0" borderId="0"/>
    <xf numFmtId="0" fontId="22" fillId="0" borderId="0"/>
    <xf numFmtId="174" fontId="9" fillId="0" borderId="0"/>
    <xf numFmtId="0" fontId="22" fillId="0" borderId="0"/>
    <xf numFmtId="0" fontId="22" fillId="0" borderId="0"/>
    <xf numFmtId="174" fontId="9" fillId="0" borderId="0"/>
    <xf numFmtId="174" fontId="9" fillId="0" borderId="0"/>
    <xf numFmtId="17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4" fontId="9" fillId="0" borderId="0"/>
    <xf numFmtId="174" fontId="9" fillId="0" borderId="0"/>
    <xf numFmtId="174" fontId="9" fillId="0" borderId="0"/>
    <xf numFmtId="174" fontId="9" fillId="0" borderId="0"/>
    <xf numFmtId="0" fontId="2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3" fontId="9" fillId="0" borderId="0"/>
    <xf numFmtId="0" fontId="79" fillId="0" borderId="0"/>
    <xf numFmtId="0" fontId="9" fillId="0" borderId="0"/>
    <xf numFmtId="0" fontId="9" fillId="0" borderId="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0" fontId="59" fillId="64" borderId="5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0" fontId="59" fillId="64" borderId="5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0" fontId="102" fillId="71"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0" fontId="102" fillId="71"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9" fontId="79"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4" fontId="59" fillId="76" borderId="57" applyNumberFormat="0" applyProtection="0">
      <alignment vertical="center"/>
    </xf>
    <xf numFmtId="4" fontId="59" fillId="76" borderId="57" applyNumberFormat="0" applyProtection="0">
      <alignment vertical="center"/>
    </xf>
    <xf numFmtId="4" fontId="105" fillId="79" borderId="57" applyNumberFormat="0" applyProtection="0">
      <alignment vertical="center"/>
    </xf>
    <xf numFmtId="4" fontId="105" fillId="79" borderId="57" applyNumberFormat="0" applyProtection="0">
      <alignment vertical="center"/>
    </xf>
    <xf numFmtId="4" fontId="59" fillId="79" borderId="57" applyNumberFormat="0" applyProtection="0">
      <alignment horizontal="left" vertical="center" indent="1"/>
    </xf>
    <xf numFmtId="4" fontId="59" fillId="79" borderId="57" applyNumberFormat="0" applyProtection="0">
      <alignment horizontal="left" vertical="center" indent="1"/>
    </xf>
    <xf numFmtId="0" fontId="106" fillId="76" borderId="69" applyNumberFormat="0" applyProtection="0">
      <alignment horizontal="left" vertical="top" indent="1"/>
    </xf>
    <xf numFmtId="0" fontId="106" fillId="76" borderId="69" applyNumberFormat="0" applyProtection="0">
      <alignment horizontal="left" vertical="top" indent="1"/>
    </xf>
    <xf numFmtId="4" fontId="59" fillId="43" borderId="57" applyNumberFormat="0" applyProtection="0">
      <alignment horizontal="left" vertical="center" indent="1"/>
    </xf>
    <xf numFmtId="4" fontId="107" fillId="80" borderId="0" applyNumberFormat="0" applyProtection="0">
      <alignment horizontal="left" vertical="center" indent="1"/>
    </xf>
    <xf numFmtId="4" fontId="59" fillId="43" borderId="57" applyNumberFormat="0" applyProtection="0">
      <alignment horizontal="left" vertical="center" indent="1"/>
    </xf>
    <xf numFmtId="4" fontId="59" fillId="32" borderId="57" applyNumberFormat="0" applyProtection="0">
      <alignment horizontal="right" vertical="center"/>
    </xf>
    <xf numFmtId="4" fontId="59" fillId="32" borderId="57" applyNumberFormat="0" applyProtection="0">
      <alignment horizontal="right" vertical="center"/>
    </xf>
    <xf numFmtId="4" fontId="59" fillId="81" borderId="57" applyNumberFormat="0" applyProtection="0">
      <alignment horizontal="right" vertical="center"/>
    </xf>
    <xf numFmtId="4" fontId="59" fillId="81" borderId="57" applyNumberFormat="0" applyProtection="0">
      <alignment horizontal="right" vertical="center"/>
    </xf>
    <xf numFmtId="4" fontId="59" fillId="53" borderId="41" applyNumberFormat="0" applyProtection="0">
      <alignment horizontal="right" vertical="center"/>
    </xf>
    <xf numFmtId="4" fontId="59" fillId="53" borderId="41" applyNumberFormat="0" applyProtection="0">
      <alignment horizontal="right" vertical="center"/>
    </xf>
    <xf numFmtId="4" fontId="59" fillId="40" borderId="57" applyNumberFormat="0" applyProtection="0">
      <alignment horizontal="right" vertical="center"/>
    </xf>
    <xf numFmtId="4" fontId="59" fillId="40" borderId="57" applyNumberFormat="0" applyProtection="0">
      <alignment horizontal="right" vertical="center"/>
    </xf>
    <xf numFmtId="4" fontId="59" fillId="44" borderId="57" applyNumberFormat="0" applyProtection="0">
      <alignment horizontal="right" vertical="center"/>
    </xf>
    <xf numFmtId="4" fontId="59" fillId="44" borderId="57" applyNumberFormat="0" applyProtection="0">
      <alignment horizontal="right" vertical="center"/>
    </xf>
    <xf numFmtId="4" fontId="59" fillId="67" borderId="57" applyNumberFormat="0" applyProtection="0">
      <alignment horizontal="right" vertical="center"/>
    </xf>
    <xf numFmtId="4" fontId="59" fillId="67" borderId="57" applyNumberFormat="0" applyProtection="0">
      <alignment horizontal="right" vertical="center"/>
    </xf>
    <xf numFmtId="4" fontId="59" fillId="58" borderId="57" applyNumberFormat="0" applyProtection="0">
      <alignment horizontal="right" vertical="center"/>
    </xf>
    <xf numFmtId="4" fontId="59" fillId="58" borderId="57" applyNumberFormat="0" applyProtection="0">
      <alignment horizontal="right" vertical="center"/>
    </xf>
    <xf numFmtId="4" fontId="59" fillId="82" borderId="57" applyNumberFormat="0" applyProtection="0">
      <alignment horizontal="right" vertical="center"/>
    </xf>
    <xf numFmtId="4" fontId="59" fillId="82" borderId="57" applyNumberFormat="0" applyProtection="0">
      <alignment horizontal="right" vertical="center"/>
    </xf>
    <xf numFmtId="4" fontId="59" fillId="39" borderId="57" applyNumberFormat="0" applyProtection="0">
      <alignment horizontal="right" vertical="center"/>
    </xf>
    <xf numFmtId="4" fontId="59" fillId="39" borderId="57" applyNumberFormat="0" applyProtection="0">
      <alignment horizontal="right" vertical="center"/>
    </xf>
    <xf numFmtId="4" fontId="59" fillId="83" borderId="41" applyNumberFormat="0" applyProtection="0">
      <alignment horizontal="left" vertical="center" indent="1"/>
    </xf>
    <xf numFmtId="4" fontId="59" fillId="83" borderId="41" applyNumberFormat="0" applyProtection="0">
      <alignment horizontal="left" vertical="center" indent="1"/>
    </xf>
    <xf numFmtId="4" fontId="9" fillId="84" borderId="41" applyNumberFormat="0" applyProtection="0">
      <alignment horizontal="left" vertical="center" indent="1"/>
    </xf>
    <xf numFmtId="4" fontId="9" fillId="84" borderId="41" applyNumberFormat="0" applyProtection="0">
      <alignment horizontal="left" vertical="center" indent="1"/>
    </xf>
    <xf numFmtId="4" fontId="9" fillId="84" borderId="41" applyNumberFormat="0" applyProtection="0">
      <alignment horizontal="left" vertical="center" indent="1"/>
    </xf>
    <xf numFmtId="4" fontId="9" fillId="84" borderId="41" applyNumberFormat="0" applyProtection="0">
      <alignment horizontal="left" vertical="center" indent="1"/>
    </xf>
    <xf numFmtId="4" fontId="59" fillId="80" borderId="57" applyNumberFormat="0" applyProtection="0">
      <alignment horizontal="right" vertical="center"/>
    </xf>
    <xf numFmtId="4" fontId="59" fillId="80" borderId="57" applyNumberFormat="0" applyProtection="0">
      <alignment horizontal="right" vertical="center"/>
    </xf>
    <xf numFmtId="4" fontId="59" fillId="85" borderId="41" applyNumberFormat="0" applyProtection="0">
      <alignment horizontal="left" vertical="center" indent="1"/>
    </xf>
    <xf numFmtId="4" fontId="59" fillId="85" borderId="41" applyNumberFormat="0" applyProtection="0">
      <alignment horizontal="left" vertical="center" indent="1"/>
    </xf>
    <xf numFmtId="4" fontId="59" fillId="80" borderId="41" applyNumberFormat="0" applyProtection="0">
      <alignment horizontal="left" vertical="center" indent="1"/>
    </xf>
    <xf numFmtId="4" fontId="59" fillId="80" borderId="41" applyNumberFormat="0" applyProtection="0">
      <alignment horizontal="left" vertical="center" indent="1"/>
    </xf>
    <xf numFmtId="0" fontId="59" fillId="70" borderId="57" applyNumberFormat="0" applyProtection="0">
      <alignment horizontal="left" vertical="center" indent="1"/>
    </xf>
    <xf numFmtId="0" fontId="59" fillId="70" borderId="57" applyNumberFormat="0" applyProtection="0">
      <alignment horizontal="left" vertical="center" indent="1"/>
    </xf>
    <xf numFmtId="0" fontId="59" fillId="84" borderId="69" applyNumberFormat="0" applyProtection="0">
      <alignment horizontal="left" vertical="top" indent="1"/>
    </xf>
    <xf numFmtId="0" fontId="59" fillId="84" borderId="69" applyNumberFormat="0" applyProtection="0">
      <alignment horizontal="left" vertical="top" indent="1"/>
    </xf>
    <xf numFmtId="0" fontId="59" fillId="86" borderId="57" applyNumberFormat="0" applyProtection="0">
      <alignment horizontal="left" vertical="center" indent="1"/>
    </xf>
    <xf numFmtId="0" fontId="59" fillId="86" borderId="57" applyNumberFormat="0" applyProtection="0">
      <alignment horizontal="left" vertical="center" indent="1"/>
    </xf>
    <xf numFmtId="0" fontId="59" fillId="80" borderId="69" applyNumberFormat="0" applyProtection="0">
      <alignment horizontal="left" vertical="top" indent="1"/>
    </xf>
    <xf numFmtId="0" fontId="59" fillId="80" borderId="69" applyNumberFormat="0" applyProtection="0">
      <alignment horizontal="left" vertical="top" indent="1"/>
    </xf>
    <xf numFmtId="0" fontId="59" fillId="37" borderId="57" applyNumberFormat="0" applyProtection="0">
      <alignment horizontal="left" vertical="center" indent="1"/>
    </xf>
    <xf numFmtId="0" fontId="59" fillId="37" borderId="57" applyNumberFormat="0" applyProtection="0">
      <alignment horizontal="left" vertical="center" indent="1"/>
    </xf>
    <xf numFmtId="0" fontId="59" fillId="37" borderId="69" applyNumberFormat="0" applyProtection="0">
      <alignment horizontal="left" vertical="top" indent="1"/>
    </xf>
    <xf numFmtId="0" fontId="59" fillId="37" borderId="69" applyNumberFormat="0" applyProtection="0">
      <alignment horizontal="left" vertical="top" indent="1"/>
    </xf>
    <xf numFmtId="0" fontId="59" fillId="85" borderId="57" applyNumberFormat="0" applyProtection="0">
      <alignment horizontal="left" vertical="center" indent="1"/>
    </xf>
    <xf numFmtId="0" fontId="59" fillId="85" borderId="57" applyNumberFormat="0" applyProtection="0">
      <alignment horizontal="left" vertical="center" indent="1"/>
    </xf>
    <xf numFmtId="0" fontId="59" fillId="85" borderId="69" applyNumberFormat="0" applyProtection="0">
      <alignment horizontal="left" vertical="top" indent="1"/>
    </xf>
    <xf numFmtId="0" fontId="59" fillId="85" borderId="69" applyNumberFormat="0" applyProtection="0">
      <alignment horizontal="left" vertical="top" indent="1"/>
    </xf>
    <xf numFmtId="0" fontId="59" fillId="87" borderId="70" applyNumberFormat="0">
      <protection locked="0"/>
    </xf>
    <xf numFmtId="0" fontId="59" fillId="87" borderId="70" applyNumberFormat="0">
      <protection locked="0"/>
    </xf>
    <xf numFmtId="0" fontId="108" fillId="84" borderId="71" applyBorder="0"/>
    <xf numFmtId="0" fontId="108" fillId="84" borderId="71" applyBorder="0"/>
    <xf numFmtId="4" fontId="109" fillId="78" borderId="69" applyNumberFormat="0" applyProtection="0">
      <alignment vertical="center"/>
    </xf>
    <xf numFmtId="4" fontId="109" fillId="78" borderId="69" applyNumberFormat="0" applyProtection="0">
      <alignment vertical="center"/>
    </xf>
    <xf numFmtId="4" fontId="105" fillId="88" borderId="1" applyNumberFormat="0" applyProtection="0">
      <alignment vertical="center"/>
    </xf>
    <xf numFmtId="4" fontId="105" fillId="88" borderId="1" applyNumberFormat="0" applyProtection="0">
      <alignment vertical="center"/>
    </xf>
    <xf numFmtId="4" fontId="109" fillId="70" borderId="69" applyNumberFormat="0" applyProtection="0">
      <alignment horizontal="left" vertical="center" indent="1"/>
    </xf>
    <xf numFmtId="4" fontId="109" fillId="70" borderId="69" applyNumberFormat="0" applyProtection="0">
      <alignment horizontal="left" vertical="center" indent="1"/>
    </xf>
    <xf numFmtId="0" fontId="109" fillId="78" borderId="69" applyNumberFormat="0" applyProtection="0">
      <alignment horizontal="left" vertical="top" indent="1"/>
    </xf>
    <xf numFmtId="0" fontId="109" fillId="78" borderId="69" applyNumberFormat="0" applyProtection="0">
      <alignment horizontal="left" vertical="top" indent="1"/>
    </xf>
    <xf numFmtId="4" fontId="59" fillId="0" borderId="57"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59" fillId="0" borderId="57" applyNumberFormat="0" applyProtection="0">
      <alignment horizontal="right" vertical="center"/>
    </xf>
    <xf numFmtId="4" fontId="105" fillId="69" borderId="57"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05" fillId="69" borderId="57" applyNumberFormat="0" applyProtection="0">
      <alignment horizontal="right" vertical="center"/>
    </xf>
    <xf numFmtId="4" fontId="59" fillId="43" borderId="57"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59" fillId="43" borderId="57" applyNumberFormat="0" applyProtection="0">
      <alignment horizontal="left" vertical="center" indent="1"/>
    </xf>
    <xf numFmtId="0" fontId="109" fillId="80" borderId="69" applyNumberFormat="0" applyProtection="0">
      <alignment horizontal="left" vertical="top" indent="1"/>
    </xf>
    <xf numFmtId="0" fontId="109" fillId="80" borderId="69" applyNumberFormat="0" applyProtection="0">
      <alignment horizontal="left" vertical="top" indent="1"/>
    </xf>
    <xf numFmtId="4" fontId="111" fillId="89" borderId="41" applyNumberFormat="0" applyProtection="0">
      <alignment horizontal="left" vertical="center" indent="1"/>
    </xf>
    <xf numFmtId="4" fontId="111" fillId="89" borderId="41" applyNumberFormat="0" applyProtection="0">
      <alignment horizontal="left" vertical="center" indent="1"/>
    </xf>
    <xf numFmtId="0" fontId="59" fillId="90" borderId="1"/>
    <xf numFmtId="0" fontId="59" fillId="90" borderId="1"/>
    <xf numFmtId="4" fontId="112" fillId="87" borderId="57" applyNumberFormat="0" applyProtection="0">
      <alignment horizontal="right" vertical="center"/>
    </xf>
    <xf numFmtId="4" fontId="112" fillId="87" borderId="57" applyNumberFormat="0" applyProtection="0">
      <alignment horizontal="right" vertical="center"/>
    </xf>
    <xf numFmtId="0" fontId="113" fillId="0" borderId="0" applyNumberFormat="0" applyFill="0" applyBorder="0" applyAlignment="0" applyProtection="0"/>
    <xf numFmtId="174" fontId="78" fillId="0" borderId="0">
      <alignment vertical="top"/>
    </xf>
    <xf numFmtId="174" fontId="78" fillId="0" borderId="0">
      <alignment vertical="top"/>
    </xf>
    <xf numFmtId="174" fontId="78" fillId="0" borderId="0">
      <alignment vertical="top"/>
    </xf>
    <xf numFmtId="174" fontId="78" fillId="0" borderId="0">
      <alignment vertical="top"/>
    </xf>
    <xf numFmtId="174" fontId="78" fillId="0" borderId="0">
      <alignment vertical="top"/>
    </xf>
    <xf numFmtId="174" fontId="78" fillId="0" borderId="0">
      <alignment vertical="top"/>
    </xf>
    <xf numFmtId="174" fontId="78" fillId="0" borderId="0">
      <alignment vertical="top"/>
    </xf>
    <xf numFmtId="174" fontId="78" fillId="0" borderId="0">
      <alignment vertical="top"/>
    </xf>
    <xf numFmtId="174" fontId="78" fillId="0" borderId="0">
      <alignment vertical="top"/>
    </xf>
    <xf numFmtId="174" fontId="78" fillId="0" borderId="0">
      <alignment vertical="top"/>
    </xf>
    <xf numFmtId="174" fontId="78" fillId="0" borderId="0">
      <alignment vertical="top"/>
    </xf>
    <xf numFmtId="174" fontId="78" fillId="0" borderId="0">
      <alignment vertical="top"/>
    </xf>
    <xf numFmtId="174" fontId="78" fillId="0" borderId="0">
      <alignment vertical="top"/>
    </xf>
    <xf numFmtId="174" fontId="78" fillId="0" borderId="0">
      <alignment vertical="top"/>
    </xf>
    <xf numFmtId="174" fontId="78" fillId="0" borderId="0">
      <alignment vertical="top"/>
    </xf>
    <xf numFmtId="174" fontId="78" fillId="0" borderId="0">
      <alignment vertical="top"/>
    </xf>
    <xf numFmtId="174" fontId="78" fillId="0" borderId="0">
      <alignment vertical="top"/>
    </xf>
    <xf numFmtId="174" fontId="78" fillId="0" borderId="0">
      <alignment vertical="top"/>
    </xf>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0" fontId="84" fillId="0" borderId="73"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0" fontId="84" fillId="0" borderId="73"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0" fontId="116"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0" fontId="9" fillId="78" borderId="0" applyNumberFormat="0" applyFont="0" applyBorder="0" applyAlignment="0" applyProtection="0"/>
    <xf numFmtId="0" fontId="9" fillId="0" borderId="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71" fillId="41" borderId="0" applyNumberFormat="0" applyBorder="0" applyAlignment="0" applyProtection="0"/>
    <xf numFmtId="0" fontId="71" fillId="38" borderId="0" applyNumberFormat="0" applyBorder="0" applyAlignment="0" applyProtection="0"/>
    <xf numFmtId="0" fontId="71" fillId="39" borderId="0" applyNumberFormat="0" applyBorder="0" applyAlignment="0" applyProtection="0"/>
    <xf numFmtId="0" fontId="71" fillId="42" borderId="0" applyNumberFormat="0" applyBorder="0" applyAlignment="0" applyProtection="0"/>
    <xf numFmtId="0" fontId="71" fillId="43" borderId="0" applyNumberFormat="0" applyBorder="0" applyAlignment="0" applyProtection="0"/>
    <xf numFmtId="0" fontId="71" fillId="44" borderId="0" applyNumberFormat="0" applyBorder="0" applyAlignment="0" applyProtection="0"/>
    <xf numFmtId="0" fontId="71" fillId="48" borderId="0" applyNumberFormat="0" applyBorder="0" applyAlignment="0" applyProtection="0"/>
    <xf numFmtId="0" fontId="71" fillId="53" borderId="0" applyNumberFormat="0" applyBorder="0" applyAlignment="0" applyProtection="0"/>
    <xf numFmtId="0" fontId="71" fillId="58" borderId="0" applyNumberFormat="0" applyBorder="0" applyAlignment="0" applyProtection="0"/>
    <xf numFmtId="0" fontId="71" fillId="42" borderId="0" applyNumberFormat="0" applyBorder="0" applyAlignment="0" applyProtection="0"/>
    <xf numFmtId="0" fontId="71" fillId="43" borderId="0" applyNumberFormat="0" applyBorder="0" applyAlignment="0" applyProtection="0"/>
    <xf numFmtId="0" fontId="71" fillId="67" borderId="0" applyNumberFormat="0" applyBorder="0" applyAlignment="0" applyProtection="0"/>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0" fontId="73" fillId="32" borderId="0" applyNumberFormat="0" applyBorder="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0" fontId="76" fillId="71" borderId="57" applyNumberFormat="0" applyAlignment="0" applyProtection="0"/>
    <xf numFmtId="174" fontId="75" fillId="70" borderId="56" applyNumberFormat="0" applyAlignment="0" applyProtection="0"/>
    <xf numFmtId="0"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0" fontId="77" fillId="72" borderId="58" applyNumberFormat="0" applyAlignment="0" applyProtection="0"/>
    <xf numFmtId="43" fontId="11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5" fillId="0" borderId="0" applyNumberFormat="0" applyFill="0" applyBorder="0" applyAlignment="0" applyProtection="0"/>
    <xf numFmtId="0" fontId="86" fillId="33" borderId="0" applyNumberFormat="0" applyBorder="0" applyAlignment="0" applyProtection="0"/>
    <xf numFmtId="0" fontId="87" fillId="0" borderId="59" applyNumberFormat="0" applyFill="0" applyAlignment="0" applyProtection="0"/>
    <xf numFmtId="0" fontId="89" fillId="0" borderId="61" applyNumberFormat="0" applyFill="0" applyAlignment="0" applyProtection="0"/>
    <xf numFmtId="0" fontId="91" fillId="0" borderId="63" applyNumberFormat="0" applyFill="0" applyAlignment="0" applyProtection="0"/>
    <xf numFmtId="0" fontId="91" fillId="0" borderId="0" applyNumberFormat="0" applyFill="0" applyBorder="0" applyAlignment="0" applyProtection="0"/>
    <xf numFmtId="0" fontId="23" fillId="0" borderId="0" applyNumberFormat="0" applyFill="0" applyBorder="0" applyAlignment="0" applyProtection="0">
      <alignment vertical="top"/>
      <protection locked="0"/>
    </xf>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0" fontId="98" fillId="65" borderId="57" applyNumberFormat="0" applyAlignment="0" applyProtection="0"/>
    <xf numFmtId="174" fontId="97" fillId="36" borderId="56" applyNumberFormat="0" applyAlignment="0" applyProtection="0"/>
    <xf numFmtId="0"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0" fontId="99" fillId="0" borderId="65" applyNumberFormat="0" applyFill="0" applyAlignment="0" applyProtection="0"/>
    <xf numFmtId="0" fontId="100" fillId="76" borderId="0" applyNumberFormat="0" applyBorder="0" applyAlignment="0" applyProtection="0"/>
    <xf numFmtId="0" fontId="1" fillId="0" borderId="0"/>
    <xf numFmtId="0" fontId="118" fillId="0" borderId="0"/>
    <xf numFmtId="0" fontId="118"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119" fillId="0" borderId="0"/>
    <xf numFmtId="0" fontId="1" fillId="0" borderId="0"/>
    <xf numFmtId="0" fontId="1" fillId="0" borderId="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0" fontId="59" fillId="64" borderId="57" applyNumberFormat="0" applyFont="0" applyAlignment="0" applyProtection="0"/>
    <xf numFmtId="174" fontId="9" fillId="78" borderId="67" applyNumberFormat="0" applyFont="0" applyAlignment="0" applyProtection="0"/>
    <xf numFmtId="0" fontId="1"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0"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0" fontId="102" fillId="71" borderId="68" applyNumberFormat="0" applyAlignment="0" applyProtection="0"/>
    <xf numFmtId="174" fontId="102" fillId="70" borderId="68" applyNumberFormat="0" applyAlignment="0" applyProtection="0"/>
    <xf numFmtId="0"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4" fontId="59" fillId="76" borderId="57" applyNumberFormat="0" applyProtection="0">
      <alignment vertical="center"/>
    </xf>
    <xf numFmtId="4" fontId="105" fillId="79" borderId="57" applyNumberFormat="0" applyProtection="0">
      <alignment vertical="center"/>
    </xf>
    <xf numFmtId="4" fontId="59" fillId="79" borderId="57" applyNumberFormat="0" applyProtection="0">
      <alignment horizontal="left" vertical="center" indent="1"/>
    </xf>
    <xf numFmtId="0" fontId="106" fillId="76" borderId="69" applyNumberFormat="0" applyProtection="0">
      <alignment horizontal="left" vertical="top" indent="1"/>
    </xf>
    <xf numFmtId="4" fontId="59" fillId="43" borderId="57" applyNumberFormat="0" applyProtection="0">
      <alignment horizontal="left" vertical="center" indent="1"/>
    </xf>
    <xf numFmtId="4" fontId="59" fillId="32" borderId="57" applyNumberFormat="0" applyProtection="0">
      <alignment horizontal="right" vertical="center"/>
    </xf>
    <xf numFmtId="4" fontId="59" fillId="81" borderId="57" applyNumberFormat="0" applyProtection="0">
      <alignment horizontal="right" vertical="center"/>
    </xf>
    <xf numFmtId="4" fontId="59" fillId="53" borderId="41" applyNumberFormat="0" applyProtection="0">
      <alignment horizontal="right" vertical="center"/>
    </xf>
    <xf numFmtId="4" fontId="59" fillId="40" borderId="57" applyNumberFormat="0" applyProtection="0">
      <alignment horizontal="right" vertical="center"/>
    </xf>
    <xf numFmtId="4" fontId="59" fillId="44" borderId="57" applyNumberFormat="0" applyProtection="0">
      <alignment horizontal="right" vertical="center"/>
    </xf>
    <xf numFmtId="4" fontId="59" fillId="67" borderId="57" applyNumberFormat="0" applyProtection="0">
      <alignment horizontal="right" vertical="center"/>
    </xf>
    <xf numFmtId="4" fontId="59" fillId="58" borderId="57" applyNumberFormat="0" applyProtection="0">
      <alignment horizontal="right" vertical="center"/>
    </xf>
    <xf numFmtId="4" fontId="59" fillId="82" borderId="57" applyNumberFormat="0" applyProtection="0">
      <alignment horizontal="right" vertical="center"/>
    </xf>
    <xf numFmtId="4" fontId="59" fillId="39" borderId="57" applyNumberFormat="0" applyProtection="0">
      <alignment horizontal="right" vertical="center"/>
    </xf>
    <xf numFmtId="4" fontId="59" fillId="83" borderId="41" applyNumberFormat="0" applyProtection="0">
      <alignment horizontal="left" vertical="center" indent="1"/>
    </xf>
    <xf numFmtId="4" fontId="9" fillId="84" borderId="41" applyNumberFormat="0" applyProtection="0">
      <alignment horizontal="left" vertical="center" indent="1"/>
    </xf>
    <xf numFmtId="4" fontId="9" fillId="84" borderId="41" applyNumberFormat="0" applyProtection="0">
      <alignment horizontal="left" vertical="center" indent="1"/>
    </xf>
    <xf numFmtId="4" fontId="59" fillId="80" borderId="57" applyNumberFormat="0" applyProtection="0">
      <alignment horizontal="right" vertical="center"/>
    </xf>
    <xf numFmtId="4" fontId="59" fillId="85" borderId="41" applyNumberFormat="0" applyProtection="0">
      <alignment horizontal="left" vertical="center" indent="1"/>
    </xf>
    <xf numFmtId="4" fontId="59" fillId="80" borderId="41" applyNumberFormat="0" applyProtection="0">
      <alignment horizontal="left" vertical="center" indent="1"/>
    </xf>
    <xf numFmtId="0" fontId="59" fillId="70" borderId="57" applyNumberFormat="0" applyProtection="0">
      <alignment horizontal="left" vertical="center" indent="1"/>
    </xf>
    <xf numFmtId="0" fontId="59" fillId="84" borderId="69" applyNumberFormat="0" applyProtection="0">
      <alignment horizontal="left" vertical="top" indent="1"/>
    </xf>
    <xf numFmtId="0" fontId="59" fillId="86" borderId="57" applyNumberFormat="0" applyProtection="0">
      <alignment horizontal="left" vertical="center" indent="1"/>
    </xf>
    <xf numFmtId="0" fontId="59" fillId="80" borderId="69" applyNumberFormat="0" applyProtection="0">
      <alignment horizontal="left" vertical="top" indent="1"/>
    </xf>
    <xf numFmtId="0" fontId="59" fillId="37" borderId="57" applyNumberFormat="0" applyProtection="0">
      <alignment horizontal="left" vertical="center" indent="1"/>
    </xf>
    <xf numFmtId="0" fontId="59" fillId="37" borderId="69" applyNumberFormat="0" applyProtection="0">
      <alignment horizontal="left" vertical="top" indent="1"/>
    </xf>
    <xf numFmtId="0" fontId="59" fillId="85" borderId="57" applyNumberFormat="0" applyProtection="0">
      <alignment horizontal="left" vertical="center" indent="1"/>
    </xf>
    <xf numFmtId="0" fontId="59" fillId="85" borderId="69" applyNumberFormat="0" applyProtection="0">
      <alignment horizontal="left" vertical="top" indent="1"/>
    </xf>
    <xf numFmtId="0" fontId="59" fillId="87" borderId="70" applyNumberFormat="0">
      <protection locked="0"/>
    </xf>
    <xf numFmtId="0" fontId="108" fillId="84" borderId="71" applyBorder="0"/>
    <xf numFmtId="4" fontId="109" fillId="78" borderId="69" applyNumberFormat="0" applyProtection="0">
      <alignment vertical="center"/>
    </xf>
    <xf numFmtId="4" fontId="105" fillId="88" borderId="75" applyNumberFormat="0" applyProtection="0">
      <alignment vertical="center"/>
    </xf>
    <xf numFmtId="4" fontId="109" fillId="70" borderId="69" applyNumberFormat="0" applyProtection="0">
      <alignment horizontal="left" vertical="center" indent="1"/>
    </xf>
    <xf numFmtId="0" fontId="109" fillId="78" borderId="69" applyNumberFormat="0" applyProtection="0">
      <alignment horizontal="left" vertical="top" indent="1"/>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59" fillId="0" borderId="57"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05" fillId="69" borderId="57" applyNumberFormat="0" applyProtection="0">
      <alignment horizontal="right" vertical="center"/>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59" fillId="43" borderId="57" applyNumberFormat="0" applyProtection="0">
      <alignment horizontal="left" vertical="center" indent="1"/>
    </xf>
    <xf numFmtId="0" fontId="109" fillId="80" borderId="69" applyNumberFormat="0" applyProtection="0">
      <alignment horizontal="left" vertical="top" indent="1"/>
    </xf>
    <xf numFmtId="4" fontId="111" fillId="89" borderId="41" applyNumberFormat="0" applyProtection="0">
      <alignment horizontal="left" vertical="center" indent="1"/>
    </xf>
    <xf numFmtId="0" fontId="59" fillId="90" borderId="75"/>
    <xf numFmtId="4" fontId="112" fillId="87" borderId="57" applyNumberFormat="0" applyProtection="0">
      <alignment horizontal="right" vertical="center"/>
    </xf>
    <xf numFmtId="0" fontId="114" fillId="0" borderId="0" applyNumberFormat="0" applyFill="0" applyBorder="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0" fontId="84" fillId="0" borderId="73" applyNumberFormat="0" applyFill="0" applyAlignment="0" applyProtection="0"/>
    <xf numFmtId="174" fontId="84" fillId="0" borderId="72" applyNumberFormat="0" applyFill="0" applyAlignment="0" applyProtection="0"/>
    <xf numFmtId="0"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0" fontId="115" fillId="0" borderId="0" applyNumberForma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22" fillId="0" borderId="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0" fontId="9" fillId="0" borderId="0"/>
    <xf numFmtId="0" fontId="9" fillId="0" borderId="0"/>
    <xf numFmtId="0" fontId="96" fillId="0" borderId="0" applyNumberFormat="0" applyFill="0" applyBorder="0" applyAlignment="0" applyProtection="0"/>
  </cellStyleXfs>
  <cellXfs count="3976">
    <xf numFmtId="0" fontId="0" fillId="0" borderId="0" xfId="0"/>
    <xf numFmtId="0" fontId="26" fillId="0" borderId="0" xfId="0" applyFont="1"/>
    <xf numFmtId="0" fontId="27" fillId="0" borderId="0" xfId="0" applyFont="1"/>
    <xf numFmtId="0" fontId="29" fillId="0" borderId="0" xfId="0" applyFont="1"/>
    <xf numFmtId="0" fontId="31" fillId="0" borderId="0" xfId="0" applyFont="1"/>
    <xf numFmtId="3" fontId="31" fillId="0" borderId="0" xfId="0" applyNumberFormat="1" applyFont="1"/>
    <xf numFmtId="0" fontId="33" fillId="0" borderId="0" xfId="0" applyFont="1"/>
    <xf numFmtId="0" fontId="33" fillId="0" borderId="0" xfId="0" applyFont="1" applyAlignment="1">
      <alignment horizontal="center" vertical="center"/>
    </xf>
    <xf numFmtId="0" fontId="33" fillId="0" borderId="0" xfId="0" applyFont="1" applyAlignment="1">
      <alignment horizontal="center"/>
    </xf>
    <xf numFmtId="43" fontId="0" fillId="0" borderId="0" xfId="0" applyNumberFormat="1"/>
    <xf numFmtId="3" fontId="0" fillId="0" borderId="0" xfId="0" applyNumberFormat="1"/>
    <xf numFmtId="0" fontId="34" fillId="0" borderId="0" xfId="0" applyFont="1"/>
    <xf numFmtId="0" fontId="35" fillId="0" borderId="0" xfId="0" applyFont="1"/>
    <xf numFmtId="165" fontId="29" fillId="0" borderId="0" xfId="1" applyNumberFormat="1" applyFont="1" applyFill="1" applyBorder="1" applyAlignment="1">
      <alignment horizontal="center"/>
    </xf>
    <xf numFmtId="165" fontId="0" fillId="0" borderId="0" xfId="0" applyNumberFormat="1"/>
    <xf numFmtId="0" fontId="24" fillId="0" borderId="0" xfId="0" applyFont="1"/>
    <xf numFmtId="10" fontId="0" fillId="0" borderId="0" xfId="0" applyNumberFormat="1"/>
    <xf numFmtId="2" fontId="22" fillId="0" borderId="0" xfId="1" applyNumberFormat="1" applyFont="1" applyFill="1"/>
    <xf numFmtId="4" fontId="27" fillId="0" borderId="2" xfId="1" applyNumberFormat="1" applyFont="1" applyFill="1" applyBorder="1"/>
    <xf numFmtId="10" fontId="22" fillId="0" borderId="0" xfId="1" applyNumberFormat="1" applyFont="1"/>
    <xf numFmtId="1" fontId="22" fillId="0" borderId="0" xfId="1" applyNumberFormat="1" applyFont="1"/>
    <xf numFmtId="1" fontId="22" fillId="0" borderId="0" xfId="1" applyNumberFormat="1" applyFont="1" applyFill="1"/>
    <xf numFmtId="1" fontId="22" fillId="0" borderId="0" xfId="1" applyNumberFormat="1" applyFont="1" applyBorder="1"/>
    <xf numFmtId="165" fontId="27" fillId="0" borderId="0" xfId="1" applyNumberFormat="1" applyFont="1" applyFill="1" applyBorder="1" applyAlignment="1">
      <alignment horizontal="center"/>
    </xf>
    <xf numFmtId="0" fontId="28" fillId="6" borderId="3" xfId="0" applyFont="1" applyFill="1" applyBorder="1"/>
    <xf numFmtId="0" fontId="28" fillId="6" borderId="4" xfId="0" applyFont="1" applyFill="1" applyBorder="1"/>
    <xf numFmtId="0" fontId="28" fillId="6" borderId="4" xfId="0" applyFont="1" applyFill="1" applyBorder="1" applyAlignment="1">
      <alignment horizontal="center"/>
    </xf>
    <xf numFmtId="0" fontId="28" fillId="4" borderId="5" xfId="0" applyFont="1" applyFill="1" applyBorder="1"/>
    <xf numFmtId="0" fontId="30" fillId="0" borderId="0" xfId="0" applyFont="1"/>
    <xf numFmtId="0" fontId="32" fillId="0" borderId="0" xfId="0" applyFont="1"/>
    <xf numFmtId="0" fontId="32" fillId="3" borderId="0" xfId="0" applyFont="1" applyFill="1"/>
    <xf numFmtId="0" fontId="33" fillId="3" borderId="0" xfId="0" applyFont="1" applyFill="1"/>
    <xf numFmtId="0" fontId="30" fillId="3" borderId="0" xfId="0" applyFont="1" applyFill="1"/>
    <xf numFmtId="0" fontId="28" fillId="2" borderId="3" xfId="0" applyFont="1" applyFill="1" applyBorder="1"/>
    <xf numFmtId="0" fontId="28" fillId="2" borderId="4" xfId="0" applyFont="1" applyFill="1" applyBorder="1"/>
    <xf numFmtId="0" fontId="28" fillId="2" borderId="4" xfId="0" applyFont="1" applyFill="1" applyBorder="1" applyAlignment="1">
      <alignment horizontal="center"/>
    </xf>
    <xf numFmtId="0" fontId="36" fillId="0" borderId="0" xfId="0" applyFont="1"/>
    <xf numFmtId="0" fontId="2" fillId="0" borderId="0" xfId="0" applyFont="1" applyAlignment="1">
      <alignment horizontal="left" vertical="center"/>
    </xf>
    <xf numFmtId="0" fontId="0" fillId="9" borderId="0" xfId="0" applyFill="1"/>
    <xf numFmtId="0" fontId="0" fillId="0" borderId="0" xfId="0" applyAlignment="1">
      <alignment vertical="center"/>
    </xf>
    <xf numFmtId="165" fontId="29" fillId="0" borderId="0" xfId="1" applyNumberFormat="1" applyFont="1" applyFill="1" applyBorder="1" applyAlignment="1">
      <alignment horizontal="left" vertical="center"/>
    </xf>
    <xf numFmtId="0" fontId="0" fillId="0" borderId="0" xfId="0" applyAlignment="1">
      <alignment horizontal="left" vertical="center"/>
    </xf>
    <xf numFmtId="0" fontId="28" fillId="0" borderId="0" xfId="0" applyFont="1"/>
    <xf numFmtId="0" fontId="0" fillId="0" borderId="0" xfId="0" applyAlignment="1">
      <alignment horizontal="center" vertical="center"/>
    </xf>
    <xf numFmtId="0" fontId="32" fillId="0" borderId="0" xfId="0" applyFont="1" applyAlignment="1">
      <alignment horizontal="left" vertical="center"/>
    </xf>
    <xf numFmtId="0" fontId="27" fillId="0" borderId="0" xfId="0" applyFont="1" applyAlignment="1">
      <alignment horizontal="center" vertical="center"/>
    </xf>
    <xf numFmtId="0" fontId="32" fillId="11" borderId="0" xfId="0" applyFont="1" applyFill="1" applyAlignment="1">
      <alignment horizontal="left" vertical="center"/>
    </xf>
    <xf numFmtId="165" fontId="22" fillId="11" borderId="0" xfId="1" applyNumberFormat="1" applyFont="1" applyFill="1" applyBorder="1"/>
    <xf numFmtId="165" fontId="22" fillId="12" borderId="0" xfId="1" applyNumberFormat="1" applyFont="1" applyFill="1" applyBorder="1"/>
    <xf numFmtId="165" fontId="22" fillId="0" borderId="0" xfId="1" applyNumberFormat="1" applyFont="1" applyBorder="1"/>
    <xf numFmtId="165" fontId="22" fillId="13" borderId="0" xfId="1" applyNumberFormat="1" applyFont="1" applyFill="1" applyBorder="1"/>
    <xf numFmtId="0" fontId="3"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left"/>
    </xf>
    <xf numFmtId="0" fontId="2" fillId="0" borderId="0" xfId="0" applyFont="1"/>
    <xf numFmtId="0" fontId="2" fillId="0" borderId="4" xfId="0" applyFont="1" applyBorder="1" applyAlignment="1">
      <alignment horizontal="center"/>
    </xf>
    <xf numFmtId="0" fontId="2" fillId="0" borderId="4" xfId="0" applyFont="1" applyBorder="1" applyAlignment="1">
      <alignment horizontal="center" vertical="center" wrapText="1"/>
    </xf>
    <xf numFmtId="0" fontId="4" fillId="0" borderId="0" xfId="0" applyFont="1" applyAlignment="1">
      <alignment horizontal="center" wrapText="1"/>
    </xf>
    <xf numFmtId="165" fontId="22" fillId="0" borderId="0" xfId="1" applyNumberFormat="1" applyFont="1"/>
    <xf numFmtId="0" fontId="4" fillId="9" borderId="0" xfId="0" applyFont="1" applyFill="1" applyAlignment="1">
      <alignment horizontal="center" wrapText="1"/>
    </xf>
    <xf numFmtId="0" fontId="2" fillId="0" borderId="4" xfId="0" applyFont="1" applyBorder="1"/>
    <xf numFmtId="0" fontId="2" fillId="0" borderId="0" xfId="0" applyFont="1" applyAlignment="1">
      <alignment horizontal="center"/>
    </xf>
    <xf numFmtId="0" fontId="8" fillId="0" borderId="0" xfId="0" applyFont="1" applyAlignment="1">
      <alignment vertical="center"/>
    </xf>
    <xf numFmtId="0" fontId="2" fillId="0" borderId="7" xfId="0" applyFont="1" applyBorder="1"/>
    <xf numFmtId="0" fontId="2" fillId="0" borderId="8" xfId="0" applyFont="1" applyBorder="1"/>
    <xf numFmtId="0" fontId="2" fillId="0" borderId="9" xfId="0" applyFont="1" applyBorder="1"/>
    <xf numFmtId="165" fontId="2" fillId="0" borderId="0" xfId="1" applyNumberFormat="1" applyFont="1"/>
    <xf numFmtId="0" fontId="3" fillId="0" borderId="0" xfId="0" applyFont="1"/>
    <xf numFmtId="0" fontId="0" fillId="15" borderId="0" xfId="0" applyFill="1"/>
    <xf numFmtId="0" fontId="7" fillId="0" borderId="0" xfId="0" applyFont="1" applyAlignment="1">
      <alignment horizontal="center" vertical="center"/>
    </xf>
    <xf numFmtId="165" fontId="28" fillId="2" borderId="24" xfId="1" applyNumberFormat="1" applyFont="1" applyFill="1" applyBorder="1"/>
    <xf numFmtId="165" fontId="22" fillId="16" borderId="0" xfId="1" applyNumberFormat="1" applyFont="1" applyFill="1"/>
    <xf numFmtId="0" fontId="0" fillId="16" borderId="0" xfId="0" applyFill="1"/>
    <xf numFmtId="0" fontId="27" fillId="16" borderId="0" xfId="0" applyFont="1" applyFill="1" applyAlignment="1">
      <alignment horizontal="center" vertical="center"/>
    </xf>
    <xf numFmtId="165" fontId="2" fillId="0" borderId="0" xfId="2" applyNumberFormat="1" applyFont="1" applyBorder="1"/>
    <xf numFmtId="0" fontId="10" fillId="0" borderId="0" xfId="0" applyFont="1" applyAlignment="1">
      <alignment horizontal="center"/>
    </xf>
    <xf numFmtId="0" fontId="10" fillId="0" borderId="0" xfId="0" applyFont="1" applyAlignment="1">
      <alignment horizontal="center" vertical="center"/>
    </xf>
    <xf numFmtId="165" fontId="2" fillId="0" borderId="0" xfId="0" applyNumberFormat="1" applyFont="1"/>
    <xf numFmtId="165" fontId="22" fillId="0" borderId="0" xfId="1" applyNumberFormat="1" applyFont="1" applyAlignment="1">
      <alignment vertical="center"/>
    </xf>
    <xf numFmtId="0" fontId="28" fillId="4" borderId="5" xfId="0" applyFont="1" applyFill="1" applyBorder="1" applyAlignment="1">
      <alignment vertical="center"/>
    </xf>
    <xf numFmtId="4" fontId="28" fillId="4" borderId="5" xfId="0" applyNumberFormat="1" applyFont="1" applyFill="1" applyBorder="1" applyAlignment="1">
      <alignment vertical="center"/>
    </xf>
    <xf numFmtId="165" fontId="22" fillId="0" borderId="0" xfId="1" applyNumberFormat="1" applyFont="1" applyFill="1"/>
    <xf numFmtId="0" fontId="11" fillId="0" borderId="0" xfId="0" applyFont="1" applyAlignment="1">
      <alignment vertical="center"/>
    </xf>
    <xf numFmtId="0" fontId="10" fillId="0" borderId="0" xfId="0" applyFont="1"/>
    <xf numFmtId="165" fontId="10" fillId="0" borderId="27" xfId="2" applyNumberFormat="1" applyFont="1" applyFill="1" applyBorder="1" applyAlignment="1">
      <alignment horizontal="center" vertical="center"/>
    </xf>
    <xf numFmtId="0" fontId="10" fillId="17" borderId="0" xfId="0" applyFont="1" applyFill="1" applyAlignment="1">
      <alignment horizontal="center" vertical="center"/>
    </xf>
    <xf numFmtId="165" fontId="10" fillId="17" borderId="27" xfId="2" applyNumberFormat="1" applyFont="1" applyFill="1" applyBorder="1" applyAlignment="1">
      <alignment horizontal="center" vertical="center"/>
    </xf>
    <xf numFmtId="0" fontId="28" fillId="2" borderId="5" xfId="0" applyFont="1" applyFill="1" applyBorder="1" applyAlignment="1">
      <alignment vertical="center"/>
    </xf>
    <xf numFmtId="4" fontId="28" fillId="2" borderId="5" xfId="0" applyNumberFormat="1" applyFont="1" applyFill="1" applyBorder="1" applyAlignment="1">
      <alignment vertical="center"/>
    </xf>
    <xf numFmtId="0" fontId="24" fillId="0" borderId="0" xfId="0" applyFont="1" applyAlignment="1">
      <alignment vertical="center"/>
    </xf>
    <xf numFmtId="165" fontId="2" fillId="0" borderId="0" xfId="1" applyNumberFormat="1" applyFont="1" applyBorder="1"/>
    <xf numFmtId="0" fontId="28" fillId="6" borderId="2" xfId="0" applyFont="1" applyFill="1" applyBorder="1" applyAlignment="1">
      <alignment horizontal="center"/>
    </xf>
    <xf numFmtId="0" fontId="0" fillId="0" borderId="5" xfId="0" applyBorder="1"/>
    <xf numFmtId="0" fontId="24" fillId="0" borderId="0" xfId="0" applyFont="1" applyAlignment="1">
      <alignment horizontal="center"/>
    </xf>
    <xf numFmtId="0" fontId="24" fillId="13" borderId="0" xfId="0" applyFont="1" applyFill="1" applyAlignment="1">
      <alignment horizontal="center"/>
    </xf>
    <xf numFmtId="0" fontId="7" fillId="13" borderId="0" xfId="0" applyFont="1" applyFill="1" applyAlignment="1">
      <alignment horizontal="center" vertical="center" wrapText="1"/>
    </xf>
    <xf numFmtId="165" fontId="7" fillId="13" borderId="0" xfId="1" applyNumberFormat="1" applyFont="1" applyFill="1" applyBorder="1" applyAlignment="1">
      <alignment vertical="center"/>
    </xf>
    <xf numFmtId="165" fontId="27" fillId="13" borderId="0" xfId="1" applyNumberFormat="1" applyFont="1" applyFill="1" applyBorder="1" applyAlignment="1">
      <alignment horizontal="center" vertical="center"/>
    </xf>
    <xf numFmtId="165" fontId="27" fillId="16" borderId="0" xfId="1" applyNumberFormat="1" applyFont="1" applyFill="1" applyBorder="1" applyAlignment="1">
      <alignment horizontal="center" vertical="center"/>
    </xf>
    <xf numFmtId="43" fontId="22" fillId="0" borderId="0" xfId="1" applyFont="1"/>
    <xf numFmtId="4" fontId="28" fillId="4" borderId="4" xfId="0" applyNumberFormat="1" applyFont="1" applyFill="1" applyBorder="1" applyAlignment="1">
      <alignment vertical="center"/>
    </xf>
    <xf numFmtId="0" fontId="28" fillId="2" borderId="3" xfId="0" applyFont="1" applyFill="1" applyBorder="1" applyAlignment="1">
      <alignment horizontal="center"/>
    </xf>
    <xf numFmtId="165" fontId="10" fillId="0" borderId="0" xfId="2" applyNumberFormat="1" applyFont="1" applyFill="1" applyBorder="1" applyAlignment="1">
      <alignment horizontal="center" vertical="center"/>
    </xf>
    <xf numFmtId="165" fontId="27" fillId="0" borderId="0" xfId="1" applyNumberFormat="1" applyFont="1" applyFill="1" applyBorder="1" applyAlignment="1">
      <alignment horizontal="center" vertical="center"/>
    </xf>
    <xf numFmtId="0" fontId="25" fillId="16" borderId="0" xfId="0" applyFont="1" applyFill="1"/>
    <xf numFmtId="165" fontId="10" fillId="17" borderId="27" xfId="1" applyNumberFormat="1" applyFont="1" applyFill="1" applyBorder="1" applyAlignment="1">
      <alignment horizontal="center" vertical="center"/>
    </xf>
    <xf numFmtId="170" fontId="22" fillId="0" borderId="0" xfId="1" applyNumberFormat="1" applyFont="1" applyAlignment="1">
      <alignment horizontal="center" vertical="center"/>
    </xf>
    <xf numFmtId="165" fontId="37" fillId="0" borderId="0" xfId="1" applyNumberFormat="1" applyFont="1" applyFill="1" applyBorder="1" applyAlignment="1">
      <alignment horizontal="center" vertical="center"/>
    </xf>
    <xf numFmtId="165" fontId="0" fillId="15" borderId="0" xfId="0" applyNumberFormat="1" applyFill="1"/>
    <xf numFmtId="165" fontId="2" fillId="0" borderId="0" xfId="1" applyNumberFormat="1" applyFont="1" applyFill="1" applyBorder="1"/>
    <xf numFmtId="165" fontId="22" fillId="0" borderId="2" xfId="1" applyNumberFormat="1" applyFont="1" applyFill="1" applyBorder="1"/>
    <xf numFmtId="2" fontId="22" fillId="0" borderId="0" xfId="1" applyNumberFormat="1" applyFont="1"/>
    <xf numFmtId="4" fontId="27" fillId="0" borderId="0" xfId="1" applyNumberFormat="1" applyFont="1" applyFill="1" applyBorder="1"/>
    <xf numFmtId="0" fontId="0" fillId="0" borderId="0" xfId="0" applyAlignment="1">
      <alignment horizontal="center" vertical="center" wrapText="1"/>
    </xf>
    <xf numFmtId="10" fontId="22" fillId="0" borderId="0" xfId="10" applyNumberFormat="1" applyFont="1"/>
    <xf numFmtId="0" fontId="0" fillId="0" borderId="2" xfId="0" applyBorder="1" applyAlignment="1">
      <alignment horizontal="center" vertical="center" wrapText="1"/>
    </xf>
    <xf numFmtId="0" fontId="2" fillId="0" borderId="0" xfId="0" applyFont="1" applyAlignment="1">
      <alignment horizontal="center" vertical="center" wrapText="1"/>
    </xf>
    <xf numFmtId="0" fontId="2" fillId="15" borderId="9" xfId="0" applyFont="1" applyFill="1" applyBorder="1"/>
    <xf numFmtId="0" fontId="0" fillId="12" borderId="0" xfId="0" applyFill="1"/>
    <xf numFmtId="0" fontId="41" fillId="0" borderId="0" xfId="0" applyFont="1"/>
    <xf numFmtId="43" fontId="22" fillId="12" borderId="0" xfId="1" applyFont="1" applyFill="1"/>
    <xf numFmtId="43" fontId="22" fillId="0" borderId="0" xfId="1" applyFont="1" applyFill="1"/>
    <xf numFmtId="0" fontId="42" fillId="0" borderId="0" xfId="0" applyFont="1"/>
    <xf numFmtId="0" fontId="0" fillId="0" borderId="6" xfId="0" applyBorder="1"/>
    <xf numFmtId="0" fontId="24" fillId="17" borderId="0" xfId="0" applyFont="1" applyFill="1"/>
    <xf numFmtId="43" fontId="24" fillId="0" borderId="0" xfId="1" applyFont="1"/>
    <xf numFmtId="0" fontId="42" fillId="17" borderId="0" xfId="0" applyFont="1" applyFill="1"/>
    <xf numFmtId="0" fontId="0" fillId="17" borderId="0" xfId="0" applyFill="1"/>
    <xf numFmtId="165" fontId="22" fillId="12" borderId="0" xfId="1" applyNumberFormat="1" applyFont="1" applyFill="1"/>
    <xf numFmtId="43" fontId="24" fillId="18" borderId="0" xfId="1" applyFont="1" applyFill="1" applyAlignment="1">
      <alignment horizontal="center"/>
    </xf>
    <xf numFmtId="43" fontId="22" fillId="18" borderId="0" xfId="1" applyFont="1" applyFill="1"/>
    <xf numFmtId="165" fontId="22" fillId="18" borderId="0" xfId="1" applyNumberFormat="1" applyFont="1" applyFill="1"/>
    <xf numFmtId="3" fontId="22" fillId="18" borderId="0" xfId="1" applyNumberFormat="1" applyFont="1" applyFill="1"/>
    <xf numFmtId="43" fontId="24" fillId="18" borderId="0" xfId="1" applyFont="1" applyFill="1"/>
    <xf numFmtId="2" fontId="24" fillId="18" borderId="0" xfId="0" applyNumberFormat="1" applyFont="1" applyFill="1"/>
    <xf numFmtId="10" fontId="24" fillId="18" borderId="0" xfId="10" applyNumberFormat="1" applyFont="1" applyFill="1"/>
    <xf numFmtId="0" fontId="0" fillId="18" borderId="0" xfId="0" applyFill="1"/>
    <xf numFmtId="43" fontId="24" fillId="19" borderId="0" xfId="1" applyFont="1" applyFill="1" applyAlignment="1">
      <alignment horizontal="center"/>
    </xf>
    <xf numFmtId="43" fontId="22" fillId="19" borderId="0" xfId="1" applyFont="1" applyFill="1"/>
    <xf numFmtId="165" fontId="22" fillId="19" borderId="0" xfId="1" applyNumberFormat="1" applyFont="1" applyFill="1"/>
    <xf numFmtId="43" fontId="22" fillId="19" borderId="0" xfId="1" applyFont="1" applyFill="1" applyAlignment="1">
      <alignment horizontal="center" vertical="center"/>
    </xf>
    <xf numFmtId="3" fontId="0" fillId="19" borderId="0" xfId="0" applyNumberFormat="1" applyFill="1"/>
    <xf numFmtId="3" fontId="22" fillId="19" borderId="0" xfId="1" applyNumberFormat="1" applyFont="1" applyFill="1"/>
    <xf numFmtId="43" fontId="24" fillId="19" borderId="0" xfId="1" applyFont="1" applyFill="1"/>
    <xf numFmtId="2" fontId="24" fillId="19" borderId="0" xfId="0" applyNumberFormat="1" applyFont="1" applyFill="1"/>
    <xf numFmtId="10" fontId="24" fillId="19" borderId="0" xfId="10" applyNumberFormat="1" applyFont="1" applyFill="1"/>
    <xf numFmtId="0" fontId="0" fillId="19" borderId="0" xfId="0" applyFill="1"/>
    <xf numFmtId="2" fontId="22" fillId="18" borderId="0" xfId="1" applyNumberFormat="1" applyFont="1" applyFill="1"/>
    <xf numFmtId="0" fontId="0" fillId="15" borderId="0" xfId="0" applyFill="1" applyAlignment="1">
      <alignment horizontal="center" vertical="center"/>
    </xf>
    <xf numFmtId="0" fontId="23" fillId="0" borderId="0" xfId="9" quotePrefix="1" applyAlignment="1" applyProtection="1">
      <alignment vertical="center"/>
    </xf>
    <xf numFmtId="0" fontId="23" fillId="0" borderId="0" xfId="9" quotePrefix="1" applyAlignment="1" applyProtection="1"/>
    <xf numFmtId="43" fontId="31" fillId="0" borderId="0" xfId="1" applyFont="1"/>
    <xf numFmtId="43" fontId="22" fillId="0" borderId="0" xfId="1" applyFont="1" applyAlignment="1">
      <alignment horizontal="center" vertical="center"/>
    </xf>
    <xf numFmtId="43" fontId="22" fillId="0" borderId="0" xfId="1" applyFont="1" applyBorder="1"/>
    <xf numFmtId="165" fontId="7" fillId="17" borderId="0" xfId="2" applyNumberFormat="1" applyFont="1" applyFill="1" applyBorder="1" applyAlignment="1">
      <alignment horizontal="center" vertical="center"/>
    </xf>
    <xf numFmtId="0" fontId="7" fillId="17" borderId="0" xfId="0" applyFont="1" applyFill="1" applyAlignment="1">
      <alignment vertical="center"/>
    </xf>
    <xf numFmtId="37" fontId="0" fillId="0" borderId="0" xfId="0" applyNumberFormat="1"/>
    <xf numFmtId="165" fontId="22" fillId="0" borderId="0" xfId="1" applyNumberFormat="1" applyFont="1" applyFill="1" applyBorder="1"/>
    <xf numFmtId="0" fontId="0" fillId="0" borderId="16" xfId="0" applyBorder="1" applyAlignment="1">
      <alignment horizontal="left" vertical="center" wrapText="1"/>
    </xf>
    <xf numFmtId="43" fontId="22" fillId="0" borderId="14" xfId="1" applyFont="1" applyBorder="1" applyAlignment="1">
      <alignment horizontal="left" vertical="center" wrapText="1"/>
    </xf>
    <xf numFmtId="0" fontId="0" fillId="0" borderId="13" xfId="0" applyBorder="1" applyAlignment="1">
      <alignment horizontal="center" vertical="center" wrapText="1"/>
    </xf>
    <xf numFmtId="165" fontId="22" fillId="0" borderId="14" xfId="1" applyNumberFormat="1" applyFont="1" applyBorder="1" applyAlignment="1">
      <alignment horizontal="left" vertical="center" wrapText="1"/>
    </xf>
    <xf numFmtId="0" fontId="24" fillId="0" borderId="16" xfId="0" applyFont="1" applyBorder="1" applyAlignment="1">
      <alignment horizontal="center" vertical="center" wrapText="1"/>
    </xf>
    <xf numFmtId="0" fontId="24" fillId="0" borderId="14" xfId="0" applyFont="1" applyBorder="1" applyAlignment="1">
      <alignment horizontal="center" vertical="center" wrapText="1"/>
    </xf>
    <xf numFmtId="0" fontId="35" fillId="15" borderId="0" xfId="0" applyFont="1" applyFill="1"/>
    <xf numFmtId="0" fontId="28" fillId="15" borderId="3" xfId="0" applyFont="1" applyFill="1" applyBorder="1"/>
    <xf numFmtId="0" fontId="44" fillId="15" borderId="0" xfId="0" applyFont="1" applyFill="1"/>
    <xf numFmtId="0" fontId="28" fillId="0" borderId="5" xfId="0" applyFont="1" applyBorder="1" applyAlignment="1">
      <alignment horizontal="center"/>
    </xf>
    <xf numFmtId="0" fontId="24" fillId="0" borderId="4" xfId="0" applyFont="1" applyBorder="1" applyAlignment="1">
      <alignment horizontal="center"/>
    </xf>
    <xf numFmtId="0" fontId="28" fillId="0" borderId="3" xfId="0" applyFont="1" applyBorder="1"/>
    <xf numFmtId="0" fontId="28" fillId="0" borderId="4" xfId="0" applyFont="1" applyBorder="1"/>
    <xf numFmtId="0" fontId="28" fillId="0" borderId="4" xfId="0" applyFont="1" applyBorder="1" applyAlignment="1">
      <alignment horizontal="center"/>
    </xf>
    <xf numFmtId="0" fontId="46" fillId="15" borderId="0" xfId="0" applyFont="1" applyFill="1"/>
    <xf numFmtId="0" fontId="48" fillId="15" borderId="0" xfId="0" applyFont="1" applyFill="1" applyAlignment="1">
      <alignment horizontal="left" indent="1"/>
    </xf>
    <xf numFmtId="0" fontId="18" fillId="15" borderId="0" xfId="0" applyFont="1" applyFill="1" applyAlignment="1">
      <alignment horizontal="left"/>
    </xf>
    <xf numFmtId="0" fontId="44" fillId="0" borderId="0" xfId="0" applyFont="1"/>
    <xf numFmtId="0" fontId="28" fillId="2" borderId="0" xfId="0" applyFont="1" applyFill="1" applyAlignment="1">
      <alignment horizontal="center" vertical="center"/>
    </xf>
    <xf numFmtId="0" fontId="2" fillId="0" borderId="9" xfId="0" applyFont="1" applyBorder="1" applyAlignment="1">
      <alignment wrapText="1"/>
    </xf>
    <xf numFmtId="43" fontId="2" fillId="0" borderId="0" xfId="2" applyFont="1" applyBorder="1"/>
    <xf numFmtId="165" fontId="2" fillId="0" borderId="0" xfId="2" applyNumberFormat="1" applyFont="1" applyFill="1" applyBorder="1"/>
    <xf numFmtId="1" fontId="2" fillId="0" borderId="0" xfId="0" applyNumberFormat="1" applyFont="1"/>
    <xf numFmtId="1" fontId="2" fillId="0" borderId="0" xfId="2" applyNumberFormat="1" applyFont="1" applyFill="1" applyBorder="1"/>
    <xf numFmtId="43" fontId="2" fillId="0" borderId="0" xfId="1" applyFont="1" applyFill="1" applyBorder="1"/>
    <xf numFmtId="43" fontId="2" fillId="0" borderId="0" xfId="2" applyFont="1" applyFill="1" applyBorder="1"/>
    <xf numFmtId="167" fontId="2" fillId="0" borderId="0" xfId="2" applyNumberFormat="1" applyFont="1" applyFill="1" applyBorder="1"/>
    <xf numFmtId="0" fontId="22" fillId="0" borderId="0" xfId="1" applyNumberFormat="1" applyFont="1"/>
    <xf numFmtId="165" fontId="0" fillId="0" borderId="0" xfId="1" applyNumberFormat="1" applyFont="1"/>
    <xf numFmtId="10" fontId="24" fillId="0" borderId="0" xfId="0" applyNumberFormat="1" applyFont="1"/>
    <xf numFmtId="2" fontId="24" fillId="0" borderId="0" xfId="1" applyNumberFormat="1" applyFont="1"/>
    <xf numFmtId="0" fontId="26" fillId="5" borderId="19" xfId="0" applyFont="1" applyFill="1" applyBorder="1" applyAlignment="1">
      <alignment vertical="center" wrapText="1"/>
    </xf>
    <xf numFmtId="0" fontId="26" fillId="5" borderId="0" xfId="0" applyFont="1" applyFill="1" applyAlignment="1">
      <alignment vertical="center" wrapText="1"/>
    </xf>
    <xf numFmtId="0" fontId="11" fillId="0" borderId="0" xfId="0" applyFont="1" applyAlignment="1">
      <alignment horizontal="left" vertical="center"/>
    </xf>
    <xf numFmtId="0" fontId="10" fillId="0" borderId="0" xfId="0" applyFont="1" applyAlignment="1">
      <alignment horizontal="left" vertical="center"/>
    </xf>
    <xf numFmtId="165" fontId="0" fillId="0" borderId="0" xfId="1" applyNumberFormat="1" applyFont="1" applyFill="1"/>
    <xf numFmtId="165" fontId="35" fillId="0" borderId="0" xfId="0" applyNumberFormat="1" applyFont="1"/>
    <xf numFmtId="0" fontId="24" fillId="0" borderId="0" xfId="0" applyFont="1" applyAlignment="1">
      <alignment horizontal="center" vertical="center"/>
    </xf>
    <xf numFmtId="0" fontId="2" fillId="0" borderId="0" xfId="0" applyFont="1" applyAlignment="1">
      <alignment horizontal="center" vertical="center"/>
    </xf>
    <xf numFmtId="165" fontId="0" fillId="0" borderId="0" xfId="0" applyNumberFormat="1" applyAlignment="1">
      <alignment vertical="center"/>
    </xf>
    <xf numFmtId="0" fontId="48" fillId="0" borderId="3" xfId="0" applyFont="1" applyBorder="1"/>
    <xf numFmtId="0" fontId="47" fillId="0" borderId="0" xfId="0" applyFont="1" applyAlignment="1">
      <alignment horizontal="left" indent="1"/>
    </xf>
    <xf numFmtId="0" fontId="48" fillId="0" borderId="0" xfId="0" applyFont="1" applyAlignment="1">
      <alignment horizontal="left" indent="1"/>
    </xf>
    <xf numFmtId="0" fontId="45" fillId="0" borderId="0" xfId="0" applyFont="1"/>
    <xf numFmtId="0" fontId="23" fillId="0" borderId="0" xfId="9" quotePrefix="1" applyFill="1" applyAlignment="1" applyProtection="1"/>
    <xf numFmtId="0" fontId="26" fillId="0" borderId="6" xfId="0" applyFont="1" applyBorder="1" applyAlignment="1">
      <alignment vertical="center"/>
    </xf>
    <xf numFmtId="0" fontId="46" fillId="0" borderId="0" xfId="0" applyFont="1"/>
    <xf numFmtId="0" fontId="50" fillId="0" borderId="0" xfId="0" applyFont="1"/>
    <xf numFmtId="165" fontId="27" fillId="0" borderId="4" xfId="1" applyNumberFormat="1" applyFont="1" applyFill="1" applyBorder="1" applyAlignment="1">
      <alignment horizontal="center" vertical="center"/>
    </xf>
    <xf numFmtId="165" fontId="2" fillId="16" borderId="0" xfId="0" applyNumberFormat="1" applyFont="1" applyFill="1"/>
    <xf numFmtId="0" fontId="18" fillId="0" borderId="0" xfId="0" applyFont="1" applyAlignment="1">
      <alignment horizontal="left"/>
    </xf>
    <xf numFmtId="0" fontId="2" fillId="9" borderId="4" xfId="0" applyFont="1" applyFill="1" applyBorder="1" applyAlignment="1">
      <alignment horizontal="center" vertical="center" wrapText="1"/>
    </xf>
    <xf numFmtId="0" fontId="2" fillId="9" borderId="4" xfId="0" applyFont="1" applyFill="1" applyBorder="1" applyAlignment="1">
      <alignment horizontal="center"/>
    </xf>
    <xf numFmtId="0" fontId="48" fillId="0" borderId="0" xfId="0" applyFont="1" applyAlignment="1">
      <alignment horizontal="left" vertical="top" wrapText="1"/>
    </xf>
    <xf numFmtId="0" fontId="18" fillId="0" borderId="0" xfId="0" applyFont="1" applyAlignment="1">
      <alignment horizontal="left" vertical="top" wrapText="1"/>
    </xf>
    <xf numFmtId="0" fontId="44" fillId="0" borderId="0" xfId="0" applyFont="1" applyAlignment="1">
      <alignment horizontal="left" vertical="center" wrapText="1"/>
    </xf>
    <xf numFmtId="0" fontId="26" fillId="0" borderId="0" xfId="0" applyFont="1" applyAlignment="1">
      <alignment horizontal="center" vertical="center"/>
    </xf>
    <xf numFmtId="0" fontId="32" fillId="0" borderId="0" xfId="0" applyFont="1" applyAlignment="1">
      <alignment horizontal="left"/>
    </xf>
    <xf numFmtId="0" fontId="32" fillId="0" borderId="4" xfId="0" applyFont="1" applyBorder="1" applyAlignment="1">
      <alignment horizontal="center" vertical="center"/>
    </xf>
    <xf numFmtId="0" fontId="43" fillId="0" borderId="0" xfId="9" quotePrefix="1" applyFont="1" applyFill="1" applyAlignment="1" applyProtection="1"/>
    <xf numFmtId="0" fontId="26" fillId="0" borderId="0" xfId="0" applyFont="1" applyAlignment="1">
      <alignment horizontal="left" vertical="center"/>
    </xf>
    <xf numFmtId="2" fontId="26" fillId="0" borderId="0" xfId="0" applyNumberFormat="1" applyFont="1" applyAlignment="1">
      <alignment vertical="center"/>
    </xf>
    <xf numFmtId="165" fontId="30" fillId="0" borderId="0" xfId="1" applyNumberFormat="1" applyFont="1" applyFill="1"/>
    <xf numFmtId="165" fontId="30" fillId="0" borderId="0" xfId="0" applyNumberFormat="1" applyFont="1"/>
    <xf numFmtId="0" fontId="18" fillId="0" borderId="0" xfId="0" applyFont="1" applyAlignment="1">
      <alignment vertical="top" wrapText="1"/>
    </xf>
    <xf numFmtId="0" fontId="44" fillId="0" borderId="0" xfId="0" applyFont="1" applyAlignment="1">
      <alignment vertical="center" wrapText="1"/>
    </xf>
    <xf numFmtId="0" fontId="48" fillId="0" borderId="0" xfId="0" applyFont="1" applyAlignment="1">
      <alignment vertical="top" wrapText="1"/>
    </xf>
    <xf numFmtId="2" fontId="27" fillId="0" borderId="0" xfId="0" applyNumberFormat="1" applyFont="1"/>
    <xf numFmtId="0" fontId="28" fillId="0" borderId="0" xfId="0" applyFont="1" applyAlignment="1">
      <alignment horizontal="center"/>
    </xf>
    <xf numFmtId="170" fontId="22" fillId="0" borderId="0" xfId="1" applyNumberFormat="1" applyFont="1" applyFill="1" applyAlignment="1">
      <alignment horizontal="center" vertical="center"/>
    </xf>
    <xf numFmtId="0" fontId="29" fillId="0" borderId="4" xfId="0" applyFont="1" applyBorder="1" applyAlignment="1">
      <alignment vertical="center" wrapText="1"/>
    </xf>
    <xf numFmtId="1" fontId="22" fillId="0" borderId="0" xfId="1" applyNumberFormat="1" applyFont="1" applyFill="1" applyBorder="1"/>
    <xf numFmtId="43" fontId="31" fillId="0" borderId="0" xfId="1" applyFont="1" applyFill="1"/>
    <xf numFmtId="10" fontId="22" fillId="0" borderId="0" xfId="1" applyNumberFormat="1" applyFont="1" applyFill="1"/>
    <xf numFmtId="0" fontId="51" fillId="0" borderId="0" xfId="0" applyFont="1"/>
    <xf numFmtId="0" fontId="48" fillId="0" borderId="0" xfId="0" applyFont="1"/>
    <xf numFmtId="0" fontId="44" fillId="0" borderId="0" xfId="0" applyFont="1" applyAlignment="1">
      <alignment vertical="top" wrapText="1"/>
    </xf>
    <xf numFmtId="165" fontId="2" fillId="0" borderId="4" xfId="1" applyNumberFormat="1" applyFont="1" applyFill="1" applyBorder="1" applyAlignment="1">
      <alignment vertical="center"/>
    </xf>
    <xf numFmtId="0" fontId="3" fillId="0" borderId="0" xfId="0" applyFont="1" applyAlignment="1">
      <alignment vertical="center"/>
    </xf>
    <xf numFmtId="165" fontId="27" fillId="0" borderId="0" xfId="1" applyNumberFormat="1" applyFont="1" applyFill="1"/>
    <xf numFmtId="0" fontId="53" fillId="0" borderId="0" xfId="0" applyFont="1"/>
    <xf numFmtId="165" fontId="53" fillId="0" borderId="0" xfId="1" applyNumberFormat="1" applyFont="1" applyFill="1"/>
    <xf numFmtId="165" fontId="27" fillId="0" borderId="0" xfId="0" applyNumberFormat="1" applyFont="1"/>
    <xf numFmtId="0" fontId="29" fillId="0" borderId="0" xfId="0" applyFont="1" applyAlignment="1">
      <alignment horizontal="center"/>
    </xf>
    <xf numFmtId="165" fontId="29" fillId="0" borderId="0" xfId="1" applyNumberFormat="1" applyFont="1" applyFill="1"/>
    <xf numFmtId="165" fontId="28" fillId="0" borderId="3" xfId="1" applyNumberFormat="1" applyFont="1" applyFill="1" applyBorder="1" applyAlignment="1">
      <alignment horizontal="center"/>
    </xf>
    <xf numFmtId="165" fontId="28" fillId="0" borderId="4" xfId="1" applyNumberFormat="1" applyFont="1" applyFill="1" applyBorder="1" applyAlignment="1">
      <alignment horizontal="center"/>
    </xf>
    <xf numFmtId="0" fontId="49" fillId="0" borderId="0" xfId="0" applyFont="1"/>
    <xf numFmtId="39" fontId="28" fillId="0" borderId="0" xfId="1" applyNumberFormat="1" applyFont="1" applyFill="1" applyBorder="1" applyAlignment="1">
      <alignment horizontal="center" vertical="center"/>
    </xf>
    <xf numFmtId="4" fontId="28" fillId="0" borderId="0" xfId="0" applyNumberFormat="1" applyFont="1" applyAlignment="1">
      <alignment horizontal="center" vertical="center"/>
    </xf>
    <xf numFmtId="2" fontId="29" fillId="0" borderId="0" xfId="0" applyNumberFormat="1" applyFont="1"/>
    <xf numFmtId="165" fontId="28" fillId="0" borderId="0" xfId="1" applyNumberFormat="1" applyFont="1" applyFill="1" applyBorder="1" applyAlignment="1">
      <alignment horizontal="center" vertical="center"/>
    </xf>
    <xf numFmtId="0" fontId="44" fillId="16" borderId="0" xfId="0" applyFont="1" applyFill="1"/>
    <xf numFmtId="165" fontId="28" fillId="0" borderId="0" xfId="1" applyNumberFormat="1" applyFont="1" applyFill="1" applyBorder="1" applyAlignment="1">
      <alignment vertical="center"/>
    </xf>
    <xf numFmtId="165" fontId="10" fillId="0" borderId="0" xfId="1" applyNumberFormat="1" applyFont="1" applyFill="1" applyAlignment="1">
      <alignment horizontal="center" vertical="center"/>
    </xf>
    <xf numFmtId="165" fontId="7" fillId="0" borderId="0" xfId="1" applyNumberFormat="1" applyFont="1" applyFill="1"/>
    <xf numFmtId="165" fontId="7" fillId="0" borderId="0" xfId="1" applyNumberFormat="1" applyFont="1" applyFill="1" applyAlignment="1">
      <alignment vertical="center"/>
    </xf>
    <xf numFmtId="165" fontId="10" fillId="0" borderId="0" xfId="1" applyNumberFormat="1" applyFont="1" applyFill="1" applyAlignment="1">
      <alignment vertical="center"/>
    </xf>
    <xf numFmtId="165" fontId="24" fillId="0" borderId="0" xfId="1" applyNumberFormat="1" applyFont="1" applyFill="1"/>
    <xf numFmtId="0" fontId="27" fillId="0" borderId="0" xfId="0" applyFont="1" applyAlignment="1">
      <alignment horizontal="center"/>
    </xf>
    <xf numFmtId="0" fontId="30" fillId="0" borderId="0" xfId="0" applyFont="1" applyAlignment="1">
      <alignment vertical="center"/>
    </xf>
    <xf numFmtId="0" fontId="34" fillId="0" borderId="0" xfId="0" applyFont="1" applyAlignment="1">
      <alignment vertical="center"/>
    </xf>
    <xf numFmtId="0" fontId="7" fillId="0" borderId="0" xfId="0" applyFont="1" applyAlignment="1">
      <alignment horizontal="center" vertical="center" wrapText="1"/>
    </xf>
    <xf numFmtId="0" fontId="7" fillId="0" borderId="7" xfId="0" applyFont="1" applyBorder="1" applyAlignment="1">
      <alignment horizontal="right"/>
    </xf>
    <xf numFmtId="0" fontId="7" fillId="0" borderId="9" xfId="0" applyFont="1" applyBorder="1" applyAlignment="1">
      <alignment horizontal="right"/>
    </xf>
    <xf numFmtId="0" fontId="7" fillId="0" borderId="10" xfId="0" applyFont="1" applyBorder="1" applyAlignment="1">
      <alignment horizontal="right"/>
    </xf>
    <xf numFmtId="165" fontId="2" fillId="0" borderId="0" xfId="1" applyNumberFormat="1" applyFont="1" applyFill="1" applyBorder="1" applyAlignment="1">
      <alignment vertical="center"/>
    </xf>
    <xf numFmtId="172" fontId="28" fillId="2" borderId="24" xfId="1" applyNumberFormat="1" applyFont="1" applyFill="1" applyBorder="1"/>
    <xf numFmtId="165" fontId="33" fillId="0" borderId="0" xfId="1" applyNumberFormat="1" applyFont="1" applyBorder="1" applyAlignment="1">
      <alignment horizontal="center" vertical="center"/>
    </xf>
    <xf numFmtId="165" fontId="33" fillId="0" borderId="0" xfId="1" applyNumberFormat="1" applyFont="1" applyBorder="1" applyAlignment="1">
      <alignment horizontal="center"/>
    </xf>
    <xf numFmtId="165" fontId="30" fillId="3" borderId="0" xfId="1" applyNumberFormat="1" applyFont="1" applyFill="1"/>
    <xf numFmtId="165" fontId="28" fillId="2" borderId="24" xfId="1" applyNumberFormat="1" applyFont="1" applyFill="1" applyBorder="1" applyAlignment="1">
      <alignment vertical="center"/>
    </xf>
    <xf numFmtId="165" fontId="24" fillId="0" borderId="0" xfId="1" applyNumberFormat="1" applyFont="1" applyAlignment="1">
      <alignment vertical="center"/>
    </xf>
    <xf numFmtId="165" fontId="24" fillId="0" borderId="0" xfId="0" applyNumberFormat="1" applyFont="1" applyAlignment="1">
      <alignment vertical="center"/>
    </xf>
    <xf numFmtId="165" fontId="0" fillId="0" borderId="0" xfId="1" applyNumberFormat="1" applyFont="1" applyFill="1" applyBorder="1" applyAlignment="1">
      <alignment vertical="center"/>
    </xf>
    <xf numFmtId="165" fontId="0" fillId="0" borderId="0" xfId="1" applyNumberFormat="1" applyFont="1" applyFill="1" applyBorder="1"/>
    <xf numFmtId="0" fontId="3" fillId="0" borderId="0" xfId="0" applyFont="1" applyAlignment="1">
      <alignment horizontal="center" vertical="center"/>
    </xf>
    <xf numFmtId="165" fontId="26" fillId="0" borderId="26" xfId="1" applyNumberFormat="1" applyFont="1" applyFill="1" applyBorder="1" applyAlignment="1">
      <alignment vertical="center"/>
    </xf>
    <xf numFmtId="165" fontId="26" fillId="0" borderId="22" xfId="1" applyNumberFormat="1" applyFont="1" applyFill="1" applyBorder="1" applyAlignment="1">
      <alignment vertical="center"/>
    </xf>
    <xf numFmtId="43" fontId="26" fillId="0" borderId="23" xfId="0" applyNumberFormat="1" applyFont="1" applyBorder="1" applyAlignment="1">
      <alignment vertical="center"/>
    </xf>
    <xf numFmtId="165" fontId="3" fillId="0" borderId="0" xfId="1" applyNumberFormat="1" applyFont="1" applyFill="1" applyBorder="1" applyAlignment="1">
      <alignment horizontal="center" vertical="center"/>
    </xf>
    <xf numFmtId="165" fontId="3" fillId="0" borderId="0" xfId="1" applyNumberFormat="1" applyFont="1" applyFill="1" applyBorder="1" applyAlignment="1">
      <alignment vertical="center"/>
    </xf>
    <xf numFmtId="43" fontId="0" fillId="0" borderId="0" xfId="1" applyFont="1" applyBorder="1"/>
    <xf numFmtId="165" fontId="52" fillId="0" borderId="0" xfId="1" applyNumberFormat="1" applyFont="1" applyBorder="1"/>
    <xf numFmtId="43" fontId="2" fillId="0" borderId="0" xfId="1" applyFont="1" applyBorder="1"/>
    <xf numFmtId="0" fontId="2" fillId="0" borderId="29" xfId="0" applyFont="1" applyBorder="1"/>
    <xf numFmtId="43" fontId="2" fillId="0" borderId="0" xfId="1" applyFont="1" applyFill="1" applyBorder="1" applyAlignment="1">
      <alignment vertical="center"/>
    </xf>
    <xf numFmtId="165" fontId="2" fillId="0" borderId="0" xfId="1" applyNumberFormat="1" applyFont="1" applyFill="1" applyBorder="1" applyAlignment="1">
      <alignment horizontal="right" vertical="center"/>
    </xf>
    <xf numFmtId="165" fontId="3" fillId="0" borderId="0" xfId="1" applyNumberFormat="1" applyFont="1" applyFill="1" applyBorder="1" applyAlignment="1">
      <alignment horizontal="center" vertical="center" wrapText="1"/>
    </xf>
    <xf numFmtId="165" fontId="3" fillId="0" borderId="0" xfId="1" applyNumberFormat="1" applyFont="1" applyFill="1" applyBorder="1" applyAlignment="1">
      <alignment horizontal="right" vertical="center"/>
    </xf>
    <xf numFmtId="165" fontId="3" fillId="0" borderId="0" xfId="1" applyNumberFormat="1" applyFont="1" applyFill="1" applyBorder="1" applyAlignment="1">
      <alignment horizontal="left" vertical="center" wrapText="1"/>
    </xf>
    <xf numFmtId="165" fontId="3" fillId="0" borderId="0" xfId="2" applyNumberFormat="1" applyFont="1" applyFill="1" applyBorder="1" applyAlignment="1">
      <alignment horizontal="center" vertical="center"/>
    </xf>
    <xf numFmtId="165" fontId="3" fillId="0" borderId="0" xfId="8" applyNumberFormat="1" applyFont="1" applyFill="1" applyBorder="1" applyAlignment="1">
      <alignment vertical="center"/>
    </xf>
    <xf numFmtId="165" fontId="27" fillId="0" borderId="0" xfId="1" applyNumberFormat="1" applyFont="1" applyFill="1" applyBorder="1"/>
    <xf numFmtId="0" fontId="27" fillId="0" borderId="0" xfId="0" applyFont="1" applyAlignment="1">
      <alignment vertical="center"/>
    </xf>
    <xf numFmtId="165" fontId="27" fillId="0" borderId="0" xfId="1" applyNumberFormat="1" applyFont="1" applyFill="1" applyBorder="1" applyAlignment="1">
      <alignment vertical="center"/>
    </xf>
    <xf numFmtId="0" fontId="46" fillId="0" borderId="0" xfId="0" applyFont="1" applyAlignment="1">
      <alignment vertical="center"/>
    </xf>
    <xf numFmtId="0" fontId="26" fillId="0" borderId="0" xfId="0" applyFont="1" applyAlignment="1">
      <alignment vertical="center"/>
    </xf>
    <xf numFmtId="0" fontId="2" fillId="0" borderId="3" xfId="0" applyFont="1" applyBorder="1" applyAlignment="1">
      <alignment horizontal="center" vertical="center"/>
    </xf>
    <xf numFmtId="0" fontId="7" fillId="0" borderId="40" xfId="0" applyFont="1" applyBorder="1" applyAlignment="1">
      <alignment horizontal="right"/>
    </xf>
    <xf numFmtId="0" fontId="7" fillId="0" borderId="38" xfId="0" applyFont="1" applyBorder="1" applyAlignment="1">
      <alignment horizontal="right"/>
    </xf>
    <xf numFmtId="0" fontId="7" fillId="0" borderId="39" xfId="0" applyFont="1" applyBorder="1" applyAlignment="1">
      <alignment horizontal="right"/>
    </xf>
    <xf numFmtId="0" fontId="7" fillId="0" borderId="0" xfId="0" applyFont="1" applyAlignment="1">
      <alignment horizontal="right"/>
    </xf>
    <xf numFmtId="43" fontId="7" fillId="0" borderId="0" xfId="1" applyFont="1" applyFill="1" applyBorder="1"/>
    <xf numFmtId="43" fontId="7" fillId="0" borderId="0" xfId="2" applyFont="1" applyFill="1" applyBorder="1"/>
    <xf numFmtId="0" fontId="7" fillId="0" borderId="29" xfId="0" applyFont="1" applyBorder="1" applyAlignment="1">
      <alignment horizontal="right"/>
    </xf>
    <xf numFmtId="0" fontId="10" fillId="0" borderId="0" xfId="0" applyFont="1" applyAlignment="1">
      <alignment horizontal="right" vertical="center"/>
    </xf>
    <xf numFmtId="165" fontId="2" fillId="0" borderId="0" xfId="0" applyNumberFormat="1" applyFont="1" applyAlignment="1">
      <alignment vertical="center"/>
    </xf>
    <xf numFmtId="0" fontId="29" fillId="0" borderId="0" xfId="0" applyFont="1" applyAlignment="1">
      <alignment vertical="center" wrapText="1"/>
    </xf>
    <xf numFmtId="0" fontId="29" fillId="0" borderId="0" xfId="0" applyFont="1" applyAlignment="1">
      <alignment vertical="center"/>
    </xf>
    <xf numFmtId="0" fontId="2" fillId="0" borderId="3" xfId="0" applyFont="1" applyBorder="1" applyAlignment="1">
      <alignment horizontal="center" vertical="center" wrapText="1"/>
    </xf>
    <xf numFmtId="165" fontId="2" fillId="0" borderId="3" xfId="0" applyNumberFormat="1" applyFont="1" applyBorder="1" applyAlignment="1">
      <alignment horizontal="center" vertical="center"/>
    </xf>
    <xf numFmtId="165" fontId="2" fillId="0" borderId="3" xfId="1" applyNumberFormat="1" applyFont="1" applyFill="1" applyBorder="1" applyAlignment="1">
      <alignment horizontal="center" vertical="center"/>
    </xf>
    <xf numFmtId="165" fontId="2" fillId="0" borderId="4" xfId="1" applyNumberFormat="1" applyFont="1" applyFill="1" applyBorder="1" applyAlignment="1">
      <alignment horizontal="center" vertical="center"/>
    </xf>
    <xf numFmtId="165" fontId="5" fillId="0" borderId="0" xfId="1" applyNumberFormat="1" applyFont="1" applyFill="1" applyBorder="1"/>
    <xf numFmtId="165" fontId="3" fillId="0" borderId="0" xfId="1" applyNumberFormat="1" applyFont="1" applyFill="1" applyBorder="1"/>
    <xf numFmtId="0" fontId="56" fillId="0" borderId="0" xfId="0" applyFont="1" applyAlignment="1">
      <alignment vertical="center"/>
    </xf>
    <xf numFmtId="165" fontId="2" fillId="0" borderId="0" xfId="1" applyNumberFormat="1" applyFont="1" applyFill="1" applyBorder="1" applyAlignment="1">
      <alignment horizontal="center" vertical="center"/>
    </xf>
    <xf numFmtId="165" fontId="29" fillId="0" borderId="0" xfId="0" applyNumberFormat="1" applyFont="1"/>
    <xf numFmtId="165" fontId="2" fillId="9" borderId="3" xfId="1" applyNumberFormat="1" applyFont="1" applyFill="1" applyBorder="1" applyAlignment="1">
      <alignment horizontal="center" vertical="center"/>
    </xf>
    <xf numFmtId="165" fontId="2" fillId="9" borderId="4" xfId="1" applyNumberFormat="1" applyFont="1" applyFill="1" applyBorder="1" applyAlignment="1">
      <alignment horizontal="center" vertical="center"/>
    </xf>
    <xf numFmtId="165" fontId="2" fillId="9" borderId="4" xfId="0" applyNumberFormat="1" applyFont="1" applyFill="1" applyBorder="1" applyAlignment="1">
      <alignment vertical="center"/>
    </xf>
    <xf numFmtId="165" fontId="2" fillId="23" borderId="3" xfId="0" applyNumberFormat="1" applyFont="1" applyFill="1" applyBorder="1" applyAlignment="1">
      <alignment horizontal="center" vertical="center"/>
    </xf>
    <xf numFmtId="165" fontId="2" fillId="23" borderId="4" xfId="0" applyNumberFormat="1" applyFont="1" applyFill="1" applyBorder="1" applyAlignment="1">
      <alignment vertical="center"/>
    </xf>
    <xf numFmtId="165" fontId="2" fillId="9" borderId="3" xfId="0" applyNumberFormat="1" applyFont="1" applyFill="1" applyBorder="1" applyAlignment="1">
      <alignment horizontal="center" vertical="center"/>
    </xf>
    <xf numFmtId="165" fontId="2" fillId="23" borderId="4" xfId="0" applyNumberFormat="1" applyFont="1" applyFill="1" applyBorder="1" applyAlignment="1">
      <alignment horizontal="center" vertical="center"/>
    </xf>
    <xf numFmtId="165" fontId="2" fillId="25" borderId="3" xfId="1" applyNumberFormat="1" applyFont="1" applyFill="1" applyBorder="1" applyAlignment="1">
      <alignment horizontal="center" vertical="center"/>
    </xf>
    <xf numFmtId="165" fontId="2" fillId="23" borderId="4" xfId="2" applyNumberFormat="1" applyFont="1" applyFill="1" applyBorder="1" applyAlignment="1">
      <alignment horizontal="center" vertical="center"/>
    </xf>
    <xf numFmtId="165" fontId="2" fillId="25" borderId="4" xfId="1" applyNumberFormat="1" applyFont="1" applyFill="1" applyBorder="1" applyAlignment="1">
      <alignment horizontal="center" vertical="center"/>
    </xf>
    <xf numFmtId="165" fontId="2" fillId="23" borderId="3" xfId="1" applyNumberFormat="1" applyFont="1" applyFill="1" applyBorder="1" applyAlignment="1">
      <alignment horizontal="center" vertical="center"/>
    </xf>
    <xf numFmtId="39" fontId="0" fillId="0" borderId="0" xfId="0" applyNumberFormat="1" applyAlignment="1">
      <alignment vertical="center"/>
    </xf>
    <xf numFmtId="0" fontId="48" fillId="0" borderId="0" xfId="0" applyFont="1" applyAlignment="1">
      <alignment horizontal="left" vertical="center" wrapText="1"/>
    </xf>
    <xf numFmtId="0" fontId="18" fillId="0" borderId="0" xfId="0" applyFont="1" applyAlignment="1">
      <alignment horizontal="left" vertical="center" wrapText="1"/>
    </xf>
    <xf numFmtId="0" fontId="44" fillId="0" borderId="0" xfId="0" applyFont="1" applyAlignment="1">
      <alignment horizontal="left" vertical="top" wrapText="1"/>
    </xf>
    <xf numFmtId="0" fontId="4" fillId="0" borderId="4" xfId="0" applyFont="1" applyBorder="1" applyAlignment="1">
      <alignment horizontal="center" wrapText="1"/>
    </xf>
    <xf numFmtId="43" fontId="2" fillId="0" borderId="4" xfId="0" applyNumberFormat="1" applyFont="1" applyBorder="1" applyAlignment="1">
      <alignment horizontal="center" vertical="center"/>
    </xf>
    <xf numFmtId="165" fontId="2" fillId="9" borderId="4" xfId="0" applyNumberFormat="1" applyFont="1" applyFill="1" applyBorder="1" applyAlignment="1">
      <alignment horizontal="center" vertical="center"/>
    </xf>
    <xf numFmtId="165" fontId="2" fillId="0" borderId="4" xfId="0" applyNumberFormat="1" applyFont="1" applyBorder="1" applyAlignment="1">
      <alignment horizontal="center" vertical="center"/>
    </xf>
    <xf numFmtId="165" fontId="52" fillId="9" borderId="4" xfId="2" applyNumberFormat="1" applyFont="1" applyFill="1" applyBorder="1" applyAlignment="1">
      <alignment horizontal="center" vertical="center"/>
    </xf>
    <xf numFmtId="165" fontId="52" fillId="0" borderId="4" xfId="2" applyNumberFormat="1" applyFont="1" applyBorder="1" applyAlignment="1">
      <alignment horizontal="center" vertical="center"/>
    </xf>
    <xf numFmtId="165" fontId="2" fillId="9" borderId="4" xfId="2" applyNumberFormat="1" applyFont="1" applyFill="1" applyBorder="1" applyAlignment="1">
      <alignment horizontal="center" vertical="center"/>
    </xf>
    <xf numFmtId="165" fontId="2" fillId="0" borderId="4" xfId="2" applyNumberFormat="1" applyFont="1" applyFill="1" applyBorder="1" applyAlignment="1">
      <alignment horizontal="center" vertical="center"/>
    </xf>
    <xf numFmtId="165" fontId="2" fillId="25" borderId="4" xfId="2" applyNumberFormat="1" applyFont="1" applyFill="1" applyBorder="1" applyAlignment="1">
      <alignment horizontal="center" vertical="center"/>
    </xf>
    <xf numFmtId="165" fontId="2" fillId="0" borderId="4" xfId="1" applyNumberFormat="1" applyFont="1" applyBorder="1" applyAlignment="1">
      <alignment horizontal="center" vertical="center"/>
    </xf>
    <xf numFmtId="43" fontId="2" fillId="0" borderId="0" xfId="1" applyFont="1" applyFill="1"/>
    <xf numFmtId="0" fontId="27" fillId="9" borderId="0" xfId="0" applyFont="1" applyFill="1" applyAlignment="1">
      <alignment horizontal="center" vertical="center"/>
    </xf>
    <xf numFmtId="165" fontId="27" fillId="9" borderId="0" xfId="1" applyNumberFormat="1" applyFont="1" applyFill="1"/>
    <xf numFmtId="43" fontId="0" fillId="0" borderId="0" xfId="1" applyFont="1"/>
    <xf numFmtId="165" fontId="2" fillId="0" borderId="0" xfId="1" applyNumberFormat="1" applyFont="1" applyFill="1"/>
    <xf numFmtId="2" fontId="0" fillId="0" borderId="0" xfId="0" applyNumberFormat="1"/>
    <xf numFmtId="0" fontId="28" fillId="0" borderId="3" xfId="0" applyFont="1" applyBorder="1" applyAlignment="1">
      <alignment horizontal="center"/>
    </xf>
    <xf numFmtId="0" fontId="28" fillId="0" borderId="4" xfId="0" applyFont="1" applyBorder="1" applyAlignment="1">
      <alignment horizontal="center" vertical="center"/>
    </xf>
    <xf numFmtId="0" fontId="28" fillId="4" borderId="4" xfId="0" applyFont="1" applyFill="1" applyBorder="1" applyAlignment="1">
      <alignment horizontal="center" vertical="center"/>
    </xf>
    <xf numFmtId="0" fontId="26" fillId="5" borderId="0" xfId="0" applyFont="1" applyFill="1" applyAlignment="1">
      <alignment horizontal="center" vertical="center"/>
    </xf>
    <xf numFmtId="0" fontId="28" fillId="6" borderId="3" xfId="0" applyFont="1" applyFill="1" applyBorder="1" applyAlignment="1">
      <alignment horizontal="center"/>
    </xf>
    <xf numFmtId="0" fontId="28" fillId="0" borderId="2" xfId="0" applyFont="1" applyBorder="1" applyAlignment="1">
      <alignment horizontal="center"/>
    </xf>
    <xf numFmtId="0" fontId="0" fillId="25" borderId="0" xfId="0" applyFill="1"/>
    <xf numFmtId="43" fontId="0" fillId="25" borderId="0" xfId="0" applyNumberFormat="1" applyFill="1"/>
    <xf numFmtId="43" fontId="0" fillId="25" borderId="0" xfId="1" applyFont="1" applyFill="1"/>
    <xf numFmtId="0" fontId="29" fillId="0" borderId="3" xfId="0" applyFont="1" applyBorder="1"/>
    <xf numFmtId="0" fontId="28" fillId="4" borderId="4" xfId="0" applyFont="1" applyFill="1" applyBorder="1" applyAlignment="1">
      <alignment horizontal="left" vertical="center"/>
    </xf>
    <xf numFmtId="4" fontId="13" fillId="4" borderId="4" xfId="0" applyNumberFormat="1" applyFont="1" applyFill="1" applyBorder="1" applyAlignment="1">
      <alignment vertical="center"/>
    </xf>
    <xf numFmtId="43" fontId="0" fillId="9" borderId="0" xfId="0" applyNumberFormat="1" applyFill="1"/>
    <xf numFmtId="43" fontId="0" fillId="9" borderId="0" xfId="1" applyFont="1" applyFill="1"/>
    <xf numFmtId="165" fontId="0" fillId="0" borderId="0" xfId="1" applyNumberFormat="1" applyFont="1" applyAlignment="1">
      <alignment horizontal="center" vertical="center"/>
    </xf>
    <xf numFmtId="3" fontId="57" fillId="0" borderId="14" xfId="0" applyNumberFormat="1" applyFont="1" applyBorder="1" applyAlignment="1">
      <alignment horizontal="right" wrapText="1"/>
    </xf>
    <xf numFmtId="0" fontId="32" fillId="15" borderId="0" xfId="0" applyFont="1" applyFill="1"/>
    <xf numFmtId="0" fontId="33" fillId="15" borderId="0" xfId="0" applyFont="1" applyFill="1"/>
    <xf numFmtId="0" fontId="30" fillId="15" borderId="0" xfId="0" applyFont="1" applyFill="1"/>
    <xf numFmtId="0" fontId="28" fillId="2" borderId="0" xfId="0" applyFont="1" applyFill="1" applyAlignment="1">
      <alignment horizontal="center"/>
    </xf>
    <xf numFmtId="43" fontId="0" fillId="15" borderId="0" xfId="0" applyNumberFormat="1" applyFill="1"/>
    <xf numFmtId="43" fontId="0" fillId="15" borderId="0" xfId="1" applyFont="1" applyFill="1"/>
    <xf numFmtId="0" fontId="25" fillId="0" borderId="0" xfId="0" applyFont="1"/>
    <xf numFmtId="0" fontId="60" fillId="0" borderId="0" xfId="0" applyFont="1" applyAlignment="1">
      <alignment horizontal="center" readingOrder="1"/>
    </xf>
    <xf numFmtId="166" fontId="33" fillId="0" borderId="0" xfId="0" applyNumberFormat="1" applyFont="1" applyAlignment="1">
      <alignment horizontal="center" vertical="center" readingOrder="2"/>
    </xf>
    <xf numFmtId="0" fontId="0" fillId="11" borderId="0" xfId="0" applyFill="1" applyAlignment="1">
      <alignment horizontal="center" vertical="center"/>
    </xf>
    <xf numFmtId="0" fontId="0" fillId="11" borderId="0" xfId="0" applyFill="1"/>
    <xf numFmtId="165" fontId="32" fillId="11" borderId="3" xfId="1" applyNumberFormat="1" applyFont="1" applyFill="1" applyBorder="1" applyAlignment="1">
      <alignment horizontal="right"/>
    </xf>
    <xf numFmtId="165" fontId="32" fillId="11" borderId="0" xfId="1" applyNumberFormat="1" applyFont="1" applyFill="1" applyBorder="1" applyAlignment="1">
      <alignment horizontal="right"/>
    </xf>
    <xf numFmtId="165" fontId="32" fillId="0" borderId="0" xfId="1" applyNumberFormat="1" applyFont="1" applyFill="1" applyBorder="1" applyAlignment="1">
      <alignment horizontal="right"/>
    </xf>
    <xf numFmtId="165" fontId="32" fillId="0" borderId="0" xfId="1" applyNumberFormat="1" applyFont="1" applyFill="1" applyBorder="1" applyAlignment="1">
      <alignment vertical="center"/>
    </xf>
    <xf numFmtId="0" fontId="35" fillId="11" borderId="0" xfId="0" applyFont="1" applyFill="1" applyAlignment="1">
      <alignment horizontal="center" vertical="center"/>
    </xf>
    <xf numFmtId="165" fontId="32" fillId="0" borderId="0" xfId="1" applyNumberFormat="1" applyFont="1" applyFill="1" applyBorder="1" applyAlignment="1">
      <alignment horizontal="left" vertical="center"/>
    </xf>
    <xf numFmtId="165" fontId="27" fillId="0" borderId="0" xfId="1" applyNumberFormat="1" applyFont="1"/>
    <xf numFmtId="0" fontId="3" fillId="0" borderId="6" xfId="0" applyFont="1" applyBorder="1" applyAlignment="1">
      <alignment horizontal="center" vertical="center" wrapText="1"/>
    </xf>
    <xf numFmtId="165" fontId="26" fillId="0" borderId="0" xfId="1" applyNumberFormat="1" applyFont="1" applyFill="1" applyBorder="1" applyAlignment="1">
      <alignment vertical="center"/>
    </xf>
    <xf numFmtId="0" fontId="48" fillId="0" borderId="0" xfId="0" applyFont="1" applyAlignment="1">
      <alignment vertical="center"/>
    </xf>
    <xf numFmtId="165" fontId="27" fillId="0" borderId="0" xfId="1" applyNumberFormat="1" applyFont="1" applyFill="1" applyAlignment="1">
      <alignment vertical="center"/>
    </xf>
    <xf numFmtId="4" fontId="26" fillId="0" borderId="0" xfId="0" applyNumberFormat="1" applyFont="1" applyAlignment="1">
      <alignment horizontal="center" vertical="center"/>
    </xf>
    <xf numFmtId="165" fontId="26" fillId="0" borderId="0" xfId="1" applyNumberFormat="1" applyFont="1" applyFill="1" applyBorder="1" applyAlignment="1">
      <alignment horizontal="center" vertical="center"/>
    </xf>
    <xf numFmtId="0" fontId="48" fillId="0" borderId="0" xfId="0" applyFont="1" applyAlignment="1">
      <alignment vertical="center" wrapText="1"/>
    </xf>
    <xf numFmtId="0" fontId="2" fillId="0" borderId="0" xfId="0" applyFont="1" applyAlignment="1">
      <alignment wrapText="1"/>
    </xf>
    <xf numFmtId="0" fontId="56" fillId="0" borderId="0" xfId="9" quotePrefix="1" applyFont="1" applyFill="1" applyAlignment="1" applyProtection="1"/>
    <xf numFmtId="0" fontId="3" fillId="0" borderId="0" xfId="0" applyFont="1" applyAlignment="1">
      <alignment vertical="center" wrapText="1"/>
    </xf>
    <xf numFmtId="43" fontId="27" fillId="0" borderId="0" xfId="0" applyNumberFormat="1" applyFont="1"/>
    <xf numFmtId="165" fontId="24" fillId="0" borderId="0" xfId="0" applyNumberFormat="1" applyFont="1"/>
    <xf numFmtId="165" fontId="2" fillId="0" borderId="0" xfId="1" applyNumberFormat="1" applyFont="1" applyFill="1" applyAlignment="1">
      <alignment vertical="center"/>
    </xf>
    <xf numFmtId="0" fontId="27" fillId="0" borderId="0" xfId="0" applyFont="1" applyAlignment="1">
      <alignment horizontal="center" vertical="center" wrapText="1"/>
    </xf>
    <xf numFmtId="165" fontId="27" fillId="0" borderId="0" xfId="0" applyNumberFormat="1" applyFont="1" applyAlignment="1">
      <alignment vertical="center"/>
    </xf>
    <xf numFmtId="0" fontId="10" fillId="0" borderId="4" xfId="0" applyFont="1" applyBorder="1" applyAlignment="1">
      <alignment horizontal="center" vertical="center"/>
    </xf>
    <xf numFmtId="0" fontId="7" fillId="0" borderId="0" xfId="0" applyFont="1"/>
    <xf numFmtId="0" fontId="7" fillId="0" borderId="0" xfId="0" applyFont="1" applyAlignment="1">
      <alignment vertical="center"/>
    </xf>
    <xf numFmtId="0" fontId="10" fillId="0" borderId="0" xfId="0" applyFont="1" applyAlignment="1">
      <alignment vertical="center"/>
    </xf>
    <xf numFmtId="169" fontId="0" fillId="0" borderId="0" xfId="0" applyNumberFormat="1"/>
    <xf numFmtId="0" fontId="3" fillId="29" borderId="0" xfId="0" applyFont="1" applyFill="1" applyAlignment="1">
      <alignment horizontal="left" vertical="center"/>
    </xf>
    <xf numFmtId="165" fontId="8" fillId="29" borderId="0" xfId="1" applyNumberFormat="1" applyFont="1" applyFill="1" applyBorder="1" applyAlignment="1">
      <alignment vertical="center"/>
    </xf>
    <xf numFmtId="165" fontId="22" fillId="29" borderId="0" xfId="1" applyNumberFormat="1" applyFont="1" applyFill="1" applyBorder="1"/>
    <xf numFmtId="0" fontId="2" fillId="29" borderId="0" xfId="0" applyFont="1" applyFill="1" applyAlignment="1">
      <alignment vertical="center"/>
    </xf>
    <xf numFmtId="0" fontId="8" fillId="29" borderId="0" xfId="0" applyFont="1" applyFill="1" applyAlignment="1">
      <alignment vertical="center"/>
    </xf>
    <xf numFmtId="0" fontId="3" fillId="29" borderId="0" xfId="0" applyFont="1" applyFill="1" applyAlignment="1">
      <alignment vertical="center"/>
    </xf>
    <xf numFmtId="0" fontId="27" fillId="0" borderId="0" xfId="0" applyFont="1" applyAlignment="1">
      <alignment horizontal="right"/>
    </xf>
    <xf numFmtId="0" fontId="3" fillId="0" borderId="0" xfId="0" applyFont="1" applyAlignment="1">
      <alignment horizontal="center" wrapText="1"/>
    </xf>
    <xf numFmtId="3" fontId="2" fillId="0" borderId="0" xfId="0" applyNumberFormat="1" applyFont="1" applyAlignment="1">
      <alignment vertical="center"/>
    </xf>
    <xf numFmtId="3" fontId="2" fillId="0" borderId="0" xfId="0" applyNumberFormat="1" applyFont="1" applyAlignment="1">
      <alignment wrapText="1"/>
    </xf>
    <xf numFmtId="1" fontId="2" fillId="0" borderId="0" xfId="0" applyNumberFormat="1" applyFont="1" applyAlignment="1">
      <alignment vertical="center"/>
    </xf>
    <xf numFmtId="0" fontId="27" fillId="0" borderId="0" xfId="0" applyFont="1" applyAlignment="1">
      <alignment vertical="center" wrapText="1"/>
    </xf>
    <xf numFmtId="165" fontId="3" fillId="0" borderId="0" xfId="1" applyNumberFormat="1" applyFont="1" applyBorder="1" applyAlignment="1">
      <alignment horizontal="center" vertical="center"/>
    </xf>
    <xf numFmtId="165" fontId="2" fillId="0" borderId="0" xfId="1" applyNumberFormat="1" applyFont="1" applyAlignment="1">
      <alignment vertical="center"/>
    </xf>
    <xf numFmtId="165" fontId="37" fillId="0" borderId="0" xfId="1" applyNumberFormat="1" applyFont="1" applyFill="1" applyAlignment="1">
      <alignment vertical="center"/>
    </xf>
    <xf numFmtId="43" fontId="37" fillId="0" borderId="0" xfId="1" applyFont="1" applyFill="1" applyAlignment="1">
      <alignment vertical="center"/>
    </xf>
    <xf numFmtId="165" fontId="37" fillId="0" borderId="0" xfId="1" applyNumberFormat="1" applyFont="1" applyFill="1" applyBorder="1" applyAlignment="1">
      <alignment vertical="center"/>
    </xf>
    <xf numFmtId="165" fontId="3" fillId="0" borderId="0" xfId="0" applyNumberFormat="1" applyFont="1" applyAlignment="1">
      <alignment vertical="center"/>
    </xf>
    <xf numFmtId="165" fontId="3" fillId="0" borderId="0" xfId="2" applyNumberFormat="1" applyFont="1" applyFill="1" applyBorder="1" applyAlignment="1">
      <alignment vertical="center"/>
    </xf>
    <xf numFmtId="3" fontId="3" fillId="0" borderId="0" xfId="2" applyNumberFormat="1" applyFont="1" applyFill="1" applyBorder="1" applyAlignment="1">
      <alignment vertical="center"/>
    </xf>
    <xf numFmtId="0" fontId="38" fillId="0" borderId="0" xfId="0" applyFont="1" applyAlignment="1">
      <alignment vertical="center"/>
    </xf>
    <xf numFmtId="2" fontId="3" fillId="0" borderId="0" xfId="0" applyNumberFormat="1" applyFont="1" applyAlignment="1">
      <alignment horizontal="left" vertical="center"/>
    </xf>
    <xf numFmtId="165" fontId="26" fillId="0" borderId="0" xfId="1" applyNumberFormat="1" applyFont="1" applyBorder="1" applyAlignment="1">
      <alignment horizontal="center" vertical="center"/>
    </xf>
    <xf numFmtId="0" fontId="26" fillId="0" borderId="0" xfId="0" applyFont="1" applyAlignment="1">
      <alignment vertical="center" wrapText="1"/>
    </xf>
    <xf numFmtId="0" fontId="2" fillId="15" borderId="0" xfId="0" applyFont="1" applyFill="1" applyAlignment="1">
      <alignment vertical="center"/>
    </xf>
    <xf numFmtId="165" fontId="2" fillId="0" borderId="0" xfId="1" applyNumberFormat="1" applyFont="1" applyBorder="1" applyAlignment="1">
      <alignment horizontal="right" vertical="center"/>
    </xf>
    <xf numFmtId="165" fontId="3" fillId="0" borderId="0" xfId="1" applyNumberFormat="1" applyFont="1" applyBorder="1" applyAlignment="1">
      <alignment horizontal="right" vertical="center"/>
    </xf>
    <xf numFmtId="165" fontId="38" fillId="0" borderId="0" xfId="1" applyNumberFormat="1" applyFont="1" applyFill="1" applyBorder="1" applyAlignment="1">
      <alignment horizontal="center" vertical="center" wrapText="1"/>
    </xf>
    <xf numFmtId="43" fontId="3" fillId="0" borderId="0" xfId="0" applyNumberFormat="1" applyFont="1" applyAlignment="1">
      <alignment horizontal="center" vertical="center"/>
    </xf>
    <xf numFmtId="3" fontId="3" fillId="0" borderId="0" xfId="2" applyNumberFormat="1" applyFont="1" applyFill="1" applyBorder="1" applyAlignment="1">
      <alignment horizontal="center" vertical="center"/>
    </xf>
    <xf numFmtId="165" fontId="38" fillId="0" borderId="0" xfId="1" applyNumberFormat="1" applyFont="1" applyFill="1" applyBorder="1" applyAlignment="1">
      <alignment horizontal="left" vertical="center" wrapText="1"/>
    </xf>
    <xf numFmtId="3" fontId="3" fillId="0" borderId="0" xfId="2" applyNumberFormat="1" applyFont="1" applyBorder="1" applyAlignment="1">
      <alignment horizontal="center" vertical="center"/>
    </xf>
    <xf numFmtId="3" fontId="2" fillId="0" borderId="0" xfId="0" applyNumberFormat="1" applyFont="1" applyAlignment="1">
      <alignment horizontal="center" vertical="center"/>
    </xf>
    <xf numFmtId="165" fontId="38" fillId="0" borderId="0" xfId="1" applyNumberFormat="1" applyFont="1" applyBorder="1" applyAlignment="1">
      <alignment horizontal="right" vertical="center"/>
    </xf>
    <xf numFmtId="3" fontId="38" fillId="0" borderId="0" xfId="2" applyNumberFormat="1" applyFont="1" applyFill="1" applyBorder="1" applyAlignment="1">
      <alignment horizontal="center" vertical="center"/>
    </xf>
    <xf numFmtId="43" fontId="27" fillId="0" borderId="0" xfId="0" applyNumberFormat="1" applyFont="1" applyAlignment="1">
      <alignment vertical="center"/>
    </xf>
    <xf numFmtId="0" fontId="2" fillId="0" borderId="0" xfId="0" applyFont="1" applyAlignment="1">
      <alignment vertical="center" wrapText="1"/>
    </xf>
    <xf numFmtId="165" fontId="3" fillId="0" borderId="27" xfId="1" applyNumberFormat="1" applyFont="1" applyFill="1" applyBorder="1" applyAlignment="1">
      <alignment horizontal="center" vertical="center"/>
    </xf>
    <xf numFmtId="0" fontId="27" fillId="0" borderId="0" xfId="0" applyFont="1" applyAlignment="1">
      <alignment wrapText="1"/>
    </xf>
    <xf numFmtId="0" fontId="54" fillId="0" borderId="0" xfId="0" applyFont="1" applyAlignment="1">
      <alignment horizontal="center" vertical="center" wrapText="1"/>
    </xf>
    <xf numFmtId="0" fontId="54" fillId="0" borderId="0" xfId="0" applyFont="1" applyAlignment="1">
      <alignment horizontal="center" vertical="center"/>
    </xf>
    <xf numFmtId="0" fontId="3" fillId="0" borderId="0" xfId="0" applyFont="1" applyAlignment="1">
      <alignment horizontal="center" vertical="center" wrapText="1"/>
    </xf>
    <xf numFmtId="0" fontId="53" fillId="0" borderId="0" xfId="0" applyFont="1" applyAlignment="1">
      <alignment vertical="center"/>
    </xf>
    <xf numFmtId="165" fontId="53" fillId="0" borderId="0" xfId="1" applyNumberFormat="1" applyFont="1" applyFill="1" applyBorder="1" applyAlignment="1">
      <alignment vertical="center"/>
    </xf>
    <xf numFmtId="43" fontId="53" fillId="0" borderId="0" xfId="0" applyNumberFormat="1" applyFont="1" applyAlignment="1">
      <alignment vertical="center"/>
    </xf>
    <xf numFmtId="43" fontId="53" fillId="0" borderId="0" xfId="1" applyFont="1" applyFill="1" applyBorder="1" applyAlignment="1">
      <alignment vertical="center"/>
    </xf>
    <xf numFmtId="0" fontId="54" fillId="0" borderId="0" xfId="0" applyFont="1" applyAlignment="1">
      <alignment vertical="center"/>
    </xf>
    <xf numFmtId="0" fontId="122" fillId="0" borderId="0" xfId="0" applyFont="1" applyAlignment="1">
      <alignment vertical="center"/>
    </xf>
    <xf numFmtId="0" fontId="37" fillId="0" borderId="0" xfId="0" applyFont="1"/>
    <xf numFmtId="43" fontId="67" fillId="0" borderId="0" xfId="0" applyNumberFormat="1" applyFont="1"/>
    <xf numFmtId="0" fontId="67" fillId="0" borderId="0" xfId="0" applyFont="1"/>
    <xf numFmtId="0" fontId="124" fillId="0" borderId="0" xfId="0" applyFont="1"/>
    <xf numFmtId="3" fontId="3" fillId="0" borderId="0" xfId="0" applyNumberFormat="1" applyFont="1" applyAlignment="1">
      <alignment horizontal="center" vertical="center"/>
    </xf>
    <xf numFmtId="165" fontId="3" fillId="0" borderId="0" xfId="8" applyNumberFormat="1" applyFont="1" applyFill="1" applyBorder="1" applyAlignment="1">
      <alignment vertical="center" wrapText="1"/>
    </xf>
    <xf numFmtId="165" fontId="3" fillId="0" borderId="0" xfId="7" applyNumberFormat="1" applyFont="1" applyFill="1" applyBorder="1" applyAlignment="1">
      <alignment vertical="center" wrapText="1"/>
    </xf>
    <xf numFmtId="165" fontId="38" fillId="0" borderId="0" xfId="1" applyNumberFormat="1" applyFont="1" applyFill="1" applyBorder="1" applyAlignment="1">
      <alignment vertical="center"/>
    </xf>
    <xf numFmtId="0" fontId="26" fillId="0" borderId="0" xfId="0" applyFont="1" applyAlignment="1">
      <alignment horizontal="center" vertical="center" wrapText="1"/>
    </xf>
    <xf numFmtId="3" fontId="3" fillId="0" borderId="0" xfId="0" applyNumberFormat="1" applyFont="1" applyAlignment="1">
      <alignment vertical="center"/>
    </xf>
    <xf numFmtId="165" fontId="2" fillId="0" borderId="0" xfId="2" applyNumberFormat="1" applyFont="1" applyFill="1" applyBorder="1" applyAlignment="1">
      <alignment vertical="center"/>
    </xf>
    <xf numFmtId="165" fontId="2" fillId="0" borderId="0" xfId="2" applyNumberFormat="1" applyFont="1" applyFill="1" applyBorder="1" applyAlignment="1">
      <alignment horizontal="right" vertical="center"/>
    </xf>
    <xf numFmtId="165" fontId="3" fillId="0" borderId="0" xfId="2" applyNumberFormat="1" applyFont="1" applyFill="1" applyBorder="1" applyAlignment="1">
      <alignment horizontal="left" vertical="center"/>
    </xf>
    <xf numFmtId="165" fontId="3" fillId="0" borderId="0" xfId="1" applyNumberFormat="1" applyFont="1" applyFill="1" applyAlignment="1">
      <alignment vertical="center"/>
    </xf>
    <xf numFmtId="165" fontId="3" fillId="0" borderId="0" xfId="1" quotePrefix="1" applyNumberFormat="1" applyFont="1" applyFill="1" applyBorder="1" applyAlignment="1">
      <alignment horizontal="center" vertical="center"/>
    </xf>
    <xf numFmtId="165" fontId="8" fillId="0" borderId="0" xfId="1" applyNumberFormat="1" applyFont="1" applyFill="1" applyAlignment="1">
      <alignment vertical="center"/>
    </xf>
    <xf numFmtId="165" fontId="3" fillId="0" borderId="0" xfId="1" applyNumberFormat="1" applyFont="1" applyFill="1" applyAlignment="1">
      <alignment horizontal="center" vertical="center"/>
    </xf>
    <xf numFmtId="0" fontId="36" fillId="0" borderId="0" xfId="0" applyFont="1" applyAlignment="1">
      <alignment vertical="center"/>
    </xf>
    <xf numFmtId="165" fontId="27" fillId="0" borderId="0" xfId="1" applyNumberFormat="1" applyFont="1" applyBorder="1" applyAlignment="1">
      <alignment vertical="center"/>
    </xf>
    <xf numFmtId="165" fontId="27" fillId="0" borderId="0" xfId="1" applyNumberFormat="1" applyFont="1" applyBorder="1" applyAlignment="1">
      <alignment horizontal="center" vertical="center"/>
    </xf>
    <xf numFmtId="0" fontId="3" fillId="0" borderId="0" xfId="1" applyNumberFormat="1" applyFont="1" applyFill="1" applyBorder="1" applyAlignment="1">
      <alignment vertical="center"/>
    </xf>
    <xf numFmtId="0" fontId="27" fillId="0" borderId="0" xfId="0" applyFont="1" applyAlignment="1">
      <alignment horizontal="left" vertical="center"/>
    </xf>
    <xf numFmtId="165" fontId="2" fillId="0" borderId="3" xfId="1" applyNumberFormat="1" applyFont="1" applyBorder="1" applyAlignment="1">
      <alignment vertical="center"/>
    </xf>
    <xf numFmtId="165" fontId="2" fillId="0" borderId="0" xfId="1" applyNumberFormat="1" applyFont="1" applyBorder="1" applyAlignment="1">
      <alignment vertical="center"/>
    </xf>
    <xf numFmtId="165" fontId="3" fillId="0" borderId="0" xfId="0" applyNumberFormat="1" applyFont="1" applyAlignment="1">
      <alignment horizontal="left" vertical="center"/>
    </xf>
    <xf numFmtId="165" fontId="27" fillId="30" borderId="0" xfId="1" applyNumberFormat="1" applyFont="1" applyFill="1" applyBorder="1" applyAlignment="1">
      <alignment vertical="center"/>
    </xf>
    <xf numFmtId="37" fontId="27" fillId="0" borderId="0" xfId="1" applyNumberFormat="1" applyFont="1" applyFill="1" applyBorder="1" applyAlignment="1">
      <alignment vertical="center"/>
    </xf>
    <xf numFmtId="165" fontId="27" fillId="0" borderId="0" xfId="1" applyNumberFormat="1" applyFont="1" applyBorder="1" applyAlignment="1">
      <alignment horizontal="right" vertical="center"/>
    </xf>
    <xf numFmtId="165" fontId="26" fillId="0" borderId="0" xfId="0" applyNumberFormat="1" applyFont="1" applyAlignment="1">
      <alignment horizontal="center" vertical="center"/>
    </xf>
    <xf numFmtId="165" fontId="27" fillId="7" borderId="0" xfId="1" applyNumberFormat="1" applyFont="1" applyFill="1" applyBorder="1" applyAlignment="1">
      <alignment vertical="center"/>
    </xf>
    <xf numFmtId="165" fontId="27" fillId="7" borderId="0" xfId="1" applyNumberFormat="1" applyFont="1" applyFill="1" applyBorder="1" applyAlignment="1">
      <alignment horizontal="right" vertical="center"/>
    </xf>
    <xf numFmtId="0" fontId="48" fillId="0" borderId="0" xfId="0" applyFont="1" applyAlignment="1">
      <alignment horizontal="left" vertical="center"/>
    </xf>
    <xf numFmtId="10" fontId="27" fillId="0" borderId="0" xfId="0" applyNumberFormat="1" applyFont="1" applyAlignment="1">
      <alignment vertical="center"/>
    </xf>
    <xf numFmtId="0" fontId="27" fillId="0" borderId="0" xfId="0" applyFont="1" applyAlignment="1">
      <alignment horizontal="right" vertical="center"/>
    </xf>
    <xf numFmtId="43" fontId="26" fillId="0" borderId="0" xfId="1" applyFont="1" applyFill="1" applyBorder="1" applyAlignment="1">
      <alignment vertical="center"/>
    </xf>
    <xf numFmtId="165" fontId="2" fillId="0" borderId="18" xfId="1" applyNumberFormat="1" applyFont="1" applyFill="1" applyBorder="1" applyAlignment="1">
      <alignment vertical="center"/>
    </xf>
    <xf numFmtId="165" fontId="3" fillId="0" borderId="21" xfId="1" applyNumberFormat="1" applyFont="1" applyFill="1" applyBorder="1" applyAlignment="1">
      <alignment vertical="center"/>
    </xf>
    <xf numFmtId="165" fontId="2" fillId="0" borderId="34" xfId="1" applyNumberFormat="1" applyFont="1" applyFill="1" applyBorder="1" applyAlignment="1">
      <alignment vertical="center"/>
    </xf>
    <xf numFmtId="165" fontId="37" fillId="0" borderId="0" xfId="1" applyNumberFormat="1" applyFont="1" applyBorder="1" applyAlignment="1">
      <alignment vertical="center"/>
    </xf>
    <xf numFmtId="165" fontId="3" fillId="21" borderId="21" xfId="1" applyNumberFormat="1" applyFont="1" applyFill="1" applyBorder="1" applyAlignment="1">
      <alignment horizontal="center" vertical="center"/>
    </xf>
    <xf numFmtId="0" fontId="2" fillId="0" borderId="0" xfId="0" applyFont="1" applyAlignment="1">
      <alignment horizontal="left" indent="1"/>
    </xf>
    <xf numFmtId="2" fontId="27" fillId="0" borderId="0" xfId="0" applyNumberFormat="1" applyFont="1" applyAlignment="1">
      <alignment vertical="center"/>
    </xf>
    <xf numFmtId="43" fontId="2" fillId="0" borderId="0" xfId="0" applyNumberFormat="1" applyFont="1" applyAlignment="1">
      <alignment vertical="center"/>
    </xf>
    <xf numFmtId="0" fontId="26" fillId="0" borderId="0" xfId="0" applyFont="1" applyAlignment="1">
      <alignment horizontal="left" vertical="center" wrapText="1"/>
    </xf>
    <xf numFmtId="43" fontId="2" fillId="0" borderId="0" xfId="0" applyNumberFormat="1" applyFont="1"/>
    <xf numFmtId="165" fontId="2" fillId="0" borderId="3" xfId="1" applyNumberFormat="1" applyFont="1" applyFill="1" applyBorder="1" applyAlignment="1">
      <alignment vertical="center"/>
    </xf>
    <xf numFmtId="165" fontId="26" fillId="0" borderId="0" xfId="1" applyNumberFormat="1" applyFont="1" applyFill="1" applyBorder="1" applyAlignment="1">
      <alignment horizontal="left" vertical="center"/>
    </xf>
    <xf numFmtId="165" fontId="2" fillId="0" borderId="0" xfId="1" applyNumberFormat="1" applyFont="1" applyFill="1" applyBorder="1" applyAlignment="1">
      <alignment horizontal="left" vertical="center"/>
    </xf>
    <xf numFmtId="165" fontId="2" fillId="0" borderId="0" xfId="0" applyNumberFormat="1" applyFont="1" applyAlignment="1">
      <alignment horizontal="center" vertical="center"/>
    </xf>
    <xf numFmtId="0" fontId="26" fillId="0" borderId="0" xfId="0" applyFont="1" applyAlignment="1">
      <alignment horizontal="center"/>
    </xf>
    <xf numFmtId="49" fontId="27" fillId="0" borderId="0" xfId="0" applyNumberFormat="1" applyFont="1" applyAlignment="1">
      <alignment horizontal="center" vertical="center"/>
    </xf>
    <xf numFmtId="0" fontId="62" fillId="0" borderId="0" xfId="9" quotePrefix="1" applyFont="1" applyFill="1" applyAlignment="1" applyProtection="1">
      <alignment vertical="center"/>
    </xf>
    <xf numFmtId="0" fontId="26" fillId="0" borderId="0" xfId="0" applyFont="1" applyAlignment="1">
      <alignment wrapText="1"/>
    </xf>
    <xf numFmtId="0" fontId="62" fillId="0" borderId="0" xfId="9" applyFont="1" applyFill="1" applyAlignment="1" applyProtection="1">
      <alignment vertical="center" wrapText="1"/>
    </xf>
    <xf numFmtId="165" fontId="27" fillId="0" borderId="45" xfId="1" applyNumberFormat="1" applyFont="1" applyFill="1" applyBorder="1" applyAlignment="1">
      <alignment vertical="center"/>
    </xf>
    <xf numFmtId="165" fontId="26" fillId="0" borderId="13" xfId="1" applyNumberFormat="1" applyFont="1" applyFill="1" applyBorder="1" applyAlignment="1">
      <alignment vertical="center"/>
    </xf>
    <xf numFmtId="0" fontId="128" fillId="0" borderId="0" xfId="0" applyFont="1"/>
    <xf numFmtId="0" fontId="128" fillId="0" borderId="0" xfId="0" applyFont="1" applyAlignment="1">
      <alignment vertical="center" wrapText="1"/>
    </xf>
    <xf numFmtId="0" fontId="26" fillId="0" borderId="0" xfId="25" applyFont="1" applyAlignment="1">
      <alignment vertical="center"/>
    </xf>
    <xf numFmtId="0" fontId="129" fillId="0" borderId="0" xfId="0" applyFont="1" applyAlignment="1">
      <alignment vertical="top"/>
    </xf>
    <xf numFmtId="0" fontId="128" fillId="0" borderId="0" xfId="0" applyFont="1" applyAlignment="1">
      <alignment vertical="top"/>
    </xf>
    <xf numFmtId="165" fontId="3" fillId="0" borderId="0" xfId="1" applyNumberFormat="1" applyFont="1" applyFill="1" applyAlignment="1">
      <alignment horizontal="left" vertical="center"/>
    </xf>
    <xf numFmtId="0" fontId="3" fillId="0" borderId="0" xfId="1" applyNumberFormat="1" applyFont="1" applyFill="1" applyBorder="1" applyAlignment="1">
      <alignment horizontal="left" vertical="center"/>
    </xf>
    <xf numFmtId="165" fontId="26" fillId="0" borderId="0" xfId="1" applyNumberFormat="1" applyFont="1" applyFill="1" applyBorder="1" applyAlignment="1">
      <alignment horizontal="center" vertical="center" wrapText="1"/>
    </xf>
    <xf numFmtId="165" fontId="2" fillId="0" borderId="45" xfId="0" applyNumberFormat="1" applyFont="1" applyBorder="1" applyAlignment="1">
      <alignment vertical="center"/>
    </xf>
    <xf numFmtId="165" fontId="27" fillId="0" borderId="0" xfId="1" applyNumberFormat="1" applyFont="1" applyAlignment="1">
      <alignment vertical="center"/>
    </xf>
    <xf numFmtId="165" fontId="2" fillId="0" borderId="33" xfId="1" applyNumberFormat="1" applyFont="1" applyFill="1" applyBorder="1" applyAlignment="1">
      <alignment vertical="center"/>
    </xf>
    <xf numFmtId="184" fontId="57" fillId="0" borderId="0" xfId="0" applyNumberFormat="1" applyFont="1" applyAlignment="1">
      <alignment horizontal="right" vertical="center"/>
    </xf>
    <xf numFmtId="165" fontId="2" fillId="0" borderId="0" xfId="0" applyNumberFormat="1" applyFont="1" applyAlignment="1">
      <alignment horizontal="left" vertical="center"/>
    </xf>
    <xf numFmtId="43" fontId="2" fillId="0" borderId="0" xfId="1" applyFont="1" applyFill="1" applyAlignment="1">
      <alignment vertical="center"/>
    </xf>
    <xf numFmtId="0" fontId="57" fillId="0" borderId="0" xfId="0" applyFont="1" applyAlignment="1">
      <alignment wrapText="1"/>
    </xf>
    <xf numFmtId="165" fontId="3" fillId="21" borderId="21" xfId="1" applyNumberFormat="1" applyFont="1" applyFill="1" applyBorder="1" applyAlignment="1">
      <alignment vertical="center"/>
    </xf>
    <xf numFmtId="0" fontId="128" fillId="0" borderId="0" xfId="0" applyFont="1" applyAlignment="1">
      <alignment horizontal="left" vertical="center" indent="5"/>
    </xf>
    <xf numFmtId="0" fontId="128" fillId="0" borderId="0" xfId="0" quotePrefix="1" applyFont="1" applyAlignment="1">
      <alignment horizontal="center" vertical="center"/>
    </xf>
    <xf numFmtId="0" fontId="131" fillId="0" borderId="0" xfId="0" applyFont="1" applyAlignment="1">
      <alignment vertical="center" wrapText="1"/>
    </xf>
    <xf numFmtId="165" fontId="3" fillId="21" borderId="20" xfId="1" applyNumberFormat="1" applyFont="1" applyFill="1" applyBorder="1" applyAlignment="1">
      <alignment horizontal="center" vertical="center"/>
    </xf>
    <xf numFmtId="165" fontId="2" fillId="0" borderId="32" xfId="1" applyNumberFormat="1" applyFont="1" applyFill="1" applyBorder="1" applyAlignment="1">
      <alignment vertical="center"/>
    </xf>
    <xf numFmtId="165" fontId="2" fillId="0" borderId="0" xfId="1" quotePrefix="1" applyNumberFormat="1" applyFont="1" applyFill="1" applyBorder="1" applyAlignment="1">
      <alignment horizontal="center" vertical="center"/>
    </xf>
    <xf numFmtId="0" fontId="3" fillId="0" borderId="4" xfId="0" applyFont="1" applyBorder="1" applyAlignment="1">
      <alignment horizontal="left" vertical="center"/>
    </xf>
    <xf numFmtId="165" fontId="3" fillId="0" borderId="0" xfId="1" applyNumberFormat="1" applyFont="1" applyFill="1" applyBorder="1" applyAlignment="1">
      <alignment horizontal="left" vertical="center"/>
    </xf>
    <xf numFmtId="43" fontId="27" fillId="0" borderId="0" xfId="1" applyFont="1" applyFill="1" applyBorder="1" applyAlignment="1">
      <alignment vertical="center"/>
    </xf>
    <xf numFmtId="0" fontId="51" fillId="0" borderId="0" xfId="0" applyFont="1" applyAlignment="1">
      <alignment vertical="center"/>
    </xf>
    <xf numFmtId="0" fontId="51" fillId="0" borderId="0" xfId="0" applyFont="1" applyAlignment="1">
      <alignment horizontal="left" vertical="center" wrapText="1"/>
    </xf>
    <xf numFmtId="0" fontId="57" fillId="0" borderId="0" xfId="0" applyFont="1" applyAlignment="1">
      <alignment vertical="center"/>
    </xf>
    <xf numFmtId="0" fontId="133" fillId="0" borderId="0" xfId="0" applyFont="1"/>
    <xf numFmtId="0" fontId="26" fillId="0" borderId="0" xfId="25" applyFont="1" applyAlignment="1">
      <alignment horizontal="right" vertical="center"/>
    </xf>
    <xf numFmtId="165" fontId="26" fillId="0" borderId="0" xfId="2" applyNumberFormat="1" applyFont="1" applyFill="1" applyBorder="1" applyAlignment="1">
      <alignment vertical="center"/>
    </xf>
    <xf numFmtId="0" fontId="26" fillId="0" borderId="0" xfId="0" applyFont="1" applyAlignment="1">
      <alignment horizontal="right" vertical="center"/>
    </xf>
    <xf numFmtId="165" fontId="27" fillId="0" borderId="18" xfId="1" applyNumberFormat="1" applyFont="1" applyFill="1" applyBorder="1" applyAlignment="1">
      <alignment vertical="center"/>
    </xf>
    <xf numFmtId="165" fontId="27" fillId="0" borderId="34" xfId="1" applyNumberFormat="1" applyFont="1" applyFill="1" applyBorder="1" applyAlignment="1">
      <alignment vertical="center"/>
    </xf>
    <xf numFmtId="0" fontId="27" fillId="0" borderId="18" xfId="0" applyFont="1" applyBorder="1" applyAlignment="1">
      <alignment vertical="center"/>
    </xf>
    <xf numFmtId="165" fontId="3" fillId="0" borderId="13" xfId="0" applyNumberFormat="1" applyFont="1" applyBorder="1" applyAlignment="1">
      <alignment horizontal="left" vertical="center"/>
    </xf>
    <xf numFmtId="165" fontId="2" fillId="0" borderId="4" xfId="0" applyNumberFormat="1" applyFont="1" applyBorder="1" applyAlignment="1">
      <alignment horizontal="left" vertical="center"/>
    </xf>
    <xf numFmtId="165" fontId="2" fillId="0" borderId="50" xfId="0" applyNumberFormat="1" applyFont="1" applyBorder="1" applyAlignment="1">
      <alignment horizontal="left" vertical="center"/>
    </xf>
    <xf numFmtId="165" fontId="2" fillId="0" borderId="45" xfId="0" applyNumberFormat="1" applyFont="1" applyBorder="1" applyAlignment="1">
      <alignment horizontal="left" vertical="center"/>
    </xf>
    <xf numFmtId="165" fontId="3" fillId="0" borderId="52" xfId="0" applyNumberFormat="1" applyFont="1" applyBorder="1" applyAlignment="1">
      <alignment horizontal="left" vertical="center"/>
    </xf>
    <xf numFmtId="0" fontId="2" fillId="0" borderId="0" xfId="0" applyFont="1" applyAlignment="1">
      <alignment horizontal="left" vertical="center" wrapText="1"/>
    </xf>
    <xf numFmtId="165" fontId="3" fillId="0" borderId="0" xfId="0" applyNumberFormat="1" applyFont="1" applyAlignment="1">
      <alignment vertical="center" wrapText="1"/>
    </xf>
    <xf numFmtId="173" fontId="27" fillId="0" borderId="0" xfId="1" applyNumberFormat="1" applyFont="1" applyFill="1" applyBorder="1" applyAlignment="1">
      <alignment vertical="center"/>
    </xf>
    <xf numFmtId="0" fontId="26" fillId="0" borderId="0" xfId="25" applyFont="1" applyAlignment="1">
      <alignment horizontal="left" vertical="center"/>
    </xf>
    <xf numFmtId="165" fontId="27" fillId="0" borderId="76" xfId="1" applyNumberFormat="1" applyFont="1" applyFill="1" applyBorder="1" applyAlignment="1">
      <alignment vertical="center"/>
    </xf>
    <xf numFmtId="0" fontId="27" fillId="0" borderId="50" xfId="0" applyFont="1" applyBorder="1" applyAlignment="1">
      <alignment vertical="center"/>
    </xf>
    <xf numFmtId="166" fontId="27" fillId="0" borderId="0" xfId="0" applyNumberFormat="1" applyFont="1" applyAlignment="1">
      <alignment vertical="center"/>
    </xf>
    <xf numFmtId="165" fontId="26" fillId="0" borderId="0" xfId="0" applyNumberFormat="1" applyFont="1" applyAlignment="1">
      <alignment vertical="center"/>
    </xf>
    <xf numFmtId="0" fontId="37" fillId="0" borderId="0" xfId="0" applyFont="1" applyAlignment="1">
      <alignment vertical="center"/>
    </xf>
    <xf numFmtId="3" fontId="27" fillId="0" borderId="0" xfId="15" applyNumberFormat="1" applyFont="1" applyAlignment="1">
      <alignment vertical="center"/>
    </xf>
    <xf numFmtId="3" fontId="27" fillId="0" borderId="0" xfId="0" applyNumberFormat="1" applyFont="1" applyAlignment="1">
      <alignment vertical="center"/>
    </xf>
    <xf numFmtId="165" fontId="27" fillId="0" borderId="0" xfId="15" applyNumberFormat="1" applyFont="1" applyAlignment="1">
      <alignment vertical="center"/>
    </xf>
    <xf numFmtId="3" fontId="26" fillId="0" borderId="0" xfId="15" applyNumberFormat="1" applyFont="1" applyAlignment="1">
      <alignment vertical="center"/>
    </xf>
    <xf numFmtId="10" fontId="27" fillId="0" borderId="0" xfId="10" applyNumberFormat="1" applyFont="1" applyFill="1" applyBorder="1" applyAlignment="1">
      <alignment vertical="center"/>
    </xf>
    <xf numFmtId="165" fontId="26" fillId="0" borderId="0" xfId="15" applyNumberFormat="1" applyFont="1" applyAlignment="1">
      <alignment vertical="center"/>
    </xf>
    <xf numFmtId="165" fontId="26" fillId="0" borderId="21" xfId="1" applyNumberFormat="1" applyFont="1" applyFill="1" applyBorder="1" applyAlignment="1">
      <alignment vertical="center"/>
    </xf>
    <xf numFmtId="0" fontId="27" fillId="0" borderId="2" xfId="0" applyFont="1" applyBorder="1" applyAlignment="1">
      <alignment vertical="center"/>
    </xf>
    <xf numFmtId="3" fontId="27" fillId="0" borderId="0" xfId="0" applyNumberFormat="1" applyFont="1" applyAlignment="1">
      <alignment horizontal="right" vertical="center"/>
    </xf>
    <xf numFmtId="165" fontId="27" fillId="0" borderId="0" xfId="1" applyNumberFormat="1" applyFont="1" applyFill="1" applyBorder="1" applyAlignment="1">
      <alignment horizontal="right" vertical="center"/>
    </xf>
    <xf numFmtId="0" fontId="27" fillId="30" borderId="0" xfId="0" applyFont="1" applyFill="1" applyAlignment="1">
      <alignment horizontal="right" vertical="center"/>
    </xf>
    <xf numFmtId="10" fontId="27" fillId="0" borderId="0" xfId="10" applyNumberFormat="1" applyFont="1" applyBorder="1" applyAlignment="1">
      <alignment vertical="center"/>
    </xf>
    <xf numFmtId="43" fontId="27" fillId="0" borderId="0" xfId="1" applyFont="1" applyAlignment="1">
      <alignment vertical="center"/>
    </xf>
    <xf numFmtId="9" fontId="27" fillId="0" borderId="0" xfId="10" applyFont="1" applyAlignment="1">
      <alignment vertical="center"/>
    </xf>
    <xf numFmtId="1" fontId="27" fillId="0" borderId="0" xfId="10" applyNumberFormat="1" applyFont="1" applyAlignment="1">
      <alignment vertical="center"/>
    </xf>
    <xf numFmtId="165" fontId="48" fillId="0" borderId="0" xfId="0" applyNumberFormat="1" applyFont="1" applyAlignment="1">
      <alignment vertical="center"/>
    </xf>
    <xf numFmtId="9" fontId="48" fillId="0" borderId="0" xfId="10" applyFont="1" applyFill="1" applyBorder="1" applyAlignment="1">
      <alignment vertical="center"/>
    </xf>
    <xf numFmtId="165" fontId="26" fillId="0" borderId="0" xfId="1" applyNumberFormat="1" applyFont="1" applyFill="1" applyAlignment="1">
      <alignment vertical="center"/>
    </xf>
    <xf numFmtId="165" fontId="22" fillId="30" borderId="0" xfId="1" applyNumberFormat="1" applyFont="1" applyFill="1" applyBorder="1" applyAlignment="1">
      <alignment vertical="center"/>
    </xf>
    <xf numFmtId="0" fontId="26" fillId="7" borderId="0" xfId="0" applyFont="1" applyFill="1" applyAlignment="1">
      <alignment vertical="center"/>
    </xf>
    <xf numFmtId="0" fontId="18" fillId="0" borderId="0" xfId="0" applyFont="1" applyAlignment="1">
      <alignment vertical="center" wrapText="1"/>
    </xf>
    <xf numFmtId="165" fontId="0" fillId="0" borderId="0" xfId="1" applyNumberFormat="1" applyFont="1" applyAlignment="1">
      <alignment vertical="center"/>
    </xf>
    <xf numFmtId="165" fontId="27" fillId="0" borderId="0" xfId="0" applyNumberFormat="1" applyFont="1" applyAlignment="1">
      <alignment vertical="center" wrapText="1"/>
    </xf>
    <xf numFmtId="0" fontId="26" fillId="0" borderId="0" xfId="25" applyFont="1" applyAlignment="1">
      <alignment horizontal="center" vertical="center"/>
    </xf>
    <xf numFmtId="165" fontId="36" fillId="0" borderId="0" xfId="1" applyNumberFormat="1" applyFont="1" applyFill="1" applyBorder="1" applyAlignment="1">
      <alignment vertical="center"/>
    </xf>
    <xf numFmtId="165" fontId="32" fillId="0" borderId="0" xfId="1" applyNumberFormat="1" applyFont="1" applyFill="1" applyBorder="1" applyAlignment="1">
      <alignment horizontal="center" vertical="center"/>
    </xf>
    <xf numFmtId="165" fontId="27" fillId="0" borderId="0" xfId="0" applyNumberFormat="1" applyFont="1" applyAlignment="1">
      <alignment horizontal="center" vertical="center"/>
    </xf>
    <xf numFmtId="2" fontId="27" fillId="0" borderId="0" xfId="1" applyNumberFormat="1" applyFont="1" applyFill="1" applyBorder="1" applyAlignment="1">
      <alignment horizontal="right" vertical="center"/>
    </xf>
    <xf numFmtId="2" fontId="0" fillId="0" borderId="0" xfId="0" applyNumberFormat="1" applyAlignment="1">
      <alignment vertical="center"/>
    </xf>
    <xf numFmtId="2" fontId="27" fillId="0" borderId="0" xfId="1" applyNumberFormat="1" applyFont="1" applyFill="1" applyBorder="1" applyAlignment="1">
      <alignment vertical="center"/>
    </xf>
    <xf numFmtId="2" fontId="26" fillId="0" borderId="0" xfId="1" applyNumberFormat="1" applyFont="1" applyFill="1" applyBorder="1" applyAlignment="1">
      <alignment horizontal="right" vertical="center"/>
    </xf>
    <xf numFmtId="2" fontId="24" fillId="0" borderId="0" xfId="0" applyNumberFormat="1" applyFont="1" applyAlignment="1">
      <alignment vertical="center"/>
    </xf>
    <xf numFmtId="43" fontId="0" fillId="0" borderId="0" xfId="1" applyFont="1" applyFill="1" applyBorder="1" applyAlignment="1">
      <alignment vertical="center"/>
    </xf>
    <xf numFmtId="0" fontId="44" fillId="0" borderId="0" xfId="0" applyFont="1" applyAlignment="1">
      <alignment vertical="center"/>
    </xf>
    <xf numFmtId="2" fontId="29" fillId="0" borderId="0" xfId="1" applyNumberFormat="1" applyFont="1" applyFill="1" applyBorder="1" applyAlignment="1">
      <alignment horizontal="right" vertical="center"/>
    </xf>
    <xf numFmtId="2" fontId="28" fillId="0" borderId="0" xfId="1" applyNumberFormat="1" applyFont="1" applyFill="1" applyBorder="1" applyAlignment="1">
      <alignment horizontal="right" vertical="center"/>
    </xf>
    <xf numFmtId="0" fontId="27" fillId="0" borderId="0" xfId="0" applyFont="1" applyAlignment="1">
      <alignment horizontal="right" vertical="center" wrapText="1"/>
    </xf>
    <xf numFmtId="169" fontId="27" fillId="0" borderId="0" xfId="0" applyNumberFormat="1" applyFont="1" applyAlignment="1">
      <alignment vertical="center"/>
    </xf>
    <xf numFmtId="43" fontId="27" fillId="0" borderId="0" xfId="1" applyFont="1" applyFill="1" applyAlignment="1">
      <alignment vertical="center"/>
    </xf>
    <xf numFmtId="0" fontId="48" fillId="15" borderId="0" xfId="0" applyFont="1" applyFill="1" applyAlignment="1">
      <alignment vertical="center"/>
    </xf>
    <xf numFmtId="165" fontId="2" fillId="0" borderId="0" xfId="2" applyNumberFormat="1" applyFont="1" applyFill="1" applyBorder="1" applyAlignment="1">
      <alignment horizontal="center" vertical="center"/>
    </xf>
    <xf numFmtId="0" fontId="2" fillId="0" borderId="0" xfId="0" applyFont="1" applyAlignment="1">
      <alignment horizontal="right" vertical="center"/>
    </xf>
    <xf numFmtId="165" fontId="2" fillId="0" borderId="0" xfId="0" applyNumberFormat="1" applyFont="1" applyAlignment="1">
      <alignment horizontal="right" vertical="center"/>
    </xf>
    <xf numFmtId="173" fontId="2" fillId="0" borderId="0" xfId="2" applyNumberFormat="1" applyFont="1" applyFill="1" applyBorder="1" applyAlignment="1">
      <alignment horizontal="center" vertical="center"/>
    </xf>
    <xf numFmtId="37" fontId="27" fillId="0" borderId="0" xfId="0" applyNumberFormat="1" applyFont="1" applyAlignment="1">
      <alignment horizontal="right" vertical="center"/>
    </xf>
    <xf numFmtId="41" fontId="27" fillId="0" borderId="0" xfId="0" applyNumberFormat="1" applyFont="1" applyAlignment="1">
      <alignment horizontal="right" vertical="center"/>
    </xf>
    <xf numFmtId="3" fontId="2" fillId="0" borderId="0" xfId="2" applyNumberFormat="1" applyFont="1" applyFill="1" applyBorder="1" applyAlignment="1">
      <alignment horizontal="center" vertical="center"/>
    </xf>
    <xf numFmtId="165" fontId="3" fillId="0" borderId="27" xfId="1" applyNumberFormat="1" applyFont="1" applyFill="1" applyBorder="1" applyAlignment="1">
      <alignment vertical="center"/>
    </xf>
    <xf numFmtId="165" fontId="37" fillId="16" borderId="0" xfId="1" applyNumberFormat="1" applyFont="1" applyFill="1" applyAlignment="1">
      <alignment vertical="center"/>
    </xf>
    <xf numFmtId="165" fontId="37" fillId="0" borderId="0" xfId="0" applyNumberFormat="1" applyFont="1" applyAlignment="1">
      <alignment vertical="center"/>
    </xf>
    <xf numFmtId="9" fontId="3" fillId="0" borderId="0" xfId="1" applyNumberFormat="1" applyFont="1" applyFill="1" applyBorder="1" applyAlignment="1">
      <alignment vertical="center"/>
    </xf>
    <xf numFmtId="165" fontId="27" fillId="0" borderId="0" xfId="1" applyNumberFormat="1" applyFont="1" applyFill="1" applyBorder="1" applyAlignment="1">
      <alignment horizontal="left" vertical="center"/>
    </xf>
    <xf numFmtId="165" fontId="0" fillId="0" borderId="0" xfId="1" applyNumberFormat="1" applyFont="1" applyFill="1" applyAlignment="1">
      <alignment horizontal="left" vertical="center"/>
    </xf>
    <xf numFmtId="165" fontId="24" fillId="0" borderId="0" xfId="1" applyNumberFormat="1" applyFont="1" applyFill="1" applyAlignment="1">
      <alignment vertical="center"/>
    </xf>
    <xf numFmtId="165" fontId="0" fillId="0" borderId="0" xfId="1" applyNumberFormat="1" applyFont="1" applyFill="1" applyAlignment="1">
      <alignment vertical="center"/>
    </xf>
    <xf numFmtId="165" fontId="31" fillId="0" borderId="0" xfId="1" applyNumberFormat="1" applyFont="1" applyFill="1" applyAlignment="1">
      <alignment vertical="center"/>
    </xf>
    <xf numFmtId="165" fontId="52" fillId="0" borderId="0" xfId="1" applyNumberFormat="1" applyFont="1" applyFill="1" applyBorder="1" applyAlignment="1">
      <alignment vertical="center"/>
    </xf>
    <xf numFmtId="165" fontId="31" fillId="0" borderId="0" xfId="1" applyNumberFormat="1" applyFont="1" applyFill="1" applyBorder="1" applyAlignment="1">
      <alignment vertical="center"/>
    </xf>
    <xf numFmtId="165" fontId="123" fillId="0" borderId="0" xfId="1" applyNumberFormat="1" applyFont="1" applyFill="1" applyBorder="1" applyAlignment="1">
      <alignment vertical="center"/>
    </xf>
    <xf numFmtId="165" fontId="52" fillId="0" borderId="0" xfId="1" applyNumberFormat="1" applyFont="1" applyFill="1" applyBorder="1" applyAlignment="1">
      <alignment horizontal="left" vertical="center"/>
    </xf>
    <xf numFmtId="165" fontId="22" fillId="0" borderId="0" xfId="0" applyNumberFormat="1" applyFont="1" applyAlignment="1">
      <alignment horizontal="left" vertical="center"/>
    </xf>
    <xf numFmtId="165" fontId="22" fillId="0" borderId="0" xfId="0" applyNumberFormat="1" applyFont="1" applyAlignment="1">
      <alignment vertical="center"/>
    </xf>
    <xf numFmtId="0" fontId="23" fillId="0" borderId="0" xfId="9" applyFill="1" applyAlignment="1" applyProtection="1">
      <alignment vertical="center"/>
    </xf>
    <xf numFmtId="0" fontId="127" fillId="0" borderId="0" xfId="9" applyFont="1" applyFill="1" applyAlignment="1" applyProtection="1">
      <alignment vertical="center"/>
    </xf>
    <xf numFmtId="0" fontId="23" fillId="0" borderId="0" xfId="9" applyFill="1" applyAlignment="1" applyProtection="1">
      <alignment horizontal="right" vertical="center"/>
    </xf>
    <xf numFmtId="0" fontId="57" fillId="0" borderId="0" xfId="0" applyFont="1" applyAlignment="1">
      <alignment horizontal="left" vertical="center"/>
    </xf>
    <xf numFmtId="0" fontId="121" fillId="7" borderId="0" xfId="0" applyFont="1" applyFill="1" applyAlignment="1">
      <alignment vertical="center"/>
    </xf>
    <xf numFmtId="0" fontId="121" fillId="0" borderId="0" xfId="0" applyFont="1" applyAlignment="1">
      <alignment vertical="center"/>
    </xf>
    <xf numFmtId="0" fontId="18" fillId="0" borderId="0" xfId="0" applyFont="1" applyAlignment="1">
      <alignment horizontal="left" vertical="center"/>
    </xf>
    <xf numFmtId="0" fontId="26" fillId="3" borderId="0" xfId="0" applyFont="1" applyFill="1" applyAlignment="1">
      <alignment vertical="center"/>
    </xf>
    <xf numFmtId="2" fontId="2" fillId="0" borderId="0" xfId="0" applyNumberFormat="1" applyFont="1" applyAlignment="1">
      <alignment vertical="center"/>
    </xf>
    <xf numFmtId="0" fontId="37" fillId="0" borderId="0" xfId="0" applyFont="1" applyAlignment="1">
      <alignment horizontal="left" vertical="center"/>
    </xf>
    <xf numFmtId="165" fontId="27" fillId="0" borderId="0" xfId="10" applyNumberFormat="1" applyFont="1" applyFill="1" applyAlignment="1">
      <alignment vertical="center"/>
    </xf>
    <xf numFmtId="165" fontId="3" fillId="0" borderId="12" xfId="0" applyNumberFormat="1" applyFont="1" applyBorder="1" applyAlignment="1">
      <alignment horizontal="left" vertical="center"/>
    </xf>
    <xf numFmtId="185" fontId="57" fillId="0" borderId="0" xfId="0" applyNumberFormat="1" applyFont="1" applyAlignment="1">
      <alignment horizontal="right" vertical="center"/>
    </xf>
    <xf numFmtId="43" fontId="9" fillId="0" borderId="0" xfId="10" applyNumberFormat="1" applyFont="1" applyAlignment="1">
      <alignment vertical="center"/>
    </xf>
    <xf numFmtId="184" fontId="27" fillId="0" borderId="0" xfId="0" applyNumberFormat="1" applyFont="1" applyAlignment="1">
      <alignment vertical="center"/>
    </xf>
    <xf numFmtId="0" fontId="134" fillId="0" borderId="0" xfId="0" applyFont="1" applyAlignment="1">
      <alignment vertical="center"/>
    </xf>
    <xf numFmtId="165" fontId="2" fillId="0" borderId="0" xfId="0" applyNumberFormat="1" applyFont="1" applyAlignment="1">
      <alignment horizontal="center" vertical="center" wrapText="1"/>
    </xf>
    <xf numFmtId="0" fontId="3" fillId="0" borderId="0" xfId="0" applyFont="1" applyAlignment="1">
      <alignment horizontal="left" vertical="center" wrapText="1"/>
    </xf>
    <xf numFmtId="165" fontId="26" fillId="0" borderId="0" xfId="1" applyNumberFormat="1" applyFont="1" applyAlignment="1">
      <alignment vertical="center"/>
    </xf>
    <xf numFmtId="165" fontId="2" fillId="0" borderId="44" xfId="1" applyNumberFormat="1" applyFont="1" applyFill="1" applyBorder="1" applyAlignment="1">
      <alignment vertical="center"/>
    </xf>
    <xf numFmtId="165" fontId="26" fillId="0" borderId="0" xfId="0" applyNumberFormat="1" applyFont="1" applyAlignment="1">
      <alignment horizontal="left" vertical="center"/>
    </xf>
    <xf numFmtId="165" fontId="27" fillId="0" borderId="0" xfId="0" applyNumberFormat="1" applyFont="1" applyAlignment="1">
      <alignment horizontal="left" vertical="center"/>
    </xf>
    <xf numFmtId="2" fontId="27" fillId="0" borderId="4" xfId="1" applyNumberFormat="1" applyFont="1" applyFill="1" applyBorder="1" applyAlignment="1">
      <alignment vertical="center"/>
    </xf>
    <xf numFmtId="3" fontId="57" fillId="0" borderId="0" xfId="0" applyNumberFormat="1" applyFont="1"/>
    <xf numFmtId="0" fontId="57" fillId="0" borderId="0" xfId="0" applyFont="1"/>
    <xf numFmtId="3" fontId="60" fillId="0" borderId="0" xfId="0" applyNumberFormat="1" applyFont="1"/>
    <xf numFmtId="166" fontId="27" fillId="0" borderId="0" xfId="1" applyNumberFormat="1" applyFont="1" applyFill="1" applyBorder="1" applyAlignment="1">
      <alignment vertical="center"/>
    </xf>
    <xf numFmtId="185" fontId="27" fillId="0" borderId="0" xfId="0" applyNumberFormat="1" applyFont="1" applyAlignment="1">
      <alignment vertical="center"/>
    </xf>
    <xf numFmtId="166" fontId="27" fillId="0" borderId="0" xfId="1" applyNumberFormat="1" applyFont="1" applyBorder="1" applyAlignment="1">
      <alignment vertical="center"/>
    </xf>
    <xf numFmtId="184" fontId="26" fillId="0" borderId="0" xfId="0" applyNumberFormat="1" applyFont="1" applyAlignment="1">
      <alignment vertical="center"/>
    </xf>
    <xf numFmtId="185" fontId="26" fillId="0" borderId="0" xfId="0" applyNumberFormat="1" applyFont="1" applyAlignment="1">
      <alignment vertical="center"/>
    </xf>
    <xf numFmtId="166" fontId="26" fillId="0" borderId="0" xfId="1" applyNumberFormat="1" applyFont="1" applyBorder="1"/>
    <xf numFmtId="185" fontId="26" fillId="0" borderId="0" xfId="0" applyNumberFormat="1" applyFont="1"/>
    <xf numFmtId="186" fontId="27" fillId="0" borderId="0" xfId="0" applyNumberFormat="1" applyFont="1" applyAlignment="1">
      <alignment vertical="center"/>
    </xf>
    <xf numFmtId="0" fontId="3" fillId="0" borderId="0" xfId="0" applyFont="1" applyAlignment="1">
      <alignment horizontal="right" vertical="center"/>
    </xf>
    <xf numFmtId="43" fontId="48" fillId="0" borderId="0" xfId="1" applyFont="1" applyFill="1" applyAlignment="1">
      <alignment vertical="center"/>
    </xf>
    <xf numFmtId="43" fontId="48" fillId="0" borderId="0" xfId="1" applyFont="1" applyFill="1" applyAlignment="1">
      <alignment vertical="center" wrapText="1"/>
    </xf>
    <xf numFmtId="0" fontId="23" fillId="0" borderId="0" xfId="9" quotePrefix="1" applyFill="1" applyAlignment="1" applyProtection="1">
      <alignment vertical="center"/>
    </xf>
    <xf numFmtId="165" fontId="57" fillId="0" borderId="0" xfId="1" applyNumberFormat="1" applyFont="1" applyBorder="1"/>
    <xf numFmtId="165" fontId="3" fillId="0" borderId="0" xfId="8" applyNumberFormat="1" applyFont="1" applyFill="1" applyBorder="1" applyAlignment="1">
      <alignment horizontal="right" vertical="center" wrapText="1"/>
    </xf>
    <xf numFmtId="165" fontId="2" fillId="0" borderId="82" xfId="1" applyNumberFormat="1" applyFont="1" applyFill="1" applyBorder="1" applyAlignment="1">
      <alignment vertical="center"/>
    </xf>
    <xf numFmtId="165" fontId="2" fillId="0" borderId="83" xfId="1" applyNumberFormat="1" applyFont="1" applyFill="1" applyBorder="1" applyAlignment="1">
      <alignment vertical="center"/>
    </xf>
    <xf numFmtId="165" fontId="2" fillId="21" borderId="83" xfId="1" applyNumberFormat="1" applyFont="1" applyFill="1" applyBorder="1" applyAlignment="1">
      <alignment vertical="center"/>
    </xf>
    <xf numFmtId="165" fontId="3" fillId="21" borderId="84" xfId="1" applyNumberFormat="1" applyFont="1" applyFill="1" applyBorder="1" applyAlignment="1">
      <alignment horizontal="center" vertical="center"/>
    </xf>
    <xf numFmtId="165" fontId="3" fillId="21" borderId="85" xfId="1" applyNumberFormat="1" applyFont="1" applyFill="1" applyBorder="1" applyAlignment="1">
      <alignment horizontal="center" vertical="center"/>
    </xf>
    <xf numFmtId="165" fontId="3" fillId="21" borderId="44" xfId="1" applyNumberFormat="1" applyFont="1" applyFill="1" applyBorder="1" applyAlignment="1">
      <alignment horizontal="center" vertical="center"/>
    </xf>
    <xf numFmtId="165" fontId="3" fillId="0" borderId="87" xfId="1" applyNumberFormat="1" applyFont="1" applyFill="1" applyBorder="1" applyAlignment="1">
      <alignment horizontal="center" vertical="center"/>
    </xf>
    <xf numFmtId="165" fontId="2" fillId="0" borderId="5" xfId="2" applyNumberFormat="1" applyFont="1" applyFill="1" applyBorder="1" applyAlignment="1">
      <alignment horizontal="center" vertical="center"/>
    </xf>
    <xf numFmtId="0" fontId="26" fillId="7" borderId="5" xfId="0" applyFont="1" applyFill="1" applyBorder="1" applyAlignment="1">
      <alignment horizontal="center" vertical="center"/>
    </xf>
    <xf numFmtId="0" fontId="130" fillId="0" borderId="0" xfId="0" applyFont="1"/>
    <xf numFmtId="0" fontId="130" fillId="0" borderId="2" xfId="0" applyFont="1" applyBorder="1"/>
    <xf numFmtId="0" fontId="130" fillId="0" borderId="80" xfId="0" applyFont="1" applyBorder="1"/>
    <xf numFmtId="0" fontId="136" fillId="0" borderId="0" xfId="0" applyFont="1"/>
    <xf numFmtId="0" fontId="130" fillId="0" borderId="5" xfId="0" applyFont="1" applyBorder="1"/>
    <xf numFmtId="0" fontId="130" fillId="0" borderId="6" xfId="0" applyFont="1" applyBorder="1"/>
    <xf numFmtId="0" fontId="130" fillId="0" borderId="28" xfId="0" applyFont="1" applyBorder="1"/>
    <xf numFmtId="0" fontId="9" fillId="0" borderId="0" xfId="25"/>
    <xf numFmtId="0" fontId="138" fillId="0" borderId="0" xfId="25" applyFont="1"/>
    <xf numFmtId="0" fontId="140" fillId="0" borderId="0" xfId="25" applyFont="1"/>
    <xf numFmtId="165" fontId="27" fillId="0" borderId="17" xfId="2" applyNumberFormat="1" applyFont="1" applyFill="1" applyBorder="1" applyAlignment="1">
      <alignment wrapText="1"/>
    </xf>
    <xf numFmtId="165" fontId="27" fillId="0" borderId="50" xfId="2" applyNumberFormat="1" applyFont="1" applyFill="1" applyBorder="1" applyAlignment="1">
      <alignment wrapText="1"/>
    </xf>
    <xf numFmtId="165" fontId="27" fillId="0" borderId="17" xfId="2" applyNumberFormat="1" applyFont="1" applyFill="1" applyBorder="1" applyAlignment="1">
      <alignment horizontal="center"/>
    </xf>
    <xf numFmtId="165" fontId="9" fillId="0" borderId="0" xfId="25" applyNumberFormat="1"/>
    <xf numFmtId="0" fontId="72" fillId="0" borderId="0" xfId="25" applyFont="1"/>
    <xf numFmtId="165" fontId="140" fillId="0" borderId="0" xfId="25" applyNumberFormat="1" applyFont="1"/>
    <xf numFmtId="165" fontId="27" fillId="7" borderId="50" xfId="2" applyNumberFormat="1" applyFont="1" applyFill="1" applyBorder="1"/>
    <xf numFmtId="165" fontId="27" fillId="7" borderId="17" xfId="2" applyNumberFormat="1" applyFont="1" applyFill="1" applyBorder="1" applyAlignment="1">
      <alignment wrapText="1"/>
    </xf>
    <xf numFmtId="43" fontId="9" fillId="0" borderId="0" xfId="25" applyNumberFormat="1"/>
    <xf numFmtId="165" fontId="27" fillId="7" borderId="50" xfId="2" applyNumberFormat="1" applyFont="1" applyFill="1" applyBorder="1" applyAlignment="1">
      <alignment horizontal="center" wrapText="1"/>
    </xf>
    <xf numFmtId="165" fontId="27" fillId="7" borderId="98" xfId="2" applyNumberFormat="1" applyFont="1" applyFill="1" applyBorder="1" applyAlignment="1">
      <alignment wrapText="1"/>
    </xf>
    <xf numFmtId="165" fontId="27" fillId="7" borderId="50" xfId="2" applyNumberFormat="1" applyFont="1" applyFill="1" applyBorder="1" applyAlignment="1">
      <alignment horizontal="center" vertical="center" wrapText="1"/>
    </xf>
    <xf numFmtId="165" fontId="27" fillId="7" borderId="50" xfId="2" applyNumberFormat="1" applyFont="1" applyFill="1" applyBorder="1" applyAlignment="1">
      <alignment vertical="center"/>
    </xf>
    <xf numFmtId="165" fontId="27" fillId="7" borderId="17" xfId="2" applyNumberFormat="1" applyFont="1" applyFill="1" applyBorder="1" applyAlignment="1">
      <alignment vertical="center" wrapText="1"/>
    </xf>
    <xf numFmtId="165" fontId="27" fillId="7" borderId="98" xfId="2" applyNumberFormat="1" applyFont="1" applyFill="1" applyBorder="1" applyAlignment="1">
      <alignment vertical="center" wrapText="1"/>
    </xf>
    <xf numFmtId="165" fontId="27" fillId="7" borderId="50" xfId="2" applyNumberFormat="1" applyFont="1" applyFill="1" applyBorder="1" applyAlignment="1">
      <alignment vertical="center" wrapText="1"/>
    </xf>
    <xf numFmtId="165" fontId="27" fillId="7" borderId="84" xfId="2" applyNumberFormat="1" applyFont="1" applyFill="1" applyBorder="1" applyAlignment="1">
      <alignment vertical="center" wrapText="1"/>
    </xf>
    <xf numFmtId="165" fontId="27" fillId="7" borderId="17" xfId="2" applyNumberFormat="1" applyFont="1" applyFill="1" applyBorder="1" applyAlignment="1">
      <alignment vertical="center"/>
    </xf>
    <xf numFmtId="165" fontId="27" fillId="7" borderId="84" xfId="2" applyNumberFormat="1" applyFont="1" applyFill="1" applyBorder="1" applyAlignment="1">
      <alignment vertical="center"/>
    </xf>
    <xf numFmtId="165" fontId="27" fillId="7" borderId="85" xfId="2" applyNumberFormat="1" applyFont="1" applyFill="1" applyBorder="1" applyAlignment="1">
      <alignment vertical="center" wrapText="1"/>
    </xf>
    <xf numFmtId="3" fontId="57" fillId="0" borderId="0" xfId="0" applyNumberFormat="1" applyFont="1" applyAlignment="1">
      <alignment wrapText="1"/>
    </xf>
    <xf numFmtId="3" fontId="57" fillId="0" borderId="45" xfId="0" applyNumberFormat="1" applyFont="1" applyBorder="1" applyAlignment="1">
      <alignment wrapText="1"/>
    </xf>
    <xf numFmtId="0" fontId="57" fillId="0" borderId="45" xfId="0" applyFont="1" applyBorder="1" applyAlignment="1">
      <alignment wrapText="1"/>
    </xf>
    <xf numFmtId="0" fontId="139" fillId="0" borderId="0" xfId="25" applyFont="1"/>
    <xf numFmtId="0" fontId="36" fillId="0" borderId="0" xfId="25" applyFont="1"/>
    <xf numFmtId="0" fontId="36" fillId="0" borderId="0" xfId="25" applyFont="1" applyAlignment="1">
      <alignment horizontal="right"/>
    </xf>
    <xf numFmtId="0" fontId="26" fillId="0" borderId="0" xfId="0" applyFont="1" applyAlignment="1">
      <alignment horizontal="center" wrapText="1"/>
    </xf>
    <xf numFmtId="0" fontId="72" fillId="0" borderId="0" xfId="25" applyFont="1" applyAlignment="1">
      <alignment horizontal="center" vertical="center"/>
    </xf>
    <xf numFmtId="165" fontId="51" fillId="0" borderId="0" xfId="2" applyNumberFormat="1" applyFont="1" applyFill="1" applyBorder="1"/>
    <xf numFmtId="165" fontId="141" fillId="0" borderId="0" xfId="25" applyNumberFormat="1" applyFont="1"/>
    <xf numFmtId="165" fontId="139" fillId="0" borderId="0" xfId="25" applyNumberFormat="1" applyFont="1"/>
    <xf numFmtId="3" fontId="2" fillId="0" borderId="0" xfId="0" applyNumberFormat="1" applyFont="1"/>
    <xf numFmtId="9" fontId="139" fillId="0" borderId="0" xfId="25" applyNumberFormat="1" applyFont="1"/>
    <xf numFmtId="165" fontId="2" fillId="0" borderId="0" xfId="2" applyNumberFormat="1" applyFont="1" applyFill="1" applyBorder="1" applyAlignment="1">
      <alignment horizontal="center"/>
    </xf>
    <xf numFmtId="3" fontId="3" fillId="0" borderId="0" xfId="0" applyNumberFormat="1" applyFont="1"/>
    <xf numFmtId="165" fontId="2" fillId="0" borderId="0" xfId="1" applyNumberFormat="1" applyFont="1" applyFill="1" applyBorder="1" applyAlignment="1">
      <alignment horizontal="center"/>
    </xf>
    <xf numFmtId="165" fontId="142" fillId="0" borderId="0" xfId="1" applyNumberFormat="1" applyFont="1" applyFill="1" applyBorder="1" applyAlignment="1">
      <alignment horizontal="center"/>
    </xf>
    <xf numFmtId="3" fontId="57" fillId="0" borderId="6" xfId="0" applyNumberFormat="1" applyFont="1" applyBorder="1"/>
    <xf numFmtId="0" fontId="57" fillId="0" borderId="6" xfId="0" applyFont="1" applyBorder="1"/>
    <xf numFmtId="166" fontId="9" fillId="0" borderId="0" xfId="25" applyNumberFormat="1"/>
    <xf numFmtId="165" fontId="142" fillId="0" borderId="0" xfId="2" applyNumberFormat="1" applyFont="1" applyFill="1" applyBorder="1" applyAlignment="1" applyProtection="1">
      <alignment horizontal="center"/>
    </xf>
    <xf numFmtId="165" fontId="2" fillId="0" borderId="0" xfId="2" applyNumberFormat="1" applyFont="1" applyBorder="1" applyAlignment="1">
      <alignment horizontal="center"/>
    </xf>
    <xf numFmtId="165" fontId="52" fillId="0" borderId="0" xfId="2" applyNumberFormat="1" applyFont="1" applyBorder="1" applyAlignment="1">
      <alignment horizontal="center"/>
    </xf>
    <xf numFmtId="165" fontId="2" fillId="7" borderId="0" xfId="2" applyNumberFormat="1" applyFont="1" applyFill="1" applyBorder="1" applyAlignment="1">
      <alignment horizontal="center"/>
    </xf>
    <xf numFmtId="165" fontId="52" fillId="7" borderId="0" xfId="2" applyNumberFormat="1" applyFont="1" applyFill="1" applyBorder="1" applyAlignment="1">
      <alignment horizontal="center"/>
    </xf>
    <xf numFmtId="0" fontId="2" fillId="7" borderId="0" xfId="0" applyFont="1" applyFill="1" applyAlignment="1">
      <alignment horizontal="center"/>
    </xf>
    <xf numFmtId="165" fontId="142" fillId="7" borderId="0" xfId="2" applyNumberFormat="1" applyFont="1" applyFill="1" applyBorder="1" applyAlignment="1" applyProtection="1">
      <alignment horizontal="center"/>
    </xf>
    <xf numFmtId="165" fontId="148" fillId="7" borderId="0" xfId="2" applyNumberFormat="1" applyFont="1" applyFill="1" applyBorder="1" applyAlignment="1">
      <alignment horizontal="center"/>
    </xf>
    <xf numFmtId="165" fontId="3" fillId="7" borderId="0" xfId="2" applyNumberFormat="1" applyFont="1" applyFill="1" applyBorder="1" applyAlignment="1">
      <alignment horizontal="center"/>
    </xf>
    <xf numFmtId="0" fontId="2" fillId="7" borderId="0" xfId="0" applyFont="1" applyFill="1" applyAlignment="1">
      <alignment horizontal="center" vertical="center"/>
    </xf>
    <xf numFmtId="165" fontId="2" fillId="7" borderId="0" xfId="2" applyNumberFormat="1" applyFont="1" applyFill="1" applyBorder="1" applyAlignment="1">
      <alignment horizontal="center" vertical="center"/>
    </xf>
    <xf numFmtId="165" fontId="142" fillId="7" borderId="0" xfId="2" applyNumberFormat="1" applyFont="1" applyFill="1" applyBorder="1" applyAlignment="1" applyProtection="1">
      <alignment horizontal="center" vertical="center"/>
    </xf>
    <xf numFmtId="165" fontId="3" fillId="7" borderId="0" xfId="2" applyNumberFormat="1" applyFont="1" applyFill="1" applyBorder="1" applyAlignment="1">
      <alignment horizontal="center" vertical="center"/>
    </xf>
    <xf numFmtId="165" fontId="144" fillId="7" borderId="0" xfId="2" applyNumberFormat="1" applyFont="1" applyFill="1" applyBorder="1" applyAlignment="1" applyProtection="1">
      <alignment horizontal="center"/>
    </xf>
    <xf numFmtId="165" fontId="27" fillId="7" borderId="0" xfId="2" applyNumberFormat="1" applyFont="1" applyFill="1" applyBorder="1" applyAlignment="1">
      <alignment wrapText="1"/>
    </xf>
    <xf numFmtId="165" fontId="2" fillId="7" borderId="0" xfId="1" applyNumberFormat="1" applyFont="1" applyFill="1" applyBorder="1" applyAlignment="1">
      <alignment horizontal="center"/>
    </xf>
    <xf numFmtId="165" fontId="142" fillId="7" borderId="0" xfId="1" applyNumberFormat="1" applyFont="1" applyFill="1" applyBorder="1" applyAlignment="1">
      <alignment horizontal="center"/>
    </xf>
    <xf numFmtId="43" fontId="149" fillId="0" borderId="0" xfId="0" applyNumberFormat="1" applyFont="1"/>
    <xf numFmtId="165" fontId="142" fillId="0" borderId="0" xfId="1" applyNumberFormat="1" applyFont="1" applyBorder="1" applyAlignment="1">
      <alignment horizontal="center"/>
    </xf>
    <xf numFmtId="165" fontId="2" fillId="0" borderId="0" xfId="1" applyNumberFormat="1" applyFont="1" applyBorder="1" applyAlignment="1">
      <alignment horizontal="center"/>
    </xf>
    <xf numFmtId="165" fontId="27" fillId="7" borderId="98" xfId="2" applyNumberFormat="1" applyFont="1" applyFill="1" applyBorder="1" applyAlignment="1">
      <alignment vertical="center"/>
    </xf>
    <xf numFmtId="165" fontId="27" fillId="7" borderId="6" xfId="2" applyNumberFormat="1" applyFont="1" applyFill="1" applyBorder="1" applyAlignment="1">
      <alignment horizontal="center" vertical="center" wrapText="1"/>
    </xf>
    <xf numFmtId="165" fontId="27" fillId="7" borderId="6" xfId="2" applyNumberFormat="1" applyFont="1" applyFill="1" applyBorder="1" applyAlignment="1">
      <alignment vertical="center" wrapText="1"/>
    </xf>
    <xf numFmtId="165" fontId="2" fillId="21" borderId="86" xfId="1" applyNumberFormat="1" applyFont="1" applyFill="1" applyBorder="1" applyAlignment="1">
      <alignment vertical="center"/>
    </xf>
    <xf numFmtId="165" fontId="2" fillId="0" borderId="86" xfId="0" applyNumberFormat="1" applyFont="1" applyBorder="1" applyAlignment="1">
      <alignment vertical="center"/>
    </xf>
    <xf numFmtId="165" fontId="2" fillId="0" borderId="2" xfId="0" applyNumberFormat="1" applyFont="1" applyBorder="1" applyAlignment="1">
      <alignment vertical="center"/>
    </xf>
    <xf numFmtId="165" fontId="27" fillId="0" borderId="0" xfId="2" applyNumberFormat="1" applyFont="1" applyFill="1" applyBorder="1"/>
    <xf numFmtId="43" fontId="27" fillId="0" borderId="0" xfId="2" applyFont="1" applyFill="1" applyBorder="1"/>
    <xf numFmtId="165" fontId="27" fillId="0" borderId="0" xfId="2" applyNumberFormat="1" applyFont="1" applyFill="1" applyBorder="1" applyAlignment="1">
      <alignment horizontal="center"/>
    </xf>
    <xf numFmtId="166" fontId="0" fillId="0" borderId="0" xfId="0" applyNumberFormat="1"/>
    <xf numFmtId="166" fontId="27" fillId="0" borderId="0" xfId="1" applyNumberFormat="1" applyFont="1" applyFill="1" applyBorder="1"/>
    <xf numFmtId="165" fontId="0" fillId="0" borderId="4" xfId="1" applyNumberFormat="1" applyFont="1" applyFill="1" applyBorder="1"/>
    <xf numFmtId="3" fontId="57" fillId="91" borderId="4" xfId="0" applyNumberFormat="1" applyFont="1" applyFill="1" applyBorder="1"/>
    <xf numFmtId="3" fontId="2" fillId="0" borderId="28" xfId="0" applyNumberFormat="1" applyFont="1" applyBorder="1"/>
    <xf numFmtId="165" fontId="3" fillId="0" borderId="0" xfId="0" applyNumberFormat="1" applyFont="1" applyAlignment="1">
      <alignment horizontal="center" vertical="center" wrapText="1"/>
    </xf>
    <xf numFmtId="165" fontId="2" fillId="0" borderId="0" xfId="2" applyNumberFormat="1" applyFont="1" applyBorder="1" applyAlignment="1">
      <alignment horizontal="center" vertical="center"/>
    </xf>
    <xf numFmtId="3" fontId="0" fillId="0" borderId="0" xfId="0" applyNumberFormat="1" applyAlignment="1">
      <alignment vertical="center"/>
    </xf>
    <xf numFmtId="165" fontId="3" fillId="0" borderId="0" xfId="0" applyNumberFormat="1" applyFont="1"/>
    <xf numFmtId="0" fontId="130" fillId="0" borderId="18" xfId="0" applyFont="1" applyBorder="1"/>
    <xf numFmtId="0" fontId="130" fillId="0" borderId="45" xfId="0" applyFont="1" applyBorder="1"/>
    <xf numFmtId="3" fontId="130" fillId="0" borderId="45" xfId="0" applyNumberFormat="1" applyFont="1" applyBorder="1"/>
    <xf numFmtId="0" fontId="130" fillId="0" borderId="98" xfId="0" applyFont="1" applyBorder="1"/>
    <xf numFmtId="0" fontId="130" fillId="0" borderId="33" xfId="0" applyFont="1" applyBorder="1"/>
    <xf numFmtId="0" fontId="151" fillId="0" borderId="18" xfId="0" applyFont="1" applyBorder="1"/>
    <xf numFmtId="0" fontId="151" fillId="0" borderId="50" xfId="0" applyFont="1" applyBorder="1"/>
    <xf numFmtId="0" fontId="151" fillId="0" borderId="6" xfId="0" applyFont="1" applyBorder="1"/>
    <xf numFmtId="3" fontId="57" fillId="0" borderId="4" xfId="0" applyNumberFormat="1" applyFont="1" applyBorder="1"/>
    <xf numFmtId="3" fontId="57" fillId="0" borderId="28" xfId="0" applyNumberFormat="1" applyFont="1" applyBorder="1"/>
    <xf numFmtId="3" fontId="57" fillId="0" borderId="4" xfId="0" applyNumberFormat="1" applyFont="1" applyBorder="1" applyAlignment="1">
      <alignment wrapText="1"/>
    </xf>
    <xf numFmtId="3" fontId="57" fillId="0" borderId="28" xfId="0" applyNumberFormat="1" applyFont="1" applyBorder="1" applyAlignment="1">
      <alignment wrapText="1"/>
    </xf>
    <xf numFmtId="9" fontId="57" fillId="0" borderId="28" xfId="0" applyNumberFormat="1" applyFont="1" applyBorder="1"/>
    <xf numFmtId="9" fontId="57" fillId="0" borderId="4" xfId="0" applyNumberFormat="1" applyFont="1" applyBorder="1"/>
    <xf numFmtId="9" fontId="57" fillId="0" borderId="28" xfId="0" applyNumberFormat="1" applyFont="1" applyBorder="1" applyAlignment="1">
      <alignment wrapText="1"/>
    </xf>
    <xf numFmtId="3" fontId="57" fillId="91" borderId="28" xfId="0" applyNumberFormat="1" applyFont="1" applyFill="1" applyBorder="1"/>
    <xf numFmtId="9" fontId="57" fillId="91" borderId="28" xfId="0" applyNumberFormat="1" applyFont="1" applyFill="1" applyBorder="1"/>
    <xf numFmtId="165" fontId="3" fillId="21" borderId="21" xfId="1" applyNumberFormat="1" applyFont="1" applyFill="1" applyBorder="1" applyAlignment="1">
      <alignment horizontal="right" vertical="center"/>
    </xf>
    <xf numFmtId="0" fontId="26" fillId="0" borderId="0" xfId="0" applyFont="1" applyAlignment="1">
      <alignment horizontal="left"/>
    </xf>
    <xf numFmtId="187" fontId="27" fillId="0" borderId="0" xfId="1" applyNumberFormat="1" applyFont="1" applyAlignment="1">
      <alignment vertical="center"/>
    </xf>
    <xf numFmtId="3" fontId="57" fillId="0" borderId="86" xfId="0" applyNumberFormat="1" applyFont="1" applyBorder="1" applyAlignment="1">
      <alignment vertical="center" wrapText="1"/>
    </xf>
    <xf numFmtId="0" fontId="130" fillId="0" borderId="126" xfId="0" applyFont="1" applyBorder="1"/>
    <xf numFmtId="9" fontId="57" fillId="0" borderId="126" xfId="0" applyNumberFormat="1" applyFont="1" applyBorder="1"/>
    <xf numFmtId="0" fontId="10" fillId="0" borderId="126" xfId="0" applyFont="1" applyBorder="1" applyAlignment="1">
      <alignment horizontal="center" vertical="center" wrapText="1"/>
    </xf>
    <xf numFmtId="0" fontId="153" fillId="0" borderId="0" xfId="0" applyFont="1"/>
    <xf numFmtId="0" fontId="130" fillId="0" borderId="45" xfId="0" applyFont="1" applyBorder="1" applyAlignment="1">
      <alignment vertical="center"/>
    </xf>
    <xf numFmtId="3" fontId="57" fillId="0" borderId="45" xfId="0" applyNumberFormat="1" applyFont="1" applyBorder="1" applyAlignment="1">
      <alignment vertical="center" wrapText="1"/>
    </xf>
    <xf numFmtId="3" fontId="57" fillId="91" borderId="45" xfId="0" applyNumberFormat="1" applyFont="1" applyFill="1" applyBorder="1" applyAlignment="1">
      <alignment vertical="center" wrapText="1"/>
    </xf>
    <xf numFmtId="3" fontId="152" fillId="0" borderId="45" xfId="0" applyNumberFormat="1" applyFont="1" applyBorder="1" applyAlignment="1">
      <alignment vertical="center"/>
    </xf>
    <xf numFmtId="0" fontId="57" fillId="91" borderId="45" xfId="0" applyFont="1" applyFill="1" applyBorder="1" applyAlignment="1">
      <alignment vertical="center" wrapText="1"/>
    </xf>
    <xf numFmtId="3" fontId="60" fillId="91" borderId="45" xfId="0" applyNumberFormat="1" applyFont="1" applyFill="1" applyBorder="1" applyAlignment="1">
      <alignment vertical="center" wrapText="1"/>
    </xf>
    <xf numFmtId="0" fontId="57" fillId="94" borderId="45" xfId="0" applyFont="1" applyFill="1" applyBorder="1" applyAlignment="1">
      <alignment vertical="center" wrapText="1"/>
    </xf>
    <xf numFmtId="3" fontId="57" fillId="91" borderId="36" xfId="0" applyNumberFormat="1" applyFont="1" applyFill="1" applyBorder="1" applyAlignment="1">
      <alignment vertical="center" wrapText="1"/>
    </xf>
    <xf numFmtId="3" fontId="60" fillId="91" borderId="13" xfId="0" applyNumberFormat="1" applyFont="1" applyFill="1" applyBorder="1" applyAlignment="1">
      <alignment vertical="center" wrapText="1"/>
    </xf>
    <xf numFmtId="3" fontId="57" fillId="91" borderId="13" xfId="0" applyNumberFormat="1" applyFont="1" applyFill="1" applyBorder="1" applyAlignment="1">
      <alignment vertical="center" wrapText="1"/>
    </xf>
    <xf numFmtId="3" fontId="57" fillId="0" borderId="36" xfId="0" applyNumberFormat="1" applyFont="1" applyBorder="1" applyAlignment="1">
      <alignment vertical="center" wrapText="1"/>
    </xf>
    <xf numFmtId="0" fontId="151" fillId="0" borderId="45" xfId="0" applyFont="1" applyBorder="1" applyAlignment="1">
      <alignment vertical="center"/>
    </xf>
    <xf numFmtId="0" fontId="57" fillId="0" borderId="45" xfId="0" applyFont="1" applyBorder="1" applyAlignment="1">
      <alignment vertical="center"/>
    </xf>
    <xf numFmtId="3" fontId="57" fillId="0" borderId="45" xfId="0" applyNumberFormat="1" applyFont="1" applyBorder="1" applyAlignment="1">
      <alignment vertical="center"/>
    </xf>
    <xf numFmtId="3" fontId="60" fillId="0" borderId="45" xfId="0" applyNumberFormat="1" applyFont="1" applyBorder="1" applyAlignment="1">
      <alignment vertical="center"/>
    </xf>
    <xf numFmtId="3" fontId="57" fillId="0" borderId="36" xfId="0" applyNumberFormat="1" applyFont="1" applyBorder="1" applyAlignment="1">
      <alignment vertical="center"/>
    </xf>
    <xf numFmtId="3" fontId="60" fillId="0" borderId="13" xfId="0" applyNumberFormat="1" applyFont="1" applyBorder="1" applyAlignment="1">
      <alignment vertical="center"/>
    </xf>
    <xf numFmtId="3" fontId="130" fillId="0" borderId="45" xfId="0" applyNumberFormat="1" applyFont="1" applyBorder="1" applyAlignment="1">
      <alignment vertical="center"/>
    </xf>
    <xf numFmtId="43" fontId="57" fillId="0" borderId="45" xfId="1" applyFont="1" applyBorder="1" applyAlignment="1">
      <alignment vertical="center"/>
    </xf>
    <xf numFmtId="166" fontId="57" fillId="0" borderId="45" xfId="1" applyNumberFormat="1" applyFont="1" applyBorder="1" applyAlignment="1">
      <alignment vertical="center"/>
    </xf>
    <xf numFmtId="3" fontId="57" fillId="0" borderId="84" xfId="0" applyNumberFormat="1" applyFont="1" applyBorder="1" applyAlignment="1">
      <alignment vertical="center"/>
    </xf>
    <xf numFmtId="0" fontId="57" fillId="0" borderId="84" xfId="0" applyFont="1" applyBorder="1" applyAlignment="1">
      <alignment vertical="center"/>
    </xf>
    <xf numFmtId="3" fontId="57" fillId="0" borderId="84" xfId="0" applyNumberFormat="1" applyFont="1" applyBorder="1" applyAlignment="1">
      <alignment vertical="center" wrapText="1"/>
    </xf>
    <xf numFmtId="0" fontId="57" fillId="0" borderId="84" xfId="0" applyFont="1" applyBorder="1" applyAlignment="1">
      <alignment vertical="center" wrapText="1"/>
    </xf>
    <xf numFmtId="3" fontId="57" fillId="0" borderId="110" xfId="0" applyNumberFormat="1" applyFont="1" applyBorder="1" applyAlignment="1">
      <alignment vertical="center" wrapText="1"/>
    </xf>
    <xf numFmtId="3" fontId="60" fillId="0" borderId="103" xfId="0" applyNumberFormat="1" applyFont="1" applyBorder="1" applyAlignment="1">
      <alignment vertical="center"/>
    </xf>
    <xf numFmtId="3" fontId="60" fillId="0" borderId="84" xfId="0" applyNumberFormat="1" applyFont="1" applyBorder="1" applyAlignment="1">
      <alignment vertical="center"/>
    </xf>
    <xf numFmtId="3" fontId="57" fillId="0" borderId="110" xfId="0" applyNumberFormat="1" applyFont="1" applyBorder="1" applyAlignment="1">
      <alignment vertical="center"/>
    </xf>
    <xf numFmtId="3" fontId="60" fillId="0" borderId="127" xfId="0" applyNumberFormat="1" applyFont="1" applyBorder="1" applyAlignment="1">
      <alignment vertical="center"/>
    </xf>
    <xf numFmtId="0" fontId="57" fillId="0" borderId="45" xfId="0" applyFont="1" applyBorder="1" applyAlignment="1">
      <alignment vertical="center" wrapText="1"/>
    </xf>
    <xf numFmtId="43" fontId="57" fillId="0" borderId="45" xfId="1" applyFont="1" applyBorder="1" applyAlignment="1">
      <alignment wrapText="1"/>
    </xf>
    <xf numFmtId="0" fontId="57" fillId="0" borderId="50" xfId="0" applyFont="1" applyBorder="1" applyAlignment="1">
      <alignment vertical="center"/>
    </xf>
    <xf numFmtId="3" fontId="57" fillId="0" borderId="50" xfId="0" applyNumberFormat="1" applyFont="1" applyBorder="1" applyAlignment="1">
      <alignment vertical="center"/>
    </xf>
    <xf numFmtId="3" fontId="60" fillId="0" borderId="50" xfId="0" applyNumberFormat="1" applyFont="1" applyBorder="1" applyAlignment="1">
      <alignment vertical="center"/>
    </xf>
    <xf numFmtId="3" fontId="57" fillId="0" borderId="51" xfId="0" applyNumberFormat="1" applyFont="1" applyBorder="1" applyAlignment="1">
      <alignment vertical="center"/>
    </xf>
    <xf numFmtId="43" fontId="3" fillId="94" borderId="45" xfId="1" applyFont="1" applyFill="1" applyBorder="1" applyAlignment="1">
      <alignment vertical="center"/>
    </xf>
    <xf numFmtId="3" fontId="60" fillId="0" borderId="12" xfId="0" applyNumberFormat="1" applyFont="1" applyBorder="1" applyAlignment="1">
      <alignment vertical="center"/>
    </xf>
    <xf numFmtId="0" fontId="2" fillId="91" borderId="45" xfId="0" applyFont="1" applyFill="1" applyBorder="1" applyAlignment="1">
      <alignment vertical="center" wrapText="1"/>
    </xf>
    <xf numFmtId="3" fontId="2" fillId="0" borderId="45" xfId="0" applyNumberFormat="1" applyFont="1" applyBorder="1" applyAlignment="1">
      <alignment vertical="center" wrapText="1"/>
    </xf>
    <xf numFmtId="3" fontId="2" fillId="91" borderId="45" xfId="0" applyNumberFormat="1" applyFont="1" applyFill="1" applyBorder="1" applyAlignment="1">
      <alignment vertical="center" wrapText="1"/>
    </xf>
    <xf numFmtId="3" fontId="2" fillId="91" borderId="36" xfId="0" applyNumberFormat="1" applyFont="1" applyFill="1" applyBorder="1" applyAlignment="1">
      <alignment vertical="center" wrapText="1"/>
    </xf>
    <xf numFmtId="3" fontId="3" fillId="91" borderId="13" xfId="0" applyNumberFormat="1" applyFont="1" applyFill="1" applyBorder="1" applyAlignment="1">
      <alignment vertical="center" wrapText="1"/>
    </xf>
    <xf numFmtId="0" fontId="57" fillId="91" borderId="84" xfId="0" applyFont="1" applyFill="1" applyBorder="1" applyAlignment="1">
      <alignment vertical="center" wrapText="1"/>
    </xf>
    <xf numFmtId="3" fontId="57" fillId="91" borderId="84" xfId="0" applyNumberFormat="1" applyFont="1" applyFill="1" applyBorder="1" applyAlignment="1">
      <alignment vertical="center" wrapText="1"/>
    </xf>
    <xf numFmtId="0" fontId="57" fillId="94" borderId="84" xfId="0" applyFont="1" applyFill="1" applyBorder="1" applyAlignment="1">
      <alignment vertical="center" wrapText="1"/>
    </xf>
    <xf numFmtId="3" fontId="57" fillId="91" borderId="110" xfId="0" applyNumberFormat="1" applyFont="1" applyFill="1" applyBorder="1" applyAlignment="1">
      <alignment vertical="center" wrapText="1"/>
    </xf>
    <xf numFmtId="0" fontId="57" fillId="0" borderId="98" xfId="0" applyFont="1" applyBorder="1" applyAlignment="1">
      <alignment vertical="center"/>
    </xf>
    <xf numFmtId="3" fontId="60" fillId="0" borderId="13" xfId="0" applyNumberFormat="1" applyFont="1" applyBorder="1" applyAlignment="1">
      <alignment vertical="center" wrapText="1"/>
    </xf>
    <xf numFmtId="0" fontId="151" fillId="0" borderId="129" xfId="0" applyFont="1" applyBorder="1"/>
    <xf numFmtId="0" fontId="57" fillId="0" borderId="6" xfId="0" applyFont="1" applyBorder="1" applyAlignment="1">
      <alignment vertical="center"/>
    </xf>
    <xf numFmtId="0" fontId="57" fillId="0" borderId="51" xfId="0" applyFont="1" applyBorder="1" applyAlignment="1">
      <alignment vertical="center"/>
    </xf>
    <xf numFmtId="0" fontId="57" fillId="0" borderId="128" xfId="0" applyFont="1" applyBorder="1" applyAlignment="1">
      <alignment vertical="center"/>
    </xf>
    <xf numFmtId="0" fontId="57" fillId="0" borderId="121" xfId="0" applyFont="1" applyBorder="1" applyAlignment="1">
      <alignment vertical="center"/>
    </xf>
    <xf numFmtId="0" fontId="57" fillId="0" borderId="125" xfId="0" applyFont="1" applyBorder="1" applyAlignment="1">
      <alignment vertical="center"/>
    </xf>
    <xf numFmtId="3" fontId="57" fillId="0" borderId="0" xfId="0" applyNumberFormat="1" applyFont="1" applyAlignment="1">
      <alignment vertical="center"/>
    </xf>
    <xf numFmtId="3" fontId="57" fillId="0" borderId="6" xfId="0" applyNumberFormat="1" applyFont="1" applyBorder="1" applyAlignment="1">
      <alignment vertical="center"/>
    </xf>
    <xf numFmtId="3" fontId="2" fillId="0" borderId="36" xfId="0" applyNumberFormat="1" applyFont="1" applyBorder="1" applyAlignment="1">
      <alignment vertical="center" wrapText="1"/>
    </xf>
    <xf numFmtId="0" fontId="37" fillId="0" borderId="6" xfId="0" applyFont="1" applyBorder="1" applyAlignment="1">
      <alignment vertical="center"/>
    </xf>
    <xf numFmtId="0" fontId="37" fillId="0" borderId="50" xfId="0" applyFont="1" applyBorder="1" applyAlignment="1">
      <alignment vertical="center"/>
    </xf>
    <xf numFmtId="3" fontId="60" fillId="0" borderId="6" xfId="0" applyNumberFormat="1" applyFont="1" applyBorder="1" applyAlignment="1">
      <alignment vertical="center"/>
    </xf>
    <xf numFmtId="3" fontId="2" fillId="0" borderId="51" xfId="0" applyNumberFormat="1" applyFont="1" applyBorder="1" applyAlignment="1">
      <alignment vertical="center"/>
    </xf>
    <xf numFmtId="3" fontId="60" fillId="0" borderId="11" xfId="0" applyNumberFormat="1" applyFont="1" applyBorder="1" applyAlignment="1">
      <alignment vertical="center"/>
    </xf>
    <xf numFmtId="0" fontId="2" fillId="0" borderId="45" xfId="0" applyFont="1" applyBorder="1" applyAlignment="1">
      <alignment vertical="center" wrapText="1"/>
    </xf>
    <xf numFmtId="3" fontId="3" fillId="0" borderId="45" xfId="0" applyNumberFormat="1" applyFont="1" applyBorder="1" applyAlignment="1">
      <alignment vertical="center" wrapText="1"/>
    </xf>
    <xf numFmtId="3" fontId="3" fillId="0" borderId="13" xfId="0" applyNumberFormat="1" applyFont="1" applyBorder="1" applyAlignment="1">
      <alignment vertical="center" wrapText="1"/>
    </xf>
    <xf numFmtId="0" fontId="151" fillId="0" borderId="18" xfId="0" applyFont="1" applyBorder="1" applyAlignment="1">
      <alignment vertical="center"/>
    </xf>
    <xf numFmtId="0" fontId="57" fillId="0" borderId="18" xfId="0" applyFont="1" applyBorder="1"/>
    <xf numFmtId="165" fontId="37" fillId="0" borderId="0" xfId="1" applyNumberFormat="1" applyFont="1" applyAlignment="1">
      <alignment vertical="center"/>
    </xf>
    <xf numFmtId="0" fontId="57" fillId="0" borderId="45" xfId="0" applyFont="1" applyBorder="1"/>
    <xf numFmtId="3" fontId="57" fillId="0" borderId="45" xfId="0" applyNumberFormat="1" applyFont="1" applyBorder="1"/>
    <xf numFmtId="3" fontId="57" fillId="0" borderId="18" xfId="0" applyNumberFormat="1" applyFont="1" applyBorder="1"/>
    <xf numFmtId="165" fontId="2" fillId="0" borderId="6" xfId="0" applyNumberFormat="1" applyFont="1" applyBorder="1" applyAlignment="1">
      <alignment vertical="center"/>
    </xf>
    <xf numFmtId="165" fontId="57" fillId="91" borderId="18" xfId="0" applyNumberFormat="1" applyFont="1" applyFill="1" applyBorder="1" applyAlignment="1">
      <alignment vertical="center"/>
    </xf>
    <xf numFmtId="165" fontId="57" fillId="91" borderId="32" xfId="0" applyNumberFormat="1" applyFont="1" applyFill="1" applyBorder="1" applyAlignment="1">
      <alignment vertical="center"/>
    </xf>
    <xf numFmtId="165" fontId="57" fillId="91" borderId="6" xfId="0" applyNumberFormat="1" applyFont="1" applyFill="1" applyBorder="1" applyAlignment="1">
      <alignment vertical="center" wrapText="1"/>
    </xf>
    <xf numFmtId="165" fontId="2" fillId="0" borderId="6" xfId="0" applyNumberFormat="1" applyFont="1" applyBorder="1" applyAlignment="1">
      <alignment vertical="center" wrapText="1"/>
    </xf>
    <xf numFmtId="165" fontId="57" fillId="0" borderId="18" xfId="0" applyNumberFormat="1" applyFont="1" applyBorder="1" applyAlignment="1">
      <alignment vertical="center"/>
    </xf>
    <xf numFmtId="165" fontId="57" fillId="0" borderId="45" xfId="0" applyNumberFormat="1" applyFont="1" applyBorder="1" applyAlignment="1">
      <alignment vertical="center"/>
    </xf>
    <xf numFmtId="165" fontId="57" fillId="0" borderId="6" xfId="0" applyNumberFormat="1" applyFont="1" applyBorder="1" applyAlignment="1">
      <alignment vertical="center"/>
    </xf>
    <xf numFmtId="165" fontId="2" fillId="0" borderId="36" xfId="0" applyNumberFormat="1" applyFont="1" applyBorder="1" applyAlignment="1">
      <alignment vertical="center"/>
    </xf>
    <xf numFmtId="165" fontId="2" fillId="0" borderId="18" xfId="0" applyNumberFormat="1" applyFont="1" applyBorder="1" applyAlignment="1">
      <alignment vertical="center"/>
    </xf>
    <xf numFmtId="165" fontId="2" fillId="0" borderId="32" xfId="0" applyNumberFormat="1" applyFont="1" applyBorder="1" applyAlignment="1">
      <alignment vertical="center"/>
    </xf>
    <xf numFmtId="165" fontId="2" fillId="0" borderId="18" xfId="0" applyNumberFormat="1" applyFont="1" applyBorder="1" applyAlignment="1">
      <alignment vertical="center" wrapText="1"/>
    </xf>
    <xf numFmtId="165" fontId="2" fillId="0" borderId="45" xfId="0" applyNumberFormat="1" applyFont="1" applyBorder="1" applyAlignment="1">
      <alignment vertical="center" wrapText="1"/>
    </xf>
    <xf numFmtId="165" fontId="3" fillId="0" borderId="18" xfId="0" applyNumberFormat="1" applyFont="1" applyBorder="1" applyAlignment="1">
      <alignment vertical="center"/>
    </xf>
    <xf numFmtId="165" fontId="57" fillId="0" borderId="28" xfId="0" applyNumberFormat="1" applyFont="1" applyBorder="1" applyAlignment="1">
      <alignment vertical="center"/>
    </xf>
    <xf numFmtId="165" fontId="57" fillId="0" borderId="18" xfId="1" applyNumberFormat="1" applyFont="1" applyBorder="1" applyAlignment="1">
      <alignment vertical="center"/>
    </xf>
    <xf numFmtId="165" fontId="57" fillId="0" borderId="45" xfId="1" applyNumberFormat="1" applyFont="1" applyBorder="1" applyAlignment="1">
      <alignment vertical="center"/>
    </xf>
    <xf numFmtId="165" fontId="57" fillId="0" borderId="6" xfId="1" applyNumberFormat="1" applyFont="1" applyBorder="1" applyAlignment="1">
      <alignment vertical="center"/>
    </xf>
    <xf numFmtId="165" fontId="57" fillId="0" borderId="18" xfId="0" applyNumberFormat="1" applyFont="1" applyBorder="1" applyAlignment="1">
      <alignment horizontal="right" vertical="center"/>
    </xf>
    <xf numFmtId="165" fontId="57" fillId="0" borderId="45" xfId="0" applyNumberFormat="1" applyFont="1" applyBorder="1" applyAlignment="1">
      <alignment horizontal="right" vertical="center"/>
    </xf>
    <xf numFmtId="165" fontId="57" fillId="0" borderId="6" xfId="0" applyNumberFormat="1" applyFont="1" applyBorder="1" applyAlignment="1">
      <alignment horizontal="right" vertical="center"/>
    </xf>
    <xf numFmtId="3" fontId="2" fillId="0" borderId="45" xfId="0" applyNumberFormat="1" applyFont="1" applyBorder="1" applyAlignment="1">
      <alignment vertical="center"/>
    </xf>
    <xf numFmtId="165" fontId="2" fillId="0" borderId="6" xfId="1" applyNumberFormat="1" applyFont="1" applyBorder="1" applyAlignment="1">
      <alignment vertical="center"/>
    </xf>
    <xf numFmtId="165" fontId="2" fillId="0" borderId="45" xfId="1" applyNumberFormat="1" applyFont="1" applyBorder="1" applyAlignment="1">
      <alignment vertical="center"/>
    </xf>
    <xf numFmtId="0" fontId="57" fillId="0" borderId="28" xfId="0" applyFont="1" applyBorder="1" applyAlignment="1">
      <alignment vertical="center"/>
    </xf>
    <xf numFmtId="165" fontId="2" fillId="21" borderId="133" xfId="1" applyNumberFormat="1" applyFont="1" applyFill="1" applyBorder="1" applyAlignment="1">
      <alignment vertical="center"/>
    </xf>
    <xf numFmtId="165" fontId="2" fillId="21" borderId="21" xfId="1" applyNumberFormat="1" applyFont="1" applyFill="1" applyBorder="1" applyAlignment="1">
      <alignment vertical="center"/>
    </xf>
    <xf numFmtId="165" fontId="156" fillId="0" borderId="28" xfId="0" applyNumberFormat="1" applyFont="1" applyBorder="1" applyAlignment="1">
      <alignment vertical="center"/>
    </xf>
    <xf numFmtId="165" fontId="157" fillId="21" borderId="133" xfId="1" applyNumberFormat="1" applyFont="1" applyFill="1" applyBorder="1" applyAlignment="1">
      <alignment vertical="center"/>
    </xf>
    <xf numFmtId="3" fontId="156" fillId="0" borderId="18" xfId="0" applyNumberFormat="1" applyFont="1" applyBorder="1" applyAlignment="1">
      <alignment vertical="center"/>
    </xf>
    <xf numFmtId="165" fontId="156" fillId="0" borderId="45" xfId="0" applyNumberFormat="1" applyFont="1" applyBorder="1" applyAlignment="1">
      <alignment vertical="center"/>
    </xf>
    <xf numFmtId="165" fontId="157" fillId="21" borderId="21" xfId="1" applyNumberFormat="1" applyFont="1" applyFill="1" applyBorder="1" applyAlignment="1">
      <alignment vertical="center"/>
    </xf>
    <xf numFmtId="165" fontId="158" fillId="0" borderId="45" xfId="0" applyNumberFormat="1" applyFont="1" applyBorder="1" applyAlignment="1">
      <alignment vertical="center"/>
    </xf>
    <xf numFmtId="165" fontId="158" fillId="0" borderId="6" xfId="0" applyNumberFormat="1" applyFont="1" applyBorder="1" applyAlignment="1">
      <alignment vertical="center"/>
    </xf>
    <xf numFmtId="165" fontId="159" fillId="21" borderId="21" xfId="1" applyNumberFormat="1" applyFont="1" applyFill="1" applyBorder="1" applyAlignment="1">
      <alignment vertical="center"/>
    </xf>
    <xf numFmtId="165" fontId="2" fillId="0" borderId="6" xfId="0" applyNumberFormat="1" applyFont="1" applyBorder="1" applyAlignment="1">
      <alignment horizontal="right"/>
    </xf>
    <xf numFmtId="165" fontId="2" fillId="0" borderId="18" xfId="0" applyNumberFormat="1" applyFont="1" applyBorder="1" applyAlignment="1">
      <alignment horizontal="right"/>
    </xf>
    <xf numFmtId="165" fontId="2" fillId="0" borderId="45" xfId="0" applyNumberFormat="1" applyFont="1" applyBorder="1" applyAlignment="1">
      <alignment horizontal="right"/>
    </xf>
    <xf numFmtId="165" fontId="2" fillId="21" borderId="21" xfId="1" applyNumberFormat="1" applyFont="1" applyFill="1" applyBorder="1" applyAlignment="1">
      <alignment horizontal="right" vertical="center"/>
    </xf>
    <xf numFmtId="165" fontId="2" fillId="0" borderId="45" xfId="0" applyNumberFormat="1" applyFont="1" applyBorder="1" applyAlignment="1">
      <alignment horizontal="right" vertical="center"/>
    </xf>
    <xf numFmtId="165" fontId="2" fillId="0" borderId="6" xfId="0" applyNumberFormat="1" applyFont="1" applyBorder="1" applyAlignment="1">
      <alignment horizontal="right" vertical="center"/>
    </xf>
    <xf numFmtId="165" fontId="27" fillId="0" borderId="0" xfId="1" applyNumberFormat="1" applyFont="1" applyAlignment="1">
      <alignment horizontal="left" vertical="center"/>
    </xf>
    <xf numFmtId="3" fontId="57" fillId="0" borderId="4" xfId="0" applyNumberFormat="1" applyFont="1" applyBorder="1" applyAlignment="1">
      <alignment vertical="center"/>
    </xf>
    <xf numFmtId="188" fontId="27" fillId="0" borderId="0" xfId="0" applyNumberFormat="1" applyFont="1" applyAlignment="1">
      <alignment vertical="center"/>
    </xf>
    <xf numFmtId="165" fontId="3" fillId="0" borderId="0" xfId="12495" applyNumberFormat="1" applyFont="1" applyFill="1" applyBorder="1" applyAlignment="1">
      <alignment vertical="center"/>
    </xf>
    <xf numFmtId="0" fontId="7" fillId="0" borderId="4" xfId="0" applyFont="1" applyBorder="1" applyAlignment="1">
      <alignment vertical="center" wrapText="1"/>
    </xf>
    <xf numFmtId="43" fontId="7" fillId="0" borderId="4" xfId="1" applyFont="1" applyBorder="1" applyAlignment="1">
      <alignment vertical="center" wrapText="1"/>
    </xf>
    <xf numFmtId="0" fontId="7" fillId="0" borderId="4" xfId="0" applyFont="1" applyBorder="1" applyAlignment="1">
      <alignment horizontal="center" vertical="center" wrapText="1"/>
    </xf>
    <xf numFmtId="165" fontId="3" fillId="0" borderId="0" xfId="1" applyNumberFormat="1" applyFont="1" applyAlignment="1">
      <alignment horizontal="center" vertical="center" wrapText="1"/>
    </xf>
    <xf numFmtId="43" fontId="2" fillId="0" borderId="0" xfId="1" applyFont="1"/>
    <xf numFmtId="166" fontId="2" fillId="0" borderId="0" xfId="1" applyNumberFormat="1" applyFont="1" applyFill="1" applyBorder="1" applyAlignment="1">
      <alignment vertical="center"/>
    </xf>
    <xf numFmtId="3" fontId="57" fillId="91" borderId="86" xfId="0" applyNumberFormat="1" applyFont="1" applyFill="1" applyBorder="1" applyAlignment="1">
      <alignment vertical="center" wrapText="1"/>
    </xf>
    <xf numFmtId="3" fontId="57" fillId="0" borderId="86" xfId="0" applyNumberFormat="1" applyFont="1" applyBorder="1" applyAlignment="1">
      <alignment vertical="center"/>
    </xf>
    <xf numFmtId="3" fontId="2" fillId="0" borderId="88" xfId="0" applyNumberFormat="1" applyFont="1" applyBorder="1" applyAlignment="1">
      <alignment vertical="center" wrapText="1"/>
    </xf>
    <xf numFmtId="3" fontId="2" fillId="91" borderId="86" xfId="0" applyNumberFormat="1" applyFont="1" applyFill="1" applyBorder="1" applyAlignment="1">
      <alignment vertical="center" wrapText="1"/>
    </xf>
    <xf numFmtId="17" fontId="137" fillId="0" borderId="0" xfId="0" applyNumberFormat="1" applyFont="1"/>
    <xf numFmtId="165" fontId="57" fillId="0" borderId="0" xfId="0" applyNumberFormat="1" applyFont="1"/>
    <xf numFmtId="165" fontId="27" fillId="0" borderId="0" xfId="1" applyNumberFormat="1" applyFont="1" applyBorder="1"/>
    <xf numFmtId="3" fontId="27" fillId="0" borderId="0" xfId="0" applyNumberFormat="1" applyFont="1"/>
    <xf numFmtId="43" fontId="27" fillId="0" borderId="0" xfId="1" applyFont="1" applyBorder="1"/>
    <xf numFmtId="0" fontId="57" fillId="91" borderId="0" xfId="0" applyFont="1" applyFill="1" applyAlignment="1">
      <alignment wrapText="1"/>
    </xf>
    <xf numFmtId="165" fontId="2" fillId="0" borderId="0" xfId="25" applyNumberFormat="1" applyFont="1"/>
    <xf numFmtId="0" fontId="2" fillId="0" borderId="0" xfId="25" applyFont="1"/>
    <xf numFmtId="0" fontId="12" fillId="0" borderId="0" xfId="25" applyFont="1"/>
    <xf numFmtId="165" fontId="26" fillId="0" borderId="0" xfId="2" applyNumberFormat="1" applyFont="1" applyFill="1" applyBorder="1" applyAlignment="1">
      <alignment wrapText="1"/>
    </xf>
    <xf numFmtId="165" fontId="27" fillId="0" borderId="0" xfId="2" applyNumberFormat="1" applyFont="1" applyFill="1" applyBorder="1" applyAlignment="1">
      <alignment wrapText="1"/>
    </xf>
    <xf numFmtId="165" fontId="24" fillId="0" borderId="0" xfId="1" applyNumberFormat="1" applyFont="1" applyFill="1" applyBorder="1"/>
    <xf numFmtId="17" fontId="136" fillId="0" borderId="0" xfId="0" applyNumberFormat="1" applyFont="1"/>
    <xf numFmtId="0" fontId="141" fillId="0" borderId="0" xfId="25" applyFont="1"/>
    <xf numFmtId="0" fontId="2" fillId="7" borderId="32" xfId="25" applyFont="1" applyFill="1" applyBorder="1" applyAlignment="1">
      <alignment horizontal="center"/>
    </xf>
    <xf numFmtId="165" fontId="2" fillId="7" borderId="18" xfId="2" applyNumberFormat="1" applyFont="1" applyFill="1" applyBorder="1" applyAlignment="1">
      <alignment vertical="center"/>
    </xf>
    <xf numFmtId="165" fontId="2" fillId="7" borderId="32" xfId="2" applyNumberFormat="1" applyFont="1" applyFill="1" applyBorder="1" applyAlignment="1">
      <alignment vertical="center"/>
    </xf>
    <xf numFmtId="165" fontId="72" fillId="0" borderId="0" xfId="25" applyNumberFormat="1" applyFont="1"/>
    <xf numFmtId="165" fontId="164" fillId="0" borderId="0" xfId="25" applyNumberFormat="1" applyFont="1"/>
    <xf numFmtId="9" fontId="164" fillId="0" borderId="0" xfId="25" applyNumberFormat="1" applyFont="1"/>
    <xf numFmtId="165" fontId="2" fillId="7" borderId="45" xfId="2" applyNumberFormat="1" applyFont="1" applyFill="1" applyBorder="1" applyAlignment="1">
      <alignment vertical="center"/>
    </xf>
    <xf numFmtId="165" fontId="2" fillId="7" borderId="6" xfId="2" applyNumberFormat="1" applyFont="1" applyFill="1" applyBorder="1" applyAlignment="1">
      <alignment vertical="center"/>
    </xf>
    <xf numFmtId="165" fontId="165" fillId="0" borderId="0" xfId="25" applyNumberFormat="1" applyFont="1"/>
    <xf numFmtId="165" fontId="3" fillId="0" borderId="45" xfId="2" applyNumberFormat="1" applyFont="1" applyFill="1" applyBorder="1" applyAlignment="1">
      <alignment vertical="center"/>
    </xf>
    <xf numFmtId="165" fontId="3" fillId="0" borderId="6" xfId="2" applyNumberFormat="1" applyFont="1" applyFill="1" applyBorder="1" applyAlignment="1">
      <alignment vertical="center"/>
    </xf>
    <xf numFmtId="165" fontId="12" fillId="0" borderId="0" xfId="25" applyNumberFormat="1" applyFont="1"/>
    <xf numFmtId="165" fontId="2" fillId="0" borderId="45" xfId="2" applyNumberFormat="1" applyFont="1" applyFill="1" applyBorder="1" applyAlignment="1">
      <alignment vertical="center"/>
    </xf>
    <xf numFmtId="165" fontId="2" fillId="0" borderId="6" xfId="2" applyNumberFormat="1" applyFont="1" applyFill="1" applyBorder="1" applyAlignment="1">
      <alignment vertical="center"/>
    </xf>
    <xf numFmtId="0" fontId="3" fillId="0" borderId="0" xfId="25" applyFont="1"/>
    <xf numFmtId="0" fontId="3" fillId="0" borderId="0" xfId="25" applyFont="1" applyAlignment="1">
      <alignment horizontal="center"/>
    </xf>
    <xf numFmtId="165" fontId="3" fillId="0" borderId="0" xfId="2" applyNumberFormat="1" applyFont="1" applyFill="1" applyBorder="1"/>
    <xf numFmtId="0" fontId="3" fillId="0" borderId="49" xfId="0" applyFont="1" applyBorder="1"/>
    <xf numFmtId="0" fontId="2" fillId="7" borderId="0" xfId="25" applyFont="1" applyFill="1"/>
    <xf numFmtId="0" fontId="2" fillId="7" borderId="5" xfId="25" applyFont="1" applyFill="1" applyBorder="1" applyAlignment="1">
      <alignment horizontal="center"/>
    </xf>
    <xf numFmtId="0" fontId="72" fillId="0" borderId="13" xfId="25" applyFont="1" applyBorder="1"/>
    <xf numFmtId="165" fontId="2" fillId="7" borderId="0" xfId="1" applyNumberFormat="1" applyFont="1" applyFill="1"/>
    <xf numFmtId="186" fontId="9" fillId="0" borderId="0" xfId="25" applyNumberFormat="1"/>
    <xf numFmtId="165" fontId="2" fillId="0" borderId="18" xfId="2" applyNumberFormat="1" applyFont="1" applyFill="1" applyBorder="1"/>
    <xf numFmtId="165" fontId="72" fillId="0" borderId="0" xfId="1" applyNumberFormat="1" applyFont="1" applyFill="1"/>
    <xf numFmtId="165" fontId="166" fillId="0" borderId="0" xfId="1" applyNumberFormat="1" applyFont="1" applyFill="1" applyBorder="1"/>
    <xf numFmtId="43" fontId="72" fillId="0" borderId="0" xfId="25" applyNumberFormat="1" applyFont="1"/>
    <xf numFmtId="165" fontId="9" fillId="0" borderId="0" xfId="1" applyNumberFormat="1" applyFont="1"/>
    <xf numFmtId="165" fontId="2" fillId="0" borderId="18" xfId="2" applyNumberFormat="1" applyFont="1" applyBorder="1" applyAlignment="1">
      <alignment vertical="center"/>
    </xf>
    <xf numFmtId="165" fontId="2" fillId="0" borderId="34" xfId="2" applyNumberFormat="1" applyFont="1" applyBorder="1" applyAlignment="1">
      <alignment vertical="center"/>
    </xf>
    <xf numFmtId="165" fontId="2" fillId="0" borderId="32" xfId="2" applyNumberFormat="1" applyFont="1" applyBorder="1" applyAlignment="1">
      <alignment vertical="center"/>
    </xf>
    <xf numFmtId="165" fontId="2" fillId="0" borderId="33" xfId="2" applyNumberFormat="1" applyFont="1" applyBorder="1" applyAlignment="1">
      <alignment vertical="center"/>
    </xf>
    <xf numFmtId="0" fontId="2" fillId="7" borderId="136" xfId="25" applyFont="1" applyFill="1" applyBorder="1" applyAlignment="1">
      <alignment horizontal="center" vertical="center"/>
    </xf>
    <xf numFmtId="0" fontId="2" fillId="7" borderId="6" xfId="25" applyFont="1" applyFill="1" applyBorder="1" applyAlignment="1">
      <alignment horizontal="center" vertical="center"/>
    </xf>
    <xf numFmtId="165" fontId="2" fillId="0" borderId="138" xfId="2" applyNumberFormat="1" applyFont="1" applyBorder="1" applyAlignment="1">
      <alignment vertical="center"/>
    </xf>
    <xf numFmtId="43" fontId="9" fillId="0" borderId="128" xfId="25" applyNumberFormat="1" applyBorder="1" applyAlignment="1">
      <alignment vertical="center"/>
    </xf>
    <xf numFmtId="43" fontId="9" fillId="0" borderId="121" xfId="25" applyNumberFormat="1" applyBorder="1" applyAlignment="1">
      <alignment vertical="center"/>
    </xf>
    <xf numFmtId="165" fontId="2" fillId="0" borderId="45" xfId="2" applyNumberFormat="1" applyFont="1" applyBorder="1" applyAlignment="1">
      <alignment vertical="center"/>
    </xf>
    <xf numFmtId="165" fontId="2" fillId="0" borderId="6" xfId="2" applyNumberFormat="1" applyFont="1" applyBorder="1" applyAlignment="1">
      <alignment vertical="center"/>
    </xf>
    <xf numFmtId="0" fontId="2" fillId="7" borderId="37" xfId="25" applyFont="1" applyFill="1" applyBorder="1" applyAlignment="1">
      <alignment horizontal="center" vertical="center"/>
    </xf>
    <xf numFmtId="165" fontId="2" fillId="0" borderId="37" xfId="2" applyNumberFormat="1" applyFont="1" applyBorder="1" applyAlignment="1">
      <alignment vertical="center"/>
    </xf>
    <xf numFmtId="0" fontId="3" fillId="21" borderId="22" xfId="25" applyFont="1" applyFill="1" applyBorder="1" applyAlignment="1">
      <alignment horizontal="center" vertical="center"/>
    </xf>
    <xf numFmtId="0" fontId="139" fillId="93" borderId="0" xfId="25" applyFont="1" applyFill="1"/>
    <xf numFmtId="0" fontId="2" fillId="0" borderId="37" xfId="25" applyFont="1" applyBorder="1" applyAlignment="1">
      <alignment horizontal="center" vertical="center"/>
    </xf>
    <xf numFmtId="165" fontId="2" fillId="0" borderId="18" xfId="2" applyNumberFormat="1" applyFont="1" applyFill="1" applyBorder="1" applyAlignment="1">
      <alignment vertical="center"/>
    </xf>
    <xf numFmtId="165" fontId="2" fillId="0" borderId="37" xfId="2" applyNumberFormat="1" applyFont="1" applyFill="1" applyBorder="1" applyAlignment="1">
      <alignment vertical="center"/>
    </xf>
    <xf numFmtId="0" fontId="2" fillId="7" borderId="28" xfId="25" applyFont="1" applyFill="1" applyBorder="1" applyAlignment="1">
      <alignment horizontal="center" vertical="center"/>
    </xf>
    <xf numFmtId="165" fontId="2" fillId="0" borderId="137" xfId="2" applyNumberFormat="1" applyFont="1" applyBorder="1" applyAlignment="1">
      <alignment vertical="center"/>
    </xf>
    <xf numFmtId="165" fontId="2" fillId="7" borderId="18" xfId="1" applyNumberFormat="1" applyFont="1" applyFill="1" applyBorder="1" applyAlignment="1">
      <alignment vertical="center"/>
    </xf>
    <xf numFmtId="165" fontId="2" fillId="0" borderId="32" xfId="1" applyNumberFormat="1" applyFont="1" applyBorder="1" applyAlignment="1">
      <alignment vertical="center"/>
    </xf>
    <xf numFmtId="165" fontId="2" fillId="7" borderId="32" xfId="1" applyNumberFormat="1" applyFont="1" applyFill="1" applyBorder="1" applyAlignment="1">
      <alignment vertical="center"/>
    </xf>
    <xf numFmtId="0" fontId="2" fillId="7" borderId="137" xfId="25" applyFont="1" applyFill="1" applyBorder="1" applyAlignment="1">
      <alignment horizontal="center" vertical="center"/>
    </xf>
    <xf numFmtId="0" fontId="2" fillId="7" borderId="5" xfId="25" applyFont="1" applyFill="1" applyBorder="1" applyAlignment="1">
      <alignment horizontal="center" vertical="center"/>
    </xf>
    <xf numFmtId="0" fontId="9" fillId="0" borderId="0" xfId="25" applyAlignment="1">
      <alignment wrapText="1"/>
    </xf>
    <xf numFmtId="165" fontId="9" fillId="0" borderId="0" xfId="1" applyNumberFormat="1" applyFont="1" applyFill="1"/>
    <xf numFmtId="165" fontId="2" fillId="0" borderId="4" xfId="2" applyNumberFormat="1" applyFont="1" applyFill="1" applyBorder="1" applyAlignment="1">
      <alignment vertical="center"/>
    </xf>
    <xf numFmtId="165" fontId="3" fillId="0" borderId="4" xfId="2" applyNumberFormat="1" applyFont="1" applyFill="1" applyBorder="1" applyAlignment="1">
      <alignment vertical="center"/>
    </xf>
    <xf numFmtId="165" fontId="2" fillId="0" borderId="32" xfId="2" applyNumberFormat="1" applyFont="1" applyFill="1" applyBorder="1"/>
    <xf numFmtId="0" fontId="2" fillId="0" borderId="28" xfId="25" applyFont="1" applyBorder="1" applyAlignment="1">
      <alignment horizontal="center" vertical="center"/>
    </xf>
    <xf numFmtId="165" fontId="2" fillId="0" borderId="137" xfId="2" applyNumberFormat="1" applyFont="1" applyFill="1" applyBorder="1" applyAlignment="1">
      <alignment vertical="center"/>
    </xf>
    <xf numFmtId="165" fontId="2" fillId="0" borderId="37" xfId="1" applyNumberFormat="1" applyFont="1" applyFill="1" applyBorder="1" applyAlignment="1">
      <alignment vertical="center"/>
    </xf>
    <xf numFmtId="0" fontId="2" fillId="0" borderId="6" xfId="25" applyFont="1" applyBorder="1" applyAlignment="1">
      <alignment horizontal="center" vertical="center"/>
    </xf>
    <xf numFmtId="165" fontId="2" fillId="0" borderId="34" xfId="2" applyNumberFormat="1" applyFont="1" applyFill="1" applyBorder="1" applyAlignment="1">
      <alignment vertical="center"/>
    </xf>
    <xf numFmtId="165" fontId="2" fillId="0" borderId="32" xfId="2" applyNumberFormat="1" applyFont="1" applyFill="1" applyBorder="1" applyAlignment="1">
      <alignment vertical="center"/>
    </xf>
    <xf numFmtId="165" fontId="2" fillId="0" borderId="138" xfId="2" applyNumberFormat="1" applyFont="1" applyFill="1" applyBorder="1" applyAlignment="1">
      <alignment vertical="center"/>
    </xf>
    <xf numFmtId="0" fontId="2" fillId="0" borderId="5" xfId="25" applyFont="1" applyBorder="1" applyAlignment="1">
      <alignment horizontal="center" vertical="center"/>
    </xf>
    <xf numFmtId="0" fontId="2" fillId="0" borderId="136" xfId="25" applyFont="1" applyBorder="1" applyAlignment="1">
      <alignment horizontal="center" vertical="center"/>
    </xf>
    <xf numFmtId="0" fontId="2" fillId="0" borderId="136" xfId="25" applyFont="1" applyBorder="1" applyAlignment="1">
      <alignment horizontal="center"/>
    </xf>
    <xf numFmtId="165" fontId="2" fillId="0" borderId="147" xfId="2" applyNumberFormat="1" applyFont="1" applyFill="1" applyBorder="1" applyAlignment="1">
      <alignment vertical="center"/>
    </xf>
    <xf numFmtId="0" fontId="2" fillId="0" borderId="32" xfId="25" applyFont="1" applyBorder="1" applyAlignment="1">
      <alignment horizontal="center"/>
    </xf>
    <xf numFmtId="0" fontId="2" fillId="0" borderId="32" xfId="25" applyFont="1" applyBorder="1" applyAlignment="1">
      <alignment horizontal="center" vertical="center"/>
    </xf>
    <xf numFmtId="0" fontId="35" fillId="0" borderId="36" xfId="0" applyFont="1" applyBorder="1" applyAlignment="1">
      <alignment vertical="center"/>
    </xf>
    <xf numFmtId="0" fontId="35" fillId="0" borderId="0" xfId="0" applyFont="1" applyAlignment="1">
      <alignment vertical="center"/>
    </xf>
    <xf numFmtId="165" fontId="27" fillId="0" borderId="50" xfId="2" applyNumberFormat="1" applyFont="1" applyFill="1" applyBorder="1" applyAlignment="1">
      <alignment horizontal="center" vertical="center" wrapText="1"/>
    </xf>
    <xf numFmtId="165" fontId="27" fillId="0" borderId="50" xfId="2" applyNumberFormat="1" applyFont="1" applyFill="1" applyBorder="1" applyAlignment="1">
      <alignment vertical="center"/>
    </xf>
    <xf numFmtId="165" fontId="27" fillId="0" borderId="17" xfId="2" applyNumberFormat="1" applyFont="1" applyFill="1" applyBorder="1" applyAlignment="1">
      <alignment vertical="center" wrapText="1"/>
    </xf>
    <xf numFmtId="165" fontId="27" fillId="0" borderId="45" xfId="2" applyNumberFormat="1" applyFont="1" applyFill="1" applyBorder="1" applyAlignment="1">
      <alignment vertical="center" wrapText="1"/>
    </xf>
    <xf numFmtId="165" fontId="27" fillId="0" borderId="50" xfId="2" applyNumberFormat="1" applyFont="1" applyFill="1" applyBorder="1" applyAlignment="1">
      <alignment vertical="center" wrapText="1"/>
    </xf>
    <xf numFmtId="165" fontId="27" fillId="0" borderId="17" xfId="2" applyNumberFormat="1" applyFont="1" applyFill="1" applyBorder="1" applyAlignment="1">
      <alignment horizontal="center" vertical="center"/>
    </xf>
    <xf numFmtId="165" fontId="27" fillId="0" borderId="147" xfId="2" applyNumberFormat="1" applyFont="1" applyFill="1" applyBorder="1" applyAlignment="1">
      <alignment vertical="center" wrapText="1"/>
    </xf>
    <xf numFmtId="165" fontId="26" fillId="0" borderId="12" xfId="2" applyNumberFormat="1" applyFont="1" applyFill="1" applyBorder="1" applyAlignment="1">
      <alignment vertical="center" wrapText="1"/>
    </xf>
    <xf numFmtId="3" fontId="57" fillId="91" borderId="6" xfId="0" applyNumberFormat="1" applyFont="1" applyFill="1" applyBorder="1" applyAlignment="1">
      <alignment vertical="center" wrapText="1"/>
    </xf>
    <xf numFmtId="0" fontId="57" fillId="91" borderId="6" xfId="0" applyFont="1" applyFill="1" applyBorder="1" applyAlignment="1">
      <alignment vertical="center" wrapText="1"/>
    </xf>
    <xf numFmtId="3" fontId="57" fillId="91" borderId="138" xfId="0" applyNumberFormat="1" applyFont="1" applyFill="1" applyBorder="1" applyAlignment="1">
      <alignment vertical="center" wrapText="1"/>
    </xf>
    <xf numFmtId="0" fontId="57" fillId="91" borderId="138" xfId="0" applyFont="1" applyFill="1" applyBorder="1" applyAlignment="1">
      <alignment vertical="center" wrapText="1"/>
    </xf>
    <xf numFmtId="3" fontId="57" fillId="91" borderId="147" xfId="0" applyNumberFormat="1" applyFont="1" applyFill="1" applyBorder="1" applyAlignment="1">
      <alignment vertical="center" wrapText="1"/>
    </xf>
    <xf numFmtId="165" fontId="27" fillId="7" borderId="6" xfId="2" applyNumberFormat="1" applyFont="1" applyFill="1" applyBorder="1" applyAlignment="1">
      <alignment vertical="center"/>
    </xf>
    <xf numFmtId="165" fontId="27" fillId="7" borderId="101" xfId="2" applyNumberFormat="1" applyFont="1" applyFill="1" applyBorder="1" applyAlignment="1">
      <alignment vertical="center" wrapText="1"/>
    </xf>
    <xf numFmtId="0" fontId="57" fillId="91" borderId="117" xfId="0" applyFont="1" applyFill="1" applyBorder="1" applyAlignment="1">
      <alignment vertical="center" wrapText="1"/>
    </xf>
    <xf numFmtId="0" fontId="57" fillId="91" borderId="50" xfId="0" applyFont="1" applyFill="1" applyBorder="1" applyAlignment="1">
      <alignment vertical="center" wrapText="1"/>
    </xf>
    <xf numFmtId="3" fontId="57" fillId="91" borderId="117" xfId="0" applyNumberFormat="1" applyFont="1" applyFill="1" applyBorder="1" applyAlignment="1">
      <alignment vertical="center" wrapText="1"/>
    </xf>
    <xf numFmtId="3" fontId="57" fillId="91" borderId="50" xfId="0" applyNumberFormat="1" applyFont="1" applyFill="1" applyBorder="1" applyAlignment="1">
      <alignment vertical="center" wrapText="1"/>
    </xf>
    <xf numFmtId="165" fontId="27" fillId="7" borderId="85" xfId="1" applyNumberFormat="1" applyFont="1" applyFill="1" applyBorder="1" applyAlignment="1">
      <alignment vertical="center" wrapText="1"/>
    </xf>
    <xf numFmtId="3" fontId="57" fillId="91" borderId="118" xfId="0" applyNumberFormat="1" applyFont="1" applyFill="1" applyBorder="1" applyAlignment="1">
      <alignment vertical="center" wrapText="1"/>
    </xf>
    <xf numFmtId="3" fontId="57" fillId="91" borderId="102" xfId="0" applyNumberFormat="1" applyFont="1" applyFill="1" applyBorder="1" applyAlignment="1">
      <alignment vertical="center" wrapText="1"/>
    </xf>
    <xf numFmtId="0" fontId="57" fillId="91" borderId="107" xfId="0" applyFont="1" applyFill="1" applyBorder="1" applyAlignment="1">
      <alignment vertical="center" wrapText="1"/>
    </xf>
    <xf numFmtId="3" fontId="57" fillId="91" borderId="51" xfId="0" applyNumberFormat="1" applyFont="1" applyFill="1" applyBorder="1" applyAlignment="1">
      <alignment vertical="center" wrapText="1"/>
    </xf>
    <xf numFmtId="165" fontId="2" fillId="0" borderId="45" xfId="2" applyNumberFormat="1" applyFont="1" applyFill="1" applyBorder="1" applyAlignment="1">
      <alignment horizontal="center" vertical="center"/>
    </xf>
    <xf numFmtId="165" fontId="27" fillId="7" borderId="117" xfId="2" applyNumberFormat="1" applyFont="1" applyFill="1" applyBorder="1" applyAlignment="1">
      <alignment horizontal="center" vertical="center" wrapText="1"/>
    </xf>
    <xf numFmtId="165" fontId="27" fillId="0" borderId="84" xfId="2" applyNumberFormat="1" applyFont="1" applyFill="1" applyBorder="1" applyAlignment="1">
      <alignment vertical="center" wrapText="1"/>
    </xf>
    <xf numFmtId="165" fontId="26" fillId="0" borderId="13" xfId="2" applyNumberFormat="1" applyFont="1" applyFill="1" applyBorder="1" applyAlignment="1">
      <alignment vertical="center" wrapText="1"/>
    </xf>
    <xf numFmtId="165" fontId="26" fillId="0" borderId="16" xfId="2" applyNumberFormat="1" applyFont="1" applyFill="1" applyBorder="1" applyAlignment="1">
      <alignment vertical="center" wrapText="1"/>
    </xf>
    <xf numFmtId="165" fontId="26" fillId="0" borderId="53" xfId="2" applyNumberFormat="1" applyFont="1" applyFill="1" applyBorder="1" applyAlignment="1">
      <alignment vertical="center" wrapText="1"/>
    </xf>
    <xf numFmtId="165" fontId="26" fillId="0" borderId="11" xfId="2" applyNumberFormat="1" applyFont="1" applyFill="1" applyBorder="1" applyAlignment="1">
      <alignment vertical="center" wrapText="1"/>
    </xf>
    <xf numFmtId="165" fontId="26" fillId="0" borderId="103" xfId="2" applyNumberFormat="1" applyFont="1" applyFill="1" applyBorder="1" applyAlignment="1">
      <alignment vertical="center" wrapText="1"/>
    </xf>
    <xf numFmtId="165" fontId="49" fillId="0" borderId="0" xfId="2" applyNumberFormat="1" applyFont="1" applyFill="1" applyBorder="1"/>
    <xf numFmtId="165" fontId="163" fillId="0" borderId="0" xfId="25" applyNumberFormat="1" applyFont="1"/>
    <xf numFmtId="165" fontId="3" fillId="0" borderId="0" xfId="2" applyNumberFormat="1" applyFont="1" applyBorder="1" applyAlignment="1">
      <alignment horizontal="center"/>
    </xf>
    <xf numFmtId="165" fontId="167" fillId="0" borderId="0" xfId="25" applyNumberFormat="1" applyFont="1"/>
    <xf numFmtId="0" fontId="168" fillId="0" borderId="0" xfId="25" applyFont="1"/>
    <xf numFmtId="165" fontId="168" fillId="0" borderId="0" xfId="25" applyNumberFormat="1" applyFont="1"/>
    <xf numFmtId="165" fontId="26" fillId="0" borderId="12" xfId="2" applyNumberFormat="1" applyFont="1" applyFill="1" applyBorder="1" applyAlignment="1">
      <alignment vertical="center"/>
    </xf>
    <xf numFmtId="165" fontId="60" fillId="0" borderId="12" xfId="2" applyNumberFormat="1" applyFont="1" applyFill="1" applyBorder="1" applyAlignment="1">
      <alignment vertical="center"/>
    </xf>
    <xf numFmtId="165" fontId="27" fillId="0" borderId="84" xfId="2" applyNumberFormat="1" applyFont="1" applyFill="1" applyBorder="1" applyAlignment="1">
      <alignment horizontal="center" vertical="center"/>
    </xf>
    <xf numFmtId="165" fontId="27" fillId="7" borderId="147" xfId="2" applyNumberFormat="1" applyFont="1" applyFill="1" applyBorder="1" applyAlignment="1">
      <alignment vertical="center" wrapText="1"/>
    </xf>
    <xf numFmtId="165" fontId="27" fillId="7" borderId="147" xfId="2" applyNumberFormat="1" applyFont="1" applyFill="1" applyBorder="1" applyAlignment="1">
      <alignment vertical="center"/>
    </xf>
    <xf numFmtId="165" fontId="26" fillId="0" borderId="148" xfId="2" applyNumberFormat="1" applyFont="1" applyFill="1" applyBorder="1" applyAlignment="1">
      <alignment vertical="center" wrapText="1"/>
    </xf>
    <xf numFmtId="165" fontId="60" fillId="0" borderId="103" xfId="2" applyNumberFormat="1" applyFont="1" applyFill="1" applyBorder="1" applyAlignment="1">
      <alignment vertical="center" wrapText="1"/>
    </xf>
    <xf numFmtId="165" fontId="57" fillId="0" borderId="84" xfId="2" applyNumberFormat="1" applyFont="1" applyFill="1" applyBorder="1" applyAlignment="1">
      <alignment vertical="center" wrapText="1"/>
    </xf>
    <xf numFmtId="165" fontId="27" fillId="7" borderId="138" xfId="2" applyNumberFormat="1" applyFont="1" applyFill="1" applyBorder="1" applyAlignment="1">
      <alignment vertical="center"/>
    </xf>
    <xf numFmtId="165" fontId="26" fillId="0" borderId="31" xfId="2" applyNumberFormat="1" applyFont="1" applyFill="1" applyBorder="1" applyAlignment="1">
      <alignment vertical="center" wrapText="1"/>
    </xf>
    <xf numFmtId="165" fontId="26" fillId="0" borderId="11" xfId="2" applyNumberFormat="1" applyFont="1" applyFill="1" applyBorder="1" applyAlignment="1">
      <alignment vertical="center"/>
    </xf>
    <xf numFmtId="165" fontId="26" fillId="0" borderId="100" xfId="2" applyNumberFormat="1" applyFont="1" applyFill="1" applyBorder="1" applyAlignment="1">
      <alignment vertical="center"/>
    </xf>
    <xf numFmtId="165" fontId="60" fillId="0" borderId="31" xfId="2" applyNumberFormat="1" applyFont="1" applyFill="1" applyBorder="1" applyAlignment="1">
      <alignment vertical="center" wrapText="1"/>
    </xf>
    <xf numFmtId="165" fontId="60" fillId="0" borderId="13" xfId="2" applyNumberFormat="1" applyFont="1" applyFill="1" applyBorder="1" applyAlignment="1">
      <alignment vertical="center" wrapText="1"/>
    </xf>
    <xf numFmtId="165" fontId="57" fillId="7" borderId="138" xfId="2" applyNumberFormat="1" applyFont="1" applyFill="1" applyBorder="1" applyAlignment="1">
      <alignment vertical="center" wrapText="1"/>
    </xf>
    <xf numFmtId="165" fontId="57" fillId="7" borderId="147" xfId="2" applyNumberFormat="1" applyFont="1" applyFill="1" applyBorder="1" applyAlignment="1">
      <alignment vertical="center"/>
    </xf>
    <xf numFmtId="165" fontId="27" fillId="0" borderId="147" xfId="2" applyNumberFormat="1" applyFont="1" applyFill="1" applyBorder="1" applyAlignment="1">
      <alignment vertical="center"/>
    </xf>
    <xf numFmtId="165" fontId="57" fillId="7" borderId="17" xfId="2" applyNumberFormat="1" applyFont="1" applyFill="1" applyBorder="1" applyAlignment="1">
      <alignment vertical="center" wrapText="1"/>
    </xf>
    <xf numFmtId="165" fontId="57" fillId="7" borderId="84" xfId="2" applyNumberFormat="1" applyFont="1" applyFill="1" applyBorder="1" applyAlignment="1">
      <alignment vertical="center" wrapText="1"/>
    </xf>
    <xf numFmtId="165" fontId="57" fillId="7" borderId="50" xfId="2" applyNumberFormat="1" applyFont="1" applyFill="1" applyBorder="1" applyAlignment="1">
      <alignment vertical="center"/>
    </xf>
    <xf numFmtId="165" fontId="27" fillId="0" borderId="17" xfId="2" applyNumberFormat="1" applyFont="1" applyFill="1" applyBorder="1" applyAlignment="1">
      <alignment vertical="center"/>
    </xf>
    <xf numFmtId="165" fontId="27" fillId="0" borderId="138" xfId="2" applyNumberFormat="1" applyFont="1" applyFill="1" applyBorder="1" applyAlignment="1">
      <alignment vertical="center"/>
    </xf>
    <xf numFmtId="165" fontId="27" fillId="0" borderId="101" xfId="2" applyNumberFormat="1" applyFont="1" applyFill="1" applyBorder="1" applyAlignment="1">
      <alignment vertical="center"/>
    </xf>
    <xf numFmtId="165" fontId="27" fillId="0" borderId="99" xfId="2" applyNumberFormat="1" applyFont="1" applyFill="1" applyBorder="1" applyAlignment="1">
      <alignment vertical="center"/>
    </xf>
    <xf numFmtId="165" fontId="27" fillId="0" borderId="47" xfId="2" applyNumberFormat="1" applyFont="1" applyFill="1" applyBorder="1" applyAlignment="1">
      <alignment vertical="center"/>
    </xf>
    <xf numFmtId="165" fontId="27" fillId="0" borderId="46" xfId="2" applyNumberFormat="1" applyFont="1" applyFill="1" applyBorder="1" applyAlignment="1">
      <alignment vertical="center"/>
    </xf>
    <xf numFmtId="165" fontId="27" fillId="0" borderId="13" xfId="2" applyNumberFormat="1" applyFont="1" applyFill="1" applyBorder="1" applyAlignment="1">
      <alignment vertical="center" wrapText="1"/>
    </xf>
    <xf numFmtId="165" fontId="26" fillId="0" borderId="103" xfId="2" applyNumberFormat="1" applyFont="1" applyFill="1" applyBorder="1" applyAlignment="1">
      <alignment vertical="center"/>
    </xf>
    <xf numFmtId="0" fontId="167" fillId="0" borderId="0" xfId="25" applyFont="1"/>
    <xf numFmtId="165" fontId="144" fillId="0" borderId="0" xfId="2" applyNumberFormat="1" applyFont="1" applyFill="1" applyBorder="1" applyAlignment="1" applyProtection="1">
      <alignment horizontal="center"/>
    </xf>
    <xf numFmtId="165" fontId="26" fillId="0" borderId="47" xfId="2" applyNumberFormat="1" applyFont="1" applyFill="1" applyBorder="1" applyAlignment="1">
      <alignment vertical="center"/>
    </xf>
    <xf numFmtId="165" fontId="26" fillId="0" borderId="46" xfId="2" applyNumberFormat="1" applyFont="1" applyFill="1" applyBorder="1" applyAlignment="1">
      <alignment vertical="center"/>
    </xf>
    <xf numFmtId="165" fontId="26" fillId="0" borderId="119" xfId="2" applyNumberFormat="1" applyFont="1" applyFill="1" applyBorder="1" applyAlignment="1">
      <alignment vertical="center"/>
    </xf>
    <xf numFmtId="165" fontId="3" fillId="0" borderId="0" xfId="2" applyNumberFormat="1" applyFont="1" applyFill="1" applyBorder="1" applyAlignment="1">
      <alignment horizontal="center"/>
    </xf>
    <xf numFmtId="41" fontId="27" fillId="7" borderId="147" xfId="2" applyNumberFormat="1" applyFont="1" applyFill="1" applyBorder="1" applyAlignment="1">
      <alignment vertical="center" wrapText="1"/>
    </xf>
    <xf numFmtId="41" fontId="27" fillId="7" borderId="147" xfId="2" applyNumberFormat="1" applyFont="1" applyFill="1" applyBorder="1" applyAlignment="1">
      <alignment vertical="center"/>
    </xf>
    <xf numFmtId="165" fontId="27" fillId="0" borderId="31" xfId="2" applyNumberFormat="1" applyFont="1" applyFill="1" applyBorder="1" applyAlignment="1">
      <alignment vertical="center" wrapText="1"/>
    </xf>
    <xf numFmtId="165" fontId="27" fillId="0" borderId="6" xfId="2" applyNumberFormat="1" applyFont="1" applyFill="1" applyBorder="1" applyAlignment="1">
      <alignment vertical="center" wrapText="1"/>
    </xf>
    <xf numFmtId="165" fontId="144" fillId="7" borderId="0" xfId="2" applyNumberFormat="1" applyFont="1" applyFill="1" applyBorder="1" applyAlignment="1" applyProtection="1">
      <alignment horizontal="center" vertical="center"/>
    </xf>
    <xf numFmtId="165" fontId="27" fillId="7" borderId="138" xfId="2" applyNumberFormat="1" applyFont="1" applyFill="1" applyBorder="1" applyAlignment="1">
      <alignment vertical="center" wrapText="1"/>
    </xf>
    <xf numFmtId="165" fontId="27" fillId="0" borderId="138" xfId="2" applyNumberFormat="1" applyFont="1" applyFill="1" applyBorder="1" applyAlignment="1">
      <alignment vertical="center" wrapText="1"/>
    </xf>
    <xf numFmtId="165" fontId="26" fillId="0" borderId="51" xfId="2" applyNumberFormat="1" applyFont="1" applyFill="1" applyBorder="1" applyAlignment="1">
      <alignment vertical="center"/>
    </xf>
    <xf numFmtId="3" fontId="57" fillId="91" borderId="50" xfId="0" applyNumberFormat="1" applyFont="1" applyFill="1" applyBorder="1" applyAlignment="1">
      <alignment vertical="center"/>
    </xf>
    <xf numFmtId="3" fontId="57" fillId="91" borderId="17" xfId="0" applyNumberFormat="1" applyFont="1" applyFill="1" applyBorder="1" applyAlignment="1">
      <alignment vertical="center" wrapText="1"/>
    </xf>
    <xf numFmtId="3" fontId="145" fillId="0" borderId="17" xfId="0" applyNumberFormat="1" applyFont="1" applyBorder="1" applyAlignment="1">
      <alignment vertical="center" wrapText="1"/>
    </xf>
    <xf numFmtId="3" fontId="145" fillId="0" borderId="45" xfId="0" applyNumberFormat="1" applyFont="1" applyBorder="1" applyAlignment="1">
      <alignment vertical="center" wrapText="1"/>
    </xf>
    <xf numFmtId="0" fontId="57" fillId="91" borderId="50" xfId="0" applyFont="1" applyFill="1" applyBorder="1" applyAlignment="1">
      <alignment vertical="center"/>
    </xf>
    <xf numFmtId="0" fontId="57" fillId="91" borderId="17" xfId="0" applyFont="1" applyFill="1" applyBorder="1" applyAlignment="1">
      <alignment vertical="center" wrapText="1"/>
    </xf>
    <xf numFmtId="3" fontId="57" fillId="91" borderId="51" xfId="0" applyNumberFormat="1" applyFont="1" applyFill="1" applyBorder="1" applyAlignment="1">
      <alignment vertical="center"/>
    </xf>
    <xf numFmtId="3" fontId="57" fillId="91" borderId="19" xfId="0" applyNumberFormat="1" applyFont="1" applyFill="1" applyBorder="1" applyAlignment="1">
      <alignment vertical="center" wrapText="1"/>
    </xf>
    <xf numFmtId="3" fontId="57" fillId="91" borderId="147" xfId="0" applyNumberFormat="1" applyFont="1" applyFill="1" applyBorder="1" applyAlignment="1">
      <alignment vertical="center"/>
    </xf>
    <xf numFmtId="0" fontId="57" fillId="91" borderId="147" xfId="0" applyFont="1" applyFill="1" applyBorder="1" applyAlignment="1">
      <alignment vertical="center"/>
    </xf>
    <xf numFmtId="165" fontId="27" fillId="0" borderId="51" xfId="2" applyNumberFormat="1" applyFont="1" applyFill="1" applyBorder="1" applyAlignment="1">
      <alignment vertical="center"/>
    </xf>
    <xf numFmtId="165" fontId="36" fillId="0" borderId="147" xfId="2" applyNumberFormat="1" applyFont="1" applyBorder="1" applyAlignment="1">
      <alignment vertical="center"/>
    </xf>
    <xf numFmtId="165" fontId="2" fillId="7" borderId="50" xfId="1" applyNumberFormat="1" applyFont="1" applyFill="1" applyBorder="1" applyAlignment="1">
      <alignment horizontal="center" vertical="center" wrapText="1"/>
    </xf>
    <xf numFmtId="165" fontId="2" fillId="7" borderId="50" xfId="1" applyNumberFormat="1" applyFont="1" applyFill="1" applyBorder="1" applyAlignment="1">
      <alignment vertical="center"/>
    </xf>
    <xf numFmtId="165" fontId="2" fillId="7" borderId="17" xfId="1" applyNumberFormat="1" applyFont="1" applyFill="1" applyBorder="1" applyAlignment="1">
      <alignment vertical="center" wrapText="1"/>
    </xf>
    <xf numFmtId="165" fontId="2" fillId="7" borderId="18" xfId="1" applyNumberFormat="1" applyFont="1" applyFill="1" applyBorder="1" applyAlignment="1">
      <alignment vertical="center" wrapText="1"/>
    </xf>
    <xf numFmtId="165" fontId="2" fillId="0" borderId="50" xfId="2" applyNumberFormat="1" applyFont="1" applyFill="1" applyBorder="1" applyAlignment="1">
      <alignment vertical="center" wrapText="1"/>
    </xf>
    <xf numFmtId="165" fontId="2" fillId="0" borderId="17" xfId="2" applyNumberFormat="1" applyFont="1" applyFill="1" applyBorder="1" applyAlignment="1">
      <alignment vertical="center" wrapText="1"/>
    </xf>
    <xf numFmtId="165" fontId="2" fillId="0" borderId="17" xfId="2" applyNumberFormat="1" applyFont="1" applyFill="1" applyBorder="1" applyAlignment="1">
      <alignment horizontal="center" vertical="center"/>
    </xf>
    <xf numFmtId="165" fontId="2" fillId="0" borderId="50" xfId="2" applyNumberFormat="1" applyFont="1" applyBorder="1" applyAlignment="1">
      <alignment vertical="center" wrapText="1"/>
    </xf>
    <xf numFmtId="165" fontId="2" fillId="0" borderId="6" xfId="2" applyNumberFormat="1" applyFont="1" applyBorder="1" applyAlignment="1">
      <alignment vertical="center" wrapText="1"/>
    </xf>
    <xf numFmtId="165" fontId="2" fillId="0" borderId="45" xfId="2" applyNumberFormat="1" applyFont="1" applyBorder="1" applyAlignment="1">
      <alignment vertical="center" wrapText="1"/>
    </xf>
    <xf numFmtId="165" fontId="2" fillId="7" borderId="138" xfId="1" applyNumberFormat="1" applyFont="1" applyFill="1" applyBorder="1" applyAlignment="1">
      <alignment vertical="center"/>
    </xf>
    <xf numFmtId="165" fontId="2" fillId="7" borderId="50" xfId="1" applyNumberFormat="1" applyFont="1" applyFill="1" applyBorder="1" applyAlignment="1">
      <alignment vertical="center" wrapText="1"/>
    </xf>
    <xf numFmtId="165" fontId="2" fillId="7" borderId="45" xfId="1" applyNumberFormat="1" applyFont="1" applyFill="1" applyBorder="1" applyAlignment="1">
      <alignment vertical="center" wrapText="1"/>
    </xf>
    <xf numFmtId="165" fontId="2" fillId="0" borderId="147" xfId="2" applyNumberFormat="1" applyFont="1" applyFill="1" applyBorder="1" applyAlignment="1">
      <alignment vertical="center" wrapText="1"/>
    </xf>
    <xf numFmtId="165" fontId="2" fillId="7" borderId="147" xfId="1" applyNumberFormat="1" applyFont="1" applyFill="1" applyBorder="1" applyAlignment="1">
      <alignment vertical="center" wrapText="1"/>
    </xf>
    <xf numFmtId="165" fontId="2" fillId="7" borderId="147" xfId="1" applyNumberFormat="1" applyFont="1" applyFill="1" applyBorder="1" applyAlignment="1">
      <alignment vertical="center"/>
    </xf>
    <xf numFmtId="165" fontId="3" fillId="0" borderId="12" xfId="2" applyNumberFormat="1" applyFont="1" applyFill="1" applyBorder="1" applyAlignment="1">
      <alignment vertical="center" wrapText="1"/>
    </xf>
    <xf numFmtId="165" fontId="3" fillId="0" borderId="11" xfId="2" applyNumberFormat="1" applyFont="1" applyFill="1" applyBorder="1" applyAlignment="1">
      <alignment vertical="center" wrapText="1"/>
    </xf>
    <xf numFmtId="165" fontId="3" fillId="0" borderId="13" xfId="2" applyNumberFormat="1" applyFont="1" applyFill="1" applyBorder="1" applyAlignment="1">
      <alignment vertical="center" wrapText="1"/>
    </xf>
    <xf numFmtId="165" fontId="3" fillId="0" borderId="13" xfId="2" applyNumberFormat="1" applyFont="1" applyBorder="1" applyAlignment="1">
      <alignment vertical="center" wrapText="1"/>
    </xf>
    <xf numFmtId="165" fontId="3" fillId="0" borderId="31" xfId="2" applyNumberFormat="1" applyFont="1" applyBorder="1" applyAlignment="1">
      <alignment vertical="center" wrapText="1"/>
    </xf>
    <xf numFmtId="165" fontId="3" fillId="0" borderId="12" xfId="2" applyNumberFormat="1" applyFont="1" applyFill="1" applyBorder="1" applyAlignment="1">
      <alignment vertical="center"/>
    </xf>
    <xf numFmtId="165" fontId="3" fillId="0" borderId="11" xfId="2" applyNumberFormat="1" applyFont="1" applyFill="1" applyBorder="1" applyAlignment="1">
      <alignment vertical="center"/>
    </xf>
    <xf numFmtId="165" fontId="3" fillId="0" borderId="13" xfId="2" applyNumberFormat="1" applyFont="1" applyFill="1" applyBorder="1" applyAlignment="1">
      <alignment vertical="center"/>
    </xf>
    <xf numFmtId="165" fontId="144" fillId="7" borderId="0" xfId="1" applyNumberFormat="1" applyFont="1" applyFill="1" applyBorder="1" applyAlignment="1">
      <alignment horizontal="center"/>
    </xf>
    <xf numFmtId="165" fontId="3" fillId="7" borderId="0" xfId="1" applyNumberFormat="1" applyFont="1" applyFill="1" applyBorder="1" applyAlignment="1">
      <alignment horizontal="center"/>
    </xf>
    <xf numFmtId="165" fontId="49" fillId="0" borderId="0" xfId="2" applyNumberFormat="1" applyFont="1" applyFill="1" applyBorder="1" applyAlignment="1">
      <alignment vertical="center"/>
    </xf>
    <xf numFmtId="165" fontId="163" fillId="0" borderId="0" xfId="25" applyNumberFormat="1" applyFont="1" applyAlignment="1">
      <alignment vertical="center"/>
    </xf>
    <xf numFmtId="165" fontId="167" fillId="0" borderId="0" xfId="25" applyNumberFormat="1" applyFont="1" applyAlignment="1">
      <alignment vertical="center"/>
    </xf>
    <xf numFmtId="0" fontId="12" fillId="0" borderId="0" xfId="25" applyFont="1" applyAlignment="1">
      <alignment vertical="center"/>
    </xf>
    <xf numFmtId="0" fontId="168" fillId="0" borderId="0" xfId="25" applyFont="1" applyAlignment="1">
      <alignment vertical="center"/>
    </xf>
    <xf numFmtId="165" fontId="2" fillId="7" borderId="6" xfId="1" applyNumberFormat="1" applyFont="1" applyFill="1" applyBorder="1" applyAlignment="1">
      <alignment vertical="center"/>
    </xf>
    <xf numFmtId="165" fontId="2" fillId="7" borderId="0" xfId="1" applyNumberFormat="1" applyFont="1" applyFill="1" applyBorder="1" applyAlignment="1">
      <alignment vertical="center" wrapText="1"/>
    </xf>
    <xf numFmtId="165" fontId="2" fillId="7" borderId="121" xfId="1" applyNumberFormat="1" applyFont="1" applyFill="1" applyBorder="1" applyAlignment="1">
      <alignment vertical="center" wrapText="1"/>
    </xf>
    <xf numFmtId="165" fontId="27" fillId="0" borderId="121" xfId="2" applyNumberFormat="1" applyFont="1" applyFill="1" applyBorder="1" applyAlignment="1">
      <alignment vertical="center" wrapText="1"/>
    </xf>
    <xf numFmtId="165" fontId="2" fillId="7" borderId="6" xfId="1" applyNumberFormat="1" applyFont="1" applyFill="1" applyBorder="1" applyAlignment="1">
      <alignment vertical="center" wrapText="1"/>
    </xf>
    <xf numFmtId="165" fontId="2" fillId="7" borderId="138" xfId="1" applyNumberFormat="1" applyFont="1" applyFill="1" applyBorder="1" applyAlignment="1">
      <alignment vertical="center" wrapText="1"/>
    </xf>
    <xf numFmtId="165" fontId="2" fillId="7" borderId="116" xfId="1" applyNumberFormat="1" applyFont="1" applyFill="1" applyBorder="1" applyAlignment="1">
      <alignment vertical="center" wrapText="1"/>
    </xf>
    <xf numFmtId="165" fontId="2" fillId="0" borderId="138" xfId="2" applyNumberFormat="1" applyFont="1" applyBorder="1" applyAlignment="1">
      <alignment vertical="center" wrapText="1"/>
    </xf>
    <xf numFmtId="165" fontId="3" fillId="0" borderId="11" xfId="2" applyNumberFormat="1" applyFont="1" applyBorder="1" applyAlignment="1">
      <alignment vertical="center" wrapText="1"/>
    </xf>
    <xf numFmtId="165" fontId="2" fillId="0" borderId="45" xfId="2" applyNumberFormat="1" applyFont="1" applyFill="1" applyBorder="1" applyAlignment="1">
      <alignment vertical="center" wrapText="1"/>
    </xf>
    <xf numFmtId="165" fontId="3" fillId="0" borderId="47" xfId="2" applyNumberFormat="1" applyFont="1" applyFill="1" applyBorder="1" applyAlignment="1">
      <alignment vertical="center"/>
    </xf>
    <xf numFmtId="165" fontId="3" fillId="0" borderId="46" xfId="2" applyNumberFormat="1" applyFont="1" applyFill="1" applyBorder="1" applyAlignment="1">
      <alignment vertical="center"/>
    </xf>
    <xf numFmtId="165" fontId="3" fillId="0" borderId="35" xfId="2" applyNumberFormat="1" applyFont="1" applyFill="1" applyBorder="1" applyAlignment="1">
      <alignment vertical="center"/>
    </xf>
    <xf numFmtId="165" fontId="144" fillId="0" borderId="0" xfId="1" applyNumberFormat="1" applyFont="1" applyBorder="1" applyAlignment="1">
      <alignment horizontal="center"/>
    </xf>
    <xf numFmtId="165" fontId="3" fillId="0" borderId="0" xfId="1" applyNumberFormat="1" applyFont="1" applyBorder="1" applyAlignment="1">
      <alignment horizontal="center"/>
    </xf>
    <xf numFmtId="165" fontId="147" fillId="7" borderId="50" xfId="2" applyNumberFormat="1" applyFont="1" applyFill="1" applyBorder="1" applyAlignment="1">
      <alignment vertical="center" wrapText="1"/>
    </xf>
    <xf numFmtId="165" fontId="147" fillId="7" borderId="50" xfId="2" applyNumberFormat="1" applyFont="1" applyFill="1" applyBorder="1" applyAlignment="1">
      <alignment vertical="center"/>
    </xf>
    <xf numFmtId="165" fontId="147" fillId="7" borderId="17" xfId="2" applyNumberFormat="1" applyFont="1" applyFill="1" applyBorder="1" applyAlignment="1">
      <alignment vertical="center" wrapText="1"/>
    </xf>
    <xf numFmtId="165" fontId="147" fillId="7" borderId="84" xfId="2" applyNumberFormat="1" applyFont="1" applyFill="1" applyBorder="1" applyAlignment="1">
      <alignment vertical="center" wrapText="1"/>
    </xf>
    <xf numFmtId="165" fontId="147" fillId="7" borderId="17" xfId="2" applyNumberFormat="1" applyFont="1" applyFill="1" applyBorder="1" applyAlignment="1">
      <alignment vertical="center"/>
    </xf>
    <xf numFmtId="165" fontId="147" fillId="7" borderId="147" xfId="2" applyNumberFormat="1" applyFont="1" applyFill="1" applyBorder="1" applyAlignment="1">
      <alignment vertical="center" wrapText="1"/>
    </xf>
    <xf numFmtId="165" fontId="147" fillId="7" borderId="138" xfId="2" applyNumberFormat="1" applyFont="1" applyFill="1" applyBorder="1" applyAlignment="1">
      <alignment vertical="center" wrapText="1"/>
    </xf>
    <xf numFmtId="165" fontId="147" fillId="7" borderId="147" xfId="2" applyNumberFormat="1" applyFont="1" applyFill="1" applyBorder="1" applyAlignment="1">
      <alignment vertical="center"/>
    </xf>
    <xf numFmtId="165" fontId="147" fillId="7" borderId="138" xfId="2" applyNumberFormat="1" applyFont="1" applyFill="1" applyBorder="1" applyAlignment="1">
      <alignment vertical="center"/>
    </xf>
    <xf numFmtId="165" fontId="26" fillId="0" borderId="47" xfId="1" applyNumberFormat="1" applyFont="1" applyBorder="1" applyAlignment="1">
      <alignment vertical="center"/>
    </xf>
    <xf numFmtId="0" fontId="3" fillId="0" borderId="0" xfId="25" applyFont="1" applyAlignment="1">
      <alignment horizontal="right"/>
    </xf>
    <xf numFmtId="3" fontId="142" fillId="0" borderId="0" xfId="0" applyNumberFormat="1" applyFont="1"/>
    <xf numFmtId="0" fontId="142" fillId="0" borderId="0" xfId="0" applyFont="1"/>
    <xf numFmtId="3" fontId="144" fillId="0" borderId="0" xfId="0" applyNumberFormat="1" applyFont="1"/>
    <xf numFmtId="0" fontId="146" fillId="0" borderId="0" xfId="0" applyFont="1"/>
    <xf numFmtId="3" fontId="146" fillId="0" borderId="0" xfId="0" applyNumberFormat="1" applyFont="1"/>
    <xf numFmtId="0" fontId="169" fillId="0" borderId="0" xfId="25" applyFont="1"/>
    <xf numFmtId="0" fontId="7" fillId="0" borderId="0" xfId="25" applyFont="1"/>
    <xf numFmtId="0" fontId="7" fillId="0" borderId="0" xfId="25" applyFont="1" applyAlignment="1">
      <alignment horizontal="right"/>
    </xf>
    <xf numFmtId="165" fontId="133" fillId="0" borderId="0" xfId="2" applyNumberFormat="1" applyFont="1" applyFill="1" applyBorder="1"/>
    <xf numFmtId="165" fontId="2" fillId="0" borderId="50" xfId="2" applyNumberFormat="1" applyFont="1" applyFill="1" applyBorder="1" applyAlignment="1">
      <alignment horizontal="center" vertical="center" wrapText="1"/>
    </xf>
    <xf numFmtId="165" fontId="2" fillId="0" borderId="50" xfId="2" applyNumberFormat="1" applyFont="1" applyFill="1" applyBorder="1" applyAlignment="1">
      <alignment vertical="center"/>
    </xf>
    <xf numFmtId="165" fontId="2" fillId="0" borderId="98" xfId="2" applyNumberFormat="1" applyFont="1" applyFill="1" applyBorder="1" applyAlignment="1">
      <alignment vertical="center" wrapText="1"/>
    </xf>
    <xf numFmtId="165" fontId="2" fillId="0" borderId="84" xfId="2" applyNumberFormat="1" applyFont="1" applyFill="1" applyBorder="1" applyAlignment="1">
      <alignment vertical="center" wrapText="1"/>
    </xf>
    <xf numFmtId="0" fontId="7" fillId="0" borderId="0" xfId="25" applyFont="1" applyAlignment="1">
      <alignment wrapText="1"/>
    </xf>
    <xf numFmtId="165" fontId="171" fillId="0" borderId="0" xfId="2" applyNumberFormat="1" applyFont="1" applyFill="1" applyBorder="1"/>
    <xf numFmtId="165" fontId="2" fillId="0" borderId="95" xfId="2" applyNumberFormat="1" applyFont="1" applyFill="1" applyBorder="1" applyAlignment="1">
      <alignment horizontal="center" vertical="center" wrapText="1"/>
    </xf>
    <xf numFmtId="165" fontId="2" fillId="0" borderId="96" xfId="2" applyNumberFormat="1" applyFont="1" applyFill="1" applyBorder="1" applyAlignment="1">
      <alignment horizontal="center" vertical="center" wrapText="1"/>
    </xf>
    <xf numFmtId="165" fontId="2" fillId="0" borderId="96" xfId="2" applyNumberFormat="1" applyFont="1" applyFill="1" applyBorder="1" applyAlignment="1">
      <alignment vertical="center"/>
    </xf>
    <xf numFmtId="165" fontId="2" fillId="0" borderId="97" xfId="2" applyNumberFormat="1" applyFont="1" applyFill="1" applyBorder="1" applyAlignment="1">
      <alignment vertical="center" wrapText="1"/>
    </xf>
    <xf numFmtId="0" fontId="2" fillId="0" borderId="50" xfId="0" applyFont="1" applyBorder="1" applyAlignment="1">
      <alignment vertical="center" wrapText="1"/>
    </xf>
    <xf numFmtId="3" fontId="2" fillId="0" borderId="50" xfId="0" applyNumberFormat="1" applyFont="1" applyBorder="1" applyAlignment="1">
      <alignment vertical="center" wrapText="1"/>
    </xf>
    <xf numFmtId="9" fontId="167" fillId="0" borderId="0" xfId="25" applyNumberFormat="1" applyFont="1"/>
    <xf numFmtId="165" fontId="3" fillId="0" borderId="31" xfId="2" applyNumberFormat="1" applyFont="1" applyFill="1" applyBorder="1" applyAlignment="1">
      <alignment vertical="center" wrapText="1"/>
    </xf>
    <xf numFmtId="165" fontId="2" fillId="0" borderId="151" xfId="2" applyNumberFormat="1" applyFont="1" applyFill="1" applyBorder="1" applyAlignment="1">
      <alignment vertical="center" wrapText="1"/>
    </xf>
    <xf numFmtId="165" fontId="2" fillId="0" borderId="6" xfId="2" applyNumberFormat="1" applyFont="1" applyFill="1" applyBorder="1" applyAlignment="1">
      <alignment vertical="center" wrapText="1"/>
    </xf>
    <xf numFmtId="165" fontId="2" fillId="0" borderId="151" xfId="2" applyNumberFormat="1" applyFont="1" applyFill="1" applyBorder="1" applyAlignment="1">
      <alignment horizontal="center" vertical="center"/>
    </xf>
    <xf numFmtId="0" fontId="2" fillId="0" borderId="6" xfId="0" applyFont="1" applyBorder="1" applyAlignment="1">
      <alignment vertical="center" wrapText="1"/>
    </xf>
    <xf numFmtId="165" fontId="2" fillId="0" borderId="155" xfId="2" applyNumberFormat="1" applyFont="1" applyFill="1" applyBorder="1" applyAlignment="1">
      <alignment vertical="center" wrapText="1"/>
    </xf>
    <xf numFmtId="165" fontId="3" fillId="0" borderId="103" xfId="2" applyNumberFormat="1" applyFont="1" applyFill="1" applyBorder="1" applyAlignment="1">
      <alignment vertical="center" wrapText="1"/>
    </xf>
    <xf numFmtId="3" fontId="2" fillId="0" borderId="6" xfId="0" applyNumberFormat="1" applyFont="1" applyBorder="1" applyAlignment="1">
      <alignment vertical="center" wrapText="1"/>
    </xf>
    <xf numFmtId="165" fontId="2" fillId="0" borderId="50" xfId="1" applyNumberFormat="1" applyFont="1" applyFill="1" applyBorder="1" applyAlignment="1">
      <alignment vertical="center" wrapText="1"/>
    </xf>
    <xf numFmtId="165" fontId="2" fillId="0" borderId="6" xfId="1" applyNumberFormat="1" applyFont="1" applyFill="1" applyBorder="1" applyAlignment="1">
      <alignment vertical="center" wrapText="1"/>
    </xf>
    <xf numFmtId="165" fontId="2" fillId="0" borderId="45" xfId="1" applyNumberFormat="1" applyFont="1" applyFill="1" applyBorder="1" applyAlignment="1">
      <alignment vertical="center" wrapText="1"/>
    </xf>
    <xf numFmtId="165" fontId="2" fillId="0" borderId="17" xfId="1" applyNumberFormat="1" applyFont="1" applyFill="1" applyBorder="1" applyAlignment="1">
      <alignment vertical="center" wrapText="1"/>
    </xf>
    <xf numFmtId="165" fontId="2" fillId="0" borderId="51" xfId="1" applyNumberFormat="1" applyFont="1" applyFill="1" applyBorder="1" applyAlignment="1">
      <alignment vertical="center" wrapText="1"/>
    </xf>
    <xf numFmtId="165" fontId="2" fillId="0" borderId="147" xfId="1" applyNumberFormat="1" applyFont="1" applyFill="1" applyBorder="1" applyAlignment="1">
      <alignment vertical="center" wrapText="1"/>
    </xf>
    <xf numFmtId="165" fontId="2" fillId="0" borderId="138" xfId="1" applyNumberFormat="1" applyFont="1" applyFill="1" applyBorder="1" applyAlignment="1">
      <alignment vertical="center" wrapText="1"/>
    </xf>
    <xf numFmtId="165" fontId="2" fillId="0" borderId="36" xfId="1" applyNumberFormat="1" applyFont="1" applyFill="1" applyBorder="1" applyAlignment="1">
      <alignment vertical="center" wrapText="1"/>
    </xf>
    <xf numFmtId="165" fontId="3" fillId="0" borderId="12" xfId="1" applyNumberFormat="1" applyFont="1" applyFill="1" applyBorder="1" applyAlignment="1">
      <alignment vertical="center" wrapText="1"/>
    </xf>
    <xf numFmtId="165" fontId="3" fillId="0" borderId="11" xfId="1" applyNumberFormat="1" applyFont="1" applyFill="1" applyBorder="1" applyAlignment="1">
      <alignment vertical="center" wrapText="1"/>
    </xf>
    <xf numFmtId="165" fontId="3" fillId="0" borderId="13" xfId="1" applyNumberFormat="1" applyFont="1" applyFill="1" applyBorder="1" applyAlignment="1">
      <alignment vertical="center" wrapText="1"/>
    </xf>
    <xf numFmtId="165" fontId="2" fillId="0" borderId="50" xfId="1" applyNumberFormat="1" applyFont="1" applyFill="1" applyBorder="1" applyAlignment="1">
      <alignment vertical="center"/>
    </xf>
    <xf numFmtId="165" fontId="2" fillId="0" borderId="6" xfId="1" applyNumberFormat="1" applyFont="1" applyFill="1" applyBorder="1" applyAlignment="1">
      <alignment vertical="center"/>
    </xf>
    <xf numFmtId="165" fontId="2" fillId="0" borderId="45" xfId="1" applyNumberFormat="1" applyFont="1" applyFill="1" applyBorder="1" applyAlignment="1">
      <alignment vertical="center"/>
    </xf>
    <xf numFmtId="165" fontId="3" fillId="0" borderId="31" xfId="1" applyNumberFormat="1" applyFont="1" applyFill="1" applyBorder="1" applyAlignment="1">
      <alignment vertical="center" wrapText="1"/>
    </xf>
    <xf numFmtId="165" fontId="3" fillId="0" borderId="47" xfId="1" applyNumberFormat="1" applyFont="1" applyFill="1" applyBorder="1" applyAlignment="1">
      <alignment vertical="center"/>
    </xf>
    <xf numFmtId="165" fontId="3" fillId="0" borderId="46" xfId="1" applyNumberFormat="1" applyFont="1" applyFill="1" applyBorder="1" applyAlignment="1">
      <alignment vertical="center"/>
    </xf>
    <xf numFmtId="165" fontId="3" fillId="0" borderId="35" xfId="1" applyNumberFormat="1" applyFont="1" applyFill="1" applyBorder="1" applyAlignment="1">
      <alignment vertical="center"/>
    </xf>
    <xf numFmtId="165" fontId="3" fillId="0" borderId="12" xfId="1" applyNumberFormat="1" applyFont="1" applyFill="1" applyBorder="1" applyAlignment="1">
      <alignment vertical="center"/>
    </xf>
    <xf numFmtId="165" fontId="3" fillId="0" borderId="11" xfId="1" applyNumberFormat="1" applyFont="1" applyFill="1" applyBorder="1" applyAlignment="1">
      <alignment vertical="center"/>
    </xf>
    <xf numFmtId="165" fontId="2" fillId="0" borderId="94" xfId="2" applyNumberFormat="1" applyFont="1" applyFill="1" applyBorder="1" applyAlignment="1">
      <alignment vertical="center" wrapText="1"/>
    </xf>
    <xf numFmtId="165" fontId="2" fillId="0" borderId="98" xfId="2" applyNumberFormat="1" applyFont="1" applyFill="1" applyBorder="1" applyAlignment="1">
      <alignment horizontal="center" vertical="center"/>
    </xf>
    <xf numFmtId="165" fontId="2" fillId="0" borderId="110" xfId="1" applyNumberFormat="1" applyFont="1" applyFill="1" applyBorder="1" applyAlignment="1">
      <alignment vertical="center" wrapText="1"/>
    </xf>
    <xf numFmtId="165" fontId="2" fillId="0" borderId="84" xfId="1" applyNumberFormat="1" applyFont="1" applyFill="1" applyBorder="1" applyAlignment="1">
      <alignment vertical="center" wrapText="1"/>
    </xf>
    <xf numFmtId="165" fontId="2" fillId="0" borderId="84" xfId="1" applyNumberFormat="1" applyFont="1" applyFill="1" applyBorder="1" applyAlignment="1">
      <alignment vertical="center"/>
    </xf>
    <xf numFmtId="165" fontId="2" fillId="0" borderId="17" xfId="1" applyNumberFormat="1" applyFont="1" applyFill="1" applyBorder="1" applyAlignment="1">
      <alignment vertical="center"/>
    </xf>
    <xf numFmtId="165" fontId="2" fillId="0" borderId="114" xfId="1" applyNumberFormat="1" applyFont="1" applyFill="1" applyBorder="1" applyAlignment="1">
      <alignment vertical="center"/>
    </xf>
    <xf numFmtId="165" fontId="2" fillId="0" borderId="110" xfId="1" applyNumberFormat="1" applyFont="1" applyFill="1" applyBorder="1" applyAlignment="1">
      <alignment vertical="center"/>
    </xf>
    <xf numFmtId="165" fontId="2" fillId="0" borderId="83" xfId="1" applyNumberFormat="1" applyFont="1" applyFill="1" applyBorder="1" applyAlignment="1">
      <alignment vertical="center" wrapText="1"/>
    </xf>
    <xf numFmtId="165" fontId="2" fillId="0" borderId="19" xfId="1" applyNumberFormat="1" applyFont="1" applyFill="1" applyBorder="1" applyAlignment="1">
      <alignment vertical="center" wrapText="1"/>
    </xf>
    <xf numFmtId="165" fontId="2" fillId="0" borderId="101" xfId="1" applyNumberFormat="1" applyFont="1" applyFill="1" applyBorder="1" applyAlignment="1">
      <alignment vertical="center" wrapText="1"/>
    </xf>
    <xf numFmtId="165" fontId="2" fillId="0" borderId="51" xfId="1" applyNumberFormat="1" applyFont="1" applyFill="1" applyBorder="1" applyAlignment="1">
      <alignment vertical="center"/>
    </xf>
    <xf numFmtId="165" fontId="2" fillId="0" borderId="112" xfId="1" applyNumberFormat="1" applyFont="1" applyFill="1" applyBorder="1" applyAlignment="1">
      <alignment vertical="center"/>
    </xf>
    <xf numFmtId="165" fontId="2" fillId="0" borderId="98" xfId="1" applyNumberFormat="1" applyFont="1" applyFill="1" applyBorder="1" applyAlignment="1">
      <alignment vertical="center" wrapText="1"/>
    </xf>
    <xf numFmtId="165" fontId="3" fillId="0" borderId="113" xfId="1" applyNumberFormat="1" applyFont="1" applyFill="1" applyBorder="1" applyAlignment="1">
      <alignment vertical="center" wrapText="1"/>
    </xf>
    <xf numFmtId="165" fontId="3" fillId="0" borderId="84" xfId="1" applyNumberFormat="1" applyFont="1" applyFill="1" applyBorder="1" applyAlignment="1">
      <alignment vertical="center" wrapText="1"/>
    </xf>
    <xf numFmtId="165" fontId="3" fillId="0" borderId="100" xfId="1" applyNumberFormat="1" applyFont="1" applyFill="1" applyBorder="1" applyAlignment="1">
      <alignment vertical="center"/>
    </xf>
    <xf numFmtId="165" fontId="2" fillId="0" borderId="147" xfId="1" applyNumberFormat="1" applyFont="1" applyFill="1" applyBorder="1" applyAlignment="1">
      <alignment vertical="center"/>
    </xf>
    <xf numFmtId="165" fontId="2" fillId="0" borderId="138" xfId="1" applyNumberFormat="1" applyFont="1" applyFill="1" applyBorder="1" applyAlignment="1">
      <alignment vertical="center"/>
    </xf>
    <xf numFmtId="165" fontId="3" fillId="0" borderId="119" xfId="1" applyNumberFormat="1" applyFont="1" applyFill="1" applyBorder="1" applyAlignment="1">
      <alignment vertical="center"/>
    </xf>
    <xf numFmtId="165" fontId="3" fillId="0" borderId="148" xfId="1" applyNumberFormat="1" applyFont="1" applyFill="1" applyBorder="1" applyAlignment="1">
      <alignment vertical="center" wrapText="1"/>
    </xf>
    <xf numFmtId="165" fontId="3" fillId="0" borderId="103" xfId="1" applyNumberFormat="1" applyFont="1" applyFill="1" applyBorder="1" applyAlignment="1">
      <alignment vertical="center" wrapText="1"/>
    </xf>
    <xf numFmtId="0" fontId="2" fillId="0" borderId="50" xfId="0" applyFont="1" applyBorder="1" applyAlignment="1">
      <alignment vertical="center"/>
    </xf>
    <xf numFmtId="3" fontId="2" fillId="0" borderId="50" xfId="0" applyNumberFormat="1" applyFont="1" applyBorder="1" applyAlignment="1">
      <alignment vertical="center"/>
    </xf>
    <xf numFmtId="0" fontId="2" fillId="0" borderId="51" xfId="0" applyFont="1" applyBorder="1" applyAlignment="1">
      <alignment vertical="center" wrapText="1"/>
    </xf>
    <xf numFmtId="165" fontId="2" fillId="0" borderId="102" xfId="1" applyNumberFormat="1" applyFont="1" applyFill="1" applyBorder="1" applyAlignment="1">
      <alignment vertical="center" wrapText="1"/>
    </xf>
    <xf numFmtId="165" fontId="2" fillId="0" borderId="101" xfId="1" applyNumberFormat="1" applyFont="1" applyFill="1" applyBorder="1" applyAlignment="1">
      <alignment vertical="center"/>
    </xf>
    <xf numFmtId="165" fontId="2" fillId="0" borderId="99" xfId="1" applyNumberFormat="1" applyFont="1" applyFill="1" applyBorder="1" applyAlignment="1">
      <alignment vertical="center"/>
    </xf>
    <xf numFmtId="165" fontId="3" fillId="0" borderId="19" xfId="1" applyNumberFormat="1" applyFont="1" applyFill="1" applyBorder="1" applyAlignment="1">
      <alignment vertical="center" wrapText="1"/>
    </xf>
    <xf numFmtId="165" fontId="2" fillId="0" borderId="94" xfId="1" applyNumberFormat="1" applyFont="1" applyFill="1" applyBorder="1" applyAlignment="1">
      <alignment vertical="center"/>
    </xf>
    <xf numFmtId="165" fontId="2" fillId="0" borderId="158" xfId="1" applyNumberFormat="1" applyFont="1" applyFill="1" applyBorder="1" applyAlignment="1">
      <alignment vertical="center"/>
    </xf>
    <xf numFmtId="3" fontId="2" fillId="0" borderId="0" xfId="0" applyNumberFormat="1" applyFont="1" applyAlignment="1">
      <alignment vertical="center" wrapText="1"/>
    </xf>
    <xf numFmtId="165" fontId="3" fillId="0" borderId="119" xfId="2" applyNumberFormat="1" applyFont="1" applyFill="1" applyBorder="1" applyAlignment="1">
      <alignment vertical="center"/>
    </xf>
    <xf numFmtId="165" fontId="2" fillId="0" borderId="150" xfId="2" applyNumberFormat="1" applyFont="1" applyFill="1" applyBorder="1" applyAlignment="1">
      <alignment vertical="center"/>
    </xf>
    <xf numFmtId="165" fontId="2" fillId="0" borderId="150" xfId="1" applyNumberFormat="1" applyFont="1" applyFill="1" applyBorder="1" applyAlignment="1">
      <alignment vertical="center" wrapText="1"/>
    </xf>
    <xf numFmtId="165" fontId="2" fillId="0" borderId="162" xfId="2" applyNumberFormat="1" applyFont="1" applyFill="1" applyBorder="1" applyAlignment="1">
      <alignment vertical="center"/>
    </xf>
    <xf numFmtId="3" fontId="2" fillId="0" borderId="6" xfId="0" applyNumberFormat="1" applyFont="1" applyBorder="1" applyAlignment="1">
      <alignment vertical="center"/>
    </xf>
    <xf numFmtId="0" fontId="2" fillId="0" borderId="121" xfId="0" applyFont="1" applyBorder="1" applyAlignment="1">
      <alignment vertical="center"/>
    </xf>
    <xf numFmtId="3" fontId="2" fillId="0" borderId="121" xfId="0" applyNumberFormat="1" applyFont="1" applyBorder="1" applyAlignment="1">
      <alignment vertical="center" wrapText="1"/>
    </xf>
    <xf numFmtId="165" fontId="2" fillId="0" borderId="121" xfId="1" applyNumberFormat="1" applyFont="1" applyFill="1" applyBorder="1" applyAlignment="1">
      <alignment vertical="center" wrapText="1"/>
    </xf>
    <xf numFmtId="165" fontId="2" fillId="0" borderId="121" xfId="1" applyNumberFormat="1" applyFont="1" applyFill="1" applyBorder="1" applyAlignment="1">
      <alignment vertical="center"/>
    </xf>
    <xf numFmtId="0" fontId="2" fillId="0" borderId="121" xfId="0" applyFont="1" applyBorder="1" applyAlignment="1">
      <alignment vertical="center" wrapText="1"/>
    </xf>
    <xf numFmtId="3" fontId="2" fillId="0" borderId="163" xfId="0" applyNumberFormat="1" applyFont="1" applyBorder="1" applyAlignment="1">
      <alignment vertical="center" wrapText="1"/>
    </xf>
    <xf numFmtId="165" fontId="3" fillId="0" borderId="164" xfId="2" applyNumberFormat="1" applyFont="1" applyFill="1" applyBorder="1" applyAlignment="1">
      <alignment vertical="center" wrapText="1"/>
    </xf>
    <xf numFmtId="165" fontId="2" fillId="0" borderId="138" xfId="2" applyNumberFormat="1" applyFont="1" applyFill="1" applyBorder="1" applyAlignment="1">
      <alignment vertical="center" wrapText="1"/>
    </xf>
    <xf numFmtId="3" fontId="2" fillId="0" borderId="36" xfId="0" applyNumberFormat="1" applyFont="1" applyBorder="1" applyAlignment="1">
      <alignment vertical="center"/>
    </xf>
    <xf numFmtId="0" fontId="2" fillId="0" borderId="128" xfId="0" applyFont="1" applyBorder="1" applyAlignment="1">
      <alignment vertical="center"/>
    </xf>
    <xf numFmtId="3" fontId="2" fillId="0" borderId="128" xfId="0" applyNumberFormat="1" applyFont="1" applyBorder="1" applyAlignment="1">
      <alignment vertical="center" wrapText="1"/>
    </xf>
    <xf numFmtId="165" fontId="2" fillId="0" borderId="128" xfId="1" applyNumberFormat="1" applyFont="1" applyFill="1" applyBorder="1" applyAlignment="1">
      <alignment vertical="center"/>
    </xf>
    <xf numFmtId="0" fontId="2" fillId="0" borderId="128" xfId="0" applyFont="1" applyBorder="1" applyAlignment="1">
      <alignment vertical="center" wrapText="1"/>
    </xf>
    <xf numFmtId="165" fontId="2" fillId="0" borderId="165" xfId="0" applyNumberFormat="1" applyFont="1" applyBorder="1" applyAlignment="1">
      <alignment vertical="center" wrapText="1"/>
    </xf>
    <xf numFmtId="165" fontId="2" fillId="0" borderId="50" xfId="1" applyNumberFormat="1" applyFont="1" applyFill="1" applyBorder="1" applyAlignment="1">
      <alignment horizontal="center" vertical="center" wrapText="1"/>
    </xf>
    <xf numFmtId="165" fontId="2" fillId="0" borderId="17" xfId="1" applyNumberFormat="1" applyFont="1" applyFill="1" applyBorder="1" applyAlignment="1">
      <alignment horizontal="center" vertical="center"/>
    </xf>
    <xf numFmtId="165" fontId="7" fillId="0" borderId="50" xfId="1" applyNumberFormat="1" applyFont="1" applyFill="1" applyBorder="1" applyAlignment="1">
      <alignment vertical="center"/>
    </xf>
    <xf numFmtId="165" fontId="7" fillId="0" borderId="17" xfId="1" applyNumberFormat="1" applyFont="1" applyFill="1" applyBorder="1" applyAlignment="1">
      <alignment vertical="center" wrapText="1"/>
    </xf>
    <xf numFmtId="165" fontId="7" fillId="0" borderId="51" xfId="1" applyNumberFormat="1" applyFont="1" applyFill="1" applyBorder="1" applyAlignment="1">
      <alignment vertical="center"/>
    </xf>
    <xf numFmtId="165" fontId="7" fillId="0" borderId="19" xfId="1" applyNumberFormat="1" applyFont="1" applyFill="1" applyBorder="1" applyAlignment="1">
      <alignment vertical="center" wrapText="1"/>
    </xf>
    <xf numFmtId="165" fontId="142" fillId="0" borderId="45" xfId="1" applyNumberFormat="1" applyFont="1" applyFill="1" applyBorder="1" applyAlignment="1">
      <alignment vertical="center"/>
    </xf>
    <xf numFmtId="165" fontId="142" fillId="0" borderId="28" xfId="1" applyNumberFormat="1" applyFont="1" applyFill="1" applyBorder="1" applyAlignment="1">
      <alignment vertical="center"/>
    </xf>
    <xf numFmtId="165" fontId="7" fillId="0" borderId="6" xfId="1" applyNumberFormat="1" applyFont="1" applyFill="1" applyBorder="1" applyAlignment="1">
      <alignment vertical="center" wrapText="1"/>
    </xf>
    <xf numFmtId="165" fontId="142" fillId="0" borderId="17" xfId="1" applyNumberFormat="1" applyFont="1" applyFill="1" applyBorder="1" applyAlignment="1">
      <alignment vertical="center"/>
    </xf>
    <xf numFmtId="165" fontId="142" fillId="0" borderId="16" xfId="1" applyNumberFormat="1" applyFont="1" applyFill="1" applyBorder="1" applyAlignment="1">
      <alignment vertical="center"/>
    </xf>
    <xf numFmtId="165" fontId="7" fillId="0" borderId="0" xfId="1" applyNumberFormat="1" applyFont="1" applyFill="1" applyAlignment="1">
      <alignment vertical="center" wrapText="1"/>
    </xf>
    <xf numFmtId="165" fontId="7" fillId="0" borderId="45" xfId="1" applyNumberFormat="1" applyFont="1" applyFill="1" applyBorder="1" applyAlignment="1">
      <alignment vertical="center"/>
    </xf>
    <xf numFmtId="165" fontId="7" fillId="0" borderId="36" xfId="1" applyNumberFormat="1" applyFont="1" applyFill="1" applyBorder="1" applyAlignment="1">
      <alignment vertical="center"/>
    </xf>
    <xf numFmtId="165" fontId="7" fillId="0" borderId="21" xfId="1" applyNumberFormat="1" applyFont="1" applyFill="1" applyBorder="1" applyAlignment="1">
      <alignment vertical="center" wrapText="1"/>
    </xf>
    <xf numFmtId="165" fontId="2" fillId="0" borderId="85" xfId="1" applyNumberFormat="1" applyFont="1" applyFill="1" applyBorder="1" applyAlignment="1">
      <alignment vertical="center" wrapText="1"/>
    </xf>
    <xf numFmtId="165" fontId="3" fillId="0" borderId="115" xfId="1" applyNumberFormat="1" applyFont="1" applyFill="1" applyBorder="1" applyAlignment="1">
      <alignment vertical="center" wrapText="1"/>
    </xf>
    <xf numFmtId="165" fontId="3" fillId="0" borderId="51" xfId="1" applyNumberFormat="1" applyFont="1" applyFill="1" applyBorder="1" applyAlignment="1">
      <alignment vertical="center"/>
    </xf>
    <xf numFmtId="165" fontId="2" fillId="0" borderId="105" xfId="1" applyNumberFormat="1" applyFont="1" applyFill="1" applyBorder="1" applyAlignment="1">
      <alignment vertical="center" wrapText="1"/>
    </xf>
    <xf numFmtId="165" fontId="2" fillId="0" borderId="108" xfId="1" applyNumberFormat="1" applyFont="1" applyFill="1" applyBorder="1" applyAlignment="1">
      <alignment vertical="center"/>
    </xf>
    <xf numFmtId="165" fontId="2" fillId="0" borderId="98" xfId="1" applyNumberFormat="1" applyFont="1" applyFill="1" applyBorder="1" applyAlignment="1">
      <alignment horizontal="center" vertical="center"/>
    </xf>
    <xf numFmtId="165" fontId="2" fillId="0" borderId="105" xfId="1" applyNumberFormat="1" applyFont="1" applyFill="1" applyBorder="1" applyAlignment="1">
      <alignment vertical="center"/>
    </xf>
    <xf numFmtId="165" fontId="2" fillId="0" borderId="106" xfId="1" applyNumberFormat="1" applyFont="1" applyFill="1" applyBorder="1" applyAlignment="1">
      <alignment vertical="center" wrapText="1"/>
    </xf>
    <xf numFmtId="165" fontId="2" fillId="0" borderId="107" xfId="1" applyNumberFormat="1" applyFont="1" applyFill="1" applyBorder="1" applyAlignment="1">
      <alignment vertical="center" wrapText="1"/>
    </xf>
    <xf numFmtId="165" fontId="2" fillId="0" borderId="107" xfId="1" applyNumberFormat="1" applyFont="1" applyFill="1" applyBorder="1" applyAlignment="1">
      <alignment vertical="center"/>
    </xf>
    <xf numFmtId="165" fontId="2" fillId="0" borderId="116" xfId="1" applyNumberFormat="1" applyFont="1" applyFill="1" applyBorder="1" applyAlignment="1">
      <alignment vertical="center"/>
    </xf>
    <xf numFmtId="165" fontId="2" fillId="0" borderId="47" xfId="1" applyNumberFormat="1" applyFont="1" applyFill="1" applyBorder="1" applyAlignment="1">
      <alignment vertical="center"/>
    </xf>
    <xf numFmtId="165" fontId="3" fillId="0" borderId="110" xfId="1" applyNumberFormat="1" applyFont="1" applyFill="1" applyBorder="1" applyAlignment="1">
      <alignment vertical="center" wrapText="1"/>
    </xf>
    <xf numFmtId="165" fontId="2" fillId="0" borderId="0" xfId="1" applyNumberFormat="1" applyFont="1" applyFill="1" applyAlignment="1">
      <alignment vertical="center" wrapText="1"/>
    </xf>
    <xf numFmtId="165" fontId="3" fillId="0" borderId="110" xfId="1" applyNumberFormat="1" applyFont="1" applyFill="1" applyBorder="1" applyAlignment="1">
      <alignment vertical="center"/>
    </xf>
    <xf numFmtId="165" fontId="2" fillId="0" borderId="6" xfId="2" applyNumberFormat="1" applyFont="1" applyFill="1" applyBorder="1" applyAlignment="1">
      <alignment horizontal="center" vertical="center" wrapText="1"/>
    </xf>
    <xf numFmtId="165" fontId="2" fillId="0" borderId="98" xfId="2" applyNumberFormat="1" applyFont="1" applyFill="1" applyBorder="1" applyAlignment="1">
      <alignment horizontal="center" vertical="center" wrapText="1"/>
    </xf>
    <xf numFmtId="3" fontId="172" fillId="0" borderId="0" xfId="0" applyNumberFormat="1" applyFont="1"/>
    <xf numFmtId="165" fontId="2" fillId="0" borderId="18" xfId="1" applyNumberFormat="1" applyFont="1" applyFill="1" applyBorder="1" applyAlignment="1">
      <alignment vertical="center" wrapText="1"/>
    </xf>
    <xf numFmtId="0" fontId="2" fillId="0" borderId="51" xfId="0" applyFont="1" applyBorder="1" applyAlignment="1">
      <alignment vertical="center"/>
    </xf>
    <xf numFmtId="165" fontId="2" fillId="0" borderId="155" xfId="1" applyNumberFormat="1" applyFont="1" applyFill="1" applyBorder="1" applyAlignment="1">
      <alignment vertical="center" wrapText="1"/>
    </xf>
    <xf numFmtId="165" fontId="2" fillId="0" borderId="36" xfId="1" applyNumberFormat="1" applyFont="1" applyFill="1" applyBorder="1" applyAlignment="1">
      <alignment vertical="center"/>
    </xf>
    <xf numFmtId="165" fontId="2" fillId="0" borderId="156" xfId="1" applyNumberFormat="1" applyFont="1" applyFill="1" applyBorder="1" applyAlignment="1">
      <alignment vertical="center" wrapText="1"/>
    </xf>
    <xf numFmtId="165" fontId="3" fillId="0" borderId="36" xfId="1" applyNumberFormat="1" applyFont="1" applyFill="1" applyBorder="1" applyAlignment="1">
      <alignment vertical="center"/>
    </xf>
    <xf numFmtId="165" fontId="2" fillId="0" borderId="94" xfId="1" applyNumberFormat="1" applyFont="1" applyFill="1" applyBorder="1" applyAlignment="1">
      <alignment vertical="center" wrapText="1"/>
    </xf>
    <xf numFmtId="165" fontId="157" fillId="0" borderId="99" xfId="1" applyNumberFormat="1" applyFont="1" applyFill="1" applyBorder="1" applyAlignment="1">
      <alignment vertical="center"/>
    </xf>
    <xf numFmtId="165" fontId="157" fillId="0" borderId="50" xfId="1" applyNumberFormat="1" applyFont="1" applyFill="1" applyBorder="1" applyAlignment="1">
      <alignment vertical="center" wrapText="1"/>
    </xf>
    <xf numFmtId="165" fontId="157" fillId="0" borderId="50" xfId="1" applyNumberFormat="1" applyFont="1" applyFill="1" applyBorder="1" applyAlignment="1">
      <alignment vertical="center"/>
    </xf>
    <xf numFmtId="165" fontId="157" fillId="0" borderId="17" xfId="1" applyNumberFormat="1" applyFont="1" applyFill="1" applyBorder="1" applyAlignment="1">
      <alignment vertical="center" wrapText="1"/>
    </xf>
    <xf numFmtId="165" fontId="157" fillId="0" borderId="84" xfId="1" applyNumberFormat="1" applyFont="1" applyFill="1" applyBorder="1" applyAlignment="1">
      <alignment vertical="center" wrapText="1"/>
    </xf>
    <xf numFmtId="165" fontId="157" fillId="0" borderId="17" xfId="1" applyNumberFormat="1" applyFont="1" applyFill="1" applyBorder="1" applyAlignment="1">
      <alignment vertical="center"/>
    </xf>
    <xf numFmtId="165" fontId="157" fillId="0" borderId="84" xfId="1" applyNumberFormat="1" applyFont="1" applyFill="1" applyBorder="1" applyAlignment="1">
      <alignment vertical="center"/>
    </xf>
    <xf numFmtId="165" fontId="3" fillId="0" borderId="53" xfId="1" applyNumberFormat="1" applyFont="1" applyFill="1" applyBorder="1" applyAlignment="1">
      <alignment vertical="center" wrapText="1"/>
    </xf>
    <xf numFmtId="165" fontId="3" fillId="0" borderId="111" xfId="1" applyNumberFormat="1" applyFont="1" applyFill="1" applyBorder="1" applyAlignment="1">
      <alignment vertical="center"/>
    </xf>
    <xf numFmtId="165" fontId="27" fillId="0" borderId="45" xfId="2" applyNumberFormat="1" applyFont="1" applyFill="1" applyBorder="1" applyAlignment="1">
      <alignment horizontal="center" vertical="center"/>
    </xf>
    <xf numFmtId="165" fontId="27" fillId="7" borderId="18" xfId="2" applyNumberFormat="1" applyFont="1" applyFill="1" applyBorder="1" applyAlignment="1">
      <alignment vertical="center" wrapText="1"/>
    </xf>
    <xf numFmtId="165" fontId="27" fillId="7" borderId="104" xfId="2" applyNumberFormat="1" applyFont="1" applyFill="1" applyBorder="1" applyAlignment="1">
      <alignment vertical="center" wrapText="1"/>
    </xf>
    <xf numFmtId="165" fontId="27" fillId="0" borderId="21" xfId="2" applyNumberFormat="1" applyFont="1" applyFill="1" applyBorder="1" applyAlignment="1">
      <alignment vertical="center" wrapText="1"/>
    </xf>
    <xf numFmtId="0" fontId="27" fillId="7" borderId="0" xfId="0" applyFont="1" applyFill="1" applyAlignment="1">
      <alignment wrapText="1"/>
    </xf>
    <xf numFmtId="165" fontId="24" fillId="0" borderId="0" xfId="1" applyNumberFormat="1" applyFont="1" applyBorder="1"/>
    <xf numFmtId="3" fontId="57" fillId="91" borderId="0" xfId="0" applyNumberFormat="1" applyFont="1" applyFill="1" applyAlignment="1">
      <alignment wrapText="1"/>
    </xf>
    <xf numFmtId="165" fontId="37" fillId="0" borderId="0" xfId="1" applyNumberFormat="1" applyFont="1" applyBorder="1"/>
    <xf numFmtId="3" fontId="57" fillId="92" borderId="4" xfId="0" applyNumberFormat="1" applyFont="1" applyFill="1" applyBorder="1" applyAlignment="1">
      <alignment vertical="center"/>
    </xf>
    <xf numFmtId="3" fontId="57" fillId="92" borderId="28" xfId="0" applyNumberFormat="1" applyFont="1" applyFill="1" applyBorder="1" applyAlignment="1">
      <alignment vertical="center"/>
    </xf>
    <xf numFmtId="0" fontId="130" fillId="0" borderId="138" xfId="0" applyFont="1" applyBorder="1"/>
    <xf numFmtId="3" fontId="2" fillId="0" borderId="147" xfId="0" applyNumberFormat="1" applyFont="1" applyBorder="1" applyAlignment="1">
      <alignment vertical="center" wrapText="1"/>
    </xf>
    <xf numFmtId="165" fontId="7" fillId="0" borderId="147" xfId="1" applyNumberFormat="1" applyFont="1" applyFill="1" applyBorder="1" applyAlignment="1">
      <alignment vertical="center"/>
    </xf>
    <xf numFmtId="0" fontId="2" fillId="0" borderId="147" xfId="0" applyFont="1" applyBorder="1" applyAlignment="1">
      <alignment vertical="center" wrapText="1"/>
    </xf>
    <xf numFmtId="165" fontId="157" fillId="0" borderId="147" xfId="1" applyNumberFormat="1" applyFont="1" applyFill="1" applyBorder="1" applyAlignment="1">
      <alignment vertical="center"/>
    </xf>
    <xf numFmtId="0" fontId="57" fillId="91" borderId="147" xfId="0" applyFont="1" applyFill="1" applyBorder="1" applyAlignment="1">
      <alignment vertical="center" wrapText="1"/>
    </xf>
    <xf numFmtId="165" fontId="27" fillId="7" borderId="147" xfId="1" applyNumberFormat="1" applyFont="1" applyFill="1" applyBorder="1" applyAlignment="1">
      <alignment vertical="center" wrapText="1"/>
    </xf>
    <xf numFmtId="165" fontId="27" fillId="7" borderId="147" xfId="1" applyNumberFormat="1" applyFont="1" applyFill="1" applyBorder="1" applyAlignment="1">
      <alignment vertical="center"/>
    </xf>
    <xf numFmtId="165" fontId="2" fillId="0" borderId="147" xfId="0" applyNumberFormat="1" applyFont="1" applyBorder="1" applyAlignment="1">
      <alignment horizontal="left" vertical="center"/>
    </xf>
    <xf numFmtId="0" fontId="3" fillId="0" borderId="138" xfId="0" applyFont="1" applyBorder="1" applyAlignment="1">
      <alignment horizontal="left" vertical="center" wrapText="1"/>
    </xf>
    <xf numFmtId="3" fontId="2" fillId="0" borderId="138" xfId="0" applyNumberFormat="1" applyFont="1" applyBorder="1" applyAlignment="1">
      <alignment vertical="center"/>
    </xf>
    <xf numFmtId="165" fontId="3" fillId="21" borderId="141" xfId="1" applyNumberFormat="1" applyFont="1" applyFill="1" applyBorder="1" applyAlignment="1">
      <alignment horizontal="center" vertical="center"/>
    </xf>
    <xf numFmtId="165" fontId="3" fillId="21" borderId="141" xfId="1" applyNumberFormat="1" applyFont="1" applyFill="1" applyBorder="1" applyAlignment="1">
      <alignment horizontal="right" vertical="center"/>
    </xf>
    <xf numFmtId="165" fontId="3" fillId="21" borderId="141" xfId="1" applyNumberFormat="1" applyFont="1" applyFill="1" applyBorder="1" applyAlignment="1">
      <alignment vertical="center"/>
    </xf>
    <xf numFmtId="165" fontId="2" fillId="21" borderId="141" xfId="1" applyNumberFormat="1" applyFont="1" applyFill="1" applyBorder="1" applyAlignment="1">
      <alignment vertical="center"/>
    </xf>
    <xf numFmtId="165" fontId="157" fillId="21" borderId="141" xfId="1" applyNumberFormat="1" applyFont="1" applyFill="1" applyBorder="1" applyAlignment="1">
      <alignment vertical="center"/>
    </xf>
    <xf numFmtId="165" fontId="159" fillId="21" borderId="141" xfId="1" applyNumberFormat="1" applyFont="1" applyFill="1" applyBorder="1" applyAlignment="1">
      <alignment vertical="center"/>
    </xf>
    <xf numFmtId="165" fontId="2" fillId="21" borderId="141" xfId="1" applyNumberFormat="1" applyFont="1" applyFill="1" applyBorder="1" applyAlignment="1">
      <alignment horizontal="right" vertical="center"/>
    </xf>
    <xf numFmtId="0" fontId="10" fillId="0" borderId="138" xfId="0" applyFont="1" applyBorder="1" applyAlignment="1">
      <alignment horizontal="center" vertical="center" wrapText="1"/>
    </xf>
    <xf numFmtId="165" fontId="7" fillId="0" borderId="138" xfId="1" applyNumberFormat="1" applyFont="1" applyFill="1" applyBorder="1" applyAlignment="1">
      <alignment vertical="center"/>
    </xf>
    <xf numFmtId="165" fontId="10" fillId="0" borderId="138" xfId="2" applyNumberFormat="1" applyFont="1" applyFill="1" applyBorder="1" applyAlignment="1">
      <alignment horizontal="center" vertical="center"/>
    </xf>
    <xf numFmtId="165" fontId="10" fillId="0" borderId="138" xfId="1" applyNumberFormat="1" applyFont="1" applyFill="1" applyBorder="1" applyAlignment="1">
      <alignment horizontal="center" vertical="center"/>
    </xf>
    <xf numFmtId="0" fontId="130" fillId="0" borderId="167" xfId="0" applyFont="1" applyBorder="1"/>
    <xf numFmtId="165" fontId="27" fillId="0" borderId="168" xfId="2" applyNumberFormat="1" applyFont="1" applyFill="1" applyBorder="1" applyAlignment="1">
      <alignment vertical="center" wrapText="1"/>
    </xf>
    <xf numFmtId="3" fontId="57" fillId="0" borderId="167" xfId="0" applyNumberFormat="1" applyFont="1" applyBorder="1"/>
    <xf numFmtId="0" fontId="10" fillId="0" borderId="167" xfId="0" applyFont="1" applyBorder="1" applyAlignment="1">
      <alignment horizontal="center" vertical="center" wrapText="1"/>
    </xf>
    <xf numFmtId="0" fontId="3" fillId="97" borderId="4" xfId="0" applyFont="1" applyFill="1" applyBorder="1" applyAlignment="1">
      <alignment horizontal="center" vertical="center"/>
    </xf>
    <xf numFmtId="165" fontId="57" fillId="103" borderId="0" xfId="0" applyNumberFormat="1" applyFont="1" applyFill="1" applyAlignment="1">
      <alignment vertical="center"/>
    </xf>
    <xf numFmtId="0" fontId="27" fillId="4" borderId="86" xfId="0" applyFont="1" applyFill="1" applyBorder="1" applyAlignment="1">
      <alignment vertical="center"/>
    </xf>
    <xf numFmtId="0" fontId="27" fillId="4" borderId="3" xfId="0" applyFont="1" applyFill="1" applyBorder="1" applyAlignment="1">
      <alignment vertical="center"/>
    </xf>
    <xf numFmtId="0" fontId="3" fillId="97" borderId="4" xfId="0" applyFont="1" applyFill="1" applyBorder="1" applyAlignment="1">
      <alignment horizontal="center" vertical="center" wrapText="1"/>
    </xf>
    <xf numFmtId="3" fontId="57" fillId="102" borderId="4" xfId="0" applyNumberFormat="1" applyFont="1" applyFill="1" applyBorder="1" applyAlignment="1">
      <alignment vertical="center"/>
    </xf>
    <xf numFmtId="0" fontId="57" fillId="102" borderId="28" xfId="0" applyFont="1" applyFill="1" applyBorder="1" applyAlignment="1">
      <alignment vertical="center"/>
    </xf>
    <xf numFmtId="3" fontId="57" fillId="103" borderId="4" xfId="0" applyNumberFormat="1" applyFont="1" applyFill="1" applyBorder="1" applyAlignment="1">
      <alignment vertical="center"/>
    </xf>
    <xf numFmtId="0" fontId="57" fillId="103" borderId="28" xfId="0" applyFont="1" applyFill="1" applyBorder="1" applyAlignment="1">
      <alignment vertical="center"/>
    </xf>
    <xf numFmtId="0" fontId="3" fillId="100" borderId="35" xfId="0" applyFont="1" applyFill="1" applyBorder="1" applyAlignment="1">
      <alignment vertical="center" wrapText="1"/>
    </xf>
    <xf numFmtId="0" fontId="3" fillId="100" borderId="36" xfId="0" applyFont="1" applyFill="1" applyBorder="1" applyAlignment="1">
      <alignment vertical="center" wrapText="1"/>
    </xf>
    <xf numFmtId="0" fontId="3" fillId="100" borderId="19" xfId="0" applyFont="1" applyFill="1" applyBorder="1" applyAlignment="1">
      <alignment vertical="center" wrapText="1"/>
    </xf>
    <xf numFmtId="0" fontId="3" fillId="100" borderId="35" xfId="0" applyFont="1" applyFill="1" applyBorder="1" applyAlignment="1">
      <alignment horizontal="center" vertical="center" wrapText="1"/>
    </xf>
    <xf numFmtId="0" fontId="3" fillId="100" borderId="13" xfId="0" applyFont="1" applyFill="1" applyBorder="1" applyAlignment="1">
      <alignment horizontal="center" wrapText="1"/>
    </xf>
    <xf numFmtId="0" fontId="3" fillId="100" borderId="12" xfId="0" applyFont="1" applyFill="1" applyBorder="1" applyAlignment="1">
      <alignment horizontal="center" wrapText="1"/>
    </xf>
    <xf numFmtId="0" fontId="3" fillId="100" borderId="35" xfId="0" applyFont="1" applyFill="1" applyBorder="1" applyAlignment="1">
      <alignment horizontal="center" wrapText="1"/>
    </xf>
    <xf numFmtId="0" fontId="3" fillId="100" borderId="16" xfId="0" applyFont="1" applyFill="1" applyBorder="1" applyAlignment="1">
      <alignment horizontal="center" wrapText="1"/>
    </xf>
    <xf numFmtId="0" fontId="3" fillId="100" borderId="14" xfId="0" applyFont="1" applyFill="1" applyBorder="1" applyAlignment="1">
      <alignment horizontal="center" wrapText="1"/>
    </xf>
    <xf numFmtId="0" fontId="3" fillId="100" borderId="124" xfId="0" applyFont="1" applyFill="1" applyBorder="1" applyAlignment="1">
      <alignment horizontal="center" wrapText="1"/>
    </xf>
    <xf numFmtId="0" fontId="2" fillId="4" borderId="45" xfId="25" applyFont="1" applyFill="1" applyBorder="1" applyAlignment="1">
      <alignment horizontal="center" vertical="center"/>
    </xf>
    <xf numFmtId="0" fontId="3" fillId="4" borderId="17" xfId="25" applyFont="1" applyFill="1" applyBorder="1" applyAlignment="1">
      <alignment horizontal="left" vertical="center" wrapText="1"/>
    </xf>
    <xf numFmtId="0" fontId="3" fillId="4" borderId="13" xfId="25" applyFont="1" applyFill="1" applyBorder="1" applyAlignment="1">
      <alignment horizontal="center" vertical="center"/>
    </xf>
    <xf numFmtId="0" fontId="3" fillId="4" borderId="31" xfId="25" applyFont="1" applyFill="1" applyBorder="1" applyAlignment="1">
      <alignment vertical="center" wrapText="1"/>
    </xf>
    <xf numFmtId="0" fontId="3" fillId="4" borderId="31" xfId="25" applyFont="1" applyFill="1" applyBorder="1" applyAlignment="1">
      <alignment vertical="center"/>
    </xf>
    <xf numFmtId="0" fontId="3" fillId="30" borderId="13" xfId="25" applyFont="1" applyFill="1" applyBorder="1" applyAlignment="1">
      <alignment horizontal="center" vertical="center"/>
    </xf>
    <xf numFmtId="0" fontId="3" fillId="30" borderId="31" xfId="25" applyFont="1" applyFill="1" applyBorder="1" applyAlignment="1">
      <alignment vertical="center" wrapText="1"/>
    </xf>
    <xf numFmtId="165" fontId="3" fillId="30" borderId="12" xfId="2" applyNumberFormat="1" applyFont="1" applyFill="1" applyBorder="1" applyAlignment="1">
      <alignment vertical="center" wrapText="1"/>
    </xf>
    <xf numFmtId="165" fontId="3" fillId="30" borderId="11" xfId="2" applyNumberFormat="1" applyFont="1" applyFill="1" applyBorder="1" applyAlignment="1">
      <alignment vertical="center" wrapText="1"/>
    </xf>
    <xf numFmtId="165" fontId="3" fillId="30" borderId="13" xfId="2" applyNumberFormat="1" applyFont="1" applyFill="1" applyBorder="1" applyAlignment="1">
      <alignment vertical="center" wrapText="1"/>
    </xf>
    <xf numFmtId="0" fontId="3" fillId="101" borderId="13" xfId="25" applyFont="1" applyFill="1" applyBorder="1" applyAlignment="1">
      <alignment horizontal="center" vertical="center"/>
    </xf>
    <xf numFmtId="0" fontId="3" fillId="101" borderId="31" xfId="25" applyFont="1" applyFill="1" applyBorder="1" applyAlignment="1">
      <alignment vertical="center" wrapText="1"/>
    </xf>
    <xf numFmtId="165" fontId="3" fillId="101" borderId="12" xfId="2" applyNumberFormat="1" applyFont="1" applyFill="1" applyBorder="1" applyAlignment="1">
      <alignment vertical="center" wrapText="1"/>
    </xf>
    <xf numFmtId="165" fontId="3" fillId="101" borderId="11" xfId="2" applyNumberFormat="1" applyFont="1" applyFill="1" applyBorder="1" applyAlignment="1">
      <alignment vertical="center" wrapText="1"/>
    </xf>
    <xf numFmtId="165" fontId="3" fillId="101" borderId="13" xfId="2" applyNumberFormat="1" applyFont="1" applyFill="1" applyBorder="1" applyAlignment="1">
      <alignment vertical="center" wrapText="1"/>
    </xf>
    <xf numFmtId="165" fontId="2" fillId="104" borderId="147" xfId="2" applyNumberFormat="1" applyFont="1" applyFill="1" applyBorder="1" applyAlignment="1">
      <alignment vertical="center" wrapText="1"/>
    </xf>
    <xf numFmtId="165" fontId="3" fillId="104" borderId="12" xfId="2" applyNumberFormat="1" applyFont="1" applyFill="1" applyBorder="1" applyAlignment="1">
      <alignment vertical="center" wrapText="1"/>
    </xf>
    <xf numFmtId="165" fontId="2" fillId="105" borderId="45" xfId="2" applyNumberFormat="1" applyFont="1" applyFill="1" applyBorder="1" applyAlignment="1">
      <alignment vertical="center" wrapText="1"/>
    </xf>
    <xf numFmtId="165" fontId="2" fillId="105" borderId="147" xfId="2" applyNumberFormat="1" applyFont="1" applyFill="1" applyBorder="1" applyAlignment="1">
      <alignment vertical="center" wrapText="1"/>
    </xf>
    <xf numFmtId="165" fontId="3" fillId="105" borderId="12" xfId="2" applyNumberFormat="1" applyFont="1" applyFill="1" applyBorder="1" applyAlignment="1">
      <alignment vertical="center" wrapText="1"/>
    </xf>
    <xf numFmtId="165" fontId="2" fillId="105" borderId="45" xfId="2" applyNumberFormat="1" applyFont="1" applyFill="1" applyBorder="1" applyAlignment="1">
      <alignment vertical="center"/>
    </xf>
    <xf numFmtId="165" fontId="3" fillId="105" borderId="13" xfId="2" applyNumberFormat="1" applyFont="1" applyFill="1" applyBorder="1" applyAlignment="1">
      <alignment vertical="center" wrapText="1"/>
    </xf>
    <xf numFmtId="0" fontId="54" fillId="96" borderId="13" xfId="0" applyFont="1" applyFill="1" applyBorder="1"/>
    <xf numFmtId="0" fontId="3" fillId="100" borderId="42" xfId="0" applyFont="1" applyFill="1" applyBorder="1" applyAlignment="1">
      <alignment vertical="center" wrapText="1"/>
    </xf>
    <xf numFmtId="0" fontId="3" fillId="100" borderId="47" xfId="0" applyFont="1" applyFill="1" applyBorder="1" applyAlignment="1">
      <alignment vertical="center" wrapText="1"/>
    </xf>
    <xf numFmtId="0" fontId="3" fillId="100" borderId="51" xfId="0" applyFont="1" applyFill="1" applyBorder="1" applyAlignment="1">
      <alignment horizontal="center" wrapText="1"/>
    </xf>
    <xf numFmtId="0" fontId="3" fillId="100" borderId="36" xfId="0" applyFont="1" applyFill="1" applyBorder="1" applyAlignment="1">
      <alignment horizontal="center" wrapText="1"/>
    </xf>
    <xf numFmtId="0" fontId="2" fillId="23" borderId="45" xfId="25" applyFont="1" applyFill="1" applyBorder="1" applyAlignment="1">
      <alignment horizontal="center" vertical="center"/>
    </xf>
    <xf numFmtId="0" fontId="3" fillId="23" borderId="17" xfId="25" applyFont="1" applyFill="1" applyBorder="1" applyAlignment="1">
      <alignment horizontal="left" vertical="center" wrapText="1"/>
    </xf>
    <xf numFmtId="0" fontId="2" fillId="4" borderId="17" xfId="25" applyFont="1" applyFill="1" applyBorder="1" applyAlignment="1">
      <alignment horizontal="center" vertical="center"/>
    </xf>
    <xf numFmtId="0" fontId="170" fillId="4" borderId="0" xfId="0" applyFont="1" applyFill="1" applyAlignment="1">
      <alignment vertical="center" wrapText="1"/>
    </xf>
    <xf numFmtId="165" fontId="3" fillId="4" borderId="13" xfId="25" applyNumberFormat="1" applyFont="1" applyFill="1" applyBorder="1" applyAlignment="1">
      <alignment horizontal="center" vertical="center"/>
    </xf>
    <xf numFmtId="165" fontId="3" fillId="30" borderId="12" xfId="1" applyNumberFormat="1" applyFont="1" applyFill="1" applyBorder="1" applyAlignment="1">
      <alignment vertical="center" wrapText="1"/>
    </xf>
    <xf numFmtId="165" fontId="3" fillId="30" borderId="11" xfId="1" applyNumberFormat="1" applyFont="1" applyFill="1" applyBorder="1" applyAlignment="1">
      <alignment vertical="center" wrapText="1"/>
    </xf>
    <xf numFmtId="165" fontId="3" fillId="30" borderId="13" xfId="1" applyNumberFormat="1" applyFont="1" applyFill="1" applyBorder="1" applyAlignment="1">
      <alignment vertical="center" wrapText="1"/>
    </xf>
    <xf numFmtId="165" fontId="3" fillId="30" borderId="12" xfId="1" applyNumberFormat="1" applyFont="1" applyFill="1" applyBorder="1" applyAlignment="1">
      <alignment vertical="center"/>
    </xf>
    <xf numFmtId="165" fontId="3" fillId="30" borderId="11" xfId="1" applyNumberFormat="1" applyFont="1" applyFill="1" applyBorder="1" applyAlignment="1">
      <alignment vertical="center"/>
    </xf>
    <xf numFmtId="165" fontId="3" fillId="30" borderId="13" xfId="1" applyNumberFormat="1" applyFont="1" applyFill="1" applyBorder="1" applyAlignment="1">
      <alignment vertical="center"/>
    </xf>
    <xf numFmtId="0" fontId="3" fillId="4" borderId="42" xfId="25" applyFont="1" applyFill="1" applyBorder="1" applyAlignment="1">
      <alignment vertical="center"/>
    </xf>
    <xf numFmtId="0" fontId="3" fillId="4" borderId="35" xfId="25" applyFont="1" applyFill="1" applyBorder="1" applyAlignment="1">
      <alignment horizontal="center" vertical="center"/>
    </xf>
    <xf numFmtId="165" fontId="2" fillId="104" borderId="101" xfId="2" applyNumberFormat="1" applyFont="1" applyFill="1" applyBorder="1" applyAlignment="1">
      <alignment horizontal="center" vertical="center"/>
    </xf>
    <xf numFmtId="165" fontId="2" fillId="104" borderId="50" xfId="1" applyNumberFormat="1" applyFont="1" applyFill="1" applyBorder="1" applyAlignment="1">
      <alignment vertical="center" wrapText="1"/>
    </xf>
    <xf numFmtId="165" fontId="2" fillId="104" borderId="147" xfId="1" applyNumberFormat="1" applyFont="1" applyFill="1" applyBorder="1" applyAlignment="1">
      <alignment vertical="center" wrapText="1"/>
    </xf>
    <xf numFmtId="165" fontId="3" fillId="104" borderId="13" xfId="1" applyNumberFormat="1" applyFont="1" applyFill="1" applyBorder="1" applyAlignment="1">
      <alignment vertical="center" wrapText="1"/>
    </xf>
    <xf numFmtId="165" fontId="3" fillId="104" borderId="47" xfId="1" applyNumberFormat="1" applyFont="1" applyFill="1" applyBorder="1" applyAlignment="1">
      <alignment vertical="center"/>
    </xf>
    <xf numFmtId="165" fontId="3" fillId="104" borderId="12" xfId="1" applyNumberFormat="1" applyFont="1" applyFill="1" applyBorder="1" applyAlignment="1">
      <alignment vertical="center"/>
    </xf>
    <xf numFmtId="165" fontId="2" fillId="105" borderId="157" xfId="2" applyNumberFormat="1" applyFont="1" applyFill="1" applyBorder="1" applyAlignment="1">
      <alignment vertical="center" wrapText="1"/>
    </xf>
    <xf numFmtId="165" fontId="2" fillId="105" borderId="168" xfId="1" applyNumberFormat="1" applyFont="1" applyFill="1" applyBorder="1" applyAlignment="1">
      <alignment vertical="center" wrapText="1"/>
    </xf>
    <xf numFmtId="165" fontId="3" fillId="105" borderId="12" xfId="1" applyNumberFormat="1" applyFont="1" applyFill="1" applyBorder="1" applyAlignment="1">
      <alignment vertical="center" wrapText="1"/>
    </xf>
    <xf numFmtId="165" fontId="2" fillId="105" borderId="50" xfId="1" applyNumberFormat="1" applyFont="1" applyFill="1" applyBorder="1" applyAlignment="1">
      <alignment vertical="center" wrapText="1"/>
    </xf>
    <xf numFmtId="165" fontId="2" fillId="105" borderId="147" xfId="1" applyNumberFormat="1" applyFont="1" applyFill="1" applyBorder="1" applyAlignment="1">
      <alignment vertical="center" wrapText="1"/>
    </xf>
    <xf numFmtId="165" fontId="3" fillId="105" borderId="47" xfId="1" applyNumberFormat="1" applyFont="1" applyFill="1" applyBorder="1" applyAlignment="1">
      <alignment vertical="center"/>
    </xf>
    <xf numFmtId="165" fontId="3" fillId="105" borderId="12" xfId="1" applyNumberFormat="1" applyFont="1" applyFill="1" applyBorder="1" applyAlignment="1">
      <alignment vertical="center"/>
    </xf>
    <xf numFmtId="165" fontId="2" fillId="105" borderId="155" xfId="2" applyNumberFormat="1" applyFont="1" applyFill="1" applyBorder="1" applyAlignment="1">
      <alignment vertical="center"/>
    </xf>
    <xf numFmtId="165" fontId="3" fillId="105" borderId="13" xfId="1" applyNumberFormat="1" applyFont="1" applyFill="1" applyBorder="1" applyAlignment="1">
      <alignment vertical="center" wrapText="1"/>
    </xf>
    <xf numFmtId="165" fontId="2" fillId="105" borderId="45" xfId="1" applyNumberFormat="1" applyFont="1" applyFill="1" applyBorder="1" applyAlignment="1">
      <alignment vertical="center" wrapText="1"/>
    </xf>
    <xf numFmtId="165" fontId="3" fillId="105" borderId="35" xfId="1" applyNumberFormat="1" applyFont="1" applyFill="1" applyBorder="1" applyAlignment="1">
      <alignment vertical="center"/>
    </xf>
    <xf numFmtId="165" fontId="3" fillId="105" borderId="13" xfId="1" applyNumberFormat="1" applyFont="1" applyFill="1" applyBorder="1" applyAlignment="1">
      <alignment vertical="center"/>
    </xf>
    <xf numFmtId="0" fontId="3" fillId="100" borderId="51" xfId="0" applyFont="1" applyFill="1" applyBorder="1" applyAlignment="1">
      <alignment horizontal="center" vertical="center" wrapText="1"/>
    </xf>
    <xf numFmtId="0" fontId="2" fillId="4" borderId="45" xfId="25" applyFont="1" applyFill="1" applyBorder="1" applyAlignment="1">
      <alignment horizontal="center"/>
    </xf>
    <xf numFmtId="0" fontId="3" fillId="4" borderId="17" xfId="25" applyFont="1" applyFill="1" applyBorder="1" applyAlignment="1">
      <alignment horizontal="left" wrapText="1"/>
    </xf>
    <xf numFmtId="0" fontId="3" fillId="4" borderId="13" xfId="25" applyFont="1" applyFill="1" applyBorder="1" applyAlignment="1">
      <alignment horizontal="center"/>
    </xf>
    <xf numFmtId="0" fontId="3" fillId="4" borderId="13" xfId="25" applyFont="1" applyFill="1" applyBorder="1" applyAlignment="1">
      <alignment vertical="center"/>
    </xf>
    <xf numFmtId="0" fontId="3" fillId="4" borderId="35" xfId="25" applyFont="1" applyFill="1" applyBorder="1" applyAlignment="1">
      <alignment horizontal="center"/>
    </xf>
    <xf numFmtId="165" fontId="2" fillId="105" borderId="98" xfId="2" applyNumberFormat="1" applyFont="1" applyFill="1" applyBorder="1" applyAlignment="1">
      <alignment vertical="center" wrapText="1"/>
    </xf>
    <xf numFmtId="165" fontId="3" fillId="105" borderId="103" xfId="1" applyNumberFormat="1" applyFont="1" applyFill="1" applyBorder="1" applyAlignment="1">
      <alignment vertical="center" wrapText="1"/>
    </xf>
    <xf numFmtId="165" fontId="2" fillId="105" borderId="84" xfId="1" applyNumberFormat="1" applyFont="1" applyFill="1" applyBorder="1" applyAlignment="1">
      <alignment vertical="center" wrapText="1"/>
    </xf>
    <xf numFmtId="0" fontId="3" fillId="30" borderId="13" xfId="25" applyFont="1" applyFill="1" applyBorder="1" applyAlignment="1">
      <alignment horizontal="center"/>
    </xf>
    <xf numFmtId="165" fontId="3" fillId="30" borderId="148" xfId="1" applyNumberFormat="1" applyFont="1" applyFill="1" applyBorder="1" applyAlignment="1">
      <alignment vertical="center" wrapText="1"/>
    </xf>
    <xf numFmtId="165" fontId="3" fillId="30" borderId="103" xfId="1" applyNumberFormat="1" applyFont="1" applyFill="1" applyBorder="1" applyAlignment="1">
      <alignment vertical="center" wrapText="1"/>
    </xf>
    <xf numFmtId="165" fontId="2" fillId="104" borderId="50" xfId="2" applyNumberFormat="1" applyFont="1" applyFill="1" applyBorder="1" applyAlignment="1">
      <alignment vertical="center" wrapText="1"/>
    </xf>
    <xf numFmtId="165" fontId="2" fillId="105" borderId="50" xfId="2" applyNumberFormat="1" applyFont="1" applyFill="1" applyBorder="1" applyAlignment="1">
      <alignment vertical="center" wrapText="1"/>
    </xf>
    <xf numFmtId="0" fontId="3" fillId="30" borderId="16" xfId="25" applyFont="1" applyFill="1" applyBorder="1" applyAlignment="1">
      <alignment horizontal="center" vertical="center"/>
    </xf>
    <xf numFmtId="165" fontId="3" fillId="30" borderId="14" xfId="1" applyNumberFormat="1" applyFont="1" applyFill="1" applyBorder="1" applyAlignment="1">
      <alignment vertical="center"/>
    </xf>
    <xf numFmtId="165" fontId="3" fillId="104" borderId="13" xfId="2" applyNumberFormat="1" applyFont="1" applyFill="1" applyBorder="1" applyAlignment="1">
      <alignment vertical="center" wrapText="1"/>
    </xf>
    <xf numFmtId="165" fontId="3" fillId="104" borderId="47" xfId="2" applyNumberFormat="1" applyFont="1" applyFill="1" applyBorder="1" applyAlignment="1">
      <alignment vertical="center"/>
    </xf>
    <xf numFmtId="165" fontId="3" fillId="104" borderId="12" xfId="2" applyNumberFormat="1" applyFont="1" applyFill="1" applyBorder="1" applyAlignment="1">
      <alignment vertical="center"/>
    </xf>
    <xf numFmtId="165" fontId="3" fillId="30" borderId="13" xfId="2" applyNumberFormat="1" applyFont="1" applyFill="1" applyBorder="1" applyAlignment="1">
      <alignment vertical="center"/>
    </xf>
    <xf numFmtId="165" fontId="2" fillId="105" borderId="155" xfId="2" applyNumberFormat="1" applyFont="1" applyFill="1" applyBorder="1" applyAlignment="1">
      <alignment vertical="center" wrapText="1"/>
    </xf>
    <xf numFmtId="165" fontId="2" fillId="105" borderId="156" xfId="2" applyNumberFormat="1" applyFont="1" applyFill="1" applyBorder="1" applyAlignment="1">
      <alignment vertical="center" wrapText="1"/>
    </xf>
    <xf numFmtId="165" fontId="3" fillId="105" borderId="166" xfId="2" applyNumberFormat="1" applyFont="1" applyFill="1" applyBorder="1" applyAlignment="1">
      <alignment vertical="center" wrapText="1"/>
    </xf>
    <xf numFmtId="165" fontId="3" fillId="105" borderId="35" xfId="2" applyNumberFormat="1" applyFont="1" applyFill="1" applyBorder="1" applyAlignment="1">
      <alignment vertical="center"/>
    </xf>
    <xf numFmtId="165" fontId="3" fillId="105" borderId="13" xfId="2" applyNumberFormat="1" applyFont="1" applyFill="1" applyBorder="1" applyAlignment="1">
      <alignment vertical="center"/>
    </xf>
    <xf numFmtId="165" fontId="3" fillId="105" borderId="47" xfId="2" applyNumberFormat="1" applyFont="1" applyFill="1" applyBorder="1" applyAlignment="1">
      <alignment vertical="center"/>
    </xf>
    <xf numFmtId="165" fontId="3" fillId="105" borderId="12" xfId="2" applyNumberFormat="1" applyFont="1" applyFill="1" applyBorder="1" applyAlignment="1">
      <alignment vertical="center"/>
    </xf>
    <xf numFmtId="165" fontId="3" fillId="30" borderId="12" xfId="2" applyNumberFormat="1" applyFont="1" applyFill="1" applyBorder="1" applyAlignment="1">
      <alignment vertical="center"/>
    </xf>
    <xf numFmtId="165" fontId="3" fillId="30" borderId="11" xfId="2" applyNumberFormat="1" applyFont="1" applyFill="1" applyBorder="1" applyAlignment="1">
      <alignment vertical="center"/>
    </xf>
    <xf numFmtId="0" fontId="3" fillId="4" borderId="13" xfId="25" applyFont="1" applyFill="1" applyBorder="1" applyAlignment="1">
      <alignment vertical="center" wrapText="1"/>
    </xf>
    <xf numFmtId="165" fontId="7" fillId="0" borderId="6" xfId="1" applyNumberFormat="1" applyFont="1" applyFill="1" applyBorder="1" applyAlignment="1">
      <alignment vertical="center"/>
    </xf>
    <xf numFmtId="165" fontId="7" fillId="0" borderId="0" xfId="1" applyNumberFormat="1" applyFont="1" applyFill="1" applyBorder="1" applyAlignment="1">
      <alignment vertical="center"/>
    </xf>
    <xf numFmtId="165" fontId="2" fillId="0" borderId="152" xfId="1" applyNumberFormat="1" applyFont="1" applyFill="1" applyBorder="1" applyAlignment="1">
      <alignment vertical="center"/>
    </xf>
    <xf numFmtId="165" fontId="3" fillId="0" borderId="16" xfId="1" applyNumberFormat="1" applyFont="1" applyFill="1" applyBorder="1" applyAlignment="1">
      <alignment vertical="center" wrapText="1"/>
    </xf>
    <xf numFmtId="165" fontId="2" fillId="104" borderId="45" xfId="1" applyNumberFormat="1" applyFont="1" applyFill="1" applyBorder="1" applyAlignment="1">
      <alignment horizontal="center" vertical="center"/>
    </xf>
    <xf numFmtId="165" fontId="2" fillId="105" borderId="18" xfId="1" applyNumberFormat="1" applyFont="1" applyFill="1" applyBorder="1" applyAlignment="1">
      <alignment vertical="center"/>
    </xf>
    <xf numFmtId="165" fontId="3" fillId="30" borderId="103" xfId="1" applyNumberFormat="1" applyFont="1" applyFill="1" applyBorder="1" applyAlignment="1">
      <alignment vertical="center"/>
    </xf>
    <xf numFmtId="165" fontId="2" fillId="105" borderId="18" xfId="2" applyNumberFormat="1" applyFont="1" applyFill="1" applyBorder="1" applyAlignment="1">
      <alignment vertical="center"/>
    </xf>
    <xf numFmtId="0" fontId="3" fillId="100" borderId="42" xfId="0" applyFont="1" applyFill="1" applyBorder="1" applyAlignment="1">
      <alignment horizontal="center" wrapText="1"/>
    </xf>
    <xf numFmtId="0" fontId="3" fillId="100" borderId="47" xfId="0" applyFont="1" applyFill="1" applyBorder="1" applyAlignment="1">
      <alignment horizontal="center" wrapText="1"/>
    </xf>
    <xf numFmtId="0" fontId="3" fillId="100" borderId="46" xfId="0" applyFont="1" applyFill="1" applyBorder="1" applyAlignment="1">
      <alignment horizontal="center" wrapText="1"/>
    </xf>
    <xf numFmtId="0" fontId="3" fillId="100" borderId="53" xfId="0" applyFont="1" applyFill="1" applyBorder="1" applyAlignment="1">
      <alignment horizontal="center" wrapText="1"/>
    </xf>
    <xf numFmtId="165" fontId="2" fillId="4" borderId="45" xfId="1" applyNumberFormat="1" applyFont="1" applyFill="1" applyBorder="1" applyAlignment="1">
      <alignment horizontal="center" vertical="center"/>
    </xf>
    <xf numFmtId="165" fontId="3" fillId="4" borderId="13" xfId="1" applyNumberFormat="1" applyFont="1" applyFill="1" applyBorder="1" applyAlignment="1">
      <alignment horizontal="center" vertical="center"/>
    </xf>
    <xf numFmtId="165" fontId="3" fillId="4" borderId="35" xfId="1" applyNumberFormat="1" applyFont="1" applyFill="1" applyBorder="1" applyAlignment="1">
      <alignment horizontal="center" vertical="center"/>
    </xf>
    <xf numFmtId="165" fontId="3" fillId="0" borderId="169" xfId="1" applyNumberFormat="1" applyFont="1" applyFill="1" applyBorder="1" applyAlignment="1">
      <alignment vertical="center"/>
    </xf>
    <xf numFmtId="165" fontId="2" fillId="105" borderId="18" xfId="1" applyNumberFormat="1" applyFont="1" applyFill="1" applyBorder="1" applyAlignment="1">
      <alignment vertical="center" wrapText="1"/>
    </xf>
    <xf numFmtId="165" fontId="3" fillId="30" borderId="13" xfId="1" applyNumberFormat="1" applyFont="1" applyFill="1" applyBorder="1" applyAlignment="1">
      <alignment horizontal="center" vertical="center"/>
    </xf>
    <xf numFmtId="0" fontId="3" fillId="100" borderId="109" xfId="0" applyFont="1" applyFill="1" applyBorder="1" applyAlignment="1">
      <alignment horizontal="center" wrapText="1"/>
    </xf>
    <xf numFmtId="0" fontId="2" fillId="4" borderId="35" xfId="25" applyFont="1" applyFill="1" applyBorder="1" applyAlignment="1">
      <alignment horizontal="center" vertical="center"/>
    </xf>
    <xf numFmtId="0" fontId="2" fillId="4" borderId="13" xfId="25" applyFont="1" applyFill="1" applyBorder="1" applyAlignment="1">
      <alignment horizontal="center" vertical="center"/>
    </xf>
    <xf numFmtId="165" fontId="3" fillId="30" borderId="103" xfId="2" applyNumberFormat="1" applyFont="1" applyFill="1" applyBorder="1" applyAlignment="1">
      <alignment vertical="center" wrapText="1"/>
    </xf>
    <xf numFmtId="0" fontId="2" fillId="30" borderId="13" xfId="25" applyFont="1" applyFill="1" applyBorder="1" applyAlignment="1">
      <alignment horizontal="center" vertical="center"/>
    </xf>
    <xf numFmtId="165" fontId="2" fillId="104" borderId="47" xfId="1" applyNumberFormat="1" applyFont="1" applyFill="1" applyBorder="1" applyAlignment="1">
      <alignment vertical="center"/>
    </xf>
    <xf numFmtId="165" fontId="2" fillId="0" borderId="21" xfId="1" applyNumberFormat="1" applyFont="1" applyFill="1" applyBorder="1" applyAlignment="1">
      <alignment vertical="center" wrapText="1"/>
    </xf>
    <xf numFmtId="165" fontId="2" fillId="105" borderId="6" xfId="2" applyNumberFormat="1" applyFont="1" applyFill="1" applyBorder="1" applyAlignment="1">
      <alignment vertical="center" wrapText="1"/>
    </xf>
    <xf numFmtId="165" fontId="2" fillId="105" borderId="138" xfId="1" applyNumberFormat="1" applyFont="1" applyFill="1" applyBorder="1" applyAlignment="1">
      <alignment vertical="center" wrapText="1"/>
    </xf>
    <xf numFmtId="165" fontId="2" fillId="105" borderId="47" xfId="1" applyNumberFormat="1" applyFont="1" applyFill="1" applyBorder="1" applyAlignment="1">
      <alignment vertical="center"/>
    </xf>
    <xf numFmtId="165" fontId="2" fillId="0" borderId="46" xfId="1" applyNumberFormat="1" applyFont="1" applyFill="1" applyBorder="1" applyAlignment="1">
      <alignment vertical="center"/>
    </xf>
    <xf numFmtId="165" fontId="2" fillId="105" borderId="35" xfId="1" applyNumberFormat="1" applyFont="1" applyFill="1" applyBorder="1" applyAlignment="1">
      <alignment vertical="center"/>
    </xf>
    <xf numFmtId="165" fontId="3" fillId="30" borderId="115" xfId="1" applyNumberFormat="1" applyFont="1" applyFill="1" applyBorder="1" applyAlignment="1">
      <alignment vertical="center" wrapText="1"/>
    </xf>
    <xf numFmtId="0" fontId="54" fillId="96" borderId="13" xfId="0" applyFont="1" applyFill="1" applyBorder="1" applyAlignment="1">
      <alignment vertical="center"/>
    </xf>
    <xf numFmtId="165" fontId="3" fillId="105" borderId="46" xfId="1" applyNumberFormat="1" applyFont="1" applyFill="1" applyBorder="1" applyAlignment="1">
      <alignment vertical="center"/>
    </xf>
    <xf numFmtId="0" fontId="68" fillId="100" borderId="42" xfId="25" applyFont="1" applyFill="1" applyBorder="1" applyAlignment="1">
      <alignment horizontal="center" wrapText="1"/>
    </xf>
    <xf numFmtId="0" fontId="68" fillId="100" borderId="19" xfId="25" applyFont="1" applyFill="1" applyBorder="1" applyAlignment="1">
      <alignment horizontal="center" wrapText="1"/>
    </xf>
    <xf numFmtId="0" fontId="26" fillId="100" borderId="19" xfId="25" applyFont="1" applyFill="1" applyBorder="1" applyAlignment="1">
      <alignment horizontal="center" wrapText="1"/>
    </xf>
    <xf numFmtId="0" fontId="26" fillId="100" borderId="13" xfId="0" applyFont="1" applyFill="1" applyBorder="1" applyAlignment="1">
      <alignment horizontal="center" wrapText="1"/>
    </xf>
    <xf numFmtId="0" fontId="26" fillId="100" borderId="35" xfId="0" applyFont="1" applyFill="1" applyBorder="1" applyAlignment="1">
      <alignment horizontal="center" wrapText="1"/>
    </xf>
    <xf numFmtId="0" fontId="26" fillId="100" borderId="42" xfId="0" applyFont="1" applyFill="1" applyBorder="1" applyAlignment="1">
      <alignment horizontal="center" wrapText="1"/>
    </xf>
    <xf numFmtId="0" fontId="26" fillId="100" borderId="47" xfId="0" applyFont="1" applyFill="1" applyBorder="1" applyAlignment="1">
      <alignment horizontal="center" wrapText="1"/>
    </xf>
    <xf numFmtId="0" fontId="26" fillId="100" borderId="12" xfId="0" applyFont="1" applyFill="1" applyBorder="1" applyAlignment="1">
      <alignment horizontal="center" wrapText="1"/>
    </xf>
    <xf numFmtId="0" fontId="68" fillId="100" borderId="53" xfId="25" applyFont="1" applyFill="1" applyBorder="1" applyAlignment="1">
      <alignment horizontal="center" wrapText="1"/>
    </xf>
    <xf numFmtId="0" fontId="26" fillId="100" borderId="16" xfId="0" applyFont="1" applyFill="1" applyBorder="1" applyAlignment="1">
      <alignment horizontal="center" wrapText="1"/>
    </xf>
    <xf numFmtId="0" fontId="26" fillId="100" borderId="53" xfId="0" applyFont="1" applyFill="1" applyBorder="1" applyAlignment="1">
      <alignment horizontal="center" wrapText="1"/>
    </xf>
    <xf numFmtId="0" fontId="26" fillId="100" borderId="14" xfId="0" applyFont="1" applyFill="1" applyBorder="1" applyAlignment="1">
      <alignment horizontal="center" wrapText="1"/>
    </xf>
    <xf numFmtId="0" fontId="26" fillId="100" borderId="19" xfId="25" applyFont="1" applyFill="1" applyBorder="1" applyAlignment="1">
      <alignment horizontal="center" vertical="center" wrapText="1"/>
    </xf>
    <xf numFmtId="0" fontId="27" fillId="4" borderId="45" xfId="25" applyFont="1" applyFill="1" applyBorder="1" applyAlignment="1">
      <alignment horizontal="center"/>
    </xf>
    <xf numFmtId="0" fontId="26" fillId="4" borderId="17" xfId="25" applyFont="1" applyFill="1" applyBorder="1" applyAlignment="1">
      <alignment horizontal="left" vertical="center" wrapText="1"/>
    </xf>
    <xf numFmtId="0" fontId="26" fillId="4" borderId="13" xfId="25" applyFont="1" applyFill="1" applyBorder="1" applyAlignment="1">
      <alignment horizontal="center" vertical="center"/>
    </xf>
    <xf numFmtId="0" fontId="27" fillId="4" borderId="45" xfId="25" applyFont="1" applyFill="1" applyBorder="1" applyAlignment="1">
      <alignment horizontal="center" vertical="center"/>
    </xf>
    <xf numFmtId="165" fontId="2" fillId="104" borderId="45" xfId="2" applyNumberFormat="1" applyFont="1" applyFill="1" applyBorder="1" applyAlignment="1">
      <alignment horizontal="center" vertical="center"/>
    </xf>
    <xf numFmtId="165" fontId="27" fillId="104" borderId="147" xfId="2" applyNumberFormat="1" applyFont="1" applyFill="1" applyBorder="1" applyAlignment="1">
      <alignment vertical="center" wrapText="1"/>
    </xf>
    <xf numFmtId="165" fontId="26" fillId="104" borderId="12" xfId="2" applyNumberFormat="1" applyFont="1" applyFill="1" applyBorder="1" applyAlignment="1">
      <alignment vertical="center" wrapText="1"/>
    </xf>
    <xf numFmtId="165" fontId="27" fillId="104" borderId="50" xfId="2" applyNumberFormat="1" applyFont="1" applyFill="1" applyBorder="1" applyAlignment="1">
      <alignment vertical="center" wrapText="1"/>
    </xf>
    <xf numFmtId="165" fontId="27" fillId="105" borderId="45" xfId="2" applyNumberFormat="1" applyFont="1" applyFill="1" applyBorder="1" applyAlignment="1">
      <alignment vertical="center" wrapText="1"/>
    </xf>
    <xf numFmtId="165" fontId="27" fillId="105" borderId="147" xfId="2" applyNumberFormat="1" applyFont="1" applyFill="1" applyBorder="1" applyAlignment="1">
      <alignment vertical="center" wrapText="1"/>
    </xf>
    <xf numFmtId="165" fontId="26" fillId="105" borderId="12" xfId="2" applyNumberFormat="1" applyFont="1" applyFill="1" applyBorder="1" applyAlignment="1">
      <alignment vertical="center" wrapText="1"/>
    </xf>
    <xf numFmtId="165" fontId="27" fillId="105" borderId="50" xfId="2" applyNumberFormat="1" applyFont="1" applyFill="1" applyBorder="1" applyAlignment="1">
      <alignment vertical="center" wrapText="1"/>
    </xf>
    <xf numFmtId="165" fontId="27" fillId="105" borderId="28" xfId="2" applyNumberFormat="1" applyFont="1" applyFill="1" applyBorder="1" applyAlignment="1">
      <alignment vertical="center"/>
    </xf>
    <xf numFmtId="0" fontId="26" fillId="30" borderId="13" xfId="25" applyFont="1" applyFill="1" applyBorder="1" applyAlignment="1">
      <alignment horizontal="center" vertical="center"/>
    </xf>
    <xf numFmtId="165" fontId="26" fillId="30" borderId="12" xfId="2" applyNumberFormat="1" applyFont="1" applyFill="1" applyBorder="1" applyAlignment="1">
      <alignment vertical="center" wrapText="1"/>
    </xf>
    <xf numFmtId="165" fontId="26" fillId="30" borderId="13" xfId="2" applyNumberFormat="1" applyFont="1" applyFill="1" applyBorder="1" applyAlignment="1">
      <alignment vertical="center" wrapText="1"/>
    </xf>
    <xf numFmtId="0" fontId="26" fillId="100" borderId="46" xfId="0" applyFont="1" applyFill="1" applyBorder="1" applyAlignment="1">
      <alignment horizontal="center" wrapText="1"/>
    </xf>
    <xf numFmtId="0" fontId="27" fillId="4" borderId="18" xfId="25" applyFont="1" applyFill="1" applyBorder="1" applyAlignment="1">
      <alignment horizontal="center" vertical="center"/>
    </xf>
    <xf numFmtId="0" fontId="143" fillId="4" borderId="0" xfId="0" applyFont="1" applyFill="1" applyAlignment="1">
      <alignment vertical="center" wrapText="1"/>
    </xf>
    <xf numFmtId="165" fontId="26" fillId="104" borderId="13" xfId="2" applyNumberFormat="1" applyFont="1" applyFill="1" applyBorder="1" applyAlignment="1">
      <alignment vertical="center" wrapText="1"/>
    </xf>
    <xf numFmtId="165" fontId="26" fillId="104" borderId="12" xfId="2" applyNumberFormat="1" applyFont="1" applyFill="1" applyBorder="1" applyAlignment="1">
      <alignment vertical="center"/>
    </xf>
    <xf numFmtId="165" fontId="27" fillId="105" borderId="84" xfId="2" applyNumberFormat="1" applyFont="1" applyFill="1" applyBorder="1" applyAlignment="1">
      <alignment vertical="center" wrapText="1"/>
    </xf>
    <xf numFmtId="165" fontId="60" fillId="105" borderId="12" xfId="2" applyNumberFormat="1" applyFont="1" applyFill="1" applyBorder="1" applyAlignment="1">
      <alignment vertical="center" wrapText="1"/>
    </xf>
    <xf numFmtId="165" fontId="57" fillId="105" borderId="50" xfId="2" applyNumberFormat="1" applyFont="1" applyFill="1" applyBorder="1" applyAlignment="1">
      <alignment vertical="center" wrapText="1"/>
    </xf>
    <xf numFmtId="165" fontId="60" fillId="105" borderId="12" xfId="2" applyNumberFormat="1" applyFont="1" applyFill="1" applyBorder="1" applyAlignment="1">
      <alignment vertical="center"/>
    </xf>
    <xf numFmtId="165" fontId="27" fillId="105" borderId="104" xfId="2" applyNumberFormat="1" applyFont="1" applyFill="1" applyBorder="1" applyAlignment="1">
      <alignment vertical="center" wrapText="1"/>
    </xf>
    <xf numFmtId="165" fontId="26" fillId="105" borderId="16" xfId="2" applyNumberFormat="1" applyFont="1" applyFill="1" applyBorder="1" applyAlignment="1">
      <alignment vertical="center" wrapText="1"/>
    </xf>
    <xf numFmtId="165" fontId="26" fillId="105" borderId="12" xfId="2" applyNumberFormat="1" applyFont="1" applyFill="1" applyBorder="1" applyAlignment="1">
      <alignment vertical="center"/>
    </xf>
    <xf numFmtId="3" fontId="57" fillId="91" borderId="154" xfId="0" applyNumberFormat="1" applyFont="1" applyFill="1" applyBorder="1" applyAlignment="1">
      <alignment vertical="center" wrapText="1"/>
    </xf>
    <xf numFmtId="165" fontId="26" fillId="0" borderId="170" xfId="2" applyNumberFormat="1" applyFont="1" applyFill="1" applyBorder="1" applyAlignment="1">
      <alignment vertical="center" wrapText="1"/>
    </xf>
    <xf numFmtId="3" fontId="57" fillId="91" borderId="116" xfId="0" applyNumberFormat="1" applyFont="1" applyFill="1" applyBorder="1" applyAlignment="1">
      <alignment vertical="center" wrapText="1"/>
    </xf>
    <xf numFmtId="165" fontId="26" fillId="0" borderId="14" xfId="2" applyNumberFormat="1" applyFont="1" applyFill="1" applyBorder="1" applyAlignment="1">
      <alignment vertical="center" wrapText="1"/>
    </xf>
    <xf numFmtId="165" fontId="27" fillId="105" borderId="18" xfId="2" applyNumberFormat="1" applyFont="1" applyFill="1" applyBorder="1" applyAlignment="1">
      <alignment vertical="center" wrapText="1"/>
    </xf>
    <xf numFmtId="165" fontId="60" fillId="105" borderId="13" xfId="2" applyNumberFormat="1" applyFont="1" applyFill="1" applyBorder="1" applyAlignment="1">
      <alignment vertical="center" wrapText="1"/>
    </xf>
    <xf numFmtId="165" fontId="57" fillId="105" borderId="45" xfId="2" applyNumberFormat="1" applyFont="1" applyFill="1" applyBorder="1" applyAlignment="1">
      <alignment vertical="center" wrapText="1"/>
    </xf>
    <xf numFmtId="165" fontId="57" fillId="105" borderId="156" xfId="2" applyNumberFormat="1" applyFont="1" applyFill="1" applyBorder="1" applyAlignment="1">
      <alignment vertical="center" wrapText="1"/>
    </xf>
    <xf numFmtId="165" fontId="60" fillId="105" borderId="16" xfId="2" applyNumberFormat="1" applyFont="1" applyFill="1" applyBorder="1" applyAlignment="1">
      <alignment vertical="center" wrapText="1"/>
    </xf>
    <xf numFmtId="165" fontId="60" fillId="105" borderId="13" xfId="2" applyNumberFormat="1" applyFont="1" applyFill="1" applyBorder="1" applyAlignment="1">
      <alignment vertical="center"/>
    </xf>
    <xf numFmtId="165" fontId="27" fillId="105" borderId="18" xfId="2" applyNumberFormat="1" applyFont="1" applyFill="1" applyBorder="1" applyAlignment="1">
      <alignment vertical="center"/>
    </xf>
    <xf numFmtId="165" fontId="26" fillId="105" borderId="13" xfId="2" applyNumberFormat="1" applyFont="1" applyFill="1" applyBorder="1" applyAlignment="1">
      <alignment vertical="center" wrapText="1"/>
    </xf>
    <xf numFmtId="165" fontId="27" fillId="105" borderId="156" xfId="2" applyNumberFormat="1" applyFont="1" applyFill="1" applyBorder="1" applyAlignment="1">
      <alignment vertical="center" wrapText="1"/>
    </xf>
    <xf numFmtId="165" fontId="26" fillId="105" borderId="13" xfId="2" applyNumberFormat="1" applyFont="1" applyFill="1" applyBorder="1" applyAlignment="1">
      <alignment vertical="center"/>
    </xf>
    <xf numFmtId="165" fontId="26" fillId="30" borderId="11" xfId="2" applyNumberFormat="1" applyFont="1" applyFill="1" applyBorder="1" applyAlignment="1">
      <alignment vertical="center" wrapText="1"/>
    </xf>
    <xf numFmtId="165" fontId="26" fillId="30" borderId="103" xfId="2" applyNumberFormat="1" applyFont="1" applyFill="1" applyBorder="1" applyAlignment="1">
      <alignment vertical="center" wrapText="1"/>
    </xf>
    <xf numFmtId="165" fontId="26" fillId="30" borderId="127" xfId="2" applyNumberFormat="1" applyFont="1" applyFill="1" applyBorder="1" applyAlignment="1">
      <alignment vertical="center" wrapText="1"/>
    </xf>
    <xf numFmtId="165" fontId="60" fillId="30" borderId="13" xfId="2" applyNumberFormat="1" applyFont="1" applyFill="1" applyBorder="1" applyAlignment="1">
      <alignment vertical="center" wrapText="1"/>
    </xf>
    <xf numFmtId="165" fontId="26" fillId="30" borderId="12" xfId="2" applyNumberFormat="1" applyFont="1" applyFill="1" applyBorder="1" applyAlignment="1">
      <alignment vertical="center"/>
    </xf>
    <xf numFmtId="165" fontId="26" fillId="30" borderId="11" xfId="2" applyNumberFormat="1" applyFont="1" applyFill="1" applyBorder="1" applyAlignment="1">
      <alignment vertical="center"/>
    </xf>
    <xf numFmtId="165" fontId="60" fillId="30" borderId="13" xfId="2" applyNumberFormat="1" applyFont="1" applyFill="1" applyBorder="1" applyAlignment="1">
      <alignment vertical="center"/>
    </xf>
    <xf numFmtId="165" fontId="26" fillId="30" borderId="13" xfId="2" applyNumberFormat="1" applyFont="1" applyFill="1" applyBorder="1" applyAlignment="1">
      <alignment vertical="center"/>
    </xf>
    <xf numFmtId="165" fontId="60" fillId="105" borderId="103" xfId="2" applyNumberFormat="1" applyFont="1" applyFill="1" applyBorder="1" applyAlignment="1">
      <alignment vertical="center" wrapText="1"/>
    </xf>
    <xf numFmtId="165" fontId="57" fillId="105" borderId="84" xfId="2" applyNumberFormat="1" applyFont="1" applyFill="1" applyBorder="1" applyAlignment="1">
      <alignment vertical="center" wrapText="1"/>
    </xf>
    <xf numFmtId="165" fontId="26" fillId="105" borderId="103" xfId="2" applyNumberFormat="1" applyFont="1" applyFill="1" applyBorder="1" applyAlignment="1">
      <alignment vertical="center" wrapText="1"/>
    </xf>
    <xf numFmtId="165" fontId="26" fillId="30" borderId="148" xfId="2" applyNumberFormat="1" applyFont="1" applyFill="1" applyBorder="1" applyAlignment="1">
      <alignment vertical="center" wrapText="1"/>
    </xf>
    <xf numFmtId="165" fontId="60" fillId="30" borderId="103" xfId="2" applyNumberFormat="1" applyFont="1" applyFill="1" applyBorder="1" applyAlignment="1">
      <alignment vertical="center" wrapText="1"/>
    </xf>
    <xf numFmtId="165" fontId="60" fillId="30" borderId="12" xfId="2" applyNumberFormat="1" applyFont="1" applyFill="1" applyBorder="1" applyAlignment="1">
      <alignment vertical="center"/>
    </xf>
    <xf numFmtId="165" fontId="60" fillId="30" borderId="14" xfId="2" applyNumberFormat="1" applyFont="1" applyFill="1" applyBorder="1" applyAlignment="1">
      <alignment vertical="center"/>
    </xf>
    <xf numFmtId="0" fontId="54" fillId="96" borderId="35" xfId="0" applyFont="1" applyFill="1" applyBorder="1" applyAlignment="1">
      <alignment vertical="center"/>
    </xf>
    <xf numFmtId="165" fontId="57" fillId="105" borderId="147" xfId="2" applyNumberFormat="1" applyFont="1" applyFill="1" applyBorder="1" applyAlignment="1">
      <alignment vertical="center" wrapText="1"/>
    </xf>
    <xf numFmtId="165" fontId="27" fillId="105" borderId="45" xfId="2" applyNumberFormat="1" applyFont="1" applyFill="1" applyBorder="1" applyAlignment="1">
      <alignment vertical="center"/>
    </xf>
    <xf numFmtId="165" fontId="60" fillId="30" borderId="11" xfId="2" applyNumberFormat="1" applyFont="1" applyFill="1" applyBorder="1" applyAlignment="1">
      <alignment vertical="center" wrapText="1"/>
    </xf>
    <xf numFmtId="165" fontId="60" fillId="30" borderId="12" xfId="2" applyNumberFormat="1" applyFont="1" applyFill="1" applyBorder="1" applyAlignment="1">
      <alignment vertical="center" wrapText="1"/>
    </xf>
    <xf numFmtId="0" fontId="26" fillId="4" borderId="35" xfId="25" applyFont="1" applyFill="1" applyBorder="1" applyAlignment="1">
      <alignment horizontal="center" vertical="center"/>
    </xf>
    <xf numFmtId="165" fontId="26" fillId="105" borderId="47" xfId="2" applyNumberFormat="1" applyFont="1" applyFill="1" applyBorder="1" applyAlignment="1">
      <alignment vertical="center"/>
    </xf>
    <xf numFmtId="165" fontId="26" fillId="104" borderId="47" xfId="2" applyNumberFormat="1" applyFont="1" applyFill="1" applyBorder="1" applyAlignment="1">
      <alignment vertical="center"/>
    </xf>
    <xf numFmtId="165" fontId="57" fillId="105" borderId="168" xfId="2" applyNumberFormat="1" applyFont="1" applyFill="1" applyBorder="1" applyAlignment="1">
      <alignment vertical="center" wrapText="1"/>
    </xf>
    <xf numFmtId="165" fontId="60" fillId="105" borderId="149" xfId="2" applyNumberFormat="1" applyFont="1" applyFill="1" applyBorder="1" applyAlignment="1">
      <alignment vertical="center" wrapText="1"/>
    </xf>
    <xf numFmtId="165" fontId="57" fillId="105" borderId="104" xfId="2" applyNumberFormat="1" applyFont="1" applyFill="1" applyBorder="1" applyAlignment="1">
      <alignment vertical="center" wrapText="1"/>
    </xf>
    <xf numFmtId="165" fontId="60" fillId="105" borderId="47" xfId="2" applyNumberFormat="1" applyFont="1" applyFill="1" applyBorder="1" applyAlignment="1">
      <alignment vertical="center"/>
    </xf>
    <xf numFmtId="165" fontId="26" fillId="105" borderId="35" xfId="2" applyNumberFormat="1" applyFont="1" applyFill="1" applyBorder="1" applyAlignment="1">
      <alignment vertical="center"/>
    </xf>
    <xf numFmtId="165" fontId="26" fillId="30" borderId="149" xfId="2" applyNumberFormat="1" applyFont="1" applyFill="1" applyBorder="1" applyAlignment="1">
      <alignment vertical="center" wrapText="1"/>
    </xf>
    <xf numFmtId="165" fontId="60" fillId="30" borderId="149" xfId="2" applyNumberFormat="1" applyFont="1" applyFill="1" applyBorder="1" applyAlignment="1">
      <alignment vertical="center" wrapText="1"/>
    </xf>
    <xf numFmtId="0" fontId="26" fillId="100" borderId="51" xfId="0" applyFont="1" applyFill="1" applyBorder="1" applyAlignment="1">
      <alignment horizontal="center" wrapText="1"/>
    </xf>
    <xf numFmtId="0" fontId="26" fillId="100" borderId="36" xfId="0" applyFont="1" applyFill="1" applyBorder="1" applyAlignment="1">
      <alignment horizontal="center" wrapText="1"/>
    </xf>
    <xf numFmtId="0" fontId="26" fillId="4" borderId="17" xfId="25" applyFont="1" applyFill="1" applyBorder="1" applyAlignment="1">
      <alignment horizontal="left" wrapText="1"/>
    </xf>
    <xf numFmtId="165" fontId="2" fillId="104" borderId="45" xfId="2" applyNumberFormat="1" applyFont="1" applyFill="1" applyBorder="1" applyAlignment="1">
      <alignment horizontal="center"/>
    </xf>
    <xf numFmtId="165" fontId="54" fillId="0" borderId="12" xfId="2" applyNumberFormat="1" applyFont="1" applyFill="1" applyBorder="1" applyAlignment="1">
      <alignment vertical="center"/>
    </xf>
    <xf numFmtId="165" fontId="2" fillId="105" borderId="50" xfId="2" applyNumberFormat="1" applyFont="1" applyFill="1" applyBorder="1" applyAlignment="1">
      <alignment wrapText="1"/>
    </xf>
    <xf numFmtId="165" fontId="27" fillId="105" borderId="18" xfId="2" applyNumberFormat="1" applyFont="1" applyFill="1" applyBorder="1"/>
    <xf numFmtId="0" fontId="26" fillId="100" borderId="35" xfId="25" applyFont="1" applyFill="1" applyBorder="1" applyAlignment="1">
      <alignment horizontal="center"/>
    </xf>
    <xf numFmtId="0" fontId="26" fillId="100" borderId="36" xfId="25" applyFont="1" applyFill="1" applyBorder="1" applyAlignment="1">
      <alignment horizontal="center"/>
    </xf>
    <xf numFmtId="0" fontId="26" fillId="100" borderId="16" xfId="25" applyFont="1" applyFill="1" applyBorder="1" applyAlignment="1">
      <alignment horizontal="center"/>
    </xf>
    <xf numFmtId="0" fontId="26" fillId="100" borderId="19" xfId="0" applyFont="1" applyFill="1" applyBorder="1" applyAlignment="1">
      <alignment horizontal="center" wrapText="1"/>
    </xf>
    <xf numFmtId="0" fontId="26" fillId="100" borderId="0" xfId="0" applyFont="1" applyFill="1" applyAlignment="1">
      <alignment horizontal="center" wrapText="1"/>
    </xf>
    <xf numFmtId="165" fontId="27" fillId="0" borderId="94" xfId="2" applyNumberFormat="1" applyFont="1" applyFill="1" applyBorder="1" applyAlignment="1">
      <alignment horizontal="center" vertical="center"/>
    </xf>
    <xf numFmtId="165" fontId="27" fillId="7" borderId="101" xfId="2" applyNumberFormat="1" applyFont="1" applyFill="1" applyBorder="1" applyAlignment="1">
      <alignment vertical="center"/>
    </xf>
    <xf numFmtId="165" fontId="27" fillId="0" borderId="101" xfId="2" applyNumberFormat="1" applyFont="1" applyFill="1" applyBorder="1" applyAlignment="1">
      <alignment vertical="center" wrapText="1"/>
    </xf>
    <xf numFmtId="165" fontId="26" fillId="0" borderId="148" xfId="2" applyNumberFormat="1" applyFont="1" applyFill="1" applyBorder="1" applyAlignment="1">
      <alignment vertical="center"/>
    </xf>
    <xf numFmtId="165" fontId="26" fillId="30" borderId="148" xfId="2" applyNumberFormat="1" applyFont="1" applyFill="1" applyBorder="1" applyAlignment="1">
      <alignment vertical="center"/>
    </xf>
    <xf numFmtId="0" fontId="174" fillId="96" borderId="0" xfId="25" applyFont="1" applyFill="1" applyAlignment="1">
      <alignment vertical="center"/>
    </xf>
    <xf numFmtId="165" fontId="27" fillId="104" borderId="13" xfId="2" applyNumberFormat="1" applyFont="1" applyFill="1" applyBorder="1" applyAlignment="1">
      <alignment vertical="center" wrapText="1"/>
    </xf>
    <xf numFmtId="165" fontId="27" fillId="104" borderId="47" xfId="2" applyNumberFormat="1" applyFont="1" applyFill="1" applyBorder="1" applyAlignment="1">
      <alignment vertical="center"/>
    </xf>
    <xf numFmtId="165" fontId="27" fillId="7" borderId="94" xfId="2" applyNumberFormat="1" applyFont="1" applyFill="1" applyBorder="1" applyAlignment="1">
      <alignment vertical="center" wrapText="1"/>
    </xf>
    <xf numFmtId="165" fontId="27" fillId="7" borderId="138" xfId="1" applyNumberFormat="1" applyFont="1" applyFill="1" applyBorder="1" applyAlignment="1">
      <alignment vertical="center"/>
    </xf>
    <xf numFmtId="165" fontId="27" fillId="0" borderId="148" xfId="2" applyNumberFormat="1" applyFont="1" applyFill="1" applyBorder="1" applyAlignment="1">
      <alignment vertical="center" wrapText="1"/>
    </xf>
    <xf numFmtId="165" fontId="27" fillId="0" borderId="169" xfId="2" applyNumberFormat="1" applyFont="1" applyFill="1" applyBorder="1" applyAlignment="1">
      <alignment vertical="center"/>
    </xf>
    <xf numFmtId="165" fontId="57" fillId="105" borderId="18" xfId="2" applyNumberFormat="1" applyFont="1" applyFill="1" applyBorder="1" applyAlignment="1">
      <alignment vertical="center" wrapText="1"/>
    </xf>
    <xf numFmtId="165" fontId="57" fillId="105" borderId="13" xfId="2" applyNumberFormat="1" applyFont="1" applyFill="1" applyBorder="1" applyAlignment="1">
      <alignment vertical="center" wrapText="1"/>
    </xf>
    <xf numFmtId="165" fontId="57" fillId="105" borderId="35" xfId="2" applyNumberFormat="1" applyFont="1" applyFill="1" applyBorder="1" applyAlignment="1">
      <alignment vertical="center"/>
    </xf>
    <xf numFmtId="165" fontId="27" fillId="105" borderId="13" xfId="2" applyNumberFormat="1" applyFont="1" applyFill="1" applyBorder="1" applyAlignment="1">
      <alignment vertical="center" wrapText="1"/>
    </xf>
    <xf numFmtId="165" fontId="27" fillId="105" borderId="47" xfId="2" applyNumberFormat="1" applyFont="1" applyFill="1" applyBorder="1" applyAlignment="1">
      <alignment vertical="center"/>
    </xf>
    <xf numFmtId="165" fontId="27" fillId="105" borderId="35" xfId="2" applyNumberFormat="1" applyFont="1" applyFill="1" applyBorder="1" applyAlignment="1">
      <alignment vertical="center"/>
    </xf>
    <xf numFmtId="165" fontId="57" fillId="105" borderId="47" xfId="2" applyNumberFormat="1" applyFont="1" applyFill="1" applyBorder="1" applyAlignment="1">
      <alignment vertical="center"/>
    </xf>
    <xf numFmtId="165" fontId="27" fillId="105" borderId="98" xfId="2" applyNumberFormat="1" applyFont="1" applyFill="1" applyBorder="1" applyAlignment="1">
      <alignment horizontal="center" vertical="center"/>
    </xf>
    <xf numFmtId="165" fontId="27" fillId="105" borderId="84" xfId="2" applyNumberFormat="1" applyFont="1" applyFill="1" applyBorder="1" applyAlignment="1">
      <alignment vertical="center"/>
    </xf>
    <xf numFmtId="165" fontId="147" fillId="105" borderId="84" xfId="2" applyNumberFormat="1" applyFont="1" applyFill="1" applyBorder="1" applyAlignment="1">
      <alignment vertical="center"/>
    </xf>
    <xf numFmtId="165" fontId="26" fillId="105" borderId="47" xfId="1" applyNumberFormat="1" applyFont="1" applyFill="1" applyBorder="1" applyAlignment="1">
      <alignment vertical="center"/>
    </xf>
    <xf numFmtId="0" fontId="68" fillId="100" borderId="17" xfId="25" applyFont="1" applyFill="1" applyBorder="1" applyAlignment="1">
      <alignment horizontal="center" wrapText="1"/>
    </xf>
    <xf numFmtId="0" fontId="3" fillId="100" borderId="36" xfId="0" applyFont="1" applyFill="1" applyBorder="1" applyAlignment="1">
      <alignment horizontal="center" vertical="center" wrapText="1"/>
    </xf>
    <xf numFmtId="0" fontId="3" fillId="100" borderId="13" xfId="0" applyFont="1" applyFill="1" applyBorder="1" applyAlignment="1">
      <alignment horizontal="center" vertical="center" wrapText="1"/>
    </xf>
    <xf numFmtId="0" fontId="3" fillId="100" borderId="16" xfId="0" applyFont="1" applyFill="1" applyBorder="1" applyAlignment="1">
      <alignment horizontal="center" vertical="center" wrapText="1"/>
    </xf>
    <xf numFmtId="0" fontId="2" fillId="4" borderId="25" xfId="25" applyFont="1" applyFill="1" applyBorder="1" applyAlignment="1">
      <alignment vertical="center"/>
    </xf>
    <xf numFmtId="165" fontId="2" fillId="104" borderId="18" xfId="2" applyNumberFormat="1" applyFont="1" applyFill="1" applyBorder="1" applyAlignment="1">
      <alignment vertical="center"/>
    </xf>
    <xf numFmtId="165" fontId="2" fillId="104" borderId="45" xfId="2" applyNumberFormat="1" applyFont="1" applyFill="1" applyBorder="1" applyAlignment="1">
      <alignment vertical="center"/>
    </xf>
    <xf numFmtId="165" fontId="3" fillId="104" borderId="45" xfId="2" applyNumberFormat="1" applyFont="1" applyFill="1" applyBorder="1" applyAlignment="1">
      <alignment vertical="center"/>
    </xf>
    <xf numFmtId="165" fontId="2" fillId="105" borderId="37" xfId="2" applyNumberFormat="1" applyFont="1" applyFill="1" applyBorder="1" applyAlignment="1">
      <alignment vertical="center"/>
    </xf>
    <xf numFmtId="165" fontId="2" fillId="105" borderId="4" xfId="2" applyNumberFormat="1" applyFont="1" applyFill="1" applyBorder="1" applyAlignment="1">
      <alignment vertical="center"/>
    </xf>
    <xf numFmtId="165" fontId="3" fillId="105" borderId="4" xfId="2" applyNumberFormat="1" applyFont="1" applyFill="1" applyBorder="1" applyAlignment="1">
      <alignment vertical="center"/>
    </xf>
    <xf numFmtId="165" fontId="2" fillId="105" borderId="30" xfId="2" applyNumberFormat="1" applyFont="1" applyFill="1" applyBorder="1" applyAlignment="1">
      <alignment vertical="center"/>
    </xf>
    <xf numFmtId="165" fontId="2" fillId="105" borderId="76" xfId="2" applyNumberFormat="1" applyFont="1" applyFill="1" applyBorder="1" applyAlignment="1">
      <alignment vertical="center"/>
    </xf>
    <xf numFmtId="165" fontId="3" fillId="105" borderId="76" xfId="2" applyNumberFormat="1" applyFont="1" applyFill="1" applyBorder="1" applyAlignment="1">
      <alignment vertical="center"/>
    </xf>
    <xf numFmtId="0" fontId="3" fillId="21" borderId="26" xfId="25" applyFont="1" applyFill="1" applyBorder="1" applyAlignment="1">
      <alignment vertical="center"/>
    </xf>
    <xf numFmtId="0" fontId="3" fillId="30" borderId="26" xfId="25" applyFont="1" applyFill="1" applyBorder="1" applyAlignment="1">
      <alignment vertical="center"/>
    </xf>
    <xf numFmtId="0" fontId="3" fillId="30" borderId="22" xfId="25" applyFont="1" applyFill="1" applyBorder="1" applyAlignment="1">
      <alignment horizontal="center" vertical="center"/>
    </xf>
    <xf numFmtId="165" fontId="3" fillId="30" borderId="16" xfId="2" applyNumberFormat="1" applyFont="1" applyFill="1" applyBorder="1" applyAlignment="1">
      <alignment vertical="center"/>
    </xf>
    <xf numFmtId="165" fontId="3" fillId="30" borderId="135" xfId="2" applyNumberFormat="1" applyFont="1" applyFill="1" applyBorder="1" applyAlignment="1">
      <alignment vertical="center"/>
    </xf>
    <xf numFmtId="165" fontId="3" fillId="30" borderId="134" xfId="2" applyNumberFormat="1" applyFont="1" applyFill="1" applyBorder="1" applyAlignment="1">
      <alignment vertical="center"/>
    </xf>
    <xf numFmtId="0" fontId="54" fillId="96" borderId="49" xfId="0" applyFont="1" applyFill="1" applyBorder="1"/>
    <xf numFmtId="0" fontId="54" fillId="96" borderId="48" xfId="0" applyFont="1" applyFill="1" applyBorder="1"/>
    <xf numFmtId="0" fontId="2" fillId="4" borderId="18" xfId="25" applyFont="1" applyFill="1" applyBorder="1" applyAlignment="1">
      <alignment vertical="center"/>
    </xf>
    <xf numFmtId="165" fontId="2" fillId="104" borderId="25" xfId="2" applyNumberFormat="1" applyFont="1" applyFill="1" applyBorder="1" applyAlignment="1">
      <alignment vertical="center"/>
    </xf>
    <xf numFmtId="0" fontId="3" fillId="30" borderId="21" xfId="25" applyFont="1" applyFill="1" applyBorder="1" applyAlignment="1">
      <alignment vertical="center"/>
    </xf>
    <xf numFmtId="0" fontId="3" fillId="30" borderId="133" xfId="25" applyFont="1" applyFill="1" applyBorder="1" applyAlignment="1">
      <alignment horizontal="center" vertical="center"/>
    </xf>
    <xf numFmtId="165" fontId="2" fillId="30" borderId="26" xfId="2" applyNumberFormat="1" applyFont="1" applyFill="1" applyBorder="1" applyAlignment="1">
      <alignment vertical="center"/>
    </xf>
    <xf numFmtId="165" fontId="2" fillId="30" borderId="21" xfId="2" applyNumberFormat="1" applyFont="1" applyFill="1" applyBorder="1" applyAlignment="1">
      <alignment vertical="center"/>
    </xf>
    <xf numFmtId="165" fontId="2" fillId="30" borderId="133" xfId="2" applyNumberFormat="1" applyFont="1" applyFill="1" applyBorder="1" applyAlignment="1">
      <alignment vertical="center"/>
    </xf>
    <xf numFmtId="0" fontId="3" fillId="30" borderId="143" xfId="25" applyFont="1" applyFill="1" applyBorder="1" applyAlignment="1">
      <alignment vertical="center"/>
    </xf>
    <xf numFmtId="0" fontId="3" fillId="30" borderId="144" xfId="25" applyFont="1" applyFill="1" applyBorder="1" applyAlignment="1">
      <alignment horizontal="center" vertical="center"/>
    </xf>
    <xf numFmtId="165" fontId="2" fillId="30" borderId="139" xfId="2" applyNumberFormat="1" applyFont="1" applyFill="1" applyBorder="1" applyAlignment="1">
      <alignment vertical="center"/>
    </xf>
    <xf numFmtId="165" fontId="2" fillId="30" borderId="144" xfId="2" applyNumberFormat="1" applyFont="1" applyFill="1" applyBorder="1" applyAlignment="1">
      <alignment vertical="center"/>
    </xf>
    <xf numFmtId="165" fontId="2" fillId="30" borderId="145" xfId="2" applyNumberFormat="1" applyFont="1" applyFill="1" applyBorder="1" applyAlignment="1">
      <alignment vertical="center"/>
    </xf>
    <xf numFmtId="165" fontId="2" fillId="104" borderId="34" xfId="2" applyNumberFormat="1" applyFont="1" applyFill="1" applyBorder="1" applyAlignment="1">
      <alignment vertical="center"/>
    </xf>
    <xf numFmtId="0" fontId="3" fillId="30" borderId="141" xfId="25" applyFont="1" applyFill="1" applyBorder="1" applyAlignment="1">
      <alignment horizontal="center" vertical="center"/>
    </xf>
    <xf numFmtId="165" fontId="2" fillId="30" borderId="20" xfId="2" applyNumberFormat="1" applyFont="1" applyFill="1" applyBorder="1" applyAlignment="1">
      <alignment vertical="center"/>
    </xf>
    <xf numFmtId="165" fontId="2" fillId="30" borderId="141" xfId="2" applyNumberFormat="1" applyFont="1" applyFill="1" applyBorder="1" applyAlignment="1">
      <alignment vertical="center"/>
    </xf>
    <xf numFmtId="0" fontId="3" fillId="96" borderId="31" xfId="0" applyFont="1" applyFill="1" applyBorder="1"/>
    <xf numFmtId="0" fontId="54" fillId="96" borderId="31" xfId="0" applyFont="1" applyFill="1" applyBorder="1"/>
    <xf numFmtId="0" fontId="3" fillId="100" borderId="47" xfId="0" applyFont="1" applyFill="1" applyBorder="1" applyAlignment="1">
      <alignment horizontal="center" vertical="center" wrapText="1"/>
    </xf>
    <xf numFmtId="0" fontId="3" fillId="100" borderId="14" xfId="0" applyFont="1" applyFill="1" applyBorder="1" applyAlignment="1">
      <alignment horizontal="center" vertical="center" wrapText="1"/>
    </xf>
    <xf numFmtId="165" fontId="2" fillId="30" borderId="146" xfId="2" applyNumberFormat="1" applyFont="1" applyFill="1" applyBorder="1" applyAlignment="1">
      <alignment vertical="center"/>
    </xf>
    <xf numFmtId="165" fontId="2" fillId="30" borderId="140" xfId="2" applyNumberFormat="1" applyFont="1" applyFill="1" applyBorder="1" applyAlignment="1">
      <alignment vertical="center"/>
    </xf>
    <xf numFmtId="165" fontId="2" fillId="30" borderId="140" xfId="1" applyNumberFormat="1" applyFont="1" applyFill="1" applyBorder="1" applyAlignment="1">
      <alignment vertical="center"/>
    </xf>
    <xf numFmtId="165" fontId="2" fillId="30" borderId="139" xfId="1" applyNumberFormat="1" applyFont="1" applyFill="1" applyBorder="1" applyAlignment="1">
      <alignment vertical="center"/>
    </xf>
    <xf numFmtId="0" fontId="54" fillId="96" borderId="12" xfId="0" applyFont="1" applyFill="1" applyBorder="1"/>
    <xf numFmtId="0" fontId="3" fillId="100" borderId="12" xfId="0" applyFont="1" applyFill="1" applyBorder="1" applyAlignment="1">
      <alignment horizontal="center" vertical="center" wrapText="1"/>
    </xf>
    <xf numFmtId="0" fontId="2" fillId="4" borderId="81" xfId="25" applyFont="1" applyFill="1" applyBorder="1" applyAlignment="1">
      <alignment vertical="center"/>
    </xf>
    <xf numFmtId="165" fontId="2" fillId="105" borderId="32" xfId="2" applyNumberFormat="1" applyFont="1" applyFill="1" applyBorder="1" applyAlignment="1">
      <alignment vertical="center"/>
    </xf>
    <xf numFmtId="165" fontId="2" fillId="105" borderId="33" xfId="2" applyNumberFormat="1" applyFont="1" applyFill="1" applyBorder="1" applyAlignment="1">
      <alignment vertical="center"/>
    </xf>
    <xf numFmtId="0" fontId="3" fillId="30" borderId="120" xfId="25" applyFont="1" applyFill="1" applyBorder="1" applyAlignment="1">
      <alignment horizontal="center" vertical="center"/>
    </xf>
    <xf numFmtId="165" fontId="2" fillId="30" borderId="44" xfId="2" applyNumberFormat="1" applyFont="1" applyFill="1" applyBorder="1" applyAlignment="1">
      <alignment vertical="center"/>
    </xf>
    <xf numFmtId="165" fontId="2" fillId="30" borderId="22" xfId="2" applyNumberFormat="1" applyFont="1" applyFill="1" applyBorder="1" applyAlignment="1">
      <alignment vertical="center"/>
    </xf>
    <xf numFmtId="165" fontId="2" fillId="30" borderId="23" xfId="2" applyNumberFormat="1" applyFont="1" applyFill="1" applyBorder="1" applyAlignment="1">
      <alignment vertical="center"/>
    </xf>
    <xf numFmtId="0" fontId="2" fillId="4" borderId="25" xfId="25" applyFont="1" applyFill="1" applyBorder="1"/>
    <xf numFmtId="165" fontId="2" fillId="104" borderId="18" xfId="2" applyNumberFormat="1" applyFont="1" applyFill="1" applyBorder="1"/>
    <xf numFmtId="165" fontId="2" fillId="105" borderId="32" xfId="2" applyNumberFormat="1" applyFont="1" applyFill="1" applyBorder="1"/>
    <xf numFmtId="165" fontId="2" fillId="105" borderId="33" xfId="2" applyNumberFormat="1" applyFont="1" applyFill="1" applyBorder="1"/>
    <xf numFmtId="0" fontId="3" fillId="30" borderId="26" xfId="25" applyFont="1" applyFill="1" applyBorder="1"/>
    <xf numFmtId="0" fontId="3" fillId="30" borderId="120" xfId="25" applyFont="1" applyFill="1" applyBorder="1" applyAlignment="1">
      <alignment horizontal="center"/>
    </xf>
    <xf numFmtId="165" fontId="2" fillId="30" borderId="21" xfId="2" applyNumberFormat="1" applyFont="1" applyFill="1" applyBorder="1"/>
    <xf numFmtId="165" fontId="2" fillId="30" borderId="141" xfId="2" applyNumberFormat="1" applyFont="1" applyFill="1" applyBorder="1"/>
    <xf numFmtId="165" fontId="2" fillId="30" borderId="44" xfId="2" applyNumberFormat="1" applyFont="1" applyFill="1" applyBorder="1"/>
    <xf numFmtId="165" fontId="2" fillId="21" borderId="21" xfId="2" applyNumberFormat="1" applyFont="1" applyFill="1" applyBorder="1" applyAlignment="1">
      <alignment vertical="center"/>
    </xf>
    <xf numFmtId="0" fontId="3" fillId="100" borderId="31" xfId="0" applyFont="1" applyFill="1" applyBorder="1" applyAlignment="1">
      <alignment horizontal="center" vertical="center" wrapText="1"/>
    </xf>
    <xf numFmtId="0" fontId="3" fillId="100" borderId="53" xfId="0" applyFont="1" applyFill="1" applyBorder="1" applyAlignment="1">
      <alignment horizontal="center" vertical="center" wrapText="1"/>
    </xf>
    <xf numFmtId="0" fontId="3" fillId="30" borderId="141" xfId="25" applyFont="1" applyFill="1" applyBorder="1" applyAlignment="1">
      <alignment horizontal="center"/>
    </xf>
    <xf numFmtId="165" fontId="2" fillId="30" borderId="147" xfId="2" applyNumberFormat="1" applyFont="1" applyFill="1" applyBorder="1" applyAlignment="1">
      <alignment vertical="center"/>
    </xf>
    <xf numFmtId="0" fontId="3" fillId="30" borderId="16" xfId="0" applyFont="1" applyFill="1" applyBorder="1"/>
    <xf numFmtId="165" fontId="2" fillId="30" borderId="141" xfId="1" applyNumberFormat="1" applyFont="1" applyFill="1" applyBorder="1"/>
    <xf numFmtId="165" fontId="2" fillId="30" borderId="21" xfId="1" applyNumberFormat="1" applyFont="1" applyFill="1" applyBorder="1"/>
    <xf numFmtId="0" fontId="9" fillId="30" borderId="44" xfId="25" applyFill="1" applyBorder="1"/>
    <xf numFmtId="165" fontId="3" fillId="105" borderId="45" xfId="2" applyNumberFormat="1" applyFont="1" applyFill="1" applyBorder="1" applyAlignment="1">
      <alignment vertical="center"/>
    </xf>
    <xf numFmtId="165" fontId="3" fillId="30" borderId="21" xfId="2" applyNumberFormat="1" applyFont="1" applyFill="1" applyBorder="1" applyAlignment="1">
      <alignment vertical="center"/>
    </xf>
    <xf numFmtId="165" fontId="2" fillId="105" borderId="138" xfId="2" applyNumberFormat="1" applyFont="1" applyFill="1" applyBorder="1" applyAlignment="1">
      <alignment vertical="center"/>
    </xf>
    <xf numFmtId="0" fontId="173" fillId="96" borderId="13" xfId="25" applyFont="1" applyFill="1" applyBorder="1"/>
    <xf numFmtId="0" fontId="3" fillId="100" borderId="19" xfId="0" applyFont="1" applyFill="1" applyBorder="1" applyAlignment="1">
      <alignment horizontal="center" vertical="center" wrapText="1"/>
    </xf>
    <xf numFmtId="165" fontId="2" fillId="104" borderId="136" xfId="2" applyNumberFormat="1" applyFont="1" applyFill="1" applyBorder="1" applyAlignment="1">
      <alignment vertical="center"/>
    </xf>
    <xf numFmtId="165" fontId="2" fillId="104" borderId="167" xfId="2" applyNumberFormat="1" applyFont="1" applyFill="1" applyBorder="1" applyAlignment="1">
      <alignment vertical="center"/>
    </xf>
    <xf numFmtId="165" fontId="2" fillId="30" borderId="142" xfId="2" applyNumberFormat="1" applyFont="1" applyFill="1" applyBorder="1" applyAlignment="1">
      <alignment vertical="center"/>
    </xf>
    <xf numFmtId="165" fontId="2" fillId="30" borderId="133" xfId="1" applyNumberFormat="1" applyFont="1" applyFill="1" applyBorder="1" applyAlignment="1">
      <alignment vertical="center"/>
    </xf>
    <xf numFmtId="165" fontId="2" fillId="30" borderId="21" xfId="1" applyNumberFormat="1" applyFont="1" applyFill="1" applyBorder="1" applyAlignment="1">
      <alignment vertical="center"/>
    </xf>
    <xf numFmtId="165" fontId="2" fillId="21" borderId="22" xfId="2" applyNumberFormat="1" applyFont="1" applyFill="1" applyBorder="1" applyAlignment="1">
      <alignment vertical="center"/>
    </xf>
    <xf numFmtId="165" fontId="2" fillId="21" borderId="23" xfId="2" applyNumberFormat="1" applyFont="1" applyFill="1" applyBorder="1" applyAlignment="1">
      <alignment vertical="center"/>
    </xf>
    <xf numFmtId="43" fontId="2" fillId="30" borderId="21" xfId="2" applyFont="1" applyFill="1" applyBorder="1" applyAlignment="1">
      <alignment vertical="center"/>
    </xf>
    <xf numFmtId="43" fontId="2" fillId="30" borderId="20" xfId="2" applyFont="1" applyFill="1" applyBorder="1" applyAlignment="1">
      <alignment vertical="center"/>
    </xf>
    <xf numFmtId="0" fontId="2" fillId="4" borderId="19" xfId="0" applyFont="1" applyFill="1" applyBorder="1" applyAlignment="1">
      <alignment horizontal="center" vertical="center"/>
    </xf>
    <xf numFmtId="0" fontId="3" fillId="4" borderId="18" xfId="0" applyFont="1" applyFill="1" applyBorder="1" applyAlignment="1">
      <alignment horizontal="left" vertical="center" wrapText="1"/>
    </xf>
    <xf numFmtId="0" fontId="3" fillId="4" borderId="19" xfId="0" applyFont="1" applyFill="1" applyBorder="1" applyAlignment="1">
      <alignment horizontal="center" vertical="center"/>
    </xf>
    <xf numFmtId="0" fontId="3" fillId="4" borderId="13" xfId="0" applyFont="1" applyFill="1" applyBorder="1" applyAlignment="1">
      <alignment horizontal="center" vertical="center"/>
    </xf>
    <xf numFmtId="0" fontId="26" fillId="4" borderId="17"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4" borderId="31"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26" fillId="4" borderId="42" xfId="0" applyFont="1" applyFill="1" applyBorder="1" applyAlignment="1">
      <alignment vertical="center" wrapText="1"/>
    </xf>
    <xf numFmtId="0" fontId="27" fillId="104" borderId="18" xfId="0" applyFont="1" applyFill="1" applyBorder="1" applyAlignment="1">
      <alignment vertical="center"/>
    </xf>
    <xf numFmtId="165" fontId="3" fillId="104" borderId="13" xfId="0" applyNumberFormat="1" applyFont="1" applyFill="1" applyBorder="1" applyAlignment="1">
      <alignment horizontal="left" vertical="center"/>
    </xf>
    <xf numFmtId="165" fontId="2" fillId="104" borderId="45" xfId="0" applyNumberFormat="1" applyFont="1" applyFill="1" applyBorder="1" applyAlignment="1">
      <alignment horizontal="left" vertical="center"/>
    </xf>
    <xf numFmtId="0" fontId="3" fillId="30" borderId="13" xfId="0" applyFont="1" applyFill="1" applyBorder="1" applyAlignment="1">
      <alignment horizontal="center" vertical="center"/>
    </xf>
    <xf numFmtId="0" fontId="26" fillId="30" borderId="13" xfId="0" applyFont="1" applyFill="1" applyBorder="1" applyAlignment="1">
      <alignment vertical="center" wrapText="1"/>
    </xf>
    <xf numFmtId="165" fontId="3" fillId="30" borderId="13" xfId="0" applyNumberFormat="1" applyFont="1" applyFill="1" applyBorder="1" applyAlignment="1">
      <alignment horizontal="left" vertical="center"/>
    </xf>
    <xf numFmtId="0" fontId="3" fillId="30" borderId="53" xfId="0" applyFont="1" applyFill="1" applyBorder="1" applyAlignment="1">
      <alignment horizontal="center" vertical="center"/>
    </xf>
    <xf numFmtId="0" fontId="26" fillId="30" borderId="49" xfId="0" applyFont="1" applyFill="1" applyBorder="1" applyAlignment="1">
      <alignment vertical="center" wrapText="1"/>
    </xf>
    <xf numFmtId="165" fontId="3" fillId="30" borderId="52" xfId="0" applyNumberFormat="1" applyFont="1" applyFill="1" applyBorder="1" applyAlignment="1">
      <alignment horizontal="left" vertical="center"/>
    </xf>
    <xf numFmtId="165" fontId="3" fillId="30" borderId="48" xfId="0" applyNumberFormat="1" applyFont="1" applyFill="1" applyBorder="1" applyAlignment="1">
      <alignment horizontal="left" vertical="center"/>
    </xf>
    <xf numFmtId="0" fontId="3" fillId="4" borderId="45" xfId="0" applyFont="1" applyFill="1" applyBorder="1" applyAlignment="1">
      <alignment horizontal="left" vertical="center" wrapText="1"/>
    </xf>
    <xf numFmtId="0" fontId="3" fillId="4" borderId="13" xfId="0" applyFont="1" applyFill="1" applyBorder="1" applyAlignment="1">
      <alignment horizontal="left" vertical="center" wrapText="1"/>
    </xf>
    <xf numFmtId="0" fontId="3" fillId="4" borderId="36" xfId="0" applyFont="1" applyFill="1" applyBorder="1" applyAlignment="1">
      <alignment horizontal="left" vertical="center" wrapText="1"/>
    </xf>
    <xf numFmtId="0" fontId="26" fillId="4" borderId="45" xfId="0" applyFont="1" applyFill="1" applyBorder="1" applyAlignment="1">
      <alignment horizontal="left" vertical="center" wrapText="1"/>
    </xf>
    <xf numFmtId="0" fontId="26" fillId="4" borderId="18" xfId="0" applyFont="1" applyFill="1" applyBorder="1" applyAlignment="1">
      <alignment horizontal="left" vertical="center" wrapText="1"/>
    </xf>
    <xf numFmtId="0" fontId="3" fillId="4" borderId="13" xfId="0" applyFont="1" applyFill="1" applyBorder="1" applyAlignment="1">
      <alignment vertical="center" wrapText="1"/>
    </xf>
    <xf numFmtId="0" fontId="3" fillId="4" borderId="31" xfId="0" applyFont="1" applyFill="1" applyBorder="1" applyAlignment="1">
      <alignment vertical="center" wrapText="1"/>
    </xf>
    <xf numFmtId="0" fontId="3" fillId="4" borderId="35" xfId="0" applyFont="1" applyFill="1" applyBorder="1" applyAlignment="1">
      <alignment horizontal="center" vertical="center"/>
    </xf>
    <xf numFmtId="165" fontId="27" fillId="104" borderId="45" xfId="1" applyNumberFormat="1" applyFont="1" applyFill="1" applyBorder="1" applyAlignment="1">
      <alignment vertical="center"/>
    </xf>
    <xf numFmtId="3" fontId="60" fillId="104" borderId="45" xfId="0" applyNumberFormat="1" applyFont="1" applyFill="1" applyBorder="1" applyAlignment="1">
      <alignment vertical="center"/>
    </xf>
    <xf numFmtId="165" fontId="26" fillId="104" borderId="13" xfId="1" applyNumberFormat="1" applyFont="1" applyFill="1" applyBorder="1" applyAlignment="1">
      <alignment vertical="center"/>
    </xf>
    <xf numFmtId="0" fontId="38" fillId="106" borderId="50" xfId="0" applyFont="1" applyFill="1" applyBorder="1" applyAlignment="1">
      <alignment vertical="center"/>
    </xf>
    <xf numFmtId="0" fontId="3" fillId="30" borderId="31" xfId="0" applyFont="1" applyFill="1" applyBorder="1" applyAlignment="1">
      <alignment vertical="center" wrapText="1"/>
    </xf>
    <xf numFmtId="3" fontId="60" fillId="30" borderId="13" xfId="0" applyNumberFormat="1" applyFont="1" applyFill="1" applyBorder="1" applyAlignment="1">
      <alignment vertical="center"/>
    </xf>
    <xf numFmtId="3" fontId="60" fillId="30" borderId="12" xfId="0" applyNumberFormat="1" applyFont="1" applyFill="1" applyBorder="1" applyAlignment="1">
      <alignment vertical="center"/>
    </xf>
    <xf numFmtId="165" fontId="26" fillId="30" borderId="13" xfId="1" applyNumberFormat="1" applyFont="1" applyFill="1" applyBorder="1" applyAlignment="1">
      <alignment vertical="center"/>
    </xf>
    <xf numFmtId="0" fontId="3" fillId="30" borderId="31" xfId="0" applyFont="1" applyFill="1" applyBorder="1" applyAlignment="1">
      <alignment horizontal="center" vertical="center"/>
    </xf>
    <xf numFmtId="0" fontId="3" fillId="30" borderId="53" xfId="0" applyFont="1" applyFill="1" applyBorder="1" applyAlignment="1">
      <alignment vertical="center" wrapText="1"/>
    </xf>
    <xf numFmtId="3" fontId="60" fillId="30" borderId="16" xfId="0" applyNumberFormat="1" applyFont="1" applyFill="1" applyBorder="1" applyAlignment="1">
      <alignment vertical="center"/>
    </xf>
    <xf numFmtId="3" fontId="60" fillId="30" borderId="14" xfId="0" applyNumberFormat="1" applyFont="1" applyFill="1" applyBorder="1" applyAlignment="1">
      <alignment vertical="center"/>
    </xf>
    <xf numFmtId="0" fontId="38" fillId="0" borderId="50" xfId="0" applyFont="1" applyBorder="1" applyAlignment="1">
      <alignment vertical="center"/>
    </xf>
    <xf numFmtId="3" fontId="60" fillId="107" borderId="13" xfId="0" applyNumberFormat="1" applyFont="1" applyFill="1" applyBorder="1" applyAlignment="1">
      <alignment vertical="center" wrapText="1"/>
    </xf>
    <xf numFmtId="3" fontId="60" fillId="107" borderId="16" xfId="0" applyNumberFormat="1" applyFont="1" applyFill="1" applyBorder="1" applyAlignment="1">
      <alignment vertical="center" wrapText="1"/>
    </xf>
    <xf numFmtId="3" fontId="3" fillId="107" borderId="16" xfId="0" applyNumberFormat="1" applyFont="1" applyFill="1" applyBorder="1" applyAlignment="1">
      <alignment vertical="center" wrapText="1"/>
    </xf>
    <xf numFmtId="3" fontId="3" fillId="107" borderId="13" xfId="0" applyNumberFormat="1" applyFont="1" applyFill="1" applyBorder="1" applyAlignment="1">
      <alignment vertical="center" wrapText="1"/>
    </xf>
    <xf numFmtId="3" fontId="60" fillId="30" borderId="16" xfId="0" applyNumberFormat="1" applyFont="1" applyFill="1" applyBorder="1" applyAlignment="1">
      <alignment horizontal="right" vertical="center" wrapText="1"/>
    </xf>
    <xf numFmtId="3" fontId="60" fillId="30" borderId="45" xfId="0" applyNumberFormat="1" applyFont="1" applyFill="1" applyBorder="1" applyAlignment="1">
      <alignment wrapText="1"/>
    </xf>
    <xf numFmtId="0" fontId="3" fillId="30" borderId="16" xfId="0" applyFont="1" applyFill="1" applyBorder="1" applyAlignment="1">
      <alignment horizontal="left" vertical="center" wrapText="1"/>
    </xf>
    <xf numFmtId="3" fontId="60" fillId="30" borderId="112" xfId="0" applyNumberFormat="1" applyFont="1" applyFill="1" applyBorder="1" applyAlignment="1">
      <alignment vertical="center"/>
    </xf>
    <xf numFmtId="0" fontId="3" fillId="30" borderId="13" xfId="0" applyFont="1" applyFill="1" applyBorder="1" applyAlignment="1">
      <alignment horizontal="left" vertical="center" wrapText="1"/>
    </xf>
    <xf numFmtId="3" fontId="60" fillId="30" borderId="103" xfId="0" applyNumberFormat="1" applyFont="1" applyFill="1" applyBorder="1" applyAlignment="1">
      <alignment vertical="center" wrapText="1"/>
    </xf>
    <xf numFmtId="0" fontId="3" fillId="30" borderId="16" xfId="0" applyFont="1" applyFill="1" applyBorder="1" applyAlignment="1">
      <alignment vertical="center" wrapText="1"/>
    </xf>
    <xf numFmtId="3" fontId="60" fillId="30" borderId="21" xfId="0" applyNumberFormat="1" applyFont="1" applyFill="1" applyBorder="1" applyAlignment="1">
      <alignment vertical="center"/>
    </xf>
    <xf numFmtId="0" fontId="3" fillId="30" borderId="13" xfId="0" applyFont="1" applyFill="1" applyBorder="1" applyAlignment="1">
      <alignment vertical="center" wrapText="1"/>
    </xf>
    <xf numFmtId="0" fontId="3" fillId="100" borderId="31" xfId="0" applyFont="1" applyFill="1" applyBorder="1" applyAlignment="1">
      <alignment horizontal="center" vertical="center"/>
    </xf>
    <xf numFmtId="0" fontId="3" fillId="100" borderId="11" xfId="0" applyFont="1" applyFill="1" applyBorder="1" applyAlignment="1">
      <alignment horizontal="center" vertical="center"/>
    </xf>
    <xf numFmtId="0" fontId="3" fillId="100" borderId="12" xfId="0" applyFont="1" applyFill="1" applyBorder="1" applyAlignment="1">
      <alignment horizontal="center" vertical="center"/>
    </xf>
    <xf numFmtId="0" fontId="27" fillId="100" borderId="53" xfId="0" applyFont="1" applyFill="1" applyBorder="1" applyAlignment="1">
      <alignment horizontal="center" vertical="center" wrapText="1"/>
    </xf>
    <xf numFmtId="165" fontId="26" fillId="0" borderId="0" xfId="1" applyNumberFormat="1" applyFont="1" applyFill="1" applyBorder="1" applyAlignment="1">
      <alignment horizontal="right" vertical="center"/>
    </xf>
    <xf numFmtId="0" fontId="27" fillId="0" borderId="4" xfId="0" applyFont="1" applyBorder="1" applyAlignment="1">
      <alignment vertical="center"/>
    </xf>
    <xf numFmtId="0" fontId="2" fillId="4" borderId="35" xfId="0" applyFont="1" applyFill="1" applyBorder="1" applyAlignment="1">
      <alignment horizontal="center" vertical="center"/>
    </xf>
    <xf numFmtId="0" fontId="3" fillId="4" borderId="50" xfId="0" applyFont="1" applyFill="1" applyBorder="1" applyAlignment="1">
      <alignment horizontal="left" vertical="center" wrapText="1"/>
    </xf>
    <xf numFmtId="0" fontId="2" fillId="4" borderId="36" xfId="0" applyFont="1" applyFill="1" applyBorder="1" applyAlignment="1">
      <alignment horizontal="center" vertical="center"/>
    </xf>
    <xf numFmtId="0" fontId="2" fillId="4" borderId="147" xfId="0" applyFont="1" applyFill="1" applyBorder="1" applyAlignment="1">
      <alignment horizontal="left" vertical="center" wrapText="1"/>
    </xf>
    <xf numFmtId="0" fontId="2" fillId="4" borderId="50" xfId="0" applyFont="1" applyFill="1" applyBorder="1" applyAlignment="1">
      <alignment horizontal="left" vertical="center" wrapText="1"/>
    </xf>
    <xf numFmtId="165" fontId="27" fillId="104" borderId="50" xfId="1" applyNumberFormat="1" applyFont="1" applyFill="1" applyBorder="1" applyAlignment="1">
      <alignment vertical="center"/>
    </xf>
    <xf numFmtId="0" fontId="3" fillId="4" borderId="6" xfId="0" applyFont="1" applyFill="1" applyBorder="1" applyAlignment="1">
      <alignment horizontal="left" vertical="center" wrapText="1"/>
    </xf>
    <xf numFmtId="0" fontId="2" fillId="4" borderId="138" xfId="0" applyFont="1" applyFill="1" applyBorder="1" applyAlignment="1">
      <alignment horizontal="left" vertical="center" wrapText="1"/>
    </xf>
    <xf numFmtId="0" fontId="2" fillId="4" borderId="6" xfId="0" applyFont="1" applyFill="1" applyBorder="1" applyAlignment="1">
      <alignment horizontal="left" vertical="center" wrapText="1"/>
    </xf>
    <xf numFmtId="0" fontId="3" fillId="30" borderId="53" xfId="0" applyFont="1" applyFill="1" applyBorder="1" applyAlignment="1">
      <alignment horizontal="left" vertical="center" wrapText="1"/>
    </xf>
    <xf numFmtId="3" fontId="60" fillId="30" borderId="16" xfId="0" applyNumberFormat="1" applyFont="1" applyFill="1" applyBorder="1" applyAlignment="1">
      <alignment vertical="center" wrapText="1"/>
    </xf>
    <xf numFmtId="0" fontId="3" fillId="100" borderId="13" xfId="0" applyFont="1" applyFill="1" applyBorder="1" applyAlignment="1">
      <alignment horizontal="center" vertical="center"/>
    </xf>
    <xf numFmtId="3" fontId="60" fillId="30" borderId="13" xfId="0" applyNumberFormat="1" applyFont="1" applyFill="1" applyBorder="1" applyAlignment="1">
      <alignment vertical="center" wrapText="1"/>
    </xf>
    <xf numFmtId="0" fontId="3" fillId="4" borderId="32" xfId="0" applyFont="1" applyFill="1" applyBorder="1" applyAlignment="1">
      <alignment horizontal="left" vertical="center" wrapText="1"/>
    </xf>
    <xf numFmtId="3" fontId="60" fillId="30" borderId="47" xfId="0" applyNumberFormat="1" applyFont="1" applyFill="1" applyBorder="1" applyAlignment="1">
      <alignment vertical="center" wrapText="1"/>
    </xf>
    <xf numFmtId="0" fontId="3" fillId="30" borderId="31" xfId="0" applyFont="1" applyFill="1" applyBorder="1" applyAlignment="1">
      <alignment horizontal="left" vertical="center" wrapText="1"/>
    </xf>
    <xf numFmtId="165" fontId="27" fillId="104" borderId="128" xfId="1" applyNumberFormat="1" applyFont="1" applyFill="1" applyBorder="1" applyAlignment="1">
      <alignment vertical="center"/>
    </xf>
    <xf numFmtId="165" fontId="26" fillId="30" borderId="16" xfId="1" applyNumberFormat="1" applyFont="1" applyFill="1" applyBorder="1" applyAlignment="1">
      <alignment vertical="center"/>
    </xf>
    <xf numFmtId="3" fontId="60" fillId="30" borderId="124" xfId="0" applyNumberFormat="1" applyFont="1" applyFill="1" applyBorder="1" applyAlignment="1">
      <alignment vertical="center"/>
    </xf>
    <xf numFmtId="3" fontId="60" fillId="30" borderId="123" xfId="0" applyNumberFormat="1" applyFont="1" applyFill="1" applyBorder="1" applyAlignment="1">
      <alignment vertical="center"/>
    </xf>
    <xf numFmtId="3" fontId="60" fillId="30" borderId="122" xfId="0" applyNumberFormat="1" applyFont="1" applyFill="1" applyBorder="1" applyAlignment="1">
      <alignment vertical="center"/>
    </xf>
    <xf numFmtId="3" fontId="3" fillId="30" borderId="13" xfId="0" applyNumberFormat="1" applyFont="1" applyFill="1" applyBorder="1" applyAlignment="1">
      <alignment vertical="center" wrapText="1"/>
    </xf>
    <xf numFmtId="3" fontId="3" fillId="30" borderId="16" xfId="0" applyNumberFormat="1" applyFont="1" applyFill="1" applyBorder="1" applyAlignment="1">
      <alignment vertical="center" wrapText="1"/>
    </xf>
    <xf numFmtId="0" fontId="10" fillId="100" borderId="13" xfId="0" applyFont="1" applyFill="1" applyBorder="1" applyAlignment="1">
      <alignment vertical="center" wrapText="1"/>
    </xf>
    <xf numFmtId="3" fontId="60" fillId="0" borderId="45" xfId="0" applyNumberFormat="1" applyFont="1" applyBorder="1" applyAlignment="1">
      <alignment vertical="center" wrapText="1"/>
    </xf>
    <xf numFmtId="0" fontId="27" fillId="30" borderId="0" xfId="0" applyFont="1" applyFill="1" applyAlignment="1">
      <alignment vertical="center"/>
    </xf>
    <xf numFmtId="0" fontId="54" fillId="96" borderId="35" xfId="0" applyFont="1" applyFill="1" applyBorder="1" applyAlignment="1">
      <alignment vertical="center" wrapText="1"/>
    </xf>
    <xf numFmtId="0" fontId="3" fillId="100" borderId="35" xfId="0" applyFont="1" applyFill="1" applyBorder="1" applyAlignment="1">
      <alignment horizontal="center" vertical="center"/>
    </xf>
    <xf numFmtId="165" fontId="3" fillId="4" borderId="34" xfId="7" applyNumberFormat="1" applyFont="1" applyFill="1" applyBorder="1" applyAlignment="1">
      <alignment vertical="center" wrapText="1"/>
    </xf>
    <xf numFmtId="165" fontId="3" fillId="4" borderId="20" xfId="8" applyNumberFormat="1" applyFont="1" applyFill="1" applyBorder="1" applyAlignment="1">
      <alignment vertical="center" wrapText="1"/>
    </xf>
    <xf numFmtId="165" fontId="2" fillId="104" borderId="32" xfId="1" applyNumberFormat="1" applyFont="1" applyFill="1" applyBorder="1" applyAlignment="1">
      <alignment vertical="center"/>
    </xf>
    <xf numFmtId="165" fontId="3" fillId="104" borderId="141" xfId="0" applyNumberFormat="1" applyFont="1" applyFill="1" applyBorder="1" applyAlignment="1">
      <alignment vertical="center"/>
    </xf>
    <xf numFmtId="0" fontId="54" fillId="96" borderId="13" xfId="0" applyFont="1" applyFill="1" applyBorder="1" applyAlignment="1">
      <alignment vertical="center" wrapText="1"/>
    </xf>
    <xf numFmtId="165" fontId="3" fillId="4" borderId="45" xfId="1" applyNumberFormat="1" applyFont="1" applyFill="1" applyBorder="1" applyAlignment="1">
      <alignment vertical="center" wrapText="1"/>
    </xf>
    <xf numFmtId="165" fontId="3" fillId="4" borderId="21" xfId="1" applyNumberFormat="1" applyFont="1" applyFill="1" applyBorder="1" applyAlignment="1">
      <alignment vertical="center" wrapText="1"/>
    </xf>
    <xf numFmtId="165" fontId="2" fillId="104" borderId="50" xfId="1" applyNumberFormat="1" applyFont="1" applyFill="1" applyBorder="1" applyAlignment="1">
      <alignment vertical="center"/>
    </xf>
    <xf numFmtId="165" fontId="3" fillId="104" borderId="44" xfId="1" applyNumberFormat="1" applyFont="1" applyFill="1" applyBorder="1" applyAlignment="1">
      <alignment horizontal="center" vertical="center"/>
    </xf>
    <xf numFmtId="165" fontId="3" fillId="4" borderId="17" xfId="7" applyNumberFormat="1" applyFont="1" applyFill="1" applyBorder="1" applyAlignment="1">
      <alignment vertical="center" wrapText="1"/>
    </xf>
    <xf numFmtId="165" fontId="26" fillId="104" borderId="18" xfId="1" applyNumberFormat="1" applyFont="1" applyFill="1" applyBorder="1" applyAlignment="1">
      <alignment vertical="center"/>
    </xf>
    <xf numFmtId="3" fontId="2" fillId="104" borderId="45" xfId="0" applyNumberFormat="1" applyFont="1" applyFill="1" applyBorder="1" applyAlignment="1">
      <alignment vertical="center"/>
    </xf>
    <xf numFmtId="0" fontId="3" fillId="104" borderId="45" xfId="0" applyFont="1" applyFill="1" applyBorder="1" applyAlignment="1">
      <alignment vertical="center"/>
    </xf>
    <xf numFmtId="165" fontId="3" fillId="104" borderId="21" xfId="1" applyNumberFormat="1" applyFont="1" applyFill="1" applyBorder="1" applyAlignment="1">
      <alignment horizontal="center" vertical="center"/>
    </xf>
    <xf numFmtId="165" fontId="3" fillId="4" borderId="45" xfId="7" applyNumberFormat="1" applyFont="1" applyFill="1" applyBorder="1" applyAlignment="1">
      <alignment vertical="center" wrapText="1"/>
    </xf>
    <xf numFmtId="165" fontId="3" fillId="4" borderId="21" xfId="8" applyNumberFormat="1" applyFont="1" applyFill="1" applyBorder="1" applyAlignment="1">
      <alignment vertical="center" wrapText="1"/>
    </xf>
    <xf numFmtId="165" fontId="27" fillId="104" borderId="18" xfId="1" applyNumberFormat="1" applyFont="1" applyFill="1" applyBorder="1" applyAlignment="1">
      <alignment horizontal="right" vertical="center"/>
    </xf>
    <xf numFmtId="165" fontId="3" fillId="104" borderId="45" xfId="0" applyNumberFormat="1" applyFont="1" applyFill="1" applyBorder="1" applyAlignment="1">
      <alignment horizontal="right" vertical="center"/>
    </xf>
    <xf numFmtId="165" fontId="3" fillId="104" borderId="21" xfId="1" applyNumberFormat="1" applyFont="1" applyFill="1" applyBorder="1" applyAlignment="1">
      <alignment horizontal="right" vertical="center"/>
    </xf>
    <xf numFmtId="165" fontId="27" fillId="104" borderId="18" xfId="1" applyNumberFormat="1" applyFont="1" applyFill="1" applyBorder="1" applyAlignment="1">
      <alignment vertical="center"/>
    </xf>
    <xf numFmtId="165" fontId="2" fillId="104" borderId="45" xfId="0" applyNumberFormat="1" applyFont="1" applyFill="1" applyBorder="1" applyAlignment="1">
      <alignment vertical="center"/>
    </xf>
    <xf numFmtId="165" fontId="2" fillId="104" borderId="45" xfId="0" applyNumberFormat="1" applyFont="1" applyFill="1" applyBorder="1" applyAlignment="1">
      <alignment vertical="center" wrapText="1"/>
    </xf>
    <xf numFmtId="0" fontId="54" fillId="96" borderId="13" xfId="0" applyFont="1" applyFill="1" applyBorder="1" applyAlignment="1">
      <alignment horizontal="left" vertical="center"/>
    </xf>
    <xf numFmtId="165" fontId="2" fillId="104" borderId="46" xfId="0" applyNumberFormat="1" applyFont="1" applyFill="1" applyBorder="1" applyAlignment="1">
      <alignment vertical="center"/>
    </xf>
    <xf numFmtId="165" fontId="2" fillId="104" borderId="6" xfId="0" applyNumberFormat="1" applyFont="1" applyFill="1" applyBorder="1" applyAlignment="1">
      <alignment vertical="center"/>
    </xf>
    <xf numFmtId="0" fontId="26" fillId="100" borderId="13" xfId="0" applyFont="1" applyFill="1" applyBorder="1" applyAlignment="1">
      <alignment horizontal="center" vertical="center"/>
    </xf>
    <xf numFmtId="165" fontId="3" fillId="4" borderId="20" xfId="7" applyNumberFormat="1" applyFont="1" applyFill="1" applyBorder="1" applyAlignment="1">
      <alignment vertical="center" wrapText="1"/>
    </xf>
    <xf numFmtId="165" fontId="2" fillId="104" borderId="18" xfId="1" applyNumberFormat="1" applyFont="1" applyFill="1" applyBorder="1" applyAlignment="1">
      <alignment vertical="center"/>
    </xf>
    <xf numFmtId="165" fontId="2" fillId="104" borderId="21" xfId="1" applyNumberFormat="1" applyFont="1" applyFill="1" applyBorder="1" applyAlignment="1">
      <alignment vertical="center"/>
    </xf>
    <xf numFmtId="165" fontId="57" fillId="106" borderId="128" xfId="0" applyNumberFormat="1" applyFont="1" applyFill="1" applyBorder="1" applyAlignment="1">
      <alignment vertical="center"/>
    </xf>
    <xf numFmtId="165" fontId="3" fillId="104" borderId="21" xfId="1" applyNumberFormat="1" applyFont="1" applyFill="1" applyBorder="1" applyAlignment="1">
      <alignment vertical="center"/>
    </xf>
    <xf numFmtId="165" fontId="3" fillId="100" borderId="31" xfId="1" applyNumberFormat="1" applyFont="1" applyFill="1" applyBorder="1" applyAlignment="1">
      <alignment horizontal="center" vertical="center"/>
    </xf>
    <xf numFmtId="165" fontId="3" fillId="100" borderId="13" xfId="1" applyNumberFormat="1" applyFont="1" applyFill="1" applyBorder="1" applyAlignment="1">
      <alignment horizontal="center" vertical="center"/>
    </xf>
    <xf numFmtId="165" fontId="155" fillId="4" borderId="34" xfId="7" applyNumberFormat="1" applyFont="1" applyFill="1" applyBorder="1" applyAlignment="1">
      <alignment vertical="center" wrapText="1"/>
    </xf>
    <xf numFmtId="165" fontId="155" fillId="4" borderId="20" xfId="7" applyNumberFormat="1" applyFont="1" applyFill="1" applyBorder="1" applyAlignment="1">
      <alignment vertical="center" wrapText="1"/>
    </xf>
    <xf numFmtId="165" fontId="157" fillId="104" borderId="18" xfId="1" applyNumberFormat="1" applyFont="1" applyFill="1" applyBorder="1" applyAlignment="1">
      <alignment vertical="center"/>
    </xf>
    <xf numFmtId="165" fontId="155" fillId="104" borderId="45" xfId="0" applyNumberFormat="1" applyFont="1" applyFill="1" applyBorder="1" applyAlignment="1">
      <alignment vertical="center"/>
    </xf>
    <xf numFmtId="165" fontId="155" fillId="104" borderId="21" xfId="1" applyNumberFormat="1" applyFont="1" applyFill="1" applyBorder="1" applyAlignment="1">
      <alignment vertical="center"/>
    </xf>
    <xf numFmtId="165" fontId="3" fillId="100" borderId="11" xfId="1" applyNumberFormat="1" applyFont="1" applyFill="1" applyBorder="1" applyAlignment="1">
      <alignment horizontal="center" vertical="center"/>
    </xf>
    <xf numFmtId="165" fontId="57" fillId="104" borderId="45" xfId="0" applyNumberFormat="1" applyFont="1" applyFill="1" applyBorder="1" applyAlignment="1">
      <alignment vertical="center"/>
    </xf>
    <xf numFmtId="165" fontId="159" fillId="104" borderId="18" xfId="1" applyNumberFormat="1" applyFont="1" applyFill="1" applyBorder="1" applyAlignment="1">
      <alignment vertical="center"/>
    </xf>
    <xf numFmtId="165" fontId="159" fillId="104" borderId="45" xfId="0" applyNumberFormat="1" applyFont="1" applyFill="1" applyBorder="1" applyAlignment="1">
      <alignment vertical="center"/>
    </xf>
    <xf numFmtId="165" fontId="160" fillId="104" borderId="21" xfId="1" applyNumberFormat="1" applyFont="1" applyFill="1" applyBorder="1" applyAlignment="1">
      <alignment vertical="center"/>
    </xf>
    <xf numFmtId="165" fontId="3" fillId="100" borderId="53" xfId="1" applyNumberFormat="1" applyFont="1" applyFill="1" applyBorder="1" applyAlignment="1">
      <alignment horizontal="center" vertical="center"/>
    </xf>
    <xf numFmtId="165" fontId="3" fillId="4" borderId="18" xfId="7" applyNumberFormat="1" applyFont="1" applyFill="1" applyBorder="1" applyAlignment="1">
      <alignment vertical="center" wrapText="1"/>
    </xf>
    <xf numFmtId="165" fontId="3" fillId="4" borderId="21" xfId="7" applyNumberFormat="1" applyFont="1" applyFill="1" applyBorder="1" applyAlignment="1">
      <alignment vertical="center" wrapText="1"/>
    </xf>
    <xf numFmtId="165" fontId="2" fillId="104" borderId="18" xfId="1" applyNumberFormat="1" applyFont="1" applyFill="1" applyBorder="1" applyAlignment="1">
      <alignment horizontal="right" vertical="center"/>
    </xf>
    <xf numFmtId="165" fontId="2" fillId="104" borderId="45" xfId="0" applyNumberFormat="1" applyFont="1" applyFill="1" applyBorder="1" applyAlignment="1">
      <alignment horizontal="right"/>
    </xf>
    <xf numFmtId="3" fontId="2" fillId="104" borderId="45" xfId="0" applyNumberFormat="1" applyFont="1" applyFill="1" applyBorder="1"/>
    <xf numFmtId="165" fontId="27" fillId="104" borderId="32" xfId="1" applyNumberFormat="1" applyFont="1" applyFill="1" applyBorder="1" applyAlignment="1">
      <alignment vertical="center"/>
    </xf>
    <xf numFmtId="165" fontId="26" fillId="104" borderId="141" xfId="1" applyNumberFormat="1" applyFont="1" applyFill="1" applyBorder="1" applyAlignment="1">
      <alignment vertical="center"/>
    </xf>
    <xf numFmtId="3" fontId="57" fillId="106" borderId="128" xfId="0" applyNumberFormat="1" applyFont="1" applyFill="1" applyBorder="1"/>
    <xf numFmtId="165" fontId="2" fillId="104" borderId="45" xfId="0" applyNumberFormat="1" applyFont="1" applyFill="1" applyBorder="1" applyAlignment="1">
      <alignment horizontal="right" vertical="center"/>
    </xf>
    <xf numFmtId="165" fontId="57" fillId="104" borderId="36" xfId="0" applyNumberFormat="1" applyFont="1" applyFill="1" applyBorder="1" applyAlignment="1">
      <alignment horizontal="right" vertical="center"/>
    </xf>
    <xf numFmtId="3" fontId="57" fillId="103" borderId="4" xfId="0" applyNumberFormat="1" applyFont="1" applyFill="1" applyBorder="1"/>
    <xf numFmtId="3" fontId="57" fillId="95" borderId="4" xfId="0" applyNumberFormat="1" applyFont="1" applyFill="1" applyBorder="1"/>
    <xf numFmtId="3" fontId="57" fillId="25" borderId="4" xfId="0" applyNumberFormat="1" applyFont="1" applyFill="1" applyBorder="1"/>
    <xf numFmtId="3" fontId="57" fillId="25" borderId="28" xfId="0" applyNumberFormat="1" applyFont="1" applyFill="1" applyBorder="1"/>
    <xf numFmtId="3" fontId="57" fillId="95" borderId="28" xfId="0" applyNumberFormat="1" applyFont="1" applyFill="1" applyBorder="1"/>
    <xf numFmtId="0" fontId="26" fillId="97" borderId="4" xfId="0" applyFont="1" applyFill="1" applyBorder="1" applyAlignment="1">
      <alignment horizontal="center" vertical="center"/>
    </xf>
    <xf numFmtId="0" fontId="26" fillId="97" borderId="4" xfId="0" applyFont="1" applyFill="1" applyBorder="1" applyAlignment="1">
      <alignment horizontal="center" vertical="center" wrapText="1"/>
    </xf>
    <xf numFmtId="3" fontId="57" fillId="7" borderId="4" xfId="0" applyNumberFormat="1" applyFont="1" applyFill="1" applyBorder="1"/>
    <xf numFmtId="0" fontId="26" fillId="97" borderId="5" xfId="0" applyFont="1" applyFill="1" applyBorder="1" applyAlignment="1">
      <alignment horizontal="center" vertical="center"/>
    </xf>
    <xf numFmtId="3" fontId="57" fillId="95" borderId="4" xfId="0" applyNumberFormat="1" applyFont="1" applyFill="1" applyBorder="1" applyAlignment="1">
      <alignment vertical="center"/>
    </xf>
    <xf numFmtId="3" fontId="57" fillId="25" borderId="28" xfId="0" applyNumberFormat="1" applyFont="1" applyFill="1" applyBorder="1" applyAlignment="1">
      <alignment vertical="center"/>
    </xf>
    <xf numFmtId="165" fontId="57" fillId="95" borderId="4" xfId="0" applyNumberFormat="1" applyFont="1" applyFill="1" applyBorder="1" applyAlignment="1">
      <alignment vertical="center"/>
    </xf>
    <xf numFmtId="165" fontId="57" fillId="25" borderId="28" xfId="0" applyNumberFormat="1" applyFont="1" applyFill="1" applyBorder="1" applyAlignment="1">
      <alignment vertical="center"/>
    </xf>
    <xf numFmtId="0" fontId="57" fillId="95" borderId="4" xfId="0" applyFont="1" applyFill="1" applyBorder="1" applyAlignment="1">
      <alignment vertical="center"/>
    </xf>
    <xf numFmtId="0" fontId="57" fillId="25" borderId="28" xfId="0" applyFont="1" applyFill="1" applyBorder="1" applyAlignment="1">
      <alignment vertical="center"/>
    </xf>
    <xf numFmtId="0" fontId="3" fillId="97" borderId="3" xfId="0" applyFont="1" applyFill="1" applyBorder="1" applyAlignment="1">
      <alignment horizontal="center" vertical="center" wrapText="1"/>
    </xf>
    <xf numFmtId="2" fontId="27" fillId="0" borderId="171" xfId="0" applyNumberFormat="1" applyFont="1" applyBorder="1" applyAlignment="1">
      <alignment vertical="center"/>
    </xf>
    <xf numFmtId="2" fontId="27" fillId="0" borderId="4" xfId="0" applyNumberFormat="1" applyFont="1" applyBorder="1" applyAlignment="1">
      <alignment vertical="center"/>
    </xf>
    <xf numFmtId="2" fontId="27" fillId="95" borderId="171" xfId="0" applyNumberFormat="1" applyFont="1" applyFill="1" applyBorder="1" applyAlignment="1">
      <alignment vertical="center"/>
    </xf>
    <xf numFmtId="2" fontId="27" fillId="25" borderId="171" xfId="0" applyNumberFormat="1" applyFont="1" applyFill="1" applyBorder="1" applyAlignment="1">
      <alignment vertical="center"/>
    </xf>
    <xf numFmtId="0" fontId="27" fillId="4" borderId="5" xfId="0" applyFont="1" applyFill="1" applyBorder="1" applyAlignment="1">
      <alignment vertical="center"/>
    </xf>
    <xf numFmtId="0" fontId="26" fillId="0" borderId="184" xfId="0" applyFont="1" applyBorder="1" applyAlignment="1">
      <alignment horizontal="left" vertical="center"/>
    </xf>
    <xf numFmtId="0" fontId="54" fillId="96" borderId="186" xfId="0" applyFont="1" applyFill="1" applyBorder="1" applyAlignment="1">
      <alignment horizontal="center" vertical="center"/>
    </xf>
    <xf numFmtId="0" fontId="54" fillId="96" borderId="181" xfId="0" applyFont="1" applyFill="1" applyBorder="1" applyAlignment="1">
      <alignment horizontal="center" vertical="center"/>
    </xf>
    <xf numFmtId="165" fontId="27" fillId="0" borderId="171" xfId="1" applyNumberFormat="1" applyFont="1" applyFill="1" applyBorder="1" applyAlignment="1">
      <alignment vertical="center"/>
    </xf>
    <xf numFmtId="0" fontId="2" fillId="4" borderId="171" xfId="0" applyFont="1" applyFill="1" applyBorder="1" applyAlignment="1">
      <alignment vertical="center"/>
    </xf>
    <xf numFmtId="0" fontId="54" fillId="96" borderId="177" xfId="0" applyFont="1" applyFill="1" applyBorder="1" applyAlignment="1">
      <alignment horizontal="center" vertical="center"/>
    </xf>
    <xf numFmtId="0" fontId="54" fillId="96" borderId="6" xfId="0" applyFont="1" applyFill="1" applyBorder="1" applyAlignment="1">
      <alignment horizontal="center" vertical="center"/>
    </xf>
    <xf numFmtId="0" fontId="54" fillId="96" borderId="190" xfId="0" applyFont="1" applyFill="1" applyBorder="1" applyAlignment="1">
      <alignment horizontal="center" vertical="center"/>
    </xf>
    <xf numFmtId="165" fontId="57" fillId="95" borderId="171" xfId="0" applyNumberFormat="1" applyFont="1" applyFill="1" applyBorder="1" applyAlignment="1">
      <alignment vertical="center"/>
    </xf>
    <xf numFmtId="165" fontId="27" fillId="0" borderId="4" xfId="1" applyNumberFormat="1" applyFont="1" applyFill="1" applyBorder="1" applyAlignment="1">
      <alignment vertical="center"/>
    </xf>
    <xf numFmtId="0" fontId="26" fillId="7" borderId="28" xfId="0" applyFont="1" applyFill="1" applyBorder="1" applyAlignment="1">
      <alignment horizontal="center" vertical="center"/>
    </xf>
    <xf numFmtId="0" fontId="54" fillId="96" borderId="192" xfId="0" applyFont="1" applyFill="1" applyBorder="1" applyAlignment="1">
      <alignment horizontal="center" vertical="center"/>
    </xf>
    <xf numFmtId="0" fontId="54" fillId="96" borderId="179" xfId="0" applyFont="1" applyFill="1" applyBorder="1" applyAlignment="1">
      <alignment horizontal="center" vertical="center"/>
    </xf>
    <xf numFmtId="0" fontId="54" fillId="96" borderId="189" xfId="0" applyFont="1" applyFill="1" applyBorder="1" applyAlignment="1">
      <alignment horizontal="center" vertical="center"/>
    </xf>
    <xf numFmtId="0" fontId="54" fillId="96" borderId="182" xfId="0" applyFont="1" applyFill="1" applyBorder="1" applyAlignment="1">
      <alignment horizontal="center" vertical="center"/>
    </xf>
    <xf numFmtId="43" fontId="27" fillId="0" borderId="171" xfId="1" applyFont="1" applyFill="1" applyBorder="1" applyAlignment="1">
      <alignment horizontal="center" vertical="center"/>
    </xf>
    <xf numFmtId="43" fontId="27" fillId="0" borderId="171" xfId="0" applyNumberFormat="1" applyFont="1" applyBorder="1" applyAlignment="1">
      <alignment vertical="center"/>
    </xf>
    <xf numFmtId="0" fontId="57" fillId="95" borderId="171" xfId="0" applyFont="1" applyFill="1" applyBorder="1" applyAlignment="1">
      <alignment vertical="center"/>
    </xf>
    <xf numFmtId="0" fontId="57" fillId="25" borderId="171" xfId="0" applyFont="1" applyFill="1" applyBorder="1" applyAlignment="1">
      <alignment vertical="center"/>
    </xf>
    <xf numFmtId="0" fontId="54" fillId="96" borderId="197" xfId="0" applyFont="1" applyFill="1" applyBorder="1" applyAlignment="1">
      <alignment horizontal="center" vertical="center"/>
    </xf>
    <xf numFmtId="0" fontId="54" fillId="96" borderId="198" xfId="0" applyFont="1" applyFill="1" applyBorder="1" applyAlignment="1">
      <alignment horizontal="center" vertical="center"/>
    </xf>
    <xf numFmtId="0" fontId="54" fillId="96" borderId="199" xfId="0" applyFont="1" applyFill="1" applyBorder="1" applyAlignment="1">
      <alignment horizontal="center" vertical="center"/>
    </xf>
    <xf numFmtId="0" fontId="27" fillId="4" borderId="4" xfId="0" applyFont="1" applyFill="1" applyBorder="1" applyAlignment="1">
      <alignment vertical="center" wrapText="1"/>
    </xf>
    <xf numFmtId="0" fontId="2" fillId="4" borderId="171" xfId="0" applyFont="1" applyFill="1" applyBorder="1" applyAlignment="1">
      <alignment vertical="center" wrapText="1"/>
    </xf>
    <xf numFmtId="0" fontId="26" fillId="7" borderId="6" xfId="0" applyFont="1" applyFill="1" applyBorder="1" applyAlignment="1">
      <alignment horizontal="center" vertical="center"/>
    </xf>
    <xf numFmtId="0" fontId="54" fillId="96" borderId="202" xfId="0" applyFont="1" applyFill="1" applyBorder="1" applyAlignment="1">
      <alignment horizontal="center" vertical="center"/>
    </xf>
    <xf numFmtId="0" fontId="54" fillId="96" borderId="203" xfId="0" applyFont="1" applyFill="1" applyBorder="1" applyAlignment="1">
      <alignment horizontal="center" vertical="center"/>
    </xf>
    <xf numFmtId="3" fontId="57" fillId="25" borderId="171" xfId="0" applyNumberFormat="1" applyFont="1" applyFill="1" applyBorder="1" applyAlignment="1">
      <alignment vertical="center"/>
    </xf>
    <xf numFmtId="0" fontId="54" fillId="96" borderId="178" xfId="0" applyFont="1" applyFill="1" applyBorder="1" applyAlignment="1">
      <alignment horizontal="center" vertical="center"/>
    </xf>
    <xf numFmtId="3" fontId="57" fillId="95" borderId="171" xfId="0" applyNumberFormat="1" applyFont="1" applyFill="1" applyBorder="1" applyAlignment="1">
      <alignment vertical="center"/>
    </xf>
    <xf numFmtId="0" fontId="54" fillId="96" borderId="205" xfId="0" applyFont="1" applyFill="1" applyBorder="1" applyAlignment="1">
      <alignment horizontal="center" vertical="center"/>
    </xf>
    <xf numFmtId="0" fontId="27" fillId="4" borderId="5" xfId="0" applyFont="1" applyFill="1" applyBorder="1" applyAlignment="1">
      <alignment horizontal="left" vertical="center" wrapText="1"/>
    </xf>
    <xf numFmtId="0" fontId="54" fillId="96" borderId="176" xfId="0" applyFont="1" applyFill="1" applyBorder="1" applyAlignment="1">
      <alignment horizontal="center" vertical="center"/>
    </xf>
    <xf numFmtId="0" fontId="54" fillId="96" borderId="172" xfId="0" applyFont="1" applyFill="1" applyBorder="1" applyAlignment="1">
      <alignment horizontal="center" vertical="center"/>
    </xf>
    <xf numFmtId="3" fontId="57" fillId="102" borderId="28" xfId="0" applyNumberFormat="1" applyFont="1" applyFill="1" applyBorder="1" applyAlignment="1">
      <alignment vertical="center"/>
    </xf>
    <xf numFmtId="165" fontId="26" fillId="25" borderId="86" xfId="1" applyNumberFormat="1" applyFont="1" applyFill="1" applyBorder="1" applyAlignment="1">
      <alignment horizontal="center" vertical="center"/>
    </xf>
    <xf numFmtId="165" fontId="3" fillId="104" borderId="167" xfId="38" applyNumberFormat="1" applyFont="1" applyFill="1" applyBorder="1" applyAlignment="1">
      <alignment vertical="center"/>
    </xf>
    <xf numFmtId="165" fontId="3" fillId="104" borderId="167" xfId="1" applyNumberFormat="1" applyFont="1" applyFill="1" applyBorder="1" applyAlignment="1">
      <alignment vertical="center"/>
    </xf>
    <xf numFmtId="165" fontId="3" fillId="109" borderId="86" xfId="1" applyNumberFormat="1" applyFont="1" applyFill="1" applyBorder="1" applyAlignment="1">
      <alignment vertical="center"/>
    </xf>
    <xf numFmtId="165" fontId="2" fillId="109" borderId="86" xfId="1" applyNumberFormat="1" applyFont="1" applyFill="1" applyBorder="1" applyAlignment="1">
      <alignment vertical="center"/>
    </xf>
    <xf numFmtId="165" fontId="3" fillId="109" borderId="167" xfId="1" applyNumberFormat="1" applyFont="1" applyFill="1" applyBorder="1" applyAlignment="1">
      <alignment vertical="center"/>
    </xf>
    <xf numFmtId="165" fontId="2" fillId="109" borderId="89" xfId="1" applyNumberFormat="1" applyFont="1" applyFill="1" applyBorder="1" applyAlignment="1">
      <alignment vertical="center"/>
    </xf>
    <xf numFmtId="165" fontId="26" fillId="104" borderId="4" xfId="1" applyNumberFormat="1" applyFont="1" applyFill="1" applyBorder="1" applyAlignment="1">
      <alignment vertical="center"/>
    </xf>
    <xf numFmtId="165" fontId="26" fillId="104" borderId="4" xfId="0" applyNumberFormat="1" applyFont="1" applyFill="1" applyBorder="1" applyAlignment="1">
      <alignment vertical="center"/>
    </xf>
    <xf numFmtId="165" fontId="27" fillId="109" borderId="86" xfId="0" applyNumberFormat="1" applyFont="1" applyFill="1" applyBorder="1" applyAlignment="1">
      <alignment vertical="center"/>
    </xf>
    <xf numFmtId="0" fontId="57" fillId="109" borderId="4" xfId="0" applyFont="1" applyFill="1" applyBorder="1" applyAlignment="1">
      <alignment vertical="center"/>
    </xf>
    <xf numFmtId="165" fontId="26" fillId="104" borderId="28" xfId="1" applyNumberFormat="1" applyFont="1" applyFill="1" applyBorder="1" applyAlignment="1">
      <alignment horizontal="left" vertical="center"/>
    </xf>
    <xf numFmtId="9" fontId="26" fillId="104" borderId="4" xfId="10" applyFont="1" applyFill="1" applyBorder="1" applyAlignment="1">
      <alignment horizontal="center" vertical="center"/>
    </xf>
    <xf numFmtId="165" fontId="22" fillId="0" borderId="0" xfId="1" quotePrefix="1" applyNumberFormat="1" applyFont="1" applyFill="1" applyBorder="1" applyAlignment="1">
      <alignment vertical="center"/>
    </xf>
    <xf numFmtId="165" fontId="26" fillId="95" borderId="4" xfId="0" applyNumberFormat="1" applyFont="1" applyFill="1" applyBorder="1" applyAlignment="1">
      <alignment horizontal="left" vertical="center"/>
    </xf>
    <xf numFmtId="3" fontId="60" fillId="104" borderId="167" xfId="0" applyNumberFormat="1" applyFont="1" applyFill="1" applyBorder="1" applyAlignment="1">
      <alignment vertical="center"/>
    </xf>
    <xf numFmtId="0" fontId="54" fillId="96" borderId="188" xfId="0" applyFont="1" applyFill="1" applyBorder="1" applyAlignment="1">
      <alignment horizontal="center" vertical="center"/>
    </xf>
    <xf numFmtId="0" fontId="54" fillId="96" borderId="207" xfId="0" applyFont="1" applyFill="1" applyBorder="1" applyAlignment="1">
      <alignment horizontal="center" vertical="center"/>
    </xf>
    <xf numFmtId="0" fontId="3" fillId="97" borderId="28" xfId="0" applyFont="1" applyFill="1" applyBorder="1" applyAlignment="1">
      <alignment horizontal="center" vertical="center" wrapText="1"/>
    </xf>
    <xf numFmtId="0" fontId="3" fillId="97" borderId="28" xfId="0" applyFont="1" applyFill="1" applyBorder="1" applyAlignment="1">
      <alignment horizontal="center" vertical="center"/>
    </xf>
    <xf numFmtId="2" fontId="2" fillId="4" borderId="4" xfId="0" applyNumberFormat="1" applyFont="1" applyFill="1" applyBorder="1" applyAlignment="1">
      <alignment vertical="center"/>
    </xf>
    <xf numFmtId="165" fontId="26" fillId="97" borderId="4" xfId="0" applyNumberFormat="1" applyFont="1" applyFill="1" applyBorder="1" applyAlignment="1">
      <alignment horizontal="center" vertical="center" wrapText="1"/>
    </xf>
    <xf numFmtId="165" fontId="3" fillId="97" borderId="3" xfId="0" applyNumberFormat="1" applyFont="1" applyFill="1" applyBorder="1" applyAlignment="1">
      <alignment horizontal="center" vertical="center" wrapText="1"/>
    </xf>
    <xf numFmtId="165" fontId="26" fillId="97" borderId="28" xfId="0" applyNumberFormat="1" applyFont="1" applyFill="1" applyBorder="1" applyAlignment="1">
      <alignment horizontal="center" vertical="center" wrapText="1"/>
    </xf>
    <xf numFmtId="0" fontId="27" fillId="4" borderId="4" xfId="0" applyFont="1" applyFill="1" applyBorder="1" applyAlignment="1">
      <alignment vertical="center"/>
    </xf>
    <xf numFmtId="0" fontId="26" fillId="97" borderId="4" xfId="0" applyFont="1" applyFill="1" applyBorder="1" applyAlignment="1">
      <alignment horizontal="left" vertical="center" wrapText="1"/>
    </xf>
    <xf numFmtId="0" fontId="26" fillId="97" borderId="28" xfId="0" applyFont="1" applyFill="1" applyBorder="1" applyAlignment="1">
      <alignment horizontal="center" vertical="center" wrapText="1"/>
    </xf>
    <xf numFmtId="0" fontId="3" fillId="98" borderId="4" xfId="0" applyFont="1" applyFill="1" applyBorder="1" applyAlignment="1">
      <alignment horizontal="center" vertical="center"/>
    </xf>
    <xf numFmtId="0" fontId="3" fillId="98" borderId="28" xfId="0" applyFont="1" applyFill="1" applyBorder="1" applyAlignment="1">
      <alignment horizontal="center" vertical="center"/>
    </xf>
    <xf numFmtId="0" fontId="2" fillId="4" borderId="4" xfId="0" applyFont="1" applyFill="1" applyBorder="1" applyAlignment="1">
      <alignment vertical="center"/>
    </xf>
    <xf numFmtId="0" fontId="54" fillId="99" borderId="177" xfId="0" applyFont="1" applyFill="1" applyBorder="1" applyAlignment="1">
      <alignment horizontal="center" vertical="center"/>
    </xf>
    <xf numFmtId="0" fontId="54" fillId="96" borderId="177" xfId="0" applyFont="1" applyFill="1" applyBorder="1" applyAlignment="1">
      <alignment horizontal="right" vertical="center"/>
    </xf>
    <xf numFmtId="0" fontId="54" fillId="96" borderId="177" xfId="0" applyFont="1" applyFill="1" applyBorder="1" applyAlignment="1">
      <alignment horizontal="center" vertical="center" wrapText="1"/>
    </xf>
    <xf numFmtId="0" fontId="26" fillId="97" borderId="28" xfId="0" applyFont="1" applyFill="1" applyBorder="1" applyAlignment="1">
      <alignment horizontal="center" vertical="center"/>
    </xf>
    <xf numFmtId="9" fontId="26" fillId="97" borderId="4" xfId="10" applyFont="1" applyFill="1" applyBorder="1" applyAlignment="1">
      <alignment horizontal="center" vertical="center"/>
    </xf>
    <xf numFmtId="0" fontId="26" fillId="97" borderId="6" xfId="0" applyFont="1" applyFill="1" applyBorder="1" applyAlignment="1">
      <alignment horizontal="center" vertical="center"/>
    </xf>
    <xf numFmtId="165" fontId="27" fillId="0" borderId="4" xfId="0" applyNumberFormat="1" applyFont="1" applyBorder="1" applyAlignment="1">
      <alignment vertical="center"/>
    </xf>
    <xf numFmtId="2" fontId="27" fillId="0" borderId="4" xfId="1" applyNumberFormat="1" applyFont="1" applyFill="1" applyBorder="1" applyAlignment="1">
      <alignment horizontal="right" vertical="center"/>
    </xf>
    <xf numFmtId="0" fontId="54" fillId="96" borderId="177" xfId="0" applyFont="1" applyFill="1" applyBorder="1" applyAlignment="1">
      <alignment horizontal="left" vertical="center" wrapText="1"/>
    </xf>
    <xf numFmtId="0" fontId="54" fillId="108" borderId="177" xfId="0" applyFont="1" applyFill="1" applyBorder="1" applyAlignment="1">
      <alignment horizontal="left" vertical="center" wrapText="1"/>
    </xf>
    <xf numFmtId="0" fontId="2" fillId="4" borderId="4" xfId="0" applyFont="1" applyFill="1" applyBorder="1" applyAlignment="1">
      <alignment horizontal="left" vertical="center"/>
    </xf>
    <xf numFmtId="0" fontId="2" fillId="0" borderId="4" xfId="0" applyFont="1" applyBorder="1" applyAlignment="1">
      <alignment horizontal="left" vertical="center"/>
    </xf>
    <xf numFmtId="0" fontId="3" fillId="100" borderId="4" xfId="0" applyFont="1" applyFill="1" applyBorder="1" applyAlignment="1">
      <alignment horizontal="center" vertical="center"/>
    </xf>
    <xf numFmtId="0" fontId="2" fillId="25" borderId="4" xfId="0" applyFont="1" applyFill="1" applyBorder="1" applyAlignment="1">
      <alignment horizontal="left" vertical="center"/>
    </xf>
    <xf numFmtId="0" fontId="2" fillId="4" borderId="4" xfId="25" applyFont="1" applyFill="1" applyBorder="1" applyAlignment="1">
      <alignment horizontal="left" vertical="center"/>
    </xf>
    <xf numFmtId="0" fontId="2" fillId="4" borderId="4" xfId="9" applyFont="1" applyFill="1" applyBorder="1" applyAlignment="1" applyProtection="1">
      <alignment horizontal="left" vertical="center"/>
    </xf>
    <xf numFmtId="165" fontId="22" fillId="0" borderId="4" xfId="1" applyNumberFormat="1" applyFont="1" applyFill="1" applyBorder="1" applyAlignment="1">
      <alignment vertical="center"/>
    </xf>
    <xf numFmtId="1" fontId="54" fillId="96" borderId="177" xfId="0" applyNumberFormat="1" applyFont="1" applyFill="1" applyBorder="1" applyAlignment="1">
      <alignment horizontal="center" vertical="center"/>
    </xf>
    <xf numFmtId="1" fontId="54" fillId="96" borderId="207" xfId="0" applyNumberFormat="1" applyFont="1" applyFill="1" applyBorder="1" applyAlignment="1">
      <alignment horizontal="center" vertical="center"/>
    </xf>
    <xf numFmtId="1" fontId="54" fillId="96" borderId="199" xfId="0" applyNumberFormat="1" applyFont="1" applyFill="1" applyBorder="1" applyAlignment="1">
      <alignment horizontal="center" vertical="center"/>
    </xf>
    <xf numFmtId="165" fontId="35" fillId="95" borderId="4" xfId="1" applyNumberFormat="1" applyFont="1" applyFill="1" applyBorder="1" applyAlignment="1">
      <alignment vertical="center"/>
    </xf>
    <xf numFmtId="165" fontId="35" fillId="25" borderId="4" xfId="1" applyNumberFormat="1" applyFont="1" applyFill="1" applyBorder="1" applyAlignment="1">
      <alignment vertical="center"/>
    </xf>
    <xf numFmtId="165" fontId="2" fillId="0" borderId="4" xfId="1" applyNumberFormat="1" applyFont="1" applyBorder="1" applyAlignment="1">
      <alignment vertical="center"/>
    </xf>
    <xf numFmtId="165" fontId="2" fillId="25" borderId="4" xfId="1" applyNumberFormat="1" applyFont="1" applyFill="1" applyBorder="1" applyAlignment="1">
      <alignment vertical="center"/>
    </xf>
    <xf numFmtId="165" fontId="2" fillId="95" borderId="4" xfId="1" applyNumberFormat="1" applyFont="1" applyFill="1" applyBorder="1" applyAlignment="1">
      <alignment vertical="center"/>
    </xf>
    <xf numFmtId="165" fontId="2" fillId="4" borderId="4" xfId="1" applyNumberFormat="1" applyFont="1" applyFill="1" applyBorder="1" applyAlignment="1">
      <alignment vertical="center"/>
    </xf>
    <xf numFmtId="0" fontId="27" fillId="0" borderId="179" xfId="0" applyFont="1" applyBorder="1" applyAlignment="1">
      <alignment vertical="center" wrapText="1"/>
    </xf>
    <xf numFmtId="165" fontId="2" fillId="0" borderId="4" xfId="1" quotePrefix="1" applyNumberFormat="1" applyFont="1" applyFill="1" applyBorder="1" applyAlignment="1">
      <alignment vertical="center"/>
    </xf>
    <xf numFmtId="0" fontId="54" fillId="96" borderId="178" xfId="1" applyNumberFormat="1" applyFont="1" applyFill="1" applyBorder="1" applyAlignment="1">
      <alignment horizontal="left" vertical="center"/>
    </xf>
    <xf numFmtId="0" fontId="54" fillId="96" borderId="179" xfId="1" applyNumberFormat="1" applyFont="1" applyFill="1" applyBorder="1" applyAlignment="1">
      <alignment horizontal="left" vertical="center"/>
    </xf>
    <xf numFmtId="0" fontId="54" fillId="96" borderId="204" xfId="1" applyNumberFormat="1" applyFont="1" applyFill="1" applyBorder="1" applyAlignment="1">
      <alignment horizontal="left" vertical="center"/>
    </xf>
    <xf numFmtId="0" fontId="54" fillId="96" borderId="191" xfId="1" applyNumberFormat="1" applyFont="1" applyFill="1" applyBorder="1" applyAlignment="1">
      <alignment horizontal="left" vertical="center"/>
    </xf>
    <xf numFmtId="165" fontId="3" fillId="104" borderId="27" xfId="1" applyNumberFormat="1" applyFont="1" applyFill="1" applyBorder="1" applyAlignment="1">
      <alignment vertical="center"/>
    </xf>
    <xf numFmtId="0" fontId="2" fillId="0" borderId="4" xfId="0" applyFont="1" applyBorder="1" applyAlignment="1">
      <alignment vertical="center"/>
    </xf>
    <xf numFmtId="165" fontId="54" fillId="108" borderId="178" xfId="1" applyNumberFormat="1" applyFont="1" applyFill="1" applyBorder="1" applyAlignment="1">
      <alignment horizontal="left" vertical="center"/>
    </xf>
    <xf numFmtId="165" fontId="54" fillId="108" borderId="179" xfId="1" applyNumberFormat="1" applyFont="1" applyFill="1" applyBorder="1" applyAlignment="1">
      <alignment horizontal="left" vertical="center"/>
    </xf>
    <xf numFmtId="165" fontId="2" fillId="4" borderId="4" xfId="1" quotePrefix="1" applyNumberFormat="1" applyFont="1" applyFill="1" applyBorder="1" applyAlignment="1">
      <alignment vertical="center"/>
    </xf>
    <xf numFmtId="165" fontId="8" fillId="0" borderId="184" xfId="1" applyNumberFormat="1" applyFont="1" applyFill="1" applyBorder="1" applyAlignment="1">
      <alignment vertical="center"/>
    </xf>
    <xf numFmtId="165" fontId="26" fillId="0" borderId="184" xfId="1" applyNumberFormat="1" applyFont="1" applyFill="1" applyBorder="1" applyAlignment="1">
      <alignment horizontal="right" vertical="center"/>
    </xf>
    <xf numFmtId="0" fontId="0" fillId="0" borderId="184" xfId="0" applyBorder="1" applyAlignment="1">
      <alignment vertical="center"/>
    </xf>
    <xf numFmtId="0" fontId="54" fillId="108" borderId="177" xfId="1" applyNumberFormat="1" applyFont="1" applyFill="1" applyBorder="1" applyAlignment="1">
      <alignment horizontal="center" vertical="center"/>
    </xf>
    <xf numFmtId="165" fontId="3" fillId="0" borderId="184" xfId="1" applyNumberFormat="1" applyFont="1" applyFill="1" applyBorder="1" applyAlignment="1">
      <alignment vertical="center"/>
    </xf>
    <xf numFmtId="165" fontId="3" fillId="0" borderId="208" xfId="1" applyNumberFormat="1" applyFont="1" applyFill="1" applyBorder="1" applyAlignment="1">
      <alignment vertical="center"/>
    </xf>
    <xf numFmtId="165" fontId="2" fillId="0" borderId="208" xfId="1" applyNumberFormat="1" applyFont="1" applyFill="1" applyBorder="1" applyAlignment="1">
      <alignment vertical="center"/>
    </xf>
    <xf numFmtId="0" fontId="54" fillId="108" borderId="199" xfId="1" applyNumberFormat="1" applyFont="1" applyFill="1" applyBorder="1" applyAlignment="1">
      <alignment horizontal="center" vertical="center"/>
    </xf>
    <xf numFmtId="165" fontId="2" fillId="0" borderId="28" xfId="1" applyNumberFormat="1" applyFont="1" applyFill="1" applyBorder="1" applyAlignment="1">
      <alignment horizontal="center" vertical="center"/>
    </xf>
    <xf numFmtId="165" fontId="2" fillId="25" borderId="28" xfId="1" applyNumberFormat="1" applyFont="1" applyFill="1" applyBorder="1" applyAlignment="1">
      <alignment horizontal="center" vertical="center"/>
    </xf>
    <xf numFmtId="165" fontId="2" fillId="95" borderId="28" xfId="1" applyNumberFormat="1" applyFont="1" applyFill="1" applyBorder="1" applyAlignment="1">
      <alignment horizontal="center" vertical="center"/>
    </xf>
    <xf numFmtId="0" fontId="54" fillId="96" borderId="177" xfId="1" applyNumberFormat="1" applyFont="1" applyFill="1" applyBorder="1" applyAlignment="1">
      <alignment horizontal="center" vertical="center"/>
    </xf>
    <xf numFmtId="0" fontId="54" fillId="96" borderId="207" xfId="1" applyNumberFormat="1" applyFont="1" applyFill="1" applyBorder="1" applyAlignment="1">
      <alignment horizontal="center" vertical="center"/>
    </xf>
    <xf numFmtId="165" fontId="2" fillId="26" borderId="28" xfId="1" applyNumberFormat="1" applyFont="1" applyFill="1" applyBorder="1" applyAlignment="1">
      <alignment horizontal="center" vertical="center"/>
    </xf>
    <xf numFmtId="0" fontId="54" fillId="96" borderId="188" xfId="1" applyNumberFormat="1" applyFont="1" applyFill="1" applyBorder="1" applyAlignment="1">
      <alignment horizontal="center" vertical="center"/>
    </xf>
    <xf numFmtId="0" fontId="54" fillId="96" borderId="199" xfId="1" applyNumberFormat="1" applyFont="1" applyFill="1" applyBorder="1" applyAlignment="1">
      <alignment horizontal="center" vertical="center"/>
    </xf>
    <xf numFmtId="165" fontId="2" fillId="0" borderId="177" xfId="1" applyNumberFormat="1" applyFont="1" applyFill="1" applyBorder="1" applyAlignment="1">
      <alignment horizontal="center" vertical="center"/>
    </xf>
    <xf numFmtId="165" fontId="2" fillId="26" borderId="4" xfId="1" applyNumberFormat="1" applyFont="1" applyFill="1" applyBorder="1" applyAlignment="1">
      <alignment vertical="center"/>
    </xf>
    <xf numFmtId="165" fontId="54" fillId="108" borderId="204" xfId="1" applyNumberFormat="1" applyFont="1" applyFill="1" applyBorder="1" applyAlignment="1">
      <alignment horizontal="left" vertical="center"/>
    </xf>
    <xf numFmtId="165" fontId="54" fillId="108" borderId="191" xfId="1" applyNumberFormat="1" applyFont="1" applyFill="1" applyBorder="1" applyAlignment="1">
      <alignment horizontal="left" vertical="center"/>
    </xf>
    <xf numFmtId="165" fontId="2" fillId="0" borderId="4" xfId="0" applyNumberFormat="1" applyFont="1" applyBorder="1" applyAlignment="1">
      <alignment vertical="center"/>
    </xf>
    <xf numFmtId="0" fontId="3" fillId="23" borderId="138" xfId="0" applyFont="1" applyFill="1" applyBorder="1" applyAlignment="1">
      <alignment horizontal="center" vertical="center" wrapText="1"/>
    </xf>
    <xf numFmtId="0" fontId="3" fillId="4" borderId="138"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23" borderId="86" xfId="0" applyFont="1" applyFill="1" applyBorder="1" applyAlignment="1">
      <alignment horizontal="center" vertical="center" wrapText="1"/>
    </xf>
    <xf numFmtId="0" fontId="6" fillId="0" borderId="0" xfId="0" applyFont="1" applyAlignment="1">
      <alignment vertical="center" wrapText="1"/>
    </xf>
    <xf numFmtId="165" fontId="37" fillId="0" borderId="0" xfId="1" applyNumberFormat="1" applyFont="1" applyFill="1" applyBorder="1"/>
    <xf numFmtId="165" fontId="27" fillId="7" borderId="171" xfId="1" applyNumberFormat="1" applyFont="1" applyFill="1" applyBorder="1" applyAlignment="1">
      <alignment vertical="center"/>
    </xf>
    <xf numFmtId="165" fontId="27" fillId="7" borderId="4" xfId="1" applyNumberFormat="1" applyFont="1" applyFill="1" applyBorder="1" applyAlignment="1">
      <alignment vertical="center"/>
    </xf>
    <xf numFmtId="0" fontId="3" fillId="100" borderId="74" xfId="0" applyFont="1" applyFill="1" applyBorder="1" applyAlignment="1">
      <alignment horizontal="center" wrapText="1"/>
    </xf>
    <xf numFmtId="0" fontId="26" fillId="100" borderId="74" xfId="0" applyFont="1" applyFill="1" applyBorder="1" applyAlignment="1">
      <alignment horizontal="center" wrapText="1"/>
    </xf>
    <xf numFmtId="165" fontId="3" fillId="30" borderId="74" xfId="2" applyNumberFormat="1" applyFont="1" applyFill="1" applyBorder="1" applyAlignment="1">
      <alignment vertical="center"/>
    </xf>
    <xf numFmtId="0" fontId="9" fillId="0" borderId="74" xfId="25" applyBorder="1"/>
    <xf numFmtId="0" fontId="2" fillId="0" borderId="74" xfId="25" applyFont="1" applyBorder="1"/>
    <xf numFmtId="0" fontId="60" fillId="0" borderId="0" xfId="0" applyFont="1" applyAlignment="1">
      <alignment vertical="center"/>
    </xf>
    <xf numFmtId="0" fontId="60" fillId="0" borderId="0" xfId="0" applyFont="1" applyAlignment="1">
      <alignment horizontal="left" vertical="center"/>
    </xf>
    <xf numFmtId="3" fontId="60" fillId="30" borderId="74" xfId="0" applyNumberFormat="1" applyFont="1" applyFill="1" applyBorder="1" applyAlignment="1">
      <alignment vertical="center"/>
    </xf>
    <xf numFmtId="0" fontId="26" fillId="0" borderId="74" xfId="25" applyFont="1" applyBorder="1" applyAlignment="1">
      <alignment horizontal="right" vertical="center"/>
    </xf>
    <xf numFmtId="165" fontId="26" fillId="0" borderId="74" xfId="1" applyNumberFormat="1" applyFont="1" applyFill="1" applyBorder="1" applyAlignment="1">
      <alignment horizontal="right" vertical="center"/>
    </xf>
    <xf numFmtId="165" fontId="26" fillId="0" borderId="74" xfId="1" applyNumberFormat="1" applyFont="1" applyFill="1" applyBorder="1" applyAlignment="1">
      <alignment vertical="center"/>
    </xf>
    <xf numFmtId="165" fontId="3" fillId="100" borderId="74" xfId="1" applyNumberFormat="1" applyFont="1" applyFill="1" applyBorder="1" applyAlignment="1">
      <alignment horizontal="center" vertical="center"/>
    </xf>
    <xf numFmtId="165" fontId="3" fillId="0" borderId="74" xfId="1" applyNumberFormat="1" applyFont="1" applyFill="1" applyBorder="1" applyAlignment="1">
      <alignment horizontal="left" vertical="center"/>
    </xf>
    <xf numFmtId="165" fontId="2" fillId="109" borderId="209" xfId="38" applyNumberFormat="1" applyFont="1" applyFill="1" applyBorder="1" applyAlignment="1">
      <alignment vertical="center"/>
    </xf>
    <xf numFmtId="165" fontId="2" fillId="0" borderId="209" xfId="1" applyNumberFormat="1" applyFont="1" applyFill="1" applyBorder="1" applyAlignment="1">
      <alignment vertical="center"/>
    </xf>
    <xf numFmtId="43" fontId="2" fillId="0" borderId="209" xfId="1" applyFont="1" applyFill="1" applyBorder="1" applyAlignment="1">
      <alignment vertical="center"/>
    </xf>
    <xf numFmtId="43" fontId="2" fillId="109" borderId="209" xfId="1" applyFont="1" applyFill="1" applyBorder="1" applyAlignment="1">
      <alignment vertical="center"/>
    </xf>
    <xf numFmtId="0" fontId="27" fillId="4" borderId="209" xfId="0" applyFont="1" applyFill="1" applyBorder="1" applyAlignment="1">
      <alignment vertical="center" wrapText="1"/>
    </xf>
    <xf numFmtId="3" fontId="2" fillId="91" borderId="209" xfId="0" applyNumberFormat="1" applyFont="1" applyFill="1" applyBorder="1" applyAlignment="1">
      <alignment vertical="center"/>
    </xf>
    <xf numFmtId="0" fontId="2" fillId="92" borderId="209" xfId="0" applyFont="1" applyFill="1" applyBorder="1"/>
    <xf numFmtId="2" fontId="2" fillId="4" borderId="209" xfId="0" applyNumberFormat="1" applyFont="1" applyFill="1" applyBorder="1" applyAlignment="1">
      <alignment vertical="center"/>
    </xf>
    <xf numFmtId="165" fontId="2" fillId="0" borderId="209" xfId="1" applyNumberFormat="1" applyFont="1" applyBorder="1" applyAlignment="1">
      <alignment vertical="center"/>
    </xf>
    <xf numFmtId="165" fontId="2" fillId="109" borderId="209" xfId="1" applyNumberFormat="1" applyFont="1" applyFill="1" applyBorder="1" applyAlignment="1">
      <alignment vertical="center"/>
    </xf>
    <xf numFmtId="0" fontId="7" fillId="92" borderId="209" xfId="0" applyFont="1" applyFill="1" applyBorder="1"/>
    <xf numFmtId="165" fontId="2" fillId="21" borderId="209" xfId="1" applyNumberFormat="1" applyFont="1" applyFill="1" applyBorder="1" applyAlignment="1">
      <alignment vertical="center"/>
    </xf>
    <xf numFmtId="3" fontId="2" fillId="92" borderId="210" xfId="0" applyNumberFormat="1" applyFont="1" applyFill="1" applyBorder="1" applyAlignment="1">
      <alignment vertical="center"/>
    </xf>
    <xf numFmtId="165" fontId="2" fillId="92" borderId="209" xfId="1" applyNumberFormat="1" applyFont="1" applyFill="1" applyBorder="1" applyAlignment="1">
      <alignment vertical="center"/>
    </xf>
    <xf numFmtId="0" fontId="3" fillId="104" borderId="209" xfId="0" applyFont="1" applyFill="1" applyBorder="1" applyAlignment="1">
      <alignment vertical="center"/>
    </xf>
    <xf numFmtId="165" fontId="3" fillId="104" borderId="209" xfId="0" applyNumberFormat="1" applyFont="1" applyFill="1" applyBorder="1" applyAlignment="1">
      <alignment vertical="center"/>
    </xf>
    <xf numFmtId="165" fontId="3" fillId="104" borderId="209" xfId="1" applyNumberFormat="1" applyFont="1" applyFill="1" applyBorder="1" applyAlignment="1">
      <alignment vertical="center"/>
    </xf>
    <xf numFmtId="0" fontId="24" fillId="0" borderId="209" xfId="0" applyFont="1" applyBorder="1" applyAlignment="1">
      <alignment horizontal="center" vertical="center" wrapText="1"/>
    </xf>
    <xf numFmtId="0" fontId="0" fillId="0" borderId="209" xfId="0" applyBorder="1" applyAlignment="1">
      <alignment horizontal="center" vertical="center" wrapText="1"/>
    </xf>
    <xf numFmtId="2" fontId="2" fillId="0" borderId="209" xfId="0" applyNumberFormat="1" applyFont="1" applyBorder="1" applyAlignment="1">
      <alignment vertical="center"/>
    </xf>
    <xf numFmtId="165" fontId="0" fillId="23" borderId="209" xfId="1" applyNumberFormat="1" applyFont="1" applyFill="1" applyBorder="1" applyAlignment="1">
      <alignment vertical="center"/>
    </xf>
    <xf numFmtId="43" fontId="0" fillId="0" borderId="209" xfId="0" applyNumberFormat="1" applyBorder="1" applyAlignment="1">
      <alignment vertical="center"/>
    </xf>
    <xf numFmtId="165" fontId="0" fillId="25" borderId="209" xfId="1" applyNumberFormat="1" applyFont="1" applyFill="1" applyBorder="1" applyAlignment="1">
      <alignment vertical="center"/>
    </xf>
    <xf numFmtId="0" fontId="29" fillId="0" borderId="209" xfId="0" applyFont="1" applyBorder="1" applyAlignment="1">
      <alignment vertical="center" wrapText="1"/>
    </xf>
    <xf numFmtId="165" fontId="0" fillId="9" borderId="209" xfId="1" applyNumberFormat="1" applyFont="1" applyFill="1" applyBorder="1" applyAlignment="1">
      <alignment vertical="center"/>
    </xf>
    <xf numFmtId="165" fontId="25" fillId="20" borderId="209" xfId="1" applyNumberFormat="1" applyFont="1" applyFill="1" applyBorder="1" applyAlignment="1">
      <alignment vertical="center"/>
    </xf>
    <xf numFmtId="165" fontId="0" fillId="20" borderId="209" xfId="1" applyNumberFormat="1" applyFont="1" applyFill="1" applyBorder="1" applyAlignment="1">
      <alignment vertical="center"/>
    </xf>
    <xf numFmtId="165" fontId="0" fillId="0" borderId="209" xfId="1" applyNumberFormat="1" applyFont="1" applyBorder="1" applyAlignment="1">
      <alignment vertical="center"/>
    </xf>
    <xf numFmtId="165" fontId="0" fillId="26" borderId="209" xfId="1" applyNumberFormat="1" applyFont="1" applyFill="1" applyBorder="1" applyAlignment="1">
      <alignment vertical="center"/>
    </xf>
    <xf numFmtId="0" fontId="24" fillId="0" borderId="209" xfId="0" applyFont="1" applyBorder="1" applyAlignment="1">
      <alignment vertical="center"/>
    </xf>
    <xf numFmtId="165" fontId="24" fillId="0" borderId="209" xfId="0" applyNumberFormat="1" applyFont="1" applyBorder="1" applyAlignment="1">
      <alignment vertical="center"/>
    </xf>
    <xf numFmtId="165" fontId="24" fillId="0" borderId="209" xfId="1" applyNumberFormat="1" applyFont="1" applyBorder="1" applyAlignment="1">
      <alignment vertical="center"/>
    </xf>
    <xf numFmtId="43" fontId="24" fillId="0" borderId="209" xfId="0" applyNumberFormat="1" applyFont="1" applyBorder="1" applyAlignment="1">
      <alignment vertical="center"/>
    </xf>
    <xf numFmtId="0" fontId="3" fillId="97" borderId="209" xfId="0" applyFont="1" applyFill="1" applyBorder="1" applyAlignment="1">
      <alignment horizontal="center" vertical="center"/>
    </xf>
    <xf numFmtId="165" fontId="27" fillId="0" borderId="209" xfId="1" applyNumberFormat="1" applyFont="1" applyBorder="1" applyAlignment="1">
      <alignment vertical="center"/>
    </xf>
    <xf numFmtId="2" fontId="27" fillId="0" borderId="209" xfId="0" applyNumberFormat="1" applyFont="1" applyBorder="1" applyAlignment="1">
      <alignment vertical="center"/>
    </xf>
    <xf numFmtId="165" fontId="2" fillId="0" borderId="209" xfId="0" applyNumberFormat="1" applyFont="1" applyBorder="1" applyAlignment="1">
      <alignment vertical="center"/>
    </xf>
    <xf numFmtId="2" fontId="27" fillId="0" borderId="209" xfId="1" applyNumberFormat="1" applyFont="1" applyFill="1" applyBorder="1" applyAlignment="1">
      <alignment vertical="center"/>
    </xf>
    <xf numFmtId="165" fontId="2" fillId="95" borderId="209" xfId="0" applyNumberFormat="1" applyFont="1" applyFill="1" applyBorder="1" applyAlignment="1">
      <alignment vertical="center"/>
    </xf>
    <xf numFmtId="2" fontId="27" fillId="95" borderId="209" xfId="1" applyNumberFormat="1" applyFont="1" applyFill="1" applyBorder="1" applyAlignment="1">
      <alignment vertical="center"/>
    </xf>
    <xf numFmtId="165" fontId="2" fillId="25" borderId="209" xfId="1" applyNumberFormat="1" applyFont="1" applyFill="1" applyBorder="1" applyAlignment="1">
      <alignment vertical="center"/>
    </xf>
    <xf numFmtId="43" fontId="2" fillId="25" borderId="209" xfId="1" applyFont="1" applyFill="1" applyBorder="1" applyAlignment="1">
      <alignment vertical="center"/>
    </xf>
    <xf numFmtId="165" fontId="27" fillId="0" borderId="209" xfId="1" applyNumberFormat="1" applyFont="1" applyFill="1" applyBorder="1" applyAlignment="1">
      <alignment vertical="center"/>
    </xf>
    <xf numFmtId="2" fontId="3" fillId="104" borderId="209" xfId="0" applyNumberFormat="1" applyFont="1" applyFill="1" applyBorder="1" applyAlignment="1">
      <alignment vertical="center"/>
    </xf>
    <xf numFmtId="165" fontId="26" fillId="104" borderId="209" xfId="1" applyNumberFormat="1" applyFont="1" applyFill="1" applyBorder="1" applyAlignment="1">
      <alignment vertical="center"/>
    </xf>
    <xf numFmtId="0" fontId="3" fillId="104" borderId="209" xfId="1" applyNumberFormat="1" applyFont="1" applyFill="1" applyBorder="1" applyAlignment="1">
      <alignment vertical="center"/>
    </xf>
    <xf numFmtId="0" fontId="26" fillId="97" borderId="209" xfId="0" applyFont="1" applyFill="1" applyBorder="1" applyAlignment="1">
      <alignment horizontal="center" vertical="center"/>
    </xf>
    <xf numFmtId="0" fontId="26" fillId="97" borderId="209" xfId="0" applyFont="1" applyFill="1" applyBorder="1" applyAlignment="1">
      <alignment horizontal="center" vertical="center" wrapText="1"/>
    </xf>
    <xf numFmtId="165" fontId="26" fillId="97" borderId="209" xfId="1" applyNumberFormat="1" applyFont="1" applyFill="1" applyBorder="1" applyAlignment="1">
      <alignment horizontal="center" vertical="center"/>
    </xf>
    <xf numFmtId="0" fontId="26" fillId="97" borderId="209" xfId="0" applyFont="1" applyFill="1" applyBorder="1" applyAlignment="1">
      <alignment vertical="center"/>
    </xf>
    <xf numFmtId="2" fontId="27" fillId="4" borderId="209" xfId="0" applyNumberFormat="1" applyFont="1" applyFill="1" applyBorder="1" applyAlignment="1">
      <alignment vertical="center"/>
    </xf>
    <xf numFmtId="165" fontId="2" fillId="0" borderId="209" xfId="38" applyNumberFormat="1" applyFont="1" applyFill="1" applyBorder="1" applyAlignment="1">
      <alignment vertical="center"/>
    </xf>
    <xf numFmtId="43" fontId="27" fillId="0" borderId="209" xfId="1" applyFont="1" applyFill="1" applyBorder="1" applyAlignment="1">
      <alignment vertical="center"/>
    </xf>
    <xf numFmtId="165" fontId="27" fillId="95" borderId="209" xfId="0" applyNumberFormat="1" applyFont="1" applyFill="1" applyBorder="1" applyAlignment="1">
      <alignment vertical="center"/>
    </xf>
    <xf numFmtId="43" fontId="27" fillId="95" borderId="209" xfId="0" applyNumberFormat="1" applyFont="1" applyFill="1" applyBorder="1" applyAlignment="1">
      <alignment vertical="center"/>
    </xf>
    <xf numFmtId="3" fontId="57" fillId="25" borderId="210" xfId="0" applyNumberFormat="1" applyFont="1" applyFill="1" applyBorder="1" applyAlignment="1">
      <alignment vertical="center"/>
    </xf>
    <xf numFmtId="0" fontId="57" fillId="25" borderId="209" xfId="0" applyFont="1" applyFill="1" applyBorder="1" applyAlignment="1">
      <alignment vertical="center"/>
    </xf>
    <xf numFmtId="43" fontId="27" fillId="0" borderId="209" xfId="0" applyNumberFormat="1" applyFont="1" applyBorder="1" applyAlignment="1">
      <alignment vertical="center"/>
    </xf>
    <xf numFmtId="43" fontId="27" fillId="0" borderId="209" xfId="10" applyNumberFormat="1" applyFont="1" applyFill="1" applyBorder="1" applyAlignment="1">
      <alignment vertical="center"/>
    </xf>
    <xf numFmtId="3" fontId="57" fillId="95" borderId="210" xfId="0" applyNumberFormat="1" applyFont="1" applyFill="1" applyBorder="1" applyAlignment="1">
      <alignment horizontal="right" vertical="center"/>
    </xf>
    <xf numFmtId="0" fontId="57" fillId="95" borderId="209" xfId="0" applyFont="1" applyFill="1" applyBorder="1" applyAlignment="1">
      <alignment horizontal="right" vertical="center"/>
    </xf>
    <xf numFmtId="3" fontId="57" fillId="95" borderId="210" xfId="0" applyNumberFormat="1" applyFont="1" applyFill="1" applyBorder="1" applyAlignment="1">
      <alignment vertical="center"/>
    </xf>
    <xf numFmtId="0" fontId="57" fillId="95" borderId="209" xfId="0" applyFont="1" applyFill="1" applyBorder="1" applyAlignment="1">
      <alignment vertical="center"/>
    </xf>
    <xf numFmtId="3" fontId="2" fillId="25" borderId="210" xfId="0" applyNumberFormat="1" applyFont="1" applyFill="1" applyBorder="1" applyAlignment="1">
      <alignment vertical="center"/>
    </xf>
    <xf numFmtId="165" fontId="27" fillId="109" borderId="209" xfId="1" applyNumberFormat="1" applyFont="1" applyFill="1" applyBorder="1" applyAlignment="1">
      <alignment vertical="center"/>
    </xf>
    <xf numFmtId="43" fontId="27" fillId="109" borderId="209" xfId="0" applyNumberFormat="1" applyFont="1" applyFill="1" applyBorder="1" applyAlignment="1">
      <alignment vertical="center"/>
    </xf>
    <xf numFmtId="165" fontId="2" fillId="0" borderId="211" xfId="38" applyNumberFormat="1" applyFont="1" applyFill="1" applyBorder="1" applyAlignment="1">
      <alignment vertical="center"/>
    </xf>
    <xf numFmtId="165" fontId="27" fillId="0" borderId="211" xfId="1" applyNumberFormat="1" applyFont="1" applyFill="1" applyBorder="1" applyAlignment="1">
      <alignment vertical="center"/>
    </xf>
    <xf numFmtId="43" fontId="27" fillId="0" borderId="211" xfId="0" applyNumberFormat="1" applyFont="1" applyBorder="1" applyAlignment="1">
      <alignment vertical="center"/>
    </xf>
    <xf numFmtId="165" fontId="3" fillId="104" borderId="209" xfId="38" applyNumberFormat="1" applyFont="1" applyFill="1" applyBorder="1" applyAlignment="1">
      <alignment vertical="center"/>
    </xf>
    <xf numFmtId="165" fontId="26" fillId="104" borderId="209" xfId="0" applyNumberFormat="1" applyFont="1" applyFill="1" applyBorder="1" applyAlignment="1">
      <alignment vertical="center"/>
    </xf>
    <xf numFmtId="0" fontId="60" fillId="104" borderId="211" xfId="0" applyFont="1" applyFill="1" applyBorder="1" applyAlignment="1">
      <alignment vertical="center"/>
    </xf>
    <xf numFmtId="0" fontId="27" fillId="0" borderId="209" xfId="0" applyFont="1" applyBorder="1" applyAlignment="1">
      <alignment vertical="center"/>
    </xf>
    <xf numFmtId="0" fontId="26" fillId="2" borderId="209" xfId="0" applyFont="1" applyFill="1" applyBorder="1" applyAlignment="1">
      <alignment vertical="center"/>
    </xf>
    <xf numFmtId="165" fontId="2" fillId="0" borderId="210" xfId="0" applyNumberFormat="1" applyFont="1" applyBorder="1" applyAlignment="1">
      <alignment vertical="center"/>
    </xf>
    <xf numFmtId="165" fontId="3" fillId="109" borderId="212" xfId="1" applyNumberFormat="1" applyFont="1" applyFill="1" applyBorder="1" applyAlignment="1">
      <alignment vertical="center"/>
    </xf>
    <xf numFmtId="165" fontId="2" fillId="95" borderId="209" xfId="1" applyNumberFormat="1" applyFont="1" applyFill="1" applyBorder="1" applyAlignment="1">
      <alignment vertical="center"/>
    </xf>
    <xf numFmtId="2" fontId="2" fillId="95" borderId="209" xfId="10" applyNumberFormat="1" applyFont="1" applyFill="1" applyBorder="1" applyAlignment="1">
      <alignment vertical="center"/>
    </xf>
    <xf numFmtId="165" fontId="27" fillId="0" borderId="210" xfId="1" applyNumberFormat="1" applyFont="1" applyBorder="1" applyAlignment="1">
      <alignment vertical="center"/>
    </xf>
    <xf numFmtId="165" fontId="27" fillId="109" borderId="212" xfId="0" applyNumberFormat="1" applyFont="1" applyFill="1" applyBorder="1" applyAlignment="1">
      <alignment vertical="center"/>
    </xf>
    <xf numFmtId="2" fontId="2" fillId="25" borderId="209" xfId="10" applyNumberFormat="1" applyFont="1" applyFill="1" applyBorder="1" applyAlignment="1">
      <alignment vertical="center"/>
    </xf>
    <xf numFmtId="0" fontId="27" fillId="4" borderId="209" xfId="0" applyFont="1" applyFill="1" applyBorder="1" applyAlignment="1">
      <alignment vertical="center"/>
    </xf>
    <xf numFmtId="165" fontId="3" fillId="109" borderId="210" xfId="1" applyNumberFormat="1" applyFont="1" applyFill="1" applyBorder="1" applyAlignment="1">
      <alignment vertical="center"/>
    </xf>
    <xf numFmtId="165" fontId="2" fillId="109" borderId="212" xfId="0" applyNumberFormat="1" applyFont="1" applyFill="1" applyBorder="1" applyAlignment="1">
      <alignment vertical="center"/>
    </xf>
    <xf numFmtId="165" fontId="2" fillId="109" borderId="210" xfId="0" applyNumberFormat="1" applyFont="1" applyFill="1" applyBorder="1" applyAlignment="1">
      <alignment vertical="center"/>
    </xf>
    <xf numFmtId="165" fontId="2" fillId="0" borderId="210" xfId="1" applyNumberFormat="1" applyFont="1" applyFill="1" applyBorder="1" applyAlignment="1">
      <alignment vertical="center"/>
    </xf>
    <xf numFmtId="165" fontId="2" fillId="95" borderId="210" xfId="1" applyNumberFormat="1" applyFont="1" applyFill="1" applyBorder="1" applyAlignment="1">
      <alignment vertical="center"/>
    </xf>
    <xf numFmtId="0" fontId="27" fillId="4" borderId="211" xfId="0" applyFont="1" applyFill="1" applyBorder="1" applyAlignment="1">
      <alignment vertical="center"/>
    </xf>
    <xf numFmtId="0" fontId="26" fillId="104" borderId="209" xfId="0" applyFont="1" applyFill="1" applyBorder="1" applyAlignment="1">
      <alignment vertical="center"/>
    </xf>
    <xf numFmtId="184" fontId="27" fillId="7" borderId="209" xfId="1" applyNumberFormat="1" applyFont="1" applyFill="1" applyBorder="1" applyAlignment="1">
      <alignment horizontal="right" vertical="center"/>
    </xf>
    <xf numFmtId="184" fontId="57" fillId="0" borderId="209" xfId="0" applyNumberFormat="1" applyFont="1" applyBorder="1" applyAlignment="1">
      <alignment horizontal="right" vertical="center"/>
    </xf>
    <xf numFmtId="166" fontId="27" fillId="0" borderId="209" xfId="0" applyNumberFormat="1" applyFont="1" applyBorder="1" applyAlignment="1">
      <alignment vertical="center"/>
    </xf>
    <xf numFmtId="166" fontId="27" fillId="95" borderId="209" xfId="0" applyNumberFormat="1" applyFont="1" applyFill="1" applyBorder="1" applyAlignment="1">
      <alignment vertical="center"/>
    </xf>
    <xf numFmtId="184" fontId="57" fillId="95" borderId="209" xfId="0" applyNumberFormat="1" applyFont="1" applyFill="1" applyBorder="1" applyAlignment="1">
      <alignment horizontal="right" vertical="center"/>
    </xf>
    <xf numFmtId="184" fontId="27" fillId="25" borderId="209" xfId="0" applyNumberFormat="1" applyFont="1" applyFill="1" applyBorder="1" applyAlignment="1">
      <alignment vertical="center"/>
    </xf>
    <xf numFmtId="0" fontId="27" fillId="4" borderId="211" xfId="0" applyFont="1" applyFill="1" applyBorder="1" applyAlignment="1">
      <alignment vertical="center" wrapText="1"/>
    </xf>
    <xf numFmtId="184" fontId="57" fillId="0" borderId="209" xfId="1" applyNumberFormat="1" applyFont="1" applyFill="1" applyBorder="1" applyAlignment="1">
      <alignment horizontal="right" vertical="center"/>
    </xf>
    <xf numFmtId="166" fontId="27" fillId="0" borderId="209" xfId="0" applyNumberFormat="1" applyFont="1" applyBorder="1" applyAlignment="1">
      <alignment horizontal="right" vertical="center"/>
    </xf>
    <xf numFmtId="166" fontId="27" fillId="95" borderId="209" xfId="0" applyNumberFormat="1" applyFont="1" applyFill="1" applyBorder="1" applyAlignment="1">
      <alignment horizontal="right" vertical="center"/>
    </xf>
    <xf numFmtId="184" fontId="60" fillId="104" borderId="209" xfId="0" applyNumberFormat="1" applyFont="1" applyFill="1" applyBorder="1" applyAlignment="1">
      <alignment horizontal="right" vertical="center"/>
    </xf>
    <xf numFmtId="184" fontId="26" fillId="104" borderId="209" xfId="0" applyNumberFormat="1" applyFont="1" applyFill="1" applyBorder="1" applyAlignment="1">
      <alignment horizontal="right" vertical="center"/>
    </xf>
    <xf numFmtId="166" fontId="26" fillId="104" borderId="209" xfId="0" applyNumberFormat="1" applyFont="1" applyFill="1" applyBorder="1" applyAlignment="1">
      <alignment vertical="center"/>
    </xf>
    <xf numFmtId="184" fontId="26" fillId="104" borderId="209" xfId="0" applyNumberFormat="1" applyFont="1" applyFill="1" applyBorder="1" applyAlignment="1">
      <alignment vertical="center"/>
    </xf>
    <xf numFmtId="0" fontId="28" fillId="0" borderId="210" xfId="0" applyFont="1" applyBorder="1"/>
    <xf numFmtId="0" fontId="29" fillId="0" borderId="213" xfId="0" applyFont="1" applyBorder="1"/>
    <xf numFmtId="0" fontId="29" fillId="0" borderId="212" xfId="0" applyFont="1" applyBorder="1"/>
    <xf numFmtId="0" fontId="29" fillId="0" borderId="209" xfId="0" applyFont="1" applyBorder="1" applyAlignment="1">
      <alignment horizontal="center" vertical="center" wrapText="1"/>
    </xf>
    <xf numFmtId="0" fontId="5" fillId="0" borderId="209" xfId="0" applyFont="1" applyBorder="1" applyAlignment="1">
      <alignment horizontal="center" vertical="center" wrapText="1"/>
    </xf>
    <xf numFmtId="0" fontId="29" fillId="0" borderId="211" xfId="0" applyFont="1" applyBorder="1" applyAlignment="1">
      <alignment horizontal="center" vertical="center"/>
    </xf>
    <xf numFmtId="0" fontId="29" fillId="0" borderId="209" xfId="0" applyFont="1" applyBorder="1"/>
    <xf numFmtId="165" fontId="29" fillId="0" borderId="209" xfId="1" applyNumberFormat="1" applyFont="1" applyFill="1" applyBorder="1" applyAlignment="1">
      <alignment vertical="center"/>
    </xf>
    <xf numFmtId="2" fontId="29" fillId="0" borderId="209" xfId="0" applyNumberFormat="1" applyFont="1" applyBorder="1" applyAlignment="1">
      <alignment vertical="center"/>
    </xf>
    <xf numFmtId="165" fontId="5" fillId="0" borderId="209" xfId="1" applyNumberFormat="1" applyFont="1" applyFill="1" applyBorder="1" applyAlignment="1">
      <alignment vertical="center"/>
    </xf>
    <xf numFmtId="43" fontId="29" fillId="0" borderId="209" xfId="1" applyFont="1" applyFill="1" applyBorder="1" applyAlignment="1">
      <alignment vertical="center"/>
    </xf>
    <xf numFmtId="0" fontId="28" fillId="0" borderId="209" xfId="0" applyFont="1" applyBorder="1"/>
    <xf numFmtId="0" fontId="28" fillId="0" borderId="209" xfId="0" applyFont="1" applyBorder="1" applyAlignment="1">
      <alignment vertical="center"/>
    </xf>
    <xf numFmtId="165" fontId="28" fillId="0" borderId="209" xfId="1" applyNumberFormat="1" applyFont="1" applyFill="1" applyBorder="1" applyAlignment="1">
      <alignment vertical="center"/>
    </xf>
    <xf numFmtId="0" fontId="26" fillId="98" borderId="209" xfId="0" applyFont="1" applyFill="1" applyBorder="1" applyAlignment="1">
      <alignment horizontal="center" vertical="center"/>
    </xf>
    <xf numFmtId="0" fontId="26" fillId="98" borderId="212" xfId="0" applyFont="1" applyFill="1" applyBorder="1" applyAlignment="1">
      <alignment horizontal="center" vertical="center"/>
    </xf>
    <xf numFmtId="0" fontId="26" fillId="98" borderId="210" xfId="0" applyFont="1" applyFill="1" applyBorder="1" applyAlignment="1">
      <alignment horizontal="center" vertical="center"/>
    </xf>
    <xf numFmtId="3" fontId="57" fillId="95" borderId="209" xfId="0" applyNumberFormat="1" applyFont="1" applyFill="1" applyBorder="1" applyAlignment="1">
      <alignment horizontal="right" vertical="center"/>
    </xf>
    <xf numFmtId="2" fontId="27" fillId="95" borderId="209" xfId="10" applyNumberFormat="1" applyFont="1" applyFill="1" applyBorder="1" applyAlignment="1">
      <alignment horizontal="right" vertical="center"/>
    </xf>
    <xf numFmtId="165" fontId="27" fillId="0" borderId="209" xfId="1" applyNumberFormat="1" applyFont="1" applyFill="1" applyBorder="1"/>
    <xf numFmtId="3" fontId="27" fillId="0" borderId="209" xfId="0" applyNumberFormat="1" applyFont="1" applyBorder="1"/>
    <xf numFmtId="165" fontId="27" fillId="0" borderId="209" xfId="1" applyNumberFormat="1" applyFont="1" applyFill="1" applyBorder="1" applyAlignment="1">
      <alignment horizontal="right" vertical="center"/>
    </xf>
    <xf numFmtId="3" fontId="57" fillId="25" borderId="209" xfId="0" applyNumberFormat="1" applyFont="1" applyFill="1" applyBorder="1" applyAlignment="1">
      <alignment horizontal="right" vertical="center"/>
    </xf>
    <xf numFmtId="2" fontId="27" fillId="25" borderId="209" xfId="10" applyNumberFormat="1" applyFont="1" applyFill="1" applyBorder="1" applyAlignment="1">
      <alignment horizontal="right" vertical="center"/>
    </xf>
    <xf numFmtId="0" fontId="2" fillId="0" borderId="209" xfId="0" applyFont="1" applyBorder="1" applyAlignment="1">
      <alignment vertical="center"/>
    </xf>
    <xf numFmtId="3" fontId="57" fillId="91" borderId="209" xfId="0" applyNumberFormat="1" applyFont="1" applyFill="1" applyBorder="1" applyAlignment="1">
      <alignment wrapText="1"/>
    </xf>
    <xf numFmtId="3" fontId="130" fillId="0" borderId="209" xfId="0" applyNumberFormat="1" applyFont="1" applyBorder="1"/>
    <xf numFmtId="165" fontId="57" fillId="0" borderId="209" xfId="1" applyNumberFormat="1" applyFont="1" applyBorder="1"/>
    <xf numFmtId="0" fontId="2" fillId="0" borderId="209" xfId="0" applyFont="1" applyBorder="1" applyAlignment="1">
      <alignment vertical="center" wrapText="1"/>
    </xf>
    <xf numFmtId="0" fontId="27" fillId="0" borderId="209" xfId="0" applyFont="1" applyBorder="1" applyAlignment="1">
      <alignment vertical="center" wrapText="1"/>
    </xf>
    <xf numFmtId="3" fontId="57" fillId="0" borderId="209" xfId="0" applyNumberFormat="1" applyFont="1" applyBorder="1" applyAlignment="1">
      <alignment wrapText="1"/>
    </xf>
    <xf numFmtId="165" fontId="57" fillId="0" borderId="209" xfId="1" applyNumberFormat="1" applyFont="1" applyBorder="1" applyAlignment="1">
      <alignment vertical="center"/>
    </xf>
    <xf numFmtId="165" fontId="130" fillId="0" borderId="209" xfId="1" applyNumberFormat="1" applyFont="1" applyBorder="1"/>
    <xf numFmtId="165" fontId="57" fillId="0" borderId="209" xfId="1" applyNumberFormat="1" applyFont="1" applyFill="1" applyBorder="1"/>
    <xf numFmtId="3" fontId="2" fillId="91" borderId="209" xfId="0" applyNumberFormat="1" applyFont="1" applyFill="1" applyBorder="1" applyAlignment="1">
      <alignment wrapText="1"/>
    </xf>
    <xf numFmtId="0" fontId="27" fillId="0" borderId="209" xfId="0" applyFont="1" applyBorder="1" applyAlignment="1">
      <alignment horizontal="left" vertical="center"/>
    </xf>
    <xf numFmtId="43" fontId="27" fillId="0" borderId="209" xfId="0" applyNumberFormat="1" applyFont="1" applyBorder="1"/>
    <xf numFmtId="165" fontId="26" fillId="104" borderId="209" xfId="1" applyNumberFormat="1" applyFont="1" applyFill="1" applyBorder="1" applyAlignment="1">
      <alignment horizontal="center" vertical="center"/>
    </xf>
    <xf numFmtId="165" fontId="26" fillId="104" borderId="209" xfId="1" applyNumberFormat="1" applyFont="1" applyFill="1" applyBorder="1"/>
    <xf numFmtId="165" fontId="26" fillId="104" borderId="209" xfId="1" applyNumberFormat="1" applyFont="1" applyFill="1" applyBorder="1" applyAlignment="1">
      <alignment horizontal="right" vertical="center"/>
    </xf>
    <xf numFmtId="3" fontId="60" fillId="104" borderId="209" xfId="0" applyNumberFormat="1" applyFont="1" applyFill="1" applyBorder="1" applyAlignment="1">
      <alignment horizontal="right" vertical="center"/>
    </xf>
    <xf numFmtId="1" fontId="26" fillId="104" borderId="209" xfId="10" applyNumberFormat="1" applyFont="1" applyFill="1" applyBorder="1" applyAlignment="1">
      <alignment horizontal="right" vertical="center"/>
    </xf>
    <xf numFmtId="0" fontId="28" fillId="0" borderId="209" xfId="0" applyFont="1" applyBorder="1" applyAlignment="1">
      <alignment horizontal="center"/>
    </xf>
    <xf numFmtId="165" fontId="28" fillId="0" borderId="211" xfId="1" applyNumberFormat="1" applyFont="1" applyFill="1" applyBorder="1" applyAlignment="1">
      <alignment horizontal="center"/>
    </xf>
    <xf numFmtId="0" fontId="29" fillId="0" borderId="209" xfId="0" applyFont="1" applyBorder="1" applyAlignment="1">
      <alignment vertical="center"/>
    </xf>
    <xf numFmtId="165" fontId="29" fillId="0" borderId="209" xfId="1" applyNumberFormat="1" applyFont="1" applyFill="1" applyBorder="1" applyAlignment="1">
      <alignment horizontal="center" vertical="center"/>
    </xf>
    <xf numFmtId="43" fontId="29" fillId="0" borderId="209" xfId="1" applyFont="1" applyFill="1" applyBorder="1" applyAlignment="1">
      <alignment horizontal="right" vertical="center"/>
    </xf>
    <xf numFmtId="43" fontId="29" fillId="0" borderId="209" xfId="0" applyNumberFormat="1" applyFont="1" applyBorder="1" applyAlignment="1">
      <alignment vertical="center"/>
    </xf>
    <xf numFmtId="165" fontId="5" fillId="0" borderId="209" xfId="1" applyNumberFormat="1" applyFont="1" applyFill="1" applyBorder="1" applyAlignment="1">
      <alignment horizontal="center" vertical="center"/>
    </xf>
    <xf numFmtId="165" fontId="28" fillId="0" borderId="209" xfId="1" applyNumberFormat="1" applyFont="1" applyFill="1" applyBorder="1" applyAlignment="1">
      <alignment horizontal="center" vertical="center"/>
    </xf>
    <xf numFmtId="165" fontId="57" fillId="103" borderId="209" xfId="1" applyNumberFormat="1" applyFont="1" applyFill="1" applyBorder="1" applyAlignment="1">
      <alignment vertical="center"/>
    </xf>
    <xf numFmtId="3" fontId="2" fillId="25" borderId="209" xfId="0" applyNumberFormat="1" applyFont="1" applyFill="1" applyBorder="1" applyAlignment="1">
      <alignment vertical="center"/>
    </xf>
    <xf numFmtId="0" fontId="26" fillId="97" borderId="212" xfId="0" applyFont="1" applyFill="1" applyBorder="1" applyAlignment="1">
      <alignment horizontal="center" vertical="center"/>
    </xf>
    <xf numFmtId="0" fontId="26" fillId="97" borderId="211" xfId="0" applyFont="1" applyFill="1" applyBorder="1" applyAlignment="1">
      <alignment horizontal="center" vertical="center"/>
    </xf>
    <xf numFmtId="0" fontId="2" fillId="4" borderId="209" xfId="0" applyFont="1" applyFill="1" applyBorder="1" applyAlignment="1">
      <alignment vertical="center"/>
    </xf>
    <xf numFmtId="0" fontId="2" fillId="4" borderId="209" xfId="0" applyFont="1" applyFill="1" applyBorder="1" applyAlignment="1">
      <alignment vertical="center" wrapText="1"/>
    </xf>
    <xf numFmtId="165" fontId="2" fillId="0" borderId="209" xfId="1" applyNumberFormat="1" applyFont="1" applyFill="1" applyBorder="1" applyAlignment="1">
      <alignment horizontal="left" vertical="center"/>
    </xf>
    <xf numFmtId="165" fontId="0" fillId="0" borderId="209" xfId="2" applyNumberFormat="1" applyFont="1" applyFill="1" applyBorder="1" applyAlignment="1">
      <alignment vertical="center"/>
    </xf>
    <xf numFmtId="3" fontId="130" fillId="103" borderId="209" xfId="0" applyNumberFormat="1" applyFont="1" applyFill="1" applyBorder="1" applyAlignment="1">
      <alignment vertical="center"/>
    </xf>
    <xf numFmtId="0" fontId="57" fillId="103" borderId="212" xfId="0" applyFont="1" applyFill="1" applyBorder="1" applyAlignment="1">
      <alignment vertical="center"/>
    </xf>
    <xf numFmtId="3" fontId="130" fillId="102" borderId="209" xfId="0" applyNumberFormat="1" applyFont="1" applyFill="1" applyBorder="1" applyAlignment="1">
      <alignment vertical="center"/>
    </xf>
    <xf numFmtId="0" fontId="57" fillId="102" borderId="212" xfId="0" applyFont="1" applyFill="1" applyBorder="1" applyAlignment="1">
      <alignment vertical="center"/>
    </xf>
    <xf numFmtId="1" fontId="26" fillId="104" borderId="209" xfId="10" applyNumberFormat="1" applyFont="1" applyFill="1" applyBorder="1" applyAlignment="1">
      <alignment vertical="center"/>
    </xf>
    <xf numFmtId="0" fontId="3" fillId="97" borderId="212" xfId="0" applyFont="1" applyFill="1" applyBorder="1" applyAlignment="1">
      <alignment horizontal="center" vertical="center"/>
    </xf>
    <xf numFmtId="3" fontId="57" fillId="92" borderId="209" xfId="0" applyNumberFormat="1" applyFont="1" applyFill="1" applyBorder="1" applyAlignment="1">
      <alignment vertical="center"/>
    </xf>
    <xf numFmtId="3" fontId="57" fillId="92" borderId="212" xfId="0" applyNumberFormat="1" applyFont="1" applyFill="1" applyBorder="1" applyAlignment="1">
      <alignment vertical="center"/>
    </xf>
    <xf numFmtId="3" fontId="2" fillId="92" borderId="209" xfId="0" applyNumberFormat="1" applyFont="1" applyFill="1" applyBorder="1" applyAlignment="1">
      <alignment vertical="center"/>
    </xf>
    <xf numFmtId="165" fontId="2" fillId="109" borderId="209" xfId="1" applyNumberFormat="1" applyFont="1" applyFill="1" applyBorder="1" applyAlignment="1">
      <alignment horizontal="left" vertical="center"/>
    </xf>
    <xf numFmtId="165" fontId="3" fillId="97" borderId="209" xfId="0" applyNumberFormat="1" applyFont="1" applyFill="1" applyBorder="1" applyAlignment="1">
      <alignment horizontal="center" vertical="center"/>
    </xf>
    <xf numFmtId="165" fontId="2" fillId="104" borderId="215" xfId="2" applyNumberFormat="1" applyFont="1" applyFill="1" applyBorder="1" applyAlignment="1">
      <alignment horizontal="center" vertical="center"/>
    </xf>
    <xf numFmtId="0" fontId="2" fillId="4" borderId="215" xfId="25" quotePrefix="1" applyFont="1" applyFill="1" applyBorder="1" applyAlignment="1">
      <alignment horizontal="center" vertical="center"/>
    </xf>
    <xf numFmtId="0" fontId="2" fillId="4" borderId="216" xfId="25" applyFont="1" applyFill="1" applyBorder="1" applyAlignment="1">
      <alignment vertical="center" wrapText="1"/>
    </xf>
    <xf numFmtId="0" fontId="2" fillId="4" borderId="215" xfId="25" applyFont="1" applyFill="1" applyBorder="1" applyAlignment="1">
      <alignment horizontal="center" vertical="center"/>
    </xf>
    <xf numFmtId="165" fontId="2" fillId="104" borderId="217" xfId="2" applyNumberFormat="1" applyFont="1" applyFill="1" applyBorder="1" applyAlignment="1">
      <alignment vertical="center" wrapText="1"/>
    </xf>
    <xf numFmtId="165" fontId="2" fillId="0" borderId="217" xfId="2" applyNumberFormat="1" applyFont="1" applyFill="1" applyBorder="1" applyAlignment="1">
      <alignment vertical="center" wrapText="1"/>
    </xf>
    <xf numFmtId="165" fontId="2" fillId="105" borderId="217" xfId="2" applyNumberFormat="1" applyFont="1" applyFill="1" applyBorder="1" applyAlignment="1">
      <alignment vertical="center" wrapText="1"/>
    </xf>
    <xf numFmtId="165" fontId="2" fillId="0" borderId="213" xfId="2" applyNumberFormat="1" applyFont="1" applyFill="1" applyBorder="1" applyAlignment="1">
      <alignment vertical="center" wrapText="1"/>
    </xf>
    <xf numFmtId="165" fontId="2" fillId="105" borderId="215" xfId="2" applyNumberFormat="1" applyFont="1" applyFill="1" applyBorder="1" applyAlignment="1">
      <alignment vertical="center" wrapText="1"/>
    </xf>
    <xf numFmtId="0" fontId="142" fillId="4" borderId="215" xfId="45" applyFont="1" applyFill="1" applyBorder="1" applyAlignment="1" applyProtection="1">
      <alignment horizontal="center" vertical="center"/>
    </xf>
    <xf numFmtId="0" fontId="67" fillId="4" borderId="216" xfId="25" applyFont="1" applyFill="1" applyBorder="1" applyAlignment="1">
      <alignment horizontal="left" vertical="center"/>
    </xf>
    <xf numFmtId="0" fontId="3" fillId="4" borderId="215" xfId="25" applyFont="1" applyFill="1" applyBorder="1" applyAlignment="1">
      <alignment horizontal="center" vertical="center"/>
    </xf>
    <xf numFmtId="0" fontId="120" fillId="4" borderId="216" xfId="25" applyFont="1" applyFill="1" applyBorder="1" applyAlignment="1">
      <alignment vertical="center" wrapText="1"/>
    </xf>
    <xf numFmtId="0" fontId="144" fillId="4" borderId="215" xfId="45" applyFont="1" applyFill="1" applyBorder="1" applyAlignment="1" applyProtection="1">
      <alignment horizontal="center" vertical="center"/>
    </xf>
    <xf numFmtId="165" fontId="3" fillId="104" borderId="217" xfId="2" applyNumberFormat="1" applyFont="1" applyFill="1" applyBorder="1" applyAlignment="1">
      <alignment vertical="center" wrapText="1"/>
    </xf>
    <xf numFmtId="165" fontId="3" fillId="0" borderId="217" xfId="2" applyNumberFormat="1" applyFont="1" applyFill="1" applyBorder="1" applyAlignment="1">
      <alignment vertical="center" wrapText="1"/>
    </xf>
    <xf numFmtId="165" fontId="3" fillId="105" borderId="217" xfId="2" applyNumberFormat="1" applyFont="1" applyFill="1" applyBorder="1" applyAlignment="1">
      <alignment vertical="center" wrapText="1"/>
    </xf>
    <xf numFmtId="165" fontId="3" fillId="0" borderId="213" xfId="2" applyNumberFormat="1" applyFont="1" applyFill="1" applyBorder="1" applyAlignment="1">
      <alignment vertical="center" wrapText="1"/>
    </xf>
    <xf numFmtId="165" fontId="3" fillId="105" borderId="215" xfId="2" applyNumberFormat="1" applyFont="1" applyFill="1" applyBorder="1" applyAlignment="1">
      <alignment vertical="center" wrapText="1"/>
    </xf>
    <xf numFmtId="0" fontId="67" fillId="4" borderId="216" xfId="25" applyFont="1" applyFill="1" applyBorder="1" applyAlignment="1">
      <alignment horizontal="left" vertical="center" wrapText="1"/>
    </xf>
    <xf numFmtId="0" fontId="2" fillId="4" borderId="218" xfId="25" applyFont="1" applyFill="1" applyBorder="1" applyAlignment="1">
      <alignment horizontal="center" vertical="center"/>
    </xf>
    <xf numFmtId="0" fontId="2" fillId="4" borderId="219" xfId="25" applyFont="1" applyFill="1" applyBorder="1" applyAlignment="1">
      <alignment vertical="center" wrapText="1"/>
    </xf>
    <xf numFmtId="165" fontId="2" fillId="105" borderId="218" xfId="2" applyNumberFormat="1" applyFont="1" applyFill="1" applyBorder="1" applyAlignment="1">
      <alignment vertical="center" wrapText="1"/>
    </xf>
    <xf numFmtId="0" fontId="3" fillId="4" borderId="216" xfId="25" applyFont="1" applyFill="1" applyBorder="1" applyAlignment="1">
      <alignment horizontal="left" vertical="center" wrapText="1"/>
    </xf>
    <xf numFmtId="0" fontId="2" fillId="4" borderId="216" xfId="25" applyFont="1" applyFill="1" applyBorder="1" applyAlignment="1">
      <alignment horizontal="left" vertical="center" wrapText="1"/>
    </xf>
    <xf numFmtId="0" fontId="142" fillId="4" borderId="218" xfId="45" applyFont="1" applyFill="1" applyBorder="1" applyAlignment="1" applyProtection="1">
      <alignment horizontal="center" vertical="center"/>
    </xf>
    <xf numFmtId="0" fontId="2" fillId="4" borderId="215" xfId="0" applyFont="1" applyFill="1" applyBorder="1" applyAlignment="1">
      <alignment vertical="center" wrapText="1"/>
    </xf>
    <xf numFmtId="0" fontId="2" fillId="4" borderId="216" xfId="25" applyFont="1" applyFill="1" applyBorder="1" applyAlignment="1">
      <alignment horizontal="center" vertical="center"/>
    </xf>
    <xf numFmtId="165" fontId="2" fillId="104" borderId="220" xfId="2" applyNumberFormat="1" applyFont="1" applyFill="1" applyBorder="1" applyAlignment="1">
      <alignment vertical="center" wrapText="1"/>
    </xf>
    <xf numFmtId="165" fontId="2" fillId="0" borderId="221" xfId="2" applyNumberFormat="1" applyFont="1" applyFill="1" applyBorder="1" applyAlignment="1">
      <alignment vertical="center" wrapText="1"/>
    </xf>
    <xf numFmtId="165" fontId="2" fillId="0" borderId="217" xfId="2" applyNumberFormat="1" applyFont="1" applyFill="1" applyBorder="1" applyAlignment="1">
      <alignment vertical="center"/>
    </xf>
    <xf numFmtId="165" fontId="2" fillId="0" borderId="216" xfId="2" applyNumberFormat="1" applyFont="1" applyFill="1" applyBorder="1" applyAlignment="1">
      <alignment vertical="center" wrapText="1"/>
    </xf>
    <xf numFmtId="165" fontId="2" fillId="0" borderId="215" xfId="2" applyNumberFormat="1" applyFont="1" applyFill="1" applyBorder="1" applyAlignment="1">
      <alignment vertical="center" wrapText="1"/>
    </xf>
    <xf numFmtId="165" fontId="2" fillId="105" borderId="222" xfId="2" applyNumberFormat="1" applyFont="1" applyFill="1" applyBorder="1" applyAlignment="1">
      <alignment vertical="center" wrapText="1"/>
    </xf>
    <xf numFmtId="165" fontId="2" fillId="104" borderId="220" xfId="1" applyNumberFormat="1" applyFont="1" applyFill="1" applyBorder="1" applyAlignment="1">
      <alignment vertical="center" wrapText="1"/>
    </xf>
    <xf numFmtId="165" fontId="2" fillId="0" borderId="221" xfId="1" applyNumberFormat="1" applyFont="1" applyFill="1" applyBorder="1" applyAlignment="1">
      <alignment vertical="center" wrapText="1"/>
    </xf>
    <xf numFmtId="165" fontId="2" fillId="0" borderId="217" xfId="1" applyNumberFormat="1" applyFont="1" applyFill="1" applyBorder="1" applyAlignment="1">
      <alignment vertical="center" wrapText="1"/>
    </xf>
    <xf numFmtId="165" fontId="2" fillId="0" borderId="217" xfId="1" applyNumberFormat="1" applyFont="1" applyFill="1" applyBorder="1" applyAlignment="1">
      <alignment vertical="center"/>
    </xf>
    <xf numFmtId="165" fontId="2" fillId="0" borderId="213" xfId="1" applyNumberFormat="1" applyFont="1" applyFill="1" applyBorder="1" applyAlignment="1">
      <alignment vertical="center"/>
    </xf>
    <xf numFmtId="165" fontId="2" fillId="0" borderId="215" xfId="1" applyNumberFormat="1" applyFont="1" applyFill="1" applyBorder="1" applyAlignment="1">
      <alignment vertical="center"/>
    </xf>
    <xf numFmtId="165" fontId="2" fillId="105" borderId="222" xfId="1" applyNumberFormat="1" applyFont="1" applyFill="1" applyBorder="1" applyAlignment="1">
      <alignment vertical="center" wrapText="1"/>
    </xf>
    <xf numFmtId="165" fontId="2" fillId="0" borderId="213" xfId="1" applyNumberFormat="1" applyFont="1" applyFill="1" applyBorder="1" applyAlignment="1">
      <alignment vertical="center" wrapText="1"/>
    </xf>
    <xf numFmtId="165" fontId="2" fillId="0" borderId="215" xfId="1" applyNumberFormat="1" applyFont="1" applyFill="1" applyBorder="1" applyAlignment="1">
      <alignment vertical="center" wrapText="1"/>
    </xf>
    <xf numFmtId="165" fontId="2" fillId="105" borderId="215" xfId="1" applyNumberFormat="1" applyFont="1" applyFill="1" applyBorder="1" applyAlignment="1">
      <alignment vertical="center" wrapText="1"/>
    </xf>
    <xf numFmtId="0" fontId="142" fillId="4" borderId="216" xfId="45" applyFont="1" applyFill="1" applyBorder="1" applyAlignment="1" applyProtection="1">
      <alignment horizontal="center" vertical="center"/>
    </xf>
    <xf numFmtId="165" fontId="2" fillId="0" borderId="216" xfId="1" applyNumberFormat="1" applyFont="1" applyFill="1" applyBorder="1" applyAlignment="1">
      <alignment vertical="center" wrapText="1"/>
    </xf>
    <xf numFmtId="0" fontId="144" fillId="4" borderId="216" xfId="45" applyFont="1" applyFill="1" applyBorder="1" applyAlignment="1" applyProtection="1">
      <alignment horizontal="center" vertical="center"/>
    </xf>
    <xf numFmtId="165" fontId="3" fillId="104" borderId="220" xfId="1" applyNumberFormat="1" applyFont="1" applyFill="1" applyBorder="1" applyAlignment="1">
      <alignment vertical="center" wrapText="1"/>
    </xf>
    <xf numFmtId="165" fontId="3" fillId="0" borderId="221" xfId="1" applyNumberFormat="1" applyFont="1" applyFill="1" applyBorder="1" applyAlignment="1">
      <alignment vertical="center" wrapText="1"/>
    </xf>
    <xf numFmtId="165" fontId="3" fillId="0" borderId="220" xfId="1" applyNumberFormat="1" applyFont="1" applyFill="1" applyBorder="1" applyAlignment="1">
      <alignment vertical="center" wrapText="1"/>
    </xf>
    <xf numFmtId="165" fontId="3" fillId="0" borderId="215" xfId="1" applyNumberFormat="1" applyFont="1" applyFill="1" applyBorder="1" applyAlignment="1">
      <alignment vertical="center" wrapText="1"/>
    </xf>
    <xf numFmtId="165" fontId="3" fillId="105" borderId="222" xfId="1" applyNumberFormat="1" applyFont="1" applyFill="1" applyBorder="1" applyAlignment="1">
      <alignment vertical="center" wrapText="1"/>
    </xf>
    <xf numFmtId="165" fontId="3" fillId="0" borderId="213" xfId="1" applyNumberFormat="1" applyFont="1" applyFill="1" applyBorder="1" applyAlignment="1">
      <alignment vertical="center" wrapText="1"/>
    </xf>
    <xf numFmtId="165" fontId="3" fillId="105" borderId="215" xfId="1" applyNumberFormat="1" applyFont="1" applyFill="1" applyBorder="1" applyAlignment="1">
      <alignment vertical="center" wrapText="1"/>
    </xf>
    <xf numFmtId="165" fontId="2" fillId="105" borderId="215" xfId="1" applyNumberFormat="1" applyFont="1" applyFill="1" applyBorder="1" applyAlignment="1">
      <alignment vertical="center"/>
    </xf>
    <xf numFmtId="0" fontId="2" fillId="4" borderId="219" xfId="25" applyFont="1" applyFill="1" applyBorder="1" applyAlignment="1">
      <alignment horizontal="center" vertical="center"/>
    </xf>
    <xf numFmtId="165" fontId="2" fillId="104" borderId="223" xfId="1" applyNumberFormat="1" applyFont="1" applyFill="1" applyBorder="1" applyAlignment="1">
      <alignment vertical="center" wrapText="1"/>
    </xf>
    <xf numFmtId="165" fontId="2" fillId="0" borderId="224" xfId="1" applyNumberFormat="1" applyFont="1" applyFill="1" applyBorder="1" applyAlignment="1">
      <alignment vertical="center" wrapText="1"/>
    </xf>
    <xf numFmtId="165" fontId="2" fillId="0" borderId="219" xfId="1" applyNumberFormat="1" applyFont="1" applyFill="1" applyBorder="1" applyAlignment="1">
      <alignment vertical="center" wrapText="1"/>
    </xf>
    <xf numFmtId="165" fontId="2" fillId="0" borderId="218" xfId="1" applyNumberFormat="1" applyFont="1" applyFill="1" applyBorder="1" applyAlignment="1">
      <alignment vertical="center" wrapText="1"/>
    </xf>
    <xf numFmtId="165" fontId="2" fillId="105" borderId="218" xfId="1" applyNumberFormat="1" applyFont="1" applyFill="1" applyBorder="1" applyAlignment="1">
      <alignment vertical="center"/>
    </xf>
    <xf numFmtId="165" fontId="2" fillId="104" borderId="217" xfId="1" applyNumberFormat="1" applyFont="1" applyFill="1" applyBorder="1" applyAlignment="1">
      <alignment vertical="center" wrapText="1"/>
    </xf>
    <xf numFmtId="165" fontId="2" fillId="105" borderId="217" xfId="1" applyNumberFormat="1" applyFont="1" applyFill="1" applyBorder="1" applyAlignment="1">
      <alignment vertical="center" wrapText="1"/>
    </xf>
    <xf numFmtId="165" fontId="2" fillId="105" borderId="218" xfId="1" applyNumberFormat="1" applyFont="1" applyFill="1" applyBorder="1" applyAlignment="1">
      <alignment vertical="center" wrapText="1"/>
    </xf>
    <xf numFmtId="165" fontId="2" fillId="105" borderId="212" xfId="2" applyNumberFormat="1" applyFont="1" applyFill="1" applyBorder="1" applyAlignment="1">
      <alignment vertical="center"/>
    </xf>
    <xf numFmtId="0" fontId="2" fillId="4" borderId="215" xfId="25" quotePrefix="1" applyFont="1" applyFill="1" applyBorder="1" applyAlignment="1">
      <alignment horizontal="center"/>
    </xf>
    <xf numFmtId="0" fontId="2" fillId="4" borderId="216" xfId="25" applyFont="1" applyFill="1" applyBorder="1" applyAlignment="1">
      <alignment wrapText="1"/>
    </xf>
    <xf numFmtId="0" fontId="2" fillId="4" borderId="215" xfId="25" applyFont="1" applyFill="1" applyBorder="1" applyAlignment="1">
      <alignment horizontal="center"/>
    </xf>
    <xf numFmtId="165" fontId="2" fillId="0" borderId="220" xfId="1" applyNumberFormat="1" applyFont="1" applyFill="1" applyBorder="1" applyAlignment="1">
      <alignment vertical="center" wrapText="1"/>
    </xf>
    <xf numFmtId="165" fontId="2" fillId="105" borderId="225" xfId="1" applyNumberFormat="1" applyFont="1" applyFill="1" applyBorder="1" applyAlignment="1">
      <alignment vertical="center" wrapText="1"/>
    </xf>
    <xf numFmtId="165" fontId="2" fillId="0" borderId="225" xfId="1" applyNumberFormat="1" applyFont="1" applyFill="1" applyBorder="1" applyAlignment="1">
      <alignment vertical="center" wrapText="1"/>
    </xf>
    <xf numFmtId="0" fontId="142" fillId="4" borderId="215" xfId="45" applyFont="1" applyFill="1" applyBorder="1" applyAlignment="1" applyProtection="1">
      <alignment horizontal="center"/>
    </xf>
    <xf numFmtId="0" fontId="67" fillId="4" borderId="216" xfId="25" applyFont="1" applyFill="1" applyBorder="1" applyAlignment="1">
      <alignment horizontal="left" vertical="center" indent="2"/>
    </xf>
    <xf numFmtId="165" fontId="2" fillId="0" borderId="226" xfId="1" applyNumberFormat="1" applyFont="1" applyFill="1" applyBorder="1" applyAlignment="1">
      <alignment vertical="center" wrapText="1"/>
    </xf>
    <xf numFmtId="165" fontId="2" fillId="0" borderId="227" xfId="1" applyNumberFormat="1" applyFont="1" applyFill="1" applyBorder="1" applyAlignment="1">
      <alignment vertical="center" wrapText="1"/>
    </xf>
    <xf numFmtId="0" fontId="3" fillId="4" borderId="215" xfId="25" applyFont="1" applyFill="1" applyBorder="1" applyAlignment="1">
      <alignment horizontal="center"/>
    </xf>
    <xf numFmtId="0" fontId="120" fillId="4" borderId="216" xfId="25" applyFont="1" applyFill="1" applyBorder="1" applyAlignment="1">
      <alignment wrapText="1"/>
    </xf>
    <xf numFmtId="0" fontId="144" fillId="4" borderId="215" xfId="45" applyFont="1" applyFill="1" applyBorder="1" applyAlignment="1" applyProtection="1">
      <alignment horizontal="center"/>
    </xf>
    <xf numFmtId="165" fontId="3" fillId="104" borderId="217" xfId="1" applyNumberFormat="1" applyFont="1" applyFill="1" applyBorder="1" applyAlignment="1">
      <alignment vertical="center" wrapText="1"/>
    </xf>
    <xf numFmtId="165" fontId="3" fillId="0" borderId="217" xfId="1" applyNumberFormat="1" applyFont="1" applyFill="1" applyBorder="1" applyAlignment="1">
      <alignment vertical="center" wrapText="1"/>
    </xf>
    <xf numFmtId="165" fontId="3" fillId="105" borderId="225" xfId="1" applyNumberFormat="1" applyFont="1" applyFill="1" applyBorder="1" applyAlignment="1">
      <alignment vertical="center" wrapText="1"/>
    </xf>
    <xf numFmtId="165" fontId="3" fillId="105" borderId="217" xfId="1" applyNumberFormat="1" applyFont="1" applyFill="1" applyBorder="1" applyAlignment="1">
      <alignment vertical="center" wrapText="1"/>
    </xf>
    <xf numFmtId="0" fontId="67" fillId="4" borderId="216" xfId="25" applyFont="1" applyFill="1" applyBorder="1" applyAlignment="1">
      <alignment horizontal="left" wrapText="1" indent="2"/>
    </xf>
    <xf numFmtId="165" fontId="2" fillId="0" borderId="220" xfId="1" applyNumberFormat="1" applyFont="1" applyFill="1" applyBorder="1" applyAlignment="1">
      <alignment vertical="center"/>
    </xf>
    <xf numFmtId="165" fontId="2" fillId="0" borderId="225" xfId="1" applyNumberFormat="1" applyFont="1" applyFill="1" applyBorder="1" applyAlignment="1">
      <alignment vertical="center"/>
    </xf>
    <xf numFmtId="165" fontId="2" fillId="0" borderId="228" xfId="1" applyNumberFormat="1" applyFont="1" applyFill="1" applyBorder="1" applyAlignment="1">
      <alignment vertical="center"/>
    </xf>
    <xf numFmtId="165" fontId="2" fillId="0" borderId="216" xfId="1" applyNumberFormat="1" applyFont="1" applyFill="1" applyBorder="1" applyAlignment="1">
      <alignment vertical="center"/>
    </xf>
    <xf numFmtId="0" fontId="2" fillId="4" borderId="218" xfId="25" applyFont="1" applyFill="1" applyBorder="1" applyAlignment="1">
      <alignment horizontal="center"/>
    </xf>
    <xf numFmtId="0" fontId="2" fillId="4" borderId="219" xfId="25" applyFont="1" applyFill="1" applyBorder="1" applyAlignment="1">
      <alignment wrapText="1"/>
    </xf>
    <xf numFmtId="165" fontId="2" fillId="105" borderId="229" xfId="1" applyNumberFormat="1" applyFont="1" applyFill="1" applyBorder="1" applyAlignment="1">
      <alignment vertical="center" wrapText="1"/>
    </xf>
    <xf numFmtId="165" fontId="2" fillId="0" borderId="219" xfId="1" applyNumberFormat="1" applyFont="1" applyFill="1" applyBorder="1" applyAlignment="1">
      <alignment vertical="center"/>
    </xf>
    <xf numFmtId="0" fontId="3" fillId="4" borderId="216" xfId="25" applyFont="1" applyFill="1" applyBorder="1" applyAlignment="1">
      <alignment horizontal="left" wrapText="1"/>
    </xf>
    <xf numFmtId="0" fontId="2" fillId="4" borderId="216" xfId="25" applyFont="1" applyFill="1" applyBorder="1" applyAlignment="1">
      <alignment horizontal="left" wrapText="1"/>
    </xf>
    <xf numFmtId="0" fontId="142" fillId="4" borderId="218" xfId="45" applyFont="1" applyFill="1" applyBorder="1" applyAlignment="1" applyProtection="1">
      <alignment horizontal="center"/>
    </xf>
    <xf numFmtId="165" fontId="2" fillId="0" borderId="223" xfId="1" applyNumberFormat="1" applyFont="1" applyFill="1" applyBorder="1" applyAlignment="1">
      <alignment vertical="center"/>
    </xf>
    <xf numFmtId="165" fontId="2" fillId="0" borderId="229" xfId="1" applyNumberFormat="1" applyFont="1" applyFill="1" applyBorder="1" applyAlignment="1">
      <alignment vertical="center"/>
    </xf>
    <xf numFmtId="165" fontId="2" fillId="0" borderId="229" xfId="1" applyNumberFormat="1" applyFont="1" applyFill="1" applyBorder="1" applyAlignment="1">
      <alignment vertical="center" wrapText="1"/>
    </xf>
    <xf numFmtId="165" fontId="2" fillId="105" borderId="215" xfId="2" applyNumberFormat="1" applyFont="1" applyFill="1" applyBorder="1" applyAlignment="1">
      <alignment vertical="center"/>
    </xf>
    <xf numFmtId="165" fontId="3" fillId="0" borderId="225" xfId="1" applyNumberFormat="1" applyFont="1" applyFill="1" applyBorder="1" applyAlignment="1">
      <alignment vertical="center" wrapText="1"/>
    </xf>
    <xf numFmtId="165" fontId="2" fillId="0" borderId="223" xfId="1" applyNumberFormat="1" applyFont="1" applyFill="1" applyBorder="1" applyAlignment="1">
      <alignment vertical="center" wrapText="1"/>
    </xf>
    <xf numFmtId="165" fontId="2" fillId="0" borderId="213" xfId="2" applyNumberFormat="1" applyFont="1" applyFill="1" applyBorder="1" applyAlignment="1">
      <alignment vertical="center"/>
    </xf>
    <xf numFmtId="165" fontId="3" fillId="0" borderId="215" xfId="2" applyNumberFormat="1" applyFont="1" applyFill="1" applyBorder="1" applyAlignment="1">
      <alignment vertical="center" wrapText="1"/>
    </xf>
    <xf numFmtId="3" fontId="2" fillId="0" borderId="217" xfId="0" applyNumberFormat="1" applyFont="1" applyBorder="1" applyAlignment="1">
      <alignment vertical="center" wrapText="1"/>
    </xf>
    <xf numFmtId="3" fontId="2" fillId="0" borderId="215" xfId="0" applyNumberFormat="1" applyFont="1" applyBorder="1" applyAlignment="1">
      <alignment vertical="center" wrapText="1"/>
    </xf>
    <xf numFmtId="3" fontId="2" fillId="0" borderId="213" xfId="0" applyNumberFormat="1" applyFont="1" applyBorder="1" applyAlignment="1">
      <alignment vertical="center" wrapText="1"/>
    </xf>
    <xf numFmtId="165" fontId="2" fillId="0" borderId="218" xfId="2" applyNumberFormat="1" applyFont="1" applyFill="1" applyBorder="1" applyAlignment="1">
      <alignment vertical="center" wrapText="1"/>
    </xf>
    <xf numFmtId="165" fontId="7" fillId="0" borderId="216" xfId="1" applyNumberFormat="1" applyFont="1" applyFill="1" applyBorder="1" applyAlignment="1">
      <alignment vertical="center" wrapText="1"/>
    </xf>
    <xf numFmtId="165" fontId="142" fillId="0" borderId="215" xfId="1" applyNumberFormat="1" applyFont="1" applyFill="1" applyBorder="1" applyAlignment="1">
      <alignment vertical="center"/>
    </xf>
    <xf numFmtId="165" fontId="7" fillId="0" borderId="213" xfId="1" applyNumberFormat="1" applyFont="1" applyFill="1" applyBorder="1" applyAlignment="1">
      <alignment vertical="center" wrapText="1"/>
    </xf>
    <xf numFmtId="165" fontId="7" fillId="0" borderId="217" xfId="1" applyNumberFormat="1" applyFont="1" applyFill="1" applyBorder="1" applyAlignment="1">
      <alignment vertical="center"/>
    </xf>
    <xf numFmtId="165" fontId="142" fillId="0" borderId="213" xfId="1" applyNumberFormat="1" applyFont="1" applyFill="1" applyBorder="1" applyAlignment="1">
      <alignment vertical="center"/>
    </xf>
    <xf numFmtId="165" fontId="7" fillId="0" borderId="218" xfId="1" applyNumberFormat="1" applyFont="1" applyFill="1" applyBorder="1" applyAlignment="1">
      <alignment vertical="center" wrapText="1"/>
    </xf>
    <xf numFmtId="165" fontId="2" fillId="104" borderId="215" xfId="1" applyNumberFormat="1" applyFont="1" applyFill="1" applyBorder="1" applyAlignment="1">
      <alignment horizontal="center" vertical="center"/>
    </xf>
    <xf numFmtId="165" fontId="2" fillId="105" borderId="212" xfId="1" applyNumberFormat="1" applyFont="1" applyFill="1" applyBorder="1" applyAlignment="1">
      <alignment vertical="center"/>
    </xf>
    <xf numFmtId="165" fontId="2" fillId="0" borderId="218" xfId="1" applyNumberFormat="1" applyFont="1" applyFill="1" applyBorder="1" applyAlignment="1">
      <alignment vertical="center"/>
    </xf>
    <xf numFmtId="165" fontId="7" fillId="0" borderId="215" xfId="1" applyNumberFormat="1" applyFont="1" applyFill="1" applyBorder="1" applyAlignment="1">
      <alignment vertical="center" wrapText="1"/>
    </xf>
    <xf numFmtId="165" fontId="2" fillId="0" borderId="217" xfId="1" applyNumberFormat="1" applyFont="1" applyFill="1" applyBorder="1" applyAlignment="1">
      <alignment horizontal="right" vertical="center" wrapText="1"/>
    </xf>
    <xf numFmtId="165" fontId="2" fillId="4" borderId="215" xfId="1" applyNumberFormat="1" applyFont="1" applyFill="1" applyBorder="1" applyAlignment="1">
      <alignment horizontal="center" vertical="center"/>
    </xf>
    <xf numFmtId="165" fontId="142" fillId="4" borderId="215" xfId="1" applyNumberFormat="1" applyFont="1" applyFill="1" applyBorder="1" applyAlignment="1" applyProtection="1">
      <alignment horizontal="center" vertical="center"/>
    </xf>
    <xf numFmtId="165" fontId="144" fillId="4" borderId="215" xfId="1" applyNumberFormat="1" applyFont="1" applyFill="1" applyBorder="1" applyAlignment="1" applyProtection="1">
      <alignment horizontal="center" vertical="center"/>
    </xf>
    <xf numFmtId="165" fontId="2" fillId="4" borderId="218" xfId="1" applyNumberFormat="1" applyFont="1" applyFill="1" applyBorder="1" applyAlignment="1">
      <alignment horizontal="center" vertical="center"/>
    </xf>
    <xf numFmtId="165" fontId="142" fillId="4" borderId="218" xfId="1" applyNumberFormat="1" applyFont="1" applyFill="1" applyBorder="1" applyAlignment="1" applyProtection="1">
      <alignment horizontal="center" vertical="center"/>
    </xf>
    <xf numFmtId="165" fontId="142" fillId="104" borderId="215" xfId="1" applyNumberFormat="1" applyFont="1" applyFill="1" applyBorder="1" applyAlignment="1" applyProtection="1">
      <alignment horizontal="center" vertical="center"/>
    </xf>
    <xf numFmtId="165" fontId="2" fillId="0" borderId="225" xfId="2" applyNumberFormat="1" applyFont="1" applyFill="1" applyBorder="1" applyAlignment="1">
      <alignment vertical="center" wrapText="1"/>
    </xf>
    <xf numFmtId="0" fontId="2" fillId="0" borderId="217" xfId="0" applyFont="1" applyBorder="1" applyAlignment="1">
      <alignment vertical="center" wrapText="1"/>
    </xf>
    <xf numFmtId="165" fontId="3" fillId="0" borderId="225" xfId="2" applyNumberFormat="1" applyFont="1" applyFill="1" applyBorder="1" applyAlignment="1">
      <alignment vertical="center" wrapText="1"/>
    </xf>
    <xf numFmtId="0" fontId="2" fillId="0" borderId="217" xfId="0" applyFont="1" applyBorder="1" applyAlignment="1">
      <alignment vertical="center"/>
    </xf>
    <xf numFmtId="0" fontId="2" fillId="0" borderId="213" xfId="0" applyFont="1" applyBorder="1" applyAlignment="1">
      <alignment vertical="center" wrapText="1"/>
    </xf>
    <xf numFmtId="165" fontId="2" fillId="0" borderId="225" xfId="2" applyNumberFormat="1" applyFont="1" applyFill="1" applyBorder="1" applyAlignment="1">
      <alignment vertical="center"/>
    </xf>
    <xf numFmtId="165" fontId="2" fillId="0" borderId="229" xfId="2" applyNumberFormat="1" applyFont="1" applyFill="1" applyBorder="1" applyAlignment="1">
      <alignment vertical="center" wrapText="1"/>
    </xf>
    <xf numFmtId="3" fontId="2" fillId="0" borderId="217" xfId="0" applyNumberFormat="1" applyFont="1" applyBorder="1" applyAlignment="1">
      <alignment vertical="center"/>
    </xf>
    <xf numFmtId="165" fontId="2" fillId="0" borderId="229" xfId="2" applyNumberFormat="1" applyFont="1" applyFill="1" applyBorder="1" applyAlignment="1">
      <alignment vertical="center"/>
    </xf>
    <xf numFmtId="165" fontId="2" fillId="0" borderId="219" xfId="2" applyNumberFormat="1" applyFont="1" applyFill="1" applyBorder="1" applyAlignment="1">
      <alignment vertical="center" wrapText="1"/>
    </xf>
    <xf numFmtId="165" fontId="142" fillId="0" borderId="215" xfId="1" applyNumberFormat="1" applyFont="1" applyFill="1" applyBorder="1" applyAlignment="1" applyProtection="1">
      <alignment horizontal="center" vertical="center"/>
    </xf>
    <xf numFmtId="165" fontId="2" fillId="105" borderId="213" xfId="1" applyNumberFormat="1" applyFont="1" applyFill="1" applyBorder="1" applyAlignment="1">
      <alignment vertical="center" wrapText="1"/>
    </xf>
    <xf numFmtId="165" fontId="3" fillId="105" borderId="213" xfId="1" applyNumberFormat="1" applyFont="1" applyFill="1" applyBorder="1" applyAlignment="1">
      <alignment vertical="center" wrapText="1"/>
    </xf>
    <xf numFmtId="165" fontId="2" fillId="0" borderId="215" xfId="1" applyNumberFormat="1" applyFont="1" applyFill="1" applyBorder="1" applyAlignment="1">
      <alignment horizontal="center" vertical="center"/>
    </xf>
    <xf numFmtId="165" fontId="2" fillId="0" borderId="216" xfId="1" applyNumberFormat="1" applyFont="1" applyFill="1" applyBorder="1" applyAlignment="1">
      <alignment horizontal="center" vertical="center"/>
    </xf>
    <xf numFmtId="165" fontId="2" fillId="0" borderId="225" xfId="1" applyNumberFormat="1" applyFont="1" applyFill="1" applyBorder="1" applyAlignment="1">
      <alignment horizontal="center" vertical="center"/>
    </xf>
    <xf numFmtId="165" fontId="2" fillId="0" borderId="220" xfId="1" applyNumberFormat="1" applyFont="1" applyFill="1" applyBorder="1" applyAlignment="1">
      <alignment horizontal="center" vertical="center"/>
    </xf>
    <xf numFmtId="165" fontId="157" fillId="0" borderId="217" xfId="1" applyNumberFormat="1" applyFont="1" applyFill="1" applyBorder="1" applyAlignment="1">
      <alignment vertical="center" wrapText="1"/>
    </xf>
    <xf numFmtId="165" fontId="157" fillId="0" borderId="220" xfId="1" applyNumberFormat="1" applyFont="1" applyFill="1" applyBorder="1" applyAlignment="1">
      <alignment vertical="center"/>
    </xf>
    <xf numFmtId="165" fontId="157" fillId="0" borderId="216" xfId="1" applyNumberFormat="1" applyFont="1" applyFill="1" applyBorder="1" applyAlignment="1">
      <alignment vertical="center"/>
    </xf>
    <xf numFmtId="165" fontId="157" fillId="0" borderId="225" xfId="1" applyNumberFormat="1" applyFont="1" applyFill="1" applyBorder="1" applyAlignment="1">
      <alignment vertical="center"/>
    </xf>
    <xf numFmtId="165" fontId="157" fillId="0" borderId="217" xfId="1" applyNumberFormat="1" applyFont="1" applyFill="1" applyBorder="1" applyAlignment="1">
      <alignment vertical="center"/>
    </xf>
    <xf numFmtId="165" fontId="157" fillId="0" borderId="219" xfId="1" applyNumberFormat="1" applyFont="1" applyFill="1" applyBorder="1" applyAlignment="1">
      <alignment vertical="center"/>
    </xf>
    <xf numFmtId="165" fontId="157" fillId="0" borderId="229" xfId="1" applyNumberFormat="1" applyFont="1" applyFill="1" applyBorder="1" applyAlignment="1">
      <alignment vertical="center"/>
    </xf>
    <xf numFmtId="165" fontId="157" fillId="0" borderId="219" xfId="1" applyNumberFormat="1" applyFont="1" applyFill="1" applyBorder="1" applyAlignment="1">
      <alignment vertical="center" wrapText="1"/>
    </xf>
    <xf numFmtId="165" fontId="157" fillId="0" borderId="229" xfId="1" applyNumberFormat="1" applyFont="1" applyFill="1" applyBorder="1" applyAlignment="1">
      <alignment vertical="center" wrapText="1"/>
    </xf>
    <xf numFmtId="0" fontId="27" fillId="4" borderId="215" xfId="25" quotePrefix="1" applyFont="1" applyFill="1" applyBorder="1" applyAlignment="1">
      <alignment horizontal="center" vertical="center"/>
    </xf>
    <xf numFmtId="0" fontId="27" fillId="4" borderId="216" xfId="25" applyFont="1" applyFill="1" applyBorder="1" applyAlignment="1">
      <alignment vertical="center" wrapText="1"/>
    </xf>
    <xf numFmtId="165" fontId="27" fillId="104" borderId="217" xfId="2" applyNumberFormat="1" applyFont="1" applyFill="1" applyBorder="1" applyAlignment="1">
      <alignment vertical="center" wrapText="1"/>
    </xf>
    <xf numFmtId="165" fontId="27" fillId="0" borderId="217" xfId="2" applyNumberFormat="1" applyFont="1" applyFill="1" applyBorder="1" applyAlignment="1">
      <alignment vertical="center" wrapText="1"/>
    </xf>
    <xf numFmtId="165" fontId="27" fillId="105" borderId="217" xfId="2" applyNumberFormat="1" applyFont="1" applyFill="1" applyBorder="1" applyAlignment="1">
      <alignment vertical="center" wrapText="1"/>
    </xf>
    <xf numFmtId="165" fontId="27" fillId="0" borderId="215" xfId="2" applyNumberFormat="1" applyFont="1" applyFill="1" applyBorder="1" applyAlignment="1">
      <alignment vertical="center" wrapText="1"/>
    </xf>
    <xf numFmtId="0" fontId="27" fillId="4" borderId="215" xfId="25" applyFont="1" applyFill="1" applyBorder="1" applyAlignment="1">
      <alignment horizontal="center" vertical="center"/>
    </xf>
    <xf numFmtId="0" fontId="26" fillId="4" borderId="215" xfId="25" applyFont="1" applyFill="1" applyBorder="1" applyAlignment="1">
      <alignment horizontal="center" vertical="center"/>
    </xf>
    <xf numFmtId="0" fontId="50" fillId="4" borderId="216" xfId="25" applyFont="1" applyFill="1" applyBorder="1" applyAlignment="1">
      <alignment vertical="center" wrapText="1"/>
    </xf>
    <xf numFmtId="165" fontId="26" fillId="104" borderId="217" xfId="2" applyNumberFormat="1" applyFont="1" applyFill="1" applyBorder="1" applyAlignment="1">
      <alignment vertical="center" wrapText="1"/>
    </xf>
    <xf numFmtId="165" fontId="26" fillId="0" borderId="217" xfId="2" applyNumberFormat="1" applyFont="1" applyFill="1" applyBorder="1" applyAlignment="1">
      <alignment vertical="center" wrapText="1"/>
    </xf>
    <xf numFmtId="165" fontId="26" fillId="105" borderId="217" xfId="2" applyNumberFormat="1" applyFont="1" applyFill="1" applyBorder="1" applyAlignment="1">
      <alignment vertical="center" wrapText="1"/>
    </xf>
    <xf numFmtId="165" fontId="26" fillId="0" borderId="215" xfId="2" applyNumberFormat="1" applyFont="1" applyFill="1" applyBorder="1" applyAlignment="1">
      <alignment vertical="center" wrapText="1"/>
    </xf>
    <xf numFmtId="0" fontId="27" fillId="4" borderId="218" xfId="25" applyFont="1" applyFill="1" applyBorder="1" applyAlignment="1">
      <alignment horizontal="center" vertical="center"/>
    </xf>
    <xf numFmtId="165" fontId="27" fillId="0" borderId="218" xfId="2" applyNumberFormat="1" applyFont="1" applyFill="1" applyBorder="1" applyAlignment="1">
      <alignment vertical="center" wrapText="1"/>
    </xf>
    <xf numFmtId="0" fontId="26" fillId="4" borderId="216" xfId="25" applyFont="1" applyFill="1" applyBorder="1" applyAlignment="1">
      <alignment horizontal="left" vertical="center" wrapText="1"/>
    </xf>
    <xf numFmtId="0" fontId="27" fillId="4" borderId="219" xfId="25" applyFont="1" applyFill="1" applyBorder="1" applyAlignment="1">
      <alignment vertical="center" wrapText="1"/>
    </xf>
    <xf numFmtId="0" fontId="27" fillId="4" borderId="215" xfId="0" applyFont="1" applyFill="1" applyBorder="1" applyAlignment="1">
      <alignment vertical="center" wrapText="1"/>
    </xf>
    <xf numFmtId="165" fontId="27" fillId="104" borderId="220" xfId="2" applyNumberFormat="1" applyFont="1" applyFill="1" applyBorder="1" applyAlignment="1">
      <alignment vertical="center" wrapText="1"/>
    </xf>
    <xf numFmtId="165" fontId="27" fillId="7" borderId="221" xfId="2" applyNumberFormat="1" applyFont="1" applyFill="1" applyBorder="1" applyAlignment="1">
      <alignment vertical="center" wrapText="1"/>
    </xf>
    <xf numFmtId="165" fontId="27" fillId="7" borderId="213" xfId="2" applyNumberFormat="1" applyFont="1" applyFill="1" applyBorder="1" applyAlignment="1">
      <alignment vertical="center" wrapText="1"/>
    </xf>
    <xf numFmtId="165" fontId="27" fillId="7" borderId="225" xfId="2" applyNumberFormat="1" applyFont="1" applyFill="1" applyBorder="1" applyAlignment="1">
      <alignment vertical="center"/>
    </xf>
    <xf numFmtId="165" fontId="27" fillId="7" borderId="216" xfId="2" applyNumberFormat="1" applyFont="1" applyFill="1" applyBorder="1" applyAlignment="1">
      <alignment vertical="center" wrapText="1"/>
    </xf>
    <xf numFmtId="165" fontId="27" fillId="105" borderId="215" xfId="2" applyNumberFormat="1" applyFont="1" applyFill="1" applyBorder="1" applyAlignment="1">
      <alignment vertical="center" wrapText="1"/>
    </xf>
    <xf numFmtId="165" fontId="27" fillId="0" borderId="213" xfId="2" applyNumberFormat="1" applyFont="1" applyFill="1" applyBorder="1" applyAlignment="1">
      <alignment vertical="center" wrapText="1"/>
    </xf>
    <xf numFmtId="3" fontId="57" fillId="91" borderId="213" xfId="0" applyNumberFormat="1" applyFont="1" applyFill="1" applyBorder="1" applyAlignment="1">
      <alignment vertical="center" wrapText="1"/>
    </xf>
    <xf numFmtId="165" fontId="27" fillId="7" borderId="217" xfId="2" applyNumberFormat="1" applyFont="1" applyFill="1" applyBorder="1" applyAlignment="1">
      <alignment vertical="center"/>
    </xf>
    <xf numFmtId="165" fontId="27" fillId="7" borderId="213" xfId="2" applyNumberFormat="1" applyFont="1" applyFill="1" applyBorder="1" applyAlignment="1">
      <alignment vertical="center"/>
    </xf>
    <xf numFmtId="165" fontId="27" fillId="7" borderId="225" xfId="2" applyNumberFormat="1" applyFont="1" applyFill="1" applyBorder="1" applyAlignment="1">
      <alignment vertical="center" wrapText="1"/>
    </xf>
    <xf numFmtId="165" fontId="27" fillId="7" borderId="217" xfId="2" applyNumberFormat="1" applyFont="1" applyFill="1" applyBorder="1" applyAlignment="1">
      <alignment vertical="center" wrapText="1"/>
    </xf>
    <xf numFmtId="165" fontId="26" fillId="104" borderId="220" xfId="2" applyNumberFormat="1" applyFont="1" applyFill="1" applyBorder="1" applyAlignment="1">
      <alignment vertical="center" wrapText="1"/>
    </xf>
    <xf numFmtId="165" fontId="26" fillId="0" borderId="221" xfId="2" applyNumberFormat="1" applyFont="1" applyFill="1" applyBorder="1" applyAlignment="1">
      <alignment vertical="center" wrapText="1"/>
    </xf>
    <xf numFmtId="165" fontId="26" fillId="0" borderId="213" xfId="2" applyNumberFormat="1" applyFont="1" applyFill="1" applyBorder="1" applyAlignment="1">
      <alignment vertical="center" wrapText="1"/>
    </xf>
    <xf numFmtId="165" fontId="26" fillId="0" borderId="225" xfId="2" applyNumberFormat="1" applyFont="1" applyFill="1" applyBorder="1" applyAlignment="1">
      <alignment vertical="center" wrapText="1"/>
    </xf>
    <xf numFmtId="165" fontId="60" fillId="105" borderId="215" xfId="2" applyNumberFormat="1" applyFont="1" applyFill="1" applyBorder="1" applyAlignment="1">
      <alignment vertical="center" wrapText="1"/>
    </xf>
    <xf numFmtId="165" fontId="26" fillId="105" borderId="215" xfId="2" applyNumberFormat="1" applyFont="1" applyFill="1" applyBorder="1" applyAlignment="1">
      <alignment vertical="center" wrapText="1"/>
    </xf>
    <xf numFmtId="165" fontId="57" fillId="105" borderId="215" xfId="2" applyNumberFormat="1" applyFont="1" applyFill="1" applyBorder="1" applyAlignment="1">
      <alignment vertical="center" wrapText="1"/>
    </xf>
    <xf numFmtId="3" fontId="57" fillId="91" borderId="225" xfId="0" applyNumberFormat="1" applyFont="1" applyFill="1" applyBorder="1" applyAlignment="1">
      <alignment vertical="center" wrapText="1"/>
    </xf>
    <xf numFmtId="3" fontId="57" fillId="91" borderId="216" xfId="0" applyNumberFormat="1" applyFont="1" applyFill="1" applyBorder="1" applyAlignment="1">
      <alignment vertical="center" wrapText="1"/>
    </xf>
    <xf numFmtId="3" fontId="57" fillId="91" borderId="217" xfId="0" applyNumberFormat="1" applyFont="1" applyFill="1" applyBorder="1" applyAlignment="1">
      <alignment vertical="center" wrapText="1"/>
    </xf>
    <xf numFmtId="165" fontId="27" fillId="105" borderId="215" xfId="2" applyNumberFormat="1" applyFont="1" applyFill="1" applyBorder="1" applyAlignment="1">
      <alignment vertical="center"/>
    </xf>
    <xf numFmtId="165" fontId="27" fillId="7" borderId="216" xfId="2" applyNumberFormat="1" applyFont="1" applyFill="1" applyBorder="1" applyAlignment="1">
      <alignment vertical="center"/>
    </xf>
    <xf numFmtId="165" fontId="27" fillId="104" borderId="223" xfId="2" applyNumberFormat="1" applyFont="1" applyFill="1" applyBorder="1" applyAlignment="1">
      <alignment vertical="center" wrapText="1"/>
    </xf>
    <xf numFmtId="165" fontId="27" fillId="7" borderId="224" xfId="2" applyNumberFormat="1" applyFont="1" applyFill="1" applyBorder="1" applyAlignment="1">
      <alignment vertical="center" wrapText="1"/>
    </xf>
    <xf numFmtId="165" fontId="27" fillId="7" borderId="229" xfId="2" applyNumberFormat="1" applyFont="1" applyFill="1" applyBorder="1" applyAlignment="1">
      <alignment vertical="center"/>
    </xf>
    <xf numFmtId="3" fontId="57" fillId="91" borderId="219" xfId="0" applyNumberFormat="1" applyFont="1" applyFill="1" applyBorder="1" applyAlignment="1">
      <alignment vertical="center" wrapText="1"/>
    </xf>
    <xf numFmtId="165" fontId="57" fillId="105" borderId="218" xfId="2" applyNumberFormat="1" applyFont="1" applyFill="1" applyBorder="1" applyAlignment="1">
      <alignment vertical="center" wrapText="1"/>
    </xf>
    <xf numFmtId="165" fontId="27" fillId="105" borderId="218" xfId="2" applyNumberFormat="1" applyFont="1" applyFill="1" applyBorder="1" applyAlignment="1">
      <alignment vertical="center"/>
    </xf>
    <xf numFmtId="165" fontId="27" fillId="7" borderId="220" xfId="2" applyNumberFormat="1" applyFont="1" applyFill="1" applyBorder="1" applyAlignment="1">
      <alignment vertical="center" wrapText="1"/>
    </xf>
    <xf numFmtId="0" fontId="57" fillId="91" borderId="225" xfId="0" applyFont="1" applyFill="1" applyBorder="1" applyAlignment="1">
      <alignment vertical="center" wrapText="1"/>
    </xf>
    <xf numFmtId="3" fontId="57" fillId="91" borderId="221" xfId="0" applyNumberFormat="1" applyFont="1" applyFill="1" applyBorder="1" applyAlignment="1">
      <alignment vertical="center" wrapText="1"/>
    </xf>
    <xf numFmtId="165" fontId="27" fillId="105" borderId="225" xfId="2" applyNumberFormat="1" applyFont="1" applyFill="1" applyBorder="1" applyAlignment="1">
      <alignment vertical="center" wrapText="1"/>
    </xf>
    <xf numFmtId="165" fontId="27" fillId="0" borderId="225" xfId="2" applyNumberFormat="1" applyFont="1" applyFill="1" applyBorder="1" applyAlignment="1">
      <alignment vertical="center" wrapText="1"/>
    </xf>
    <xf numFmtId="165" fontId="27" fillId="0" borderId="220" xfId="2" applyNumberFormat="1" applyFont="1" applyFill="1" applyBorder="1" applyAlignment="1">
      <alignment vertical="center" wrapText="1"/>
    </xf>
    <xf numFmtId="165" fontId="26" fillId="0" borderId="220" xfId="2" applyNumberFormat="1" applyFont="1" applyFill="1" applyBorder="1" applyAlignment="1">
      <alignment vertical="center" wrapText="1"/>
    </xf>
    <xf numFmtId="165" fontId="60" fillId="105" borderId="225" xfId="2" applyNumberFormat="1" applyFont="1" applyFill="1" applyBorder="1" applyAlignment="1">
      <alignment vertical="center" wrapText="1"/>
    </xf>
    <xf numFmtId="165" fontId="57" fillId="105" borderId="225" xfId="2" applyNumberFormat="1" applyFont="1" applyFill="1" applyBorder="1" applyAlignment="1">
      <alignment vertical="center" wrapText="1"/>
    </xf>
    <xf numFmtId="165" fontId="27" fillId="7" borderId="220" xfId="2" applyNumberFormat="1" applyFont="1" applyFill="1" applyBorder="1" applyAlignment="1">
      <alignment vertical="center"/>
    </xf>
    <xf numFmtId="165" fontId="27" fillId="7" borderId="219" xfId="2" applyNumberFormat="1" applyFont="1" applyFill="1" applyBorder="1" applyAlignment="1">
      <alignment vertical="center" wrapText="1"/>
    </xf>
    <xf numFmtId="165" fontId="27" fillId="7" borderId="223" xfId="2" applyNumberFormat="1" applyFont="1" applyFill="1" applyBorder="1" applyAlignment="1">
      <alignment vertical="center" wrapText="1"/>
    </xf>
    <xf numFmtId="165" fontId="57" fillId="105" borderId="229" xfId="2" applyNumberFormat="1" applyFont="1" applyFill="1" applyBorder="1" applyAlignment="1">
      <alignment vertical="center" wrapText="1"/>
    </xf>
    <xf numFmtId="165" fontId="27" fillId="7" borderId="219" xfId="2" applyNumberFormat="1" applyFont="1" applyFill="1" applyBorder="1" applyAlignment="1">
      <alignment vertical="center"/>
    </xf>
    <xf numFmtId="165" fontId="27" fillId="7" borderId="223" xfId="2" applyNumberFormat="1" applyFont="1" applyFill="1" applyBorder="1" applyAlignment="1">
      <alignment vertical="center"/>
    </xf>
    <xf numFmtId="165" fontId="27" fillId="7" borderId="229" xfId="2" applyNumberFormat="1" applyFont="1" applyFill="1" applyBorder="1" applyAlignment="1">
      <alignment vertical="center" wrapText="1"/>
    </xf>
    <xf numFmtId="165" fontId="60" fillId="0" borderId="213" xfId="2" applyNumberFormat="1" applyFont="1" applyFill="1" applyBorder="1" applyAlignment="1">
      <alignment vertical="center" wrapText="1"/>
    </xf>
    <xf numFmtId="165" fontId="60" fillId="0" borderId="225" xfId="2" applyNumberFormat="1" applyFont="1" applyFill="1" applyBorder="1" applyAlignment="1">
      <alignment vertical="center" wrapText="1"/>
    </xf>
    <xf numFmtId="165" fontId="60" fillId="105" borderId="217" xfId="2" applyNumberFormat="1" applyFont="1" applyFill="1" applyBorder="1" applyAlignment="1">
      <alignment vertical="center" wrapText="1"/>
    </xf>
    <xf numFmtId="165" fontId="60" fillId="0" borderId="217" xfId="2" applyNumberFormat="1" applyFont="1" applyFill="1" applyBorder="1" applyAlignment="1">
      <alignment vertical="center" wrapText="1"/>
    </xf>
    <xf numFmtId="165" fontId="57" fillId="7" borderId="213" xfId="2" applyNumberFormat="1" applyFont="1" applyFill="1" applyBorder="1" applyAlignment="1">
      <alignment vertical="center" wrapText="1"/>
    </xf>
    <xf numFmtId="165" fontId="57" fillId="7" borderId="225" xfId="2" applyNumberFormat="1" applyFont="1" applyFill="1" applyBorder="1" applyAlignment="1">
      <alignment vertical="center" wrapText="1"/>
    </xf>
    <xf numFmtId="165" fontId="57" fillId="105" borderId="217" xfId="2" applyNumberFormat="1" applyFont="1" applyFill="1" applyBorder="1" applyAlignment="1">
      <alignment vertical="center" wrapText="1"/>
    </xf>
    <xf numFmtId="165" fontId="57" fillId="7" borderId="217" xfId="2" applyNumberFormat="1" applyFont="1" applyFill="1" applyBorder="1" applyAlignment="1">
      <alignment vertical="center"/>
    </xf>
    <xf numFmtId="165" fontId="27" fillId="0" borderId="213" xfId="2" applyNumberFormat="1" applyFont="1" applyFill="1" applyBorder="1" applyAlignment="1">
      <alignment vertical="center"/>
    </xf>
    <xf numFmtId="165" fontId="57" fillId="7" borderId="225" xfId="2" applyNumberFormat="1" applyFont="1" applyFill="1" applyBorder="1" applyAlignment="1">
      <alignment vertical="center"/>
    </xf>
    <xf numFmtId="165" fontId="57" fillId="7" borderId="229" xfId="2" applyNumberFormat="1" applyFont="1" applyFill="1" applyBorder="1" applyAlignment="1">
      <alignment vertical="center" wrapText="1"/>
    </xf>
    <xf numFmtId="165" fontId="27" fillId="105" borderId="218" xfId="2" applyNumberFormat="1" applyFont="1" applyFill="1" applyBorder="1" applyAlignment="1">
      <alignment vertical="center" wrapText="1"/>
    </xf>
    <xf numFmtId="165" fontId="57" fillId="7" borderId="216" xfId="2" applyNumberFormat="1" applyFont="1" applyFill="1" applyBorder="1" applyAlignment="1">
      <alignment vertical="center" wrapText="1"/>
    </xf>
    <xf numFmtId="165" fontId="27" fillId="0" borderId="220" xfId="2" applyNumberFormat="1" applyFont="1" applyFill="1" applyBorder="1" applyAlignment="1">
      <alignment vertical="center"/>
    </xf>
    <xf numFmtId="165" fontId="27" fillId="7" borderId="217" xfId="1" applyNumberFormat="1" applyFont="1" applyFill="1" applyBorder="1" applyAlignment="1">
      <alignment vertical="center"/>
    </xf>
    <xf numFmtId="165" fontId="27" fillId="7" borderId="216" xfId="1" applyNumberFormat="1" applyFont="1" applyFill="1" applyBorder="1" applyAlignment="1">
      <alignment vertical="center"/>
    </xf>
    <xf numFmtId="165" fontId="27" fillId="7" borderId="220" xfId="1" applyNumberFormat="1" applyFont="1" applyFill="1" applyBorder="1" applyAlignment="1">
      <alignment vertical="center"/>
    </xf>
    <xf numFmtId="165" fontId="57" fillId="0" borderId="217" xfId="2" applyNumberFormat="1" applyFont="1" applyBorder="1" applyAlignment="1">
      <alignment vertical="center" wrapText="1"/>
    </xf>
    <xf numFmtId="165" fontId="57" fillId="7" borderId="229" xfId="2" applyNumberFormat="1" applyFont="1" applyFill="1" applyBorder="1" applyAlignment="1">
      <alignment vertical="center"/>
    </xf>
    <xf numFmtId="165" fontId="27" fillId="0" borderId="222" xfId="2" applyNumberFormat="1" applyFont="1" applyFill="1" applyBorder="1" applyAlignment="1">
      <alignment vertical="center" wrapText="1"/>
    </xf>
    <xf numFmtId="165" fontId="27" fillId="105" borderId="222" xfId="2" applyNumberFormat="1" applyFont="1" applyFill="1" applyBorder="1" applyAlignment="1">
      <alignment vertical="center" wrapText="1"/>
    </xf>
    <xf numFmtId="165" fontId="57" fillId="105" borderId="222" xfId="2" applyNumberFormat="1" applyFont="1" applyFill="1" applyBorder="1" applyAlignment="1">
      <alignment vertical="center" wrapText="1"/>
    </xf>
    <xf numFmtId="165" fontId="26" fillId="0" borderId="222" xfId="2" applyNumberFormat="1" applyFont="1" applyFill="1" applyBorder="1" applyAlignment="1">
      <alignment vertical="center" wrapText="1"/>
    </xf>
    <xf numFmtId="165" fontId="60" fillId="105" borderId="222" xfId="2" applyNumberFormat="1" applyFont="1" applyFill="1" applyBorder="1" applyAlignment="1">
      <alignment vertical="center" wrapText="1"/>
    </xf>
    <xf numFmtId="165" fontId="27" fillId="0" borderId="215" xfId="2" applyNumberFormat="1" applyFont="1" applyFill="1" applyBorder="1" applyAlignment="1">
      <alignment vertical="center"/>
    </xf>
    <xf numFmtId="165" fontId="27" fillId="0" borderId="222" xfId="2" applyNumberFormat="1" applyFont="1" applyFill="1" applyBorder="1" applyAlignment="1">
      <alignment vertical="center"/>
    </xf>
    <xf numFmtId="165" fontId="27" fillId="0" borderId="217" xfId="2" applyNumberFormat="1" applyFont="1" applyFill="1" applyBorder="1" applyAlignment="1">
      <alignment vertical="center"/>
    </xf>
    <xf numFmtId="165" fontId="27" fillId="0" borderId="216" xfId="2" applyNumberFormat="1" applyFont="1" applyFill="1" applyBorder="1" applyAlignment="1">
      <alignment vertical="center" wrapText="1"/>
    </xf>
    <xf numFmtId="165" fontId="27" fillId="0" borderId="229" xfId="2" applyNumberFormat="1" applyFont="1" applyFill="1" applyBorder="1" applyAlignment="1">
      <alignment vertical="center"/>
    </xf>
    <xf numFmtId="165" fontId="27" fillId="0" borderId="219" xfId="2" applyNumberFormat="1" applyFont="1" applyFill="1" applyBorder="1" applyAlignment="1">
      <alignment vertical="center" wrapText="1"/>
    </xf>
    <xf numFmtId="165" fontId="27" fillId="0" borderId="229" xfId="2" applyNumberFormat="1" applyFont="1" applyFill="1" applyBorder="1" applyAlignment="1">
      <alignment vertical="center" wrapText="1"/>
    </xf>
    <xf numFmtId="165" fontId="27" fillId="0" borderId="217" xfId="2" applyNumberFormat="1" applyFont="1" applyBorder="1" applyAlignment="1">
      <alignment vertical="center" wrapText="1"/>
    </xf>
    <xf numFmtId="165" fontId="27" fillId="0" borderId="225" xfId="2" applyNumberFormat="1" applyFont="1" applyBorder="1" applyAlignment="1">
      <alignment vertical="center" wrapText="1"/>
    </xf>
    <xf numFmtId="165" fontId="27" fillId="7" borderId="215" xfId="2" applyNumberFormat="1" applyFont="1" applyFill="1" applyBorder="1" applyAlignment="1">
      <alignment vertical="center" wrapText="1"/>
    </xf>
    <xf numFmtId="41" fontId="27" fillId="7" borderId="217" xfId="2" applyNumberFormat="1" applyFont="1" applyFill="1" applyBorder="1" applyAlignment="1">
      <alignment vertical="center"/>
    </xf>
    <xf numFmtId="41" fontId="27" fillId="7" borderId="215" xfId="2" applyNumberFormat="1" applyFont="1" applyFill="1" applyBorder="1" applyAlignment="1">
      <alignment vertical="center" wrapText="1"/>
    </xf>
    <xf numFmtId="41" fontId="27" fillId="7" borderId="217" xfId="2" applyNumberFormat="1" applyFont="1" applyFill="1" applyBorder="1" applyAlignment="1">
      <alignment vertical="center" wrapText="1"/>
    </xf>
    <xf numFmtId="41" fontId="27" fillId="7" borderId="218" xfId="2" applyNumberFormat="1" applyFont="1" applyFill="1" applyBorder="1" applyAlignment="1">
      <alignment vertical="center"/>
    </xf>
    <xf numFmtId="165" fontId="27" fillId="0" borderId="213" xfId="2" applyNumberFormat="1" applyFont="1" applyBorder="1" applyAlignment="1">
      <alignment vertical="center" wrapText="1"/>
    </xf>
    <xf numFmtId="165" fontId="27" fillId="0" borderId="225" xfId="2" applyNumberFormat="1" applyFont="1" applyFill="1" applyBorder="1" applyAlignment="1">
      <alignment vertical="center"/>
    </xf>
    <xf numFmtId="165" fontId="27" fillId="0" borderId="216" xfId="2" applyNumberFormat="1" applyFont="1" applyFill="1" applyBorder="1" applyAlignment="1">
      <alignment vertical="center"/>
    </xf>
    <xf numFmtId="165" fontId="27" fillId="0" borderId="223" xfId="2" applyNumberFormat="1" applyFont="1" applyFill="1" applyBorder="1" applyAlignment="1">
      <alignment vertical="center" wrapText="1"/>
    </xf>
    <xf numFmtId="0" fontId="145" fillId="0" borderId="216" xfId="0" applyFont="1" applyBorder="1" applyAlignment="1">
      <alignment vertical="center" wrapText="1"/>
    </xf>
    <xf numFmtId="0" fontId="145" fillId="0" borderId="215" xfId="0" applyFont="1" applyBorder="1" applyAlignment="1">
      <alignment vertical="center" wrapText="1"/>
    </xf>
    <xf numFmtId="3" fontId="57" fillId="91" borderId="217" xfId="0" applyNumberFormat="1" applyFont="1" applyFill="1" applyBorder="1" applyAlignment="1">
      <alignment vertical="center"/>
    </xf>
    <xf numFmtId="3" fontId="145" fillId="0" borderId="216" xfId="0" applyNumberFormat="1" applyFont="1" applyBorder="1" applyAlignment="1">
      <alignment vertical="center" wrapText="1"/>
    </xf>
    <xf numFmtId="3" fontId="145" fillId="0" borderId="215" xfId="0" applyNumberFormat="1" applyFont="1" applyBorder="1" applyAlignment="1">
      <alignment vertical="center" wrapText="1"/>
    </xf>
    <xf numFmtId="0" fontId="57" fillId="91" borderId="217" xfId="0" applyFont="1" applyFill="1" applyBorder="1" applyAlignment="1">
      <alignment vertical="center"/>
    </xf>
    <xf numFmtId="0" fontId="57" fillId="91" borderId="216" xfId="0" applyFont="1" applyFill="1" applyBorder="1" applyAlignment="1">
      <alignment vertical="center" wrapText="1"/>
    </xf>
    <xf numFmtId="0" fontId="57" fillId="91" borderId="219" xfId="0" applyFont="1" applyFill="1" applyBorder="1" applyAlignment="1">
      <alignment vertical="center" wrapText="1"/>
    </xf>
    <xf numFmtId="165" fontId="27" fillId="0" borderId="211" xfId="2" applyNumberFormat="1" applyFont="1" applyFill="1" applyBorder="1" applyAlignment="1">
      <alignment vertical="center"/>
    </xf>
    <xf numFmtId="165" fontId="27" fillId="7" borderId="217" xfId="1" applyNumberFormat="1" applyFont="1" applyFill="1" applyBorder="1" applyAlignment="1">
      <alignment vertical="center" wrapText="1"/>
    </xf>
    <xf numFmtId="165" fontId="27" fillId="7" borderId="216" xfId="1" applyNumberFormat="1" applyFont="1" applyFill="1" applyBorder="1" applyAlignment="1">
      <alignment vertical="center" wrapText="1"/>
    </xf>
    <xf numFmtId="165" fontId="27" fillId="105" borderId="209" xfId="2" applyNumberFormat="1" applyFont="1" applyFill="1" applyBorder="1" applyAlignment="1">
      <alignment vertical="center"/>
    </xf>
    <xf numFmtId="165" fontId="2" fillId="7" borderId="217" xfId="1" applyNumberFormat="1" applyFont="1" applyFill="1" applyBorder="1" applyAlignment="1">
      <alignment vertical="center" wrapText="1"/>
    </xf>
    <xf numFmtId="165" fontId="2" fillId="7" borderId="217" xfId="1" applyNumberFormat="1" applyFont="1" applyFill="1" applyBorder="1" applyAlignment="1">
      <alignment vertical="center"/>
    </xf>
    <xf numFmtId="165" fontId="2" fillId="7" borderId="216" xfId="1" applyNumberFormat="1" applyFont="1" applyFill="1" applyBorder="1" applyAlignment="1">
      <alignment vertical="center" wrapText="1"/>
    </xf>
    <xf numFmtId="165" fontId="2" fillId="7" borderId="215" xfId="1" applyNumberFormat="1" applyFont="1" applyFill="1" applyBorder="1" applyAlignment="1">
      <alignment vertical="center" wrapText="1"/>
    </xf>
    <xf numFmtId="165" fontId="2" fillId="7" borderId="213" xfId="1" applyNumberFormat="1" applyFont="1" applyFill="1" applyBorder="1" applyAlignment="1">
      <alignment vertical="center"/>
    </xf>
    <xf numFmtId="165" fontId="2" fillId="7" borderId="215" xfId="1" applyNumberFormat="1" applyFont="1" applyFill="1" applyBorder="1" applyAlignment="1">
      <alignment vertical="center"/>
    </xf>
    <xf numFmtId="165" fontId="2" fillId="7" borderId="219" xfId="1" applyNumberFormat="1" applyFont="1" applyFill="1" applyBorder="1" applyAlignment="1">
      <alignment vertical="center" wrapText="1"/>
    </xf>
    <xf numFmtId="165" fontId="2" fillId="7" borderId="218" xfId="1" applyNumberFormat="1" applyFont="1" applyFill="1" applyBorder="1" applyAlignment="1">
      <alignment vertical="center" wrapText="1"/>
    </xf>
    <xf numFmtId="165" fontId="2" fillId="0" borderId="217" xfId="2" applyNumberFormat="1" applyFont="1" applyBorder="1" applyAlignment="1">
      <alignment vertical="center" wrapText="1"/>
    </xf>
    <xf numFmtId="165" fontId="2" fillId="0" borderId="213" xfId="2" applyNumberFormat="1" applyFont="1" applyBorder="1" applyAlignment="1">
      <alignment vertical="center" wrapText="1"/>
    </xf>
    <xf numFmtId="165" fontId="2" fillId="0" borderId="215" xfId="2" applyNumberFormat="1" applyFont="1" applyBorder="1" applyAlignment="1">
      <alignment vertical="center" wrapText="1"/>
    </xf>
    <xf numFmtId="165" fontId="2" fillId="7" borderId="218" xfId="1" applyNumberFormat="1" applyFont="1" applyFill="1" applyBorder="1" applyAlignment="1">
      <alignment vertical="center"/>
    </xf>
    <xf numFmtId="43" fontId="27" fillId="7" borderId="217" xfId="2" applyFont="1" applyFill="1" applyBorder="1" applyAlignment="1">
      <alignment vertical="center" wrapText="1"/>
    </xf>
    <xf numFmtId="43" fontId="27" fillId="7" borderId="217" xfId="2" applyFont="1" applyFill="1" applyBorder="1" applyAlignment="1">
      <alignment vertical="center"/>
    </xf>
    <xf numFmtId="43" fontId="27" fillId="7" borderId="213" xfId="2" applyFont="1" applyFill="1" applyBorder="1" applyAlignment="1">
      <alignment vertical="center"/>
    </xf>
    <xf numFmtId="43" fontId="27" fillId="7" borderId="225" xfId="2" applyFont="1" applyFill="1" applyBorder="1" applyAlignment="1">
      <alignment vertical="center"/>
    </xf>
    <xf numFmtId="165" fontId="142" fillId="7" borderId="215" xfId="2" applyNumberFormat="1" applyFont="1" applyFill="1" applyBorder="1" applyAlignment="1" applyProtection="1">
      <alignment horizontal="center" vertical="center"/>
    </xf>
    <xf numFmtId="165" fontId="2" fillId="0" borderId="213" xfId="1" applyNumberFormat="1" applyFont="1" applyBorder="1" applyAlignment="1">
      <alignment vertical="center"/>
    </xf>
    <xf numFmtId="165" fontId="2" fillId="0" borderId="215" xfId="1" applyNumberFormat="1" applyFont="1" applyBorder="1" applyAlignment="1">
      <alignment vertical="center"/>
    </xf>
    <xf numFmtId="165" fontId="36" fillId="0" borderId="217" xfId="0" applyNumberFormat="1" applyFont="1" applyBorder="1" applyAlignment="1">
      <alignment vertical="center"/>
    </xf>
    <xf numFmtId="165" fontId="2" fillId="7" borderId="213" xfId="1" applyNumberFormat="1" applyFont="1" applyFill="1" applyBorder="1" applyAlignment="1">
      <alignment vertical="center" wrapText="1"/>
    </xf>
    <xf numFmtId="165" fontId="27" fillId="105" borderId="212" xfId="2" applyNumberFormat="1" applyFont="1" applyFill="1" applyBorder="1" applyAlignment="1">
      <alignment vertical="center"/>
    </xf>
    <xf numFmtId="165" fontId="2" fillId="7" borderId="215" xfId="2" applyNumberFormat="1" applyFont="1" applyFill="1" applyBorder="1" applyAlignment="1">
      <alignment horizontal="center" vertical="center"/>
    </xf>
    <xf numFmtId="165" fontId="2" fillId="7" borderId="216" xfId="2" applyNumberFormat="1" applyFont="1" applyFill="1" applyBorder="1" applyAlignment="1">
      <alignment horizontal="center" vertical="center"/>
    </xf>
    <xf numFmtId="165" fontId="2" fillId="7" borderId="225" xfId="2" applyNumberFormat="1" applyFont="1" applyFill="1" applyBorder="1" applyAlignment="1">
      <alignment horizontal="center" vertical="center"/>
    </xf>
    <xf numFmtId="165" fontId="2" fillId="105" borderId="225" xfId="2" applyNumberFormat="1" applyFont="1" applyFill="1" applyBorder="1" applyAlignment="1">
      <alignment horizontal="center" vertical="center"/>
    </xf>
    <xf numFmtId="165" fontId="26" fillId="105" borderId="225" xfId="2" applyNumberFormat="1" applyFont="1" applyFill="1" applyBorder="1" applyAlignment="1">
      <alignment vertical="center" wrapText="1"/>
    </xf>
    <xf numFmtId="165" fontId="27" fillId="105" borderId="229" xfId="2" applyNumberFormat="1" applyFont="1" applyFill="1" applyBorder="1" applyAlignment="1">
      <alignment vertical="center"/>
    </xf>
    <xf numFmtId="165" fontId="27" fillId="105" borderId="225" xfId="2" applyNumberFormat="1" applyFont="1" applyFill="1" applyBorder="1" applyAlignment="1">
      <alignment vertical="center"/>
    </xf>
    <xf numFmtId="165" fontId="147" fillId="7" borderId="217" xfId="2" applyNumberFormat="1" applyFont="1" applyFill="1" applyBorder="1" applyAlignment="1">
      <alignment vertical="center" wrapText="1"/>
    </xf>
    <xf numFmtId="165" fontId="147" fillId="7" borderId="217" xfId="2" applyNumberFormat="1" applyFont="1" applyFill="1" applyBorder="1" applyAlignment="1">
      <alignment vertical="center"/>
    </xf>
    <xf numFmtId="165" fontId="147" fillId="7" borderId="216" xfId="2" applyNumberFormat="1" applyFont="1" applyFill="1" applyBorder="1" applyAlignment="1">
      <alignment vertical="center" wrapText="1"/>
    </xf>
    <xf numFmtId="165" fontId="147" fillId="7" borderId="225" xfId="2" applyNumberFormat="1" applyFont="1" applyFill="1" applyBorder="1" applyAlignment="1">
      <alignment vertical="center" wrapText="1"/>
    </xf>
    <xf numFmtId="165" fontId="147" fillId="7" borderId="216" xfId="2" applyNumberFormat="1" applyFont="1" applyFill="1" applyBorder="1" applyAlignment="1">
      <alignment vertical="center"/>
    </xf>
    <xf numFmtId="165" fontId="147" fillId="105" borderId="225" xfId="2" applyNumberFormat="1" applyFont="1" applyFill="1" applyBorder="1" applyAlignment="1">
      <alignment vertical="center"/>
    </xf>
    <xf numFmtId="165" fontId="147" fillId="7" borderId="229" xfId="2" applyNumberFormat="1" applyFont="1" applyFill="1" applyBorder="1" applyAlignment="1">
      <alignment vertical="center" wrapText="1"/>
    </xf>
    <xf numFmtId="165" fontId="147" fillId="105" borderId="229" xfId="2" applyNumberFormat="1" applyFont="1" applyFill="1" applyBorder="1" applyAlignment="1">
      <alignment vertical="center"/>
    </xf>
    <xf numFmtId="165" fontId="147" fillId="7" borderId="213" xfId="2" applyNumberFormat="1" applyFont="1" applyFill="1" applyBorder="1" applyAlignment="1">
      <alignment vertical="center" wrapText="1"/>
    </xf>
    <xf numFmtId="165" fontId="147" fillId="7" borderId="219" xfId="2" applyNumberFormat="1" applyFont="1" applyFill="1" applyBorder="1" applyAlignment="1">
      <alignment vertical="center" wrapText="1"/>
    </xf>
    <xf numFmtId="165" fontId="147" fillId="7" borderId="219" xfId="2" applyNumberFormat="1" applyFont="1" applyFill="1" applyBorder="1" applyAlignment="1">
      <alignment vertical="center"/>
    </xf>
    <xf numFmtId="165" fontId="147" fillId="105" borderId="229" xfId="2" applyNumberFormat="1" applyFont="1" applyFill="1" applyBorder="1" applyAlignment="1">
      <alignment vertical="center" wrapText="1"/>
    </xf>
    <xf numFmtId="0" fontId="2" fillId="4" borderId="230" xfId="25" applyFont="1" applyFill="1" applyBorder="1" applyAlignment="1">
      <alignment vertical="center"/>
    </xf>
    <xf numFmtId="0" fontId="2" fillId="0" borderId="209" xfId="25" applyFont="1" applyBorder="1" applyAlignment="1">
      <alignment horizontal="center" vertical="center"/>
    </xf>
    <xf numFmtId="0" fontId="2" fillId="4" borderId="230" xfId="25" applyFont="1" applyFill="1" applyBorder="1" applyAlignment="1">
      <alignment horizontal="left" vertical="center"/>
    </xf>
    <xf numFmtId="0" fontId="2" fillId="4" borderId="230" xfId="25" applyFont="1" applyFill="1" applyBorder="1" applyAlignment="1">
      <alignment horizontal="left" vertical="center" wrapText="1"/>
    </xf>
    <xf numFmtId="0" fontId="3" fillId="4" borderId="230" xfId="25" applyFont="1" applyFill="1" applyBorder="1" applyAlignment="1">
      <alignment horizontal="left" vertical="center"/>
    </xf>
    <xf numFmtId="0" fontId="3" fillId="0" borderId="209" xfId="25" applyFont="1" applyBorder="1" applyAlignment="1">
      <alignment horizontal="center" vertical="center"/>
    </xf>
    <xf numFmtId="0" fontId="3" fillId="4" borderId="230" xfId="25" applyFont="1" applyFill="1" applyBorder="1" applyAlignment="1">
      <alignment vertical="center"/>
    </xf>
    <xf numFmtId="0" fontId="2" fillId="4" borderId="230" xfId="25" applyFont="1" applyFill="1" applyBorder="1" applyAlignment="1">
      <alignment vertical="center" wrapText="1"/>
    </xf>
    <xf numFmtId="0" fontId="2" fillId="4" borderId="215" xfId="25" applyFont="1" applyFill="1" applyBorder="1" applyAlignment="1">
      <alignment vertical="center"/>
    </xf>
    <xf numFmtId="0" fontId="2" fillId="0" borderId="212" xfId="25" applyFont="1" applyBorder="1" applyAlignment="1">
      <alignment horizontal="center" vertical="center"/>
    </xf>
    <xf numFmtId="165" fontId="2" fillId="104" borderId="230" xfId="2" applyNumberFormat="1" applyFont="1" applyFill="1" applyBorder="1" applyAlignment="1">
      <alignment vertical="center"/>
    </xf>
    <xf numFmtId="165" fontId="2" fillId="0" borderId="215" xfId="2" applyNumberFormat="1" applyFont="1" applyFill="1" applyBorder="1" applyAlignment="1">
      <alignment vertical="center"/>
    </xf>
    <xf numFmtId="165" fontId="2" fillId="0" borderId="212" xfId="2" applyNumberFormat="1" applyFont="1" applyFill="1" applyBorder="1" applyAlignment="1">
      <alignment vertical="center"/>
    </xf>
    <xf numFmtId="0" fontId="2" fillId="4" borderId="215" xfId="25" applyFont="1" applyFill="1" applyBorder="1" applyAlignment="1">
      <alignment horizontal="left" vertical="center"/>
    </xf>
    <xf numFmtId="0" fontId="2" fillId="4" borderId="215" xfId="25" applyFont="1" applyFill="1" applyBorder="1" applyAlignment="1">
      <alignment horizontal="left" vertical="center" wrapText="1"/>
    </xf>
    <xf numFmtId="0" fontId="3" fillId="4" borderId="215" xfId="25" applyFont="1" applyFill="1" applyBorder="1" applyAlignment="1">
      <alignment horizontal="left" vertical="center"/>
    </xf>
    <xf numFmtId="0" fontId="3" fillId="0" borderId="212" xfId="25" applyFont="1" applyBorder="1" applyAlignment="1">
      <alignment horizontal="center" vertical="center"/>
    </xf>
    <xf numFmtId="0" fontId="2" fillId="4" borderId="215" xfId="0" applyFont="1" applyFill="1" applyBorder="1" applyAlignment="1">
      <alignment vertical="center"/>
    </xf>
    <xf numFmtId="0" fontId="3" fillId="4" borderId="215" xfId="25" applyFont="1" applyFill="1" applyBorder="1" applyAlignment="1">
      <alignment vertical="center"/>
    </xf>
    <xf numFmtId="0" fontId="2" fillId="4" borderId="215" xfId="25" applyFont="1" applyFill="1" applyBorder="1" applyAlignment="1">
      <alignment vertical="center" wrapText="1"/>
    </xf>
    <xf numFmtId="0" fontId="2" fillId="4" borderId="215" xfId="15" applyFont="1" applyFill="1" applyBorder="1" applyAlignment="1">
      <alignment vertical="center"/>
    </xf>
    <xf numFmtId="165" fontId="2" fillId="104" borderId="215" xfId="2" applyNumberFormat="1" applyFont="1" applyFill="1" applyBorder="1" applyAlignment="1">
      <alignment vertical="center"/>
    </xf>
    <xf numFmtId="165" fontId="2" fillId="105" borderId="209" xfId="2" applyNumberFormat="1" applyFont="1" applyFill="1" applyBorder="1" applyAlignment="1">
      <alignment vertical="center"/>
    </xf>
    <xf numFmtId="165" fontId="2" fillId="0" borderId="209" xfId="2" applyNumberFormat="1" applyFont="1" applyFill="1" applyBorder="1" applyAlignment="1">
      <alignment vertical="center"/>
    </xf>
    <xf numFmtId="165" fontId="2" fillId="105" borderId="231" xfId="2" applyNumberFormat="1" applyFont="1" applyFill="1" applyBorder="1" applyAlignment="1">
      <alignment vertical="center"/>
    </xf>
    <xf numFmtId="0" fontId="2" fillId="4" borderId="232" xfId="25" applyFont="1" applyFill="1" applyBorder="1" applyAlignment="1">
      <alignment vertical="center"/>
    </xf>
    <xf numFmtId="0" fontId="2" fillId="0" borderId="211" xfId="25" applyFont="1" applyBorder="1" applyAlignment="1">
      <alignment horizontal="center" vertical="center"/>
    </xf>
    <xf numFmtId="165" fontId="2" fillId="104" borderId="218" xfId="2" applyNumberFormat="1" applyFont="1" applyFill="1" applyBorder="1" applyAlignment="1">
      <alignment vertical="center"/>
    </xf>
    <xf numFmtId="165" fontId="2" fillId="0" borderId="211" xfId="2" applyNumberFormat="1" applyFont="1" applyFill="1" applyBorder="1" applyAlignment="1">
      <alignment vertical="center"/>
    </xf>
    <xf numFmtId="165" fontId="2" fillId="0" borderId="218" xfId="2" applyNumberFormat="1" applyFont="1" applyFill="1" applyBorder="1" applyAlignment="1">
      <alignment vertical="center"/>
    </xf>
    <xf numFmtId="165" fontId="2" fillId="105" borderId="211" xfId="2" applyNumberFormat="1" applyFont="1" applyFill="1" applyBorder="1" applyAlignment="1">
      <alignment vertical="center"/>
    </xf>
    <xf numFmtId="165" fontId="2" fillId="105" borderId="233" xfId="2" applyNumberFormat="1" applyFont="1" applyFill="1" applyBorder="1" applyAlignment="1">
      <alignment vertical="center"/>
    </xf>
    <xf numFmtId="0" fontId="2" fillId="0" borderId="213" xfId="25" applyFont="1" applyBorder="1" applyAlignment="1">
      <alignment horizontal="center" vertical="center"/>
    </xf>
    <xf numFmtId="165" fontId="2" fillId="104" borderId="216" xfId="2" applyNumberFormat="1" applyFont="1" applyFill="1" applyBorder="1" applyAlignment="1">
      <alignment vertical="center"/>
    </xf>
    <xf numFmtId="0" fontId="3" fillId="0" borderId="213" xfId="25" applyFont="1" applyBorder="1" applyAlignment="1">
      <alignment horizontal="center" vertical="center"/>
    </xf>
    <xf numFmtId="165" fontId="2" fillId="104" borderId="219" xfId="2" applyNumberFormat="1" applyFont="1" applyFill="1" applyBorder="1" applyAlignment="1">
      <alignment vertical="center"/>
    </xf>
    <xf numFmtId="165" fontId="2" fillId="105" borderId="218" xfId="2" applyNumberFormat="1" applyFont="1" applyFill="1" applyBorder="1" applyAlignment="1">
      <alignment vertical="center"/>
    </xf>
    <xf numFmtId="0" fontId="3" fillId="30" borderId="213" xfId="25" applyFont="1" applyFill="1" applyBorder="1" applyAlignment="1">
      <alignment horizontal="center" vertical="center"/>
    </xf>
    <xf numFmtId="0" fontId="2" fillId="0" borderId="210" xfId="25" applyFont="1" applyBorder="1" applyAlignment="1">
      <alignment horizontal="center" vertical="center"/>
    </xf>
    <xf numFmtId="165" fontId="2" fillId="105" borderId="213" xfId="2" applyNumberFormat="1" applyFont="1" applyFill="1" applyBorder="1" applyAlignment="1">
      <alignment vertical="center"/>
    </xf>
    <xf numFmtId="165" fontId="2" fillId="105" borderId="217" xfId="2" applyNumberFormat="1" applyFont="1" applyFill="1" applyBorder="1" applyAlignment="1">
      <alignment vertical="center"/>
    </xf>
    <xf numFmtId="0" fontId="3" fillId="0" borderId="210" xfId="25" applyFont="1" applyBorder="1" applyAlignment="1">
      <alignment horizontal="center" vertical="center"/>
    </xf>
    <xf numFmtId="0" fontId="2" fillId="4" borderId="230" xfId="0" applyFont="1" applyFill="1" applyBorder="1" applyAlignment="1">
      <alignment vertical="center"/>
    </xf>
    <xf numFmtId="0" fontId="2" fillId="4" borderId="230" xfId="25" applyFont="1" applyFill="1" applyBorder="1"/>
    <xf numFmtId="0" fontId="2" fillId="0" borderId="210" xfId="25" applyFont="1" applyBorder="1" applyAlignment="1">
      <alignment horizontal="center"/>
    </xf>
    <xf numFmtId="165" fontId="2" fillId="104" borderId="215" xfId="2" applyNumberFormat="1" applyFont="1" applyFill="1" applyBorder="1"/>
    <xf numFmtId="165" fontId="2" fillId="0" borderId="213" xfId="2" applyNumberFormat="1" applyFont="1" applyFill="1" applyBorder="1"/>
    <xf numFmtId="165" fontId="2" fillId="0" borderId="215" xfId="2" applyNumberFormat="1" applyFont="1" applyFill="1" applyBorder="1"/>
    <xf numFmtId="165" fontId="2" fillId="105" borderId="213" xfId="2" applyNumberFormat="1" applyFont="1" applyFill="1" applyBorder="1"/>
    <xf numFmtId="165" fontId="2" fillId="105" borderId="217" xfId="2" applyNumberFormat="1" applyFont="1" applyFill="1" applyBorder="1"/>
    <xf numFmtId="0" fontId="2" fillId="4" borderId="230" xfId="25" applyFont="1" applyFill="1" applyBorder="1" applyAlignment="1">
      <alignment horizontal="left"/>
    </xf>
    <xf numFmtId="0" fontId="2" fillId="4" borderId="230" xfId="25" applyFont="1" applyFill="1" applyBorder="1" applyAlignment="1">
      <alignment horizontal="left" wrapText="1"/>
    </xf>
    <xf numFmtId="0" fontId="3" fillId="4" borderId="230" xfId="25" applyFont="1" applyFill="1" applyBorder="1" applyAlignment="1">
      <alignment horizontal="left"/>
    </xf>
    <xf numFmtId="0" fontId="3" fillId="0" borderId="210" xfId="25" applyFont="1" applyBorder="1" applyAlignment="1">
      <alignment horizontal="center"/>
    </xf>
    <xf numFmtId="165" fontId="2" fillId="0" borderId="213" xfId="1" applyNumberFormat="1" applyFont="1" applyFill="1" applyBorder="1"/>
    <xf numFmtId="165" fontId="2" fillId="0" borderId="215" xfId="1" applyNumberFormat="1" applyFont="1" applyFill="1" applyBorder="1"/>
    <xf numFmtId="0" fontId="3" fillId="4" borderId="230" xfId="25" applyFont="1" applyFill="1" applyBorder="1"/>
    <xf numFmtId="0" fontId="2" fillId="4" borderId="230" xfId="25" applyFont="1" applyFill="1" applyBorder="1" applyAlignment="1">
      <alignment wrapText="1"/>
    </xf>
    <xf numFmtId="0" fontId="2" fillId="0" borderId="213" xfId="25" applyFont="1" applyBorder="1" applyAlignment="1">
      <alignment horizontal="center"/>
    </xf>
    <xf numFmtId="0" fontId="3" fillId="0" borderId="213" xfId="25" applyFont="1" applyBorder="1" applyAlignment="1">
      <alignment horizontal="center"/>
    </xf>
    <xf numFmtId="0" fontId="3" fillId="30" borderId="215" xfId="25" applyFont="1" applyFill="1" applyBorder="1" applyAlignment="1">
      <alignment vertical="center"/>
    </xf>
    <xf numFmtId="165" fontId="2" fillId="30" borderId="215" xfId="2" applyNumberFormat="1" applyFont="1" applyFill="1" applyBorder="1" applyAlignment="1">
      <alignment vertical="center"/>
    </xf>
    <xf numFmtId="165" fontId="2" fillId="30" borderId="213" xfId="2" applyNumberFormat="1" applyFont="1" applyFill="1" applyBorder="1" applyAlignment="1">
      <alignment vertical="center"/>
    </xf>
    <xf numFmtId="165" fontId="2" fillId="105" borderId="216" xfId="2" applyNumberFormat="1" applyFont="1" applyFill="1" applyBorder="1" applyAlignment="1">
      <alignment vertical="center"/>
    </xf>
    <xf numFmtId="0" fontId="2" fillId="7" borderId="213" xfId="25" applyFont="1" applyFill="1" applyBorder="1" applyAlignment="1">
      <alignment horizontal="center"/>
    </xf>
    <xf numFmtId="0" fontId="3" fillId="7" borderId="213" xfId="25" applyFont="1" applyFill="1" applyBorder="1" applyAlignment="1">
      <alignment horizontal="center"/>
    </xf>
    <xf numFmtId="165" fontId="3" fillId="105" borderId="215" xfId="2" applyNumberFormat="1" applyFont="1" applyFill="1" applyBorder="1" applyAlignment="1">
      <alignment vertical="center"/>
    </xf>
    <xf numFmtId="0" fontId="2" fillId="7" borderId="210" xfId="25" applyFont="1" applyFill="1" applyBorder="1" applyAlignment="1">
      <alignment horizontal="center" vertical="center"/>
    </xf>
    <xf numFmtId="165" fontId="2" fillId="0" borderId="213" xfId="2" applyNumberFormat="1" applyFont="1" applyBorder="1" applyAlignment="1">
      <alignment vertical="center"/>
    </xf>
    <xf numFmtId="165" fontId="2" fillId="0" borderId="215" xfId="2" applyNumberFormat="1" applyFont="1" applyBorder="1" applyAlignment="1">
      <alignment vertical="center"/>
    </xf>
    <xf numFmtId="0" fontId="3" fillId="7" borderId="210" xfId="25" applyFont="1" applyFill="1" applyBorder="1" applyAlignment="1">
      <alignment horizontal="center" vertical="center"/>
    </xf>
    <xf numFmtId="0" fontId="3" fillId="21" borderId="210" xfId="25" applyFont="1" applyFill="1" applyBorder="1" applyAlignment="1">
      <alignment horizontal="center" vertical="center"/>
    </xf>
    <xf numFmtId="0" fontId="2" fillId="4" borderId="230" xfId="15" applyFont="1" applyFill="1" applyBorder="1" applyAlignment="1">
      <alignment vertical="center"/>
    </xf>
    <xf numFmtId="165" fontId="2" fillId="7" borderId="215" xfId="2" applyNumberFormat="1" applyFont="1" applyFill="1" applyBorder="1" applyAlignment="1">
      <alignment vertical="center"/>
    </xf>
    <xf numFmtId="165" fontId="2" fillId="7" borderId="213" xfId="2" applyNumberFormat="1" applyFont="1" applyFill="1" applyBorder="1" applyAlignment="1">
      <alignment vertical="center"/>
    </xf>
    <xf numFmtId="165" fontId="2" fillId="0" borderId="218" xfId="2" applyNumberFormat="1" applyFont="1" applyBorder="1" applyAlignment="1">
      <alignment vertical="center"/>
    </xf>
    <xf numFmtId="43" fontId="2" fillId="104" borderId="215" xfId="2" applyFont="1" applyFill="1" applyBorder="1" applyAlignment="1">
      <alignment vertical="center"/>
    </xf>
    <xf numFmtId="0" fontId="2" fillId="7" borderId="212" xfId="25" applyFont="1" applyFill="1" applyBorder="1" applyAlignment="1">
      <alignment horizontal="center" vertical="center"/>
    </xf>
    <xf numFmtId="165" fontId="2" fillId="104" borderId="210" xfId="2" applyNumberFormat="1" applyFont="1" applyFill="1" applyBorder="1" applyAlignment="1">
      <alignment vertical="center"/>
    </xf>
    <xf numFmtId="0" fontId="3" fillId="7" borderId="212" xfId="25" applyFont="1" applyFill="1" applyBorder="1" applyAlignment="1">
      <alignment horizontal="center" vertical="center"/>
    </xf>
    <xf numFmtId="0" fontId="2" fillId="7" borderId="213" xfId="25" applyFont="1" applyFill="1" applyBorder="1" applyAlignment="1">
      <alignment horizontal="center" vertical="center"/>
    </xf>
    <xf numFmtId="0" fontId="3" fillId="7" borderId="213" xfId="25" applyFont="1" applyFill="1" applyBorder="1" applyAlignment="1">
      <alignment horizontal="center" vertical="center"/>
    </xf>
    <xf numFmtId="0" fontId="3" fillId="21" borderId="213" xfId="25" applyFont="1" applyFill="1" applyBorder="1" applyAlignment="1">
      <alignment horizontal="center" vertical="center"/>
    </xf>
    <xf numFmtId="165" fontId="2" fillId="0" borderId="212" xfId="2" applyNumberFormat="1" applyFont="1" applyBorder="1" applyAlignment="1">
      <alignment vertical="center"/>
    </xf>
    <xf numFmtId="43" fontId="2" fillId="0" borderId="212" xfId="1" applyFont="1" applyBorder="1" applyAlignment="1">
      <alignment vertical="center"/>
    </xf>
    <xf numFmtId="43" fontId="2" fillId="0" borderId="212" xfId="1" applyFont="1" applyFill="1" applyBorder="1" applyAlignment="1">
      <alignment vertical="center"/>
    </xf>
    <xf numFmtId="43" fontId="2" fillId="0" borderId="215" xfId="1" applyFont="1" applyFill="1" applyBorder="1" applyAlignment="1">
      <alignment vertical="center"/>
    </xf>
    <xf numFmtId="43" fontId="2" fillId="7" borderId="215" xfId="1" applyFont="1" applyFill="1" applyBorder="1" applyAlignment="1">
      <alignment vertical="center"/>
    </xf>
    <xf numFmtId="165" fontId="2" fillId="0" borderId="212" xfId="1" applyNumberFormat="1" applyFont="1" applyFill="1" applyBorder="1" applyAlignment="1">
      <alignment vertical="center"/>
    </xf>
    <xf numFmtId="165" fontId="2" fillId="0" borderId="212" xfId="1" applyNumberFormat="1" applyFont="1" applyBorder="1" applyAlignment="1">
      <alignment vertical="center"/>
    </xf>
    <xf numFmtId="0" fontId="2" fillId="7" borderId="210" xfId="25" applyFont="1" applyFill="1" applyBorder="1" applyAlignment="1">
      <alignment horizontal="center"/>
    </xf>
    <xf numFmtId="165" fontId="2" fillId="0" borderId="216" xfId="2" applyNumberFormat="1" applyFont="1" applyBorder="1" applyAlignment="1">
      <alignment vertical="center"/>
    </xf>
    <xf numFmtId="0" fontId="3" fillId="7" borderId="210" xfId="25" applyFont="1" applyFill="1" applyBorder="1" applyAlignment="1">
      <alignment horizontal="center"/>
    </xf>
    <xf numFmtId="43" fontId="2" fillId="0" borderId="216" xfId="2" applyFont="1" applyBorder="1" applyAlignment="1">
      <alignment vertical="center"/>
    </xf>
    <xf numFmtId="0" fontId="2" fillId="7" borderId="209" xfId="25" applyFont="1" applyFill="1" applyBorder="1" applyAlignment="1">
      <alignment horizontal="center" vertical="center"/>
    </xf>
    <xf numFmtId="165" fontId="2" fillId="0" borderId="209" xfId="2" applyNumberFormat="1" applyFont="1" applyBorder="1" applyAlignment="1">
      <alignment vertical="center"/>
    </xf>
    <xf numFmtId="0" fontId="3" fillId="7" borderId="209" xfId="25" applyFont="1" applyFill="1" applyBorder="1" applyAlignment="1">
      <alignment horizontal="center" vertical="center"/>
    </xf>
    <xf numFmtId="0" fontId="3" fillId="21" borderId="209" xfId="25" applyFont="1" applyFill="1" applyBorder="1" applyAlignment="1">
      <alignment horizontal="center" vertical="center"/>
    </xf>
    <xf numFmtId="0" fontId="2" fillId="4" borderId="215" xfId="0" applyFont="1" applyFill="1" applyBorder="1" applyAlignment="1">
      <alignment horizontal="left" vertical="center" wrapText="1"/>
    </xf>
    <xf numFmtId="165" fontId="2" fillId="0" borderId="215" xfId="0" applyNumberFormat="1" applyFont="1" applyBorder="1" applyAlignment="1">
      <alignment horizontal="left" vertical="center"/>
    </xf>
    <xf numFmtId="165" fontId="2" fillId="104" borderId="215" xfId="0" applyNumberFormat="1" applyFont="1" applyFill="1" applyBorder="1" applyAlignment="1">
      <alignment horizontal="left" vertical="center"/>
    </xf>
    <xf numFmtId="0" fontId="2" fillId="4" borderId="218" xfId="0" applyFont="1" applyFill="1" applyBorder="1" applyAlignment="1">
      <alignment horizontal="left" vertical="center" wrapText="1"/>
    </xf>
    <xf numFmtId="0" fontId="26" fillId="4" borderId="215" xfId="0" applyFont="1" applyFill="1" applyBorder="1" applyAlignment="1">
      <alignment vertical="center" wrapText="1"/>
    </xf>
    <xf numFmtId="165" fontId="3" fillId="0" borderId="215" xfId="0" applyNumberFormat="1" applyFont="1" applyBorder="1" applyAlignment="1">
      <alignment horizontal="left" vertical="center"/>
    </xf>
    <xf numFmtId="165" fontId="3" fillId="104" borderId="215" xfId="0" applyNumberFormat="1" applyFont="1" applyFill="1" applyBorder="1" applyAlignment="1">
      <alignment horizontal="left" vertical="center"/>
    </xf>
    <xf numFmtId="165" fontId="2" fillId="0" borderId="218" xfId="0" applyNumberFormat="1" applyFont="1" applyBorder="1" applyAlignment="1">
      <alignment horizontal="left" vertical="center"/>
    </xf>
    <xf numFmtId="165" fontId="2" fillId="104" borderId="218" xfId="0" applyNumberFormat="1" applyFont="1" applyFill="1" applyBorder="1" applyAlignment="1">
      <alignment horizontal="left" vertical="center"/>
    </xf>
    <xf numFmtId="165" fontId="2" fillId="0" borderId="209" xfId="0" applyNumberFormat="1" applyFont="1" applyBorder="1" applyAlignment="1">
      <alignment horizontal="left" vertical="center"/>
    </xf>
    <xf numFmtId="165" fontId="2" fillId="0" borderId="217" xfId="0" applyNumberFormat="1" applyFont="1" applyBorder="1" applyAlignment="1">
      <alignment horizontal="left" vertical="center"/>
    </xf>
    <xf numFmtId="0" fontId="2" fillId="4" borderId="216" xfId="0" applyFont="1" applyFill="1" applyBorder="1" applyAlignment="1">
      <alignment horizontal="left" vertical="center" wrapText="1"/>
    </xf>
    <xf numFmtId="0" fontId="2" fillId="4" borderId="216" xfId="0" applyFont="1" applyFill="1" applyBorder="1" applyAlignment="1">
      <alignment vertical="center" wrapText="1"/>
    </xf>
    <xf numFmtId="0" fontId="2" fillId="4" borderId="219" xfId="0" applyFont="1" applyFill="1" applyBorder="1" applyAlignment="1">
      <alignment vertical="center" wrapText="1"/>
    </xf>
    <xf numFmtId="165" fontId="2" fillId="0" borderId="211" xfId="0" applyNumberFormat="1" applyFont="1" applyBorder="1" applyAlignment="1">
      <alignment horizontal="left" vertical="center"/>
    </xf>
    <xf numFmtId="0" fontId="27" fillId="4" borderId="219" xfId="0" applyFont="1" applyFill="1" applyBorder="1" applyAlignment="1">
      <alignment vertical="center" wrapText="1"/>
    </xf>
    <xf numFmtId="0" fontId="3" fillId="4" borderId="216" xfId="0" applyFont="1" applyFill="1" applyBorder="1" applyAlignment="1">
      <alignment vertical="center" wrapText="1"/>
    </xf>
    <xf numFmtId="0" fontId="2" fillId="4" borderId="218" xfId="0" applyFont="1" applyFill="1" applyBorder="1" applyAlignment="1">
      <alignment vertical="center" wrapText="1"/>
    </xf>
    <xf numFmtId="3" fontId="57" fillId="0" borderId="215" xfId="0" applyNumberFormat="1" applyFont="1" applyBorder="1" applyAlignment="1">
      <alignment vertical="center" wrapText="1"/>
    </xf>
    <xf numFmtId="0" fontId="57" fillId="0" borderId="215" xfId="0" applyFont="1" applyBorder="1" applyAlignment="1">
      <alignment vertical="center" wrapText="1"/>
    </xf>
    <xf numFmtId="3" fontId="57" fillId="91" borderId="215" xfId="0" applyNumberFormat="1" applyFont="1" applyFill="1" applyBorder="1" applyAlignment="1">
      <alignment vertical="center" wrapText="1"/>
    </xf>
    <xf numFmtId="0" fontId="130" fillId="0" borderId="215" xfId="0" applyFont="1" applyBorder="1" applyAlignment="1">
      <alignment vertical="center"/>
    </xf>
    <xf numFmtId="0" fontId="26" fillId="4" borderId="216" xfId="0" applyFont="1" applyFill="1" applyBorder="1" applyAlignment="1">
      <alignment vertical="center" wrapText="1"/>
    </xf>
    <xf numFmtId="3" fontId="60" fillId="91" borderId="215" xfId="0" applyNumberFormat="1" applyFont="1" applyFill="1" applyBorder="1" applyAlignment="1">
      <alignment vertical="center" wrapText="1"/>
    </xf>
    <xf numFmtId="0" fontId="57" fillId="91" borderId="215" xfId="0" applyFont="1" applyFill="1" applyBorder="1" applyAlignment="1">
      <alignment vertical="center" wrapText="1"/>
    </xf>
    <xf numFmtId="3" fontId="57" fillId="91" borderId="218" xfId="0" applyNumberFormat="1" applyFont="1" applyFill="1" applyBorder="1" applyAlignment="1">
      <alignment vertical="center" wrapText="1"/>
    </xf>
    <xf numFmtId="0" fontId="27" fillId="4" borderId="218" xfId="0" applyFont="1" applyFill="1" applyBorder="1" applyAlignment="1">
      <alignment vertical="center" wrapText="1"/>
    </xf>
    <xf numFmtId="0" fontId="130" fillId="0" borderId="215" xfId="0" applyFont="1" applyBorder="1"/>
    <xf numFmtId="0" fontId="26" fillId="4" borderId="215" xfId="0" applyFont="1" applyFill="1" applyBorder="1" applyAlignment="1">
      <alignment horizontal="left" vertical="center" wrapText="1"/>
    </xf>
    <xf numFmtId="0" fontId="27" fillId="4" borderId="216" xfId="0" applyFont="1" applyFill="1" applyBorder="1" applyAlignment="1">
      <alignment vertical="center" wrapText="1"/>
    </xf>
    <xf numFmtId="0" fontId="26" fillId="4" borderId="216" xfId="0" applyFont="1" applyFill="1" applyBorder="1" applyAlignment="1">
      <alignment horizontal="left" vertical="center" wrapText="1"/>
    </xf>
    <xf numFmtId="0" fontId="2" fillId="4" borderId="215" xfId="0" applyFont="1" applyFill="1" applyBorder="1" applyAlignment="1">
      <alignment horizontal="left" vertical="center"/>
    </xf>
    <xf numFmtId="0" fontId="57" fillId="0" borderId="225" xfId="0" applyFont="1" applyBorder="1" applyAlignment="1">
      <alignment vertical="center"/>
    </xf>
    <xf numFmtId="165" fontId="27" fillId="104" borderId="215" xfId="1" applyNumberFormat="1" applyFont="1" applyFill="1" applyBorder="1" applyAlignment="1">
      <alignment vertical="center"/>
    </xf>
    <xf numFmtId="165" fontId="27" fillId="104" borderId="218" xfId="1" applyNumberFormat="1" applyFont="1" applyFill="1" applyBorder="1" applyAlignment="1">
      <alignment vertical="center"/>
    </xf>
    <xf numFmtId="0" fontId="130" fillId="0" borderId="225" xfId="0" applyFont="1" applyBorder="1"/>
    <xf numFmtId="0" fontId="2" fillId="4" borderId="217" xfId="0" applyFont="1" applyFill="1" applyBorder="1" applyAlignment="1">
      <alignment horizontal="left" vertical="center" wrapText="1"/>
    </xf>
    <xf numFmtId="165" fontId="27" fillId="0" borderId="215" xfId="1" applyNumberFormat="1" applyFont="1" applyFill="1" applyBorder="1" applyAlignment="1">
      <alignment vertical="center"/>
    </xf>
    <xf numFmtId="0" fontId="3" fillId="4" borderId="215" xfId="0" applyFont="1" applyFill="1" applyBorder="1" applyAlignment="1">
      <alignment horizontal="center" vertical="center"/>
    </xf>
    <xf numFmtId="0" fontId="26" fillId="4" borderId="212" xfId="0" applyFont="1" applyFill="1" applyBorder="1" applyAlignment="1">
      <alignment vertical="center" wrapText="1"/>
    </xf>
    <xf numFmtId="165" fontId="26" fillId="0" borderId="215" xfId="1" applyNumberFormat="1" applyFont="1" applyFill="1" applyBorder="1" applyAlignment="1">
      <alignment vertical="center"/>
    </xf>
    <xf numFmtId="165" fontId="26" fillId="104" borderId="215" xfId="1" applyNumberFormat="1" applyFont="1" applyFill="1" applyBorder="1" applyAlignment="1">
      <alignment vertical="center"/>
    </xf>
    <xf numFmtId="0" fontId="2" fillId="4" borderId="217" xfId="0" applyFont="1" applyFill="1" applyBorder="1" applyAlignment="1">
      <alignment vertical="center" wrapText="1"/>
    </xf>
    <xf numFmtId="165" fontId="27" fillId="0" borderId="218" xfId="1" applyNumberFormat="1" applyFont="1" applyFill="1" applyBorder="1" applyAlignment="1">
      <alignment vertical="center"/>
    </xf>
    <xf numFmtId="0" fontId="2" fillId="4" borderId="213" xfId="0" applyFont="1" applyFill="1" applyBorder="1" applyAlignment="1">
      <alignment horizontal="left" vertical="center" wrapText="1"/>
    </xf>
    <xf numFmtId="0" fontId="26" fillId="4" borderId="213" xfId="0" applyFont="1" applyFill="1" applyBorder="1" applyAlignment="1">
      <alignment vertical="center" wrapText="1"/>
    </xf>
    <xf numFmtId="0" fontId="2" fillId="4" borderId="213" xfId="0" applyFont="1" applyFill="1" applyBorder="1" applyAlignment="1">
      <alignment vertical="center" wrapText="1"/>
    </xf>
    <xf numFmtId="0" fontId="2" fillId="4" borderId="219" xfId="0" applyFont="1" applyFill="1" applyBorder="1" applyAlignment="1">
      <alignment horizontal="left" vertical="center" wrapText="1"/>
    </xf>
    <xf numFmtId="3" fontId="2" fillId="91" borderId="215" xfId="0" applyNumberFormat="1" applyFont="1" applyFill="1" applyBorder="1" applyAlignment="1">
      <alignment vertical="center" wrapText="1"/>
    </xf>
    <xf numFmtId="0" fontId="57" fillId="0" borderId="215" xfId="0" applyFont="1" applyBorder="1" applyAlignment="1">
      <alignment vertical="center"/>
    </xf>
    <xf numFmtId="3" fontId="2" fillId="91" borderId="218" xfId="0" applyNumberFormat="1" applyFont="1" applyFill="1" applyBorder="1" applyAlignment="1">
      <alignment vertical="center" wrapText="1"/>
    </xf>
    <xf numFmtId="0" fontId="151" fillId="0" borderId="215" xfId="0" applyFont="1" applyBorder="1"/>
    <xf numFmtId="3" fontId="57" fillId="91" borderId="209" xfId="0" applyNumberFormat="1" applyFont="1" applyFill="1" applyBorder="1" applyAlignment="1">
      <alignment vertical="center" wrapText="1"/>
    </xf>
    <xf numFmtId="3" fontId="57" fillId="0" borderId="215" xfId="0" applyNumberFormat="1" applyFont="1" applyBorder="1" applyAlignment="1">
      <alignment vertical="center"/>
    </xf>
    <xf numFmtId="3" fontId="57" fillId="0" borderId="213" xfId="0" applyNumberFormat="1" applyFont="1" applyBorder="1" applyAlignment="1">
      <alignment vertical="center"/>
    </xf>
    <xf numFmtId="0" fontId="2" fillId="0" borderId="215" xfId="0" applyFont="1" applyBorder="1" applyAlignment="1">
      <alignment vertical="center" wrapText="1"/>
    </xf>
    <xf numFmtId="0" fontId="151" fillId="0" borderId="229" xfId="0" applyFont="1" applyBorder="1"/>
    <xf numFmtId="0" fontId="2" fillId="4" borderId="215" xfId="0" applyFont="1" applyFill="1" applyBorder="1" applyAlignment="1">
      <alignment horizontal="center" vertical="center"/>
    </xf>
    <xf numFmtId="165" fontId="2" fillId="4" borderId="216" xfId="7" applyNumberFormat="1" applyFont="1" applyFill="1" applyBorder="1" applyAlignment="1">
      <alignment vertical="center" wrapText="1"/>
    </xf>
    <xf numFmtId="165" fontId="2" fillId="104" borderId="213" xfId="1" applyNumberFormat="1" applyFont="1" applyFill="1" applyBorder="1" applyAlignment="1">
      <alignment vertical="center"/>
    </xf>
    <xf numFmtId="165" fontId="3" fillId="4" borderId="216" xfId="7" applyNumberFormat="1" applyFont="1" applyFill="1" applyBorder="1" applyAlignment="1">
      <alignment vertical="center" wrapText="1"/>
    </xf>
    <xf numFmtId="165" fontId="3" fillId="0" borderId="215" xfId="1" applyNumberFormat="1" applyFont="1" applyFill="1" applyBorder="1" applyAlignment="1">
      <alignment vertical="center"/>
    </xf>
    <xf numFmtId="165" fontId="3" fillId="0" borderId="213" xfId="1" applyNumberFormat="1" applyFont="1" applyFill="1" applyBorder="1" applyAlignment="1">
      <alignment vertical="center"/>
    </xf>
    <xf numFmtId="165" fontId="3" fillId="104" borderId="213" xfId="1" applyNumberFormat="1" applyFont="1" applyFill="1" applyBorder="1" applyAlignment="1">
      <alignment vertical="center"/>
    </xf>
    <xf numFmtId="165" fontId="3" fillId="4" borderId="216" xfId="7" applyNumberFormat="1" applyFont="1" applyFill="1" applyBorder="1" applyAlignment="1">
      <alignment horizontal="left" vertical="center" wrapText="1"/>
    </xf>
    <xf numFmtId="165" fontId="38" fillId="4" borderId="216" xfId="7" applyNumberFormat="1" applyFont="1" applyFill="1" applyBorder="1" applyAlignment="1">
      <alignment vertical="center" wrapText="1"/>
    </xf>
    <xf numFmtId="165" fontId="3" fillId="21" borderId="215" xfId="1" applyNumberFormat="1" applyFont="1" applyFill="1" applyBorder="1" applyAlignment="1">
      <alignment horizontal="center" vertical="center"/>
    </xf>
    <xf numFmtId="165" fontId="3" fillId="21" borderId="213" xfId="1" applyNumberFormat="1" applyFont="1" applyFill="1" applyBorder="1" applyAlignment="1">
      <alignment horizontal="center" vertical="center"/>
    </xf>
    <xf numFmtId="165" fontId="3" fillId="4" borderId="216" xfId="8" applyNumberFormat="1" applyFont="1" applyFill="1" applyBorder="1" applyAlignment="1">
      <alignment vertical="center" wrapText="1"/>
    </xf>
    <xf numFmtId="165" fontId="2" fillId="4" borderId="216" xfId="8" applyNumberFormat="1" applyFont="1" applyFill="1" applyBorder="1" applyAlignment="1">
      <alignment vertical="center" wrapText="1"/>
    </xf>
    <xf numFmtId="165" fontId="57" fillId="0" borderId="213" xfId="1" applyNumberFormat="1" applyFont="1" applyBorder="1" applyAlignment="1">
      <alignment vertical="center"/>
    </xf>
    <xf numFmtId="165" fontId="57" fillId="0" borderId="215" xfId="1" applyNumberFormat="1" applyFont="1" applyBorder="1" applyAlignment="1">
      <alignment vertical="center"/>
    </xf>
    <xf numFmtId="165" fontId="27" fillId="104" borderId="217" xfId="1" applyNumberFormat="1" applyFont="1" applyFill="1" applyBorder="1" applyAlignment="1">
      <alignment vertical="center"/>
    </xf>
    <xf numFmtId="165" fontId="2" fillId="4" borderId="215" xfId="1" applyNumberFormat="1" applyFont="1" applyFill="1" applyBorder="1" applyAlignment="1">
      <alignment vertical="center" wrapText="1"/>
    </xf>
    <xf numFmtId="165" fontId="3" fillId="4" borderId="215" xfId="1" applyNumberFormat="1" applyFont="1" applyFill="1" applyBorder="1" applyAlignment="1">
      <alignment vertical="center" wrapText="1"/>
    </xf>
    <xf numFmtId="165" fontId="26" fillId="0" borderId="213" xfId="1" applyNumberFormat="1" applyFont="1" applyBorder="1" applyAlignment="1">
      <alignment vertical="center"/>
    </xf>
    <xf numFmtId="165" fontId="26" fillId="0" borderId="215" xfId="1" applyNumberFormat="1" applyFont="1" applyBorder="1" applyAlignment="1">
      <alignment vertical="center"/>
    </xf>
    <xf numFmtId="165" fontId="26" fillId="104" borderId="217" xfId="1" applyNumberFormat="1" applyFont="1" applyFill="1" applyBorder="1" applyAlignment="1">
      <alignment vertical="center"/>
    </xf>
    <xf numFmtId="165" fontId="3" fillId="0" borderId="213" xfId="1" applyNumberFormat="1" applyFont="1" applyBorder="1" applyAlignment="1">
      <alignment horizontal="center" vertical="center"/>
    </xf>
    <xf numFmtId="165" fontId="3" fillId="0" borderId="215" xfId="1" applyNumberFormat="1" applyFont="1" applyBorder="1" applyAlignment="1">
      <alignment horizontal="center" vertical="center"/>
    </xf>
    <xf numFmtId="165" fontId="2" fillId="0" borderId="213" xfId="1" applyNumberFormat="1" applyFont="1" applyBorder="1" applyAlignment="1">
      <alignment horizontal="center" vertical="center"/>
    </xf>
    <xf numFmtId="165" fontId="2" fillId="0" borderId="215" xfId="1" applyNumberFormat="1" applyFont="1" applyBorder="1" applyAlignment="1">
      <alignment horizontal="center" vertical="center"/>
    </xf>
    <xf numFmtId="165" fontId="3" fillId="4" borderId="215" xfId="1" applyNumberFormat="1" applyFont="1" applyFill="1" applyBorder="1" applyAlignment="1">
      <alignment horizontal="left" vertical="center" wrapText="1"/>
    </xf>
    <xf numFmtId="165" fontId="38" fillId="4" borderId="215" xfId="1" applyNumberFormat="1" applyFont="1" applyFill="1" applyBorder="1" applyAlignment="1">
      <alignment vertical="center" wrapText="1"/>
    </xf>
    <xf numFmtId="165" fontId="3" fillId="104" borderId="217" xfId="1" applyNumberFormat="1" applyFont="1" applyFill="1" applyBorder="1" applyAlignment="1">
      <alignment horizontal="center" vertical="center"/>
    </xf>
    <xf numFmtId="165" fontId="2" fillId="104" borderId="217" xfId="1" applyNumberFormat="1" applyFont="1" applyFill="1" applyBorder="1" applyAlignment="1">
      <alignment vertical="center"/>
    </xf>
    <xf numFmtId="165" fontId="57" fillId="0" borderId="213" xfId="0" applyNumberFormat="1" applyFont="1" applyBorder="1" applyAlignment="1">
      <alignment vertical="center"/>
    </xf>
    <xf numFmtId="165" fontId="57" fillId="0" borderId="215" xfId="0" applyNumberFormat="1" applyFont="1" applyBorder="1" applyAlignment="1">
      <alignment vertical="center"/>
    </xf>
    <xf numFmtId="165" fontId="26" fillId="0" borderId="213" xfId="1" applyNumberFormat="1" applyFont="1" applyFill="1" applyBorder="1" applyAlignment="1">
      <alignment vertical="center"/>
    </xf>
    <xf numFmtId="165" fontId="3" fillId="104" borderId="215" xfId="1" applyNumberFormat="1" applyFont="1" applyFill="1" applyBorder="1" applyAlignment="1">
      <alignment horizontal="center" vertical="center"/>
    </xf>
    <xf numFmtId="0" fontId="3" fillId="104" borderId="215" xfId="0" applyFont="1" applyFill="1" applyBorder="1" applyAlignment="1">
      <alignment vertical="center"/>
    </xf>
    <xf numFmtId="165" fontId="3" fillId="104" borderId="215" xfId="0" applyNumberFormat="1" applyFont="1" applyFill="1" applyBorder="1" applyAlignment="1">
      <alignment vertical="center"/>
    </xf>
    <xf numFmtId="165" fontId="57" fillId="0" borderId="213" xfId="0" applyNumberFormat="1" applyFont="1" applyBorder="1" applyAlignment="1">
      <alignment horizontal="right" vertical="center"/>
    </xf>
    <xf numFmtId="165" fontId="2" fillId="4" borderId="215" xfId="7" applyNumberFormat="1" applyFont="1" applyFill="1" applyBorder="1" applyAlignment="1">
      <alignment vertical="center" wrapText="1"/>
    </xf>
    <xf numFmtId="165" fontId="27" fillId="104" borderId="215" xfId="1" applyNumberFormat="1" applyFont="1" applyFill="1" applyBorder="1" applyAlignment="1">
      <alignment horizontal="right" vertical="center"/>
    </xf>
    <xf numFmtId="165" fontId="3" fillId="4" borderId="215" xfId="7" applyNumberFormat="1" applyFont="1" applyFill="1" applyBorder="1" applyAlignment="1">
      <alignment vertical="center" wrapText="1"/>
    </xf>
    <xf numFmtId="165" fontId="26" fillId="0" borderId="215" xfId="1" applyNumberFormat="1" applyFont="1" applyBorder="1" applyAlignment="1">
      <alignment horizontal="right" vertical="center"/>
    </xf>
    <xf numFmtId="165" fontId="26" fillId="0" borderId="213" xfId="1" applyNumberFormat="1" applyFont="1" applyBorder="1" applyAlignment="1">
      <alignment horizontal="right" vertical="center"/>
    </xf>
    <xf numFmtId="165" fontId="26" fillId="104" borderId="215" xfId="1" applyNumberFormat="1" applyFont="1" applyFill="1" applyBorder="1" applyAlignment="1">
      <alignment horizontal="right" vertical="center"/>
    </xf>
    <xf numFmtId="165" fontId="57" fillId="0" borderId="215" xfId="0" applyNumberFormat="1" applyFont="1" applyBorder="1" applyAlignment="1">
      <alignment horizontal="right" vertical="center"/>
    </xf>
    <xf numFmtId="165" fontId="3" fillId="0" borderId="215" xfId="1" applyNumberFormat="1" applyFont="1" applyBorder="1" applyAlignment="1">
      <alignment horizontal="right" vertical="center"/>
    </xf>
    <xf numFmtId="165" fontId="3" fillId="0" borderId="213" xfId="1" applyNumberFormat="1" applyFont="1" applyBorder="1" applyAlignment="1">
      <alignment horizontal="right" vertical="center"/>
    </xf>
    <xf numFmtId="165" fontId="2" fillId="0" borderId="215" xfId="1" applyNumberFormat="1" applyFont="1" applyBorder="1" applyAlignment="1">
      <alignment horizontal="right" vertical="center"/>
    </xf>
    <xf numFmtId="165" fontId="2" fillId="0" borderId="213" xfId="1" applyNumberFormat="1" applyFont="1" applyBorder="1" applyAlignment="1">
      <alignment horizontal="right" vertical="center"/>
    </xf>
    <xf numFmtId="165" fontId="3" fillId="4" borderId="215" xfId="7" applyNumberFormat="1" applyFont="1" applyFill="1" applyBorder="1" applyAlignment="1">
      <alignment horizontal="left" vertical="center" wrapText="1"/>
    </xf>
    <xf numFmtId="165" fontId="38" fillId="4" borderId="215" xfId="7" applyNumberFormat="1" applyFont="1" applyFill="1" applyBorder="1" applyAlignment="1">
      <alignment vertical="center" wrapText="1"/>
    </xf>
    <xf numFmtId="165" fontId="3" fillId="104" borderId="215" xfId="1" applyNumberFormat="1" applyFont="1" applyFill="1" applyBorder="1" applyAlignment="1">
      <alignment horizontal="right" vertical="center"/>
    </xf>
    <xf numFmtId="165" fontId="3" fillId="21" borderId="215" xfId="1" applyNumberFormat="1" applyFont="1" applyFill="1" applyBorder="1" applyAlignment="1">
      <alignment horizontal="right" vertical="center"/>
    </xf>
    <xf numFmtId="165" fontId="3" fillId="21" borderId="213" xfId="1" applyNumberFormat="1" applyFont="1" applyFill="1" applyBorder="1" applyAlignment="1">
      <alignment horizontal="right" vertical="center"/>
    </xf>
    <xf numFmtId="165" fontId="3" fillId="104" borderId="215" xfId="0" applyNumberFormat="1" applyFont="1" applyFill="1" applyBorder="1" applyAlignment="1">
      <alignment horizontal="right" vertical="center"/>
    </xf>
    <xf numFmtId="165" fontId="3" fillId="4" borderId="215" xfId="8" applyNumberFormat="1" applyFont="1" applyFill="1" applyBorder="1" applyAlignment="1">
      <alignment vertical="center" wrapText="1"/>
    </xf>
    <xf numFmtId="165" fontId="2" fillId="4" borderId="215" xfId="8" applyNumberFormat="1" applyFont="1" applyFill="1" applyBorder="1" applyAlignment="1">
      <alignment vertical="center" wrapText="1"/>
    </xf>
    <xf numFmtId="165" fontId="2" fillId="104" borderId="215" xfId="0" applyNumberFormat="1" applyFont="1" applyFill="1" applyBorder="1" applyAlignment="1">
      <alignment vertical="center"/>
    </xf>
    <xf numFmtId="165" fontId="60" fillId="104" borderId="215" xfId="0" applyNumberFormat="1" applyFont="1" applyFill="1" applyBorder="1" applyAlignment="1">
      <alignment vertical="center"/>
    </xf>
    <xf numFmtId="165" fontId="57" fillId="106" borderId="215" xfId="0" applyNumberFormat="1" applyFont="1" applyFill="1" applyBorder="1" applyAlignment="1">
      <alignment vertical="center"/>
    </xf>
    <xf numFmtId="165" fontId="3" fillId="0" borderId="215" xfId="0" applyNumberFormat="1" applyFont="1" applyBorder="1" applyAlignment="1">
      <alignment vertical="center"/>
    </xf>
    <xf numFmtId="165" fontId="3" fillId="0" borderId="213" xfId="0" applyNumberFormat="1" applyFont="1" applyBorder="1" applyAlignment="1">
      <alignment vertical="center"/>
    </xf>
    <xf numFmtId="165" fontId="2" fillId="0" borderId="215" xfId="0" applyNumberFormat="1" applyFont="1" applyBorder="1" applyAlignment="1">
      <alignment vertical="center"/>
    </xf>
    <xf numFmtId="165" fontId="2" fillId="0" borderId="213" xfId="0" applyNumberFormat="1" applyFont="1" applyBorder="1" applyAlignment="1">
      <alignment vertical="center"/>
    </xf>
    <xf numFmtId="165" fontId="2" fillId="104" borderId="213" xfId="0" applyNumberFormat="1" applyFont="1" applyFill="1" applyBorder="1" applyAlignment="1">
      <alignment vertical="center"/>
    </xf>
    <xf numFmtId="165" fontId="2" fillId="0" borderId="215" xfId="0" applyNumberFormat="1" applyFont="1" applyBorder="1" applyAlignment="1">
      <alignment vertical="center" wrapText="1"/>
    </xf>
    <xf numFmtId="165" fontId="3" fillId="104" borderId="213" xfId="0" applyNumberFormat="1" applyFont="1" applyFill="1" applyBorder="1" applyAlignment="1">
      <alignment vertical="center"/>
    </xf>
    <xf numFmtId="165" fontId="2" fillId="0" borderId="213" xfId="0" applyNumberFormat="1" applyFont="1" applyBorder="1" applyAlignment="1">
      <alignment vertical="center" wrapText="1"/>
    </xf>
    <xf numFmtId="165" fontId="60" fillId="91" borderId="213" xfId="0" applyNumberFormat="1" applyFont="1" applyFill="1" applyBorder="1" applyAlignment="1">
      <alignment vertical="center" wrapText="1"/>
    </xf>
    <xf numFmtId="165" fontId="3" fillId="21" borderId="218" xfId="1" applyNumberFormat="1" applyFont="1" applyFill="1" applyBorder="1" applyAlignment="1">
      <alignment horizontal="center" vertical="center"/>
    </xf>
    <xf numFmtId="165" fontId="2" fillId="104" borderId="215" xfId="0" applyNumberFormat="1" applyFont="1" applyFill="1" applyBorder="1" applyAlignment="1">
      <alignment vertical="center" wrapText="1"/>
    </xf>
    <xf numFmtId="165" fontId="26" fillId="0" borderId="216" xfId="1" applyNumberFormat="1" applyFont="1" applyBorder="1" applyAlignment="1">
      <alignment vertical="center"/>
    </xf>
    <xf numFmtId="165" fontId="3" fillId="0" borderId="216" xfId="1" applyNumberFormat="1" applyFont="1" applyBorder="1" applyAlignment="1">
      <alignment horizontal="center" vertical="center"/>
    </xf>
    <xf numFmtId="165" fontId="2" fillId="0" borderId="216" xfId="1" applyNumberFormat="1" applyFont="1" applyBorder="1" applyAlignment="1">
      <alignment horizontal="center" vertical="center"/>
    </xf>
    <xf numFmtId="165" fontId="3" fillId="21" borderId="216" xfId="1" applyNumberFormat="1" applyFont="1" applyFill="1" applyBorder="1" applyAlignment="1">
      <alignment horizontal="center" vertical="center"/>
    </xf>
    <xf numFmtId="165" fontId="2" fillId="104" borderId="215" xfId="1" applyNumberFormat="1" applyFont="1" applyFill="1" applyBorder="1" applyAlignment="1">
      <alignment vertical="center"/>
    </xf>
    <xf numFmtId="165" fontId="2" fillId="21" borderId="217" xfId="1" applyNumberFormat="1" applyFont="1" applyFill="1" applyBorder="1" applyAlignment="1">
      <alignment vertical="center"/>
    </xf>
    <xf numFmtId="165" fontId="2" fillId="21" borderId="215" xfId="1" applyNumberFormat="1" applyFont="1" applyFill="1" applyBorder="1" applyAlignment="1">
      <alignment vertical="center"/>
    </xf>
    <xf numFmtId="165" fontId="2" fillId="21" borderId="216" xfId="1" applyNumberFormat="1" applyFont="1" applyFill="1" applyBorder="1" applyAlignment="1">
      <alignment vertical="center"/>
    </xf>
    <xf numFmtId="165" fontId="2" fillId="21" borderId="213" xfId="1" applyNumberFormat="1" applyFont="1" applyFill="1" applyBorder="1" applyAlignment="1">
      <alignment vertical="center"/>
    </xf>
    <xf numFmtId="165" fontId="3" fillId="21" borderId="217" xfId="1" applyNumberFormat="1" applyFont="1" applyFill="1" applyBorder="1" applyAlignment="1">
      <alignment horizontal="center" vertical="center"/>
    </xf>
    <xf numFmtId="165" fontId="3" fillId="21" borderId="215" xfId="1" applyNumberFormat="1" applyFont="1" applyFill="1" applyBorder="1" applyAlignment="1">
      <alignment vertical="center"/>
    </xf>
    <xf numFmtId="165" fontId="3" fillId="21" borderId="213" xfId="1" applyNumberFormat="1" applyFont="1" applyFill="1" applyBorder="1" applyAlignment="1">
      <alignment vertical="center"/>
    </xf>
    <xf numFmtId="165" fontId="3" fillId="21" borderId="225" xfId="1" applyNumberFormat="1" applyFont="1" applyFill="1" applyBorder="1" applyAlignment="1">
      <alignment horizontal="center" vertical="center"/>
    </xf>
    <xf numFmtId="165" fontId="2" fillId="21" borderId="215" xfId="1" applyNumberFormat="1" applyFont="1" applyFill="1" applyBorder="1" applyAlignment="1">
      <alignment horizontal="center" vertical="center"/>
    </xf>
    <xf numFmtId="165" fontId="2" fillId="0" borderId="212" xfId="0" applyNumberFormat="1" applyFont="1" applyBorder="1" applyAlignment="1">
      <alignment vertical="center"/>
    </xf>
    <xf numFmtId="165" fontId="57" fillId="0" borderId="212" xfId="0" applyNumberFormat="1" applyFont="1" applyBorder="1" applyAlignment="1">
      <alignment vertical="center"/>
    </xf>
    <xf numFmtId="165" fontId="3" fillId="0" borderId="212" xfId="1" applyNumberFormat="1" applyFont="1" applyFill="1" applyBorder="1" applyAlignment="1">
      <alignment vertical="center"/>
    </xf>
    <xf numFmtId="165" fontId="3" fillId="104" borderId="215" xfId="1" applyNumberFormat="1" applyFont="1" applyFill="1" applyBorder="1" applyAlignment="1">
      <alignment vertical="center"/>
    </xf>
    <xf numFmtId="3" fontId="57" fillId="0" borderId="212" xfId="0" applyNumberFormat="1" applyFont="1" applyBorder="1" applyAlignment="1">
      <alignment vertical="center"/>
    </xf>
    <xf numFmtId="165" fontId="2" fillId="21" borderId="212" xfId="1" applyNumberFormat="1" applyFont="1" applyFill="1" applyBorder="1" applyAlignment="1">
      <alignment vertical="center"/>
    </xf>
    <xf numFmtId="3" fontId="2" fillId="104" borderId="215" xfId="0" applyNumberFormat="1" applyFont="1" applyFill="1" applyBorder="1" applyAlignment="1">
      <alignment vertical="center"/>
    </xf>
    <xf numFmtId="3" fontId="156" fillId="0" borderId="212" xfId="0" applyNumberFormat="1" applyFont="1" applyBorder="1" applyAlignment="1">
      <alignment vertical="center"/>
    </xf>
    <xf numFmtId="165" fontId="157" fillId="4" borderId="216" xfId="7" applyNumberFormat="1" applyFont="1" applyFill="1" applyBorder="1" applyAlignment="1">
      <alignment vertical="center" wrapText="1"/>
    </xf>
    <xf numFmtId="165" fontId="157" fillId="104" borderId="215" xfId="1" applyNumberFormat="1" applyFont="1" applyFill="1" applyBorder="1" applyAlignment="1">
      <alignment vertical="center"/>
    </xf>
    <xf numFmtId="165" fontId="155" fillId="4" borderId="216" xfId="7" applyNumberFormat="1" applyFont="1" applyFill="1" applyBorder="1" applyAlignment="1">
      <alignment vertical="center" wrapText="1"/>
    </xf>
    <xf numFmtId="165" fontId="155" fillId="0" borderId="215" xfId="1" applyNumberFormat="1" applyFont="1" applyFill="1" applyBorder="1" applyAlignment="1">
      <alignment vertical="center"/>
    </xf>
    <xf numFmtId="165" fontId="155" fillId="0" borderId="212" xfId="1" applyNumberFormat="1" applyFont="1" applyFill="1" applyBorder="1" applyAlignment="1">
      <alignment vertical="center"/>
    </xf>
    <xf numFmtId="165" fontId="155" fillId="104" borderId="215" xfId="1" applyNumberFormat="1" applyFont="1" applyFill="1" applyBorder="1" applyAlignment="1">
      <alignment vertical="center"/>
    </xf>
    <xf numFmtId="165" fontId="156" fillId="0" borderId="215" xfId="0" applyNumberFormat="1" applyFont="1" applyBorder="1" applyAlignment="1">
      <alignment vertical="center"/>
    </xf>
    <xf numFmtId="165" fontId="156" fillId="0" borderId="212" xfId="0" applyNumberFormat="1" applyFont="1" applyBorder="1" applyAlignment="1">
      <alignment vertical="center"/>
    </xf>
    <xf numFmtId="165" fontId="157" fillId="0" borderId="215" xfId="1" applyNumberFormat="1" applyFont="1" applyFill="1" applyBorder="1" applyAlignment="1">
      <alignment vertical="center"/>
    </xf>
    <xf numFmtId="165" fontId="157" fillId="0" borderId="212" xfId="1" applyNumberFormat="1" applyFont="1" applyFill="1" applyBorder="1" applyAlignment="1">
      <alignment vertical="center"/>
    </xf>
    <xf numFmtId="165" fontId="157" fillId="0" borderId="213" xfId="1" applyNumberFormat="1" applyFont="1" applyFill="1" applyBorder="1" applyAlignment="1">
      <alignment vertical="center"/>
    </xf>
    <xf numFmtId="165" fontId="157" fillId="21" borderId="215" xfId="1" applyNumberFormat="1" applyFont="1" applyFill="1" applyBorder="1" applyAlignment="1">
      <alignment vertical="center"/>
    </xf>
    <xf numFmtId="165" fontId="157" fillId="21" borderId="212" xfId="1" applyNumberFormat="1" applyFont="1" applyFill="1" applyBorder="1" applyAlignment="1">
      <alignment vertical="center"/>
    </xf>
    <xf numFmtId="165" fontId="157" fillId="21" borderId="213" xfId="1" applyNumberFormat="1" applyFont="1" applyFill="1" applyBorder="1" applyAlignment="1">
      <alignment vertical="center"/>
    </xf>
    <xf numFmtId="165" fontId="155" fillId="104" borderId="215" xfId="0" applyNumberFormat="1" applyFont="1" applyFill="1" applyBorder="1" applyAlignment="1">
      <alignment vertical="center"/>
    </xf>
    <xf numFmtId="165" fontId="57" fillId="91" borderId="215" xfId="0" applyNumberFormat="1" applyFont="1" applyFill="1" applyBorder="1" applyAlignment="1">
      <alignment vertical="center"/>
    </xf>
    <xf numFmtId="165" fontId="57" fillId="91" borderId="212" xfId="0" applyNumberFormat="1" applyFont="1" applyFill="1" applyBorder="1" applyAlignment="1">
      <alignment vertical="center"/>
    </xf>
    <xf numFmtId="165" fontId="57" fillId="104" borderId="215" xfId="0" applyNumberFormat="1" applyFont="1" applyFill="1" applyBorder="1" applyAlignment="1">
      <alignment vertical="center"/>
    </xf>
    <xf numFmtId="165" fontId="158" fillId="0" borderId="215" xfId="0" applyNumberFormat="1" applyFont="1" applyBorder="1" applyAlignment="1">
      <alignment vertical="center"/>
    </xf>
    <xf numFmtId="165" fontId="158" fillId="0" borderId="213" xfId="0" applyNumberFormat="1" applyFont="1" applyBorder="1" applyAlignment="1">
      <alignment vertical="center"/>
    </xf>
    <xf numFmtId="165" fontId="159" fillId="104" borderId="215" xfId="1" applyNumberFormat="1" applyFont="1" applyFill="1" applyBorder="1" applyAlignment="1">
      <alignment vertical="center"/>
    </xf>
    <xf numFmtId="165" fontId="160" fillId="0" borderId="215" xfId="1" applyNumberFormat="1" applyFont="1" applyFill="1" applyBorder="1" applyAlignment="1">
      <alignment vertical="center"/>
    </xf>
    <xf numFmtId="165" fontId="160" fillId="0" borderId="213" xfId="1" applyNumberFormat="1" applyFont="1" applyFill="1" applyBorder="1" applyAlignment="1">
      <alignment vertical="center"/>
    </xf>
    <xf numFmtId="165" fontId="160" fillId="104" borderId="215" xfId="1" applyNumberFormat="1" applyFont="1" applyFill="1" applyBorder="1" applyAlignment="1">
      <alignment vertical="center"/>
    </xf>
    <xf numFmtId="165" fontId="159" fillId="0" borderId="215" xfId="1" applyNumberFormat="1" applyFont="1" applyFill="1" applyBorder="1" applyAlignment="1">
      <alignment vertical="center"/>
    </xf>
    <xf numFmtId="165" fontId="159" fillId="0" borderId="213" xfId="1" applyNumberFormat="1" applyFont="1" applyFill="1" applyBorder="1" applyAlignment="1">
      <alignment vertical="center"/>
    </xf>
    <xf numFmtId="165" fontId="159" fillId="21" borderId="215" xfId="1" applyNumberFormat="1" applyFont="1" applyFill="1" applyBorder="1" applyAlignment="1">
      <alignment vertical="center"/>
    </xf>
    <xf numFmtId="165" fontId="159" fillId="21" borderId="213" xfId="1" applyNumberFormat="1" applyFont="1" applyFill="1" applyBorder="1" applyAlignment="1">
      <alignment vertical="center"/>
    </xf>
    <xf numFmtId="165" fontId="159" fillId="104" borderId="215" xfId="0" applyNumberFormat="1" applyFont="1" applyFill="1" applyBorder="1" applyAlignment="1">
      <alignment vertical="center"/>
    </xf>
    <xf numFmtId="165" fontId="160" fillId="104" borderId="215" xfId="0" applyNumberFormat="1" applyFont="1" applyFill="1" applyBorder="1" applyAlignment="1">
      <alignment vertical="center"/>
    </xf>
    <xf numFmtId="165" fontId="2" fillId="0" borderId="213" xfId="0" applyNumberFormat="1" applyFont="1" applyBorder="1" applyAlignment="1">
      <alignment horizontal="right"/>
    </xf>
    <xf numFmtId="165" fontId="2" fillId="104" borderId="215" xfId="1" applyNumberFormat="1" applyFont="1" applyFill="1" applyBorder="1" applyAlignment="1">
      <alignment horizontal="right" vertical="center"/>
    </xf>
    <xf numFmtId="165" fontId="3" fillId="0" borderId="213" xfId="1" applyNumberFormat="1" applyFont="1" applyFill="1" applyBorder="1" applyAlignment="1">
      <alignment horizontal="right" vertical="center"/>
    </xf>
    <xf numFmtId="165" fontId="3" fillId="0" borderId="215" xfId="1" applyNumberFormat="1" applyFont="1" applyFill="1" applyBorder="1" applyAlignment="1">
      <alignment horizontal="right" vertical="center"/>
    </xf>
    <xf numFmtId="165" fontId="2" fillId="0" borderId="215" xfId="0" applyNumberFormat="1" applyFont="1" applyBorder="1" applyAlignment="1">
      <alignment horizontal="right"/>
    </xf>
    <xf numFmtId="165" fontId="2" fillId="104" borderId="215" xfId="0" applyNumberFormat="1" applyFont="1" applyFill="1" applyBorder="1" applyAlignment="1">
      <alignment horizontal="right"/>
    </xf>
    <xf numFmtId="165" fontId="2" fillId="0" borderId="213" xfId="1" applyNumberFormat="1" applyFont="1" applyFill="1" applyBorder="1" applyAlignment="1">
      <alignment horizontal="right" vertical="center"/>
    </xf>
    <xf numFmtId="165" fontId="2" fillId="0" borderId="215" xfId="1" applyNumberFormat="1" applyFont="1" applyFill="1" applyBorder="1" applyAlignment="1">
      <alignment horizontal="right" vertical="center"/>
    </xf>
    <xf numFmtId="165" fontId="3" fillId="0" borderId="213" xfId="0" applyNumberFormat="1" applyFont="1" applyBorder="1" applyAlignment="1">
      <alignment horizontal="right"/>
    </xf>
    <xf numFmtId="165" fontId="3" fillId="0" borderId="215" xfId="0" applyNumberFormat="1" applyFont="1" applyBorder="1" applyAlignment="1">
      <alignment horizontal="right"/>
    </xf>
    <xf numFmtId="165" fontId="2" fillId="21" borderId="213" xfId="1" applyNumberFormat="1" applyFont="1" applyFill="1" applyBorder="1" applyAlignment="1">
      <alignment horizontal="right" vertical="center"/>
    </xf>
    <xf numFmtId="165" fontId="2" fillId="21" borderId="215" xfId="1" applyNumberFormat="1" applyFont="1" applyFill="1" applyBorder="1" applyAlignment="1">
      <alignment horizontal="right" vertical="center"/>
    </xf>
    <xf numFmtId="3" fontId="57" fillId="0" borderId="215" xfId="0" applyNumberFormat="1" applyFont="1" applyBorder="1"/>
    <xf numFmtId="0" fontId="57" fillId="0" borderId="213" xfId="0" applyFont="1" applyBorder="1"/>
    <xf numFmtId="3" fontId="57" fillId="0" borderId="213" xfId="0" applyNumberFormat="1" applyFont="1" applyBorder="1"/>
    <xf numFmtId="0" fontId="57" fillId="0" borderId="215" xfId="0" applyFont="1" applyBorder="1"/>
    <xf numFmtId="3" fontId="2" fillId="104" borderId="215" xfId="0" applyNumberFormat="1" applyFont="1" applyFill="1" applyBorder="1"/>
    <xf numFmtId="165" fontId="27" fillId="104" borderId="213" xfId="1" applyNumberFormat="1" applyFont="1" applyFill="1" applyBorder="1" applyAlignment="1">
      <alignment vertical="center"/>
    </xf>
    <xf numFmtId="165" fontId="26" fillId="104" borderId="213" xfId="1" applyNumberFormat="1" applyFont="1" applyFill="1" applyBorder="1" applyAlignment="1">
      <alignment vertical="center"/>
    </xf>
    <xf numFmtId="3" fontId="57" fillId="91" borderId="213" xfId="0" applyNumberFormat="1" applyFont="1" applyFill="1" applyBorder="1"/>
    <xf numFmtId="0" fontId="57" fillId="91" borderId="215" xfId="0" applyFont="1" applyFill="1" applyBorder="1"/>
    <xf numFmtId="3" fontId="2" fillId="104" borderId="218" xfId="0" applyNumberFormat="1" applyFont="1" applyFill="1" applyBorder="1"/>
    <xf numFmtId="165" fontId="2" fillId="104" borderId="215" xfId="0" applyNumberFormat="1" applyFont="1" applyFill="1" applyBorder="1" applyAlignment="1">
      <alignment horizontal="right" vertical="center"/>
    </xf>
    <xf numFmtId="165" fontId="57" fillId="92" borderId="215" xfId="0" applyNumberFormat="1" applyFont="1" applyFill="1" applyBorder="1" applyAlignment="1">
      <alignment horizontal="right" vertical="center"/>
    </xf>
    <xf numFmtId="165" fontId="2" fillId="104" borderId="215" xfId="0" applyNumberFormat="1" applyFont="1" applyFill="1" applyBorder="1" applyAlignment="1">
      <alignment horizontal="right" vertical="center" wrapText="1"/>
    </xf>
    <xf numFmtId="165" fontId="27" fillId="95" borderId="209" xfId="1" applyNumberFormat="1" applyFont="1" applyFill="1" applyBorder="1" applyAlignment="1">
      <alignment vertical="center"/>
    </xf>
    <xf numFmtId="165" fontId="27" fillId="26" borderId="209" xfId="1" applyNumberFormat="1" applyFont="1" applyFill="1" applyBorder="1" applyAlignment="1">
      <alignment vertical="center"/>
    </xf>
    <xf numFmtId="165" fontId="27" fillId="95" borderId="209" xfId="1" applyNumberFormat="1" applyFont="1" applyFill="1" applyBorder="1" applyAlignment="1">
      <alignment horizontal="left" vertical="center"/>
    </xf>
    <xf numFmtId="0" fontId="26" fillId="104" borderId="210" xfId="0" applyFont="1" applyFill="1" applyBorder="1" applyAlignment="1">
      <alignment horizontal="left" vertical="center"/>
    </xf>
    <xf numFmtId="165" fontId="26" fillId="104" borderId="209" xfId="0" applyNumberFormat="1" applyFont="1" applyFill="1" applyBorder="1" applyAlignment="1">
      <alignment horizontal="center" vertical="center"/>
    </xf>
    <xf numFmtId="0" fontId="26" fillId="104" borderId="209" xfId="0" applyFont="1" applyFill="1" applyBorder="1" applyAlignment="1">
      <alignment horizontal="left" vertical="center"/>
    </xf>
    <xf numFmtId="165" fontId="27" fillId="25" borderId="209" xfId="1" applyNumberFormat="1" applyFont="1" applyFill="1" applyBorder="1" applyAlignment="1">
      <alignment vertical="center"/>
    </xf>
    <xf numFmtId="0" fontId="57" fillId="0" borderId="209" xfId="0" applyFont="1" applyBorder="1"/>
    <xf numFmtId="3" fontId="57" fillId="0" borderId="209" xfId="0" applyNumberFormat="1" applyFont="1" applyBorder="1"/>
    <xf numFmtId="165" fontId="27" fillId="109" borderId="209" xfId="1" applyNumberFormat="1" applyFont="1" applyFill="1" applyBorder="1" applyAlignment="1">
      <alignment horizontal="right" vertical="center"/>
    </xf>
    <xf numFmtId="3" fontId="57" fillId="25" borderId="209" xfId="0" applyNumberFormat="1" applyFont="1" applyFill="1" applyBorder="1"/>
    <xf numFmtId="0" fontId="27" fillId="4" borderId="210" xfId="0" applyFont="1" applyFill="1" applyBorder="1" applyAlignment="1">
      <alignment vertical="center"/>
    </xf>
    <xf numFmtId="3" fontId="57" fillId="7" borderId="209" xfId="0" applyNumberFormat="1" applyFont="1" applyFill="1" applyBorder="1"/>
    <xf numFmtId="165" fontId="26" fillId="95" borderId="209" xfId="1" applyNumberFormat="1" applyFont="1" applyFill="1" applyBorder="1" applyAlignment="1">
      <alignment vertical="center"/>
    </xf>
    <xf numFmtId="165" fontId="26" fillId="109" borderId="209" xfId="1" applyNumberFormat="1" applyFont="1" applyFill="1" applyBorder="1" applyAlignment="1">
      <alignment vertical="center"/>
    </xf>
    <xf numFmtId="165" fontId="26" fillId="25" borderId="209" xfId="1" applyNumberFormat="1" applyFont="1" applyFill="1" applyBorder="1" applyAlignment="1">
      <alignment vertical="center"/>
    </xf>
    <xf numFmtId="3" fontId="57" fillId="103" borderId="209" xfId="0" applyNumberFormat="1" applyFont="1" applyFill="1" applyBorder="1"/>
    <xf numFmtId="3" fontId="57" fillId="25" borderId="212" xfId="0" applyNumberFormat="1" applyFont="1" applyFill="1" applyBorder="1"/>
    <xf numFmtId="165" fontId="26" fillId="104" borderId="210" xfId="1" applyNumberFormat="1" applyFont="1" applyFill="1" applyBorder="1" applyAlignment="1">
      <alignment horizontal="left" vertical="center"/>
    </xf>
    <xf numFmtId="165" fontId="26" fillId="104" borderId="209" xfId="1" applyNumberFormat="1" applyFont="1" applyFill="1" applyBorder="1" applyAlignment="1">
      <alignment horizontal="left" vertical="center"/>
    </xf>
    <xf numFmtId="3" fontId="57" fillId="0" borderId="212" xfId="0" applyNumberFormat="1" applyFont="1" applyBorder="1" applyAlignment="1">
      <alignment wrapText="1"/>
    </xf>
    <xf numFmtId="3" fontId="57" fillId="0" borderId="212" xfId="0" applyNumberFormat="1" applyFont="1" applyBorder="1"/>
    <xf numFmtId="3" fontId="57" fillId="95" borderId="212" xfId="0" applyNumberFormat="1" applyFont="1" applyFill="1" applyBorder="1"/>
    <xf numFmtId="165" fontId="27" fillId="0" borderId="209" xfId="1" applyNumberFormat="1" applyFont="1" applyBorder="1" applyAlignment="1">
      <alignment horizontal="right" vertical="center"/>
    </xf>
    <xf numFmtId="9" fontId="27" fillId="0" borderId="209" xfId="10" applyFont="1" applyBorder="1" applyAlignment="1">
      <alignment horizontal="right" vertical="center"/>
    </xf>
    <xf numFmtId="165" fontId="27" fillId="0" borderId="209" xfId="2" applyNumberFormat="1" applyFont="1" applyFill="1" applyBorder="1"/>
    <xf numFmtId="43" fontId="27" fillId="0" borderId="209" xfId="2" applyFont="1" applyFill="1" applyBorder="1"/>
    <xf numFmtId="9" fontId="26" fillId="104" borderId="209" xfId="1" applyNumberFormat="1" applyFont="1" applyFill="1" applyBorder="1" applyAlignment="1">
      <alignment horizontal="right" vertical="center"/>
    </xf>
    <xf numFmtId="9" fontId="24" fillId="104" borderId="209" xfId="10" applyFont="1" applyFill="1" applyBorder="1" applyAlignment="1">
      <alignment horizontal="right" vertical="center"/>
    </xf>
    <xf numFmtId="3" fontId="57" fillId="0" borderId="211" xfId="0" applyNumberFormat="1" applyFont="1" applyBorder="1"/>
    <xf numFmtId="9" fontId="57" fillId="0" borderId="211" xfId="0" applyNumberFormat="1" applyFont="1" applyBorder="1"/>
    <xf numFmtId="9" fontId="57" fillId="0" borderId="209" xfId="0" applyNumberFormat="1" applyFont="1" applyBorder="1"/>
    <xf numFmtId="9" fontId="57" fillId="0" borderId="212" xfId="0" applyNumberFormat="1" applyFont="1" applyBorder="1"/>
    <xf numFmtId="0" fontId="27" fillId="4" borderId="209" xfId="0" applyFont="1" applyFill="1" applyBorder="1" applyAlignment="1">
      <alignment horizontal="left" vertical="center"/>
    </xf>
    <xf numFmtId="0" fontId="54" fillId="108" borderId="209" xfId="0" applyFont="1" applyFill="1" applyBorder="1" applyAlignment="1">
      <alignment horizontal="center" vertical="center"/>
    </xf>
    <xf numFmtId="3" fontId="57" fillId="0" borderId="209" xfId="0" applyNumberFormat="1" applyFont="1" applyBorder="1" applyAlignment="1">
      <alignment vertical="center"/>
    </xf>
    <xf numFmtId="165" fontId="27" fillId="109" borderId="209" xfId="0" applyNumberFormat="1" applyFont="1" applyFill="1" applyBorder="1" applyAlignment="1">
      <alignment horizontal="left" vertical="center"/>
    </xf>
    <xf numFmtId="165" fontId="26" fillId="25" borderId="209" xfId="0" applyNumberFormat="1" applyFont="1" applyFill="1" applyBorder="1" applyAlignment="1">
      <alignment horizontal="left" vertical="center"/>
    </xf>
    <xf numFmtId="3" fontId="2" fillId="0" borderId="209" xfId="0" applyNumberFormat="1" applyFont="1" applyBorder="1" applyAlignment="1">
      <alignment vertical="center"/>
    </xf>
    <xf numFmtId="0" fontId="3" fillId="25" borderId="209" xfId="0" applyFont="1" applyFill="1" applyBorder="1" applyAlignment="1">
      <alignment horizontal="left" vertical="center"/>
    </xf>
    <xf numFmtId="165" fontId="3" fillId="25" borderId="209" xfId="0" applyNumberFormat="1" applyFont="1" applyFill="1" applyBorder="1" applyAlignment="1">
      <alignment horizontal="left" vertical="center"/>
    </xf>
    <xf numFmtId="0" fontId="26" fillId="97" borderId="210" xfId="0" applyFont="1" applyFill="1" applyBorder="1" applyAlignment="1">
      <alignment horizontal="center" vertical="center"/>
    </xf>
    <xf numFmtId="165" fontId="26" fillId="95" borderId="209" xfId="0" applyNumberFormat="1" applyFont="1" applyFill="1" applyBorder="1" applyAlignment="1">
      <alignment horizontal="left" vertical="center"/>
    </xf>
    <xf numFmtId="0" fontId="57" fillId="0" borderId="209" xfId="0" applyFont="1" applyBorder="1" applyAlignment="1">
      <alignment vertical="center"/>
    </xf>
    <xf numFmtId="165" fontId="27" fillId="21" borderId="209" xfId="0" applyNumberFormat="1" applyFont="1" applyFill="1" applyBorder="1" applyAlignment="1">
      <alignment horizontal="left" vertical="center"/>
    </xf>
    <xf numFmtId="0" fontId="26" fillId="95" borderId="209" xfId="0" applyFont="1" applyFill="1" applyBorder="1" applyAlignment="1">
      <alignment horizontal="left" vertical="center"/>
    </xf>
    <xf numFmtId="0" fontId="26" fillId="100" borderId="209" xfId="0" applyFont="1" applyFill="1" applyBorder="1" applyAlignment="1">
      <alignment horizontal="center" vertical="center"/>
    </xf>
    <xf numFmtId="165" fontId="27" fillId="0" borderId="209" xfId="0" applyNumberFormat="1" applyFont="1" applyBorder="1" applyAlignment="1">
      <alignment horizontal="left" vertical="center"/>
    </xf>
    <xf numFmtId="165" fontId="26" fillId="0" borderId="209" xfId="0" applyNumberFormat="1" applyFont="1" applyBorder="1" applyAlignment="1">
      <alignment horizontal="left" vertical="center"/>
    </xf>
    <xf numFmtId="0" fontId="26" fillId="4" borderId="209" xfId="0" applyFont="1" applyFill="1" applyBorder="1" applyAlignment="1">
      <alignment horizontal="left" vertical="center"/>
    </xf>
    <xf numFmtId="0" fontId="3" fillId="97" borderId="209" xfId="0" applyFont="1" applyFill="1" applyBorder="1" applyAlignment="1">
      <alignment horizontal="center" vertical="center" wrapText="1"/>
    </xf>
    <xf numFmtId="165" fontId="3" fillId="0" borderId="209" xfId="0" applyNumberFormat="1" applyFont="1" applyBorder="1" applyAlignment="1">
      <alignment vertical="center"/>
    </xf>
    <xf numFmtId="0" fontId="2" fillId="4" borderId="209" xfId="0" applyFont="1" applyFill="1" applyBorder="1" applyAlignment="1">
      <alignment horizontal="left" vertical="center"/>
    </xf>
    <xf numFmtId="165" fontId="2" fillId="0" borderId="209" xfId="1" quotePrefix="1" applyNumberFormat="1" applyFont="1" applyFill="1" applyBorder="1" applyAlignment="1">
      <alignment vertical="center"/>
    </xf>
    <xf numFmtId="165" fontId="26" fillId="0" borderId="209" xfId="1" applyNumberFormat="1" applyFont="1" applyFill="1" applyBorder="1" applyAlignment="1">
      <alignment vertical="center"/>
    </xf>
    <xf numFmtId="0" fontId="26" fillId="4" borderId="209" xfId="0" applyFont="1" applyFill="1" applyBorder="1" applyAlignment="1">
      <alignment horizontal="center" vertical="center"/>
    </xf>
    <xf numFmtId="165" fontId="26" fillId="0" borderId="209" xfId="1" applyNumberFormat="1" applyFont="1" applyFill="1" applyBorder="1" applyAlignment="1">
      <alignment horizontal="center" vertical="center" wrapText="1"/>
    </xf>
    <xf numFmtId="165" fontId="27" fillId="0" borderId="209" xfId="1" applyNumberFormat="1" applyFont="1" applyFill="1" applyBorder="1" applyAlignment="1">
      <alignment horizontal="center" vertical="center"/>
    </xf>
    <xf numFmtId="3" fontId="57" fillId="95" borderId="209" xfId="0" applyNumberFormat="1" applyFont="1" applyFill="1" applyBorder="1" applyAlignment="1">
      <alignment vertical="center"/>
    </xf>
    <xf numFmtId="3" fontId="57" fillId="25" borderId="212" xfId="0" applyNumberFormat="1" applyFont="1" applyFill="1" applyBorder="1" applyAlignment="1">
      <alignment vertical="center"/>
    </xf>
    <xf numFmtId="165" fontId="27" fillId="7" borderId="209" xfId="1" applyNumberFormat="1" applyFont="1" applyFill="1" applyBorder="1" applyAlignment="1">
      <alignment vertical="center"/>
    </xf>
    <xf numFmtId="165" fontId="27" fillId="7" borderId="209" xfId="1" applyNumberFormat="1" applyFont="1" applyFill="1" applyBorder="1" applyAlignment="1">
      <alignment horizontal="center" vertical="center"/>
    </xf>
    <xf numFmtId="0" fontId="26" fillId="4" borderId="209" xfId="0" applyFont="1" applyFill="1" applyBorder="1" applyAlignment="1">
      <alignment vertical="center"/>
    </xf>
    <xf numFmtId="165" fontId="26" fillId="105" borderId="209" xfId="1" applyNumberFormat="1" applyFont="1" applyFill="1" applyBorder="1" applyAlignment="1">
      <alignment vertical="center"/>
    </xf>
    <xf numFmtId="165" fontId="26" fillId="7" borderId="209" xfId="1" applyNumberFormat="1" applyFont="1" applyFill="1" applyBorder="1" applyAlignment="1">
      <alignment vertical="center"/>
    </xf>
    <xf numFmtId="3" fontId="60" fillId="95" borderId="209" xfId="0" applyNumberFormat="1" applyFont="1" applyFill="1" applyBorder="1" applyAlignment="1">
      <alignment vertical="center"/>
    </xf>
    <xf numFmtId="165" fontId="26" fillId="7" borderId="209" xfId="1" applyNumberFormat="1" applyFont="1" applyFill="1" applyBorder="1" applyAlignment="1">
      <alignment horizontal="center" vertical="center"/>
    </xf>
    <xf numFmtId="165" fontId="26" fillId="95" borderId="209" xfId="1" applyNumberFormat="1" applyFont="1" applyFill="1" applyBorder="1" applyAlignment="1">
      <alignment horizontal="center" vertical="center"/>
    </xf>
    <xf numFmtId="165" fontId="26" fillId="25" borderId="209" xfId="1" applyNumberFormat="1" applyFont="1" applyFill="1" applyBorder="1" applyAlignment="1">
      <alignment horizontal="center" vertical="center"/>
    </xf>
    <xf numFmtId="165" fontId="57" fillId="95" borderId="209" xfId="0" applyNumberFormat="1" applyFont="1" applyFill="1" applyBorder="1" applyAlignment="1">
      <alignment vertical="center"/>
    </xf>
    <xf numFmtId="165" fontId="57" fillId="25" borderId="212" xfId="0" applyNumberFormat="1" applyFont="1" applyFill="1" applyBorder="1" applyAlignment="1">
      <alignment vertical="center"/>
    </xf>
    <xf numFmtId="43" fontId="27" fillId="0" borderId="209" xfId="1" applyFont="1" applyFill="1" applyBorder="1" applyAlignment="1">
      <alignment horizontal="center" vertical="center"/>
    </xf>
    <xf numFmtId="43" fontId="27" fillId="7" borderId="209" xfId="1" applyFont="1" applyFill="1" applyBorder="1" applyAlignment="1">
      <alignment horizontal="center" vertical="center"/>
    </xf>
    <xf numFmtId="43" fontId="26" fillId="105" borderId="209" xfId="1" applyFont="1" applyFill="1" applyBorder="1" applyAlignment="1">
      <alignment horizontal="center" vertical="center"/>
    </xf>
    <xf numFmtId="43" fontId="26" fillId="7" borderId="209" xfId="1" applyFont="1" applyFill="1" applyBorder="1" applyAlignment="1">
      <alignment horizontal="center" vertical="center"/>
    </xf>
    <xf numFmtId="43" fontId="26" fillId="95" borderId="209" xfId="1" applyFont="1" applyFill="1" applyBorder="1" applyAlignment="1">
      <alignment horizontal="center" vertical="center"/>
    </xf>
    <xf numFmtId="43" fontId="26" fillId="25" borderId="209" xfId="1" applyFont="1" applyFill="1" applyBorder="1" applyAlignment="1">
      <alignment horizontal="center" vertical="center"/>
    </xf>
    <xf numFmtId="43" fontId="27" fillId="7" borderId="209" xfId="1" applyFont="1" applyFill="1" applyBorder="1" applyAlignment="1">
      <alignment horizontal="right" vertical="center"/>
    </xf>
    <xf numFmtId="0" fontId="57" fillId="25" borderId="212" xfId="0" applyFont="1" applyFill="1" applyBorder="1" applyAlignment="1">
      <alignment horizontal="right" vertical="center"/>
    </xf>
    <xf numFmtId="43" fontId="26" fillId="104" borderId="209" xfId="1" applyFont="1" applyFill="1" applyBorder="1" applyAlignment="1">
      <alignment horizontal="center" vertical="center"/>
    </xf>
    <xf numFmtId="0" fontId="26" fillId="4" borderId="210" xfId="0" applyFont="1" applyFill="1" applyBorder="1" applyAlignment="1">
      <alignment vertical="center"/>
    </xf>
    <xf numFmtId="43" fontId="2" fillId="0" borderId="209" xfId="0" applyNumberFormat="1" applyFont="1" applyBorder="1" applyAlignment="1">
      <alignment vertical="center"/>
    </xf>
    <xf numFmtId="165" fontId="3" fillId="25" borderId="209" xfId="0" applyNumberFormat="1" applyFont="1" applyFill="1" applyBorder="1" applyAlignment="1">
      <alignment vertical="center"/>
    </xf>
    <xf numFmtId="0" fontId="57" fillId="92" borderId="209" xfId="0" applyFont="1" applyFill="1" applyBorder="1" applyAlignment="1">
      <alignment vertical="center"/>
    </xf>
    <xf numFmtId="0" fontId="26" fillId="25" borderId="209" xfId="0" applyFont="1" applyFill="1" applyBorder="1" applyAlignment="1">
      <alignment horizontal="left" vertical="center"/>
    </xf>
    <xf numFmtId="165" fontId="3" fillId="95" borderId="209" xfId="0" applyNumberFormat="1" applyFont="1" applyFill="1" applyBorder="1" applyAlignment="1">
      <alignment vertical="center"/>
    </xf>
    <xf numFmtId="165" fontId="130" fillId="0" borderId="209" xfId="1" applyNumberFormat="1" applyFont="1" applyFill="1" applyBorder="1" applyAlignment="1">
      <alignment vertical="center"/>
    </xf>
    <xf numFmtId="165" fontId="3" fillId="109" borderId="209" xfId="0" applyNumberFormat="1" applyFont="1" applyFill="1" applyBorder="1" applyAlignment="1">
      <alignment vertical="center"/>
    </xf>
    <xf numFmtId="165" fontId="3" fillId="109" borderId="209" xfId="1" applyNumberFormat="1" applyFont="1" applyFill="1" applyBorder="1" applyAlignment="1">
      <alignment vertical="center"/>
    </xf>
    <xf numFmtId="165" fontId="3" fillId="25" borderId="209" xfId="1" applyNumberFormat="1" applyFont="1" applyFill="1" applyBorder="1" applyAlignment="1">
      <alignment vertical="center"/>
    </xf>
    <xf numFmtId="165" fontId="2" fillId="109" borderId="209" xfId="1" applyNumberFormat="1" applyFont="1" applyFill="1" applyBorder="1" applyAlignment="1">
      <alignment horizontal="right" vertical="center"/>
    </xf>
    <xf numFmtId="0" fontId="2" fillId="92" borderId="209" xfId="0" applyFont="1" applyFill="1" applyBorder="1" applyAlignment="1">
      <alignment vertical="center"/>
    </xf>
    <xf numFmtId="165" fontId="3" fillId="95" borderId="209" xfId="1" applyNumberFormat="1" applyFont="1" applyFill="1" applyBorder="1" applyAlignment="1">
      <alignment vertical="center"/>
    </xf>
    <xf numFmtId="165" fontId="3" fillId="0" borderId="209" xfId="1" applyNumberFormat="1" applyFont="1" applyFill="1" applyBorder="1" applyAlignment="1">
      <alignment vertical="center"/>
    </xf>
    <xf numFmtId="165" fontId="26" fillId="21" borderId="209" xfId="1" applyNumberFormat="1" applyFont="1" applyFill="1" applyBorder="1" applyAlignment="1">
      <alignment vertical="center"/>
    </xf>
    <xf numFmtId="2" fontId="27" fillId="95" borderId="209" xfId="0" applyNumberFormat="1" applyFont="1" applyFill="1" applyBorder="1" applyAlignment="1">
      <alignment vertical="center"/>
    </xf>
    <xf numFmtId="2" fontId="27" fillId="25" borderId="209" xfId="0" applyNumberFormat="1" applyFont="1" applyFill="1" applyBorder="1" applyAlignment="1">
      <alignment vertical="center"/>
    </xf>
    <xf numFmtId="2" fontId="26" fillId="104" borderId="209" xfId="0" applyNumberFormat="1" applyFont="1" applyFill="1" applyBorder="1" applyAlignment="1">
      <alignment vertical="center"/>
    </xf>
    <xf numFmtId="165" fontId="26" fillId="105" borderId="209" xfId="1" applyNumberFormat="1" applyFont="1" applyFill="1" applyBorder="1" applyAlignment="1">
      <alignment horizontal="center" vertical="center"/>
    </xf>
    <xf numFmtId="165" fontId="26" fillId="0" borderId="209" xfId="1" applyNumberFormat="1" applyFont="1" applyFill="1" applyBorder="1" applyAlignment="1">
      <alignment horizontal="center" vertical="center"/>
    </xf>
    <xf numFmtId="165" fontId="26" fillId="95" borderId="210" xfId="1" applyNumberFormat="1" applyFont="1" applyFill="1" applyBorder="1" applyAlignment="1">
      <alignment horizontal="center" vertical="center"/>
    </xf>
    <xf numFmtId="165" fontId="27" fillId="0" borderId="209" xfId="0" applyNumberFormat="1" applyFont="1" applyBorder="1" applyAlignment="1">
      <alignment vertical="center"/>
    </xf>
    <xf numFmtId="165" fontId="26" fillId="21" borderId="209" xfId="1" applyNumberFormat="1" applyFont="1" applyFill="1" applyBorder="1" applyAlignment="1">
      <alignment horizontal="center" vertical="center"/>
    </xf>
    <xf numFmtId="165" fontId="27" fillId="0" borderId="209" xfId="0" applyNumberFormat="1" applyFont="1" applyBorder="1" applyAlignment="1">
      <alignment horizontal="center" vertical="center"/>
    </xf>
    <xf numFmtId="0" fontId="2" fillId="25" borderId="212" xfId="0" applyFont="1" applyFill="1" applyBorder="1" applyAlignment="1">
      <alignment vertical="center"/>
    </xf>
    <xf numFmtId="2" fontId="27" fillId="0" borderId="209" xfId="1" applyNumberFormat="1" applyFont="1" applyFill="1" applyBorder="1" applyAlignment="1">
      <alignment horizontal="right" vertical="center"/>
    </xf>
    <xf numFmtId="2" fontId="27" fillId="0" borderId="211" xfId="1" applyNumberFormat="1" applyFont="1" applyFill="1" applyBorder="1" applyAlignment="1">
      <alignment vertical="center"/>
    </xf>
    <xf numFmtId="2" fontId="26" fillId="105" borderId="209" xfId="1" applyNumberFormat="1" applyFont="1" applyFill="1" applyBorder="1" applyAlignment="1">
      <alignment horizontal="right" vertical="center"/>
    </xf>
    <xf numFmtId="2" fontId="26" fillId="0" borderId="209" xfId="1" applyNumberFormat="1" applyFont="1" applyFill="1" applyBorder="1" applyAlignment="1">
      <alignment horizontal="right" vertical="center"/>
    </xf>
    <xf numFmtId="2" fontId="26" fillId="0" borderId="209" xfId="0" applyNumberFormat="1" applyFont="1" applyBorder="1" applyAlignment="1">
      <alignment vertical="center"/>
    </xf>
    <xf numFmtId="2" fontId="26" fillId="95" borderId="209" xfId="0" applyNumberFormat="1" applyFont="1" applyFill="1" applyBorder="1" applyAlignment="1">
      <alignment vertical="center"/>
    </xf>
    <xf numFmtId="2" fontId="26" fillId="25" borderId="209" xfId="0" applyNumberFormat="1" applyFont="1" applyFill="1" applyBorder="1" applyAlignment="1">
      <alignment vertical="center"/>
    </xf>
    <xf numFmtId="0" fontId="57" fillId="25" borderId="212" xfId="0" applyFont="1" applyFill="1" applyBorder="1" applyAlignment="1">
      <alignment vertical="center"/>
    </xf>
    <xf numFmtId="0" fontId="3" fillId="100" borderId="212" xfId="0" applyFont="1" applyFill="1" applyBorder="1" applyAlignment="1">
      <alignment horizontal="center" vertical="center"/>
    </xf>
    <xf numFmtId="0" fontId="3" fillId="100" borderId="209" xfId="0" applyFont="1" applyFill="1" applyBorder="1" applyAlignment="1">
      <alignment horizontal="center" vertical="center"/>
    </xf>
    <xf numFmtId="0" fontId="3" fillId="104" borderId="209" xfId="0" applyFont="1" applyFill="1" applyBorder="1" applyAlignment="1">
      <alignment horizontal="center" vertical="center"/>
    </xf>
    <xf numFmtId="165" fontId="2" fillId="104" borderId="209" xfId="1" applyNumberFormat="1" applyFont="1" applyFill="1" applyBorder="1" applyAlignment="1">
      <alignment vertical="center"/>
    </xf>
    <xf numFmtId="0" fontId="3" fillId="104" borderId="209" xfId="0" applyFont="1" applyFill="1" applyBorder="1" applyAlignment="1">
      <alignment horizontal="left" vertical="center"/>
    </xf>
    <xf numFmtId="0" fontId="3" fillId="100" borderId="212" xfId="25" applyFont="1" applyFill="1" applyBorder="1" applyAlignment="1">
      <alignment horizontal="center" vertical="center"/>
    </xf>
    <xf numFmtId="0" fontId="3" fillId="100" borderId="209" xfId="25" applyFont="1" applyFill="1" applyBorder="1" applyAlignment="1">
      <alignment horizontal="center" vertical="center"/>
    </xf>
    <xf numFmtId="0" fontId="3" fillId="105" borderId="209" xfId="25" applyFont="1" applyFill="1" applyBorder="1" applyAlignment="1">
      <alignment horizontal="center" vertical="center"/>
    </xf>
    <xf numFmtId="165" fontId="2" fillId="109" borderId="209" xfId="12495" applyNumberFormat="1" applyFont="1" applyFill="1" applyBorder="1" applyAlignment="1" applyProtection="1">
      <alignment vertical="center"/>
    </xf>
    <xf numFmtId="0" fontId="9" fillId="0" borderId="209" xfId="0" applyFont="1" applyBorder="1" applyAlignment="1">
      <alignment vertical="center"/>
    </xf>
    <xf numFmtId="0" fontId="2" fillId="109" borderId="209" xfId="25" applyFont="1" applyFill="1" applyBorder="1" applyAlignment="1">
      <alignment vertical="center"/>
    </xf>
    <xf numFmtId="165" fontId="2" fillId="105" borderId="209" xfId="12495" applyNumberFormat="1" applyFont="1" applyFill="1" applyBorder="1" applyAlignment="1" applyProtection="1">
      <alignment vertical="center"/>
    </xf>
    <xf numFmtId="165" fontId="2" fillId="109" borderId="209" xfId="12495" applyNumberFormat="1" applyFont="1" applyFill="1" applyBorder="1" applyAlignment="1">
      <alignment vertical="center"/>
    </xf>
    <xf numFmtId="0" fontId="7" fillId="0" borderId="209" xfId="0" applyFont="1" applyBorder="1" applyAlignment="1">
      <alignment vertical="center"/>
    </xf>
    <xf numFmtId="0" fontId="2" fillId="4" borderId="209" xfId="25" applyFont="1" applyFill="1" applyBorder="1" applyAlignment="1">
      <alignment horizontal="left" vertical="center"/>
    </xf>
    <xf numFmtId="3" fontId="7" fillId="0" borderId="209" xfId="0" applyNumberFormat="1" applyFont="1" applyBorder="1" applyAlignment="1">
      <alignment vertical="center"/>
    </xf>
    <xf numFmtId="0" fontId="3" fillId="105" borderId="209" xfId="25" applyFont="1" applyFill="1" applyBorder="1" applyAlignment="1">
      <alignment horizontal="left" vertical="center"/>
    </xf>
    <xf numFmtId="165" fontId="3" fillId="105" borderId="209" xfId="12495" applyNumberFormat="1" applyFont="1" applyFill="1" applyBorder="1" applyAlignment="1">
      <alignment vertical="center"/>
    </xf>
    <xf numFmtId="0" fontId="3" fillId="105" borderId="209" xfId="0" applyFont="1" applyFill="1" applyBorder="1" applyAlignment="1">
      <alignment horizontal="center" vertical="center"/>
    </xf>
    <xf numFmtId="0" fontId="2" fillId="4" borderId="211" xfId="0" applyFont="1" applyFill="1" applyBorder="1" applyAlignment="1">
      <alignment horizontal="left" vertical="center"/>
    </xf>
    <xf numFmtId="165" fontId="2" fillId="21" borderId="209" xfId="12495" applyNumberFormat="1" applyFont="1" applyFill="1" applyBorder="1" applyAlignment="1" applyProtection="1">
      <alignment vertical="center"/>
    </xf>
    <xf numFmtId="0" fontId="3" fillId="105" borderId="209" xfId="0" applyFont="1" applyFill="1" applyBorder="1" applyAlignment="1">
      <alignment horizontal="left" vertical="center"/>
    </xf>
    <xf numFmtId="165" fontId="2" fillId="21" borderId="209" xfId="12495" applyNumberFormat="1" applyFont="1" applyFill="1" applyBorder="1" applyAlignment="1">
      <alignment vertical="center"/>
    </xf>
    <xf numFmtId="0" fontId="9" fillId="0" borderId="209" xfId="0" applyFont="1" applyBorder="1" applyAlignment="1">
      <alignment vertical="center" wrapText="1"/>
    </xf>
    <xf numFmtId="0" fontId="2" fillId="21" borderId="209" xfId="25" applyFont="1" applyFill="1" applyBorder="1" applyAlignment="1">
      <alignment vertical="center"/>
    </xf>
    <xf numFmtId="0" fontId="7" fillId="0" borderId="209" xfId="0" applyFont="1" applyBorder="1" applyAlignment="1">
      <alignment vertical="center" wrapText="1"/>
    </xf>
    <xf numFmtId="0" fontId="162" fillId="0" borderId="209" xfId="0" applyFont="1" applyBorder="1" applyAlignment="1">
      <alignment horizontal="right" vertical="center" wrapText="1"/>
    </xf>
    <xf numFmtId="0" fontId="7" fillId="91" borderId="209" xfId="0" applyFont="1" applyFill="1" applyBorder="1" applyAlignment="1">
      <alignment vertical="center"/>
    </xf>
    <xf numFmtId="3" fontId="7" fillId="91" borderId="209" xfId="0" applyNumberFormat="1" applyFont="1" applyFill="1" applyBorder="1" applyAlignment="1">
      <alignment vertical="center"/>
    </xf>
    <xf numFmtId="0" fontId="7" fillId="0" borderId="209" xfId="0" applyFont="1" applyBorder="1"/>
    <xf numFmtId="0" fontId="9" fillId="0" borderId="209" xfId="0" applyFont="1" applyBorder="1" applyAlignment="1">
      <alignment horizontal="center" vertical="center" wrapText="1"/>
    </xf>
    <xf numFmtId="0" fontId="7" fillId="0" borderId="209" xfId="0" applyFont="1" applyBorder="1" applyAlignment="1">
      <alignment horizontal="center" vertical="center" wrapText="1"/>
    </xf>
    <xf numFmtId="0" fontId="7" fillId="0" borderId="209" xfId="0" applyFont="1" applyBorder="1" applyAlignment="1">
      <alignment horizontal="center" vertical="center"/>
    </xf>
    <xf numFmtId="0" fontId="54" fillId="96" borderId="209" xfId="0" applyFont="1" applyFill="1" applyBorder="1" applyAlignment="1">
      <alignment horizontal="left" vertical="center" wrapText="1"/>
    </xf>
    <xf numFmtId="0" fontId="7" fillId="0" borderId="209" xfId="0" applyFont="1" applyBorder="1" applyAlignment="1">
      <alignment horizontal="right" vertical="center"/>
    </xf>
    <xf numFmtId="165" fontId="7" fillId="0" borderId="209" xfId="2" applyNumberFormat="1" applyFont="1" applyFill="1" applyBorder="1" applyAlignment="1">
      <alignment horizontal="right" vertical="center"/>
    </xf>
    <xf numFmtId="165" fontId="7" fillId="0" borderId="209" xfId="2" applyNumberFormat="1" applyFont="1" applyFill="1" applyBorder="1" applyAlignment="1" applyProtection="1">
      <alignment vertical="center"/>
    </xf>
    <xf numFmtId="165" fontId="7" fillId="0" borderId="209" xfId="2" applyNumberFormat="1" applyFont="1" applyFill="1" applyBorder="1" applyAlignment="1">
      <alignment vertical="center"/>
    </xf>
    <xf numFmtId="41" fontId="9" fillId="0" borderId="209" xfId="2" applyNumberFormat="1" applyFont="1" applyFill="1" applyBorder="1" applyAlignment="1" applyProtection="1">
      <alignment vertical="center"/>
    </xf>
    <xf numFmtId="41" fontId="7" fillId="0" borderId="209" xfId="2" applyNumberFormat="1" applyFont="1" applyFill="1" applyBorder="1" applyAlignment="1">
      <alignment vertical="center"/>
    </xf>
    <xf numFmtId="0" fontId="26" fillId="105" borderId="209" xfId="0" applyFont="1" applyFill="1" applyBorder="1" applyAlignment="1">
      <alignment horizontal="left" vertical="center"/>
    </xf>
    <xf numFmtId="165" fontId="9" fillId="0" borderId="209" xfId="2" applyNumberFormat="1" applyFont="1" applyFill="1" applyBorder="1" applyAlignment="1" applyProtection="1">
      <alignment vertical="center"/>
    </xf>
    <xf numFmtId="0" fontId="3" fillId="0" borderId="212" xfId="0" applyFont="1" applyBorder="1" applyAlignment="1">
      <alignment horizontal="center" vertical="center"/>
    </xf>
    <xf numFmtId="0" fontId="3" fillId="0" borderId="209" xfId="0" applyFont="1" applyBorder="1" applyAlignment="1">
      <alignment horizontal="center" vertical="center"/>
    </xf>
    <xf numFmtId="165" fontId="7" fillId="0" borderId="209" xfId="12496" applyNumberFormat="1" applyFont="1" applyFill="1" applyBorder="1" applyAlignment="1">
      <alignment vertical="center"/>
    </xf>
    <xf numFmtId="0" fontId="7" fillId="0" borderId="209" xfId="30381" applyFont="1" applyBorder="1" applyAlignment="1">
      <alignment vertical="center"/>
    </xf>
    <xf numFmtId="165" fontId="2" fillId="4" borderId="209" xfId="1" applyNumberFormat="1" applyFont="1" applyFill="1" applyBorder="1" applyAlignment="1">
      <alignment horizontal="left" vertical="center"/>
    </xf>
    <xf numFmtId="165" fontId="3" fillId="105" borderId="209" xfId="1" applyNumberFormat="1" applyFont="1" applyFill="1" applyBorder="1" applyAlignment="1">
      <alignment horizontal="left" vertical="center"/>
    </xf>
    <xf numFmtId="0" fontId="10" fillId="0" borderId="209" xfId="0" applyFont="1" applyBorder="1" applyAlignment="1">
      <alignment horizontal="center" vertical="center"/>
    </xf>
    <xf numFmtId="0" fontId="10" fillId="0" borderId="210" xfId="0" applyFont="1" applyBorder="1" applyAlignment="1">
      <alignment horizontal="center" vertical="center" wrapText="1"/>
    </xf>
    <xf numFmtId="0" fontId="10" fillId="0" borderId="213" xfId="0" applyFont="1" applyBorder="1" applyAlignment="1">
      <alignment horizontal="center" vertical="center" wrapText="1"/>
    </xf>
    <xf numFmtId="0" fontId="10" fillId="0" borderId="212" xfId="0" applyFont="1" applyBorder="1" applyAlignment="1">
      <alignment horizontal="center" vertical="center" wrapText="1"/>
    </xf>
    <xf numFmtId="0" fontId="24" fillId="15" borderId="209" xfId="0" applyFont="1" applyFill="1" applyBorder="1" applyAlignment="1">
      <alignment wrapText="1"/>
    </xf>
    <xf numFmtId="0" fontId="24" fillId="15" borderId="209" xfId="0" applyFont="1" applyFill="1" applyBorder="1"/>
    <xf numFmtId="0" fontId="0" fillId="0" borderId="209" xfId="0" applyBorder="1"/>
    <xf numFmtId="165" fontId="0" fillId="0" borderId="209" xfId="0" applyNumberFormat="1" applyBorder="1"/>
    <xf numFmtId="2" fontId="0" fillId="0" borderId="209" xfId="0" applyNumberFormat="1" applyBorder="1"/>
    <xf numFmtId="0" fontId="9" fillId="0" borderId="209" xfId="9" applyFont="1" applyFill="1" applyBorder="1" applyAlignment="1" applyProtection="1">
      <alignment vertical="center"/>
    </xf>
    <xf numFmtId="165" fontId="7" fillId="0" borderId="209" xfId="1" applyNumberFormat="1" applyFont="1" applyFill="1" applyBorder="1" applyAlignment="1">
      <alignment vertical="center"/>
    </xf>
    <xf numFmtId="165" fontId="10" fillId="0" borderId="209" xfId="1" applyNumberFormat="1" applyFont="1" applyFill="1" applyBorder="1" applyAlignment="1">
      <alignment vertical="center"/>
    </xf>
    <xf numFmtId="0" fontId="5" fillId="8" borderId="209" xfId="0" applyFont="1" applyFill="1" applyBorder="1"/>
    <xf numFmtId="0" fontId="9" fillId="0" borderId="209" xfId="9" applyFont="1" applyBorder="1" applyAlignment="1" applyProtection="1">
      <alignment vertical="center"/>
    </xf>
    <xf numFmtId="165" fontId="7" fillId="15" borderId="209" xfId="1" applyNumberFormat="1" applyFont="1" applyFill="1" applyBorder="1" applyAlignment="1">
      <alignment vertical="center"/>
    </xf>
    <xf numFmtId="165" fontId="3" fillId="0" borderId="209" xfId="2" applyNumberFormat="1" applyFont="1" applyFill="1" applyBorder="1" applyAlignment="1">
      <alignment vertical="center"/>
    </xf>
    <xf numFmtId="0" fontId="29" fillId="8" borderId="209" xfId="0" applyFont="1" applyFill="1" applyBorder="1"/>
    <xf numFmtId="0" fontId="29" fillId="10" borderId="209" xfId="0" applyFont="1" applyFill="1" applyBorder="1"/>
    <xf numFmtId="165" fontId="2" fillId="0" borderId="209" xfId="2" applyNumberFormat="1" applyFont="1" applyFill="1" applyBorder="1" applyAlignment="1" applyProtection="1">
      <alignment vertical="center"/>
    </xf>
    <xf numFmtId="0" fontId="29" fillId="9" borderId="209" xfId="0" applyFont="1" applyFill="1" applyBorder="1"/>
    <xf numFmtId="165" fontId="7" fillId="0" borderId="209" xfId="2" applyNumberFormat="1" applyFont="1" applyBorder="1" applyAlignment="1">
      <alignment vertical="center"/>
    </xf>
    <xf numFmtId="169" fontId="2" fillId="0" borderId="209" xfId="2" applyNumberFormat="1" applyFont="1" applyFill="1" applyBorder="1" applyAlignment="1">
      <alignment vertical="center"/>
    </xf>
    <xf numFmtId="0" fontId="2" fillId="0" borderId="209" xfId="2" applyNumberFormat="1" applyFont="1" applyFill="1" applyBorder="1" applyAlignment="1">
      <alignment vertical="center"/>
    </xf>
    <xf numFmtId="165" fontId="7" fillId="0" borderId="209" xfId="15" applyNumberFormat="1" applyFont="1" applyBorder="1" applyAlignment="1">
      <alignment horizontal="center" vertical="center"/>
    </xf>
    <xf numFmtId="0" fontId="7" fillId="0" borderId="209" xfId="15" applyFont="1" applyBorder="1" applyAlignment="1">
      <alignment vertical="center"/>
    </xf>
    <xf numFmtId="43" fontId="9" fillId="0" borderId="209" xfId="2" applyFont="1" applyFill="1" applyBorder="1" applyAlignment="1" applyProtection="1">
      <alignment vertical="center"/>
    </xf>
    <xf numFmtId="43" fontId="7" fillId="0" borderId="209" xfId="2" applyFont="1" applyFill="1" applyBorder="1" applyAlignment="1">
      <alignment vertical="center"/>
    </xf>
    <xf numFmtId="0" fontId="7" fillId="0" borderId="209" xfId="2" applyNumberFormat="1" applyFont="1" applyFill="1" applyBorder="1" applyAlignment="1">
      <alignment vertical="center"/>
    </xf>
    <xf numFmtId="0" fontId="10" fillId="0" borderId="210" xfId="0" applyFont="1" applyBorder="1" applyAlignment="1">
      <alignment vertical="center"/>
    </xf>
    <xf numFmtId="0" fontId="10" fillId="0" borderId="212" xfId="0" applyFont="1" applyBorder="1" applyAlignment="1">
      <alignment vertical="center"/>
    </xf>
    <xf numFmtId="165" fontId="6" fillId="0" borderId="209" xfId="2" applyNumberFormat="1" applyFont="1" applyBorder="1" applyAlignment="1">
      <alignment vertical="center"/>
    </xf>
    <xf numFmtId="165" fontId="6" fillId="0" borderId="209" xfId="2" applyNumberFormat="1" applyFont="1" applyFill="1" applyBorder="1" applyAlignment="1">
      <alignment vertical="center"/>
    </xf>
    <xf numFmtId="0" fontId="13" fillId="0" borderId="209" xfId="0" applyFont="1" applyBorder="1" applyAlignment="1">
      <alignment horizontal="center"/>
    </xf>
    <xf numFmtId="0" fontId="13" fillId="0" borderId="209" xfId="0" applyFont="1" applyBorder="1"/>
    <xf numFmtId="0" fontId="13" fillId="0" borderId="209" xfId="0" applyFont="1" applyBorder="1" applyAlignment="1">
      <alignment horizontal="center" vertical="center"/>
    </xf>
    <xf numFmtId="0" fontId="13" fillId="0" borderId="209" xfId="0" applyFont="1" applyBorder="1" applyAlignment="1">
      <alignment horizontal="center" vertical="center" wrapText="1"/>
    </xf>
    <xf numFmtId="0" fontId="28" fillId="6" borderId="211" xfId="0" applyFont="1" applyFill="1" applyBorder="1" applyAlignment="1">
      <alignment horizontal="center"/>
    </xf>
    <xf numFmtId="0" fontId="28" fillId="0" borderId="211" xfId="0" applyFont="1" applyBorder="1" applyAlignment="1">
      <alignment horizontal="center"/>
    </xf>
    <xf numFmtId="0" fontId="5" fillId="0" borderId="209" xfId="0" applyFont="1" applyBorder="1"/>
    <xf numFmtId="165" fontId="5" fillId="0" borderId="209" xfId="1" applyNumberFormat="1" applyFont="1" applyFill="1" applyBorder="1" applyAlignment="1"/>
    <xf numFmtId="2" fontId="5" fillId="0" borderId="209" xfId="0" applyNumberFormat="1" applyFont="1" applyBorder="1"/>
    <xf numFmtId="2" fontId="2" fillId="0" borderId="209" xfId="0" applyNumberFormat="1" applyFont="1" applyBorder="1"/>
    <xf numFmtId="37" fontId="5" fillId="0" borderId="209" xfId="0" applyNumberFormat="1" applyFont="1" applyBorder="1"/>
    <xf numFmtId="43" fontId="5" fillId="0" borderId="209" xfId="0" applyNumberFormat="1" applyFont="1" applyBorder="1"/>
    <xf numFmtId="43" fontId="0" fillId="0" borderId="209" xfId="0" applyNumberFormat="1" applyBorder="1"/>
    <xf numFmtId="0" fontId="29" fillId="4" borderId="209" xfId="0" applyFont="1" applyFill="1" applyBorder="1"/>
    <xf numFmtId="0" fontId="29" fillId="4" borderId="210" xfId="0" applyFont="1" applyFill="1" applyBorder="1"/>
    <xf numFmtId="165" fontId="29" fillId="4" borderId="209" xfId="1" applyNumberFormat="1" applyFont="1" applyFill="1" applyBorder="1" applyAlignment="1"/>
    <xf numFmtId="43" fontId="5" fillId="0" borderId="209" xfId="1" applyFont="1" applyFill="1" applyBorder="1" applyAlignment="1"/>
    <xf numFmtId="0" fontId="29" fillId="4" borderId="211" xfId="0" applyFont="1" applyFill="1" applyBorder="1"/>
    <xf numFmtId="0" fontId="28" fillId="4" borderId="209" xfId="0" applyFont="1" applyFill="1" applyBorder="1"/>
    <xf numFmtId="165" fontId="28" fillId="4" borderId="211" xfId="1" applyNumberFormat="1" applyFont="1" applyFill="1" applyBorder="1"/>
    <xf numFmtId="0" fontId="28" fillId="4" borderId="210" xfId="0" applyFont="1" applyFill="1" applyBorder="1"/>
    <xf numFmtId="165" fontId="39" fillId="4" borderId="209" xfId="1" applyNumberFormat="1" applyFont="1" applyFill="1" applyBorder="1" applyAlignment="1"/>
    <xf numFmtId="0" fontId="28" fillId="4" borderId="211" xfId="0" applyFont="1" applyFill="1" applyBorder="1" applyAlignment="1">
      <alignment horizontal="center" vertical="center"/>
    </xf>
    <xf numFmtId="4" fontId="28" fillId="4" borderId="209" xfId="0" applyNumberFormat="1" applyFont="1" applyFill="1" applyBorder="1" applyAlignment="1">
      <alignment horizontal="center" vertical="center"/>
    </xf>
    <xf numFmtId="4" fontId="28" fillId="4" borderId="209" xfId="0" applyNumberFormat="1" applyFont="1" applyFill="1" applyBorder="1" applyAlignment="1">
      <alignment vertical="center"/>
    </xf>
    <xf numFmtId="0" fontId="24" fillId="0" borderId="209" xfId="0" applyFont="1" applyBorder="1"/>
    <xf numFmtId="0" fontId="24" fillId="0" borderId="209" xfId="0" applyFont="1" applyBorder="1" applyAlignment="1">
      <alignment horizontal="center" vertical="center"/>
    </xf>
    <xf numFmtId="43" fontId="24" fillId="0" borderId="209" xfId="1" applyFont="1" applyBorder="1" applyAlignment="1">
      <alignment horizontal="center"/>
    </xf>
    <xf numFmtId="2" fontId="24" fillId="0" borderId="209" xfId="0" applyNumberFormat="1" applyFont="1" applyBorder="1" applyAlignment="1">
      <alignment horizontal="right"/>
    </xf>
    <xf numFmtId="43" fontId="0" fillId="0" borderId="209" xfId="1" applyFont="1" applyBorder="1"/>
    <xf numFmtId="43" fontId="24" fillId="0" borderId="209" xfId="0" applyNumberFormat="1" applyFont="1" applyBorder="1" applyAlignment="1">
      <alignment horizontal="center"/>
    </xf>
    <xf numFmtId="165" fontId="13" fillId="0" borderId="209" xfId="1" applyNumberFormat="1" applyFont="1" applyFill="1" applyBorder="1"/>
    <xf numFmtId="165" fontId="13" fillId="0" borderId="209" xfId="1" applyNumberFormat="1" applyFont="1" applyFill="1" applyBorder="1" applyAlignment="1"/>
    <xf numFmtId="165" fontId="3" fillId="0" borderId="209" xfId="1" applyNumberFormat="1" applyFont="1" applyFill="1" applyBorder="1" applyAlignment="1"/>
    <xf numFmtId="0" fontId="24" fillId="0" borderId="209" xfId="0" applyFont="1" applyBorder="1" applyAlignment="1">
      <alignment horizontal="center"/>
    </xf>
    <xf numFmtId="0" fontId="28" fillId="6" borderId="209" xfId="0" applyFont="1" applyFill="1" applyBorder="1" applyAlignment="1">
      <alignment horizontal="center"/>
    </xf>
    <xf numFmtId="2" fontId="2" fillId="15" borderId="209" xfId="0" applyNumberFormat="1" applyFont="1" applyFill="1" applyBorder="1"/>
    <xf numFmtId="165" fontId="28" fillId="4" borderId="209" xfId="1" applyNumberFormat="1" applyFont="1" applyFill="1" applyBorder="1" applyAlignment="1"/>
    <xf numFmtId="165" fontId="13" fillId="4" borderId="209" xfId="1" applyNumberFormat="1" applyFont="1" applyFill="1" applyBorder="1" applyAlignment="1"/>
    <xf numFmtId="0" fontId="54" fillId="108" borderId="210" xfId="0" applyFont="1" applyFill="1" applyBorder="1" applyAlignment="1">
      <alignment horizontal="center" vertical="center"/>
    </xf>
    <xf numFmtId="165" fontId="27" fillId="21" borderId="209" xfId="1" applyNumberFormat="1" applyFont="1" applyFill="1" applyBorder="1" applyAlignment="1">
      <alignment vertical="center"/>
    </xf>
    <xf numFmtId="2" fontId="3" fillId="104" borderId="209" xfId="0" applyNumberFormat="1" applyFont="1" applyFill="1" applyBorder="1" applyAlignment="1">
      <alignment horizontal="left" vertical="center"/>
    </xf>
    <xf numFmtId="165" fontId="3" fillId="104" borderId="209" xfId="1" applyNumberFormat="1" applyFont="1" applyFill="1" applyBorder="1" applyAlignment="1">
      <alignment horizontal="center" vertical="center"/>
    </xf>
    <xf numFmtId="3" fontId="3" fillId="104" borderId="209" xfId="0" applyNumberFormat="1" applyFont="1" applyFill="1" applyBorder="1" applyAlignment="1">
      <alignment horizontal="center" vertical="center"/>
    </xf>
    <xf numFmtId="0" fontId="26" fillId="0" borderId="209" xfId="0" applyFont="1" applyBorder="1" applyAlignment="1">
      <alignment horizontal="center" vertical="center" wrapText="1"/>
    </xf>
    <xf numFmtId="0" fontId="26" fillId="21" borderId="209" xfId="0" applyFont="1" applyFill="1" applyBorder="1" applyAlignment="1">
      <alignment vertical="center" wrapText="1"/>
    </xf>
    <xf numFmtId="43" fontId="27" fillId="21" borderId="209" xfId="0" applyNumberFormat="1" applyFont="1" applyFill="1" applyBorder="1" applyAlignment="1">
      <alignment vertical="center"/>
    </xf>
    <xf numFmtId="43" fontId="27" fillId="21" borderId="209" xfId="1" applyFont="1" applyFill="1" applyBorder="1" applyAlignment="1">
      <alignment vertical="center"/>
    </xf>
    <xf numFmtId="0" fontId="3" fillId="21" borderId="209" xfId="0" applyFont="1" applyFill="1" applyBorder="1" applyAlignment="1">
      <alignment vertical="center"/>
    </xf>
    <xf numFmtId="0" fontId="2" fillId="0" borderId="209" xfId="0" applyFont="1" applyBorder="1" applyAlignment="1">
      <alignment horizontal="left" vertical="center"/>
    </xf>
    <xf numFmtId="0" fontId="26" fillId="0" borderId="209" xfId="0" applyFont="1" applyBorder="1" applyAlignment="1">
      <alignment vertical="center" wrapText="1"/>
    </xf>
    <xf numFmtId="43" fontId="26" fillId="21" borderId="209" xfId="0" applyNumberFormat="1" applyFont="1" applyFill="1" applyBorder="1" applyAlignment="1">
      <alignment vertical="center"/>
    </xf>
    <xf numFmtId="0" fontId="26" fillId="21" borderId="209" xfId="0" applyFont="1" applyFill="1" applyBorder="1" applyAlignment="1">
      <alignment vertical="center"/>
    </xf>
    <xf numFmtId="0" fontId="26" fillId="0" borderId="230" xfId="0" applyFont="1" applyBorder="1" applyAlignment="1">
      <alignment horizontal="center" vertical="center" wrapText="1"/>
    </xf>
    <xf numFmtId="0" fontId="26" fillId="0" borderId="231" xfId="0" applyFont="1" applyBorder="1" applyAlignment="1">
      <alignment horizontal="center" vertical="center" wrapText="1"/>
    </xf>
    <xf numFmtId="0" fontId="26" fillId="21" borderId="210" xfId="0" applyFont="1" applyFill="1" applyBorder="1" applyAlignment="1">
      <alignment vertical="center" wrapText="1"/>
    </xf>
    <xf numFmtId="165" fontId="27" fillId="21" borderId="230" xfId="1" applyNumberFormat="1" applyFont="1" applyFill="1" applyBorder="1" applyAlignment="1">
      <alignment vertical="center"/>
    </xf>
    <xf numFmtId="43" fontId="27" fillId="21" borderId="231" xfId="0" applyNumberFormat="1" applyFont="1" applyFill="1" applyBorder="1" applyAlignment="1">
      <alignment vertical="center"/>
    </xf>
    <xf numFmtId="43" fontId="27" fillId="21" borderId="231" xfId="1" applyFont="1" applyFill="1" applyBorder="1" applyAlignment="1">
      <alignment vertical="center"/>
    </xf>
    <xf numFmtId="0" fontId="2" fillId="0" borderId="210" xfId="0" applyFont="1" applyBorder="1" applyAlignment="1">
      <alignment vertical="center"/>
    </xf>
    <xf numFmtId="165" fontId="27" fillId="0" borderId="230" xfId="1" applyNumberFormat="1" applyFont="1" applyFill="1" applyBorder="1" applyAlignment="1">
      <alignment vertical="center"/>
    </xf>
    <xf numFmtId="0" fontId="3" fillId="21" borderId="210" xfId="0" applyFont="1" applyFill="1" applyBorder="1" applyAlignment="1">
      <alignment vertical="center"/>
    </xf>
    <xf numFmtId="0" fontId="27" fillId="0" borderId="231" xfId="0" applyFont="1" applyBorder="1" applyAlignment="1">
      <alignment vertical="center"/>
    </xf>
    <xf numFmtId="43" fontId="27" fillId="0" borderId="231" xfId="1" applyFont="1" applyFill="1" applyBorder="1" applyAlignment="1">
      <alignment vertical="center"/>
    </xf>
    <xf numFmtId="0" fontId="2" fillId="0" borderId="210" xfId="0" applyFont="1" applyBorder="1" applyAlignment="1">
      <alignment vertical="center" wrapText="1"/>
    </xf>
    <xf numFmtId="0" fontId="2" fillId="0" borderId="210" xfId="0" applyFont="1" applyBorder="1" applyAlignment="1">
      <alignment horizontal="left" vertical="center"/>
    </xf>
    <xf numFmtId="165" fontId="27" fillId="0" borderId="231" xfId="1" applyNumberFormat="1" applyFont="1" applyFill="1" applyBorder="1" applyAlignment="1">
      <alignment vertical="center"/>
    </xf>
    <xf numFmtId="0" fontId="26" fillId="0" borderId="210" xfId="0" applyFont="1" applyBorder="1" applyAlignment="1">
      <alignment vertical="center" wrapText="1"/>
    </xf>
    <xf numFmtId="43" fontId="26" fillId="21" borderId="231" xfId="1" applyFont="1" applyFill="1" applyBorder="1" applyAlignment="1">
      <alignment vertical="center"/>
    </xf>
    <xf numFmtId="0" fontId="26" fillId="0" borderId="209" xfId="0" applyFont="1" applyBorder="1" applyAlignment="1">
      <alignment vertical="center"/>
    </xf>
    <xf numFmtId="0" fontId="3" fillId="0" borderId="209" xfId="0" applyFont="1" applyBorder="1" applyAlignment="1">
      <alignment vertical="center"/>
    </xf>
    <xf numFmtId="165" fontId="2" fillId="0" borderId="209" xfId="1" applyNumberFormat="1" applyFont="1" applyBorder="1"/>
    <xf numFmtId="0" fontId="2" fillId="0" borderId="209" xfId="0" applyFont="1" applyBorder="1"/>
    <xf numFmtId="165" fontId="2" fillId="15" borderId="209" xfId="1" applyNumberFormat="1" applyFont="1" applyFill="1" applyBorder="1"/>
    <xf numFmtId="43" fontId="2" fillId="0" borderId="209" xfId="1" applyFont="1" applyBorder="1"/>
    <xf numFmtId="0" fontId="2" fillId="0" borderId="209" xfId="0" applyFont="1" applyBorder="1" applyAlignment="1">
      <alignment horizontal="center" vertical="center" wrapText="1"/>
    </xf>
    <xf numFmtId="165" fontId="0" fillId="23" borderId="209" xfId="1" applyNumberFormat="1" applyFont="1" applyFill="1" applyBorder="1"/>
    <xf numFmtId="43" fontId="0" fillId="23" borderId="209" xfId="1" applyFont="1" applyFill="1" applyBorder="1"/>
    <xf numFmtId="168" fontId="2" fillId="23" borderId="209" xfId="2" applyNumberFormat="1" applyFont="1" applyFill="1" applyBorder="1"/>
    <xf numFmtId="165" fontId="2" fillId="23" borderId="209" xfId="2" applyNumberFormat="1" applyFont="1" applyFill="1" applyBorder="1"/>
    <xf numFmtId="0" fontId="2" fillId="20" borderId="209" xfId="0" applyFont="1" applyFill="1" applyBorder="1"/>
    <xf numFmtId="0" fontId="2" fillId="23" borderId="209" xfId="0" applyFont="1" applyFill="1" applyBorder="1"/>
    <xf numFmtId="1" fontId="2" fillId="23" borderId="209" xfId="0" applyNumberFormat="1" applyFont="1" applyFill="1" applyBorder="1"/>
    <xf numFmtId="37" fontId="2" fillId="23" borderId="209" xfId="0" applyNumberFormat="1" applyFont="1" applyFill="1" applyBorder="1"/>
    <xf numFmtId="43" fontId="2" fillId="23" borderId="209" xfId="2" applyFont="1" applyFill="1" applyBorder="1"/>
    <xf numFmtId="0" fontId="2" fillId="23" borderId="209" xfId="2" applyNumberFormat="1" applyFont="1" applyFill="1" applyBorder="1"/>
    <xf numFmtId="165" fontId="2" fillId="23" borderId="209" xfId="1" applyNumberFormat="1" applyFont="1" applyFill="1" applyBorder="1"/>
    <xf numFmtId="165" fontId="2" fillId="25" borderId="209" xfId="2" applyNumberFormat="1" applyFont="1" applyFill="1" applyBorder="1"/>
    <xf numFmtId="0" fontId="2" fillId="25" borderId="209" xfId="0" applyFont="1" applyFill="1" applyBorder="1"/>
    <xf numFmtId="165" fontId="2" fillId="25" borderId="209" xfId="0" applyNumberFormat="1" applyFont="1" applyFill="1" applyBorder="1"/>
    <xf numFmtId="43" fontId="2" fillId="25" borderId="209" xfId="2" applyFont="1" applyFill="1" applyBorder="1"/>
    <xf numFmtId="165" fontId="2" fillId="23" borderId="209" xfId="0" applyNumberFormat="1" applyFont="1" applyFill="1" applyBorder="1"/>
    <xf numFmtId="165" fontId="2" fillId="9" borderId="209" xfId="2" applyNumberFormat="1" applyFont="1" applyFill="1" applyBorder="1"/>
    <xf numFmtId="0" fontId="2" fillId="9" borderId="209" xfId="0" applyFont="1" applyFill="1" applyBorder="1"/>
    <xf numFmtId="43" fontId="2" fillId="9" borderId="209" xfId="0" applyNumberFormat="1" applyFont="1" applyFill="1" applyBorder="1"/>
    <xf numFmtId="43" fontId="2" fillId="9" borderId="209" xfId="2" applyFont="1" applyFill="1" applyBorder="1"/>
    <xf numFmtId="165" fontId="2" fillId="9" borderId="209" xfId="1" applyNumberFormat="1" applyFont="1" applyFill="1" applyBorder="1"/>
    <xf numFmtId="165" fontId="52" fillId="9" borderId="209" xfId="1" applyNumberFormat="1" applyFont="1" applyFill="1" applyBorder="1"/>
    <xf numFmtId="39" fontId="52" fillId="9" borderId="209" xfId="1" applyNumberFormat="1" applyFont="1" applyFill="1" applyBorder="1"/>
    <xf numFmtId="43" fontId="2" fillId="25" borderId="209" xfId="0" applyNumberFormat="1" applyFont="1" applyFill="1" applyBorder="1"/>
    <xf numFmtId="43" fontId="2" fillId="25" borderId="209" xfId="1" applyFont="1" applyFill="1" applyBorder="1"/>
    <xf numFmtId="165" fontId="2" fillId="25" borderId="209" xfId="1" applyNumberFormat="1" applyFont="1" applyFill="1" applyBorder="1"/>
    <xf numFmtId="0" fontId="28" fillId="2" borderId="210" xfId="0" applyFont="1" applyFill="1" applyBorder="1" applyAlignment="1">
      <alignment horizontal="center" vertical="center"/>
    </xf>
    <xf numFmtId="0" fontId="28" fillId="15" borderId="210" xfId="0" applyFont="1" applyFill="1" applyBorder="1" applyAlignment="1">
      <alignment horizontal="center" vertical="center"/>
    </xf>
    <xf numFmtId="165" fontId="29" fillId="0" borderId="209" xfId="1" applyNumberFormat="1" applyFont="1" applyFill="1" applyBorder="1"/>
    <xf numFmtId="2" fontId="29" fillId="0" borderId="209" xfId="0" applyNumberFormat="1" applyFont="1" applyBorder="1"/>
    <xf numFmtId="39" fontId="29" fillId="0" borderId="209" xfId="1" applyNumberFormat="1" applyFont="1" applyFill="1" applyBorder="1" applyAlignment="1"/>
    <xf numFmtId="3" fontId="29" fillId="0" borderId="209" xfId="0" applyNumberFormat="1" applyFont="1" applyBorder="1"/>
    <xf numFmtId="165" fontId="5" fillId="0" borderId="209" xfId="1" applyNumberFormat="1" applyFont="1" applyFill="1" applyBorder="1"/>
    <xf numFmtId="0" fontId="29" fillId="15" borderId="209" xfId="0" applyFont="1" applyFill="1" applyBorder="1"/>
    <xf numFmtId="2" fontId="29" fillId="15" borderId="209" xfId="0" applyNumberFormat="1" applyFont="1" applyFill="1" applyBorder="1"/>
    <xf numFmtId="43" fontId="29" fillId="0" borderId="209" xfId="1" applyFont="1" applyFill="1" applyBorder="1"/>
    <xf numFmtId="43" fontId="29" fillId="0" borderId="209" xfId="1" applyFont="1" applyFill="1" applyBorder="1" applyAlignment="1"/>
    <xf numFmtId="43" fontId="5" fillId="0" borderId="209" xfId="1" applyFont="1" applyFill="1" applyBorder="1"/>
    <xf numFmtId="43" fontId="29" fillId="0" borderId="209" xfId="0" applyNumberFormat="1" applyFont="1" applyBorder="1"/>
    <xf numFmtId="43" fontId="22" fillId="0" borderId="209" xfId="1" applyFont="1" applyBorder="1"/>
    <xf numFmtId="165" fontId="29" fillId="0" borderId="209" xfId="1" applyNumberFormat="1" applyFont="1" applyFill="1" applyBorder="1" applyAlignment="1"/>
    <xf numFmtId="165" fontId="29" fillId="0" borderId="209" xfId="0" applyNumberFormat="1" applyFont="1" applyBorder="1"/>
    <xf numFmtId="0" fontId="28" fillId="0" borderId="209" xfId="0" applyFont="1" applyBorder="1" applyAlignment="1">
      <alignment horizontal="center" vertical="center" wrapText="1"/>
    </xf>
    <xf numFmtId="39" fontId="28" fillId="0" borderId="209" xfId="1" applyNumberFormat="1" applyFont="1" applyFill="1" applyBorder="1" applyAlignment="1">
      <alignment horizontal="center" vertical="center"/>
    </xf>
    <xf numFmtId="4" fontId="28" fillId="0" borderId="209" xfId="0" applyNumberFormat="1" applyFont="1" applyBorder="1" applyAlignment="1">
      <alignment horizontal="center" vertical="center"/>
    </xf>
    <xf numFmtId="4" fontId="29" fillId="0" borderId="209" xfId="0" applyNumberFormat="1" applyFont="1" applyBorder="1" applyAlignment="1">
      <alignment horizontal="center" vertical="center"/>
    </xf>
    <xf numFmtId="165" fontId="29" fillId="8" borderId="209" xfId="1" applyNumberFormat="1" applyFont="1" applyFill="1" applyBorder="1" applyAlignment="1">
      <alignment vertical="center"/>
    </xf>
    <xf numFmtId="0" fontId="29" fillId="2" borderId="209" xfId="0" applyFont="1" applyFill="1" applyBorder="1"/>
    <xf numFmtId="165" fontId="29" fillId="2" borderId="209" xfId="1" applyNumberFormat="1" applyFont="1" applyFill="1" applyBorder="1"/>
    <xf numFmtId="3" fontId="29" fillId="2" borderId="209" xfId="0" applyNumberFormat="1" applyFont="1" applyFill="1" applyBorder="1"/>
    <xf numFmtId="0" fontId="28" fillId="2" borderId="209" xfId="0" applyFont="1" applyFill="1" applyBorder="1"/>
    <xf numFmtId="165" fontId="3" fillId="0" borderId="209" xfId="1" applyNumberFormat="1" applyFont="1" applyFill="1" applyBorder="1" applyAlignment="1">
      <alignment horizontal="center" vertical="center"/>
    </xf>
    <xf numFmtId="0" fontId="2" fillId="0" borderId="209" xfId="0" applyFont="1" applyBorder="1" applyAlignment="1">
      <alignment horizontal="center" vertical="center"/>
    </xf>
    <xf numFmtId="165" fontId="3" fillId="0" borderId="209" xfId="7" applyNumberFormat="1" applyFont="1" applyFill="1" applyBorder="1" applyAlignment="1">
      <alignment vertical="center"/>
    </xf>
    <xf numFmtId="165" fontId="2" fillId="0" borderId="209" xfId="1" applyNumberFormat="1" applyFont="1" applyFill="1" applyBorder="1" applyAlignment="1">
      <alignment horizontal="center" vertical="center"/>
    </xf>
    <xf numFmtId="165" fontId="2" fillId="0" borderId="209" xfId="7" applyNumberFormat="1" applyFont="1" applyFill="1" applyBorder="1" applyAlignment="1">
      <alignment vertical="center"/>
    </xf>
    <xf numFmtId="165" fontId="3" fillId="0" borderId="209" xfId="2" applyNumberFormat="1" applyFont="1" applyFill="1" applyBorder="1" applyAlignment="1">
      <alignment horizontal="center" vertical="center"/>
    </xf>
    <xf numFmtId="165" fontId="3" fillId="0" borderId="209" xfId="7" applyNumberFormat="1" applyFont="1" applyFill="1" applyBorder="1" applyAlignment="1">
      <alignment horizontal="left" vertical="center"/>
    </xf>
    <xf numFmtId="165" fontId="38" fillId="0" borderId="209" xfId="7" applyNumberFormat="1" applyFont="1" applyFill="1" applyBorder="1" applyAlignment="1">
      <alignment vertical="center"/>
    </xf>
    <xf numFmtId="165" fontId="3" fillId="0" borderId="209" xfId="7" applyNumberFormat="1" applyFont="1" applyFill="1" applyBorder="1"/>
    <xf numFmtId="165" fontId="2" fillId="12" borderId="209" xfId="1" applyNumberFormat="1" applyFont="1" applyFill="1" applyBorder="1" applyAlignment="1">
      <alignment vertical="center"/>
    </xf>
    <xf numFmtId="165" fontId="2" fillId="0" borderId="209" xfId="7" applyNumberFormat="1" applyFont="1" applyFill="1" applyBorder="1" applyAlignment="1">
      <alignment vertical="center" wrapText="1"/>
    </xf>
    <xf numFmtId="165" fontId="3" fillId="12" borderId="209" xfId="2" applyNumberFormat="1" applyFont="1" applyFill="1" applyBorder="1" applyAlignment="1">
      <alignment horizontal="center" vertical="center"/>
    </xf>
    <xf numFmtId="165" fontId="3" fillId="0" borderId="209" xfId="8" applyNumberFormat="1" applyFont="1" applyFill="1" applyBorder="1" applyAlignment="1">
      <alignment vertical="center"/>
    </xf>
    <xf numFmtId="165" fontId="2" fillId="23" borderId="209" xfId="2" applyNumberFormat="1" applyFont="1" applyFill="1" applyBorder="1" applyAlignment="1">
      <alignment horizontal="center" vertical="center"/>
    </xf>
    <xf numFmtId="165" fontId="3" fillId="23" borderId="209" xfId="2" applyNumberFormat="1" applyFont="1" applyFill="1" applyBorder="1" applyAlignment="1">
      <alignment horizontal="center" vertical="center"/>
    </xf>
    <xf numFmtId="165" fontId="2" fillId="23" borderId="209" xfId="2" applyNumberFormat="1" applyFont="1" applyFill="1" applyBorder="1" applyAlignment="1">
      <alignment vertical="center"/>
    </xf>
    <xf numFmtId="165" fontId="3" fillId="20" borderId="209" xfId="2" applyNumberFormat="1" applyFont="1" applyFill="1" applyBorder="1" applyAlignment="1">
      <alignment horizontal="center" vertical="center"/>
    </xf>
    <xf numFmtId="165" fontId="2" fillId="23" borderId="209" xfId="0" applyNumberFormat="1" applyFont="1" applyFill="1" applyBorder="1" applyAlignment="1">
      <alignment vertical="center"/>
    </xf>
    <xf numFmtId="0" fontId="3" fillId="0" borderId="209" xfId="0" applyFont="1" applyBorder="1" applyAlignment="1">
      <alignment horizontal="center"/>
    </xf>
    <xf numFmtId="165" fontId="3" fillId="9" borderId="209" xfId="2" applyNumberFormat="1" applyFont="1" applyFill="1" applyBorder="1" applyAlignment="1">
      <alignment vertical="center"/>
    </xf>
    <xf numFmtId="165" fontId="3" fillId="9" borderId="209" xfId="2" applyNumberFormat="1" applyFont="1" applyFill="1" applyBorder="1" applyAlignment="1">
      <alignment horizontal="center" vertical="center"/>
    </xf>
    <xf numFmtId="165" fontId="2" fillId="9" borderId="209" xfId="2" applyNumberFormat="1" applyFont="1" applyFill="1" applyBorder="1" applyAlignment="1">
      <alignment vertical="center"/>
    </xf>
    <xf numFmtId="165" fontId="2" fillId="9" borderId="209" xfId="0" applyNumberFormat="1" applyFont="1" applyFill="1" applyBorder="1" applyAlignment="1">
      <alignment vertical="center"/>
    </xf>
    <xf numFmtId="165" fontId="3" fillId="24" borderId="209" xfId="2" applyNumberFormat="1" applyFont="1" applyFill="1" applyBorder="1" applyAlignment="1">
      <alignment horizontal="center" vertical="center"/>
    </xf>
    <xf numFmtId="165" fontId="3" fillId="25" borderId="209" xfId="2" applyNumberFormat="1" applyFont="1" applyFill="1" applyBorder="1" applyAlignment="1">
      <alignment horizontal="center" vertical="center"/>
    </xf>
    <xf numFmtId="165" fontId="2" fillId="25" borderId="209" xfId="2" applyNumberFormat="1" applyFont="1" applyFill="1" applyBorder="1" applyAlignment="1">
      <alignment vertical="center"/>
    </xf>
    <xf numFmtId="165" fontId="3" fillId="25" borderId="209" xfId="1" applyNumberFormat="1" applyFont="1" applyFill="1" applyBorder="1" applyAlignment="1">
      <alignment horizontal="center" vertical="center"/>
    </xf>
    <xf numFmtId="165" fontId="2" fillId="25" borderId="209" xfId="2" applyNumberFormat="1" applyFont="1" applyFill="1" applyBorder="1" applyAlignment="1">
      <alignment horizontal="center" vertical="center"/>
    </xf>
    <xf numFmtId="165" fontId="3" fillId="16" borderId="209" xfId="2" applyNumberFormat="1" applyFont="1" applyFill="1" applyBorder="1" applyAlignment="1">
      <alignment horizontal="center" vertical="center"/>
    </xf>
    <xf numFmtId="165" fontId="2" fillId="16" borderId="209" xfId="2" applyNumberFormat="1" applyFont="1" applyFill="1" applyBorder="1" applyAlignment="1">
      <alignment vertical="center"/>
    </xf>
    <xf numFmtId="0" fontId="26" fillId="3" borderId="210" xfId="0" applyFont="1" applyFill="1" applyBorder="1" applyAlignment="1">
      <alignment vertical="center"/>
    </xf>
    <xf numFmtId="0" fontId="26" fillId="3" borderId="212" xfId="0" applyFont="1" applyFill="1" applyBorder="1" applyAlignment="1">
      <alignment vertical="center" wrapText="1"/>
    </xf>
    <xf numFmtId="0" fontId="27" fillId="11" borderId="209" xfId="0" applyFont="1" applyFill="1" applyBorder="1" applyAlignment="1">
      <alignment horizontal="center" vertical="center"/>
    </xf>
    <xf numFmtId="0" fontId="2" fillId="11" borderId="209" xfId="0" applyFont="1" applyFill="1" applyBorder="1" applyAlignment="1">
      <alignment horizontal="center" vertical="center"/>
    </xf>
    <xf numFmtId="0" fontId="27" fillId="9" borderId="209" xfId="0" applyFont="1" applyFill="1" applyBorder="1" applyAlignment="1">
      <alignment horizontal="center" vertical="center"/>
    </xf>
    <xf numFmtId="0" fontId="31" fillId="11" borderId="209" xfId="0" applyFont="1" applyFill="1" applyBorder="1" applyAlignment="1">
      <alignment horizontal="center" vertical="center"/>
    </xf>
    <xf numFmtId="165" fontId="22" fillId="11" borderId="209" xfId="1" applyNumberFormat="1" applyFont="1" applyFill="1" applyBorder="1"/>
    <xf numFmtId="165" fontId="35" fillId="11" borderId="209" xfId="1" applyNumberFormat="1" applyFont="1" applyFill="1" applyBorder="1"/>
    <xf numFmtId="165" fontId="0" fillId="11" borderId="209" xfId="1" applyNumberFormat="1" applyFont="1" applyFill="1" applyBorder="1"/>
    <xf numFmtId="165" fontId="36" fillId="11" borderId="209" xfId="1" applyNumberFormat="1" applyFont="1" applyFill="1" applyBorder="1" applyAlignment="1">
      <alignment horizontal="center"/>
    </xf>
    <xf numFmtId="165" fontId="61" fillId="11" borderId="209" xfId="1" applyNumberFormat="1" applyFont="1" applyFill="1" applyBorder="1"/>
    <xf numFmtId="0" fontId="32" fillId="11" borderId="209" xfId="0" applyFont="1" applyFill="1" applyBorder="1" applyAlignment="1">
      <alignment horizontal="left" vertical="center"/>
    </xf>
    <xf numFmtId="165" fontId="32" fillId="11" borderId="209" xfId="1" applyNumberFormat="1" applyFont="1" applyFill="1" applyBorder="1" applyAlignment="1">
      <alignment horizontal="right"/>
    </xf>
    <xf numFmtId="0" fontId="26" fillId="3" borderId="212" xfId="0" applyFont="1" applyFill="1" applyBorder="1" applyAlignment="1">
      <alignment vertical="center"/>
    </xf>
    <xf numFmtId="0" fontId="27" fillId="27" borderId="209" xfId="0" applyFont="1" applyFill="1" applyBorder="1" applyAlignment="1">
      <alignment horizontal="center" vertical="center"/>
    </xf>
    <xf numFmtId="165" fontId="22" fillId="27" borderId="209" xfId="1" applyNumberFormat="1" applyFont="1" applyFill="1" applyBorder="1"/>
    <xf numFmtId="165" fontId="32" fillId="27" borderId="209" xfId="1" applyNumberFormat="1" applyFont="1" applyFill="1" applyBorder="1" applyAlignment="1">
      <alignment horizontal="right"/>
    </xf>
    <xf numFmtId="165" fontId="22" fillId="28" borderId="209" xfId="1" applyNumberFormat="1" applyFont="1" applyFill="1" applyBorder="1"/>
    <xf numFmtId="165" fontId="32" fillId="28" borderId="209" xfId="1" applyNumberFormat="1" applyFont="1" applyFill="1" applyBorder="1" applyAlignment="1">
      <alignment horizontal="right"/>
    </xf>
    <xf numFmtId="0" fontId="32" fillId="0" borderId="209" xfId="0" applyFont="1" applyBorder="1" applyAlignment="1">
      <alignment horizontal="center" vertical="center"/>
    </xf>
    <xf numFmtId="0" fontId="36" fillId="0" borderId="209" xfId="0" applyFont="1" applyBorder="1"/>
    <xf numFmtId="165" fontId="36" fillId="0" borderId="209" xfId="0" applyNumberFormat="1" applyFont="1" applyBorder="1"/>
    <xf numFmtId="165" fontId="36" fillId="0" borderId="209" xfId="1" applyNumberFormat="1" applyFont="1" applyFill="1" applyBorder="1" applyAlignment="1">
      <alignment vertical="center"/>
    </xf>
    <xf numFmtId="165" fontId="36" fillId="0" borderId="209" xfId="1" applyNumberFormat="1" applyFont="1" applyFill="1" applyBorder="1" applyAlignment="1">
      <alignment horizontal="center" vertical="center"/>
    </xf>
    <xf numFmtId="0" fontId="32" fillId="0" borderId="209" xfId="0" applyFont="1" applyBorder="1" applyAlignment="1">
      <alignment horizontal="left" vertical="center"/>
    </xf>
    <xf numFmtId="165" fontId="32" fillId="0" borderId="209" xfId="0" applyNumberFormat="1" applyFont="1" applyBorder="1" applyAlignment="1">
      <alignment horizontal="left" vertical="center"/>
    </xf>
    <xf numFmtId="165" fontId="32" fillId="0" borderId="209" xfId="1" applyNumberFormat="1" applyFont="1" applyFill="1" applyBorder="1" applyAlignment="1">
      <alignment horizontal="right" vertical="center"/>
    </xf>
    <xf numFmtId="43" fontId="36" fillId="0" borderId="209" xfId="1" applyFont="1" applyFill="1" applyBorder="1" applyAlignment="1">
      <alignment horizontal="right" vertical="center"/>
    </xf>
    <xf numFmtId="43" fontId="32" fillId="0" borderId="209" xfId="1" applyFont="1" applyFill="1" applyBorder="1" applyAlignment="1">
      <alignment horizontal="right" vertical="center"/>
    </xf>
    <xf numFmtId="2" fontId="36" fillId="0" borderId="209" xfId="0" applyNumberFormat="1" applyFont="1" applyBorder="1" applyAlignment="1">
      <alignment horizontal="right" vertical="center"/>
    </xf>
    <xf numFmtId="1" fontId="32" fillId="0" borderId="209" xfId="0" applyNumberFormat="1" applyFont="1" applyBorder="1" applyAlignment="1">
      <alignment horizontal="right" vertical="center"/>
    </xf>
    <xf numFmtId="0" fontId="36" fillId="0" borderId="209" xfId="0" applyFont="1" applyBorder="1" applyAlignment="1">
      <alignment vertical="center"/>
    </xf>
    <xf numFmtId="165" fontId="36" fillId="0" borderId="209" xfId="1" applyNumberFormat="1" applyFont="1" applyFill="1" applyBorder="1" applyAlignment="1">
      <alignment horizontal="center"/>
    </xf>
    <xf numFmtId="165" fontId="32" fillId="0" borderId="209" xfId="1" applyNumberFormat="1" applyFont="1" applyFill="1" applyBorder="1" applyAlignment="1">
      <alignment horizontal="center" vertical="center"/>
    </xf>
    <xf numFmtId="165" fontId="10" fillId="0" borderId="209" xfId="1" applyNumberFormat="1" applyFont="1" applyFill="1" applyBorder="1" applyAlignment="1">
      <alignment horizontal="center" vertical="center"/>
    </xf>
    <xf numFmtId="39" fontId="36" fillId="0" borderId="209" xfId="1" applyNumberFormat="1" applyFont="1" applyFill="1" applyBorder="1" applyAlignment="1">
      <alignment horizontal="right"/>
    </xf>
    <xf numFmtId="39" fontId="36" fillId="0" borderId="209" xfId="1" applyNumberFormat="1" applyFont="1" applyFill="1" applyBorder="1" applyAlignment="1">
      <alignment horizontal="right" vertical="center"/>
    </xf>
    <xf numFmtId="39" fontId="32" fillId="0" borderId="209" xfId="1" applyNumberFormat="1" applyFont="1" applyFill="1" applyBorder="1" applyAlignment="1">
      <alignment horizontal="right"/>
    </xf>
    <xf numFmtId="39" fontId="32" fillId="0" borderId="209" xfId="1" applyNumberFormat="1" applyFont="1" applyFill="1" applyBorder="1" applyAlignment="1">
      <alignment horizontal="right" vertical="center"/>
    </xf>
    <xf numFmtId="0" fontId="0" fillId="0" borderId="209" xfId="0" applyBorder="1" applyAlignment="1">
      <alignment vertical="center"/>
    </xf>
    <xf numFmtId="165" fontId="0" fillId="0" borderId="209" xfId="1" applyNumberFormat="1" applyFont="1" applyFill="1" applyBorder="1" applyAlignment="1">
      <alignment vertical="center"/>
    </xf>
    <xf numFmtId="43" fontId="24" fillId="0" borderId="209" xfId="1" applyFont="1" applyFill="1" applyBorder="1" applyAlignment="1">
      <alignment vertical="center"/>
    </xf>
    <xf numFmtId="165" fontId="22" fillId="8" borderId="209" xfId="1" applyNumberFormat="1" applyFont="1" applyFill="1" applyBorder="1"/>
    <xf numFmtId="165" fontId="35" fillId="8" borderId="209" xfId="1" applyNumberFormat="1" applyFont="1" applyFill="1" applyBorder="1"/>
    <xf numFmtId="165" fontId="0" fillId="8" borderId="209" xfId="1" applyNumberFormat="1" applyFont="1" applyFill="1" applyBorder="1"/>
    <xf numFmtId="165" fontId="0" fillId="0" borderId="209" xfId="1" applyNumberFormat="1" applyFont="1" applyFill="1" applyBorder="1"/>
    <xf numFmtId="165" fontId="22" fillId="0" borderId="209" xfId="1" applyNumberFormat="1" applyFont="1" applyFill="1" applyBorder="1"/>
    <xf numFmtId="165" fontId="35" fillId="0" borderId="209" xfId="1" applyNumberFormat="1" applyFont="1" applyFill="1" applyBorder="1"/>
    <xf numFmtId="165" fontId="10" fillId="0" borderId="209" xfId="1" applyNumberFormat="1" applyFont="1" applyFill="1" applyBorder="1" applyAlignment="1">
      <alignment horizontal="right"/>
    </xf>
    <xf numFmtId="165" fontId="10" fillId="11" borderId="209" xfId="1" applyNumberFormat="1" applyFont="1" applyFill="1" applyBorder="1" applyAlignment="1">
      <alignment horizontal="right"/>
    </xf>
    <xf numFmtId="0" fontId="28" fillId="0" borderId="209" xfId="0" applyFont="1" applyBorder="1" applyAlignment="1">
      <alignment horizontal="center" vertical="center"/>
    </xf>
    <xf numFmtId="0" fontId="28" fillId="0" borderId="209" xfId="0" applyFont="1" applyBorder="1" applyAlignment="1">
      <alignment horizontal="left" vertical="center"/>
    </xf>
    <xf numFmtId="165" fontId="13" fillId="0" borderId="209" xfId="1" applyNumberFormat="1" applyFont="1" applyFill="1" applyBorder="1" applyAlignment="1">
      <alignment vertical="center"/>
    </xf>
    <xf numFmtId="2" fontId="29" fillId="0" borderId="209" xfId="1" applyNumberFormat="1" applyFont="1" applyFill="1" applyBorder="1" applyAlignment="1">
      <alignment horizontal="right" vertical="center"/>
    </xf>
    <xf numFmtId="43" fontId="28" fillId="0" borderId="209" xfId="1" applyFont="1" applyFill="1" applyBorder="1" applyAlignment="1">
      <alignment horizontal="right" vertical="center"/>
    </xf>
    <xf numFmtId="43" fontId="39" fillId="0" borderId="209" xfId="1" applyFont="1" applyFill="1" applyBorder="1" applyAlignment="1">
      <alignment horizontal="right" vertical="center"/>
    </xf>
    <xf numFmtId="0" fontId="28" fillId="0" borderId="212" xfId="0" applyFont="1" applyBorder="1"/>
    <xf numFmtId="165" fontId="0" fillId="0" borderId="209" xfId="1" applyNumberFormat="1" applyFont="1" applyBorder="1"/>
    <xf numFmtId="165" fontId="24" fillId="0" borderId="209" xfId="1" applyNumberFormat="1" applyFont="1" applyFill="1" applyBorder="1" applyAlignment="1">
      <alignment horizontal="center" vertical="center"/>
    </xf>
    <xf numFmtId="0" fontId="9" fillId="0" borderId="210" xfId="0" applyFont="1" applyBorder="1" applyAlignment="1">
      <alignment vertical="center"/>
    </xf>
    <xf numFmtId="0" fontId="12" fillId="0" borderId="210" xfId="0" applyFont="1" applyBorder="1" applyAlignment="1">
      <alignment vertical="center"/>
    </xf>
    <xf numFmtId="0" fontId="9" fillId="0" borderId="210" xfId="0" applyFont="1" applyBorder="1" applyAlignment="1">
      <alignment horizontal="left" vertical="center"/>
    </xf>
    <xf numFmtId="0" fontId="24" fillId="0" borderId="210" xfId="0" applyFont="1" applyBorder="1" applyAlignment="1">
      <alignment vertical="center"/>
    </xf>
    <xf numFmtId="165" fontId="2" fillId="0" borderId="209" xfId="2" applyNumberFormat="1" applyFont="1" applyFill="1" applyBorder="1"/>
    <xf numFmtId="165" fontId="24" fillId="0" borderId="209" xfId="2" applyNumberFormat="1" applyFont="1" applyFill="1" applyBorder="1" applyAlignment="1">
      <alignment vertical="center"/>
    </xf>
    <xf numFmtId="168" fontId="2" fillId="0" borderId="209" xfId="2" applyNumberFormat="1" applyFont="1" applyFill="1" applyBorder="1"/>
    <xf numFmtId="165" fontId="52" fillId="0" borderId="209" xfId="2" applyNumberFormat="1" applyFont="1" applyFill="1" applyBorder="1" applyAlignment="1">
      <alignment vertical="center"/>
    </xf>
    <xf numFmtId="165" fontId="9" fillId="0" borderId="209" xfId="2" applyNumberFormat="1" applyFont="1" applyFill="1" applyBorder="1" applyAlignment="1">
      <alignment vertical="center"/>
    </xf>
    <xf numFmtId="0" fontId="3" fillId="0" borderId="209" xfId="0" applyFont="1" applyBorder="1" applyAlignment="1">
      <alignment horizontal="center" vertical="center" wrapText="1"/>
    </xf>
    <xf numFmtId="165" fontId="7" fillId="0" borderId="209" xfId="2" applyNumberFormat="1" applyFont="1" applyFill="1" applyBorder="1"/>
    <xf numFmtId="0" fontId="2" fillId="0" borderId="209" xfId="0" applyFont="1" applyBorder="1" applyAlignment="1">
      <alignment wrapText="1"/>
    </xf>
    <xf numFmtId="43" fontId="7" fillId="0" borderId="209" xfId="1" applyFont="1" applyFill="1" applyBorder="1"/>
    <xf numFmtId="0" fontId="29" fillId="0" borderId="209" xfId="0" applyFont="1" applyBorder="1" applyAlignment="1">
      <alignment horizontal="left" vertical="center"/>
    </xf>
    <xf numFmtId="165" fontId="7" fillId="23" borderId="209" xfId="2" applyNumberFormat="1" applyFont="1" applyFill="1" applyBorder="1"/>
    <xf numFmtId="165" fontId="58" fillId="20" borderId="209" xfId="2" applyNumberFormat="1" applyFont="1" applyFill="1" applyBorder="1"/>
    <xf numFmtId="43" fontId="7" fillId="23" borderId="209" xfId="2" applyFont="1" applyFill="1" applyBorder="1"/>
    <xf numFmtId="165" fontId="7" fillId="23" borderId="209" xfId="1" applyNumberFormat="1" applyFont="1" applyFill="1" applyBorder="1"/>
    <xf numFmtId="165" fontId="7" fillId="9" borderId="209" xfId="2" applyNumberFormat="1" applyFont="1" applyFill="1" applyBorder="1"/>
    <xf numFmtId="43" fontId="7" fillId="9" borderId="209" xfId="2" applyFont="1" applyFill="1" applyBorder="1"/>
    <xf numFmtId="165" fontId="7" fillId="24" borderId="209" xfId="2" applyNumberFormat="1" applyFont="1" applyFill="1" applyBorder="1"/>
    <xf numFmtId="43" fontId="7" fillId="24" borderId="209" xfId="2" applyFont="1" applyFill="1" applyBorder="1"/>
    <xf numFmtId="165" fontId="7" fillId="22" borderId="209" xfId="2" applyNumberFormat="1" applyFont="1" applyFill="1" applyBorder="1"/>
    <xf numFmtId="43" fontId="7" fillId="22" borderId="209" xfId="2" applyFont="1" applyFill="1" applyBorder="1"/>
    <xf numFmtId="165" fontId="7" fillId="25" borderId="209" xfId="2" applyNumberFormat="1" applyFont="1" applyFill="1" applyBorder="1"/>
    <xf numFmtId="43" fontId="7" fillId="25" borderId="209" xfId="2" applyFont="1" applyFill="1" applyBorder="1"/>
    <xf numFmtId="0" fontId="7" fillId="25" borderId="209" xfId="0" applyFont="1" applyFill="1" applyBorder="1" applyAlignment="1">
      <alignment horizontal="center" vertical="center" wrapText="1"/>
    </xf>
    <xf numFmtId="2" fontId="7" fillId="25" borderId="209" xfId="2" applyNumberFormat="1" applyFont="1" applyFill="1" applyBorder="1"/>
    <xf numFmtId="43" fontId="7" fillId="0" borderId="209" xfId="1" applyFont="1" applyFill="1" applyBorder="1" applyAlignment="1">
      <alignment horizontal="center" vertical="center"/>
    </xf>
    <xf numFmtId="0" fontId="10" fillId="0" borderId="209" xfId="1" applyNumberFormat="1" applyFont="1" applyFill="1" applyBorder="1" applyAlignment="1">
      <alignment horizontal="center" vertical="center"/>
    </xf>
    <xf numFmtId="0" fontId="3" fillId="0" borderId="209" xfId="1" applyNumberFormat="1" applyFont="1" applyFill="1" applyBorder="1" applyAlignment="1">
      <alignment horizontal="center" vertical="center"/>
    </xf>
    <xf numFmtId="165" fontId="7" fillId="0" borderId="209" xfId="2" applyNumberFormat="1" applyFont="1" applyFill="1" applyBorder="1" applyAlignment="1">
      <alignment horizontal="center" vertical="center"/>
    </xf>
    <xf numFmtId="0" fontId="10" fillId="0" borderId="209" xfId="0" applyFont="1" applyBorder="1" applyAlignment="1">
      <alignment vertical="center"/>
    </xf>
    <xf numFmtId="0" fontId="24" fillId="0" borderId="209" xfId="0" applyFont="1" applyBorder="1" applyAlignment="1">
      <alignment horizontal="left" vertical="center" wrapText="1"/>
    </xf>
    <xf numFmtId="165" fontId="24" fillId="0" borderId="209" xfId="0" applyNumberFormat="1" applyFont="1" applyBorder="1"/>
    <xf numFmtId="165" fontId="10" fillId="0" borderId="209" xfId="2" applyNumberFormat="1" applyFont="1" applyFill="1" applyBorder="1" applyAlignment="1">
      <alignment horizontal="center" vertical="center"/>
    </xf>
    <xf numFmtId="165" fontId="7" fillId="0" borderId="209" xfId="1" applyNumberFormat="1" applyFont="1" applyFill="1" applyBorder="1" applyAlignment="1">
      <alignment horizontal="center" vertical="center"/>
    </xf>
    <xf numFmtId="2" fontId="54" fillId="108" borderId="210" xfId="0" applyNumberFormat="1" applyFont="1" applyFill="1" applyBorder="1" applyAlignment="1">
      <alignment horizontal="center" vertical="center"/>
    </xf>
    <xf numFmtId="165" fontId="22" fillId="0" borderId="209" xfId="1" applyNumberFormat="1" applyFont="1" applyFill="1" applyBorder="1" applyAlignment="1">
      <alignment vertical="center"/>
    </xf>
    <xf numFmtId="0" fontId="3" fillId="23" borderId="210" xfId="0" applyFont="1" applyFill="1" applyBorder="1" applyAlignment="1">
      <alignment horizontal="center" vertical="center" wrapText="1"/>
    </xf>
    <xf numFmtId="0" fontId="3" fillId="23" borderId="212" xfId="0" applyFont="1" applyFill="1" applyBorder="1" applyAlignment="1">
      <alignment horizontal="center" vertical="center" wrapText="1"/>
    </xf>
    <xf numFmtId="0" fontId="3" fillId="23" borderId="209" xfId="0" applyFont="1" applyFill="1" applyBorder="1" applyAlignment="1">
      <alignment horizontal="center" vertical="center"/>
    </xf>
    <xf numFmtId="0" fontId="3" fillId="23" borderId="209" xfId="0" applyFont="1" applyFill="1" applyBorder="1" applyAlignment="1">
      <alignment horizontal="center" vertical="center" wrapText="1"/>
    </xf>
    <xf numFmtId="0" fontId="2" fillId="95" borderId="209" xfId="0" applyFont="1" applyFill="1" applyBorder="1" applyAlignment="1">
      <alignment horizontal="left" vertical="center"/>
    </xf>
    <xf numFmtId="0" fontId="3" fillId="4" borderId="209" xfId="0" applyFont="1" applyFill="1" applyBorder="1" applyAlignment="1">
      <alignment horizontal="center" vertical="center"/>
    </xf>
    <xf numFmtId="0" fontId="3" fillId="4" borderId="209" xfId="0" applyFont="1" applyFill="1" applyBorder="1" applyAlignment="1">
      <alignment horizontal="center" vertical="center" wrapText="1"/>
    </xf>
    <xf numFmtId="0" fontId="2" fillId="21" borderId="209" xfId="0" applyFont="1" applyFill="1" applyBorder="1" applyAlignment="1">
      <alignment vertical="center"/>
    </xf>
    <xf numFmtId="3" fontId="2" fillId="0" borderId="212" xfId="0" applyNumberFormat="1" applyFont="1" applyBorder="1"/>
    <xf numFmtId="0" fontId="4" fillId="0" borderId="209" xfId="0" applyFont="1" applyBorder="1" applyAlignment="1">
      <alignment horizontal="center" wrapText="1"/>
    </xf>
    <xf numFmtId="43" fontId="2" fillId="0" borderId="209" xfId="0" applyNumberFormat="1" applyFont="1" applyBorder="1" applyAlignment="1">
      <alignment horizontal="center" vertical="center"/>
    </xf>
    <xf numFmtId="0" fontId="2" fillId="0" borderId="212" xfId="0" applyFont="1" applyBorder="1" applyAlignment="1">
      <alignment horizontal="center" vertical="center" wrapText="1"/>
    </xf>
    <xf numFmtId="165" fontId="2" fillId="23" borderId="209" xfId="1" applyNumberFormat="1" applyFont="1" applyFill="1" applyBorder="1" applyAlignment="1">
      <alignment vertical="center"/>
    </xf>
    <xf numFmtId="0" fontId="4" fillId="0" borderId="212" xfId="0" applyFont="1" applyBorder="1" applyAlignment="1">
      <alignment horizontal="center" wrapText="1"/>
    </xf>
    <xf numFmtId="165" fontId="2" fillId="0" borderId="209" xfId="1" applyNumberFormat="1" applyFont="1" applyBorder="1" applyAlignment="1">
      <alignment horizontal="center" vertical="center"/>
    </xf>
    <xf numFmtId="165" fontId="2" fillId="0" borderId="209" xfId="0" applyNumberFormat="1" applyFont="1" applyBorder="1" applyAlignment="1">
      <alignment horizontal="center" vertical="center"/>
    </xf>
    <xf numFmtId="165" fontId="2" fillId="0" borderId="209" xfId="2" applyNumberFormat="1" applyFont="1" applyFill="1" applyBorder="1" applyAlignment="1">
      <alignment horizontal="center" vertical="center"/>
    </xf>
    <xf numFmtId="165" fontId="2" fillId="23" borderId="209" xfId="1" applyNumberFormat="1" applyFont="1" applyFill="1" applyBorder="1" applyAlignment="1">
      <alignment horizontal="center" vertical="center"/>
    </xf>
    <xf numFmtId="165" fontId="2" fillId="9" borderId="209" xfId="1" applyNumberFormat="1" applyFont="1" applyFill="1" applyBorder="1" applyAlignment="1">
      <alignment vertical="center"/>
    </xf>
    <xf numFmtId="165" fontId="14" fillId="9" borderId="209" xfId="1" applyNumberFormat="1" applyFont="1" applyFill="1" applyBorder="1" applyAlignment="1">
      <alignment vertical="center"/>
    </xf>
    <xf numFmtId="165" fontId="14" fillId="0" borderId="209" xfId="1" applyNumberFormat="1" applyFont="1" applyFill="1" applyBorder="1" applyAlignment="1">
      <alignment vertical="center"/>
    </xf>
    <xf numFmtId="165" fontId="14" fillId="0" borderId="209" xfId="1" applyNumberFormat="1" applyFont="1" applyBorder="1" applyAlignment="1">
      <alignment vertical="center"/>
    </xf>
    <xf numFmtId="165" fontId="52" fillId="0" borderId="209" xfId="2" applyNumberFormat="1" applyFont="1" applyBorder="1" applyAlignment="1">
      <alignment horizontal="center" vertical="center"/>
    </xf>
    <xf numFmtId="165" fontId="52" fillId="9" borderId="209" xfId="2" applyNumberFormat="1" applyFont="1" applyFill="1" applyBorder="1" applyAlignment="1">
      <alignment vertical="center"/>
    </xf>
    <xf numFmtId="165" fontId="52" fillId="0" borderId="209" xfId="2" applyNumberFormat="1" applyFont="1" applyBorder="1" applyAlignment="1">
      <alignment vertical="center"/>
    </xf>
    <xf numFmtId="165" fontId="52" fillId="0" borderId="209" xfId="1" applyNumberFormat="1" applyFont="1" applyBorder="1" applyAlignment="1">
      <alignment horizontal="center" vertical="center"/>
    </xf>
    <xf numFmtId="165" fontId="2" fillId="25" borderId="209" xfId="0" applyNumberFormat="1" applyFont="1" applyFill="1" applyBorder="1" applyAlignment="1">
      <alignment vertical="center"/>
    </xf>
    <xf numFmtId="168" fontId="2" fillId="0" borderId="209" xfId="2" applyNumberFormat="1" applyFont="1" applyFill="1" applyBorder="1" applyAlignment="1">
      <alignment vertical="center"/>
    </xf>
    <xf numFmtId="165" fontId="2" fillId="25" borderId="209" xfId="1" applyNumberFormat="1" applyFont="1" applyFill="1" applyBorder="1" applyAlignment="1">
      <alignment horizontal="center" vertical="center"/>
    </xf>
    <xf numFmtId="0" fontId="10" fillId="17" borderId="209" xfId="0" applyFont="1" applyFill="1" applyBorder="1" applyAlignment="1">
      <alignment horizontal="center" vertical="center"/>
    </xf>
    <xf numFmtId="0" fontId="3" fillId="17" borderId="209" xfId="0" applyFont="1" applyFill="1" applyBorder="1" applyAlignment="1">
      <alignment horizontal="center" vertical="center"/>
    </xf>
    <xf numFmtId="0" fontId="7" fillId="17" borderId="209" xfId="0" applyFont="1" applyFill="1" applyBorder="1" applyAlignment="1">
      <alignment vertical="center"/>
    </xf>
    <xf numFmtId="43" fontId="7" fillId="17" borderId="209" xfId="1" applyFont="1" applyFill="1" applyBorder="1" applyAlignment="1">
      <alignment horizontal="center" vertical="center"/>
    </xf>
    <xf numFmtId="165" fontId="7" fillId="17" borderId="209" xfId="2" applyNumberFormat="1" applyFont="1" applyFill="1" applyBorder="1" applyAlignment="1">
      <alignment horizontal="center" vertical="center"/>
    </xf>
    <xf numFmtId="165" fontId="7" fillId="16" borderId="209" xfId="2" applyNumberFormat="1" applyFont="1" applyFill="1" applyBorder="1" applyAlignment="1">
      <alignment horizontal="center" vertical="center"/>
    </xf>
    <xf numFmtId="165" fontId="7" fillId="20" borderId="209" xfId="2" applyNumberFormat="1" applyFont="1" applyFill="1" applyBorder="1" applyAlignment="1">
      <alignment horizontal="center" vertical="center"/>
    </xf>
    <xf numFmtId="0" fontId="0" fillId="0" borderId="209" xfId="0" applyBorder="1" applyAlignment="1">
      <alignment horizontal="center" vertical="center"/>
    </xf>
    <xf numFmtId="172" fontId="55" fillId="2" borderId="209" xfId="1" applyNumberFormat="1" applyFont="1" applyFill="1" applyBorder="1"/>
    <xf numFmtId="172" fontId="5" fillId="2" borderId="209" xfId="1" applyNumberFormat="1" applyFont="1" applyFill="1" applyBorder="1"/>
    <xf numFmtId="172" fontId="29" fillId="2" borderId="209" xfId="1" applyNumberFormat="1" applyFont="1" applyFill="1" applyBorder="1"/>
    <xf numFmtId="0" fontId="29" fillId="2" borderId="209" xfId="0" applyFont="1" applyFill="1" applyBorder="1" applyAlignment="1">
      <alignment vertical="center"/>
    </xf>
    <xf numFmtId="165" fontId="29" fillId="2" borderId="209" xfId="1" applyNumberFormat="1" applyFont="1" applyFill="1" applyBorder="1" applyAlignment="1">
      <alignment vertical="center"/>
    </xf>
    <xf numFmtId="0" fontId="28" fillId="2" borderId="209" xfId="0" applyFont="1" applyFill="1" applyBorder="1" applyAlignment="1">
      <alignment vertical="center"/>
    </xf>
    <xf numFmtId="0" fontId="10" fillId="0" borderId="209" xfId="0" applyFont="1" applyBorder="1" applyAlignment="1">
      <alignment horizontal="left" vertical="center"/>
    </xf>
    <xf numFmtId="0" fontId="10" fillId="0" borderId="209" xfId="2" applyNumberFormat="1" applyFont="1" applyFill="1" applyBorder="1" applyAlignment="1">
      <alignment horizontal="center" vertical="center"/>
    </xf>
    <xf numFmtId="0" fontId="7" fillId="0" borderId="209" xfId="0" applyFont="1" applyBorder="1" applyAlignment="1">
      <alignment horizontal="left" vertical="center"/>
    </xf>
    <xf numFmtId="0" fontId="28" fillId="15" borderId="209" xfId="0" applyFont="1" applyFill="1" applyBorder="1"/>
    <xf numFmtId="0" fontId="7" fillId="13" borderId="209" xfId="0" applyFont="1" applyFill="1" applyBorder="1" applyAlignment="1">
      <alignment horizontal="center" vertical="center"/>
    </xf>
    <xf numFmtId="0" fontId="7" fillId="13" borderId="209" xfId="0" applyFont="1" applyFill="1" applyBorder="1" applyAlignment="1">
      <alignment horizontal="center" vertical="center" wrapText="1"/>
    </xf>
    <xf numFmtId="165" fontId="35" fillId="0" borderId="209" xfId="0" applyNumberFormat="1" applyFont="1" applyBorder="1"/>
    <xf numFmtId="165" fontId="22" fillId="0" borderId="209" xfId="1" applyNumberFormat="1" applyFont="1" applyBorder="1"/>
    <xf numFmtId="165" fontId="7" fillId="13" borderId="209" xfId="1" applyNumberFormat="1" applyFont="1" applyFill="1" applyBorder="1" applyAlignment="1">
      <alignment vertical="center"/>
    </xf>
    <xf numFmtId="165" fontId="27" fillId="16" borderId="209" xfId="1" applyNumberFormat="1" applyFont="1" applyFill="1" applyBorder="1" applyAlignment="1">
      <alignment horizontal="center" vertical="center"/>
    </xf>
    <xf numFmtId="165" fontId="27" fillId="13" borderId="209" xfId="1" applyNumberFormat="1" applyFont="1" applyFill="1" applyBorder="1" applyAlignment="1">
      <alignment horizontal="center" vertical="center"/>
    </xf>
    <xf numFmtId="165" fontId="22" fillId="13" borderId="209" xfId="1" applyNumberFormat="1" applyFont="1" applyFill="1" applyBorder="1"/>
    <xf numFmtId="0" fontId="29" fillId="10" borderId="210" xfId="0" applyFont="1" applyFill="1" applyBorder="1"/>
    <xf numFmtId="165" fontId="10" fillId="0" borderId="209" xfId="2" applyNumberFormat="1" applyFont="1" applyBorder="1" applyAlignment="1">
      <alignment horizontal="center"/>
    </xf>
    <xf numFmtId="165" fontId="27" fillId="0" borderId="212" xfId="1" applyNumberFormat="1" applyFont="1" applyFill="1" applyBorder="1" applyAlignment="1">
      <alignment horizontal="center" vertical="center"/>
    </xf>
    <xf numFmtId="165" fontId="27" fillId="20" borderId="209" xfId="1" applyNumberFormat="1" applyFont="1" applyFill="1" applyBorder="1" applyAlignment="1">
      <alignment horizontal="center" vertical="center"/>
    </xf>
    <xf numFmtId="0" fontId="29" fillId="16" borderId="209" xfId="0" applyFont="1" applyFill="1" applyBorder="1"/>
    <xf numFmtId="43" fontId="27" fillId="0" borderId="209" xfId="1" applyFont="1" applyFill="1" applyBorder="1"/>
    <xf numFmtId="165" fontId="2" fillId="0" borderId="209" xfId="1" applyNumberFormat="1" applyFont="1" applyFill="1" applyBorder="1"/>
    <xf numFmtId="165" fontId="26" fillId="0" borderId="209" xfId="1" applyNumberFormat="1" applyFont="1" applyFill="1" applyBorder="1"/>
    <xf numFmtId="0" fontId="27" fillId="12" borderId="209" xfId="0" applyFont="1" applyFill="1" applyBorder="1"/>
    <xf numFmtId="0" fontId="26" fillId="12" borderId="209" xfId="0" applyFont="1" applyFill="1" applyBorder="1" applyAlignment="1">
      <alignment horizontal="center"/>
    </xf>
    <xf numFmtId="0" fontId="26" fillId="12" borderId="209" xfId="0" applyFont="1" applyFill="1" applyBorder="1" applyAlignment="1">
      <alignment horizontal="center" vertical="center"/>
    </xf>
    <xf numFmtId="165" fontId="27" fillId="0" borderId="209" xfId="1" applyNumberFormat="1" applyFont="1" applyFill="1" applyBorder="1" applyAlignment="1"/>
    <xf numFmtId="165" fontId="22" fillId="0" borderId="209" xfId="1" applyNumberFormat="1" applyFont="1" applyFill="1" applyBorder="1" applyAlignment="1"/>
    <xf numFmtId="0" fontId="27" fillId="0" borderId="209" xfId="0" applyFont="1" applyBorder="1"/>
    <xf numFmtId="39" fontId="0" fillId="0" borderId="209" xfId="0" applyNumberFormat="1" applyBorder="1"/>
    <xf numFmtId="39" fontId="0" fillId="0" borderId="209" xfId="0" applyNumberFormat="1" applyBorder="1" applyAlignment="1">
      <alignment vertical="center"/>
    </xf>
    <xf numFmtId="3" fontId="27" fillId="0" borderId="209" xfId="1" applyNumberFormat="1" applyFont="1" applyFill="1" applyBorder="1" applyAlignment="1"/>
    <xf numFmtId="3" fontId="27" fillId="0" borderId="209" xfId="1" applyNumberFormat="1" applyFont="1" applyFill="1" applyBorder="1" applyAlignment="1">
      <alignment vertical="center"/>
    </xf>
    <xf numFmtId="3" fontId="0" fillId="0" borderId="209" xfId="0" applyNumberFormat="1" applyBorder="1" applyAlignment="1">
      <alignment vertical="center"/>
    </xf>
    <xf numFmtId="43" fontId="22" fillId="0" borderId="209" xfId="1" applyFont="1" applyFill="1" applyBorder="1"/>
    <xf numFmtId="43" fontId="22" fillId="0" borderId="209" xfId="1" applyFont="1" applyFill="1" applyBorder="1" applyAlignment="1">
      <alignment vertical="center"/>
    </xf>
    <xf numFmtId="165" fontId="29" fillId="15" borderId="209" xfId="1" applyNumberFormat="1" applyFont="1" applyFill="1" applyBorder="1"/>
    <xf numFmtId="165" fontId="28" fillId="0" borderId="209" xfId="1" applyNumberFormat="1" applyFont="1" applyFill="1" applyBorder="1"/>
    <xf numFmtId="3" fontId="28" fillId="0" borderId="209" xfId="0" applyNumberFormat="1" applyFont="1" applyBorder="1"/>
    <xf numFmtId="0" fontId="2" fillId="9" borderId="209" xfId="0" applyFont="1" applyFill="1" applyBorder="1" applyAlignment="1">
      <alignment horizontal="center" vertical="center" wrapText="1"/>
    </xf>
    <xf numFmtId="165" fontId="2" fillId="0" borderId="209" xfId="1" applyNumberFormat="1" applyFont="1" applyBorder="1" applyAlignment="1">
      <alignment horizontal="center" vertical="center" wrapText="1"/>
    </xf>
    <xf numFmtId="0" fontId="2" fillId="8" borderId="209" xfId="0" applyFont="1" applyFill="1" applyBorder="1" applyAlignment="1">
      <alignment horizontal="center" vertical="center" wrapText="1"/>
    </xf>
    <xf numFmtId="0" fontId="2" fillId="9" borderId="209" xfId="0" applyFont="1" applyFill="1" applyBorder="1" applyAlignment="1">
      <alignment horizontal="center" vertical="center"/>
    </xf>
    <xf numFmtId="43" fontId="2" fillId="8" borderId="209" xfId="1" applyFont="1" applyFill="1" applyBorder="1" applyAlignment="1">
      <alignment vertical="center"/>
    </xf>
    <xf numFmtId="43" fontId="2" fillId="8" borderId="209" xfId="0" applyNumberFormat="1" applyFont="1" applyFill="1" applyBorder="1" applyAlignment="1">
      <alignment vertical="center"/>
    </xf>
    <xf numFmtId="0" fontId="2" fillId="0" borderId="209" xfId="1" applyNumberFormat="1" applyFont="1" applyBorder="1"/>
    <xf numFmtId="165" fontId="2" fillId="0" borderId="209" xfId="0" applyNumberFormat="1" applyFont="1" applyBorder="1"/>
    <xf numFmtId="165" fontId="2" fillId="0" borderId="209" xfId="2" applyNumberFormat="1" applyFont="1" applyBorder="1"/>
    <xf numFmtId="165" fontId="2" fillId="16" borderId="209" xfId="1" applyNumberFormat="1" applyFont="1" applyFill="1" applyBorder="1"/>
    <xf numFmtId="0" fontId="2" fillId="16" borderId="209" xfId="0" applyFont="1" applyFill="1" applyBorder="1"/>
    <xf numFmtId="165" fontId="2" fillId="7" borderId="209" xfId="1" applyNumberFormat="1" applyFont="1" applyFill="1" applyBorder="1"/>
    <xf numFmtId="0" fontId="3" fillId="0" borderId="212" xfId="1" applyNumberFormat="1" applyFont="1" applyFill="1" applyBorder="1" applyAlignment="1">
      <alignment horizontal="center" vertical="center"/>
    </xf>
    <xf numFmtId="0" fontId="54" fillId="108" borderId="212" xfId="1" applyNumberFormat="1" applyFont="1" applyFill="1" applyBorder="1" applyAlignment="1">
      <alignment horizontal="center" vertical="center"/>
    </xf>
    <xf numFmtId="165" fontId="2" fillId="4" borderId="209" xfId="1" applyNumberFormat="1" applyFont="1" applyFill="1" applyBorder="1" applyAlignment="1">
      <alignment vertical="center"/>
    </xf>
    <xf numFmtId="165" fontId="3" fillId="104" borderId="209" xfId="1" applyNumberFormat="1" applyFont="1" applyFill="1" applyBorder="1" applyAlignment="1">
      <alignment horizontal="left" vertical="center"/>
    </xf>
    <xf numFmtId="165" fontId="2" fillId="0" borderId="210" xfId="1" applyNumberFormat="1" applyFont="1" applyBorder="1" applyAlignment="1">
      <alignment vertical="center"/>
    </xf>
    <xf numFmtId="165" fontId="2" fillId="7" borderId="209" xfId="1" applyNumberFormat="1" applyFont="1" applyFill="1" applyBorder="1" applyAlignment="1">
      <alignment vertical="center"/>
    </xf>
    <xf numFmtId="165" fontId="2" fillId="95" borderId="209" xfId="1" quotePrefix="1" applyNumberFormat="1" applyFont="1" applyFill="1" applyBorder="1" applyAlignment="1">
      <alignment vertical="center"/>
    </xf>
    <xf numFmtId="165" fontId="2" fillId="0" borderId="212" xfId="1" applyNumberFormat="1" applyFont="1" applyFill="1" applyBorder="1" applyAlignment="1">
      <alignment horizontal="center" vertical="center"/>
    </xf>
    <xf numFmtId="165" fontId="2" fillId="95" borderId="212" xfId="1" applyNumberFormat="1" applyFont="1" applyFill="1" applyBorder="1" applyAlignment="1">
      <alignment horizontal="center" vertical="center"/>
    </xf>
    <xf numFmtId="165" fontId="2" fillId="25" borderId="212" xfId="1" applyNumberFormat="1" applyFont="1" applyFill="1" applyBorder="1" applyAlignment="1">
      <alignment horizontal="center" vertical="center"/>
    </xf>
    <xf numFmtId="165" fontId="2" fillId="26" borderId="212" xfId="1" applyNumberFormat="1" applyFont="1" applyFill="1" applyBorder="1" applyAlignment="1">
      <alignment horizontal="center" vertical="center"/>
    </xf>
    <xf numFmtId="43" fontId="2" fillId="26" borderId="209" xfId="0" applyNumberFormat="1" applyFont="1" applyFill="1" applyBorder="1" applyAlignment="1">
      <alignment vertical="center"/>
    </xf>
    <xf numFmtId="165" fontId="2" fillId="0" borderId="209" xfId="1" applyNumberFormat="1" applyFont="1" applyFill="1" applyBorder="1" applyAlignment="1">
      <alignment horizontal="right" vertical="center"/>
    </xf>
    <xf numFmtId="0" fontId="54" fillId="96" borderId="212" xfId="1" applyNumberFormat="1" applyFont="1" applyFill="1" applyBorder="1" applyAlignment="1">
      <alignment horizontal="center" vertical="center"/>
    </xf>
    <xf numFmtId="165" fontId="2" fillId="26" borderId="209" xfId="1" applyNumberFormat="1" applyFont="1" applyFill="1" applyBorder="1" applyAlignment="1">
      <alignment vertical="center"/>
    </xf>
    <xf numFmtId="165" fontId="2" fillId="0" borderId="209" xfId="1" applyNumberFormat="1" applyFont="1" applyBorder="1" applyAlignment="1">
      <alignment horizontal="right" vertical="center"/>
    </xf>
    <xf numFmtId="0" fontId="3" fillId="0" borderId="212" xfId="0" applyFont="1" applyBorder="1" applyAlignment="1">
      <alignment horizontal="left" vertical="center"/>
    </xf>
    <xf numFmtId="165" fontId="24" fillId="0" borderId="209" xfId="1" applyNumberFormat="1" applyFont="1" applyFill="1" applyBorder="1"/>
    <xf numFmtId="0" fontId="2" fillId="0" borderId="209" xfId="1" applyNumberFormat="1" applyFont="1" applyFill="1" applyBorder="1" applyAlignment="1">
      <alignment horizontal="center" vertical="center"/>
    </xf>
    <xf numFmtId="165" fontId="3" fillId="0" borderId="209" xfId="1" applyNumberFormat="1" applyFont="1" applyFill="1" applyBorder="1"/>
    <xf numFmtId="0" fontId="28" fillId="0" borderId="209" xfId="0" applyFont="1" applyBorder="1" applyAlignment="1">
      <alignment vertical="center" wrapText="1"/>
    </xf>
    <xf numFmtId="0" fontId="2" fillId="25" borderId="209" xfId="1" applyNumberFormat="1" applyFont="1" applyFill="1" applyBorder="1"/>
    <xf numFmtId="0" fontId="2" fillId="0" borderId="209" xfId="1" applyNumberFormat="1" applyFont="1" applyFill="1" applyBorder="1"/>
    <xf numFmtId="165" fontId="2" fillId="9" borderId="209" xfId="0" applyNumberFormat="1" applyFont="1" applyFill="1" applyBorder="1"/>
    <xf numFmtId="0" fontId="2" fillId="25" borderId="209" xfId="1" applyNumberFormat="1" applyFont="1" applyFill="1" applyBorder="1" applyAlignment="1">
      <alignment horizontal="center" vertical="center"/>
    </xf>
    <xf numFmtId="165" fontId="2" fillId="0" borderId="209" xfId="1" applyNumberFormat="1" applyFont="1" applyFill="1" applyBorder="1" applyAlignment="1"/>
    <xf numFmtId="165" fontId="2" fillId="24" borderId="209" xfId="1" applyNumberFormat="1" applyFont="1" applyFill="1" applyBorder="1"/>
    <xf numFmtId="0" fontId="7" fillId="11" borderId="209" xfId="0" applyFont="1" applyFill="1" applyBorder="1" applyAlignment="1">
      <alignment horizontal="center" vertical="center"/>
    </xf>
    <xf numFmtId="0" fontId="7" fillId="12" borderId="209" xfId="0" applyFont="1" applyFill="1" applyBorder="1" applyAlignment="1">
      <alignment horizontal="center" vertical="center"/>
    </xf>
    <xf numFmtId="165" fontId="7" fillId="11" borderId="209" xfId="1" applyNumberFormat="1" applyFont="1" applyFill="1" applyBorder="1" applyAlignment="1">
      <alignment vertical="center"/>
    </xf>
    <xf numFmtId="165" fontId="22" fillId="12" borderId="209" xfId="1" applyNumberFormat="1" applyFont="1" applyFill="1" applyBorder="1"/>
    <xf numFmtId="165" fontId="7" fillId="0" borderId="209" xfId="1" applyNumberFormat="1" applyFont="1" applyBorder="1" applyAlignment="1">
      <alignment vertical="center"/>
    </xf>
    <xf numFmtId="165" fontId="35" fillId="16" borderId="209" xfId="1" applyNumberFormat="1" applyFont="1" applyFill="1" applyBorder="1"/>
    <xf numFmtId="165" fontId="2" fillId="16" borderId="209" xfId="1" applyNumberFormat="1" applyFont="1" applyFill="1" applyBorder="1" applyAlignment="1">
      <alignment horizontal="center" vertical="center"/>
    </xf>
    <xf numFmtId="165" fontId="7" fillId="16" borderId="209" xfId="1" applyNumberFormat="1" applyFont="1" applyFill="1" applyBorder="1" applyAlignment="1">
      <alignment vertical="center"/>
    </xf>
    <xf numFmtId="165" fontId="22" fillId="16" borderId="209" xfId="1" applyNumberFormat="1" applyFont="1" applyFill="1" applyBorder="1"/>
    <xf numFmtId="165" fontId="25" fillId="16" borderId="209" xfId="1" applyNumberFormat="1" applyFont="1" applyFill="1" applyBorder="1"/>
    <xf numFmtId="165" fontId="31" fillId="0" borderId="209" xfId="1" applyNumberFormat="1" applyFont="1" applyFill="1" applyBorder="1"/>
    <xf numFmtId="0" fontId="27" fillId="0" borderId="209" xfId="1" applyNumberFormat="1" applyFont="1" applyFill="1" applyBorder="1"/>
    <xf numFmtId="165" fontId="22" fillId="0" borderId="209" xfId="1" applyNumberFormat="1" applyFont="1" applyBorder="1" applyAlignment="1">
      <alignment horizontal="center" vertical="center"/>
    </xf>
    <xf numFmtId="165" fontId="22" fillId="0" borderId="209" xfId="1" applyNumberFormat="1" applyFont="1" applyBorder="1" applyAlignment="1">
      <alignment vertical="center"/>
    </xf>
    <xf numFmtId="43" fontId="22" fillId="0" borderId="209" xfId="1" applyFont="1" applyBorder="1" applyAlignment="1">
      <alignment vertical="center"/>
    </xf>
    <xf numFmtId="0" fontId="0" fillId="0" borderId="210" xfId="0" applyBorder="1" applyAlignment="1">
      <alignment horizontal="center" vertical="center"/>
    </xf>
    <xf numFmtId="165" fontId="22" fillId="0" borderId="209" xfId="1" applyNumberFormat="1" applyFont="1" applyBorder="1" applyAlignment="1">
      <alignment horizontal="right" vertical="center"/>
    </xf>
    <xf numFmtId="43" fontId="22" fillId="0" borderId="209" xfId="1" applyFont="1" applyBorder="1" applyAlignment="1">
      <alignment horizontal="right" vertical="center"/>
    </xf>
    <xf numFmtId="165" fontId="26" fillId="0" borderId="209" xfId="1" applyNumberFormat="1" applyFont="1" applyFill="1" applyBorder="1" applyAlignment="1">
      <alignment horizontal="left"/>
    </xf>
    <xf numFmtId="165" fontId="36" fillId="0" borderId="209" xfId="1" applyNumberFormat="1" applyFont="1" applyFill="1" applyBorder="1"/>
    <xf numFmtId="43" fontId="0" fillId="0" borderId="209" xfId="1" applyFont="1" applyFill="1" applyBorder="1"/>
    <xf numFmtId="165" fontId="37" fillId="0" borderId="0" xfId="0" applyNumberFormat="1" applyFont="1" applyFill="1" applyAlignment="1">
      <alignment vertical="center"/>
    </xf>
    <xf numFmtId="165" fontId="27" fillId="0" borderId="0" xfId="0" applyNumberFormat="1" applyFont="1" applyFill="1" applyAlignment="1">
      <alignment vertical="center"/>
    </xf>
    <xf numFmtId="169" fontId="0" fillId="0" borderId="240" xfId="2" applyNumberFormat="1" applyFont="1" applyFill="1" applyBorder="1" applyAlignment="1" applyProtection="1">
      <alignment vertical="center"/>
    </xf>
    <xf numFmtId="169" fontId="7" fillId="0" borderId="240" xfId="2" applyNumberFormat="1" applyFont="1" applyFill="1" applyBorder="1" applyAlignment="1" applyProtection="1">
      <alignment vertical="center"/>
    </xf>
    <xf numFmtId="0" fontId="10" fillId="0" borderId="241" xfId="0" applyFont="1" applyBorder="1" applyAlignment="1">
      <alignment vertical="center"/>
    </xf>
    <xf numFmtId="0" fontId="28" fillId="4" borderId="242" xfId="0" applyFont="1" applyFill="1" applyBorder="1"/>
    <xf numFmtId="0" fontId="28" fillId="4" borderId="243" xfId="0" applyFont="1" applyFill="1" applyBorder="1" applyAlignment="1">
      <alignment horizontal="left" vertical="center"/>
    </xf>
    <xf numFmtId="4" fontId="13" fillId="4" borderId="243" xfId="0" applyNumberFormat="1" applyFont="1" applyFill="1" applyBorder="1" applyAlignment="1">
      <alignment horizontal="center" vertical="center"/>
    </xf>
    <xf numFmtId="4" fontId="28" fillId="4" borderId="243" xfId="0" applyNumberFormat="1" applyFont="1" applyFill="1" applyBorder="1" applyAlignment="1">
      <alignment horizontal="center" vertical="center"/>
    </xf>
    <xf numFmtId="0" fontId="28" fillId="0" borderId="242" xfId="0" applyFont="1" applyBorder="1"/>
    <xf numFmtId="165" fontId="28" fillId="4" borderId="243" xfId="0" applyNumberFormat="1" applyFont="1" applyFill="1" applyBorder="1"/>
    <xf numFmtId="165" fontId="13" fillId="4" borderId="243" xfId="1" applyNumberFormat="1" applyFont="1" applyFill="1" applyBorder="1" applyAlignment="1"/>
    <xf numFmtId="165" fontId="39" fillId="4" borderId="242" xfId="1" applyNumberFormat="1" applyFont="1" applyFill="1" applyBorder="1" applyAlignment="1"/>
    <xf numFmtId="43" fontId="28" fillId="4" borderId="242" xfId="1" applyFont="1" applyFill="1" applyBorder="1" applyAlignment="1">
      <alignment vertical="center"/>
    </xf>
    <xf numFmtId="4" fontId="28" fillId="4" borderId="242" xfId="0" applyNumberFormat="1" applyFont="1" applyFill="1" applyBorder="1" applyAlignment="1">
      <alignment horizontal="center" vertical="center"/>
    </xf>
    <xf numFmtId="165" fontId="0" fillId="23" borderId="243" xfId="1" applyNumberFormat="1" applyFont="1" applyFill="1" applyBorder="1"/>
    <xf numFmtId="0" fontId="28" fillId="0" borderId="242" xfId="0" applyFont="1" applyBorder="1" applyAlignment="1">
      <alignment horizontal="center"/>
    </xf>
    <xf numFmtId="0" fontId="28" fillId="0" borderId="243" xfId="0" applyFont="1" applyBorder="1" applyAlignment="1">
      <alignment horizontal="center" vertical="center"/>
    </xf>
    <xf numFmtId="0" fontId="28" fillId="0" borderId="243" xfId="0" applyFont="1" applyBorder="1" applyAlignment="1">
      <alignment horizontal="center" wrapText="1"/>
    </xf>
    <xf numFmtId="0" fontId="28" fillId="15" borderId="243" xfId="0" applyFont="1" applyFill="1" applyBorder="1" applyAlignment="1">
      <alignment horizontal="center"/>
    </xf>
    <xf numFmtId="0" fontId="28" fillId="2" borderId="243" xfId="0" applyFont="1" applyFill="1" applyBorder="1" applyAlignment="1">
      <alignment horizontal="center"/>
    </xf>
    <xf numFmtId="0" fontId="29" fillId="0" borderId="243" xfId="0" applyFont="1" applyBorder="1"/>
    <xf numFmtId="165" fontId="29" fillId="0" borderId="243" xfId="1" applyNumberFormat="1" applyFont="1" applyFill="1" applyBorder="1"/>
    <xf numFmtId="165" fontId="5" fillId="0" borderId="243" xfId="1" applyNumberFormat="1" applyFont="1" applyFill="1" applyBorder="1"/>
    <xf numFmtId="165" fontId="28" fillId="0" borderId="243" xfId="1" applyNumberFormat="1" applyFont="1" applyFill="1" applyBorder="1"/>
    <xf numFmtId="0" fontId="28" fillId="2" borderId="242" xfId="0" applyFont="1" applyFill="1" applyBorder="1" applyAlignment="1">
      <alignment horizontal="center"/>
    </xf>
    <xf numFmtId="165" fontId="28" fillId="2" borderId="243" xfId="0" applyNumberFormat="1" applyFont="1" applyFill="1" applyBorder="1"/>
    <xf numFmtId="165" fontId="28" fillId="2" borderId="243" xfId="1" applyNumberFormat="1" applyFont="1" applyFill="1" applyBorder="1"/>
    <xf numFmtId="0" fontId="28" fillId="2" borderId="242" xfId="0" applyFont="1" applyFill="1" applyBorder="1" applyAlignment="1">
      <alignment horizontal="center" vertical="center" wrapText="1"/>
    </xf>
    <xf numFmtId="2" fontId="28" fillId="2" borderId="242" xfId="0" applyNumberFormat="1" applyFont="1" applyFill="1" applyBorder="1" applyAlignment="1">
      <alignment vertical="center"/>
    </xf>
    <xf numFmtId="4" fontId="28" fillId="2" borderId="242" xfId="0" applyNumberFormat="1" applyFont="1" applyFill="1" applyBorder="1" applyAlignment="1">
      <alignment vertical="center"/>
    </xf>
    <xf numFmtId="43" fontId="28" fillId="2" borderId="242" xfId="1" applyFont="1" applyFill="1" applyBorder="1" applyAlignment="1">
      <alignment vertical="center"/>
    </xf>
    <xf numFmtId="0" fontId="26" fillId="3" borderId="241" xfId="0" applyFont="1" applyFill="1" applyBorder="1" applyAlignment="1">
      <alignment vertical="center" wrapText="1"/>
    </xf>
    <xf numFmtId="0" fontId="26" fillId="3" borderId="241" xfId="0" applyFont="1" applyFill="1" applyBorder="1" applyAlignment="1">
      <alignment vertical="center"/>
    </xf>
    <xf numFmtId="0" fontId="32" fillId="0" borderId="241" xfId="0" applyFont="1" applyBorder="1" applyAlignment="1">
      <alignment horizontal="center" vertical="center"/>
    </xf>
    <xf numFmtId="0" fontId="32" fillId="0" borderId="243" xfId="0" applyFont="1" applyBorder="1" applyAlignment="1">
      <alignment horizontal="center" vertical="center"/>
    </xf>
    <xf numFmtId="0" fontId="28" fillId="0" borderId="241" xfId="0" applyFont="1" applyBorder="1"/>
    <xf numFmtId="0" fontId="28" fillId="0" borderId="243" xfId="0" applyFont="1" applyBorder="1" applyAlignment="1">
      <alignment vertical="center"/>
    </xf>
    <xf numFmtId="0" fontId="3" fillId="23" borderId="243" xfId="0" applyFont="1" applyFill="1" applyBorder="1" applyAlignment="1">
      <alignment horizontal="center" vertical="center" wrapText="1"/>
    </xf>
    <xf numFmtId="0" fontId="3" fillId="23" borderId="243" xfId="0" applyFont="1" applyFill="1" applyBorder="1" applyAlignment="1">
      <alignment horizontal="center" vertical="center"/>
    </xf>
    <xf numFmtId="0" fontId="3" fillId="4" borderId="243" xfId="0" applyFont="1" applyFill="1" applyBorder="1" applyAlignment="1">
      <alignment horizontal="center" vertical="center"/>
    </xf>
    <xf numFmtId="0" fontId="2" fillId="0" borderId="243" xfId="0" applyFont="1" applyBorder="1" applyAlignment="1">
      <alignment horizontal="center" vertical="center" wrapText="1"/>
    </xf>
    <xf numFmtId="0" fontId="2" fillId="0" borderId="243" xfId="0" applyFont="1" applyBorder="1" applyAlignment="1">
      <alignment horizontal="center" vertical="center"/>
    </xf>
    <xf numFmtId="43" fontId="2" fillId="0" borderId="243" xfId="0" applyNumberFormat="1" applyFont="1" applyBorder="1" applyAlignment="1">
      <alignment horizontal="center" vertical="center"/>
    </xf>
    <xf numFmtId="165" fontId="2" fillId="0" borderId="243" xfId="0" applyNumberFormat="1" applyFont="1" applyBorder="1" applyAlignment="1">
      <alignment horizontal="center" vertical="center"/>
    </xf>
    <xf numFmtId="0" fontId="4" fillId="0" borderId="241" xfId="0" applyFont="1" applyBorder="1" applyAlignment="1">
      <alignment horizontal="center" wrapText="1"/>
    </xf>
    <xf numFmtId="165" fontId="29" fillId="2" borderId="243" xfId="1" applyNumberFormat="1" applyFont="1" applyFill="1" applyBorder="1"/>
    <xf numFmtId="172" fontId="29" fillId="2" borderId="243" xfId="1" applyNumberFormat="1" applyFont="1" applyFill="1" applyBorder="1"/>
    <xf numFmtId="172" fontId="5" fillId="2" borderId="243" xfId="1" applyNumberFormat="1" applyFont="1" applyFill="1" applyBorder="1"/>
    <xf numFmtId="165" fontId="10" fillId="0" borderId="243" xfId="1" applyNumberFormat="1" applyFont="1" applyFill="1" applyBorder="1" applyAlignment="1">
      <alignment horizontal="center" vertical="center"/>
    </xf>
    <xf numFmtId="165" fontId="10" fillId="0" borderId="243" xfId="1" applyNumberFormat="1" applyFont="1" applyBorder="1" applyAlignment="1">
      <alignment horizontal="center" vertical="center"/>
    </xf>
    <xf numFmtId="165" fontId="27" fillId="0" borderId="243" xfId="1" applyNumberFormat="1" applyFont="1" applyFill="1" applyBorder="1" applyAlignment="1">
      <alignment horizontal="center" vertical="center"/>
    </xf>
    <xf numFmtId="0" fontId="29" fillId="0" borderId="243" xfId="0" applyFont="1" applyBorder="1" applyAlignment="1">
      <alignment horizontal="center" vertical="center"/>
    </xf>
    <xf numFmtId="0" fontId="2" fillId="9" borderId="243" xfId="0" applyFont="1" applyFill="1" applyBorder="1" applyAlignment="1">
      <alignment horizontal="center"/>
    </xf>
    <xf numFmtId="0" fontId="2" fillId="0" borderId="243" xfId="0" applyFont="1" applyBorder="1" applyAlignment="1">
      <alignment horizontal="center"/>
    </xf>
    <xf numFmtId="0" fontId="3" fillId="0" borderId="241" xfId="1" applyNumberFormat="1" applyFont="1" applyFill="1" applyBorder="1" applyAlignment="1">
      <alignment horizontal="center" vertical="center"/>
    </xf>
    <xf numFmtId="165" fontId="2" fillId="0" borderId="244" xfId="1" applyNumberFormat="1" applyFont="1" applyFill="1" applyBorder="1" applyAlignment="1">
      <alignment horizontal="center" vertical="center"/>
    </xf>
    <xf numFmtId="0" fontId="3" fillId="0" borderId="243" xfId="0" applyFont="1" applyBorder="1" applyAlignment="1">
      <alignment horizontal="left" vertical="center"/>
    </xf>
    <xf numFmtId="0" fontId="29" fillId="0" borderId="241" xfId="0" applyFont="1" applyBorder="1"/>
    <xf numFmtId="0" fontId="0" fillId="0" borderId="242" xfId="0" applyBorder="1"/>
    <xf numFmtId="0" fontId="130" fillId="0" borderId="167" xfId="0" applyFont="1" applyBorder="1" applyAlignment="1"/>
    <xf numFmtId="0" fontId="130" fillId="0" borderId="138" xfId="0" applyFont="1" applyBorder="1" applyAlignment="1"/>
    <xf numFmtId="0" fontId="130" fillId="0" borderId="239" xfId="0" applyFont="1" applyBorder="1" applyAlignment="1"/>
    <xf numFmtId="0" fontId="130" fillId="0" borderId="2" xfId="0" applyFont="1" applyBorder="1" applyAlignment="1"/>
    <xf numFmtId="0" fontId="130" fillId="0" borderId="0" xfId="0" applyFont="1" applyAlignment="1"/>
    <xf numFmtId="0" fontId="130" fillId="0" borderId="90" xfId="0" applyFont="1" applyBorder="1" applyAlignment="1"/>
    <xf numFmtId="0" fontId="130" fillId="0" borderId="91" xfId="0" applyFont="1" applyBorder="1" applyAlignment="1"/>
    <xf numFmtId="0" fontId="130" fillId="0" borderId="92" xfId="0" applyFont="1" applyBorder="1" applyAlignment="1"/>
    <xf numFmtId="0" fontId="130" fillId="0" borderId="93" xfId="0" applyFont="1" applyBorder="1" applyAlignment="1"/>
    <xf numFmtId="0" fontId="128" fillId="0" borderId="0" xfId="0" applyFont="1" applyAlignment="1">
      <alignment horizontal="center"/>
    </xf>
    <xf numFmtId="0" fontId="27" fillId="0" borderId="0" xfId="0" applyFont="1" applyAlignment="1">
      <alignment horizontal="center" vertical="center"/>
    </xf>
    <xf numFmtId="0" fontId="26" fillId="0" borderId="0" xfId="0" applyFont="1" applyAlignment="1">
      <alignment horizontal="left" vertical="center" wrapText="1"/>
    </xf>
    <xf numFmtId="0" fontId="54" fillId="99" borderId="204" xfId="0" applyFont="1" applyFill="1" applyBorder="1" applyAlignment="1">
      <alignment horizontal="center" vertical="center"/>
    </xf>
    <xf numFmtId="0" fontId="54" fillId="99" borderId="191" xfId="0" applyFont="1" applyFill="1" applyBorder="1" applyAlignment="1">
      <alignment horizontal="center" vertical="center"/>
    </xf>
    <xf numFmtId="0" fontId="54" fillId="96" borderId="207" xfId="0" applyFont="1" applyFill="1" applyBorder="1" applyAlignment="1">
      <alignment horizontal="center" vertical="center"/>
    </xf>
    <xf numFmtId="0" fontId="54" fillId="96" borderId="199" xfId="0" applyFont="1" applyFill="1" applyBorder="1" applyAlignment="1">
      <alignment horizontal="center" vertical="center"/>
    </xf>
    <xf numFmtId="0" fontId="54" fillId="96" borderId="188" xfId="0" applyFont="1" applyFill="1" applyBorder="1" applyAlignment="1">
      <alignment horizontal="center" vertical="center"/>
    </xf>
    <xf numFmtId="0" fontId="3" fillId="105" borderId="211" xfId="0" applyFont="1" applyFill="1" applyBorder="1" applyAlignment="1">
      <alignment horizontal="left" vertical="center" wrapText="1"/>
    </xf>
    <xf numFmtId="0" fontId="3" fillId="105" borderId="4" xfId="0" applyFont="1" applyFill="1" applyBorder="1" applyAlignment="1">
      <alignment horizontal="left" vertical="center" wrapText="1"/>
    </xf>
    <xf numFmtId="4" fontId="26" fillId="105" borderId="167" xfId="0" applyNumberFormat="1" applyFont="1" applyFill="1" applyBorder="1" applyAlignment="1">
      <alignment horizontal="center" vertical="center"/>
    </xf>
    <xf numFmtId="4" fontId="26" fillId="105" borderId="126" xfId="0" applyNumberFormat="1" applyFont="1" applyFill="1" applyBorder="1" applyAlignment="1">
      <alignment horizontal="center" vertical="center"/>
    </xf>
    <xf numFmtId="4" fontId="26" fillId="105" borderId="5" xfId="0" applyNumberFormat="1" applyFont="1" applyFill="1" applyBorder="1" applyAlignment="1">
      <alignment horizontal="center" vertical="center"/>
    </xf>
    <xf numFmtId="4" fontId="26" fillId="105" borderId="28" xfId="0" applyNumberFormat="1" applyFont="1" applyFill="1" applyBorder="1" applyAlignment="1">
      <alignment horizontal="center" vertical="center"/>
    </xf>
    <xf numFmtId="0" fontId="54" fillId="96" borderId="177" xfId="0" applyFont="1" applyFill="1" applyBorder="1" applyAlignment="1">
      <alignment horizontal="center" vertical="center"/>
    </xf>
    <xf numFmtId="0" fontId="54" fillId="99" borderId="178" xfId="0" applyFont="1" applyFill="1" applyBorder="1" applyAlignment="1">
      <alignment horizontal="center" vertical="center"/>
    </xf>
    <xf numFmtId="0" fontId="54" fillId="99" borderId="175" xfId="0" applyFont="1" applyFill="1" applyBorder="1" applyAlignment="1">
      <alignment horizontal="center" vertical="center"/>
    </xf>
    <xf numFmtId="0" fontId="54" fillId="99" borderId="179" xfId="0" applyFont="1" applyFill="1" applyBorder="1" applyAlignment="1">
      <alignment horizontal="center" vertical="center"/>
    </xf>
    <xf numFmtId="10" fontId="3" fillId="105" borderId="167" xfId="0" applyNumberFormat="1" applyFont="1" applyFill="1" applyBorder="1" applyAlignment="1">
      <alignment horizontal="center" vertical="center"/>
    </xf>
    <xf numFmtId="10" fontId="3" fillId="105" borderId="126" xfId="0" applyNumberFormat="1" applyFont="1" applyFill="1" applyBorder="1" applyAlignment="1">
      <alignment horizontal="center" vertical="center"/>
    </xf>
    <xf numFmtId="10" fontId="3" fillId="105" borderId="5" xfId="0" applyNumberFormat="1" applyFont="1" applyFill="1" applyBorder="1" applyAlignment="1">
      <alignment horizontal="center" vertical="center"/>
    </xf>
    <xf numFmtId="10" fontId="3" fillId="105" borderId="28" xfId="0" applyNumberFormat="1" applyFont="1" applyFill="1" applyBorder="1" applyAlignment="1">
      <alignment horizontal="center" vertical="center"/>
    </xf>
    <xf numFmtId="4" fontId="3" fillId="105" borderId="167" xfId="0" applyNumberFormat="1" applyFont="1" applyFill="1" applyBorder="1" applyAlignment="1">
      <alignment horizontal="center" vertical="center"/>
    </xf>
    <xf numFmtId="4" fontId="3" fillId="105" borderId="126" xfId="0" applyNumberFormat="1" applyFont="1" applyFill="1" applyBorder="1" applyAlignment="1">
      <alignment horizontal="center" vertical="center"/>
    </xf>
    <xf numFmtId="4" fontId="3" fillId="105" borderId="5" xfId="0" applyNumberFormat="1" applyFont="1" applyFill="1" applyBorder="1" applyAlignment="1">
      <alignment horizontal="center" vertical="center"/>
    </xf>
    <xf numFmtId="4" fontId="3" fillId="105" borderId="28" xfId="0" applyNumberFormat="1" applyFont="1" applyFill="1" applyBorder="1" applyAlignment="1">
      <alignment horizontal="center" vertical="center"/>
    </xf>
    <xf numFmtId="0" fontId="54" fillId="99" borderId="211" xfId="0" applyFont="1" applyFill="1" applyBorder="1" applyAlignment="1">
      <alignment horizontal="center" vertical="center"/>
    </xf>
    <xf numFmtId="0" fontId="54" fillId="99" borderId="3" xfId="0" applyFont="1" applyFill="1" applyBorder="1" applyAlignment="1">
      <alignment horizontal="center" vertical="center"/>
    </xf>
    <xf numFmtId="0" fontId="54" fillId="99" borderId="4" xfId="0" applyFont="1" applyFill="1" applyBorder="1" applyAlignment="1">
      <alignment horizontal="center" vertical="center"/>
    </xf>
    <xf numFmtId="0" fontId="26" fillId="2" borderId="211" xfId="0" applyFont="1" applyFill="1" applyBorder="1" applyAlignment="1">
      <alignment horizontal="center" vertical="center" wrapText="1"/>
    </xf>
    <xf numFmtId="0" fontId="27" fillId="0" borderId="4" xfId="0" applyFont="1" applyBorder="1" applyAlignment="1">
      <alignment vertical="center"/>
    </xf>
    <xf numFmtId="0" fontId="48" fillId="0" borderId="0" xfId="0" applyFont="1" applyAlignment="1">
      <alignment horizontal="left" vertical="center" wrapText="1"/>
    </xf>
    <xf numFmtId="0" fontId="18" fillId="0" borderId="0" xfId="0" applyFont="1" applyAlignment="1">
      <alignment horizontal="left" vertical="center" wrapText="1"/>
    </xf>
    <xf numFmtId="0" fontId="26" fillId="2" borderId="211"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4" xfId="0" applyFont="1" applyFill="1" applyBorder="1" applyAlignment="1">
      <alignment horizontal="center" vertical="center"/>
    </xf>
    <xf numFmtId="0" fontId="26" fillId="105" borderId="211" xfId="0" applyFont="1" applyFill="1" applyBorder="1" applyAlignment="1">
      <alignment horizontal="left" vertical="center" wrapText="1"/>
    </xf>
    <xf numFmtId="0" fontId="26" fillId="105" borderId="4" xfId="0" applyFont="1" applyFill="1" applyBorder="1" applyAlignment="1">
      <alignment horizontal="left" vertical="center" wrapText="1"/>
    </xf>
    <xf numFmtId="0" fontId="54" fillId="99" borderId="210" xfId="0" applyFont="1" applyFill="1" applyBorder="1" applyAlignment="1">
      <alignment horizontal="center" vertical="center"/>
    </xf>
    <xf numFmtId="0" fontId="54" fillId="99" borderId="212" xfId="0" applyFont="1" applyFill="1" applyBorder="1" applyAlignment="1">
      <alignment horizontal="center" vertical="center"/>
    </xf>
    <xf numFmtId="0" fontId="150" fillId="105" borderId="167" xfId="0" applyFont="1" applyFill="1" applyBorder="1" applyAlignment="1">
      <alignment horizontal="center" vertical="center"/>
    </xf>
    <xf numFmtId="0" fontId="150" fillId="105" borderId="239" xfId="0" applyFont="1" applyFill="1" applyBorder="1" applyAlignment="1">
      <alignment horizontal="center" vertical="center"/>
    </xf>
    <xf numFmtId="0" fontId="150" fillId="105" borderId="91" xfId="0" applyFont="1" applyFill="1" applyBorder="1" applyAlignment="1">
      <alignment horizontal="center" vertical="center"/>
    </xf>
    <xf numFmtId="0" fontId="150" fillId="105" borderId="93" xfId="0" applyFont="1" applyFill="1" applyBorder="1" applyAlignment="1">
      <alignment horizontal="center" vertical="center"/>
    </xf>
    <xf numFmtId="0" fontId="26" fillId="105" borderId="167" xfId="0" applyFont="1" applyFill="1" applyBorder="1" applyAlignment="1">
      <alignment horizontal="center" vertical="center" wrapText="1"/>
    </xf>
    <xf numFmtId="0" fontId="26" fillId="105" borderId="126" xfId="0" applyFont="1" applyFill="1" applyBorder="1" applyAlignment="1">
      <alignment horizontal="center" vertical="center" wrapText="1"/>
    </xf>
    <xf numFmtId="0" fontId="26" fillId="105" borderId="5" xfId="0" applyFont="1" applyFill="1" applyBorder="1" applyAlignment="1">
      <alignment horizontal="center" vertical="center" wrapText="1"/>
    </xf>
    <xf numFmtId="0" fontId="26" fillId="105" borderId="28" xfId="0" applyFont="1" applyFill="1" applyBorder="1" applyAlignment="1">
      <alignment horizontal="center" vertical="center" wrapText="1"/>
    </xf>
    <xf numFmtId="0" fontId="54" fillId="99" borderId="204" xfId="0" applyFont="1" applyFill="1" applyBorder="1" applyAlignment="1">
      <alignment horizontal="center" vertical="center" wrapText="1"/>
    </xf>
    <xf numFmtId="0" fontId="54" fillId="99" borderId="191" xfId="0" applyFont="1" applyFill="1" applyBorder="1" applyAlignment="1">
      <alignment horizontal="center" vertical="center" wrapText="1"/>
    </xf>
    <xf numFmtId="0" fontId="54" fillId="96" borderId="203" xfId="0" applyFont="1" applyFill="1" applyBorder="1" applyAlignment="1">
      <alignment horizontal="center" vertical="center"/>
    </xf>
    <xf numFmtId="0" fontId="54" fillId="96" borderId="196" xfId="0" applyFont="1" applyFill="1" applyBorder="1" applyAlignment="1">
      <alignment horizontal="center" vertical="center"/>
    </xf>
    <xf numFmtId="0" fontId="54" fillId="96" borderId="180" xfId="0" applyFont="1" applyFill="1" applyBorder="1" applyAlignment="1">
      <alignment horizontal="center" vertical="center"/>
    </xf>
    <xf numFmtId="0" fontId="3" fillId="0" borderId="0" xfId="0" applyFont="1" applyAlignment="1">
      <alignment horizontal="left" vertical="center" wrapText="1"/>
    </xf>
    <xf numFmtId="0" fontId="54" fillId="96" borderId="197" xfId="0" applyFont="1" applyFill="1" applyBorder="1" applyAlignment="1">
      <alignment horizontal="center" vertical="center"/>
    </xf>
    <xf numFmtId="0" fontId="54" fillId="96" borderId="200" xfId="0" applyFont="1" applyFill="1" applyBorder="1" applyAlignment="1">
      <alignment horizontal="center" vertical="center"/>
    </xf>
    <xf numFmtId="0" fontId="26" fillId="0" borderId="0" xfId="0" applyFont="1" applyAlignment="1">
      <alignment horizontal="center" vertical="center"/>
    </xf>
    <xf numFmtId="0" fontId="28" fillId="0" borderId="213" xfId="0" applyFont="1" applyBorder="1" applyAlignment="1">
      <alignment horizontal="center"/>
    </xf>
    <xf numFmtId="0" fontId="28" fillId="0" borderId="212" xfId="0" applyFont="1" applyBorder="1" applyAlignment="1">
      <alignment horizontal="center"/>
    </xf>
    <xf numFmtId="0" fontId="29" fillId="0" borderId="210" xfId="0" applyFont="1" applyBorder="1" applyAlignment="1">
      <alignment horizontal="center"/>
    </xf>
    <xf numFmtId="0" fontId="29" fillId="0" borderId="213" xfId="0" applyFont="1" applyBorder="1" applyAlignment="1">
      <alignment horizontal="center"/>
    </xf>
    <xf numFmtId="0" fontId="29" fillId="0" borderId="212" xfId="0" applyFont="1" applyBorder="1" applyAlignment="1">
      <alignment horizontal="center"/>
    </xf>
    <xf numFmtId="0" fontId="29" fillId="0" borderId="211" xfId="0" applyFont="1" applyBorder="1" applyAlignment="1">
      <alignment horizontal="center" vertical="center" wrapText="1"/>
    </xf>
    <xf numFmtId="0" fontId="29" fillId="0" borderId="3" xfId="0" applyFont="1" applyBorder="1" applyAlignment="1">
      <alignment horizontal="center" vertical="center" wrapText="1"/>
    </xf>
    <xf numFmtId="0" fontId="0" fillId="0" borderId="213" xfId="0" applyBorder="1" applyAlignment="1"/>
    <xf numFmtId="0" fontId="0" fillId="0" borderId="212" xfId="0" applyBorder="1" applyAlignment="1"/>
    <xf numFmtId="0" fontId="0" fillId="0" borderId="4" xfId="0" applyBorder="1" applyAlignment="1"/>
    <xf numFmtId="0" fontId="27" fillId="0" borderId="0" xfId="0" applyFont="1" applyAlignment="1">
      <alignment horizontal="left" vertical="center"/>
    </xf>
    <xf numFmtId="0" fontId="54" fillId="99" borderId="214" xfId="0" applyFont="1" applyFill="1" applyBorder="1" applyAlignment="1">
      <alignment horizontal="center" vertical="center"/>
    </xf>
    <xf numFmtId="0" fontId="26" fillId="98" borderId="4" xfId="0" applyFont="1" applyFill="1" applyBorder="1" applyAlignment="1">
      <alignment horizontal="center" vertical="center"/>
    </xf>
    <xf numFmtId="0" fontId="26" fillId="98" borderId="209" xfId="0" applyFont="1" applyFill="1" applyBorder="1" applyAlignment="1">
      <alignment horizontal="center" vertical="center"/>
    </xf>
    <xf numFmtId="165" fontId="26" fillId="98" borderId="80" xfId="1" applyNumberFormat="1" applyFont="1" applyFill="1" applyBorder="1" applyAlignment="1">
      <alignment horizontal="center" vertical="center" wrapText="1"/>
    </xf>
    <xf numFmtId="165" fontId="26" fillId="98" borderId="28" xfId="1" applyNumberFormat="1" applyFont="1" applyFill="1" applyBorder="1" applyAlignment="1">
      <alignment horizontal="center" vertical="center" wrapText="1"/>
    </xf>
    <xf numFmtId="165" fontId="26" fillId="98" borderId="3" xfId="1" applyNumberFormat="1" applyFont="1" applyFill="1" applyBorder="1" applyAlignment="1">
      <alignment horizontal="center" vertical="center" wrapText="1"/>
    </xf>
    <xf numFmtId="165" fontId="26" fillId="98" borderId="4" xfId="1" applyNumberFormat="1" applyFont="1" applyFill="1" applyBorder="1" applyAlignment="1">
      <alignment horizontal="center" vertical="center" wrapText="1"/>
    </xf>
    <xf numFmtId="165" fontId="26" fillId="98" borderId="209" xfId="1" applyNumberFormat="1" applyFont="1" applyFill="1" applyBorder="1" applyAlignment="1">
      <alignment horizontal="center" vertical="center" wrapText="1"/>
    </xf>
    <xf numFmtId="0" fontId="26" fillId="98" borderId="211" xfId="0" applyFont="1" applyFill="1" applyBorder="1" applyAlignment="1">
      <alignment horizontal="center" vertical="center"/>
    </xf>
    <xf numFmtId="0" fontId="51" fillId="0" borderId="0" xfId="0" applyFont="1" applyAlignment="1">
      <alignment horizontal="left" vertical="center" wrapText="1"/>
    </xf>
    <xf numFmtId="0" fontId="28" fillId="0" borderId="209" xfId="0" applyFont="1" applyBorder="1" applyAlignment="1">
      <alignment horizontal="center"/>
    </xf>
    <xf numFmtId="0" fontId="28" fillId="0" borderId="210" xfId="0" applyFont="1" applyBorder="1" applyAlignment="1">
      <alignment horizontal="center"/>
    </xf>
    <xf numFmtId="165" fontId="28" fillId="0" borderId="211" xfId="1" applyNumberFormat="1" applyFont="1" applyFill="1" applyBorder="1" applyAlignment="1">
      <alignment horizontal="center" vertical="top" wrapText="1"/>
    </xf>
    <xf numFmtId="165" fontId="28" fillId="0" borderId="3" xfId="1" applyNumberFormat="1" applyFont="1" applyFill="1" applyBorder="1" applyAlignment="1">
      <alignment horizontal="center" vertical="top" wrapText="1"/>
    </xf>
    <xf numFmtId="0" fontId="28" fillId="0" borderId="211" xfId="0" applyFont="1" applyBorder="1" applyAlignment="1">
      <alignment horizontal="center" vertical="center"/>
    </xf>
    <xf numFmtId="0" fontId="28" fillId="0" borderId="3" xfId="0" applyFont="1" applyBorder="1" applyAlignment="1">
      <alignment horizontal="center" vertical="center"/>
    </xf>
    <xf numFmtId="0" fontId="28" fillId="0" borderId="4" xfId="0" applyFont="1" applyBorder="1" applyAlignment="1">
      <alignment horizontal="center" vertical="center"/>
    </xf>
    <xf numFmtId="0" fontId="28" fillId="0" borderId="211"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6" fillId="0" borderId="0" xfId="0" applyFont="1" applyAlignment="1">
      <alignment horizontal="left" vertical="top" wrapText="1"/>
    </xf>
    <xf numFmtId="0" fontId="54" fillId="96" borderId="197" xfId="0" applyFont="1" applyFill="1" applyBorder="1" applyAlignment="1">
      <alignment horizontal="center"/>
    </xf>
    <xf numFmtId="0" fontId="54" fillId="96" borderId="180" xfId="0" applyFont="1" applyFill="1" applyBorder="1" applyAlignment="1">
      <alignment horizontal="center"/>
    </xf>
    <xf numFmtId="0" fontId="54" fillId="96" borderId="203" xfId="0" applyFont="1" applyFill="1" applyBorder="1" applyAlignment="1">
      <alignment horizontal="center"/>
    </xf>
    <xf numFmtId="0" fontId="51" fillId="0" borderId="0" xfId="0" applyFont="1" applyAlignment="1">
      <alignment horizontal="left"/>
    </xf>
    <xf numFmtId="0" fontId="54" fillId="96" borderId="203" xfId="0" applyFont="1" applyFill="1" applyBorder="1" applyAlignment="1">
      <alignment horizontal="center" vertical="center" wrapText="1"/>
    </xf>
    <xf numFmtId="0" fontId="54" fillId="96" borderId="180" xfId="0" applyFont="1" applyFill="1" applyBorder="1" applyAlignment="1">
      <alignment horizontal="center" vertical="center" wrapText="1"/>
    </xf>
    <xf numFmtId="0" fontId="3" fillId="100" borderId="35" xfId="25" applyFont="1" applyFill="1" applyBorder="1" applyAlignment="1">
      <alignment horizontal="center" vertical="center" wrapText="1"/>
    </xf>
    <xf numFmtId="0" fontId="3" fillId="100" borderId="36" xfId="25" applyFont="1" applyFill="1" applyBorder="1" applyAlignment="1">
      <alignment horizontal="center" vertical="center" wrapText="1"/>
    </xf>
    <xf numFmtId="0" fontId="3" fillId="100" borderId="16" xfId="25" applyFont="1" applyFill="1" applyBorder="1" applyAlignment="1">
      <alignment horizontal="center" vertical="center" wrapText="1"/>
    </xf>
    <xf numFmtId="0" fontId="56" fillId="100" borderId="35" xfId="25" applyFont="1" applyFill="1" applyBorder="1" applyAlignment="1">
      <alignment horizontal="center" wrapText="1"/>
    </xf>
    <xf numFmtId="0" fontId="56" fillId="100" borderId="36" xfId="25" applyFont="1" applyFill="1" applyBorder="1" applyAlignment="1">
      <alignment horizontal="center" wrapText="1"/>
    </xf>
    <xf numFmtId="0" fontId="56" fillId="100" borderId="16" xfId="25" applyFont="1" applyFill="1" applyBorder="1" applyAlignment="1">
      <alignment horizontal="center" wrapText="1"/>
    </xf>
    <xf numFmtId="0" fontId="3" fillId="100" borderId="35" xfId="0" applyFont="1" applyFill="1" applyBorder="1" applyAlignment="1">
      <alignment horizontal="center" vertical="center" wrapText="1"/>
    </xf>
    <xf numFmtId="0" fontId="3" fillId="100" borderId="16" xfId="0" applyFont="1" applyFill="1" applyBorder="1" applyAlignment="1">
      <alignment horizontal="center" vertical="center" wrapText="1"/>
    </xf>
    <xf numFmtId="0" fontId="3" fillId="100" borderId="36" xfId="0" applyFont="1" applyFill="1" applyBorder="1" applyAlignment="1">
      <alignment horizontal="center" vertical="center" wrapText="1"/>
    </xf>
    <xf numFmtId="0" fontId="54" fillId="96" borderId="49" xfId="0" applyFont="1" applyFill="1" applyBorder="1" applyAlignment="1">
      <alignment horizontal="center" vertical="center"/>
    </xf>
    <xf numFmtId="0" fontId="54" fillId="96" borderId="48" xfId="0" applyFont="1" applyFill="1" applyBorder="1" applyAlignment="1">
      <alignment horizontal="center" vertical="center"/>
    </xf>
    <xf numFmtId="0" fontId="3" fillId="100" borderId="35" xfId="25" applyFont="1" applyFill="1" applyBorder="1" applyAlignment="1">
      <alignment horizontal="center" vertical="center"/>
    </xf>
    <xf numFmtId="0" fontId="3" fillId="100" borderId="36" xfId="25" applyFont="1" applyFill="1" applyBorder="1" applyAlignment="1">
      <alignment horizontal="center" vertical="center"/>
    </xf>
    <xf numFmtId="0" fontId="3" fillId="100" borderId="16" xfId="25" applyFont="1" applyFill="1" applyBorder="1" applyAlignment="1">
      <alignment horizontal="center" vertical="center"/>
    </xf>
    <xf numFmtId="0" fontId="3" fillId="100" borderId="31" xfId="0" applyFont="1" applyFill="1" applyBorder="1" applyAlignment="1">
      <alignment horizontal="center" wrapText="1"/>
    </xf>
    <xf numFmtId="0" fontId="3" fillId="100" borderId="11" xfId="0" applyFont="1" applyFill="1" applyBorder="1" applyAlignment="1">
      <alignment horizontal="center" wrapText="1"/>
    </xf>
    <xf numFmtId="0" fontId="3" fillId="100" borderId="12" xfId="0" applyFont="1" applyFill="1" applyBorder="1" applyAlignment="1">
      <alignment horizontal="center" wrapText="1"/>
    </xf>
    <xf numFmtId="0" fontId="3" fillId="100" borderId="31" xfId="0" applyFont="1" applyFill="1" applyBorder="1" applyAlignment="1">
      <alignment horizontal="center" vertical="center" wrapText="1"/>
    </xf>
    <xf numFmtId="0" fontId="3" fillId="100" borderId="11" xfId="0" applyFont="1" applyFill="1" applyBorder="1" applyAlignment="1">
      <alignment horizontal="center" vertical="center" wrapText="1"/>
    </xf>
    <xf numFmtId="0" fontId="3" fillId="100" borderId="12" xfId="0" applyFont="1" applyFill="1" applyBorder="1" applyAlignment="1">
      <alignment horizontal="center" vertical="center" wrapText="1"/>
    </xf>
    <xf numFmtId="0" fontId="3" fillId="100" borderId="45" xfId="25" applyFont="1" applyFill="1" applyBorder="1" applyAlignment="1">
      <alignment horizontal="center" vertical="center"/>
    </xf>
    <xf numFmtId="0" fontId="54" fillId="96" borderId="49" xfId="0" applyFont="1" applyFill="1" applyBorder="1" applyAlignment="1">
      <alignment horizontal="center"/>
    </xf>
    <xf numFmtId="0" fontId="54" fillId="96" borderId="48" xfId="0" applyFont="1" applyFill="1" applyBorder="1" applyAlignment="1">
      <alignment horizontal="center"/>
    </xf>
    <xf numFmtId="0" fontId="3" fillId="100" borderId="152" xfId="0" applyFont="1" applyFill="1" applyBorder="1" applyAlignment="1">
      <alignment horizontal="center" vertical="center" wrapText="1"/>
    </xf>
    <xf numFmtId="0" fontId="3" fillId="100" borderId="42" xfId="0" applyFont="1" applyFill="1" applyBorder="1" applyAlignment="1">
      <alignment horizontal="center" vertical="center" wrapText="1"/>
    </xf>
    <xf numFmtId="0" fontId="3" fillId="100" borderId="153" xfId="0" applyFont="1" applyFill="1" applyBorder="1" applyAlignment="1">
      <alignment horizontal="center" vertical="center" wrapText="1"/>
    </xf>
    <xf numFmtId="0" fontId="3" fillId="0" borderId="74" xfId="25" applyFont="1" applyBorder="1" applyAlignment="1">
      <alignment horizontal="right"/>
    </xf>
    <xf numFmtId="0" fontId="3" fillId="0" borderId="0" xfId="25" applyFont="1" applyAlignment="1">
      <alignment horizontal="right"/>
    </xf>
    <xf numFmtId="0" fontId="173" fillId="96" borderId="31" xfId="25" applyFont="1" applyFill="1" applyBorder="1" applyAlignment="1">
      <alignment horizontal="left"/>
    </xf>
    <xf numFmtId="0" fontId="173" fillId="96" borderId="11" xfId="25" applyFont="1" applyFill="1" applyBorder="1" applyAlignment="1">
      <alignment horizontal="left"/>
    </xf>
    <xf numFmtId="0" fontId="173" fillId="96" borderId="12" xfId="25" applyFont="1" applyFill="1" applyBorder="1" applyAlignment="1">
      <alignment horizontal="left"/>
    </xf>
    <xf numFmtId="0" fontId="54" fillId="96" borderId="31" xfId="0" applyFont="1" applyFill="1" applyBorder="1" applyAlignment="1">
      <alignment horizontal="center"/>
    </xf>
    <xf numFmtId="0" fontId="54" fillId="96" borderId="12" xfId="0" applyFont="1" applyFill="1" applyBorder="1" applyAlignment="1">
      <alignment horizontal="center"/>
    </xf>
    <xf numFmtId="0" fontId="3" fillId="100" borderId="53" xfId="0" applyFont="1" applyFill="1" applyBorder="1" applyAlignment="1">
      <alignment horizontal="center" vertical="center" wrapText="1"/>
    </xf>
    <xf numFmtId="0" fontId="3" fillId="100" borderId="46" xfId="0" applyFont="1" applyFill="1" applyBorder="1" applyAlignment="1">
      <alignment horizontal="center" vertical="center" wrapText="1"/>
    </xf>
    <xf numFmtId="0" fontId="3" fillId="100" borderId="154" xfId="0" applyFont="1" applyFill="1" applyBorder="1" applyAlignment="1">
      <alignment horizontal="center" vertical="center" wrapText="1"/>
    </xf>
    <xf numFmtId="0" fontId="3" fillId="100" borderId="159" xfId="0" applyFont="1" applyFill="1" applyBorder="1" applyAlignment="1">
      <alignment horizontal="center" vertical="center" wrapText="1"/>
    </xf>
    <xf numFmtId="0" fontId="3" fillId="100" borderId="160" xfId="0" applyFont="1" applyFill="1" applyBorder="1" applyAlignment="1">
      <alignment horizontal="center" vertical="center" wrapText="1"/>
    </xf>
    <xf numFmtId="0" fontId="3" fillId="100" borderId="161" xfId="0" applyFont="1" applyFill="1" applyBorder="1" applyAlignment="1">
      <alignment horizontal="center" vertical="center" wrapText="1"/>
    </xf>
    <xf numFmtId="0" fontId="3" fillId="100" borderId="47" xfId="0" applyFont="1" applyFill="1" applyBorder="1" applyAlignment="1">
      <alignment horizontal="center" vertical="center" wrapText="1"/>
    </xf>
    <xf numFmtId="0" fontId="3" fillId="100" borderId="51" xfId="0" applyFont="1" applyFill="1" applyBorder="1" applyAlignment="1">
      <alignment horizontal="center" vertical="center" wrapText="1"/>
    </xf>
    <xf numFmtId="0" fontId="3" fillId="100" borderId="14" xfId="0" applyFont="1" applyFill="1" applyBorder="1" applyAlignment="1">
      <alignment horizontal="center" vertical="center" wrapText="1"/>
    </xf>
    <xf numFmtId="0" fontId="3" fillId="100" borderId="74" xfId="0" applyFont="1" applyFill="1" applyBorder="1" applyAlignment="1">
      <alignment horizontal="center" vertical="center" wrapText="1"/>
    </xf>
    <xf numFmtId="0" fontId="26" fillId="100" borderId="35" xfId="25" applyFont="1" applyFill="1" applyBorder="1" applyAlignment="1">
      <alignment horizontal="center" vertical="center" wrapText="1"/>
    </xf>
    <xf numFmtId="0" fontId="26" fillId="100" borderId="36" xfId="25" applyFont="1" applyFill="1" applyBorder="1" applyAlignment="1">
      <alignment horizontal="center" vertical="center" wrapText="1"/>
    </xf>
    <xf numFmtId="0" fontId="26" fillId="100" borderId="16" xfId="25" applyFont="1" applyFill="1" applyBorder="1" applyAlignment="1">
      <alignment horizontal="center" vertical="center" wrapText="1"/>
    </xf>
    <xf numFmtId="0" fontId="54" fillId="96" borderId="31" xfId="0" applyFont="1" applyFill="1" applyBorder="1" applyAlignment="1">
      <alignment horizontal="center" vertical="center"/>
    </xf>
    <xf numFmtId="0" fontId="54" fillId="96" borderId="11" xfId="0" applyFont="1" applyFill="1" applyBorder="1" applyAlignment="1">
      <alignment horizontal="center" vertical="center"/>
    </xf>
    <xf numFmtId="0" fontId="54" fillId="96" borderId="12" xfId="0" applyFont="1" applyFill="1" applyBorder="1" applyAlignment="1">
      <alignment horizontal="center" vertical="center"/>
    </xf>
    <xf numFmtId="0" fontId="26" fillId="100" borderId="45" xfId="25" applyFont="1" applyFill="1" applyBorder="1" applyAlignment="1">
      <alignment horizontal="center" vertical="center" wrapText="1"/>
    </xf>
    <xf numFmtId="0" fontId="26" fillId="100" borderId="35" xfId="0" applyFont="1" applyFill="1" applyBorder="1" applyAlignment="1">
      <alignment horizontal="center" vertical="center" wrapText="1"/>
    </xf>
    <xf numFmtId="0" fontId="26" fillId="100" borderId="36" xfId="0" applyFont="1" applyFill="1" applyBorder="1" applyAlignment="1">
      <alignment horizontal="center" vertical="center" wrapText="1"/>
    </xf>
    <xf numFmtId="0" fontId="26" fillId="100" borderId="16" xfId="0" applyFont="1" applyFill="1" applyBorder="1" applyAlignment="1">
      <alignment horizontal="center" vertical="center" wrapText="1"/>
    </xf>
    <xf numFmtId="0" fontId="26" fillId="100" borderId="31" xfId="0" applyFont="1" applyFill="1" applyBorder="1" applyAlignment="1">
      <alignment horizontal="center" wrapText="1"/>
    </xf>
    <xf numFmtId="0" fontId="26" fillId="100" borderId="11" xfId="0" applyFont="1" applyFill="1" applyBorder="1" applyAlignment="1">
      <alignment horizontal="center" wrapText="1"/>
    </xf>
    <xf numFmtId="0" fontId="26" fillId="100" borderId="12" xfId="0" applyFont="1" applyFill="1" applyBorder="1" applyAlignment="1">
      <alignment horizontal="center" wrapText="1"/>
    </xf>
    <xf numFmtId="0" fontId="26" fillId="100" borderId="31" xfId="0" applyFont="1" applyFill="1" applyBorder="1" applyAlignment="1">
      <alignment horizontal="center" vertical="center" wrapText="1"/>
    </xf>
    <xf numFmtId="0" fontId="26" fillId="100" borderId="11" xfId="0" applyFont="1" applyFill="1" applyBorder="1" applyAlignment="1">
      <alignment horizontal="center" vertical="center" wrapText="1"/>
    </xf>
    <xf numFmtId="0" fontId="26" fillId="100" borderId="12" xfId="0" applyFont="1" applyFill="1" applyBorder="1" applyAlignment="1">
      <alignment horizontal="center" vertical="center" wrapText="1"/>
    </xf>
    <xf numFmtId="0" fontId="3" fillId="100" borderId="19" xfId="25" applyFont="1" applyFill="1" applyBorder="1" applyAlignment="1">
      <alignment horizontal="center" vertical="center"/>
    </xf>
    <xf numFmtId="0" fontId="3" fillId="100" borderId="53" xfId="25" applyFont="1" applyFill="1" applyBorder="1" applyAlignment="1">
      <alignment horizontal="center" vertical="center"/>
    </xf>
    <xf numFmtId="0" fontId="54" fillId="96" borderId="43" xfId="0" applyFont="1" applyFill="1" applyBorder="1" applyAlignment="1">
      <alignment horizontal="center"/>
    </xf>
    <xf numFmtId="0" fontId="3" fillId="100" borderId="13" xfId="0" applyFont="1" applyFill="1" applyBorder="1" applyAlignment="1">
      <alignment horizontal="center" vertical="center" wrapText="1"/>
    </xf>
    <xf numFmtId="0" fontId="3" fillId="100" borderId="31" xfId="0" applyFont="1" applyFill="1" applyBorder="1" applyAlignment="1">
      <alignment horizontal="center" vertical="center"/>
    </xf>
    <xf numFmtId="0" fontId="3" fillId="100" borderId="11" xfId="0" applyFont="1" applyFill="1" applyBorder="1" applyAlignment="1">
      <alignment horizontal="center" vertical="center"/>
    </xf>
    <xf numFmtId="0" fontId="3" fillId="100" borderId="12" xfId="0" applyFont="1" applyFill="1" applyBorder="1" applyAlignment="1">
      <alignment horizontal="center" vertical="center"/>
    </xf>
    <xf numFmtId="0" fontId="3" fillId="100" borderId="42" xfId="25" applyFont="1" applyFill="1" applyBorder="1" applyAlignment="1">
      <alignment horizontal="center" vertical="center"/>
    </xf>
    <xf numFmtId="0" fontId="139" fillId="0" borderId="0" xfId="25" applyFont="1" applyAlignment="1">
      <alignment horizontal="center"/>
    </xf>
    <xf numFmtId="0" fontId="3" fillId="0" borderId="74" xfId="25" applyFont="1" applyBorder="1" applyAlignment="1">
      <alignment horizontal="right" wrapText="1"/>
    </xf>
    <xf numFmtId="0" fontId="163" fillId="0" borderId="0" xfId="25" applyFont="1" applyAlignment="1">
      <alignment horizontal="center"/>
    </xf>
    <xf numFmtId="0" fontId="54" fillId="96" borderId="31" xfId="0" applyFont="1" applyFill="1" applyBorder="1" applyAlignment="1">
      <alignment horizontal="left" vertical="center" wrapText="1"/>
    </xf>
    <xf numFmtId="0" fontId="54" fillId="96" borderId="12" xfId="0" applyFont="1" applyFill="1" applyBorder="1" applyAlignment="1">
      <alignment horizontal="left" vertical="center" wrapText="1"/>
    </xf>
    <xf numFmtId="0" fontId="27" fillId="100" borderId="35" xfId="0" applyFont="1" applyFill="1" applyBorder="1" applyAlignment="1">
      <alignment horizontal="center" vertical="center" wrapText="1"/>
    </xf>
    <xf numFmtId="0" fontId="27" fillId="100" borderId="36" xfId="0" applyFont="1" applyFill="1" applyBorder="1" applyAlignment="1">
      <alignment horizontal="center" vertical="center" wrapText="1"/>
    </xf>
    <xf numFmtId="0" fontId="27" fillId="100" borderId="16" xfId="0" applyFont="1" applyFill="1" applyBorder="1" applyAlignment="1">
      <alignment horizontal="center" vertical="center" wrapText="1"/>
    </xf>
    <xf numFmtId="0" fontId="3" fillId="100" borderId="19" xfId="0" applyFont="1" applyFill="1" applyBorder="1" applyAlignment="1">
      <alignment horizontal="center" vertical="center" wrapText="1"/>
    </xf>
    <xf numFmtId="0" fontId="46" fillId="0" borderId="0" xfId="0" applyFont="1" applyAlignment="1">
      <alignment horizontal="left" vertical="center" wrapText="1"/>
    </xf>
    <xf numFmtId="0" fontId="54" fillId="96" borderId="31" xfId="0" applyFont="1" applyFill="1" applyBorder="1" applyAlignment="1">
      <alignment horizontal="left" vertical="center"/>
    </xf>
    <xf numFmtId="0" fontId="54" fillId="96" borderId="12" xfId="0" applyFont="1" applyFill="1" applyBorder="1" applyAlignment="1">
      <alignment horizontal="left" vertical="center"/>
    </xf>
    <xf numFmtId="0" fontId="27" fillId="100" borderId="19" xfId="0" applyFont="1" applyFill="1" applyBorder="1" applyAlignment="1">
      <alignment horizontal="center" vertical="center" wrapText="1"/>
    </xf>
    <xf numFmtId="0" fontId="27" fillId="100" borderId="53" xfId="0" applyFont="1" applyFill="1" applyBorder="1" applyAlignment="1">
      <alignment horizontal="center" vertical="center" wrapText="1"/>
    </xf>
    <xf numFmtId="0" fontId="60" fillId="0" borderId="0" xfId="0" applyFont="1" applyAlignment="1">
      <alignment horizontal="left" vertical="center"/>
    </xf>
    <xf numFmtId="0" fontId="3" fillId="0" borderId="0" xfId="0" applyFont="1" applyAlignment="1">
      <alignment horizontal="left" vertical="center"/>
    </xf>
    <xf numFmtId="0" fontId="27" fillId="100" borderId="42" xfId="0" applyFont="1" applyFill="1" applyBorder="1" applyAlignment="1">
      <alignment horizontal="center" vertical="center" wrapText="1"/>
    </xf>
    <xf numFmtId="0" fontId="26" fillId="100" borderId="47" xfId="0" applyFont="1" applyFill="1" applyBorder="1" applyAlignment="1">
      <alignment horizontal="center" vertical="center" wrapText="1"/>
    </xf>
    <xf numFmtId="0" fontId="26" fillId="100" borderId="51" xfId="0" applyFont="1" applyFill="1" applyBorder="1" applyAlignment="1">
      <alignment horizontal="center" vertical="center" wrapText="1"/>
    </xf>
    <xf numFmtId="0" fontId="26" fillId="100" borderId="14" xfId="0" applyFont="1" applyFill="1" applyBorder="1" applyAlignment="1">
      <alignment horizontal="center" vertical="center" wrapText="1"/>
    </xf>
    <xf numFmtId="0" fontId="154" fillId="0" borderId="0" xfId="0" applyFont="1" applyAlignment="1">
      <alignment horizontal="left" vertical="center" wrapText="1"/>
    </xf>
    <xf numFmtId="0" fontId="3" fillId="100" borderId="0" xfId="0" applyFont="1" applyFill="1" applyAlignment="1">
      <alignment horizontal="center" vertical="center" wrapText="1"/>
    </xf>
    <xf numFmtId="0" fontId="2" fillId="100" borderId="18" xfId="0" applyFont="1" applyFill="1" applyBorder="1" applyAlignment="1">
      <alignment horizontal="center" vertical="center" wrapText="1"/>
    </xf>
    <xf numFmtId="0" fontId="2" fillId="100" borderId="215" xfId="0" applyFont="1" applyFill="1" applyBorder="1" applyAlignment="1">
      <alignment horizontal="center" vertical="center" wrapText="1"/>
    </xf>
    <xf numFmtId="0" fontId="2" fillId="100" borderId="21" xfId="0" applyFont="1" applyFill="1" applyBorder="1" applyAlignment="1">
      <alignment horizontal="center" vertical="center" wrapText="1"/>
    </xf>
    <xf numFmtId="0" fontId="3" fillId="100" borderId="79" xfId="0" applyFont="1" applyFill="1" applyBorder="1" applyAlignment="1">
      <alignment horizontal="center" vertical="center"/>
    </xf>
    <xf numFmtId="0" fontId="3" fillId="100" borderId="77" xfId="0" applyFont="1" applyFill="1" applyBorder="1" applyAlignment="1">
      <alignment horizontal="center" vertical="center"/>
    </xf>
    <xf numFmtId="0" fontId="3" fillId="100" borderId="78" xfId="0" applyFont="1" applyFill="1" applyBorder="1" applyAlignment="1">
      <alignment horizontal="center" vertical="center"/>
    </xf>
    <xf numFmtId="0" fontId="3" fillId="100" borderId="18" xfId="0" applyFont="1" applyFill="1" applyBorder="1" applyAlignment="1">
      <alignment horizontal="center" vertical="center"/>
    </xf>
    <xf numFmtId="0" fontId="3" fillId="100" borderId="21" xfId="0" applyFont="1" applyFill="1" applyBorder="1" applyAlignment="1">
      <alignment horizontal="center" vertical="center"/>
    </xf>
    <xf numFmtId="0" fontId="3" fillId="100" borderId="49" xfId="0" applyFont="1" applyFill="1" applyBorder="1" applyAlignment="1">
      <alignment horizontal="center" vertical="center"/>
    </xf>
    <xf numFmtId="0" fontId="3" fillId="100" borderId="48" xfId="0" applyFont="1" applyFill="1" applyBorder="1" applyAlignment="1">
      <alignment horizontal="center" vertical="center"/>
    </xf>
    <xf numFmtId="0" fontId="3" fillId="100" borderId="35" xfId="0" applyFont="1" applyFill="1" applyBorder="1" applyAlignment="1">
      <alignment horizontal="center" vertical="center"/>
    </xf>
    <xf numFmtId="0" fontId="3" fillId="100" borderId="16" xfId="0" applyFont="1" applyFill="1" applyBorder="1" applyAlignment="1">
      <alignment horizontal="center" vertical="center"/>
    </xf>
    <xf numFmtId="165" fontId="3" fillId="100" borderId="18" xfId="1" applyNumberFormat="1" applyFont="1" applyFill="1" applyBorder="1" applyAlignment="1">
      <alignment horizontal="center" vertical="center" wrapText="1"/>
    </xf>
    <xf numFmtId="165" fontId="3" fillId="100" borderId="21" xfId="1" applyNumberFormat="1" applyFont="1" applyFill="1" applyBorder="1" applyAlignment="1">
      <alignment horizontal="center" vertical="center" wrapText="1"/>
    </xf>
    <xf numFmtId="165" fontId="3" fillId="100" borderId="18" xfId="1" applyNumberFormat="1" applyFont="1" applyFill="1" applyBorder="1" applyAlignment="1">
      <alignment horizontal="center" vertical="center"/>
    </xf>
    <xf numFmtId="165" fontId="3" fillId="100" borderId="21" xfId="1" applyNumberFormat="1" applyFont="1" applyFill="1" applyBorder="1" applyAlignment="1">
      <alignment horizontal="center" vertical="center"/>
    </xf>
    <xf numFmtId="165" fontId="3" fillId="0" borderId="0" xfId="1" applyNumberFormat="1" applyFont="1" applyFill="1" applyBorder="1" applyAlignment="1">
      <alignment horizontal="center" vertical="center"/>
    </xf>
    <xf numFmtId="0" fontId="3" fillId="100" borderId="52" xfId="0" applyFont="1" applyFill="1" applyBorder="1" applyAlignment="1">
      <alignment horizontal="center" vertical="center"/>
    </xf>
    <xf numFmtId="0" fontId="3" fillId="100" borderId="43" xfId="0" applyFont="1" applyFill="1" applyBorder="1" applyAlignment="1">
      <alignment horizontal="center" vertical="center"/>
    </xf>
    <xf numFmtId="0" fontId="3" fillId="100" borderId="32" xfId="0" applyFont="1" applyFill="1" applyBorder="1" applyAlignment="1">
      <alignment horizontal="center" vertical="center"/>
    </xf>
    <xf numFmtId="0" fontId="3" fillId="100" borderId="141" xfId="0" applyFont="1" applyFill="1" applyBorder="1" applyAlignment="1">
      <alignment horizontal="center" vertical="center"/>
    </xf>
    <xf numFmtId="0" fontId="3" fillId="100" borderId="42" xfId="0" applyFont="1" applyFill="1" applyBorder="1" applyAlignment="1">
      <alignment horizontal="center" vertical="center"/>
    </xf>
    <xf numFmtId="0" fontId="3" fillId="100" borderId="19" xfId="0" applyFont="1" applyFill="1" applyBorder="1" applyAlignment="1">
      <alignment horizontal="center" vertical="center"/>
    </xf>
    <xf numFmtId="0" fontId="3" fillId="30" borderId="35" xfId="0" applyFont="1" applyFill="1" applyBorder="1" applyAlignment="1">
      <alignment horizontal="center" vertical="center" wrapText="1"/>
    </xf>
    <xf numFmtId="0" fontId="3" fillId="30" borderId="36" xfId="0" applyFont="1" applyFill="1" applyBorder="1" applyAlignment="1">
      <alignment horizontal="center" vertical="center" wrapText="1"/>
    </xf>
    <xf numFmtId="0" fontId="3" fillId="30" borderId="16" xfId="0" applyFont="1" applyFill="1" applyBorder="1" applyAlignment="1">
      <alignment horizontal="center" vertical="center" wrapText="1"/>
    </xf>
    <xf numFmtId="0" fontId="3" fillId="30" borderId="49" xfId="0" applyFont="1" applyFill="1" applyBorder="1" applyAlignment="1">
      <alignment horizontal="center" vertical="center"/>
    </xf>
    <xf numFmtId="0" fontId="3" fillId="30" borderId="52" xfId="0" applyFont="1" applyFill="1" applyBorder="1" applyAlignment="1">
      <alignment horizontal="center" vertical="center"/>
    </xf>
    <xf numFmtId="0" fontId="3" fillId="30" borderId="48" xfId="0" applyFont="1" applyFill="1" applyBorder="1" applyAlignment="1">
      <alignment horizontal="center" vertical="center"/>
    </xf>
    <xf numFmtId="0" fontId="3" fillId="30" borderId="18" xfId="0" applyFont="1" applyFill="1" applyBorder="1" applyAlignment="1">
      <alignment horizontal="center" vertical="center"/>
    </xf>
    <xf numFmtId="0" fontId="3" fillId="30" borderId="21" xfId="0" applyFont="1" applyFill="1" applyBorder="1" applyAlignment="1">
      <alignment horizontal="center" vertical="center"/>
    </xf>
    <xf numFmtId="0" fontId="3" fillId="30" borderId="35" xfId="0" applyFont="1" applyFill="1" applyBorder="1" applyAlignment="1">
      <alignment horizontal="center" vertical="center"/>
    </xf>
    <xf numFmtId="0" fontId="3" fillId="30" borderId="16" xfId="0" applyFont="1" applyFill="1" applyBorder="1" applyAlignment="1">
      <alignment horizontal="center" vertical="center"/>
    </xf>
    <xf numFmtId="0" fontId="3" fillId="100" borderId="53" xfId="0" applyFont="1" applyFill="1" applyBorder="1" applyAlignment="1">
      <alignment horizontal="center" vertical="center"/>
    </xf>
    <xf numFmtId="0" fontId="3" fillId="100" borderId="33" xfId="0" applyFont="1" applyFill="1" applyBorder="1" applyAlignment="1">
      <alignment horizontal="center" vertical="center"/>
    </xf>
    <xf numFmtId="0" fontId="3" fillId="100" borderId="44" xfId="0" applyFont="1" applyFill="1" applyBorder="1" applyAlignment="1">
      <alignment horizontal="center" vertical="center"/>
    </xf>
    <xf numFmtId="0" fontId="3" fillId="100" borderId="46" xfId="0" applyFont="1" applyFill="1" applyBorder="1" applyAlignment="1">
      <alignment horizontal="center" vertical="center"/>
    </xf>
    <xf numFmtId="0" fontId="3" fillId="100" borderId="74" xfId="0" applyFont="1" applyFill="1" applyBorder="1" applyAlignment="1">
      <alignment horizontal="center" vertical="center"/>
    </xf>
    <xf numFmtId="0" fontId="3" fillId="100" borderId="130" xfId="0" applyFont="1" applyFill="1" applyBorder="1" applyAlignment="1">
      <alignment horizontal="center" vertical="center"/>
    </xf>
    <xf numFmtId="0" fontId="3" fillId="100" borderId="20" xfId="0" applyFont="1" applyFill="1" applyBorder="1" applyAlignment="1">
      <alignment horizontal="center" vertical="center"/>
    </xf>
    <xf numFmtId="165" fontId="3" fillId="100" borderId="32" xfId="1" applyNumberFormat="1" applyFont="1" applyFill="1" applyBorder="1" applyAlignment="1">
      <alignment horizontal="center" vertical="center"/>
    </xf>
    <xf numFmtId="165" fontId="3" fillId="100" borderId="141" xfId="1" applyNumberFormat="1" applyFont="1" applyFill="1" applyBorder="1" applyAlignment="1">
      <alignment horizontal="center" vertical="center"/>
    </xf>
    <xf numFmtId="0" fontId="3" fillId="100" borderId="50" xfId="0" applyFont="1" applyFill="1" applyBorder="1" applyAlignment="1">
      <alignment horizontal="center" vertical="center"/>
    </xf>
    <xf numFmtId="0" fontId="3" fillId="100" borderId="131" xfId="0" applyFont="1" applyFill="1" applyBorder="1" applyAlignment="1">
      <alignment horizontal="center" vertical="center"/>
    </xf>
    <xf numFmtId="0" fontId="3" fillId="100" borderId="132" xfId="0" applyFont="1" applyFill="1" applyBorder="1" applyAlignment="1">
      <alignment horizontal="center" vertical="center"/>
    </xf>
    <xf numFmtId="0" fontId="3" fillId="100" borderId="51" xfId="0" applyFont="1" applyFill="1" applyBorder="1" applyAlignment="1">
      <alignment horizontal="center" vertical="center"/>
    </xf>
    <xf numFmtId="0" fontId="3" fillId="100" borderId="14" xfId="0" applyFont="1" applyFill="1" applyBorder="1" applyAlignment="1">
      <alignment horizontal="center" vertical="center"/>
    </xf>
    <xf numFmtId="0" fontId="3" fillId="100" borderId="45" xfId="0" applyFont="1" applyFill="1" applyBorder="1" applyAlignment="1">
      <alignment horizontal="center" vertical="center"/>
    </xf>
    <xf numFmtId="0" fontId="3" fillId="0" borderId="0" xfId="0" applyFont="1" applyAlignment="1">
      <alignment horizontal="center" vertical="center"/>
    </xf>
    <xf numFmtId="0" fontId="26" fillId="100" borderId="18" xfId="0" applyFont="1" applyFill="1" applyBorder="1" applyAlignment="1">
      <alignment horizontal="center" vertical="center"/>
    </xf>
    <xf numFmtId="0" fontId="26" fillId="100" borderId="218" xfId="0" applyFont="1" applyFill="1" applyBorder="1" applyAlignment="1">
      <alignment horizontal="center" vertical="center"/>
    </xf>
    <xf numFmtId="0" fontId="26" fillId="100" borderId="21" xfId="0" applyFont="1" applyFill="1" applyBorder="1" applyAlignment="1">
      <alignment horizontal="center" vertical="center"/>
    </xf>
    <xf numFmtId="0" fontId="26" fillId="100" borderId="11" xfId="0" applyFont="1" applyFill="1" applyBorder="1" applyAlignment="1">
      <alignment horizontal="center" vertical="center"/>
    </xf>
    <xf numFmtId="0" fontId="26" fillId="100" borderId="12" xfId="0" applyFont="1" applyFill="1" applyBorder="1" applyAlignment="1">
      <alignment horizontal="center" vertical="center"/>
    </xf>
    <xf numFmtId="0" fontId="26" fillId="100" borderId="35" xfId="0" applyFont="1" applyFill="1" applyBorder="1" applyAlignment="1">
      <alignment horizontal="center" vertical="center"/>
    </xf>
    <xf numFmtId="0" fontId="26" fillId="100" borderId="16" xfId="0" applyFont="1" applyFill="1" applyBorder="1" applyAlignment="1">
      <alignment horizontal="center" vertical="center"/>
    </xf>
    <xf numFmtId="165" fontId="26" fillId="100" borderId="18" xfId="1" applyNumberFormat="1" applyFont="1" applyFill="1" applyBorder="1" applyAlignment="1">
      <alignment horizontal="center" vertical="center" wrapText="1"/>
    </xf>
    <xf numFmtId="165" fontId="26" fillId="100" borderId="21" xfId="1" applyNumberFormat="1" applyFont="1" applyFill="1" applyBorder="1" applyAlignment="1">
      <alignment horizontal="center" vertical="center" wrapText="1"/>
    </xf>
    <xf numFmtId="165" fontId="26" fillId="100" borderId="18" xfId="1" applyNumberFormat="1" applyFont="1" applyFill="1" applyBorder="1" applyAlignment="1">
      <alignment horizontal="center" vertical="center"/>
    </xf>
    <xf numFmtId="165" fontId="26" fillId="100" borderId="21" xfId="1" applyNumberFormat="1" applyFont="1" applyFill="1" applyBorder="1" applyAlignment="1">
      <alignment horizontal="center" vertical="center"/>
    </xf>
    <xf numFmtId="0" fontId="26" fillId="0" borderId="74" xfId="25" applyFont="1" applyBorder="1" applyAlignment="1">
      <alignment horizontal="right" vertical="center"/>
    </xf>
    <xf numFmtId="0" fontId="26" fillId="0" borderId="0" xfId="25" applyFont="1" applyAlignment="1">
      <alignment horizontal="right" vertical="center"/>
    </xf>
    <xf numFmtId="165" fontId="3" fillId="100" borderId="35" xfId="7" applyNumberFormat="1" applyFont="1" applyFill="1" applyBorder="1" applyAlignment="1">
      <alignment horizontal="center" vertical="center" wrapText="1"/>
    </xf>
    <xf numFmtId="165" fontId="3" fillId="100" borderId="36" xfId="7" applyNumberFormat="1" applyFont="1" applyFill="1" applyBorder="1" applyAlignment="1">
      <alignment horizontal="center" vertical="center" wrapText="1"/>
    </xf>
    <xf numFmtId="165" fontId="3" fillId="100" borderId="16" xfId="7" applyNumberFormat="1" applyFont="1" applyFill="1" applyBorder="1" applyAlignment="1">
      <alignment horizontal="center" vertical="center" wrapText="1"/>
    </xf>
    <xf numFmtId="165" fontId="3" fillId="100" borderId="35" xfId="1" applyNumberFormat="1" applyFont="1" applyFill="1" applyBorder="1" applyAlignment="1">
      <alignment horizontal="center" vertical="center"/>
    </xf>
    <xf numFmtId="165" fontId="3" fillId="100" borderId="36" xfId="1" applyNumberFormat="1" applyFont="1" applyFill="1" applyBorder="1" applyAlignment="1">
      <alignment horizontal="center" vertical="center"/>
    </xf>
    <xf numFmtId="165" fontId="26" fillId="0" borderId="74" xfId="1" applyNumberFormat="1" applyFont="1" applyFill="1" applyBorder="1" applyAlignment="1">
      <alignment horizontal="right" vertical="center"/>
    </xf>
    <xf numFmtId="165" fontId="38" fillId="0" borderId="0" xfId="1" applyNumberFormat="1" applyFont="1" applyFill="1" applyBorder="1" applyAlignment="1">
      <alignment horizontal="center" vertical="center"/>
    </xf>
    <xf numFmtId="165" fontId="3" fillId="100" borderId="16" xfId="1" applyNumberFormat="1" applyFont="1" applyFill="1" applyBorder="1" applyAlignment="1">
      <alignment horizontal="center" vertical="center"/>
    </xf>
    <xf numFmtId="165" fontId="3" fillId="100" borderId="31" xfId="1" applyNumberFormat="1" applyFont="1" applyFill="1" applyBorder="1" applyAlignment="1">
      <alignment horizontal="center" vertical="center"/>
    </xf>
    <xf numFmtId="165" fontId="3" fillId="100" borderId="12" xfId="1" applyNumberFormat="1" applyFont="1" applyFill="1" applyBorder="1" applyAlignment="1">
      <alignment horizontal="center" vertical="center"/>
    </xf>
    <xf numFmtId="165" fontId="26" fillId="0" borderId="0" xfId="1" applyNumberFormat="1" applyFont="1" applyFill="1" applyBorder="1" applyAlignment="1">
      <alignment horizontal="right" vertical="center"/>
    </xf>
    <xf numFmtId="165" fontId="3" fillId="100" borderId="19" xfId="7" applyNumberFormat="1" applyFont="1" applyFill="1" applyBorder="1" applyAlignment="1">
      <alignment horizontal="center" vertical="center" wrapText="1"/>
    </xf>
    <xf numFmtId="165" fontId="3" fillId="100" borderId="53" xfId="7" applyNumberFormat="1" applyFont="1" applyFill="1" applyBorder="1" applyAlignment="1">
      <alignment horizontal="center" vertical="center" wrapText="1"/>
    </xf>
    <xf numFmtId="165" fontId="3" fillId="100" borderId="47" xfId="1" applyNumberFormat="1" applyFont="1" applyFill="1" applyBorder="1" applyAlignment="1">
      <alignment horizontal="center" vertical="center"/>
    </xf>
    <xf numFmtId="165" fontId="3" fillId="100" borderId="74" xfId="1" applyNumberFormat="1" applyFont="1" applyFill="1" applyBorder="1" applyAlignment="1">
      <alignment horizontal="center" vertical="center"/>
    </xf>
    <xf numFmtId="165" fontId="3" fillId="100" borderId="11" xfId="1" applyNumberFormat="1" applyFont="1" applyFill="1" applyBorder="1" applyAlignment="1">
      <alignment horizontal="center" vertical="center"/>
    </xf>
    <xf numFmtId="165" fontId="3" fillId="100" borderId="46" xfId="1" applyNumberFormat="1" applyFont="1" applyFill="1" applyBorder="1" applyAlignment="1">
      <alignment horizontal="center" vertical="center"/>
    </xf>
    <xf numFmtId="165" fontId="3" fillId="100" borderId="42" xfId="7" applyNumberFormat="1" applyFont="1" applyFill="1" applyBorder="1" applyAlignment="1">
      <alignment horizontal="center" vertical="center" wrapText="1"/>
    </xf>
    <xf numFmtId="165" fontId="3" fillId="100" borderId="19" xfId="1" applyNumberFormat="1" applyFont="1" applyFill="1" applyBorder="1" applyAlignment="1">
      <alignment horizontal="center" vertical="center"/>
    </xf>
    <xf numFmtId="165" fontId="3" fillId="100" borderId="53" xfId="1" applyNumberFormat="1" applyFont="1" applyFill="1" applyBorder="1" applyAlignment="1">
      <alignment horizontal="center" vertical="center"/>
    </xf>
    <xf numFmtId="165" fontId="3" fillId="100" borderId="0" xfId="1" applyNumberFormat="1" applyFont="1" applyFill="1" applyBorder="1" applyAlignment="1">
      <alignment horizontal="center" vertical="center"/>
    </xf>
    <xf numFmtId="0" fontId="27" fillId="100" borderId="35" xfId="0" applyFont="1" applyFill="1" applyBorder="1" applyAlignment="1">
      <alignment horizontal="center" vertical="center"/>
    </xf>
    <xf numFmtId="0" fontId="27" fillId="100" borderId="19" xfId="0" applyFont="1" applyFill="1" applyBorder="1" applyAlignment="1">
      <alignment horizontal="center" vertical="center"/>
    </xf>
    <xf numFmtId="0" fontId="27" fillId="100" borderId="53" xfId="0" applyFont="1" applyFill="1" applyBorder="1" applyAlignment="1">
      <alignment horizontal="center" vertical="center"/>
    </xf>
    <xf numFmtId="165" fontId="3" fillId="100" borderId="33" xfId="1" applyNumberFormat="1" applyFont="1" applyFill="1" applyBorder="1" applyAlignment="1">
      <alignment horizontal="center" vertical="center"/>
    </xf>
    <xf numFmtId="165" fontId="3" fillId="100" borderId="49" xfId="1" applyNumberFormat="1" applyFont="1" applyFill="1" applyBorder="1" applyAlignment="1">
      <alignment horizontal="center" vertical="center"/>
    </xf>
    <xf numFmtId="165" fontId="3" fillId="100" borderId="130" xfId="1" applyNumberFormat="1" applyFont="1" applyFill="1" applyBorder="1" applyAlignment="1">
      <alignment horizontal="center" vertical="center"/>
    </xf>
    <xf numFmtId="165" fontId="3" fillId="100" borderId="14" xfId="1" applyNumberFormat="1" applyFont="1" applyFill="1" applyBorder="1" applyAlignment="1">
      <alignment horizontal="center" vertical="center"/>
    </xf>
    <xf numFmtId="0" fontId="26" fillId="0" borderId="0" xfId="0" applyFont="1" applyAlignment="1">
      <alignment horizontal="center" vertical="center" wrapText="1"/>
    </xf>
    <xf numFmtId="0" fontId="26" fillId="0" borderId="0" xfId="0" applyFont="1" applyAlignment="1">
      <alignment horizontal="left" vertical="center"/>
    </xf>
    <xf numFmtId="0" fontId="54" fillId="108" borderId="204" xfId="0" applyFont="1" applyFill="1" applyBorder="1" applyAlignment="1">
      <alignment horizontal="center" vertical="center"/>
    </xf>
    <xf numFmtId="0" fontId="54" fillId="108" borderId="214" xfId="0" applyFont="1" applyFill="1" applyBorder="1" applyAlignment="1">
      <alignment horizontal="center" vertical="center"/>
    </xf>
    <xf numFmtId="0" fontId="54" fillId="108" borderId="191" xfId="0" applyFont="1" applyFill="1" applyBorder="1" applyAlignment="1">
      <alignment horizontal="center" vertical="center"/>
    </xf>
    <xf numFmtId="0" fontId="26" fillId="97" borderId="28" xfId="0" applyFont="1" applyFill="1" applyBorder="1" applyAlignment="1">
      <alignment horizontal="center" vertical="center" wrapText="1"/>
    </xf>
    <xf numFmtId="0" fontId="26" fillId="97" borderId="212" xfId="0" applyFont="1" applyFill="1" applyBorder="1" applyAlignment="1">
      <alignment horizontal="center" vertical="center" wrapText="1"/>
    </xf>
    <xf numFmtId="0" fontId="26" fillId="97" borderId="4" xfId="0" applyFont="1" applyFill="1" applyBorder="1" applyAlignment="1">
      <alignment horizontal="center" vertical="center"/>
    </xf>
    <xf numFmtId="0" fontId="26" fillId="97" borderId="209" xfId="0" applyFont="1" applyFill="1" applyBorder="1" applyAlignment="1">
      <alignment horizontal="center" vertical="center"/>
    </xf>
    <xf numFmtId="0" fontId="26" fillId="97" borderId="4" xfId="0" applyFont="1" applyFill="1" applyBorder="1" applyAlignment="1">
      <alignment horizontal="center" vertical="center" wrapText="1"/>
    </xf>
    <xf numFmtId="0" fontId="26" fillId="97" borderId="209" xfId="0" applyFont="1" applyFill="1" applyBorder="1" applyAlignment="1">
      <alignment horizontal="center" vertical="center" wrapText="1"/>
    </xf>
    <xf numFmtId="0" fontId="26" fillId="0" borderId="0" xfId="0" applyFont="1" applyAlignment="1">
      <alignment horizontal="right" vertical="center" wrapText="1"/>
    </xf>
    <xf numFmtId="0" fontId="60" fillId="0" borderId="0" xfId="0" applyFont="1" applyAlignment="1">
      <alignment horizontal="left" vertical="center" wrapText="1"/>
    </xf>
    <xf numFmtId="0" fontId="54" fillId="96" borderId="178" xfId="0" applyFont="1" applyFill="1" applyBorder="1" applyAlignment="1">
      <alignment horizontal="center" vertical="center" wrapText="1"/>
    </xf>
    <xf numFmtId="0" fontId="54" fillId="96" borderId="175" xfId="0" applyFont="1" applyFill="1" applyBorder="1" applyAlignment="1">
      <alignment horizontal="center" vertical="center" wrapText="1"/>
    </xf>
    <xf numFmtId="0" fontId="54" fillId="96" borderId="179" xfId="0" applyFont="1" applyFill="1" applyBorder="1" applyAlignment="1">
      <alignment horizontal="center" vertical="center" wrapText="1"/>
    </xf>
    <xf numFmtId="0" fontId="26" fillId="97" borderId="80" xfId="0" applyFont="1" applyFill="1" applyBorder="1" applyAlignment="1">
      <alignment horizontal="center" vertical="center"/>
    </xf>
    <xf numFmtId="0" fontId="26" fillId="97" borderId="28" xfId="0" applyFont="1" applyFill="1" applyBorder="1" applyAlignment="1">
      <alignment horizontal="center" vertical="center"/>
    </xf>
    <xf numFmtId="0" fontId="26" fillId="97" borderId="3" xfId="0" applyFont="1" applyFill="1" applyBorder="1" applyAlignment="1">
      <alignment horizontal="center" vertical="center"/>
    </xf>
    <xf numFmtId="0" fontId="26" fillId="97" borderId="3" xfId="0" applyFont="1" applyFill="1" applyBorder="1" applyAlignment="1">
      <alignment horizontal="center" vertical="center" wrapText="1"/>
    </xf>
    <xf numFmtId="0" fontId="54" fillId="96" borderId="197" xfId="0" applyFont="1" applyFill="1" applyBorder="1" applyAlignment="1">
      <alignment horizontal="center" vertical="center" wrapText="1"/>
    </xf>
    <xf numFmtId="0" fontId="54" fillId="96" borderId="196" xfId="0" applyFont="1" applyFill="1" applyBorder="1" applyAlignment="1">
      <alignment horizontal="center" vertical="center" wrapText="1"/>
    </xf>
    <xf numFmtId="0" fontId="26" fillId="0" borderId="6" xfId="0" applyFont="1" applyBorder="1" applyAlignment="1">
      <alignment horizontal="right" vertical="center"/>
    </xf>
    <xf numFmtId="0" fontId="3" fillId="0" borderId="0" xfId="0" applyFont="1" applyAlignment="1">
      <alignment horizontal="center" vertical="center" wrapText="1"/>
    </xf>
    <xf numFmtId="0" fontId="54" fillId="108" borderId="167" xfId="0" applyFont="1" applyFill="1" applyBorder="1" applyAlignment="1">
      <alignment horizontal="center" vertical="center"/>
    </xf>
    <xf numFmtId="0" fontId="54" fillId="108" borderId="3" xfId="0" applyFont="1" applyFill="1" applyBorder="1" applyAlignment="1">
      <alignment horizontal="center" vertical="center"/>
    </xf>
    <xf numFmtId="0" fontId="54" fillId="108" borderId="178" xfId="0" applyFont="1" applyFill="1" applyBorder="1" applyAlignment="1">
      <alignment horizontal="center" vertical="center"/>
    </xf>
    <xf numFmtId="0" fontId="54" fillId="108" borderId="179" xfId="0" applyFont="1" applyFill="1" applyBorder="1" applyAlignment="1">
      <alignment horizontal="center" vertical="center"/>
    </xf>
    <xf numFmtId="0" fontId="54" fillId="108" borderId="234" xfId="0" applyFont="1" applyFill="1" applyBorder="1" applyAlignment="1">
      <alignment horizontal="center" vertical="center"/>
    </xf>
    <xf numFmtId="0" fontId="54" fillId="108" borderId="185" xfId="0" applyFont="1" applyFill="1" applyBorder="1" applyAlignment="1">
      <alignment horizontal="center" vertical="center"/>
    </xf>
    <xf numFmtId="0" fontId="26" fillId="97" borderId="201" xfId="0" applyFont="1" applyFill="1" applyBorder="1" applyAlignment="1">
      <alignment horizontal="center" vertical="center"/>
    </xf>
    <xf numFmtId="0" fontId="26" fillId="97" borderId="88" xfId="0" applyFont="1" applyFill="1" applyBorder="1" applyAlignment="1">
      <alignment horizontal="center" vertical="center"/>
    </xf>
    <xf numFmtId="0" fontId="26" fillId="97" borderId="86" xfId="0" applyFont="1" applyFill="1" applyBorder="1" applyAlignment="1">
      <alignment horizontal="center" vertical="center"/>
    </xf>
    <xf numFmtId="0" fontId="26" fillId="97" borderId="206" xfId="0" applyFont="1" applyFill="1" applyBorder="1" applyAlignment="1">
      <alignment horizontal="center" vertical="center"/>
    </xf>
    <xf numFmtId="0" fontId="26" fillId="97" borderId="193" xfId="0" applyFont="1" applyFill="1" applyBorder="1" applyAlignment="1">
      <alignment horizontal="center" vertical="center"/>
    </xf>
    <xf numFmtId="0" fontId="26" fillId="97" borderId="194" xfId="0" applyFont="1" applyFill="1" applyBorder="1" applyAlignment="1">
      <alignment horizontal="center" vertical="center"/>
    </xf>
    <xf numFmtId="0" fontId="26" fillId="97" borderId="195" xfId="0" applyFont="1" applyFill="1" applyBorder="1" applyAlignment="1">
      <alignment horizontal="center" vertical="center"/>
    </xf>
    <xf numFmtId="0" fontId="54" fillId="108" borderId="187" xfId="0" applyFont="1" applyFill="1" applyBorder="1" applyAlignment="1">
      <alignment horizontal="center" vertical="center"/>
    </xf>
    <xf numFmtId="0" fontId="54" fillId="108" borderId="183" xfId="0" applyFont="1" applyFill="1" applyBorder="1" applyAlignment="1">
      <alignment horizontal="center" vertical="center"/>
    </xf>
    <xf numFmtId="43" fontId="26" fillId="97" borderId="201" xfId="0" applyNumberFormat="1" applyFont="1" applyFill="1" applyBorder="1" applyAlignment="1">
      <alignment horizontal="center" vertical="center"/>
    </xf>
    <xf numFmtId="43" fontId="26" fillId="97" borderId="88" xfId="0" applyNumberFormat="1" applyFont="1" applyFill="1" applyBorder="1" applyAlignment="1">
      <alignment horizontal="center" vertical="center"/>
    </xf>
    <xf numFmtId="43" fontId="26" fillId="97" borderId="86" xfId="0" applyNumberFormat="1" applyFont="1" applyFill="1" applyBorder="1" applyAlignment="1">
      <alignment horizontal="center" vertical="center"/>
    </xf>
    <xf numFmtId="165" fontId="26" fillId="97" borderId="201" xfId="1" applyNumberFormat="1" applyFont="1" applyFill="1" applyBorder="1" applyAlignment="1">
      <alignment horizontal="center" vertical="center"/>
    </xf>
    <xf numFmtId="165" fontId="26" fillId="97" borderId="88" xfId="1" applyNumberFormat="1" applyFont="1" applyFill="1" applyBorder="1" applyAlignment="1">
      <alignment horizontal="center" vertical="center"/>
    </xf>
    <xf numFmtId="0" fontId="81" fillId="0" borderId="0" xfId="0" applyFont="1" applyAlignment="1">
      <alignment horizontal="left" vertical="center" wrapText="1"/>
    </xf>
    <xf numFmtId="0" fontId="3" fillId="97" borderId="209" xfId="0" applyFont="1" applyFill="1" applyBorder="1" applyAlignment="1">
      <alignment horizontal="center" vertical="center" wrapText="1"/>
    </xf>
    <xf numFmtId="0" fontId="54" fillId="108" borderId="209" xfId="0" applyFont="1" applyFill="1" applyBorder="1" applyAlignment="1">
      <alignment horizontal="center" vertical="center"/>
    </xf>
    <xf numFmtId="0" fontId="32" fillId="97" borderId="211" xfId="0" applyFont="1" applyFill="1" applyBorder="1" applyAlignment="1">
      <alignment horizontal="center" vertical="center" wrapText="1"/>
    </xf>
    <xf numFmtId="0" fontId="32" fillId="97" borderId="3" xfId="0" applyFont="1" applyFill="1" applyBorder="1" applyAlignment="1">
      <alignment horizontal="center" vertical="center" wrapText="1"/>
    </xf>
    <xf numFmtId="0" fontId="32" fillId="97" borderId="4" xfId="0" applyFont="1" applyFill="1" applyBorder="1" applyAlignment="1">
      <alignment horizontal="center" vertical="center" wrapText="1"/>
    </xf>
    <xf numFmtId="0" fontId="3" fillId="97" borderId="211" xfId="0" applyFont="1" applyFill="1" applyBorder="1" applyAlignment="1">
      <alignment horizontal="center" vertical="center" wrapText="1"/>
    </xf>
    <xf numFmtId="0" fontId="3" fillId="97" borderId="3" xfId="0" applyFont="1" applyFill="1" applyBorder="1" applyAlignment="1">
      <alignment horizontal="center" vertical="center" wrapText="1"/>
    </xf>
    <xf numFmtId="0" fontId="3" fillId="97" borderId="4" xfId="0" applyFont="1" applyFill="1" applyBorder="1" applyAlignment="1">
      <alignment horizontal="center" vertical="center" wrapText="1"/>
    </xf>
    <xf numFmtId="0" fontId="26" fillId="0" borderId="6" xfId="25" applyFont="1" applyBorder="1" applyAlignment="1">
      <alignment horizontal="center" vertical="center"/>
    </xf>
    <xf numFmtId="0" fontId="54" fillId="108" borderId="211" xfId="0" applyFont="1" applyFill="1" applyBorder="1" applyAlignment="1">
      <alignment horizontal="center" vertical="center"/>
    </xf>
    <xf numFmtId="0" fontId="54" fillId="108" borderId="4" xfId="0" applyFont="1" applyFill="1" applyBorder="1" applyAlignment="1">
      <alignment horizontal="center" vertical="center"/>
    </xf>
    <xf numFmtId="0" fontId="26" fillId="97" borderId="211" xfId="0" applyFont="1" applyFill="1" applyBorder="1" applyAlignment="1">
      <alignment horizontal="center" vertical="center" wrapText="1"/>
    </xf>
    <xf numFmtId="0" fontId="3" fillId="97" borderId="235" xfId="25" applyFont="1" applyFill="1" applyBorder="1" applyAlignment="1">
      <alignment horizontal="center" vertical="center"/>
    </xf>
    <xf numFmtId="0" fontId="3" fillId="97" borderId="236" xfId="25" applyFont="1" applyFill="1" applyBorder="1" applyAlignment="1">
      <alignment horizontal="center" vertical="center"/>
    </xf>
    <xf numFmtId="0" fontId="3" fillId="97" borderId="237" xfId="25" applyFont="1" applyFill="1" applyBorder="1" applyAlignment="1">
      <alignment horizontal="center" vertical="center"/>
    </xf>
    <xf numFmtId="0" fontId="54" fillId="108" borderId="238" xfId="0" applyFont="1" applyFill="1" applyBorder="1" applyAlignment="1">
      <alignment horizontal="center" vertical="center"/>
    </xf>
    <xf numFmtId="0" fontId="54" fillId="96" borderId="173" xfId="0" applyFont="1" applyFill="1" applyBorder="1" applyAlignment="1">
      <alignment horizontal="center" vertical="center" wrapText="1"/>
    </xf>
    <xf numFmtId="0" fontId="54" fillId="96" borderId="174" xfId="0" applyFont="1" applyFill="1" applyBorder="1" applyAlignment="1">
      <alignment horizontal="center" vertical="center" wrapText="1"/>
    </xf>
    <xf numFmtId="0" fontId="26" fillId="0" borderId="138" xfId="0" applyFont="1" applyBorder="1" applyAlignment="1">
      <alignment horizontal="center" vertical="center" wrapText="1"/>
    </xf>
    <xf numFmtId="0" fontId="26" fillId="0" borderId="6" xfId="0" applyFont="1" applyBorder="1" applyAlignment="1">
      <alignment horizontal="center" vertical="center" wrapText="1"/>
    </xf>
    <xf numFmtId="0" fontId="54" fillId="96" borderId="80" xfId="0" applyFont="1" applyFill="1" applyBorder="1" applyAlignment="1">
      <alignment horizontal="center" vertical="center" wrapText="1"/>
    </xf>
    <xf numFmtId="165" fontId="27" fillId="0" borderId="0" xfId="1" applyNumberFormat="1" applyFont="1" applyFill="1" applyBorder="1" applyAlignment="1">
      <alignment horizontal="center" vertical="center"/>
    </xf>
    <xf numFmtId="2" fontId="27" fillId="0" borderId="0" xfId="1" applyNumberFormat="1" applyFont="1" applyFill="1" applyBorder="1" applyAlignment="1">
      <alignment horizontal="right" vertical="center"/>
    </xf>
    <xf numFmtId="0" fontId="161" fillId="0" borderId="0" xfId="0" applyFont="1" applyAlignment="1">
      <alignment horizontal="left" wrapText="1"/>
    </xf>
    <xf numFmtId="0" fontId="54" fillId="108" borderId="178" xfId="0" applyFont="1" applyFill="1" applyBorder="1" applyAlignment="1">
      <alignment horizontal="left" vertical="center"/>
    </xf>
    <xf numFmtId="0" fontId="54" fillId="108" borderId="175" xfId="0" applyFont="1" applyFill="1" applyBorder="1" applyAlignment="1">
      <alignment horizontal="left" vertical="center"/>
    </xf>
    <xf numFmtId="0" fontId="54" fillId="108" borderId="179" xfId="0" applyFont="1" applyFill="1" applyBorder="1" applyAlignment="1">
      <alignment horizontal="left" vertical="center"/>
    </xf>
    <xf numFmtId="0" fontId="3" fillId="97" borderId="212" xfId="0" applyFont="1" applyFill="1" applyBorder="1" applyAlignment="1">
      <alignment horizontal="center" vertical="center"/>
    </xf>
    <xf numFmtId="0" fontId="3" fillId="97" borderId="209" xfId="0" applyFont="1" applyFill="1" applyBorder="1" applyAlignment="1">
      <alignment horizontal="center" vertical="center"/>
    </xf>
    <xf numFmtId="0" fontId="3" fillId="97" borderId="167" xfId="0" applyFont="1" applyFill="1" applyBorder="1" applyAlignment="1">
      <alignment horizontal="center" vertical="center"/>
    </xf>
    <xf numFmtId="0" fontId="3" fillId="97" borderId="138" xfId="0" applyFont="1" applyFill="1" applyBorder="1" applyAlignment="1">
      <alignment horizontal="center" vertical="center"/>
    </xf>
    <xf numFmtId="0" fontId="3" fillId="97" borderId="126" xfId="0" applyFont="1" applyFill="1" applyBorder="1" applyAlignment="1">
      <alignment horizontal="center" vertical="center"/>
    </xf>
    <xf numFmtId="0" fontId="3" fillId="97" borderId="5" xfId="0" applyFont="1" applyFill="1" applyBorder="1" applyAlignment="1">
      <alignment horizontal="center" vertical="center"/>
    </xf>
    <xf numFmtId="0" fontId="3" fillId="97" borderId="6" xfId="0" applyFont="1" applyFill="1" applyBorder="1" applyAlignment="1">
      <alignment horizontal="center" vertical="center"/>
    </xf>
    <xf numFmtId="0" fontId="3" fillId="97" borderId="28" xfId="0" applyFont="1" applyFill="1" applyBorder="1" applyAlignment="1">
      <alignment horizontal="center" vertical="center"/>
    </xf>
    <xf numFmtId="0" fontId="54" fillId="108" borderId="211" xfId="0" applyFont="1" applyFill="1" applyBorder="1" applyAlignment="1">
      <alignment horizontal="left" vertical="center"/>
    </xf>
    <xf numFmtId="0" fontId="54" fillId="108" borderId="3" xfId="0" applyFont="1" applyFill="1" applyBorder="1" applyAlignment="1">
      <alignment horizontal="left" vertical="center"/>
    </xf>
    <xf numFmtId="0" fontId="54" fillId="108" borderId="4" xfId="0" applyFont="1" applyFill="1" applyBorder="1" applyAlignment="1">
      <alignment horizontal="left" vertical="center"/>
    </xf>
    <xf numFmtId="0" fontId="27" fillId="97" borderId="209" xfId="0" applyFont="1" applyFill="1" applyBorder="1" applyAlignment="1">
      <alignment horizontal="center" vertical="center" wrapText="1"/>
    </xf>
    <xf numFmtId="0" fontId="3" fillId="97" borderId="210" xfId="0" applyFont="1" applyFill="1" applyBorder="1" applyAlignment="1">
      <alignment horizontal="center" vertical="center"/>
    </xf>
    <xf numFmtId="0" fontId="3" fillId="97" borderId="213" xfId="0" applyFont="1" applyFill="1" applyBorder="1" applyAlignment="1">
      <alignment horizontal="center" vertical="center"/>
    </xf>
    <xf numFmtId="0" fontId="3" fillId="97" borderId="210" xfId="0" applyFont="1" applyFill="1" applyBorder="1" applyAlignment="1">
      <alignment horizontal="center" vertical="center" wrapText="1"/>
    </xf>
    <xf numFmtId="0" fontId="3" fillId="97" borderId="213" xfId="0" applyFont="1" applyFill="1" applyBorder="1" applyAlignment="1">
      <alignment horizontal="center" vertical="center" wrapText="1"/>
    </xf>
    <xf numFmtId="0" fontId="3" fillId="97" borderId="212" xfId="0" applyFont="1" applyFill="1" applyBorder="1" applyAlignment="1">
      <alignment horizontal="center" vertical="center" wrapText="1"/>
    </xf>
    <xf numFmtId="0" fontId="54" fillId="108" borderId="178" xfId="25" applyFont="1" applyFill="1" applyBorder="1" applyAlignment="1">
      <alignment horizontal="left" vertical="center"/>
    </xf>
    <xf numFmtId="0" fontId="54" fillId="108" borderId="179" xfId="25" applyFont="1" applyFill="1" applyBorder="1" applyAlignment="1">
      <alignment horizontal="left" vertical="center"/>
    </xf>
    <xf numFmtId="0" fontId="3" fillId="97" borderId="213" xfId="25" applyFont="1" applyFill="1" applyBorder="1" applyAlignment="1">
      <alignment horizontal="center" vertical="center"/>
    </xf>
    <xf numFmtId="0" fontId="3" fillId="97" borderId="212" xfId="25" applyFont="1" applyFill="1" applyBorder="1" applyAlignment="1">
      <alignment horizontal="center" vertical="center"/>
    </xf>
    <xf numFmtId="0" fontId="3" fillId="97" borderId="210" xfId="25" applyFont="1" applyFill="1" applyBorder="1" applyAlignment="1">
      <alignment horizontal="center" vertical="center" wrapText="1"/>
    </xf>
    <xf numFmtId="0" fontId="3" fillId="97" borderId="213" xfId="25" applyFont="1" applyFill="1" applyBorder="1" applyAlignment="1">
      <alignment horizontal="center" vertical="center" wrapText="1"/>
    </xf>
    <xf numFmtId="0" fontId="3" fillId="97" borderId="212" xfId="25" applyFont="1" applyFill="1" applyBorder="1" applyAlignment="1">
      <alignment horizontal="center" vertical="center" wrapText="1"/>
    </xf>
    <xf numFmtId="0" fontId="26" fillId="0" borderId="6" xfId="0" applyFont="1" applyBorder="1" applyAlignment="1">
      <alignment horizontal="left" vertical="center"/>
    </xf>
    <xf numFmtId="0" fontId="26" fillId="5" borderId="19" xfId="0" applyFont="1" applyFill="1" applyBorder="1" applyAlignment="1">
      <alignment horizontal="center" vertical="center"/>
    </xf>
    <xf numFmtId="0" fontId="26" fillId="5" borderId="0" xfId="0" applyFont="1" applyFill="1" applyAlignment="1">
      <alignment horizontal="center" vertical="center"/>
    </xf>
    <xf numFmtId="0" fontId="26" fillId="0" borderId="31" xfId="0" applyFont="1" applyBorder="1" applyAlignment="1">
      <alignment horizontal="center" vertical="center" wrapText="1"/>
    </xf>
    <xf numFmtId="0" fontId="26" fillId="0" borderId="11" xfId="0" applyFont="1" applyBorder="1" applyAlignment="1">
      <alignment horizontal="center" vertical="center"/>
    </xf>
    <xf numFmtId="0" fontId="26" fillId="0" borderId="43" xfId="0" applyFont="1" applyBorder="1" applyAlignment="1">
      <alignment horizontal="center" vertical="center"/>
    </xf>
    <xf numFmtId="0" fontId="13" fillId="0" borderId="210" xfId="0" applyFont="1" applyBorder="1" applyAlignment="1">
      <alignment horizontal="center" wrapText="1"/>
    </xf>
    <xf numFmtId="0" fontId="13" fillId="0" borderId="212" xfId="0" applyFont="1" applyBorder="1" applyAlignment="1">
      <alignment horizontal="center" wrapText="1"/>
    </xf>
    <xf numFmtId="0" fontId="13" fillId="0" borderId="210" xfId="0" applyFont="1" applyBorder="1" applyAlignment="1">
      <alignment horizontal="center"/>
    </xf>
    <xf numFmtId="0" fontId="13" fillId="0" borderId="212" xfId="0" applyFont="1" applyBorder="1" applyAlignment="1">
      <alignment horizontal="center"/>
    </xf>
    <xf numFmtId="0" fontId="13" fillId="0" borderId="209" xfId="0" applyFont="1" applyBorder="1" applyAlignment="1">
      <alignment horizontal="center"/>
    </xf>
    <xf numFmtId="0" fontId="40" fillId="0" borderId="209" xfId="0" applyFont="1" applyBorder="1" applyAlignment="1">
      <alignment horizontal="center"/>
    </xf>
    <xf numFmtId="0" fontId="28" fillId="4" borderId="243" xfId="0" applyFont="1" applyFill="1" applyBorder="1" applyAlignment="1">
      <alignment horizontal="center" vertical="center"/>
    </xf>
    <xf numFmtId="0" fontId="28" fillId="4" borderId="4" xfId="0" applyFont="1" applyFill="1" applyBorder="1" applyAlignment="1">
      <alignment horizontal="center" vertical="center"/>
    </xf>
    <xf numFmtId="4" fontId="13" fillId="0" borderId="209" xfId="0" applyNumberFormat="1" applyFont="1" applyBorder="1" applyAlignment="1">
      <alignment horizontal="center" vertical="center"/>
    </xf>
    <xf numFmtId="0" fontId="26" fillId="5" borderId="0" xfId="0" applyFont="1" applyFill="1" applyAlignment="1">
      <alignment horizontal="center" vertical="center" wrapText="1"/>
    </xf>
    <xf numFmtId="0" fontId="28" fillId="6" borderId="3" xfId="0" applyFont="1" applyFill="1" applyBorder="1" applyAlignment="1">
      <alignment horizontal="center" vertical="center"/>
    </xf>
    <xf numFmtId="0" fontId="28" fillId="6" borderId="4" xfId="0" applyFont="1" applyFill="1" applyBorder="1" applyAlignment="1">
      <alignment horizontal="center" vertical="center"/>
    </xf>
    <xf numFmtId="0" fontId="28" fillId="6" borderId="209" xfId="0" applyFont="1" applyFill="1" applyBorder="1" applyAlignment="1">
      <alignment horizontal="center" vertical="center"/>
    </xf>
    <xf numFmtId="0" fontId="13" fillId="0" borderId="243" xfId="0" applyFont="1" applyBorder="1" applyAlignment="1">
      <alignment horizontal="center" vertical="center"/>
    </xf>
    <xf numFmtId="0" fontId="13" fillId="0" borderId="4" xfId="0" applyFont="1" applyBorder="1" applyAlignment="1">
      <alignment horizontal="center" vertical="center"/>
    </xf>
    <xf numFmtId="0" fontId="13" fillId="0" borderId="243" xfId="0" applyFont="1" applyBorder="1" applyAlignment="1">
      <alignment horizontal="center" vertical="center" wrapText="1"/>
    </xf>
    <xf numFmtId="0" fontId="13" fillId="0" borderId="4" xfId="0" applyFont="1" applyBorder="1" applyAlignment="1">
      <alignment horizontal="center" vertical="center" wrapText="1"/>
    </xf>
    <xf numFmtId="0" fontId="26" fillId="0" borderId="209" xfId="0" applyFont="1" applyBorder="1" applyAlignment="1">
      <alignment horizontal="center" vertical="center"/>
    </xf>
    <xf numFmtId="0" fontId="26" fillId="0" borderId="209" xfId="0" applyFont="1" applyBorder="1" applyAlignment="1">
      <alignment horizontal="center"/>
    </xf>
    <xf numFmtId="0" fontId="26" fillId="0" borderId="210" xfId="0" applyFont="1" applyBorder="1" applyAlignment="1">
      <alignment horizontal="center"/>
    </xf>
    <xf numFmtId="0" fontId="26" fillId="0" borderId="241" xfId="0" applyFont="1" applyBorder="1" applyAlignment="1">
      <alignment horizontal="center"/>
    </xf>
    <xf numFmtId="0" fontId="26" fillId="0" borderId="212" xfId="0" applyFont="1" applyBorder="1" applyAlignment="1">
      <alignment horizontal="center"/>
    </xf>
    <xf numFmtId="0" fontId="48" fillId="0" borderId="0" xfId="0" applyFont="1" applyAlignment="1">
      <alignment horizontal="left" vertical="center"/>
    </xf>
    <xf numFmtId="0" fontId="26" fillId="0" borderId="210" xfId="0" applyFont="1" applyBorder="1" applyAlignment="1">
      <alignment horizontal="center" vertical="center"/>
    </xf>
    <xf numFmtId="0" fontId="26" fillId="0" borderId="34" xfId="0" applyFont="1" applyBorder="1" applyAlignment="1">
      <alignment horizontal="center" vertical="center"/>
    </xf>
    <xf numFmtId="0" fontId="26" fillId="0" borderId="32" xfId="0" applyFont="1" applyBorder="1" applyAlignment="1">
      <alignment horizontal="center" vertical="center"/>
    </xf>
    <xf numFmtId="0" fontId="26" fillId="0" borderId="33" xfId="0" applyFont="1" applyBorder="1" applyAlignment="1">
      <alignment horizontal="center" vertical="center"/>
    </xf>
    <xf numFmtId="0" fontId="26" fillId="0" borderId="25" xfId="0" applyFont="1" applyBorder="1" applyAlignment="1">
      <alignment horizontal="center" vertical="center"/>
    </xf>
    <xf numFmtId="0" fontId="26" fillId="0" borderId="37" xfId="0" applyFont="1" applyBorder="1" applyAlignment="1">
      <alignment horizontal="center" vertical="center"/>
    </xf>
    <xf numFmtId="0" fontId="26" fillId="0" borderId="30" xfId="0" applyFont="1" applyBorder="1" applyAlignment="1">
      <alignment horizontal="center" vertical="center"/>
    </xf>
    <xf numFmtId="0" fontId="28" fillId="0" borderId="243" xfId="0" applyFont="1" applyBorder="1" applyAlignment="1">
      <alignment horizontal="center" vertical="center"/>
    </xf>
    <xf numFmtId="0" fontId="28" fillId="0" borderId="209" xfId="0" applyFont="1" applyBorder="1" applyAlignment="1">
      <alignment horizontal="center" vertical="center" wrapText="1"/>
    </xf>
    <xf numFmtId="0" fontId="0" fillId="0" borderId="209" xfId="0" applyBorder="1" applyAlignment="1"/>
    <xf numFmtId="39" fontId="28" fillId="0" borderId="209" xfId="1" applyNumberFormat="1" applyFont="1" applyFill="1" applyBorder="1" applyAlignment="1">
      <alignment horizontal="center" vertical="center"/>
    </xf>
    <xf numFmtId="4" fontId="28" fillId="0" borderId="242" xfId="0" applyNumberFormat="1" applyFont="1" applyBorder="1" applyAlignment="1">
      <alignment horizontal="center" vertical="center"/>
    </xf>
    <xf numFmtId="4" fontId="28" fillId="0" borderId="244" xfId="0" applyNumberFormat="1" applyFont="1" applyBorder="1" applyAlignment="1">
      <alignment horizontal="center" vertical="center"/>
    </xf>
    <xf numFmtId="4" fontId="28" fillId="0" borderId="5" xfId="0" applyNumberFormat="1" applyFont="1" applyBorder="1" applyAlignment="1">
      <alignment horizontal="center" vertical="center"/>
    </xf>
    <xf numFmtId="4" fontId="28" fillId="0" borderId="28" xfId="0" applyNumberFormat="1" applyFont="1" applyBorder="1" applyAlignment="1">
      <alignment horizontal="center" vertical="center"/>
    </xf>
    <xf numFmtId="4" fontId="28" fillId="0" borderId="209" xfId="0" applyNumberFormat="1" applyFont="1" applyBorder="1" applyAlignment="1">
      <alignment horizontal="center" vertical="center"/>
    </xf>
    <xf numFmtId="2" fontId="29" fillId="0" borderId="210" xfId="0" applyNumberFormat="1" applyFont="1" applyBorder="1" applyAlignment="1">
      <alignment horizontal="left" vertical="center" wrapText="1"/>
    </xf>
    <xf numFmtId="2" fontId="29" fillId="0" borderId="241" xfId="0" applyNumberFormat="1" applyFont="1" applyBorder="1" applyAlignment="1">
      <alignment horizontal="left" vertical="center" wrapText="1"/>
    </xf>
    <xf numFmtId="2" fontId="29" fillId="0" borderId="212" xfId="0" applyNumberFormat="1" applyFont="1" applyBorder="1" applyAlignment="1">
      <alignment horizontal="left" vertical="center" wrapText="1"/>
    </xf>
    <xf numFmtId="0" fontId="28" fillId="2" borderId="243" xfId="0" applyFont="1" applyFill="1" applyBorder="1" applyAlignment="1">
      <alignment horizontal="center" vertical="center"/>
    </xf>
    <xf numFmtId="0" fontId="28" fillId="2" borderId="3" xfId="0" applyFont="1" applyFill="1" applyBorder="1" applyAlignment="1">
      <alignment horizontal="center" vertical="center"/>
    </xf>
    <xf numFmtId="0" fontId="28" fillId="2" borderId="4" xfId="0" applyFont="1" applyFill="1" applyBorder="1" applyAlignment="1">
      <alignment horizontal="center" vertical="center"/>
    </xf>
    <xf numFmtId="0" fontId="28" fillId="2" borderId="243" xfId="0" applyFont="1" applyFill="1" applyBorder="1" applyAlignment="1">
      <alignment horizontal="center" vertical="center" wrapText="1"/>
    </xf>
    <xf numFmtId="0" fontId="48" fillId="0" borderId="0" xfId="0" applyFont="1" applyAlignment="1">
      <alignment horizontal="left" vertical="top" wrapText="1"/>
    </xf>
    <xf numFmtId="0" fontId="18" fillId="0" borderId="0" xfId="0" applyFont="1" applyAlignment="1">
      <alignment horizontal="left" vertical="top" wrapText="1"/>
    </xf>
    <xf numFmtId="0" fontId="44" fillId="0" borderId="0" xfId="0" applyFont="1" applyAlignment="1">
      <alignment horizontal="left" vertical="center" wrapText="1"/>
    </xf>
    <xf numFmtId="0" fontId="3" fillId="0" borderId="209" xfId="0" applyFont="1" applyBorder="1" applyAlignment="1">
      <alignment horizontal="center" vertical="center"/>
    </xf>
    <xf numFmtId="165" fontId="2" fillId="0" borderId="209" xfId="1" applyNumberFormat="1" applyFont="1" applyFill="1" applyBorder="1" applyAlignment="1">
      <alignment horizontal="center" vertical="center"/>
    </xf>
    <xf numFmtId="0" fontId="2" fillId="0" borderId="209" xfId="0" applyFont="1" applyBorder="1" applyAlignment="1">
      <alignment horizontal="center" vertical="center"/>
    </xf>
    <xf numFmtId="165" fontId="3" fillId="0" borderId="0" xfId="1" applyNumberFormat="1" applyFont="1" applyFill="1" applyBorder="1" applyAlignment="1">
      <alignment horizontal="left" vertical="center"/>
    </xf>
    <xf numFmtId="0" fontId="29" fillId="0" borderId="209" xfId="0" applyFont="1" applyBorder="1" applyAlignment="1">
      <alignment horizontal="center" vertical="center"/>
    </xf>
    <xf numFmtId="165" fontId="3" fillId="0" borderId="209" xfId="1" applyNumberFormat="1" applyFont="1" applyFill="1" applyBorder="1" applyAlignment="1">
      <alignment horizontal="center" vertical="center"/>
    </xf>
    <xf numFmtId="0" fontId="32" fillId="11" borderId="209" xfId="0" applyFont="1" applyFill="1" applyBorder="1" applyAlignment="1">
      <alignment horizontal="center" vertical="center"/>
    </xf>
    <xf numFmtId="0" fontId="44" fillId="0" borderId="0" xfId="0" applyFont="1" applyAlignment="1">
      <alignment horizontal="left" vertical="top" wrapText="1"/>
    </xf>
    <xf numFmtId="0" fontId="32" fillId="0" borderId="209" xfId="0" applyFont="1" applyBorder="1" applyAlignment="1">
      <alignment horizontal="center" vertical="center"/>
    </xf>
    <xf numFmtId="0" fontId="32" fillId="0" borderId="241" xfId="0" applyFont="1" applyBorder="1" applyAlignment="1">
      <alignment horizontal="center" vertical="center"/>
    </xf>
    <xf numFmtId="0" fontId="32" fillId="0" borderId="212" xfId="0" applyFont="1" applyBorder="1" applyAlignment="1">
      <alignment horizontal="center" vertical="center"/>
    </xf>
    <xf numFmtId="0" fontId="32" fillId="0" borderId="6" xfId="0" applyFont="1" applyBorder="1" applyAlignment="1">
      <alignment horizontal="left"/>
    </xf>
    <xf numFmtId="0" fontId="32" fillId="0" borderId="0" xfId="0" applyFont="1" applyAlignment="1">
      <alignment horizontal="left"/>
    </xf>
    <xf numFmtId="0" fontId="32" fillId="0" borderId="243" xfId="0" applyFont="1" applyBorder="1" applyAlignment="1">
      <alignment horizontal="center" vertical="center"/>
    </xf>
    <xf numFmtId="0" fontId="32" fillId="0" borderId="4" xfId="0" applyFont="1" applyBorder="1" applyAlignment="1">
      <alignment horizontal="center" vertical="center"/>
    </xf>
    <xf numFmtId="0" fontId="10" fillId="0" borderId="210" xfId="0" applyFont="1" applyBorder="1" applyAlignment="1">
      <alignment horizontal="center" vertical="center"/>
    </xf>
    <xf numFmtId="0" fontId="10" fillId="0" borderId="241" xfId="0" applyFont="1" applyBorder="1" applyAlignment="1">
      <alignment horizontal="center" vertical="center"/>
    </xf>
    <xf numFmtId="0" fontId="10" fillId="0" borderId="212" xfId="0" applyFont="1" applyBorder="1" applyAlignment="1">
      <alignment horizontal="center" vertical="center"/>
    </xf>
    <xf numFmtId="0" fontId="28" fillId="0" borderId="210" xfId="0" applyFont="1" applyBorder="1" applyAlignment="1">
      <alignment horizontal="center" vertical="center"/>
    </xf>
    <xf numFmtId="0" fontId="28" fillId="0" borderId="241" xfId="0" applyFont="1" applyBorder="1" applyAlignment="1">
      <alignment horizontal="center" vertical="center"/>
    </xf>
    <xf numFmtId="0" fontId="28" fillId="0" borderId="212" xfId="0" applyFont="1" applyBorder="1" applyAlignment="1">
      <alignment horizontal="center" vertical="center"/>
    </xf>
    <xf numFmtId="0" fontId="10" fillId="0" borderId="243" xfId="0" applyFont="1" applyBorder="1" applyAlignment="1">
      <alignment horizontal="center" vertical="center"/>
    </xf>
    <xf numFmtId="0" fontId="10" fillId="0" borderId="4" xfId="0" applyFont="1" applyBorder="1" applyAlignment="1">
      <alignment horizontal="center" vertical="center"/>
    </xf>
    <xf numFmtId="0" fontId="10" fillId="0" borderId="209" xfId="0" applyFont="1" applyBorder="1" applyAlignment="1">
      <alignment horizontal="center" vertical="center"/>
    </xf>
    <xf numFmtId="0" fontId="2" fillId="0" borderId="0" xfId="0" applyFont="1" applyAlignment="1">
      <alignment horizontal="center" vertical="center"/>
    </xf>
    <xf numFmtId="0" fontId="3" fillId="4" borderId="210" xfId="0" applyFont="1" applyFill="1" applyBorder="1" applyAlignment="1">
      <alignment horizontal="center" vertical="center" wrapText="1"/>
    </xf>
    <xf numFmtId="0" fontId="3" fillId="4" borderId="241" xfId="0" applyFont="1" applyFill="1" applyBorder="1" applyAlignment="1">
      <alignment horizontal="center" vertical="center" wrapText="1"/>
    </xf>
    <xf numFmtId="0" fontId="3" fillId="4" borderId="212" xfId="0" applyFont="1" applyFill="1" applyBorder="1" applyAlignment="1">
      <alignment horizontal="center" vertical="center" wrapText="1"/>
    </xf>
    <xf numFmtId="0" fontId="54" fillId="96" borderId="188" xfId="0" applyFont="1" applyFill="1" applyBorder="1" applyAlignment="1">
      <alignment horizontal="left" vertical="center"/>
    </xf>
    <xf numFmtId="0" fontId="54" fillId="96" borderId="207" xfId="0" applyFont="1" applyFill="1" applyBorder="1" applyAlignment="1">
      <alignment horizontal="left" vertical="center"/>
    </xf>
    <xf numFmtId="0" fontId="54" fillId="96" borderId="199" xfId="0" applyFont="1" applyFill="1" applyBorder="1" applyAlignment="1">
      <alignment horizontal="left" vertical="center"/>
    </xf>
    <xf numFmtId="0" fontId="54" fillId="108" borderId="175" xfId="0" applyFont="1" applyFill="1" applyBorder="1" applyAlignment="1">
      <alignment horizontal="center" vertical="center"/>
    </xf>
    <xf numFmtId="0" fontId="3" fillId="0" borderId="80"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54" fillId="108" borderId="188" xfId="0" applyFont="1" applyFill="1" applyBorder="1" applyAlignment="1">
      <alignment horizontal="left" vertical="center"/>
    </xf>
    <xf numFmtId="0" fontId="54" fillId="108" borderId="207" xfId="0" applyFont="1" applyFill="1" applyBorder="1" applyAlignment="1">
      <alignment horizontal="left" vertical="center"/>
    </xf>
    <xf numFmtId="0" fontId="54" fillId="108" borderId="199" xfId="0" applyFont="1" applyFill="1" applyBorder="1" applyAlignment="1">
      <alignment horizontal="left" vertical="center"/>
    </xf>
    <xf numFmtId="0" fontId="3" fillId="97" borderId="80" xfId="0" applyFont="1" applyFill="1" applyBorder="1" applyAlignment="1">
      <alignment horizontal="center" vertical="center" wrapText="1"/>
    </xf>
    <xf numFmtId="0" fontId="3" fillId="97" borderId="28" xfId="0" applyFont="1" applyFill="1" applyBorder="1" applyAlignment="1">
      <alignment horizontal="center" vertical="center" wrapText="1"/>
    </xf>
    <xf numFmtId="0" fontId="3" fillId="23" borderId="210" xfId="0" applyFont="1" applyFill="1" applyBorder="1" applyAlignment="1">
      <alignment horizontal="center" vertical="center" wrapText="1"/>
    </xf>
    <xf numFmtId="0" fontId="3" fillId="23" borderId="241" xfId="0" applyFont="1" applyFill="1" applyBorder="1" applyAlignment="1">
      <alignment horizontal="center" vertical="center" wrapText="1"/>
    </xf>
    <xf numFmtId="0" fontId="3" fillId="23" borderId="212" xfId="0" applyFont="1" applyFill="1" applyBorder="1" applyAlignment="1">
      <alignment horizontal="center" vertical="center" wrapText="1"/>
    </xf>
    <xf numFmtId="0" fontId="54" fillId="96" borderId="202" xfId="0" applyFont="1" applyFill="1" applyBorder="1" applyAlignment="1">
      <alignment horizontal="left" vertical="center"/>
    </xf>
    <xf numFmtId="0" fontId="54" fillId="96" borderId="196" xfId="0" applyFont="1" applyFill="1" applyBorder="1" applyAlignment="1">
      <alignment horizontal="left" vertical="center"/>
    </xf>
    <xf numFmtId="0" fontId="54" fillId="96" borderId="180" xfId="0" applyFont="1" applyFill="1" applyBorder="1" applyAlignment="1">
      <alignment horizontal="left" vertical="center"/>
    </xf>
    <xf numFmtId="0" fontId="54" fillId="108" borderId="243" xfId="0" applyFont="1" applyFill="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209" xfId="0" applyFont="1" applyBorder="1" applyAlignment="1">
      <alignment horizontal="center" vertical="center" wrapText="1"/>
    </xf>
    <xf numFmtId="0" fontId="2" fillId="0" borderId="210" xfId="0" applyFont="1" applyBorder="1" applyAlignment="1">
      <alignment horizontal="center"/>
    </xf>
    <xf numFmtId="0" fontId="2" fillId="0" borderId="241" xfId="0" applyFont="1" applyBorder="1" applyAlignment="1">
      <alignment horizontal="center"/>
    </xf>
    <xf numFmtId="0" fontId="2" fillId="0" borderId="212" xfId="0" applyFont="1" applyBorder="1" applyAlignment="1">
      <alignment horizontal="center"/>
    </xf>
    <xf numFmtId="0" fontId="2" fillId="0" borderId="24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43"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10" fillId="17" borderId="243" xfId="0" applyFont="1" applyFill="1" applyBorder="1" applyAlignment="1">
      <alignment horizontal="center" vertical="center"/>
    </xf>
    <xf numFmtId="0" fontId="10" fillId="17" borderId="4" xfId="0" applyFont="1" applyFill="1" applyBorder="1" applyAlignment="1">
      <alignment horizontal="center" vertical="center"/>
    </xf>
    <xf numFmtId="0" fontId="10" fillId="17" borderId="209" xfId="0" applyFont="1" applyFill="1" applyBorder="1" applyAlignment="1">
      <alignment horizontal="center" vertical="center"/>
    </xf>
    <xf numFmtId="0" fontId="0" fillId="0" borderId="209" xfId="0" applyBorder="1" applyAlignment="1">
      <alignment horizontal="center" vertical="center"/>
    </xf>
    <xf numFmtId="0" fontId="36" fillId="2" borderId="243" xfId="0" applyFont="1" applyFill="1" applyBorder="1" applyAlignment="1">
      <alignment horizontal="center" vertical="center" wrapText="1"/>
    </xf>
    <xf numFmtId="0" fontId="36" fillId="2" borderId="4" xfId="0" applyFont="1" applyFill="1" applyBorder="1" applyAlignment="1">
      <alignment horizontal="center" vertical="center" wrapText="1"/>
    </xf>
    <xf numFmtId="0" fontId="29" fillId="2" borderId="243" xfId="0" applyFont="1" applyFill="1" applyBorder="1" applyAlignment="1">
      <alignment horizontal="center" vertical="center"/>
    </xf>
    <xf numFmtId="0" fontId="29" fillId="2" borderId="4" xfId="0" applyFont="1" applyFill="1" applyBorder="1" applyAlignment="1">
      <alignment horizontal="center" vertical="center"/>
    </xf>
    <xf numFmtId="0" fontId="28" fillId="2" borderId="210" xfId="0" applyFont="1" applyFill="1" applyBorder="1" applyAlignment="1">
      <alignment horizontal="center"/>
    </xf>
    <xf numFmtId="0" fontId="28" fillId="2" borderId="241" xfId="0" applyFont="1" applyFill="1" applyBorder="1" applyAlignment="1">
      <alignment horizontal="center"/>
    </xf>
    <xf numFmtId="0" fontId="28" fillId="2" borderId="212" xfId="0" applyFont="1" applyFill="1" applyBorder="1" applyAlignment="1">
      <alignment horizontal="center"/>
    </xf>
    <xf numFmtId="0" fontId="0" fillId="0" borderId="0" xfId="0" applyAlignment="1">
      <alignment horizontal="center"/>
    </xf>
    <xf numFmtId="0" fontId="0" fillId="0" borderId="0" xfId="0" applyAlignment="1">
      <alignment horizontal="center" wrapText="1"/>
    </xf>
    <xf numFmtId="165" fontId="0" fillId="0" borderId="209" xfId="1" applyNumberFormat="1" applyFont="1" applyBorder="1" applyAlignment="1">
      <alignment horizontal="center"/>
    </xf>
    <xf numFmtId="0" fontId="0" fillId="0" borderId="209" xfId="0" applyBorder="1" applyAlignment="1">
      <alignment horizontal="center"/>
    </xf>
    <xf numFmtId="0" fontId="32" fillId="2" borderId="243" xfId="0" applyFont="1" applyFill="1" applyBorder="1" applyAlignment="1">
      <alignment horizontal="center" vertical="center" wrapText="1"/>
    </xf>
    <xf numFmtId="0" fontId="32" fillId="2" borderId="4" xfId="0" applyFont="1" applyFill="1" applyBorder="1" applyAlignment="1">
      <alignment horizontal="center" vertical="center" wrapText="1"/>
    </xf>
    <xf numFmtId="165" fontId="28" fillId="2" borderId="243" xfId="1" applyNumberFormat="1" applyFont="1" applyFill="1" applyBorder="1" applyAlignment="1">
      <alignment horizontal="center" vertical="center"/>
    </xf>
    <xf numFmtId="165" fontId="28" fillId="2" borderId="4" xfId="1" applyNumberFormat="1" applyFont="1" applyFill="1" applyBorder="1" applyAlignment="1">
      <alignment horizontal="center" vertical="center"/>
    </xf>
    <xf numFmtId="0" fontId="28" fillId="2" borderId="210" xfId="1" applyNumberFormat="1" applyFont="1" applyFill="1" applyBorder="1" applyAlignment="1">
      <alignment horizontal="center"/>
    </xf>
    <xf numFmtId="0" fontId="28" fillId="2" borderId="241" xfId="1" applyNumberFormat="1" applyFont="1" applyFill="1" applyBorder="1" applyAlignment="1">
      <alignment horizontal="center"/>
    </xf>
    <xf numFmtId="0" fontId="28" fillId="2" borderId="212" xfId="1" applyNumberFormat="1" applyFont="1" applyFill="1" applyBorder="1" applyAlignment="1">
      <alignment horizontal="center"/>
    </xf>
    <xf numFmtId="165" fontId="32" fillId="2" borderId="243" xfId="1" applyNumberFormat="1" applyFont="1" applyFill="1" applyBorder="1" applyAlignment="1">
      <alignment horizontal="center" vertical="center" wrapText="1"/>
    </xf>
    <xf numFmtId="165" fontId="32" fillId="2" borderId="4" xfId="1" applyNumberFormat="1" applyFont="1" applyFill="1" applyBorder="1" applyAlignment="1">
      <alignment horizontal="center" vertical="center" wrapText="1"/>
    </xf>
    <xf numFmtId="0" fontId="24" fillId="13" borderId="209" xfId="0" applyFont="1" applyFill="1" applyBorder="1" applyAlignment="1">
      <alignment horizontal="center"/>
    </xf>
    <xf numFmtId="0" fontId="24" fillId="0" borderId="0" xfId="0" applyFont="1" applyAlignment="1">
      <alignment horizontal="center"/>
    </xf>
    <xf numFmtId="0" fontId="29" fillId="0" borderId="243" xfId="0" applyFont="1" applyBorder="1" applyAlignment="1">
      <alignment horizontal="center" vertical="center" wrapText="1"/>
    </xf>
    <xf numFmtId="0" fontId="29" fillId="0" borderId="241" xfId="0" applyFont="1" applyBorder="1" applyAlignment="1">
      <alignment horizontal="center"/>
    </xf>
    <xf numFmtId="0" fontId="28" fillId="0" borderId="210" xfId="0" applyFont="1" applyBorder="1" applyAlignment="1">
      <alignment horizontal="left"/>
    </xf>
    <xf numFmtId="0" fontId="28" fillId="0" borderId="241" xfId="0" applyFont="1" applyBorder="1" applyAlignment="1">
      <alignment horizontal="left"/>
    </xf>
    <xf numFmtId="0" fontId="28" fillId="0" borderId="212" xfId="0" applyFont="1" applyBorder="1" applyAlignment="1">
      <alignment horizontal="left"/>
    </xf>
    <xf numFmtId="0" fontId="26" fillId="0" borderId="0" xfId="0" applyFont="1" applyAlignment="1">
      <alignment horizontal="left" wrapText="1"/>
    </xf>
    <xf numFmtId="0" fontId="48" fillId="15" borderId="0" xfId="0" applyFont="1" applyFill="1" applyAlignment="1">
      <alignment horizontal="left" vertical="top" wrapText="1"/>
    </xf>
    <xf numFmtId="0" fontId="18" fillId="15" borderId="0" xfId="0" applyFont="1" applyFill="1" applyAlignment="1">
      <alignment horizontal="left" vertical="top" wrapText="1"/>
    </xf>
    <xf numFmtId="0" fontId="44" fillId="15" borderId="0" xfId="0" applyFont="1" applyFill="1" applyAlignment="1">
      <alignment horizontal="left" vertical="center" wrapText="1"/>
    </xf>
    <xf numFmtId="0" fontId="51" fillId="0" borderId="0" xfId="0" applyFont="1" applyAlignment="1">
      <alignment horizontal="left" vertical="center"/>
    </xf>
    <xf numFmtId="0" fontId="44" fillId="0" borderId="0" xfId="0" applyFont="1" applyAlignment="1">
      <alignment horizontal="left" vertical="center"/>
    </xf>
    <xf numFmtId="0" fontId="29" fillId="0" borderId="209" xfId="0" applyFont="1" applyBorder="1" applyAlignment="1">
      <alignment horizontal="center" vertical="center" wrapText="1"/>
    </xf>
    <xf numFmtId="0" fontId="0" fillId="0" borderId="241" xfId="0" applyBorder="1" applyAlignment="1"/>
    <xf numFmtId="0" fontId="2" fillId="9" borderId="209" xfId="0" applyFont="1" applyFill="1" applyBorder="1" applyAlignment="1">
      <alignment horizontal="center"/>
    </xf>
    <xf numFmtId="165" fontId="0" fillId="0" borderId="0" xfId="1" applyNumberFormat="1" applyFont="1" applyFill="1" applyBorder="1" applyAlignment="1">
      <alignment horizontal="left"/>
    </xf>
    <xf numFmtId="0" fontId="32" fillId="11" borderId="243" xfId="0" applyFont="1" applyFill="1" applyBorder="1" applyAlignment="1">
      <alignment horizontal="center" vertical="center"/>
    </xf>
    <xf numFmtId="0" fontId="32" fillId="11" borderId="4" xfId="0" applyFont="1" applyFill="1" applyBorder="1" applyAlignment="1">
      <alignment horizontal="center" vertical="center"/>
    </xf>
    <xf numFmtId="0" fontId="24" fillId="12" borderId="209" xfId="0" applyFont="1" applyFill="1" applyBorder="1" applyAlignment="1">
      <alignment horizontal="center"/>
    </xf>
    <xf numFmtId="0" fontId="24" fillId="12" borderId="210" xfId="0" applyFont="1" applyFill="1" applyBorder="1" applyAlignment="1">
      <alignment horizontal="center"/>
    </xf>
    <xf numFmtId="0" fontId="24" fillId="12" borderId="241" xfId="0" applyFont="1" applyFill="1" applyBorder="1" applyAlignment="1">
      <alignment horizontal="center"/>
    </xf>
    <xf numFmtId="0" fontId="24" fillId="12" borderId="212" xfId="0" applyFont="1" applyFill="1" applyBorder="1" applyAlignment="1">
      <alignment horizontal="center"/>
    </xf>
    <xf numFmtId="0" fontId="24" fillId="0" borderId="209" xfId="0" applyFont="1" applyBorder="1" applyAlignment="1">
      <alignment horizontal="center"/>
    </xf>
    <xf numFmtId="0" fontId="24" fillId="0" borderId="210" xfId="0" applyFont="1" applyBorder="1" applyAlignment="1">
      <alignment horizontal="center"/>
    </xf>
    <xf numFmtId="0" fontId="24" fillId="0" borderId="241" xfId="0" applyFont="1" applyBorder="1" applyAlignment="1">
      <alignment horizontal="center"/>
    </xf>
    <xf numFmtId="0" fontId="24" fillId="0" borderId="212" xfId="0" applyFont="1" applyBorder="1" applyAlignment="1">
      <alignment horizontal="center"/>
    </xf>
    <xf numFmtId="0" fontId="24" fillId="13" borderId="210" xfId="0" applyFont="1" applyFill="1" applyBorder="1" applyAlignment="1">
      <alignment horizontal="center"/>
    </xf>
    <xf numFmtId="0" fontId="24" fillId="13" borderId="241" xfId="0" applyFont="1" applyFill="1" applyBorder="1" applyAlignment="1">
      <alignment horizontal="center"/>
    </xf>
    <xf numFmtId="0" fontId="24" fillId="13" borderId="212" xfId="0" applyFont="1" applyFill="1" applyBorder="1" applyAlignment="1">
      <alignment horizontal="center"/>
    </xf>
    <xf numFmtId="0" fontId="24" fillId="11" borderId="210" xfId="0" applyFont="1" applyFill="1" applyBorder="1" applyAlignment="1">
      <alignment horizontal="center"/>
    </xf>
    <xf numFmtId="0" fontId="24" fillId="11" borderId="241" xfId="0" applyFont="1" applyFill="1" applyBorder="1" applyAlignment="1">
      <alignment horizontal="center"/>
    </xf>
    <xf numFmtId="0" fontId="24" fillId="11" borderId="212" xfId="0" applyFont="1" applyFill="1" applyBorder="1" applyAlignment="1">
      <alignment horizontal="center"/>
    </xf>
    <xf numFmtId="0" fontId="24" fillId="11" borderId="209" xfId="0" applyFont="1" applyFill="1" applyBorder="1" applyAlignment="1">
      <alignment horizontal="center"/>
    </xf>
    <xf numFmtId="0" fontId="0" fillId="0" borderId="210" xfId="0" applyBorder="1" applyAlignment="1">
      <alignment horizontal="center" wrapText="1"/>
    </xf>
    <xf numFmtId="0" fontId="0" fillId="0" borderId="241" xfId="0" applyBorder="1" applyAlignment="1">
      <alignment horizontal="center" wrapText="1"/>
    </xf>
    <xf numFmtId="0" fontId="0" fillId="0" borderId="212" xfId="0" applyBorder="1" applyAlignment="1">
      <alignment horizontal="center" wrapText="1"/>
    </xf>
    <xf numFmtId="0" fontId="0" fillId="0" borderId="242" xfId="0" applyBorder="1" applyAlignment="1">
      <alignment horizontal="center" wrapText="1"/>
    </xf>
    <xf numFmtId="0" fontId="0" fillId="0" borderId="138" xfId="0" applyBorder="1" applyAlignment="1">
      <alignment horizontal="center" wrapText="1"/>
    </xf>
    <xf numFmtId="0" fontId="0" fillId="0" borderId="244" xfId="0" applyBorder="1" applyAlignment="1">
      <alignment horizontal="center" wrapText="1"/>
    </xf>
    <xf numFmtId="43" fontId="0" fillId="14" borderId="0" xfId="1" applyFont="1" applyFill="1" applyAlignment="1">
      <alignment horizontal="center"/>
    </xf>
    <xf numFmtId="43" fontId="22" fillId="14" borderId="0" xfId="1" applyFont="1" applyFill="1" applyAlignment="1">
      <alignment horizontal="center"/>
    </xf>
    <xf numFmtId="0" fontId="0" fillId="14" borderId="0" xfId="0" applyFill="1" applyAlignment="1">
      <alignment horizontal="center"/>
    </xf>
    <xf numFmtId="0" fontId="0" fillId="0" borderId="31"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165" fontId="22" fillId="0" borderId="31" xfId="1" applyNumberFormat="1" applyFont="1" applyBorder="1" applyAlignment="1">
      <alignment horizontal="center" vertical="center" wrapText="1"/>
    </xf>
    <xf numFmtId="165" fontId="22" fillId="0" borderId="11" xfId="1" applyNumberFormat="1" applyFont="1" applyBorder="1" applyAlignment="1">
      <alignment horizontal="center" vertical="center" wrapText="1"/>
    </xf>
    <xf numFmtId="165" fontId="22" fillId="0" borderId="12" xfId="1" applyNumberFormat="1" applyFont="1" applyBorder="1" applyAlignment="1">
      <alignment horizontal="center" vertical="center" wrapText="1"/>
    </xf>
    <xf numFmtId="0" fontId="32" fillId="0" borderId="209" xfId="0" applyFont="1" applyBorder="1" applyAlignment="1">
      <alignment horizontal="center"/>
    </xf>
    <xf numFmtId="0" fontId="27" fillId="0" borderId="0" xfId="0" applyFont="1" applyAlignment="1">
      <alignment vertical="center" wrapText="1"/>
    </xf>
  </cellXfs>
  <cellStyles count="37585">
    <cellStyle name="%" xfId="46"/>
    <cellStyle name="% 10" xfId="47"/>
    <cellStyle name="% 11" xfId="48"/>
    <cellStyle name="% 12" xfId="49"/>
    <cellStyle name="% 13" xfId="50"/>
    <cellStyle name="% 14" xfId="51"/>
    <cellStyle name="% 15" xfId="52"/>
    <cellStyle name="% 16" xfId="53"/>
    <cellStyle name="% 17" xfId="54"/>
    <cellStyle name="% 18" xfId="55"/>
    <cellStyle name="% 2" xfId="56"/>
    <cellStyle name="% 2 10" xfId="57"/>
    <cellStyle name="% 2 11" xfId="58"/>
    <cellStyle name="% 2 2" xfId="59"/>
    <cellStyle name="% 2 3" xfId="60"/>
    <cellStyle name="% 2 4" xfId="61"/>
    <cellStyle name="% 2 5" xfId="62"/>
    <cellStyle name="% 2 6" xfId="63"/>
    <cellStyle name="% 2 7" xfId="64"/>
    <cellStyle name="% 2 8" xfId="65"/>
    <cellStyle name="% 2 9" xfId="66"/>
    <cellStyle name="% 3" xfId="67"/>
    <cellStyle name="% 3 10" xfId="68"/>
    <cellStyle name="% 3 11" xfId="69"/>
    <cellStyle name="% 3 2" xfId="70"/>
    <cellStyle name="% 3 3" xfId="71"/>
    <cellStyle name="% 3 4" xfId="72"/>
    <cellStyle name="% 3 5" xfId="73"/>
    <cellStyle name="% 3 6" xfId="74"/>
    <cellStyle name="% 3 7" xfId="75"/>
    <cellStyle name="% 3 8" xfId="76"/>
    <cellStyle name="% 3 9" xfId="77"/>
    <cellStyle name="% 4" xfId="78"/>
    <cellStyle name="% 4 10" xfId="79"/>
    <cellStyle name="% 4 11" xfId="80"/>
    <cellStyle name="% 4 2" xfId="81"/>
    <cellStyle name="% 4 3" xfId="82"/>
    <cellStyle name="% 4 4" xfId="83"/>
    <cellStyle name="% 4 5" xfId="84"/>
    <cellStyle name="% 4 6" xfId="85"/>
    <cellStyle name="% 4 7" xfId="86"/>
    <cellStyle name="% 4 8" xfId="87"/>
    <cellStyle name="% 4 9" xfId="88"/>
    <cellStyle name="% 5" xfId="89"/>
    <cellStyle name="% 5 10" xfId="90"/>
    <cellStyle name="% 5 11" xfId="91"/>
    <cellStyle name="% 5 2" xfId="92"/>
    <cellStyle name="% 5 3" xfId="93"/>
    <cellStyle name="% 5 4" xfId="94"/>
    <cellStyle name="% 5 5" xfId="95"/>
    <cellStyle name="% 5 6" xfId="96"/>
    <cellStyle name="% 5 7" xfId="97"/>
    <cellStyle name="% 5 8" xfId="98"/>
    <cellStyle name="% 5 9" xfId="99"/>
    <cellStyle name="% 6" xfId="100"/>
    <cellStyle name="% 6 10" xfId="101"/>
    <cellStyle name="% 6 11" xfId="102"/>
    <cellStyle name="% 6 2" xfId="103"/>
    <cellStyle name="% 6 3" xfId="104"/>
    <cellStyle name="% 6 4" xfId="105"/>
    <cellStyle name="% 6 5" xfId="106"/>
    <cellStyle name="% 6 6" xfId="107"/>
    <cellStyle name="% 6 7" xfId="108"/>
    <cellStyle name="% 6 8" xfId="109"/>
    <cellStyle name="% 6 9" xfId="110"/>
    <cellStyle name="% 7" xfId="111"/>
    <cellStyle name="% 7 10" xfId="112"/>
    <cellStyle name="% 7 11" xfId="113"/>
    <cellStyle name="% 7 2" xfId="114"/>
    <cellStyle name="% 7 3" xfId="115"/>
    <cellStyle name="% 7 4" xfId="116"/>
    <cellStyle name="% 7 5" xfId="117"/>
    <cellStyle name="% 7 6" xfId="118"/>
    <cellStyle name="% 7 7" xfId="119"/>
    <cellStyle name="% 7 8" xfId="120"/>
    <cellStyle name="% 7 9" xfId="121"/>
    <cellStyle name="% 8" xfId="122"/>
    <cellStyle name="% 8 10" xfId="123"/>
    <cellStyle name="% 8 11" xfId="124"/>
    <cellStyle name="% 8 2" xfId="125"/>
    <cellStyle name="% 8 3" xfId="126"/>
    <cellStyle name="% 8 4" xfId="127"/>
    <cellStyle name="% 8 5" xfId="128"/>
    <cellStyle name="% 8 6" xfId="129"/>
    <cellStyle name="% 8 7" xfId="130"/>
    <cellStyle name="% 8 8" xfId="131"/>
    <cellStyle name="% 8 9" xfId="132"/>
    <cellStyle name="% 9" xfId="133"/>
    <cellStyle name="% 9 10" xfId="134"/>
    <cellStyle name="% 9 11" xfId="135"/>
    <cellStyle name="% 9 2" xfId="136"/>
    <cellStyle name="% 9 3" xfId="137"/>
    <cellStyle name="% 9 4" xfId="138"/>
    <cellStyle name="% 9 5" xfId="139"/>
    <cellStyle name="% 9 6" xfId="140"/>
    <cellStyle name="% 9 7" xfId="141"/>
    <cellStyle name="% 9 8" xfId="142"/>
    <cellStyle name="% 9 9" xfId="143"/>
    <cellStyle name="%_PROD_DETAILS" xfId="144"/>
    <cellStyle name="%_PROD_DETAILS 10" xfId="145"/>
    <cellStyle name="%_PROD_DETAILS 11" xfId="146"/>
    <cellStyle name="%_PROD_DETAILS 2" xfId="147"/>
    <cellStyle name="%_PROD_DETAILS 3" xfId="148"/>
    <cellStyle name="%_PROD_DETAILS 4" xfId="149"/>
    <cellStyle name="%_PROD_DETAILS 5" xfId="150"/>
    <cellStyle name="%_PROD_DETAILS 6" xfId="151"/>
    <cellStyle name="%_PROD_DETAILS 7" xfId="152"/>
    <cellStyle name="%_PROD_DETAILS 8" xfId="153"/>
    <cellStyle name="%_PROD_DETAILS 9" xfId="154"/>
    <cellStyle name="******************************************" xfId="155"/>
    <cellStyle name="_PL_HY09 &amp; FY 09_v2" xfId="156"/>
    <cellStyle name="_PL_HY09 &amp; FY 09_v2 10" xfId="157"/>
    <cellStyle name="_PL_HY09 &amp; FY 09_v2 11" xfId="158"/>
    <cellStyle name="_PL_HY09 &amp; FY 09_v2 12" xfId="159"/>
    <cellStyle name="_PL_HY09 &amp; FY 09_v2 13" xfId="160"/>
    <cellStyle name="_PL_HY09 &amp; FY 09_v2 14" xfId="161"/>
    <cellStyle name="_PL_HY09 &amp; FY 09_v2 15" xfId="162"/>
    <cellStyle name="_PL_HY09 &amp; FY 09_v2 16" xfId="163"/>
    <cellStyle name="_PL_HY09 &amp; FY 09_v2 17" xfId="164"/>
    <cellStyle name="_PL_HY09 &amp; FY 09_v2 18" xfId="165"/>
    <cellStyle name="_PL_HY09 &amp; FY 09_v2 2" xfId="166"/>
    <cellStyle name="_PL_HY09 &amp; FY 09_v2 2 10" xfId="167"/>
    <cellStyle name="_PL_HY09 &amp; FY 09_v2 2 11" xfId="168"/>
    <cellStyle name="_PL_HY09 &amp; FY 09_v2 2 2" xfId="169"/>
    <cellStyle name="_PL_HY09 &amp; FY 09_v2 2 3" xfId="170"/>
    <cellStyle name="_PL_HY09 &amp; FY 09_v2 2 4" xfId="171"/>
    <cellStyle name="_PL_HY09 &amp; FY 09_v2 2 5" xfId="172"/>
    <cellStyle name="_PL_HY09 &amp; FY 09_v2 2 6" xfId="173"/>
    <cellStyle name="_PL_HY09 &amp; FY 09_v2 2 7" xfId="174"/>
    <cellStyle name="_PL_HY09 &amp; FY 09_v2 2 8" xfId="175"/>
    <cellStyle name="_PL_HY09 &amp; FY 09_v2 2 9" xfId="176"/>
    <cellStyle name="_PL_HY09 &amp; FY 09_v2 3" xfId="177"/>
    <cellStyle name="_PL_HY09 &amp; FY 09_v2 3 10" xfId="178"/>
    <cellStyle name="_PL_HY09 &amp; FY 09_v2 3 11" xfId="179"/>
    <cellStyle name="_PL_HY09 &amp; FY 09_v2 3 2" xfId="180"/>
    <cellStyle name="_PL_HY09 &amp; FY 09_v2 3 3" xfId="181"/>
    <cellStyle name="_PL_HY09 &amp; FY 09_v2 3 4" xfId="182"/>
    <cellStyle name="_PL_HY09 &amp; FY 09_v2 3 5" xfId="183"/>
    <cellStyle name="_PL_HY09 &amp; FY 09_v2 3 6" xfId="184"/>
    <cellStyle name="_PL_HY09 &amp; FY 09_v2 3 7" xfId="185"/>
    <cellStyle name="_PL_HY09 &amp; FY 09_v2 3 8" xfId="186"/>
    <cellStyle name="_PL_HY09 &amp; FY 09_v2 3 9" xfId="187"/>
    <cellStyle name="_PL_HY09 &amp; FY 09_v2 4" xfId="188"/>
    <cellStyle name="_PL_HY09 &amp; FY 09_v2 4 10" xfId="189"/>
    <cellStyle name="_PL_HY09 &amp; FY 09_v2 4 11" xfId="190"/>
    <cellStyle name="_PL_HY09 &amp; FY 09_v2 4 2" xfId="191"/>
    <cellStyle name="_PL_HY09 &amp; FY 09_v2 4 3" xfId="192"/>
    <cellStyle name="_PL_HY09 &amp; FY 09_v2 4 4" xfId="193"/>
    <cellStyle name="_PL_HY09 &amp; FY 09_v2 4 5" xfId="194"/>
    <cellStyle name="_PL_HY09 &amp; FY 09_v2 4 6" xfId="195"/>
    <cellStyle name="_PL_HY09 &amp; FY 09_v2 4 7" xfId="196"/>
    <cellStyle name="_PL_HY09 &amp; FY 09_v2 4 8" xfId="197"/>
    <cellStyle name="_PL_HY09 &amp; FY 09_v2 4 9" xfId="198"/>
    <cellStyle name="_PL_HY09 &amp; FY 09_v2 5" xfId="199"/>
    <cellStyle name="_PL_HY09 &amp; FY 09_v2 5 10" xfId="200"/>
    <cellStyle name="_PL_HY09 &amp; FY 09_v2 5 11" xfId="201"/>
    <cellStyle name="_PL_HY09 &amp; FY 09_v2 5 2" xfId="202"/>
    <cellStyle name="_PL_HY09 &amp; FY 09_v2 5 3" xfId="203"/>
    <cellStyle name="_PL_HY09 &amp; FY 09_v2 5 4" xfId="204"/>
    <cellStyle name="_PL_HY09 &amp; FY 09_v2 5 5" xfId="205"/>
    <cellStyle name="_PL_HY09 &amp; FY 09_v2 5 6" xfId="206"/>
    <cellStyle name="_PL_HY09 &amp; FY 09_v2 5 7" xfId="207"/>
    <cellStyle name="_PL_HY09 &amp; FY 09_v2 5 8" xfId="208"/>
    <cellStyle name="_PL_HY09 &amp; FY 09_v2 5 9" xfId="209"/>
    <cellStyle name="_PL_HY09 &amp; FY 09_v2 6" xfId="210"/>
    <cellStyle name="_PL_HY09 &amp; FY 09_v2 6 10" xfId="211"/>
    <cellStyle name="_PL_HY09 &amp; FY 09_v2 6 11" xfId="212"/>
    <cellStyle name="_PL_HY09 &amp; FY 09_v2 6 2" xfId="213"/>
    <cellStyle name="_PL_HY09 &amp; FY 09_v2 6 3" xfId="214"/>
    <cellStyle name="_PL_HY09 &amp; FY 09_v2 6 4" xfId="215"/>
    <cellStyle name="_PL_HY09 &amp; FY 09_v2 6 5" xfId="216"/>
    <cellStyle name="_PL_HY09 &amp; FY 09_v2 6 6" xfId="217"/>
    <cellStyle name="_PL_HY09 &amp; FY 09_v2 6 7" xfId="218"/>
    <cellStyle name="_PL_HY09 &amp; FY 09_v2 6 8" xfId="219"/>
    <cellStyle name="_PL_HY09 &amp; FY 09_v2 6 9" xfId="220"/>
    <cellStyle name="_PL_HY09 &amp; FY 09_v2 7" xfId="221"/>
    <cellStyle name="_PL_HY09 &amp; FY 09_v2 7 10" xfId="222"/>
    <cellStyle name="_PL_HY09 &amp; FY 09_v2 7 11" xfId="223"/>
    <cellStyle name="_PL_HY09 &amp; FY 09_v2 7 2" xfId="224"/>
    <cellStyle name="_PL_HY09 &amp; FY 09_v2 7 3" xfId="225"/>
    <cellStyle name="_PL_HY09 &amp; FY 09_v2 7 4" xfId="226"/>
    <cellStyle name="_PL_HY09 &amp; FY 09_v2 7 5" xfId="227"/>
    <cellStyle name="_PL_HY09 &amp; FY 09_v2 7 6" xfId="228"/>
    <cellStyle name="_PL_HY09 &amp; FY 09_v2 7 7" xfId="229"/>
    <cellStyle name="_PL_HY09 &amp; FY 09_v2 7 8" xfId="230"/>
    <cellStyle name="_PL_HY09 &amp; FY 09_v2 7 9" xfId="231"/>
    <cellStyle name="_PL_HY09 &amp; FY 09_v2 8" xfId="232"/>
    <cellStyle name="_PL_HY09 &amp; FY 09_v2 8 10" xfId="233"/>
    <cellStyle name="_PL_HY09 &amp; FY 09_v2 8 11" xfId="234"/>
    <cellStyle name="_PL_HY09 &amp; FY 09_v2 8 2" xfId="235"/>
    <cellStyle name="_PL_HY09 &amp; FY 09_v2 8 3" xfId="236"/>
    <cellStyle name="_PL_HY09 &amp; FY 09_v2 8 4" xfId="237"/>
    <cellStyle name="_PL_HY09 &amp; FY 09_v2 8 5" xfId="238"/>
    <cellStyle name="_PL_HY09 &amp; FY 09_v2 8 6" xfId="239"/>
    <cellStyle name="_PL_HY09 &amp; FY 09_v2 8 7" xfId="240"/>
    <cellStyle name="_PL_HY09 &amp; FY 09_v2 8 8" xfId="241"/>
    <cellStyle name="_PL_HY09 &amp; FY 09_v2 8 9" xfId="242"/>
    <cellStyle name="_PL_HY09 &amp; FY 09_v2 9" xfId="243"/>
    <cellStyle name="_PL_HY09 &amp; FY 09_v2 9 10" xfId="244"/>
    <cellStyle name="_PL_HY09 &amp; FY 09_v2 9 11" xfId="245"/>
    <cellStyle name="_PL_HY09 &amp; FY 09_v2 9 2" xfId="246"/>
    <cellStyle name="_PL_HY09 &amp; FY 09_v2 9 3" xfId="247"/>
    <cellStyle name="_PL_HY09 &amp; FY 09_v2 9 4" xfId="248"/>
    <cellStyle name="_PL_HY09 &amp; FY 09_v2 9 5" xfId="249"/>
    <cellStyle name="_PL_HY09 &amp; FY 09_v2 9 6" xfId="250"/>
    <cellStyle name="_PL_HY09 &amp; FY 09_v2 9 7" xfId="251"/>
    <cellStyle name="_PL_HY09 &amp; FY 09_v2 9 8" xfId="252"/>
    <cellStyle name="_PL_HY09 &amp; FY 09_v2 9 9" xfId="253"/>
    <cellStyle name="_PL_HY09 &amp; FY 09_v2_PROD_DETAILS" xfId="254"/>
    <cellStyle name="_PL_HY09 &amp; FY 09_v2_PROD_DETAILS 10" xfId="255"/>
    <cellStyle name="_PL_HY09 &amp; FY 09_v2_PROD_DETAILS 11" xfId="256"/>
    <cellStyle name="_PL_HY09 &amp; FY 09_v2_PROD_DETAILS 2" xfId="257"/>
    <cellStyle name="_PL_HY09 &amp; FY 09_v2_PROD_DETAILS 3" xfId="258"/>
    <cellStyle name="_PL_HY09 &amp; FY 09_v2_PROD_DETAILS 4" xfId="259"/>
    <cellStyle name="_PL_HY09 &amp; FY 09_v2_PROD_DETAILS 5" xfId="260"/>
    <cellStyle name="_PL_HY09 &amp; FY 09_v2_PROD_DETAILS 6" xfId="261"/>
    <cellStyle name="_PL_HY09 &amp; FY 09_v2_PROD_DETAILS 7" xfId="262"/>
    <cellStyle name="_PL_HY09 &amp; FY 09_v2_PROD_DETAILS 8" xfId="263"/>
    <cellStyle name="_PL_HY09 &amp; FY 09_v2_PROD_DETAILS 9" xfId="264"/>
    <cellStyle name="_Rev_Acc" xfId="265"/>
    <cellStyle name="_Rev_Acc 10" xfId="266"/>
    <cellStyle name="_Rev_Acc 11" xfId="267"/>
    <cellStyle name="_Rev_Acc 12" xfId="268"/>
    <cellStyle name="_Rev_Acc 13" xfId="269"/>
    <cellStyle name="_Rev_Acc 14" xfId="270"/>
    <cellStyle name="_Rev_Acc 15" xfId="271"/>
    <cellStyle name="_Rev_Acc 16" xfId="272"/>
    <cellStyle name="_Rev_Acc 17" xfId="273"/>
    <cellStyle name="_Rev_Acc 18" xfId="274"/>
    <cellStyle name="_Rev_Acc 2" xfId="275"/>
    <cellStyle name="_Rev_Acc 2 10" xfId="276"/>
    <cellStyle name="_Rev_Acc 2 11" xfId="277"/>
    <cellStyle name="_Rev_Acc 2 2" xfId="278"/>
    <cellStyle name="_Rev_Acc 2 3" xfId="279"/>
    <cellStyle name="_Rev_Acc 2 4" xfId="280"/>
    <cellStyle name="_Rev_Acc 2 5" xfId="281"/>
    <cellStyle name="_Rev_Acc 2 6" xfId="282"/>
    <cellStyle name="_Rev_Acc 2 7" xfId="283"/>
    <cellStyle name="_Rev_Acc 2 8" xfId="284"/>
    <cellStyle name="_Rev_Acc 2 9" xfId="285"/>
    <cellStyle name="_Rev_Acc 3" xfId="286"/>
    <cellStyle name="_Rev_Acc 3 10" xfId="287"/>
    <cellStyle name="_Rev_Acc 3 11" xfId="288"/>
    <cellStyle name="_Rev_Acc 3 2" xfId="289"/>
    <cellStyle name="_Rev_Acc 3 3" xfId="290"/>
    <cellStyle name="_Rev_Acc 3 4" xfId="291"/>
    <cellStyle name="_Rev_Acc 3 5" xfId="292"/>
    <cellStyle name="_Rev_Acc 3 6" xfId="293"/>
    <cellStyle name="_Rev_Acc 3 7" xfId="294"/>
    <cellStyle name="_Rev_Acc 3 8" xfId="295"/>
    <cellStyle name="_Rev_Acc 3 9" xfId="296"/>
    <cellStyle name="_Rev_Acc 4" xfId="297"/>
    <cellStyle name="_Rev_Acc 4 10" xfId="298"/>
    <cellStyle name="_Rev_Acc 4 11" xfId="299"/>
    <cellStyle name="_Rev_Acc 4 2" xfId="300"/>
    <cellStyle name="_Rev_Acc 4 3" xfId="301"/>
    <cellStyle name="_Rev_Acc 4 4" xfId="302"/>
    <cellStyle name="_Rev_Acc 4 5" xfId="303"/>
    <cellStyle name="_Rev_Acc 4 6" xfId="304"/>
    <cellStyle name="_Rev_Acc 4 7" xfId="305"/>
    <cellStyle name="_Rev_Acc 4 8" xfId="306"/>
    <cellStyle name="_Rev_Acc 4 9" xfId="307"/>
    <cellStyle name="_Rev_Acc 5" xfId="308"/>
    <cellStyle name="_Rev_Acc 5 10" xfId="309"/>
    <cellStyle name="_Rev_Acc 5 11" xfId="310"/>
    <cellStyle name="_Rev_Acc 5 2" xfId="311"/>
    <cellStyle name="_Rev_Acc 5 3" xfId="312"/>
    <cellStyle name="_Rev_Acc 5 4" xfId="313"/>
    <cellStyle name="_Rev_Acc 5 5" xfId="314"/>
    <cellStyle name="_Rev_Acc 5 6" xfId="315"/>
    <cellStyle name="_Rev_Acc 5 7" xfId="316"/>
    <cellStyle name="_Rev_Acc 5 8" xfId="317"/>
    <cellStyle name="_Rev_Acc 5 9" xfId="318"/>
    <cellStyle name="_Rev_Acc 6" xfId="319"/>
    <cellStyle name="_Rev_Acc 6 10" xfId="320"/>
    <cellStyle name="_Rev_Acc 6 11" xfId="321"/>
    <cellStyle name="_Rev_Acc 6 2" xfId="322"/>
    <cellStyle name="_Rev_Acc 6 3" xfId="323"/>
    <cellStyle name="_Rev_Acc 6 4" xfId="324"/>
    <cellStyle name="_Rev_Acc 6 5" xfId="325"/>
    <cellStyle name="_Rev_Acc 6 6" xfId="326"/>
    <cellStyle name="_Rev_Acc 6 7" xfId="327"/>
    <cellStyle name="_Rev_Acc 6 8" xfId="328"/>
    <cellStyle name="_Rev_Acc 6 9" xfId="329"/>
    <cellStyle name="_Rev_Acc 7" xfId="330"/>
    <cellStyle name="_Rev_Acc 7 10" xfId="331"/>
    <cellStyle name="_Rev_Acc 7 11" xfId="332"/>
    <cellStyle name="_Rev_Acc 7 2" xfId="333"/>
    <cellStyle name="_Rev_Acc 7 3" xfId="334"/>
    <cellStyle name="_Rev_Acc 7 4" xfId="335"/>
    <cellStyle name="_Rev_Acc 7 5" xfId="336"/>
    <cellStyle name="_Rev_Acc 7 6" xfId="337"/>
    <cellStyle name="_Rev_Acc 7 7" xfId="338"/>
    <cellStyle name="_Rev_Acc 7 8" xfId="339"/>
    <cellStyle name="_Rev_Acc 7 9" xfId="340"/>
    <cellStyle name="_Rev_Acc 8" xfId="341"/>
    <cellStyle name="_Rev_Acc 8 10" xfId="342"/>
    <cellStyle name="_Rev_Acc 8 11" xfId="343"/>
    <cellStyle name="_Rev_Acc 8 2" xfId="344"/>
    <cellStyle name="_Rev_Acc 8 3" xfId="345"/>
    <cellStyle name="_Rev_Acc 8 4" xfId="346"/>
    <cellStyle name="_Rev_Acc 8 5" xfId="347"/>
    <cellStyle name="_Rev_Acc 8 6" xfId="348"/>
    <cellStyle name="_Rev_Acc 8 7" xfId="349"/>
    <cellStyle name="_Rev_Acc 8 8" xfId="350"/>
    <cellStyle name="_Rev_Acc 8 9" xfId="351"/>
    <cellStyle name="_Rev_Acc 9" xfId="352"/>
    <cellStyle name="_Rev_Acc 9 10" xfId="353"/>
    <cellStyle name="_Rev_Acc 9 11" xfId="354"/>
    <cellStyle name="_Rev_Acc 9 2" xfId="355"/>
    <cellStyle name="_Rev_Acc 9 3" xfId="356"/>
    <cellStyle name="_Rev_Acc 9 4" xfId="357"/>
    <cellStyle name="_Rev_Acc 9 5" xfId="358"/>
    <cellStyle name="_Rev_Acc 9 6" xfId="359"/>
    <cellStyle name="_Rev_Acc 9 7" xfId="360"/>
    <cellStyle name="_Rev_Acc 9 8" xfId="361"/>
    <cellStyle name="_Rev_Acc 9 9" xfId="362"/>
    <cellStyle name="_Rev_Acc_PROD_DETAILS" xfId="363"/>
    <cellStyle name="_Rev_Acc_PROD_DETAILS 10" xfId="364"/>
    <cellStyle name="_Rev_Acc_PROD_DETAILS 11" xfId="365"/>
    <cellStyle name="_Rev_Acc_PROD_DETAILS 2" xfId="366"/>
    <cellStyle name="_Rev_Acc_PROD_DETAILS 3" xfId="367"/>
    <cellStyle name="_Rev_Acc_PROD_DETAILS 4" xfId="368"/>
    <cellStyle name="_Rev_Acc_PROD_DETAILS 5" xfId="369"/>
    <cellStyle name="_Rev_Acc_PROD_DETAILS 6" xfId="370"/>
    <cellStyle name="_Rev_Acc_PROD_DETAILS 7" xfId="371"/>
    <cellStyle name="_Rev_Acc_PROD_DETAILS 8" xfId="372"/>
    <cellStyle name="_Rev_Acc_PROD_DETAILS 9" xfId="373"/>
    <cellStyle name="=C:\WINNT\SYSTEM32\COMMAND.COM" xfId="23490"/>
    <cellStyle name="20% - Accent1 10" xfId="374"/>
    <cellStyle name="20% - Accent1 11" xfId="375"/>
    <cellStyle name="20% - Accent1 12" xfId="376"/>
    <cellStyle name="20% - Accent1 13" xfId="377"/>
    <cellStyle name="20% - Accent1 14" xfId="378"/>
    <cellStyle name="20% - Accent1 15" xfId="379"/>
    <cellStyle name="20% - Accent1 16" xfId="380"/>
    <cellStyle name="20% - Accent1 17" xfId="381"/>
    <cellStyle name="20% - Accent1 17 2" xfId="382"/>
    <cellStyle name="20% - Accent1 17 3" xfId="383"/>
    <cellStyle name="20% - Accent1 17 4" xfId="384"/>
    <cellStyle name="20% - Accent1 17 5" xfId="385"/>
    <cellStyle name="20% - Accent1 18" xfId="386"/>
    <cellStyle name="20% - Accent1 18 2" xfId="387"/>
    <cellStyle name="20% - Accent1 18 3" xfId="388"/>
    <cellStyle name="20% - Accent1 18 4" xfId="389"/>
    <cellStyle name="20% - Accent1 18 5" xfId="390"/>
    <cellStyle name="20% - Accent1 19" xfId="391"/>
    <cellStyle name="20% - Accent1 19 2" xfId="392"/>
    <cellStyle name="20% - Accent1 19 3" xfId="393"/>
    <cellStyle name="20% - Accent1 19 4" xfId="394"/>
    <cellStyle name="20% - Accent1 19 5" xfId="395"/>
    <cellStyle name="20% - Accent1 2" xfId="396"/>
    <cellStyle name="20% - Accent1 2 2" xfId="23491"/>
    <cellStyle name="20% - Accent1 20" xfId="397"/>
    <cellStyle name="20% - Accent1 20 2" xfId="398"/>
    <cellStyle name="20% - Accent1 20 3" xfId="399"/>
    <cellStyle name="20% - Accent1 20 4" xfId="400"/>
    <cellStyle name="20% - Accent1 20 5" xfId="401"/>
    <cellStyle name="20% - Accent1 21" xfId="402"/>
    <cellStyle name="20% - Accent1 21 2" xfId="403"/>
    <cellStyle name="20% - Accent1 21 3" xfId="404"/>
    <cellStyle name="20% - Accent1 21 4" xfId="405"/>
    <cellStyle name="20% - Accent1 21 5" xfId="406"/>
    <cellStyle name="20% - Accent1 22" xfId="407"/>
    <cellStyle name="20% - Accent1 22 2" xfId="408"/>
    <cellStyle name="20% - Accent1 22 3" xfId="409"/>
    <cellStyle name="20% - Accent1 22 4" xfId="410"/>
    <cellStyle name="20% - Accent1 22 5" xfId="411"/>
    <cellStyle name="20% - Accent1 23" xfId="412"/>
    <cellStyle name="20% - Accent1 24" xfId="413"/>
    <cellStyle name="20% - Accent1 25" xfId="414"/>
    <cellStyle name="20% - Accent1 26" xfId="415"/>
    <cellStyle name="20% - Accent1 3" xfId="416"/>
    <cellStyle name="20% - Accent1 4" xfId="417"/>
    <cellStyle name="20% - Accent1 5" xfId="418"/>
    <cellStyle name="20% - Accent1 6" xfId="419"/>
    <cellStyle name="20% - Accent1 7" xfId="420"/>
    <cellStyle name="20% - Accent1 8" xfId="421"/>
    <cellStyle name="20% - Accent1 9" xfId="422"/>
    <cellStyle name="20% - Accent2 10" xfId="423"/>
    <cellStyle name="20% - Accent2 11" xfId="424"/>
    <cellStyle name="20% - Accent2 12" xfId="425"/>
    <cellStyle name="20% - Accent2 13" xfId="426"/>
    <cellStyle name="20% - Accent2 14" xfId="427"/>
    <cellStyle name="20% - Accent2 15" xfId="428"/>
    <cellStyle name="20% - Accent2 16" xfId="429"/>
    <cellStyle name="20% - Accent2 17" xfId="430"/>
    <cellStyle name="20% - Accent2 17 2" xfId="431"/>
    <cellStyle name="20% - Accent2 17 3" xfId="432"/>
    <cellStyle name="20% - Accent2 17 4" xfId="433"/>
    <cellStyle name="20% - Accent2 17 5" xfId="434"/>
    <cellStyle name="20% - Accent2 18" xfId="435"/>
    <cellStyle name="20% - Accent2 18 2" xfId="436"/>
    <cellStyle name="20% - Accent2 18 3" xfId="437"/>
    <cellStyle name="20% - Accent2 18 4" xfId="438"/>
    <cellStyle name="20% - Accent2 18 5" xfId="439"/>
    <cellStyle name="20% - Accent2 19" xfId="440"/>
    <cellStyle name="20% - Accent2 19 2" xfId="441"/>
    <cellStyle name="20% - Accent2 19 3" xfId="442"/>
    <cellStyle name="20% - Accent2 19 4" xfId="443"/>
    <cellStyle name="20% - Accent2 19 5" xfId="444"/>
    <cellStyle name="20% - Accent2 2" xfId="445"/>
    <cellStyle name="20% - Accent2 2 2" xfId="23492"/>
    <cellStyle name="20% - Accent2 20" xfId="446"/>
    <cellStyle name="20% - Accent2 20 2" xfId="447"/>
    <cellStyle name="20% - Accent2 20 3" xfId="448"/>
    <cellStyle name="20% - Accent2 20 4" xfId="449"/>
    <cellStyle name="20% - Accent2 20 5" xfId="450"/>
    <cellStyle name="20% - Accent2 21" xfId="451"/>
    <cellStyle name="20% - Accent2 21 2" xfId="452"/>
    <cellStyle name="20% - Accent2 21 3" xfId="453"/>
    <cellStyle name="20% - Accent2 21 4" xfId="454"/>
    <cellStyle name="20% - Accent2 21 5" xfId="455"/>
    <cellStyle name="20% - Accent2 22" xfId="456"/>
    <cellStyle name="20% - Accent2 22 2" xfId="457"/>
    <cellStyle name="20% - Accent2 22 3" xfId="458"/>
    <cellStyle name="20% - Accent2 22 4" xfId="459"/>
    <cellStyle name="20% - Accent2 22 5" xfId="460"/>
    <cellStyle name="20% - Accent2 23" xfId="461"/>
    <cellStyle name="20% - Accent2 24" xfId="462"/>
    <cellStyle name="20% - Accent2 25" xfId="463"/>
    <cellStyle name="20% - Accent2 26" xfId="464"/>
    <cellStyle name="20% - Accent2 3" xfId="465"/>
    <cellStyle name="20% - Accent2 4" xfId="466"/>
    <cellStyle name="20% - Accent2 5" xfId="467"/>
    <cellStyle name="20% - Accent2 6" xfId="468"/>
    <cellStyle name="20% - Accent2 7" xfId="469"/>
    <cellStyle name="20% - Accent2 8" xfId="470"/>
    <cellStyle name="20% - Accent2 9" xfId="471"/>
    <cellStyle name="20% - Accent3 10" xfId="472"/>
    <cellStyle name="20% - Accent3 11" xfId="473"/>
    <cellStyle name="20% - Accent3 12" xfId="474"/>
    <cellStyle name="20% - Accent3 13" xfId="475"/>
    <cellStyle name="20% - Accent3 14" xfId="476"/>
    <cellStyle name="20% - Accent3 15" xfId="477"/>
    <cellStyle name="20% - Accent3 16" xfId="478"/>
    <cellStyle name="20% - Accent3 17" xfId="479"/>
    <cellStyle name="20% - Accent3 17 2" xfId="480"/>
    <cellStyle name="20% - Accent3 17 3" xfId="481"/>
    <cellStyle name="20% - Accent3 17 4" xfId="482"/>
    <cellStyle name="20% - Accent3 17 5" xfId="483"/>
    <cellStyle name="20% - Accent3 18" xfId="484"/>
    <cellStyle name="20% - Accent3 18 2" xfId="485"/>
    <cellStyle name="20% - Accent3 18 3" xfId="486"/>
    <cellStyle name="20% - Accent3 18 4" xfId="487"/>
    <cellStyle name="20% - Accent3 18 5" xfId="488"/>
    <cellStyle name="20% - Accent3 19" xfId="489"/>
    <cellStyle name="20% - Accent3 19 2" xfId="490"/>
    <cellStyle name="20% - Accent3 19 3" xfId="491"/>
    <cellStyle name="20% - Accent3 19 4" xfId="492"/>
    <cellStyle name="20% - Accent3 19 5" xfId="493"/>
    <cellStyle name="20% - Accent3 2" xfId="494"/>
    <cellStyle name="20% - Accent3 2 2" xfId="23493"/>
    <cellStyle name="20% - Accent3 20" xfId="495"/>
    <cellStyle name="20% - Accent3 20 2" xfId="496"/>
    <cellStyle name="20% - Accent3 20 3" xfId="497"/>
    <cellStyle name="20% - Accent3 20 4" xfId="498"/>
    <cellStyle name="20% - Accent3 20 5" xfId="499"/>
    <cellStyle name="20% - Accent3 21" xfId="500"/>
    <cellStyle name="20% - Accent3 21 2" xfId="501"/>
    <cellStyle name="20% - Accent3 21 3" xfId="502"/>
    <cellStyle name="20% - Accent3 21 4" xfId="503"/>
    <cellStyle name="20% - Accent3 21 5" xfId="504"/>
    <cellStyle name="20% - Accent3 22" xfId="505"/>
    <cellStyle name="20% - Accent3 22 2" xfId="506"/>
    <cellStyle name="20% - Accent3 22 3" xfId="507"/>
    <cellStyle name="20% - Accent3 22 4" xfId="508"/>
    <cellStyle name="20% - Accent3 22 5" xfId="509"/>
    <cellStyle name="20% - Accent3 23" xfId="510"/>
    <cellStyle name="20% - Accent3 24" xfId="511"/>
    <cellStyle name="20% - Accent3 25" xfId="512"/>
    <cellStyle name="20% - Accent3 26" xfId="513"/>
    <cellStyle name="20% - Accent3 3" xfId="514"/>
    <cellStyle name="20% - Accent3 4" xfId="515"/>
    <cellStyle name="20% - Accent3 5" xfId="516"/>
    <cellStyle name="20% - Accent3 6" xfId="517"/>
    <cellStyle name="20% - Accent3 7" xfId="518"/>
    <cellStyle name="20% - Accent3 8" xfId="519"/>
    <cellStyle name="20% - Accent3 9" xfId="520"/>
    <cellStyle name="20% - Accent4 10" xfId="521"/>
    <cellStyle name="20% - Accent4 11" xfId="522"/>
    <cellStyle name="20% - Accent4 12" xfId="523"/>
    <cellStyle name="20% - Accent4 13" xfId="524"/>
    <cellStyle name="20% - Accent4 14" xfId="525"/>
    <cellStyle name="20% - Accent4 15" xfId="526"/>
    <cellStyle name="20% - Accent4 16" xfId="527"/>
    <cellStyle name="20% - Accent4 17" xfId="528"/>
    <cellStyle name="20% - Accent4 17 2" xfId="529"/>
    <cellStyle name="20% - Accent4 17 3" xfId="530"/>
    <cellStyle name="20% - Accent4 17 4" xfId="531"/>
    <cellStyle name="20% - Accent4 17 5" xfId="532"/>
    <cellStyle name="20% - Accent4 18" xfId="533"/>
    <cellStyle name="20% - Accent4 18 2" xfId="534"/>
    <cellStyle name="20% - Accent4 18 3" xfId="535"/>
    <cellStyle name="20% - Accent4 18 4" xfId="536"/>
    <cellStyle name="20% - Accent4 18 5" xfId="537"/>
    <cellStyle name="20% - Accent4 19" xfId="538"/>
    <cellStyle name="20% - Accent4 19 2" xfId="539"/>
    <cellStyle name="20% - Accent4 19 3" xfId="540"/>
    <cellStyle name="20% - Accent4 19 4" xfId="541"/>
    <cellStyle name="20% - Accent4 19 5" xfId="542"/>
    <cellStyle name="20% - Accent4 2" xfId="543"/>
    <cellStyle name="20% - Accent4 2 2" xfId="23494"/>
    <cellStyle name="20% - Accent4 20" xfId="544"/>
    <cellStyle name="20% - Accent4 20 2" xfId="545"/>
    <cellStyle name="20% - Accent4 20 3" xfId="546"/>
    <cellStyle name="20% - Accent4 20 4" xfId="547"/>
    <cellStyle name="20% - Accent4 20 5" xfId="548"/>
    <cellStyle name="20% - Accent4 21" xfId="549"/>
    <cellStyle name="20% - Accent4 21 2" xfId="550"/>
    <cellStyle name="20% - Accent4 21 3" xfId="551"/>
    <cellStyle name="20% - Accent4 21 4" xfId="552"/>
    <cellStyle name="20% - Accent4 21 5" xfId="553"/>
    <cellStyle name="20% - Accent4 22" xfId="554"/>
    <cellStyle name="20% - Accent4 22 2" xfId="555"/>
    <cellStyle name="20% - Accent4 22 3" xfId="556"/>
    <cellStyle name="20% - Accent4 22 4" xfId="557"/>
    <cellStyle name="20% - Accent4 22 5" xfId="558"/>
    <cellStyle name="20% - Accent4 23" xfId="559"/>
    <cellStyle name="20% - Accent4 24" xfId="560"/>
    <cellStyle name="20% - Accent4 25" xfId="561"/>
    <cellStyle name="20% - Accent4 26" xfId="562"/>
    <cellStyle name="20% - Accent4 3" xfId="563"/>
    <cellStyle name="20% - Accent4 4" xfId="564"/>
    <cellStyle name="20% - Accent4 5" xfId="565"/>
    <cellStyle name="20% - Accent4 6" xfId="566"/>
    <cellStyle name="20% - Accent4 7" xfId="567"/>
    <cellStyle name="20% - Accent4 8" xfId="568"/>
    <cellStyle name="20% - Accent4 9" xfId="569"/>
    <cellStyle name="20% - Accent5 10" xfId="570"/>
    <cellStyle name="20% - Accent5 11" xfId="571"/>
    <cellStyle name="20% - Accent5 12" xfId="572"/>
    <cellStyle name="20% - Accent5 13" xfId="573"/>
    <cellStyle name="20% - Accent5 14" xfId="574"/>
    <cellStyle name="20% - Accent5 15" xfId="575"/>
    <cellStyle name="20% - Accent5 16" xfId="576"/>
    <cellStyle name="20% - Accent5 17" xfId="577"/>
    <cellStyle name="20% - Accent5 17 2" xfId="578"/>
    <cellStyle name="20% - Accent5 17 3" xfId="579"/>
    <cellStyle name="20% - Accent5 17 4" xfId="580"/>
    <cellStyle name="20% - Accent5 17 5" xfId="581"/>
    <cellStyle name="20% - Accent5 18" xfId="582"/>
    <cellStyle name="20% - Accent5 18 2" xfId="583"/>
    <cellStyle name="20% - Accent5 18 3" xfId="584"/>
    <cellStyle name="20% - Accent5 18 4" xfId="585"/>
    <cellStyle name="20% - Accent5 18 5" xfId="586"/>
    <cellStyle name="20% - Accent5 19" xfId="587"/>
    <cellStyle name="20% - Accent5 19 2" xfId="588"/>
    <cellStyle name="20% - Accent5 19 3" xfId="589"/>
    <cellStyle name="20% - Accent5 19 4" xfId="590"/>
    <cellStyle name="20% - Accent5 19 5" xfId="591"/>
    <cellStyle name="20% - Accent5 2" xfId="592"/>
    <cellStyle name="20% - Accent5 2 2" xfId="23495"/>
    <cellStyle name="20% - Accent5 20" xfId="593"/>
    <cellStyle name="20% - Accent5 20 2" xfId="594"/>
    <cellStyle name="20% - Accent5 20 3" xfId="595"/>
    <cellStyle name="20% - Accent5 20 4" xfId="596"/>
    <cellStyle name="20% - Accent5 20 5" xfId="597"/>
    <cellStyle name="20% - Accent5 21" xfId="598"/>
    <cellStyle name="20% - Accent5 21 2" xfId="599"/>
    <cellStyle name="20% - Accent5 21 3" xfId="600"/>
    <cellStyle name="20% - Accent5 21 4" xfId="601"/>
    <cellStyle name="20% - Accent5 21 5" xfId="602"/>
    <cellStyle name="20% - Accent5 22" xfId="603"/>
    <cellStyle name="20% - Accent5 22 2" xfId="604"/>
    <cellStyle name="20% - Accent5 22 3" xfId="605"/>
    <cellStyle name="20% - Accent5 22 4" xfId="606"/>
    <cellStyle name="20% - Accent5 22 5" xfId="607"/>
    <cellStyle name="20% - Accent5 23" xfId="608"/>
    <cellStyle name="20% - Accent5 24" xfId="609"/>
    <cellStyle name="20% - Accent5 25" xfId="610"/>
    <cellStyle name="20% - Accent5 26" xfId="611"/>
    <cellStyle name="20% - Accent5 3" xfId="612"/>
    <cellStyle name="20% - Accent5 4" xfId="613"/>
    <cellStyle name="20% - Accent5 5" xfId="614"/>
    <cellStyle name="20% - Accent5 6" xfId="615"/>
    <cellStyle name="20% - Accent5 7" xfId="616"/>
    <cellStyle name="20% - Accent5 8" xfId="617"/>
    <cellStyle name="20% - Accent5 9" xfId="618"/>
    <cellStyle name="20% - Accent6 10" xfId="619"/>
    <cellStyle name="20% - Accent6 11" xfId="620"/>
    <cellStyle name="20% - Accent6 12" xfId="621"/>
    <cellStyle name="20% - Accent6 13" xfId="622"/>
    <cellStyle name="20% - Accent6 14" xfId="623"/>
    <cellStyle name="20% - Accent6 15" xfId="624"/>
    <cellStyle name="20% - Accent6 16" xfId="625"/>
    <cellStyle name="20% - Accent6 17" xfId="626"/>
    <cellStyle name="20% - Accent6 17 2" xfId="627"/>
    <cellStyle name="20% - Accent6 17 3" xfId="628"/>
    <cellStyle name="20% - Accent6 17 4" xfId="629"/>
    <cellStyle name="20% - Accent6 17 5" xfId="630"/>
    <cellStyle name="20% - Accent6 18" xfId="631"/>
    <cellStyle name="20% - Accent6 18 2" xfId="632"/>
    <cellStyle name="20% - Accent6 18 3" xfId="633"/>
    <cellStyle name="20% - Accent6 18 4" xfId="634"/>
    <cellStyle name="20% - Accent6 18 5" xfId="635"/>
    <cellStyle name="20% - Accent6 19" xfId="636"/>
    <cellStyle name="20% - Accent6 19 2" xfId="637"/>
    <cellStyle name="20% - Accent6 19 3" xfId="638"/>
    <cellStyle name="20% - Accent6 19 4" xfId="639"/>
    <cellStyle name="20% - Accent6 19 5" xfId="640"/>
    <cellStyle name="20% - Accent6 2" xfId="641"/>
    <cellStyle name="20% - Accent6 2 2" xfId="23496"/>
    <cellStyle name="20% - Accent6 20" xfId="642"/>
    <cellStyle name="20% - Accent6 20 2" xfId="643"/>
    <cellStyle name="20% - Accent6 20 3" xfId="644"/>
    <cellStyle name="20% - Accent6 20 4" xfId="645"/>
    <cellStyle name="20% - Accent6 20 5" xfId="646"/>
    <cellStyle name="20% - Accent6 21" xfId="647"/>
    <cellStyle name="20% - Accent6 21 2" xfId="648"/>
    <cellStyle name="20% - Accent6 21 3" xfId="649"/>
    <cellStyle name="20% - Accent6 21 4" xfId="650"/>
    <cellStyle name="20% - Accent6 21 5" xfId="651"/>
    <cellStyle name="20% - Accent6 22" xfId="652"/>
    <cellStyle name="20% - Accent6 22 2" xfId="653"/>
    <cellStyle name="20% - Accent6 22 3" xfId="654"/>
    <cellStyle name="20% - Accent6 22 4" xfId="655"/>
    <cellStyle name="20% - Accent6 22 5" xfId="656"/>
    <cellStyle name="20% - Accent6 23" xfId="657"/>
    <cellStyle name="20% - Accent6 24" xfId="658"/>
    <cellStyle name="20% - Accent6 25" xfId="659"/>
    <cellStyle name="20% - Accent6 26" xfId="660"/>
    <cellStyle name="20% - Accent6 3" xfId="661"/>
    <cellStyle name="20% - Accent6 4" xfId="662"/>
    <cellStyle name="20% - Accent6 5" xfId="663"/>
    <cellStyle name="20% - Accent6 6" xfId="664"/>
    <cellStyle name="20% - Accent6 7" xfId="665"/>
    <cellStyle name="20% - Accent6 8" xfId="666"/>
    <cellStyle name="20% - Accent6 9" xfId="667"/>
    <cellStyle name="40% - Accent1 10" xfId="668"/>
    <cellStyle name="40% - Accent1 11" xfId="669"/>
    <cellStyle name="40% - Accent1 12" xfId="670"/>
    <cellStyle name="40% - Accent1 13" xfId="671"/>
    <cellStyle name="40% - Accent1 14" xfId="672"/>
    <cellStyle name="40% - Accent1 15" xfId="673"/>
    <cellStyle name="40% - Accent1 16" xfId="674"/>
    <cellStyle name="40% - Accent1 17" xfId="675"/>
    <cellStyle name="40% - Accent1 17 2" xfId="676"/>
    <cellStyle name="40% - Accent1 17 3" xfId="677"/>
    <cellStyle name="40% - Accent1 17 4" xfId="678"/>
    <cellStyle name="40% - Accent1 17 5" xfId="679"/>
    <cellStyle name="40% - Accent1 18" xfId="680"/>
    <cellStyle name="40% - Accent1 18 2" xfId="681"/>
    <cellStyle name="40% - Accent1 18 3" xfId="682"/>
    <cellStyle name="40% - Accent1 18 4" xfId="683"/>
    <cellStyle name="40% - Accent1 18 5" xfId="684"/>
    <cellStyle name="40% - Accent1 19" xfId="685"/>
    <cellStyle name="40% - Accent1 19 2" xfId="686"/>
    <cellStyle name="40% - Accent1 19 3" xfId="687"/>
    <cellStyle name="40% - Accent1 19 4" xfId="688"/>
    <cellStyle name="40% - Accent1 19 5" xfId="689"/>
    <cellStyle name="40% - Accent1 2" xfId="690"/>
    <cellStyle name="40% - Accent1 2 2" xfId="23497"/>
    <cellStyle name="40% - Accent1 20" xfId="691"/>
    <cellStyle name="40% - Accent1 20 2" xfId="692"/>
    <cellStyle name="40% - Accent1 20 3" xfId="693"/>
    <cellStyle name="40% - Accent1 20 4" xfId="694"/>
    <cellStyle name="40% - Accent1 20 5" xfId="695"/>
    <cellStyle name="40% - Accent1 21" xfId="696"/>
    <cellStyle name="40% - Accent1 21 2" xfId="697"/>
    <cellStyle name="40% - Accent1 21 3" xfId="698"/>
    <cellStyle name="40% - Accent1 21 4" xfId="699"/>
    <cellStyle name="40% - Accent1 21 5" xfId="700"/>
    <cellStyle name="40% - Accent1 22" xfId="701"/>
    <cellStyle name="40% - Accent1 22 2" xfId="702"/>
    <cellStyle name="40% - Accent1 22 3" xfId="703"/>
    <cellStyle name="40% - Accent1 22 4" xfId="704"/>
    <cellStyle name="40% - Accent1 22 5" xfId="705"/>
    <cellStyle name="40% - Accent1 23" xfId="706"/>
    <cellStyle name="40% - Accent1 24" xfId="707"/>
    <cellStyle name="40% - Accent1 25" xfId="708"/>
    <cellStyle name="40% - Accent1 26" xfId="709"/>
    <cellStyle name="40% - Accent1 3" xfId="710"/>
    <cellStyle name="40% - Accent1 4" xfId="711"/>
    <cellStyle name="40% - Accent1 5" xfId="712"/>
    <cellStyle name="40% - Accent1 6" xfId="713"/>
    <cellStyle name="40% - Accent1 7" xfId="714"/>
    <cellStyle name="40% - Accent1 8" xfId="715"/>
    <cellStyle name="40% - Accent1 9" xfId="716"/>
    <cellStyle name="40% - Accent2 10" xfId="717"/>
    <cellStyle name="40% - Accent2 11" xfId="718"/>
    <cellStyle name="40% - Accent2 12" xfId="719"/>
    <cellStyle name="40% - Accent2 13" xfId="720"/>
    <cellStyle name="40% - Accent2 14" xfId="721"/>
    <cellStyle name="40% - Accent2 15" xfId="722"/>
    <cellStyle name="40% - Accent2 16" xfId="723"/>
    <cellStyle name="40% - Accent2 17" xfId="724"/>
    <cellStyle name="40% - Accent2 17 2" xfId="725"/>
    <cellStyle name="40% - Accent2 17 3" xfId="726"/>
    <cellStyle name="40% - Accent2 17 4" xfId="727"/>
    <cellStyle name="40% - Accent2 17 5" xfId="728"/>
    <cellStyle name="40% - Accent2 18" xfId="729"/>
    <cellStyle name="40% - Accent2 18 2" xfId="730"/>
    <cellStyle name="40% - Accent2 18 3" xfId="731"/>
    <cellStyle name="40% - Accent2 18 4" xfId="732"/>
    <cellStyle name="40% - Accent2 18 5" xfId="733"/>
    <cellStyle name="40% - Accent2 19" xfId="734"/>
    <cellStyle name="40% - Accent2 19 2" xfId="735"/>
    <cellStyle name="40% - Accent2 19 3" xfId="736"/>
    <cellStyle name="40% - Accent2 19 4" xfId="737"/>
    <cellStyle name="40% - Accent2 19 5" xfId="738"/>
    <cellStyle name="40% - Accent2 2" xfId="739"/>
    <cellStyle name="40% - Accent2 2 2" xfId="23498"/>
    <cellStyle name="40% - Accent2 20" xfId="740"/>
    <cellStyle name="40% - Accent2 20 2" xfId="741"/>
    <cellStyle name="40% - Accent2 20 3" xfId="742"/>
    <cellStyle name="40% - Accent2 20 4" xfId="743"/>
    <cellStyle name="40% - Accent2 20 5" xfId="744"/>
    <cellStyle name="40% - Accent2 21" xfId="745"/>
    <cellStyle name="40% - Accent2 21 2" xfId="746"/>
    <cellStyle name="40% - Accent2 21 3" xfId="747"/>
    <cellStyle name="40% - Accent2 21 4" xfId="748"/>
    <cellStyle name="40% - Accent2 21 5" xfId="749"/>
    <cellStyle name="40% - Accent2 22" xfId="750"/>
    <cellStyle name="40% - Accent2 22 2" xfId="751"/>
    <cellStyle name="40% - Accent2 22 3" xfId="752"/>
    <cellStyle name="40% - Accent2 22 4" xfId="753"/>
    <cellStyle name="40% - Accent2 22 5" xfId="754"/>
    <cellStyle name="40% - Accent2 23" xfId="755"/>
    <cellStyle name="40% - Accent2 24" xfId="756"/>
    <cellStyle name="40% - Accent2 25" xfId="757"/>
    <cellStyle name="40% - Accent2 26" xfId="758"/>
    <cellStyle name="40% - Accent2 3" xfId="759"/>
    <cellStyle name="40% - Accent2 4" xfId="760"/>
    <cellStyle name="40% - Accent2 5" xfId="761"/>
    <cellStyle name="40% - Accent2 6" xfId="762"/>
    <cellStyle name="40% - Accent2 7" xfId="763"/>
    <cellStyle name="40% - Accent2 8" xfId="764"/>
    <cellStyle name="40% - Accent2 9" xfId="765"/>
    <cellStyle name="40% - Accent3 10" xfId="766"/>
    <cellStyle name="40% - Accent3 11" xfId="767"/>
    <cellStyle name="40% - Accent3 12" xfId="768"/>
    <cellStyle name="40% - Accent3 13" xfId="769"/>
    <cellStyle name="40% - Accent3 14" xfId="770"/>
    <cellStyle name="40% - Accent3 15" xfId="771"/>
    <cellStyle name="40% - Accent3 16" xfId="772"/>
    <cellStyle name="40% - Accent3 17" xfId="773"/>
    <cellStyle name="40% - Accent3 17 2" xfId="774"/>
    <cellStyle name="40% - Accent3 17 3" xfId="775"/>
    <cellStyle name="40% - Accent3 17 4" xfId="776"/>
    <cellStyle name="40% - Accent3 17 5" xfId="777"/>
    <cellStyle name="40% - Accent3 18" xfId="778"/>
    <cellStyle name="40% - Accent3 18 2" xfId="779"/>
    <cellStyle name="40% - Accent3 18 3" xfId="780"/>
    <cellStyle name="40% - Accent3 18 4" xfId="781"/>
    <cellStyle name="40% - Accent3 18 5" xfId="782"/>
    <cellStyle name="40% - Accent3 19" xfId="783"/>
    <cellStyle name="40% - Accent3 19 2" xfId="784"/>
    <cellStyle name="40% - Accent3 19 3" xfId="785"/>
    <cellStyle name="40% - Accent3 19 4" xfId="786"/>
    <cellStyle name="40% - Accent3 19 5" xfId="787"/>
    <cellStyle name="40% - Accent3 2" xfId="788"/>
    <cellStyle name="40% - Accent3 2 2" xfId="23499"/>
    <cellStyle name="40% - Accent3 20" xfId="789"/>
    <cellStyle name="40% - Accent3 20 2" xfId="790"/>
    <cellStyle name="40% - Accent3 20 3" xfId="791"/>
    <cellStyle name="40% - Accent3 20 4" xfId="792"/>
    <cellStyle name="40% - Accent3 20 5" xfId="793"/>
    <cellStyle name="40% - Accent3 21" xfId="794"/>
    <cellStyle name="40% - Accent3 21 2" xfId="795"/>
    <cellStyle name="40% - Accent3 21 3" xfId="796"/>
    <cellStyle name="40% - Accent3 21 4" xfId="797"/>
    <cellStyle name="40% - Accent3 21 5" xfId="798"/>
    <cellStyle name="40% - Accent3 22" xfId="799"/>
    <cellStyle name="40% - Accent3 22 2" xfId="800"/>
    <cellStyle name="40% - Accent3 22 3" xfId="801"/>
    <cellStyle name="40% - Accent3 22 4" xfId="802"/>
    <cellStyle name="40% - Accent3 22 5" xfId="803"/>
    <cellStyle name="40% - Accent3 23" xfId="804"/>
    <cellStyle name="40% - Accent3 24" xfId="805"/>
    <cellStyle name="40% - Accent3 25" xfId="806"/>
    <cellStyle name="40% - Accent3 26" xfId="807"/>
    <cellStyle name="40% - Accent3 3" xfId="808"/>
    <cellStyle name="40% - Accent3 4" xfId="809"/>
    <cellStyle name="40% - Accent3 5" xfId="810"/>
    <cellStyle name="40% - Accent3 6" xfId="811"/>
    <cellStyle name="40% - Accent3 7" xfId="812"/>
    <cellStyle name="40% - Accent3 8" xfId="813"/>
    <cellStyle name="40% - Accent3 9" xfId="814"/>
    <cellStyle name="40% - Accent4 10" xfId="815"/>
    <cellStyle name="40% - Accent4 11" xfId="816"/>
    <cellStyle name="40% - Accent4 12" xfId="817"/>
    <cellStyle name="40% - Accent4 13" xfId="818"/>
    <cellStyle name="40% - Accent4 14" xfId="819"/>
    <cellStyle name="40% - Accent4 15" xfId="820"/>
    <cellStyle name="40% - Accent4 16" xfId="821"/>
    <cellStyle name="40% - Accent4 17" xfId="822"/>
    <cellStyle name="40% - Accent4 17 2" xfId="823"/>
    <cellStyle name="40% - Accent4 17 3" xfId="824"/>
    <cellStyle name="40% - Accent4 17 4" xfId="825"/>
    <cellStyle name="40% - Accent4 17 5" xfId="826"/>
    <cellStyle name="40% - Accent4 18" xfId="827"/>
    <cellStyle name="40% - Accent4 18 2" xfId="828"/>
    <cellStyle name="40% - Accent4 18 3" xfId="829"/>
    <cellStyle name="40% - Accent4 18 4" xfId="830"/>
    <cellStyle name="40% - Accent4 18 5" xfId="831"/>
    <cellStyle name="40% - Accent4 19" xfId="832"/>
    <cellStyle name="40% - Accent4 19 2" xfId="833"/>
    <cellStyle name="40% - Accent4 19 3" xfId="834"/>
    <cellStyle name="40% - Accent4 19 4" xfId="835"/>
    <cellStyle name="40% - Accent4 19 5" xfId="836"/>
    <cellStyle name="40% - Accent4 2" xfId="837"/>
    <cellStyle name="40% - Accent4 2 2" xfId="23500"/>
    <cellStyle name="40% - Accent4 20" xfId="838"/>
    <cellStyle name="40% - Accent4 20 2" xfId="839"/>
    <cellStyle name="40% - Accent4 20 3" xfId="840"/>
    <cellStyle name="40% - Accent4 20 4" xfId="841"/>
    <cellStyle name="40% - Accent4 20 5" xfId="842"/>
    <cellStyle name="40% - Accent4 21" xfId="843"/>
    <cellStyle name="40% - Accent4 21 2" xfId="844"/>
    <cellStyle name="40% - Accent4 21 3" xfId="845"/>
    <cellStyle name="40% - Accent4 21 4" xfId="846"/>
    <cellStyle name="40% - Accent4 21 5" xfId="847"/>
    <cellStyle name="40% - Accent4 22" xfId="848"/>
    <cellStyle name="40% - Accent4 22 2" xfId="849"/>
    <cellStyle name="40% - Accent4 22 3" xfId="850"/>
    <cellStyle name="40% - Accent4 22 4" xfId="851"/>
    <cellStyle name="40% - Accent4 22 5" xfId="852"/>
    <cellStyle name="40% - Accent4 23" xfId="853"/>
    <cellStyle name="40% - Accent4 24" xfId="854"/>
    <cellStyle name="40% - Accent4 25" xfId="855"/>
    <cellStyle name="40% - Accent4 26" xfId="856"/>
    <cellStyle name="40% - Accent4 3" xfId="857"/>
    <cellStyle name="40% - Accent4 4" xfId="858"/>
    <cellStyle name="40% - Accent4 5" xfId="859"/>
    <cellStyle name="40% - Accent4 6" xfId="860"/>
    <cellStyle name="40% - Accent4 7" xfId="861"/>
    <cellStyle name="40% - Accent4 8" xfId="862"/>
    <cellStyle name="40% - Accent4 9" xfId="863"/>
    <cellStyle name="40% - Accent5 10" xfId="864"/>
    <cellStyle name="40% - Accent5 11" xfId="865"/>
    <cellStyle name="40% - Accent5 12" xfId="866"/>
    <cellStyle name="40% - Accent5 13" xfId="867"/>
    <cellStyle name="40% - Accent5 14" xfId="868"/>
    <cellStyle name="40% - Accent5 15" xfId="869"/>
    <cellStyle name="40% - Accent5 16" xfId="870"/>
    <cellStyle name="40% - Accent5 17" xfId="871"/>
    <cellStyle name="40% - Accent5 17 2" xfId="872"/>
    <cellStyle name="40% - Accent5 17 3" xfId="873"/>
    <cellStyle name="40% - Accent5 17 4" xfId="874"/>
    <cellStyle name="40% - Accent5 17 5" xfId="875"/>
    <cellStyle name="40% - Accent5 18" xfId="876"/>
    <cellStyle name="40% - Accent5 18 2" xfId="877"/>
    <cellStyle name="40% - Accent5 18 3" xfId="878"/>
    <cellStyle name="40% - Accent5 18 4" xfId="879"/>
    <cellStyle name="40% - Accent5 18 5" xfId="880"/>
    <cellStyle name="40% - Accent5 19" xfId="881"/>
    <cellStyle name="40% - Accent5 19 2" xfId="882"/>
    <cellStyle name="40% - Accent5 19 3" xfId="883"/>
    <cellStyle name="40% - Accent5 19 4" xfId="884"/>
    <cellStyle name="40% - Accent5 19 5" xfId="885"/>
    <cellStyle name="40% - Accent5 2" xfId="886"/>
    <cellStyle name="40% - Accent5 2 2" xfId="23501"/>
    <cellStyle name="40% - Accent5 20" xfId="887"/>
    <cellStyle name="40% - Accent5 20 2" xfId="888"/>
    <cellStyle name="40% - Accent5 20 3" xfId="889"/>
    <cellStyle name="40% - Accent5 20 4" xfId="890"/>
    <cellStyle name="40% - Accent5 20 5" xfId="891"/>
    <cellStyle name="40% - Accent5 21" xfId="892"/>
    <cellStyle name="40% - Accent5 21 2" xfId="893"/>
    <cellStyle name="40% - Accent5 21 3" xfId="894"/>
    <cellStyle name="40% - Accent5 21 4" xfId="895"/>
    <cellStyle name="40% - Accent5 21 5" xfId="896"/>
    <cellStyle name="40% - Accent5 22" xfId="897"/>
    <cellStyle name="40% - Accent5 22 2" xfId="898"/>
    <cellStyle name="40% - Accent5 22 3" xfId="899"/>
    <cellStyle name="40% - Accent5 22 4" xfId="900"/>
    <cellStyle name="40% - Accent5 22 5" xfId="901"/>
    <cellStyle name="40% - Accent5 23" xfId="902"/>
    <cellStyle name="40% - Accent5 24" xfId="903"/>
    <cellStyle name="40% - Accent5 25" xfId="904"/>
    <cellStyle name="40% - Accent5 26" xfId="905"/>
    <cellStyle name="40% - Accent5 3" xfId="906"/>
    <cellStyle name="40% - Accent5 4" xfId="907"/>
    <cellStyle name="40% - Accent5 5" xfId="908"/>
    <cellStyle name="40% - Accent5 6" xfId="909"/>
    <cellStyle name="40% - Accent5 7" xfId="910"/>
    <cellStyle name="40% - Accent5 8" xfId="911"/>
    <cellStyle name="40% - Accent5 9" xfId="912"/>
    <cellStyle name="40% - Accent6 10" xfId="913"/>
    <cellStyle name="40% - Accent6 11" xfId="914"/>
    <cellStyle name="40% - Accent6 12" xfId="915"/>
    <cellStyle name="40% - Accent6 13" xfId="916"/>
    <cellStyle name="40% - Accent6 14" xfId="917"/>
    <cellStyle name="40% - Accent6 15" xfId="918"/>
    <cellStyle name="40% - Accent6 16" xfId="919"/>
    <cellStyle name="40% - Accent6 17" xfId="920"/>
    <cellStyle name="40% - Accent6 17 2" xfId="921"/>
    <cellStyle name="40% - Accent6 17 3" xfId="922"/>
    <cellStyle name="40% - Accent6 17 4" xfId="923"/>
    <cellStyle name="40% - Accent6 17 5" xfId="924"/>
    <cellStyle name="40% - Accent6 18" xfId="925"/>
    <cellStyle name="40% - Accent6 18 2" xfId="926"/>
    <cellStyle name="40% - Accent6 18 3" xfId="927"/>
    <cellStyle name="40% - Accent6 18 4" xfId="928"/>
    <cellStyle name="40% - Accent6 18 5" xfId="929"/>
    <cellStyle name="40% - Accent6 19" xfId="930"/>
    <cellStyle name="40% - Accent6 19 2" xfId="931"/>
    <cellStyle name="40% - Accent6 19 3" xfId="932"/>
    <cellStyle name="40% - Accent6 19 4" xfId="933"/>
    <cellStyle name="40% - Accent6 19 5" xfId="934"/>
    <cellStyle name="40% - Accent6 2" xfId="935"/>
    <cellStyle name="40% - Accent6 2 2" xfId="23502"/>
    <cellStyle name="40% - Accent6 20" xfId="936"/>
    <cellStyle name="40% - Accent6 20 2" xfId="937"/>
    <cellStyle name="40% - Accent6 20 3" xfId="938"/>
    <cellStyle name="40% - Accent6 20 4" xfId="939"/>
    <cellStyle name="40% - Accent6 20 5" xfId="940"/>
    <cellStyle name="40% - Accent6 21" xfId="941"/>
    <cellStyle name="40% - Accent6 21 2" xfId="942"/>
    <cellStyle name="40% - Accent6 21 3" xfId="943"/>
    <cellStyle name="40% - Accent6 21 4" xfId="944"/>
    <cellStyle name="40% - Accent6 21 5" xfId="945"/>
    <cellStyle name="40% - Accent6 22" xfId="946"/>
    <cellStyle name="40% - Accent6 22 2" xfId="947"/>
    <cellStyle name="40% - Accent6 22 3" xfId="948"/>
    <cellStyle name="40% - Accent6 22 4" xfId="949"/>
    <cellStyle name="40% - Accent6 22 5" xfId="950"/>
    <cellStyle name="40% - Accent6 23" xfId="951"/>
    <cellStyle name="40% - Accent6 24" xfId="952"/>
    <cellStyle name="40% - Accent6 25" xfId="953"/>
    <cellStyle name="40% - Accent6 26" xfId="954"/>
    <cellStyle name="40% - Accent6 3" xfId="955"/>
    <cellStyle name="40% - Accent6 4" xfId="956"/>
    <cellStyle name="40% - Accent6 5" xfId="957"/>
    <cellStyle name="40% - Accent6 6" xfId="958"/>
    <cellStyle name="40% - Accent6 7" xfId="959"/>
    <cellStyle name="40% - Accent6 8" xfId="960"/>
    <cellStyle name="40% - Accent6 9" xfId="961"/>
    <cellStyle name="60% - Accent1 10" xfId="962"/>
    <cellStyle name="60% - Accent1 11" xfId="963"/>
    <cellStyle name="60% - Accent1 12" xfId="964"/>
    <cellStyle name="60% - Accent1 13" xfId="965"/>
    <cellStyle name="60% - Accent1 14" xfId="966"/>
    <cellStyle name="60% - Accent1 15" xfId="967"/>
    <cellStyle name="60% - Accent1 16" xfId="968"/>
    <cellStyle name="60% - Accent1 17" xfId="969"/>
    <cellStyle name="60% - Accent1 17 2" xfId="970"/>
    <cellStyle name="60% - Accent1 17 3" xfId="971"/>
    <cellStyle name="60% - Accent1 17 4" xfId="972"/>
    <cellStyle name="60% - Accent1 17 5" xfId="973"/>
    <cellStyle name="60% - Accent1 18" xfId="974"/>
    <cellStyle name="60% - Accent1 18 2" xfId="975"/>
    <cellStyle name="60% - Accent1 18 3" xfId="976"/>
    <cellStyle name="60% - Accent1 18 4" xfId="977"/>
    <cellStyle name="60% - Accent1 18 5" xfId="978"/>
    <cellStyle name="60% - Accent1 19" xfId="979"/>
    <cellStyle name="60% - Accent1 19 2" xfId="980"/>
    <cellStyle name="60% - Accent1 19 3" xfId="981"/>
    <cellStyle name="60% - Accent1 19 4" xfId="982"/>
    <cellStyle name="60% - Accent1 19 5" xfId="983"/>
    <cellStyle name="60% - Accent1 2" xfId="984"/>
    <cellStyle name="60% - Accent1 2 2" xfId="23503"/>
    <cellStyle name="60% - Accent1 20" xfId="985"/>
    <cellStyle name="60% - Accent1 20 2" xfId="986"/>
    <cellStyle name="60% - Accent1 20 3" xfId="987"/>
    <cellStyle name="60% - Accent1 20 4" xfId="988"/>
    <cellStyle name="60% - Accent1 20 5" xfId="989"/>
    <cellStyle name="60% - Accent1 21" xfId="990"/>
    <cellStyle name="60% - Accent1 21 2" xfId="991"/>
    <cellStyle name="60% - Accent1 21 3" xfId="992"/>
    <cellStyle name="60% - Accent1 21 4" xfId="993"/>
    <cellStyle name="60% - Accent1 21 5" xfId="994"/>
    <cellStyle name="60% - Accent1 22" xfId="995"/>
    <cellStyle name="60% - Accent1 22 2" xfId="996"/>
    <cellStyle name="60% - Accent1 22 3" xfId="997"/>
    <cellStyle name="60% - Accent1 22 4" xfId="998"/>
    <cellStyle name="60% - Accent1 22 5" xfId="999"/>
    <cellStyle name="60% - Accent1 23" xfId="1000"/>
    <cellStyle name="60% - Accent1 24" xfId="1001"/>
    <cellStyle name="60% - Accent1 25" xfId="1002"/>
    <cellStyle name="60% - Accent1 26" xfId="1003"/>
    <cellStyle name="60% - Accent1 3" xfId="1004"/>
    <cellStyle name="60% - Accent1 4" xfId="1005"/>
    <cellStyle name="60% - Accent1 5" xfId="1006"/>
    <cellStyle name="60% - Accent1 6" xfId="1007"/>
    <cellStyle name="60% - Accent1 7" xfId="1008"/>
    <cellStyle name="60% - Accent1 8" xfId="1009"/>
    <cellStyle name="60% - Accent1 9" xfId="1010"/>
    <cellStyle name="60% - Accent2 10" xfId="1011"/>
    <cellStyle name="60% - Accent2 11" xfId="1012"/>
    <cellStyle name="60% - Accent2 12" xfId="1013"/>
    <cellStyle name="60% - Accent2 13" xfId="1014"/>
    <cellStyle name="60% - Accent2 14" xfId="1015"/>
    <cellStyle name="60% - Accent2 15" xfId="1016"/>
    <cellStyle name="60% - Accent2 16" xfId="1017"/>
    <cellStyle name="60% - Accent2 17" xfId="1018"/>
    <cellStyle name="60% - Accent2 17 2" xfId="1019"/>
    <cellStyle name="60% - Accent2 17 3" xfId="1020"/>
    <cellStyle name="60% - Accent2 17 4" xfId="1021"/>
    <cellStyle name="60% - Accent2 17 5" xfId="1022"/>
    <cellStyle name="60% - Accent2 18" xfId="1023"/>
    <cellStyle name="60% - Accent2 18 2" xfId="1024"/>
    <cellStyle name="60% - Accent2 18 3" xfId="1025"/>
    <cellStyle name="60% - Accent2 18 4" xfId="1026"/>
    <cellStyle name="60% - Accent2 18 5" xfId="1027"/>
    <cellStyle name="60% - Accent2 19" xfId="1028"/>
    <cellStyle name="60% - Accent2 19 2" xfId="1029"/>
    <cellStyle name="60% - Accent2 19 3" xfId="1030"/>
    <cellStyle name="60% - Accent2 19 4" xfId="1031"/>
    <cellStyle name="60% - Accent2 19 5" xfId="1032"/>
    <cellStyle name="60% - Accent2 2" xfId="1033"/>
    <cellStyle name="60% - Accent2 2 2" xfId="23504"/>
    <cellStyle name="60% - Accent2 20" xfId="1034"/>
    <cellStyle name="60% - Accent2 20 2" xfId="1035"/>
    <cellStyle name="60% - Accent2 20 3" xfId="1036"/>
    <cellStyle name="60% - Accent2 20 4" xfId="1037"/>
    <cellStyle name="60% - Accent2 20 5" xfId="1038"/>
    <cellStyle name="60% - Accent2 21" xfId="1039"/>
    <cellStyle name="60% - Accent2 21 2" xfId="1040"/>
    <cellStyle name="60% - Accent2 21 3" xfId="1041"/>
    <cellStyle name="60% - Accent2 21 4" xfId="1042"/>
    <cellStyle name="60% - Accent2 21 5" xfId="1043"/>
    <cellStyle name="60% - Accent2 22" xfId="1044"/>
    <cellStyle name="60% - Accent2 22 2" xfId="1045"/>
    <cellStyle name="60% - Accent2 22 3" xfId="1046"/>
    <cellStyle name="60% - Accent2 22 4" xfId="1047"/>
    <cellStyle name="60% - Accent2 22 5" xfId="1048"/>
    <cellStyle name="60% - Accent2 23" xfId="1049"/>
    <cellStyle name="60% - Accent2 24" xfId="1050"/>
    <cellStyle name="60% - Accent2 25" xfId="1051"/>
    <cellStyle name="60% - Accent2 26" xfId="1052"/>
    <cellStyle name="60% - Accent2 3" xfId="1053"/>
    <cellStyle name="60% - Accent2 4" xfId="1054"/>
    <cellStyle name="60% - Accent2 5" xfId="1055"/>
    <cellStyle name="60% - Accent2 6" xfId="1056"/>
    <cellStyle name="60% - Accent2 7" xfId="1057"/>
    <cellStyle name="60% - Accent2 8" xfId="1058"/>
    <cellStyle name="60% - Accent2 9" xfId="1059"/>
    <cellStyle name="60% - Accent3 10" xfId="1060"/>
    <cellStyle name="60% - Accent3 11" xfId="1061"/>
    <cellStyle name="60% - Accent3 12" xfId="1062"/>
    <cellStyle name="60% - Accent3 13" xfId="1063"/>
    <cellStyle name="60% - Accent3 14" xfId="1064"/>
    <cellStyle name="60% - Accent3 15" xfId="1065"/>
    <cellStyle name="60% - Accent3 16" xfId="1066"/>
    <cellStyle name="60% - Accent3 17" xfId="1067"/>
    <cellStyle name="60% - Accent3 17 2" xfId="1068"/>
    <cellStyle name="60% - Accent3 17 3" xfId="1069"/>
    <cellStyle name="60% - Accent3 17 4" xfId="1070"/>
    <cellStyle name="60% - Accent3 17 5" xfId="1071"/>
    <cellStyle name="60% - Accent3 18" xfId="1072"/>
    <cellStyle name="60% - Accent3 18 2" xfId="1073"/>
    <cellStyle name="60% - Accent3 18 3" xfId="1074"/>
    <cellStyle name="60% - Accent3 18 4" xfId="1075"/>
    <cellStyle name="60% - Accent3 18 5" xfId="1076"/>
    <cellStyle name="60% - Accent3 19" xfId="1077"/>
    <cellStyle name="60% - Accent3 19 2" xfId="1078"/>
    <cellStyle name="60% - Accent3 19 3" xfId="1079"/>
    <cellStyle name="60% - Accent3 19 4" xfId="1080"/>
    <cellStyle name="60% - Accent3 19 5" xfId="1081"/>
    <cellStyle name="60% - Accent3 2" xfId="1082"/>
    <cellStyle name="60% - Accent3 2 2" xfId="23505"/>
    <cellStyle name="60% - Accent3 20" xfId="1083"/>
    <cellStyle name="60% - Accent3 20 2" xfId="1084"/>
    <cellStyle name="60% - Accent3 20 3" xfId="1085"/>
    <cellStyle name="60% - Accent3 20 4" xfId="1086"/>
    <cellStyle name="60% - Accent3 20 5" xfId="1087"/>
    <cellStyle name="60% - Accent3 21" xfId="1088"/>
    <cellStyle name="60% - Accent3 21 2" xfId="1089"/>
    <cellStyle name="60% - Accent3 21 3" xfId="1090"/>
    <cellStyle name="60% - Accent3 21 4" xfId="1091"/>
    <cellStyle name="60% - Accent3 21 5" xfId="1092"/>
    <cellStyle name="60% - Accent3 22" xfId="1093"/>
    <cellStyle name="60% - Accent3 22 2" xfId="1094"/>
    <cellStyle name="60% - Accent3 22 3" xfId="1095"/>
    <cellStyle name="60% - Accent3 22 4" xfId="1096"/>
    <cellStyle name="60% - Accent3 22 5" xfId="1097"/>
    <cellStyle name="60% - Accent3 23" xfId="1098"/>
    <cellStyle name="60% - Accent3 24" xfId="1099"/>
    <cellStyle name="60% - Accent3 25" xfId="1100"/>
    <cellStyle name="60% - Accent3 26" xfId="1101"/>
    <cellStyle name="60% - Accent3 3" xfId="1102"/>
    <cellStyle name="60% - Accent3 4" xfId="1103"/>
    <cellStyle name="60% - Accent3 5" xfId="1104"/>
    <cellStyle name="60% - Accent3 6" xfId="1105"/>
    <cellStyle name="60% - Accent3 7" xfId="1106"/>
    <cellStyle name="60% - Accent3 8" xfId="1107"/>
    <cellStyle name="60% - Accent3 9" xfId="1108"/>
    <cellStyle name="60% - Accent4 10" xfId="1109"/>
    <cellStyle name="60% - Accent4 11" xfId="1110"/>
    <cellStyle name="60% - Accent4 12" xfId="1111"/>
    <cellStyle name="60% - Accent4 13" xfId="1112"/>
    <cellStyle name="60% - Accent4 14" xfId="1113"/>
    <cellStyle name="60% - Accent4 15" xfId="1114"/>
    <cellStyle name="60% - Accent4 16" xfId="1115"/>
    <cellStyle name="60% - Accent4 17" xfId="1116"/>
    <cellStyle name="60% - Accent4 17 2" xfId="1117"/>
    <cellStyle name="60% - Accent4 17 3" xfId="1118"/>
    <cellStyle name="60% - Accent4 17 4" xfId="1119"/>
    <cellStyle name="60% - Accent4 17 5" xfId="1120"/>
    <cellStyle name="60% - Accent4 18" xfId="1121"/>
    <cellStyle name="60% - Accent4 18 2" xfId="1122"/>
    <cellStyle name="60% - Accent4 18 3" xfId="1123"/>
    <cellStyle name="60% - Accent4 18 4" xfId="1124"/>
    <cellStyle name="60% - Accent4 18 5" xfId="1125"/>
    <cellStyle name="60% - Accent4 19" xfId="1126"/>
    <cellStyle name="60% - Accent4 19 2" xfId="1127"/>
    <cellStyle name="60% - Accent4 19 3" xfId="1128"/>
    <cellStyle name="60% - Accent4 19 4" xfId="1129"/>
    <cellStyle name="60% - Accent4 19 5" xfId="1130"/>
    <cellStyle name="60% - Accent4 2" xfId="1131"/>
    <cellStyle name="60% - Accent4 2 2" xfId="23506"/>
    <cellStyle name="60% - Accent4 20" xfId="1132"/>
    <cellStyle name="60% - Accent4 20 2" xfId="1133"/>
    <cellStyle name="60% - Accent4 20 3" xfId="1134"/>
    <cellStyle name="60% - Accent4 20 4" xfId="1135"/>
    <cellStyle name="60% - Accent4 20 5" xfId="1136"/>
    <cellStyle name="60% - Accent4 21" xfId="1137"/>
    <cellStyle name="60% - Accent4 21 2" xfId="1138"/>
    <cellStyle name="60% - Accent4 21 3" xfId="1139"/>
    <cellStyle name="60% - Accent4 21 4" xfId="1140"/>
    <cellStyle name="60% - Accent4 21 5" xfId="1141"/>
    <cellStyle name="60% - Accent4 22" xfId="1142"/>
    <cellStyle name="60% - Accent4 22 2" xfId="1143"/>
    <cellStyle name="60% - Accent4 22 3" xfId="1144"/>
    <cellStyle name="60% - Accent4 22 4" xfId="1145"/>
    <cellStyle name="60% - Accent4 22 5" xfId="1146"/>
    <cellStyle name="60% - Accent4 23" xfId="1147"/>
    <cellStyle name="60% - Accent4 24" xfId="1148"/>
    <cellStyle name="60% - Accent4 25" xfId="1149"/>
    <cellStyle name="60% - Accent4 26" xfId="1150"/>
    <cellStyle name="60% - Accent4 3" xfId="1151"/>
    <cellStyle name="60% - Accent4 4" xfId="1152"/>
    <cellStyle name="60% - Accent4 5" xfId="1153"/>
    <cellStyle name="60% - Accent4 6" xfId="1154"/>
    <cellStyle name="60% - Accent4 7" xfId="1155"/>
    <cellStyle name="60% - Accent4 8" xfId="1156"/>
    <cellStyle name="60% - Accent4 9" xfId="1157"/>
    <cellStyle name="60% - Accent5 10" xfId="1158"/>
    <cellStyle name="60% - Accent5 11" xfId="1159"/>
    <cellStyle name="60% - Accent5 12" xfId="1160"/>
    <cellStyle name="60% - Accent5 13" xfId="1161"/>
    <cellStyle name="60% - Accent5 14" xfId="1162"/>
    <cellStyle name="60% - Accent5 15" xfId="1163"/>
    <cellStyle name="60% - Accent5 16" xfId="1164"/>
    <cellStyle name="60% - Accent5 17" xfId="1165"/>
    <cellStyle name="60% - Accent5 17 2" xfId="1166"/>
    <cellStyle name="60% - Accent5 17 3" xfId="1167"/>
    <cellStyle name="60% - Accent5 17 4" xfId="1168"/>
    <cellStyle name="60% - Accent5 17 5" xfId="1169"/>
    <cellStyle name="60% - Accent5 18" xfId="1170"/>
    <cellStyle name="60% - Accent5 18 2" xfId="1171"/>
    <cellStyle name="60% - Accent5 18 3" xfId="1172"/>
    <cellStyle name="60% - Accent5 18 4" xfId="1173"/>
    <cellStyle name="60% - Accent5 18 5" xfId="1174"/>
    <cellStyle name="60% - Accent5 19" xfId="1175"/>
    <cellStyle name="60% - Accent5 19 2" xfId="1176"/>
    <cellStyle name="60% - Accent5 19 3" xfId="1177"/>
    <cellStyle name="60% - Accent5 19 4" xfId="1178"/>
    <cellStyle name="60% - Accent5 19 5" xfId="1179"/>
    <cellStyle name="60% - Accent5 2" xfId="1180"/>
    <cellStyle name="60% - Accent5 2 2" xfId="23507"/>
    <cellStyle name="60% - Accent5 20" xfId="1181"/>
    <cellStyle name="60% - Accent5 20 2" xfId="1182"/>
    <cellStyle name="60% - Accent5 20 3" xfId="1183"/>
    <cellStyle name="60% - Accent5 20 4" xfId="1184"/>
    <cellStyle name="60% - Accent5 20 5" xfId="1185"/>
    <cellStyle name="60% - Accent5 21" xfId="1186"/>
    <cellStyle name="60% - Accent5 21 2" xfId="1187"/>
    <cellStyle name="60% - Accent5 21 3" xfId="1188"/>
    <cellStyle name="60% - Accent5 21 4" xfId="1189"/>
    <cellStyle name="60% - Accent5 21 5" xfId="1190"/>
    <cellStyle name="60% - Accent5 22" xfId="1191"/>
    <cellStyle name="60% - Accent5 22 2" xfId="1192"/>
    <cellStyle name="60% - Accent5 22 3" xfId="1193"/>
    <cellStyle name="60% - Accent5 22 4" xfId="1194"/>
    <cellStyle name="60% - Accent5 22 5" xfId="1195"/>
    <cellStyle name="60% - Accent5 23" xfId="1196"/>
    <cellStyle name="60% - Accent5 24" xfId="1197"/>
    <cellStyle name="60% - Accent5 25" xfId="1198"/>
    <cellStyle name="60% - Accent5 26" xfId="1199"/>
    <cellStyle name="60% - Accent5 3" xfId="1200"/>
    <cellStyle name="60% - Accent5 4" xfId="1201"/>
    <cellStyle name="60% - Accent5 5" xfId="1202"/>
    <cellStyle name="60% - Accent5 6" xfId="1203"/>
    <cellStyle name="60% - Accent5 7" xfId="1204"/>
    <cellStyle name="60% - Accent5 8" xfId="1205"/>
    <cellStyle name="60% - Accent5 9" xfId="1206"/>
    <cellStyle name="60% - Accent6 10" xfId="1207"/>
    <cellStyle name="60% - Accent6 11" xfId="1208"/>
    <cellStyle name="60% - Accent6 12" xfId="1209"/>
    <cellStyle name="60% - Accent6 13" xfId="1210"/>
    <cellStyle name="60% - Accent6 14" xfId="1211"/>
    <cellStyle name="60% - Accent6 15" xfId="1212"/>
    <cellStyle name="60% - Accent6 16" xfId="1213"/>
    <cellStyle name="60% - Accent6 17" xfId="1214"/>
    <cellStyle name="60% - Accent6 17 2" xfId="1215"/>
    <cellStyle name="60% - Accent6 17 3" xfId="1216"/>
    <cellStyle name="60% - Accent6 17 4" xfId="1217"/>
    <cellStyle name="60% - Accent6 17 5" xfId="1218"/>
    <cellStyle name="60% - Accent6 18" xfId="1219"/>
    <cellStyle name="60% - Accent6 18 2" xfId="1220"/>
    <cellStyle name="60% - Accent6 18 3" xfId="1221"/>
    <cellStyle name="60% - Accent6 18 4" xfId="1222"/>
    <cellStyle name="60% - Accent6 18 5" xfId="1223"/>
    <cellStyle name="60% - Accent6 19" xfId="1224"/>
    <cellStyle name="60% - Accent6 19 2" xfId="1225"/>
    <cellStyle name="60% - Accent6 19 3" xfId="1226"/>
    <cellStyle name="60% - Accent6 19 4" xfId="1227"/>
    <cellStyle name="60% - Accent6 19 5" xfId="1228"/>
    <cellStyle name="60% - Accent6 2" xfId="1229"/>
    <cellStyle name="60% - Accent6 2 2" xfId="23508"/>
    <cellStyle name="60% - Accent6 20" xfId="1230"/>
    <cellStyle name="60% - Accent6 20 2" xfId="1231"/>
    <cellStyle name="60% - Accent6 20 3" xfId="1232"/>
    <cellStyle name="60% - Accent6 20 4" xfId="1233"/>
    <cellStyle name="60% - Accent6 20 5" xfId="1234"/>
    <cellStyle name="60% - Accent6 21" xfId="1235"/>
    <cellStyle name="60% - Accent6 21 2" xfId="1236"/>
    <cellStyle name="60% - Accent6 21 3" xfId="1237"/>
    <cellStyle name="60% - Accent6 21 4" xfId="1238"/>
    <cellStyle name="60% - Accent6 21 5" xfId="1239"/>
    <cellStyle name="60% - Accent6 22" xfId="1240"/>
    <cellStyle name="60% - Accent6 22 2" xfId="1241"/>
    <cellStyle name="60% - Accent6 22 3" xfId="1242"/>
    <cellStyle name="60% - Accent6 22 4" xfId="1243"/>
    <cellStyle name="60% - Accent6 22 5" xfId="1244"/>
    <cellStyle name="60% - Accent6 23" xfId="1245"/>
    <cellStyle name="60% - Accent6 24" xfId="1246"/>
    <cellStyle name="60% - Accent6 25" xfId="1247"/>
    <cellStyle name="60% - Accent6 26" xfId="1248"/>
    <cellStyle name="60% - Accent6 3" xfId="1249"/>
    <cellStyle name="60% - Accent6 4" xfId="1250"/>
    <cellStyle name="60% - Accent6 5" xfId="1251"/>
    <cellStyle name="60% - Accent6 6" xfId="1252"/>
    <cellStyle name="60% - Accent6 7" xfId="1253"/>
    <cellStyle name="60% - Accent6 8" xfId="1254"/>
    <cellStyle name="60% - Accent6 9" xfId="1255"/>
    <cellStyle name="Accent1 - 20%" xfId="1256"/>
    <cellStyle name="Accent1 - 40%" xfId="1257"/>
    <cellStyle name="Accent1 - 60%" xfId="1258"/>
    <cellStyle name="Accent1 10" xfId="1259"/>
    <cellStyle name="Accent1 11" xfId="1260"/>
    <cellStyle name="Accent1 12" xfId="1261"/>
    <cellStyle name="Accent1 13" xfId="1262"/>
    <cellStyle name="Accent1 14" xfId="1263"/>
    <cellStyle name="Accent1 15" xfId="1264"/>
    <cellStyle name="Accent1 16" xfId="1265"/>
    <cellStyle name="Accent1 17" xfId="1266"/>
    <cellStyle name="Accent1 17 2" xfId="1267"/>
    <cellStyle name="Accent1 17 3" xfId="1268"/>
    <cellStyle name="Accent1 17 4" xfId="1269"/>
    <cellStyle name="Accent1 17 5" xfId="1270"/>
    <cellStyle name="Accent1 18" xfId="1271"/>
    <cellStyle name="Accent1 18 2" xfId="1272"/>
    <cellStyle name="Accent1 18 3" xfId="1273"/>
    <cellStyle name="Accent1 18 4" xfId="1274"/>
    <cellStyle name="Accent1 18 5" xfId="1275"/>
    <cellStyle name="Accent1 19" xfId="1276"/>
    <cellStyle name="Accent1 19 2" xfId="1277"/>
    <cellStyle name="Accent1 19 3" xfId="1278"/>
    <cellStyle name="Accent1 19 4" xfId="1279"/>
    <cellStyle name="Accent1 19 5" xfId="1280"/>
    <cellStyle name="Accent1 2" xfId="1281"/>
    <cellStyle name="Accent1 2 2" xfId="1282"/>
    <cellStyle name="Accent1 2 3" xfId="23509"/>
    <cellStyle name="Accent1 20" xfId="1283"/>
    <cellStyle name="Accent1 20 2" xfId="1284"/>
    <cellStyle name="Accent1 20 3" xfId="1285"/>
    <cellStyle name="Accent1 20 4" xfId="1286"/>
    <cellStyle name="Accent1 20 5" xfId="1287"/>
    <cellStyle name="Accent1 21" xfId="1288"/>
    <cellStyle name="Accent1 21 2" xfId="1289"/>
    <cellStyle name="Accent1 21 3" xfId="1290"/>
    <cellStyle name="Accent1 21 4" xfId="1291"/>
    <cellStyle name="Accent1 21 5" xfId="1292"/>
    <cellStyle name="Accent1 22" xfId="1293"/>
    <cellStyle name="Accent1 22 2" xfId="1294"/>
    <cellStyle name="Accent1 22 3" xfId="1295"/>
    <cellStyle name="Accent1 22 4" xfId="1296"/>
    <cellStyle name="Accent1 22 5" xfId="1297"/>
    <cellStyle name="Accent1 23" xfId="1298"/>
    <cellStyle name="Accent1 24" xfId="1299"/>
    <cellStyle name="Accent1 25" xfId="1300"/>
    <cellStyle name="Accent1 26" xfId="1301"/>
    <cellStyle name="Accent1 3" xfId="1302"/>
    <cellStyle name="Accent1 3 2" xfId="1303"/>
    <cellStyle name="Accent1 4" xfId="1304"/>
    <cellStyle name="Accent1 4 2" xfId="1305"/>
    <cellStyle name="Accent1 5" xfId="1306"/>
    <cellStyle name="Accent1 5 2" xfId="1307"/>
    <cellStyle name="Accent1 6" xfId="1308"/>
    <cellStyle name="Accent1 6 2" xfId="1309"/>
    <cellStyle name="Accent1 7" xfId="1310"/>
    <cellStyle name="Accent1 7 2" xfId="1311"/>
    <cellStyle name="Accent1 8" xfId="1312"/>
    <cellStyle name="Accent1 8 2" xfId="1313"/>
    <cellStyle name="Accent1 9" xfId="1314"/>
    <cellStyle name="Accent2 - 20%" xfId="1315"/>
    <cellStyle name="Accent2 - 40%" xfId="1316"/>
    <cellStyle name="Accent2 - 60%" xfId="1317"/>
    <cellStyle name="Accent2 10" xfId="1318"/>
    <cellStyle name="Accent2 11" xfId="1319"/>
    <cellStyle name="Accent2 12" xfId="1320"/>
    <cellStyle name="Accent2 13" xfId="1321"/>
    <cellStyle name="Accent2 14" xfId="1322"/>
    <cellStyle name="Accent2 15" xfId="1323"/>
    <cellStyle name="Accent2 16" xfId="1324"/>
    <cellStyle name="Accent2 17" xfId="1325"/>
    <cellStyle name="Accent2 17 2" xfId="1326"/>
    <cellStyle name="Accent2 17 3" xfId="1327"/>
    <cellStyle name="Accent2 17 4" xfId="1328"/>
    <cellStyle name="Accent2 17 5" xfId="1329"/>
    <cellStyle name="Accent2 18" xfId="1330"/>
    <cellStyle name="Accent2 18 2" xfId="1331"/>
    <cellStyle name="Accent2 18 3" xfId="1332"/>
    <cellStyle name="Accent2 18 4" xfId="1333"/>
    <cellStyle name="Accent2 18 5" xfId="1334"/>
    <cellStyle name="Accent2 19" xfId="1335"/>
    <cellStyle name="Accent2 19 2" xfId="1336"/>
    <cellStyle name="Accent2 19 3" xfId="1337"/>
    <cellStyle name="Accent2 19 4" xfId="1338"/>
    <cellStyle name="Accent2 19 5" xfId="1339"/>
    <cellStyle name="Accent2 2" xfId="1340"/>
    <cellStyle name="Accent2 2 2" xfId="1341"/>
    <cellStyle name="Accent2 2 3" xfId="23510"/>
    <cellStyle name="Accent2 20" xfId="1342"/>
    <cellStyle name="Accent2 20 2" xfId="1343"/>
    <cellStyle name="Accent2 20 3" xfId="1344"/>
    <cellStyle name="Accent2 20 4" xfId="1345"/>
    <cellStyle name="Accent2 20 5" xfId="1346"/>
    <cellStyle name="Accent2 21" xfId="1347"/>
    <cellStyle name="Accent2 21 2" xfId="1348"/>
    <cellStyle name="Accent2 21 3" xfId="1349"/>
    <cellStyle name="Accent2 21 4" xfId="1350"/>
    <cellStyle name="Accent2 21 5" xfId="1351"/>
    <cellStyle name="Accent2 22" xfId="1352"/>
    <cellStyle name="Accent2 22 2" xfId="1353"/>
    <cellStyle name="Accent2 22 3" xfId="1354"/>
    <cellStyle name="Accent2 22 4" xfId="1355"/>
    <cellStyle name="Accent2 22 5" xfId="1356"/>
    <cellStyle name="Accent2 23" xfId="1357"/>
    <cellStyle name="Accent2 24" xfId="1358"/>
    <cellStyle name="Accent2 25" xfId="1359"/>
    <cellStyle name="Accent2 26" xfId="1360"/>
    <cellStyle name="Accent2 3" xfId="1361"/>
    <cellStyle name="Accent2 3 2" xfId="1362"/>
    <cellStyle name="Accent2 4" xfId="1363"/>
    <cellStyle name="Accent2 4 2" xfId="1364"/>
    <cellStyle name="Accent2 5" xfId="1365"/>
    <cellStyle name="Accent2 5 2" xfId="1366"/>
    <cellStyle name="Accent2 6" xfId="1367"/>
    <cellStyle name="Accent2 6 2" xfId="1368"/>
    <cellStyle name="Accent2 7" xfId="1369"/>
    <cellStyle name="Accent2 7 2" xfId="1370"/>
    <cellStyle name="Accent2 8" xfId="1371"/>
    <cellStyle name="Accent2 8 2" xfId="1372"/>
    <cellStyle name="Accent2 9" xfId="1373"/>
    <cellStyle name="Accent3 - 20%" xfId="1374"/>
    <cellStyle name="Accent3 - 40%" xfId="1375"/>
    <cellStyle name="Accent3 - 60%" xfId="1376"/>
    <cellStyle name="Accent3 10" xfId="1377"/>
    <cellStyle name="Accent3 11" xfId="1378"/>
    <cellStyle name="Accent3 12" xfId="1379"/>
    <cellStyle name="Accent3 13" xfId="1380"/>
    <cellStyle name="Accent3 14" xfId="1381"/>
    <cellStyle name="Accent3 15" xfId="1382"/>
    <cellStyle name="Accent3 16" xfId="1383"/>
    <cellStyle name="Accent3 17" xfId="1384"/>
    <cellStyle name="Accent3 17 2" xfId="1385"/>
    <cellStyle name="Accent3 17 3" xfId="1386"/>
    <cellStyle name="Accent3 17 4" xfId="1387"/>
    <cellStyle name="Accent3 17 5" xfId="1388"/>
    <cellStyle name="Accent3 18" xfId="1389"/>
    <cellStyle name="Accent3 18 2" xfId="1390"/>
    <cellStyle name="Accent3 18 3" xfId="1391"/>
    <cellStyle name="Accent3 18 4" xfId="1392"/>
    <cellStyle name="Accent3 18 5" xfId="1393"/>
    <cellStyle name="Accent3 19" xfId="1394"/>
    <cellStyle name="Accent3 19 2" xfId="1395"/>
    <cellStyle name="Accent3 19 3" xfId="1396"/>
    <cellStyle name="Accent3 19 4" xfId="1397"/>
    <cellStyle name="Accent3 19 5" xfId="1398"/>
    <cellStyle name="Accent3 2" xfId="1399"/>
    <cellStyle name="Accent3 2 2" xfId="1400"/>
    <cellStyle name="Accent3 2 3" xfId="23511"/>
    <cellStyle name="Accent3 20" xfId="1401"/>
    <cellStyle name="Accent3 20 2" xfId="1402"/>
    <cellStyle name="Accent3 20 3" xfId="1403"/>
    <cellStyle name="Accent3 20 4" xfId="1404"/>
    <cellStyle name="Accent3 20 5" xfId="1405"/>
    <cellStyle name="Accent3 21" xfId="1406"/>
    <cellStyle name="Accent3 21 2" xfId="1407"/>
    <cellStyle name="Accent3 21 3" xfId="1408"/>
    <cellStyle name="Accent3 21 4" xfId="1409"/>
    <cellStyle name="Accent3 21 5" xfId="1410"/>
    <cellStyle name="Accent3 22" xfId="1411"/>
    <cellStyle name="Accent3 22 2" xfId="1412"/>
    <cellStyle name="Accent3 22 3" xfId="1413"/>
    <cellStyle name="Accent3 22 4" xfId="1414"/>
    <cellStyle name="Accent3 22 5" xfId="1415"/>
    <cellStyle name="Accent3 23" xfId="1416"/>
    <cellStyle name="Accent3 24" xfId="1417"/>
    <cellStyle name="Accent3 25" xfId="1418"/>
    <cellStyle name="Accent3 26" xfId="1419"/>
    <cellStyle name="Accent3 3" xfId="1420"/>
    <cellStyle name="Accent3 3 2" xfId="1421"/>
    <cellStyle name="Accent3 4" xfId="1422"/>
    <cellStyle name="Accent3 4 2" xfId="1423"/>
    <cellStyle name="Accent3 5" xfId="1424"/>
    <cellStyle name="Accent3 5 2" xfId="1425"/>
    <cellStyle name="Accent3 6" xfId="1426"/>
    <cellStyle name="Accent3 6 2" xfId="1427"/>
    <cellStyle name="Accent3 7" xfId="1428"/>
    <cellStyle name="Accent3 7 2" xfId="1429"/>
    <cellStyle name="Accent3 8" xfId="1430"/>
    <cellStyle name="Accent3 8 2" xfId="1431"/>
    <cellStyle name="Accent3 9" xfId="1432"/>
    <cellStyle name="Accent4 - 20%" xfId="1433"/>
    <cellStyle name="Accent4 - 40%" xfId="1434"/>
    <cellStyle name="Accent4 - 60%" xfId="1435"/>
    <cellStyle name="Accent4 10" xfId="1436"/>
    <cellStyle name="Accent4 11" xfId="1437"/>
    <cellStyle name="Accent4 12" xfId="1438"/>
    <cellStyle name="Accent4 13" xfId="1439"/>
    <cellStyle name="Accent4 14" xfId="1440"/>
    <cellStyle name="Accent4 15" xfId="1441"/>
    <cellStyle name="Accent4 16" xfId="1442"/>
    <cellStyle name="Accent4 17" xfId="1443"/>
    <cellStyle name="Accent4 17 2" xfId="1444"/>
    <cellStyle name="Accent4 17 3" xfId="1445"/>
    <cellStyle name="Accent4 17 4" xfId="1446"/>
    <cellStyle name="Accent4 17 5" xfId="1447"/>
    <cellStyle name="Accent4 18" xfId="1448"/>
    <cellStyle name="Accent4 18 2" xfId="1449"/>
    <cellStyle name="Accent4 18 3" xfId="1450"/>
    <cellStyle name="Accent4 18 4" xfId="1451"/>
    <cellStyle name="Accent4 18 5" xfId="1452"/>
    <cellStyle name="Accent4 19" xfId="1453"/>
    <cellStyle name="Accent4 19 2" xfId="1454"/>
    <cellStyle name="Accent4 19 3" xfId="1455"/>
    <cellStyle name="Accent4 19 4" xfId="1456"/>
    <cellStyle name="Accent4 19 5" xfId="1457"/>
    <cellStyle name="Accent4 2" xfId="1458"/>
    <cellStyle name="Accent4 2 2" xfId="1459"/>
    <cellStyle name="Accent4 2 3" xfId="23512"/>
    <cellStyle name="Accent4 20" xfId="1460"/>
    <cellStyle name="Accent4 20 2" xfId="1461"/>
    <cellStyle name="Accent4 20 3" xfId="1462"/>
    <cellStyle name="Accent4 20 4" xfId="1463"/>
    <cellStyle name="Accent4 20 5" xfId="1464"/>
    <cellStyle name="Accent4 21" xfId="1465"/>
    <cellStyle name="Accent4 21 2" xfId="1466"/>
    <cellStyle name="Accent4 21 3" xfId="1467"/>
    <cellStyle name="Accent4 21 4" xfId="1468"/>
    <cellStyle name="Accent4 21 5" xfId="1469"/>
    <cellStyle name="Accent4 22" xfId="1470"/>
    <cellStyle name="Accent4 22 2" xfId="1471"/>
    <cellStyle name="Accent4 22 3" xfId="1472"/>
    <cellStyle name="Accent4 22 4" xfId="1473"/>
    <cellStyle name="Accent4 22 5" xfId="1474"/>
    <cellStyle name="Accent4 23" xfId="1475"/>
    <cellStyle name="Accent4 24" xfId="1476"/>
    <cellStyle name="Accent4 25" xfId="1477"/>
    <cellStyle name="Accent4 26" xfId="1478"/>
    <cellStyle name="Accent4 3" xfId="1479"/>
    <cellStyle name="Accent4 3 2" xfId="1480"/>
    <cellStyle name="Accent4 4" xfId="1481"/>
    <cellStyle name="Accent4 4 2" xfId="1482"/>
    <cellStyle name="Accent4 5" xfId="1483"/>
    <cellStyle name="Accent4 5 2" xfId="1484"/>
    <cellStyle name="Accent4 6" xfId="1485"/>
    <cellStyle name="Accent4 6 2" xfId="1486"/>
    <cellStyle name="Accent4 7" xfId="1487"/>
    <cellStyle name="Accent4 7 2" xfId="1488"/>
    <cellStyle name="Accent4 8" xfId="1489"/>
    <cellStyle name="Accent4 8 2" xfId="1490"/>
    <cellStyle name="Accent4 9" xfId="1491"/>
    <cellStyle name="Accent5 - 20%" xfId="1492"/>
    <cellStyle name="Accent5 - 40%" xfId="1493"/>
    <cellStyle name="Accent5 - 60%" xfId="1494"/>
    <cellStyle name="Accent5 10" xfId="1495"/>
    <cellStyle name="Accent5 11" xfId="1496"/>
    <cellStyle name="Accent5 12" xfId="1497"/>
    <cellStyle name="Accent5 13" xfId="1498"/>
    <cellStyle name="Accent5 14" xfId="1499"/>
    <cellStyle name="Accent5 15" xfId="1500"/>
    <cellStyle name="Accent5 16" xfId="1501"/>
    <cellStyle name="Accent5 17" xfId="1502"/>
    <cellStyle name="Accent5 17 2" xfId="1503"/>
    <cellStyle name="Accent5 17 3" xfId="1504"/>
    <cellStyle name="Accent5 17 4" xfId="1505"/>
    <cellStyle name="Accent5 17 5" xfId="1506"/>
    <cellStyle name="Accent5 18" xfId="1507"/>
    <cellStyle name="Accent5 18 2" xfId="1508"/>
    <cellStyle name="Accent5 18 3" xfId="1509"/>
    <cellStyle name="Accent5 18 4" xfId="1510"/>
    <cellStyle name="Accent5 18 5" xfId="1511"/>
    <cellStyle name="Accent5 19" xfId="1512"/>
    <cellStyle name="Accent5 19 2" xfId="1513"/>
    <cellStyle name="Accent5 19 3" xfId="1514"/>
    <cellStyle name="Accent5 19 4" xfId="1515"/>
    <cellStyle name="Accent5 19 5" xfId="1516"/>
    <cellStyle name="Accent5 2" xfId="1517"/>
    <cellStyle name="Accent5 2 2" xfId="1518"/>
    <cellStyle name="Accent5 2 3" xfId="23513"/>
    <cellStyle name="Accent5 20" xfId="1519"/>
    <cellStyle name="Accent5 20 2" xfId="1520"/>
    <cellStyle name="Accent5 20 3" xfId="1521"/>
    <cellStyle name="Accent5 20 4" xfId="1522"/>
    <cellStyle name="Accent5 20 5" xfId="1523"/>
    <cellStyle name="Accent5 21" xfId="1524"/>
    <cellStyle name="Accent5 21 2" xfId="1525"/>
    <cellStyle name="Accent5 21 3" xfId="1526"/>
    <cellStyle name="Accent5 21 4" xfId="1527"/>
    <cellStyle name="Accent5 21 5" xfId="1528"/>
    <cellStyle name="Accent5 22" xfId="1529"/>
    <cellStyle name="Accent5 22 2" xfId="1530"/>
    <cellStyle name="Accent5 22 3" xfId="1531"/>
    <cellStyle name="Accent5 22 4" xfId="1532"/>
    <cellStyle name="Accent5 22 5" xfId="1533"/>
    <cellStyle name="Accent5 23" xfId="1534"/>
    <cellStyle name="Accent5 24" xfId="1535"/>
    <cellStyle name="Accent5 25" xfId="1536"/>
    <cellStyle name="Accent5 26" xfId="1537"/>
    <cellStyle name="Accent5 3" xfId="1538"/>
    <cellStyle name="Accent5 3 2" xfId="1539"/>
    <cellStyle name="Accent5 4" xfId="1540"/>
    <cellStyle name="Accent5 4 2" xfId="1541"/>
    <cellStyle name="Accent5 5" xfId="1542"/>
    <cellStyle name="Accent5 5 2" xfId="1543"/>
    <cellStyle name="Accent5 6" xfId="1544"/>
    <cellStyle name="Accent5 6 2" xfId="1545"/>
    <cellStyle name="Accent5 7" xfId="1546"/>
    <cellStyle name="Accent5 7 2" xfId="1547"/>
    <cellStyle name="Accent5 8" xfId="1548"/>
    <cellStyle name="Accent5 8 2" xfId="1549"/>
    <cellStyle name="Accent5 9" xfId="1550"/>
    <cellStyle name="Accent6 - 20%" xfId="1551"/>
    <cellStyle name="Accent6 - 40%" xfId="1552"/>
    <cellStyle name="Accent6 - 60%" xfId="1553"/>
    <cellStyle name="Accent6 10" xfId="1554"/>
    <cellStyle name="Accent6 11" xfId="1555"/>
    <cellStyle name="Accent6 12" xfId="1556"/>
    <cellStyle name="Accent6 13" xfId="1557"/>
    <cellStyle name="Accent6 14" xfId="1558"/>
    <cellStyle name="Accent6 15" xfId="1559"/>
    <cellStyle name="Accent6 16" xfId="1560"/>
    <cellStyle name="Accent6 17" xfId="1561"/>
    <cellStyle name="Accent6 17 2" xfId="1562"/>
    <cellStyle name="Accent6 17 3" xfId="1563"/>
    <cellStyle name="Accent6 17 4" xfId="1564"/>
    <cellStyle name="Accent6 17 5" xfId="1565"/>
    <cellStyle name="Accent6 18" xfId="1566"/>
    <cellStyle name="Accent6 18 2" xfId="1567"/>
    <cellStyle name="Accent6 18 3" xfId="1568"/>
    <cellStyle name="Accent6 18 4" xfId="1569"/>
    <cellStyle name="Accent6 18 5" xfId="1570"/>
    <cellStyle name="Accent6 19" xfId="1571"/>
    <cellStyle name="Accent6 19 2" xfId="1572"/>
    <cellStyle name="Accent6 19 3" xfId="1573"/>
    <cellStyle name="Accent6 19 4" xfId="1574"/>
    <cellStyle name="Accent6 19 5" xfId="1575"/>
    <cellStyle name="Accent6 2" xfId="1576"/>
    <cellStyle name="Accent6 2 2" xfId="1577"/>
    <cellStyle name="Accent6 2 3" xfId="23514"/>
    <cellStyle name="Accent6 20" xfId="1578"/>
    <cellStyle name="Accent6 20 2" xfId="1579"/>
    <cellStyle name="Accent6 20 3" xfId="1580"/>
    <cellStyle name="Accent6 20 4" xfId="1581"/>
    <cellStyle name="Accent6 20 5" xfId="1582"/>
    <cellStyle name="Accent6 21" xfId="1583"/>
    <cellStyle name="Accent6 21 2" xfId="1584"/>
    <cellStyle name="Accent6 21 3" xfId="1585"/>
    <cellStyle name="Accent6 21 4" xfId="1586"/>
    <cellStyle name="Accent6 21 5" xfId="1587"/>
    <cellStyle name="Accent6 22" xfId="1588"/>
    <cellStyle name="Accent6 22 2" xfId="1589"/>
    <cellStyle name="Accent6 22 3" xfId="1590"/>
    <cellStyle name="Accent6 22 4" xfId="1591"/>
    <cellStyle name="Accent6 22 5" xfId="1592"/>
    <cellStyle name="Accent6 23" xfId="1593"/>
    <cellStyle name="Accent6 24" xfId="1594"/>
    <cellStyle name="Accent6 25" xfId="1595"/>
    <cellStyle name="Accent6 26" xfId="1596"/>
    <cellStyle name="Accent6 3" xfId="1597"/>
    <cellStyle name="Accent6 3 2" xfId="1598"/>
    <cellStyle name="Accent6 4" xfId="1599"/>
    <cellStyle name="Accent6 4 2" xfId="1600"/>
    <cellStyle name="Accent6 5" xfId="1601"/>
    <cellStyle name="Accent6 5 2" xfId="1602"/>
    <cellStyle name="Accent6 6" xfId="1603"/>
    <cellStyle name="Accent6 6 2" xfId="1604"/>
    <cellStyle name="Accent6 7" xfId="1605"/>
    <cellStyle name="Accent6 7 2" xfId="1606"/>
    <cellStyle name="Accent6 8" xfId="1607"/>
    <cellStyle name="Accent6 8 2" xfId="1608"/>
    <cellStyle name="Accent6 9" xfId="1609"/>
    <cellStyle name="AdjNo" xfId="1610"/>
    <cellStyle name="AdjNo 10" xfId="1611"/>
    <cellStyle name="AdjNo 10 10" xfId="1612"/>
    <cellStyle name="AdjNo 10 10 2" xfId="1613"/>
    <cellStyle name="AdjNo 10 10 3" xfId="23515"/>
    <cellStyle name="AdjNo 10 10 4" xfId="23516"/>
    <cellStyle name="AdjNo 10 11" xfId="1614"/>
    <cellStyle name="AdjNo 10 11 2" xfId="1615"/>
    <cellStyle name="AdjNo 10 11 3" xfId="23517"/>
    <cellStyle name="AdjNo 10 11 4" xfId="23518"/>
    <cellStyle name="AdjNo 10 12" xfId="1616"/>
    <cellStyle name="AdjNo 10 13" xfId="23519"/>
    <cellStyle name="AdjNo 10 14" xfId="23520"/>
    <cellStyle name="AdjNo 10 2" xfId="1617"/>
    <cellStyle name="AdjNo 10 2 10" xfId="23521"/>
    <cellStyle name="AdjNo 10 2 2" xfId="1618"/>
    <cellStyle name="AdjNo 10 2 2 2" xfId="1619"/>
    <cellStyle name="AdjNo 10 2 2 3" xfId="23522"/>
    <cellStyle name="AdjNo 10 2 2 4" xfId="23523"/>
    <cellStyle name="AdjNo 10 2 3" xfId="1620"/>
    <cellStyle name="AdjNo 10 2 3 2" xfId="1621"/>
    <cellStyle name="AdjNo 10 2 3 3" xfId="23524"/>
    <cellStyle name="AdjNo 10 2 3 4" xfId="23525"/>
    <cellStyle name="AdjNo 10 2 4" xfId="1622"/>
    <cellStyle name="AdjNo 10 2 4 2" xfId="1623"/>
    <cellStyle name="AdjNo 10 2 4 3" xfId="23526"/>
    <cellStyle name="AdjNo 10 2 4 4" xfId="23527"/>
    <cellStyle name="AdjNo 10 2 5" xfId="1624"/>
    <cellStyle name="AdjNo 10 2 5 2" xfId="1625"/>
    <cellStyle name="AdjNo 10 2 5 3" xfId="23528"/>
    <cellStyle name="AdjNo 10 2 5 4" xfId="23529"/>
    <cellStyle name="AdjNo 10 2 6" xfId="1626"/>
    <cellStyle name="AdjNo 10 2 6 2" xfId="1627"/>
    <cellStyle name="AdjNo 10 2 6 3" xfId="23530"/>
    <cellStyle name="AdjNo 10 2 6 4" xfId="23531"/>
    <cellStyle name="AdjNo 10 2 7" xfId="1628"/>
    <cellStyle name="AdjNo 10 2 7 2" xfId="1629"/>
    <cellStyle name="AdjNo 10 2 7 3" xfId="23532"/>
    <cellStyle name="AdjNo 10 2 7 4" xfId="23533"/>
    <cellStyle name="AdjNo 10 2 8" xfId="1630"/>
    <cellStyle name="AdjNo 10 2 9" xfId="23534"/>
    <cellStyle name="AdjNo 10 3" xfId="1631"/>
    <cellStyle name="AdjNo 10 3 10" xfId="23535"/>
    <cellStyle name="AdjNo 10 3 2" xfId="1632"/>
    <cellStyle name="AdjNo 10 3 2 2" xfId="1633"/>
    <cellStyle name="AdjNo 10 3 2 3" xfId="23536"/>
    <cellStyle name="AdjNo 10 3 2 4" xfId="23537"/>
    <cellStyle name="AdjNo 10 3 3" xfId="1634"/>
    <cellStyle name="AdjNo 10 3 3 2" xfId="1635"/>
    <cellStyle name="AdjNo 10 3 3 3" xfId="23538"/>
    <cellStyle name="AdjNo 10 3 3 4" xfId="23539"/>
    <cellStyle name="AdjNo 10 3 4" xfId="1636"/>
    <cellStyle name="AdjNo 10 3 4 2" xfId="1637"/>
    <cellStyle name="AdjNo 10 3 4 3" xfId="23540"/>
    <cellStyle name="AdjNo 10 3 4 4" xfId="23541"/>
    <cellStyle name="AdjNo 10 3 5" xfId="1638"/>
    <cellStyle name="AdjNo 10 3 5 2" xfId="1639"/>
    <cellStyle name="AdjNo 10 3 5 3" xfId="23542"/>
    <cellStyle name="AdjNo 10 3 5 4" xfId="23543"/>
    <cellStyle name="AdjNo 10 3 6" xfId="1640"/>
    <cellStyle name="AdjNo 10 3 6 2" xfId="1641"/>
    <cellStyle name="AdjNo 10 3 6 3" xfId="23544"/>
    <cellStyle name="AdjNo 10 3 6 4" xfId="23545"/>
    <cellStyle name="AdjNo 10 3 7" xfId="1642"/>
    <cellStyle name="AdjNo 10 3 7 2" xfId="1643"/>
    <cellStyle name="AdjNo 10 3 7 3" xfId="23546"/>
    <cellStyle name="AdjNo 10 3 7 4" xfId="23547"/>
    <cellStyle name="AdjNo 10 3 8" xfId="1644"/>
    <cellStyle name="AdjNo 10 3 9" xfId="23548"/>
    <cellStyle name="AdjNo 10 4" xfId="1645"/>
    <cellStyle name="AdjNo 10 4 10" xfId="23549"/>
    <cellStyle name="AdjNo 10 4 2" xfId="1646"/>
    <cellStyle name="AdjNo 10 4 2 2" xfId="1647"/>
    <cellStyle name="AdjNo 10 4 2 3" xfId="23550"/>
    <cellStyle name="AdjNo 10 4 2 4" xfId="23551"/>
    <cellStyle name="AdjNo 10 4 3" xfId="1648"/>
    <cellStyle name="AdjNo 10 4 3 2" xfId="1649"/>
    <cellStyle name="AdjNo 10 4 3 3" xfId="23552"/>
    <cellStyle name="AdjNo 10 4 3 4" xfId="23553"/>
    <cellStyle name="AdjNo 10 4 4" xfId="1650"/>
    <cellStyle name="AdjNo 10 4 4 2" xfId="1651"/>
    <cellStyle name="AdjNo 10 4 4 3" xfId="23554"/>
    <cellStyle name="AdjNo 10 4 4 4" xfId="23555"/>
    <cellStyle name="AdjNo 10 4 5" xfId="1652"/>
    <cellStyle name="AdjNo 10 4 5 2" xfId="1653"/>
    <cellStyle name="AdjNo 10 4 5 3" xfId="23556"/>
    <cellStyle name="AdjNo 10 4 5 4" xfId="23557"/>
    <cellStyle name="AdjNo 10 4 6" xfId="1654"/>
    <cellStyle name="AdjNo 10 4 6 2" xfId="1655"/>
    <cellStyle name="AdjNo 10 4 6 3" xfId="23558"/>
    <cellStyle name="AdjNo 10 4 6 4" xfId="23559"/>
    <cellStyle name="AdjNo 10 4 7" xfId="1656"/>
    <cellStyle name="AdjNo 10 4 7 2" xfId="1657"/>
    <cellStyle name="AdjNo 10 4 7 3" xfId="23560"/>
    <cellStyle name="AdjNo 10 4 7 4" xfId="23561"/>
    <cellStyle name="AdjNo 10 4 8" xfId="1658"/>
    <cellStyle name="AdjNo 10 4 9" xfId="23562"/>
    <cellStyle name="AdjNo 10 5" xfId="1659"/>
    <cellStyle name="AdjNo 10 5 10" xfId="23563"/>
    <cellStyle name="AdjNo 10 5 2" xfId="1660"/>
    <cellStyle name="AdjNo 10 5 2 2" xfId="1661"/>
    <cellStyle name="AdjNo 10 5 2 3" xfId="23564"/>
    <cellStyle name="AdjNo 10 5 2 4" xfId="23565"/>
    <cellStyle name="AdjNo 10 5 3" xfId="1662"/>
    <cellStyle name="AdjNo 10 5 3 2" xfId="1663"/>
    <cellStyle name="AdjNo 10 5 3 3" xfId="23566"/>
    <cellStyle name="AdjNo 10 5 3 4" xfId="23567"/>
    <cellStyle name="AdjNo 10 5 4" xfId="1664"/>
    <cellStyle name="AdjNo 10 5 4 2" xfId="1665"/>
    <cellStyle name="AdjNo 10 5 4 3" xfId="23568"/>
    <cellStyle name="AdjNo 10 5 4 4" xfId="23569"/>
    <cellStyle name="AdjNo 10 5 5" xfId="1666"/>
    <cellStyle name="AdjNo 10 5 5 2" xfId="1667"/>
    <cellStyle name="AdjNo 10 5 5 3" xfId="23570"/>
    <cellStyle name="AdjNo 10 5 5 4" xfId="23571"/>
    <cellStyle name="AdjNo 10 5 6" xfId="1668"/>
    <cellStyle name="AdjNo 10 5 6 2" xfId="1669"/>
    <cellStyle name="AdjNo 10 5 6 3" xfId="23572"/>
    <cellStyle name="AdjNo 10 5 6 4" xfId="23573"/>
    <cellStyle name="AdjNo 10 5 7" xfId="1670"/>
    <cellStyle name="AdjNo 10 5 7 2" xfId="1671"/>
    <cellStyle name="AdjNo 10 5 7 3" xfId="23574"/>
    <cellStyle name="AdjNo 10 5 7 4" xfId="23575"/>
    <cellStyle name="AdjNo 10 5 8" xfId="1672"/>
    <cellStyle name="AdjNo 10 5 9" xfId="23576"/>
    <cellStyle name="AdjNo 10 6" xfId="1673"/>
    <cellStyle name="AdjNo 10 6 2" xfId="1674"/>
    <cellStyle name="AdjNo 10 6 3" xfId="23577"/>
    <cellStyle name="AdjNo 10 6 4" xfId="23578"/>
    <cellStyle name="AdjNo 10 7" xfId="1675"/>
    <cellStyle name="AdjNo 10 7 2" xfId="1676"/>
    <cellStyle name="AdjNo 10 7 3" xfId="23579"/>
    <cellStyle name="AdjNo 10 7 4" xfId="23580"/>
    <cellStyle name="AdjNo 10 8" xfId="1677"/>
    <cellStyle name="AdjNo 10 8 2" xfId="1678"/>
    <cellStyle name="AdjNo 10 8 3" xfId="23581"/>
    <cellStyle name="AdjNo 10 8 4" xfId="23582"/>
    <cellStyle name="AdjNo 10 9" xfId="1679"/>
    <cellStyle name="AdjNo 10 9 2" xfId="1680"/>
    <cellStyle name="AdjNo 10 9 3" xfId="23583"/>
    <cellStyle name="AdjNo 10 9 4" xfId="23584"/>
    <cellStyle name="AdjNo 11" xfId="1681"/>
    <cellStyle name="AdjNo 11 10" xfId="1682"/>
    <cellStyle name="AdjNo 11 10 2" xfId="1683"/>
    <cellStyle name="AdjNo 11 10 3" xfId="23585"/>
    <cellStyle name="AdjNo 11 10 4" xfId="23586"/>
    <cellStyle name="AdjNo 11 11" xfId="1684"/>
    <cellStyle name="AdjNo 11 11 2" xfId="1685"/>
    <cellStyle name="AdjNo 11 11 3" xfId="23587"/>
    <cellStyle name="AdjNo 11 11 4" xfId="23588"/>
    <cellStyle name="AdjNo 11 12" xfId="1686"/>
    <cellStyle name="AdjNo 11 13" xfId="23589"/>
    <cellStyle name="AdjNo 11 14" xfId="23590"/>
    <cellStyle name="AdjNo 11 2" xfId="1687"/>
    <cellStyle name="AdjNo 11 2 10" xfId="23591"/>
    <cellStyle name="AdjNo 11 2 2" xfId="1688"/>
    <cellStyle name="AdjNo 11 2 2 2" xfId="1689"/>
    <cellStyle name="AdjNo 11 2 2 3" xfId="23592"/>
    <cellStyle name="AdjNo 11 2 2 4" xfId="23593"/>
    <cellStyle name="AdjNo 11 2 3" xfId="1690"/>
    <cellStyle name="AdjNo 11 2 3 2" xfId="1691"/>
    <cellStyle name="AdjNo 11 2 3 3" xfId="23594"/>
    <cellStyle name="AdjNo 11 2 3 4" xfId="23595"/>
    <cellStyle name="AdjNo 11 2 4" xfId="1692"/>
    <cellStyle name="AdjNo 11 2 4 2" xfId="1693"/>
    <cellStyle name="AdjNo 11 2 4 3" xfId="23596"/>
    <cellStyle name="AdjNo 11 2 4 4" xfId="23597"/>
    <cellStyle name="AdjNo 11 2 5" xfId="1694"/>
    <cellStyle name="AdjNo 11 2 5 2" xfId="1695"/>
    <cellStyle name="AdjNo 11 2 5 3" xfId="23598"/>
    <cellStyle name="AdjNo 11 2 5 4" xfId="23599"/>
    <cellStyle name="AdjNo 11 2 6" xfId="1696"/>
    <cellStyle name="AdjNo 11 2 6 2" xfId="1697"/>
    <cellStyle name="AdjNo 11 2 6 3" xfId="23600"/>
    <cellStyle name="AdjNo 11 2 6 4" xfId="23601"/>
    <cellStyle name="AdjNo 11 2 7" xfId="1698"/>
    <cellStyle name="AdjNo 11 2 7 2" xfId="1699"/>
    <cellStyle name="AdjNo 11 2 7 3" xfId="23602"/>
    <cellStyle name="AdjNo 11 2 7 4" xfId="23603"/>
    <cellStyle name="AdjNo 11 2 8" xfId="1700"/>
    <cellStyle name="AdjNo 11 2 9" xfId="23604"/>
    <cellStyle name="AdjNo 11 3" xfId="1701"/>
    <cellStyle name="AdjNo 11 3 10" xfId="23605"/>
    <cellStyle name="AdjNo 11 3 2" xfId="1702"/>
    <cellStyle name="AdjNo 11 3 2 2" xfId="1703"/>
    <cellStyle name="AdjNo 11 3 2 3" xfId="23606"/>
    <cellStyle name="AdjNo 11 3 2 4" xfId="23607"/>
    <cellStyle name="AdjNo 11 3 3" xfId="1704"/>
    <cellStyle name="AdjNo 11 3 3 2" xfId="1705"/>
    <cellStyle name="AdjNo 11 3 3 3" xfId="23608"/>
    <cellStyle name="AdjNo 11 3 3 4" xfId="23609"/>
    <cellStyle name="AdjNo 11 3 4" xfId="1706"/>
    <cellStyle name="AdjNo 11 3 4 2" xfId="1707"/>
    <cellStyle name="AdjNo 11 3 4 3" xfId="23610"/>
    <cellStyle name="AdjNo 11 3 4 4" xfId="23611"/>
    <cellStyle name="AdjNo 11 3 5" xfId="1708"/>
    <cellStyle name="AdjNo 11 3 5 2" xfId="1709"/>
    <cellStyle name="AdjNo 11 3 5 3" xfId="23612"/>
    <cellStyle name="AdjNo 11 3 5 4" xfId="23613"/>
    <cellStyle name="AdjNo 11 3 6" xfId="1710"/>
    <cellStyle name="AdjNo 11 3 6 2" xfId="1711"/>
    <cellStyle name="AdjNo 11 3 6 3" xfId="23614"/>
    <cellStyle name="AdjNo 11 3 6 4" xfId="23615"/>
    <cellStyle name="AdjNo 11 3 7" xfId="1712"/>
    <cellStyle name="AdjNo 11 3 7 2" xfId="1713"/>
    <cellStyle name="AdjNo 11 3 7 3" xfId="23616"/>
    <cellStyle name="AdjNo 11 3 7 4" xfId="23617"/>
    <cellStyle name="AdjNo 11 3 8" xfId="1714"/>
    <cellStyle name="AdjNo 11 3 9" xfId="23618"/>
    <cellStyle name="AdjNo 11 4" xfId="1715"/>
    <cellStyle name="AdjNo 11 4 10" xfId="23619"/>
    <cellStyle name="AdjNo 11 4 2" xfId="1716"/>
    <cellStyle name="AdjNo 11 4 2 2" xfId="1717"/>
    <cellStyle name="AdjNo 11 4 2 3" xfId="23620"/>
    <cellStyle name="AdjNo 11 4 2 4" xfId="23621"/>
    <cellStyle name="AdjNo 11 4 3" xfId="1718"/>
    <cellStyle name="AdjNo 11 4 3 2" xfId="1719"/>
    <cellStyle name="AdjNo 11 4 3 3" xfId="23622"/>
    <cellStyle name="AdjNo 11 4 3 4" xfId="23623"/>
    <cellStyle name="AdjNo 11 4 4" xfId="1720"/>
    <cellStyle name="AdjNo 11 4 4 2" xfId="1721"/>
    <cellStyle name="AdjNo 11 4 4 3" xfId="23624"/>
    <cellStyle name="AdjNo 11 4 4 4" xfId="23625"/>
    <cellStyle name="AdjNo 11 4 5" xfId="1722"/>
    <cellStyle name="AdjNo 11 4 5 2" xfId="1723"/>
    <cellStyle name="AdjNo 11 4 5 3" xfId="23626"/>
    <cellStyle name="AdjNo 11 4 5 4" xfId="23627"/>
    <cellStyle name="AdjNo 11 4 6" xfId="1724"/>
    <cellStyle name="AdjNo 11 4 6 2" xfId="1725"/>
    <cellStyle name="AdjNo 11 4 6 3" xfId="23628"/>
    <cellStyle name="AdjNo 11 4 6 4" xfId="23629"/>
    <cellStyle name="AdjNo 11 4 7" xfId="1726"/>
    <cellStyle name="AdjNo 11 4 7 2" xfId="1727"/>
    <cellStyle name="AdjNo 11 4 7 3" xfId="23630"/>
    <cellStyle name="AdjNo 11 4 7 4" xfId="23631"/>
    <cellStyle name="AdjNo 11 4 8" xfId="1728"/>
    <cellStyle name="AdjNo 11 4 9" xfId="23632"/>
    <cellStyle name="AdjNo 11 5" xfId="1729"/>
    <cellStyle name="AdjNo 11 5 10" xfId="23633"/>
    <cellStyle name="AdjNo 11 5 2" xfId="1730"/>
    <cellStyle name="AdjNo 11 5 2 2" xfId="1731"/>
    <cellStyle name="AdjNo 11 5 2 3" xfId="23634"/>
    <cellStyle name="AdjNo 11 5 2 4" xfId="23635"/>
    <cellStyle name="AdjNo 11 5 3" xfId="1732"/>
    <cellStyle name="AdjNo 11 5 3 2" xfId="1733"/>
    <cellStyle name="AdjNo 11 5 3 3" xfId="23636"/>
    <cellStyle name="AdjNo 11 5 3 4" xfId="23637"/>
    <cellStyle name="AdjNo 11 5 4" xfId="1734"/>
    <cellStyle name="AdjNo 11 5 4 2" xfId="1735"/>
    <cellStyle name="AdjNo 11 5 4 3" xfId="23638"/>
    <cellStyle name="AdjNo 11 5 4 4" xfId="23639"/>
    <cellStyle name="AdjNo 11 5 5" xfId="1736"/>
    <cellStyle name="AdjNo 11 5 5 2" xfId="1737"/>
    <cellStyle name="AdjNo 11 5 5 3" xfId="23640"/>
    <cellStyle name="AdjNo 11 5 5 4" xfId="23641"/>
    <cellStyle name="AdjNo 11 5 6" xfId="1738"/>
    <cellStyle name="AdjNo 11 5 6 2" xfId="1739"/>
    <cellStyle name="AdjNo 11 5 6 3" xfId="23642"/>
    <cellStyle name="AdjNo 11 5 6 4" xfId="23643"/>
    <cellStyle name="AdjNo 11 5 7" xfId="1740"/>
    <cellStyle name="AdjNo 11 5 7 2" xfId="1741"/>
    <cellStyle name="AdjNo 11 5 7 3" xfId="23644"/>
    <cellStyle name="AdjNo 11 5 7 4" xfId="23645"/>
    <cellStyle name="AdjNo 11 5 8" xfId="1742"/>
    <cellStyle name="AdjNo 11 5 9" xfId="23646"/>
    <cellStyle name="AdjNo 11 6" xfId="1743"/>
    <cellStyle name="AdjNo 11 6 2" xfId="1744"/>
    <cellStyle name="AdjNo 11 6 3" xfId="23647"/>
    <cellStyle name="AdjNo 11 6 4" xfId="23648"/>
    <cellStyle name="AdjNo 11 7" xfId="1745"/>
    <cellStyle name="AdjNo 11 7 2" xfId="1746"/>
    <cellStyle name="AdjNo 11 7 3" xfId="23649"/>
    <cellStyle name="AdjNo 11 7 4" xfId="23650"/>
    <cellStyle name="AdjNo 11 8" xfId="1747"/>
    <cellStyle name="AdjNo 11 8 2" xfId="1748"/>
    <cellStyle name="AdjNo 11 8 3" xfId="23651"/>
    <cellStyle name="AdjNo 11 8 4" xfId="23652"/>
    <cellStyle name="AdjNo 11 9" xfId="1749"/>
    <cellStyle name="AdjNo 11 9 2" xfId="1750"/>
    <cellStyle name="AdjNo 11 9 3" xfId="23653"/>
    <cellStyle name="AdjNo 11 9 4" xfId="23654"/>
    <cellStyle name="AdjNo 12" xfId="1751"/>
    <cellStyle name="AdjNo 12 10" xfId="1752"/>
    <cellStyle name="AdjNo 12 10 2" xfId="1753"/>
    <cellStyle name="AdjNo 12 10 3" xfId="23655"/>
    <cellStyle name="AdjNo 12 10 4" xfId="23656"/>
    <cellStyle name="AdjNo 12 11" xfId="1754"/>
    <cellStyle name="AdjNo 12 11 2" xfId="1755"/>
    <cellStyle name="AdjNo 12 11 3" xfId="23657"/>
    <cellStyle name="AdjNo 12 11 4" xfId="23658"/>
    <cellStyle name="AdjNo 12 12" xfId="1756"/>
    <cellStyle name="AdjNo 12 13" xfId="23659"/>
    <cellStyle name="AdjNo 12 14" xfId="23660"/>
    <cellStyle name="AdjNo 12 2" xfId="1757"/>
    <cellStyle name="AdjNo 12 2 10" xfId="23661"/>
    <cellStyle name="AdjNo 12 2 2" xfId="1758"/>
    <cellStyle name="AdjNo 12 2 2 2" xfId="1759"/>
    <cellStyle name="AdjNo 12 2 2 3" xfId="23662"/>
    <cellStyle name="AdjNo 12 2 2 4" xfId="23663"/>
    <cellStyle name="AdjNo 12 2 3" xfId="1760"/>
    <cellStyle name="AdjNo 12 2 3 2" xfId="1761"/>
    <cellStyle name="AdjNo 12 2 3 3" xfId="23664"/>
    <cellStyle name="AdjNo 12 2 3 4" xfId="23665"/>
    <cellStyle name="AdjNo 12 2 4" xfId="1762"/>
    <cellStyle name="AdjNo 12 2 4 2" xfId="1763"/>
    <cellStyle name="AdjNo 12 2 4 3" xfId="23666"/>
    <cellStyle name="AdjNo 12 2 4 4" xfId="23667"/>
    <cellStyle name="AdjNo 12 2 5" xfId="1764"/>
    <cellStyle name="AdjNo 12 2 5 2" xfId="1765"/>
    <cellStyle name="AdjNo 12 2 5 3" xfId="23668"/>
    <cellStyle name="AdjNo 12 2 5 4" xfId="23669"/>
    <cellStyle name="AdjNo 12 2 6" xfId="1766"/>
    <cellStyle name="AdjNo 12 2 6 2" xfId="1767"/>
    <cellStyle name="AdjNo 12 2 6 3" xfId="23670"/>
    <cellStyle name="AdjNo 12 2 6 4" xfId="23671"/>
    <cellStyle name="AdjNo 12 2 7" xfId="1768"/>
    <cellStyle name="AdjNo 12 2 7 2" xfId="1769"/>
    <cellStyle name="AdjNo 12 2 7 3" xfId="23672"/>
    <cellStyle name="AdjNo 12 2 7 4" xfId="23673"/>
    <cellStyle name="AdjNo 12 2 8" xfId="1770"/>
    <cellStyle name="AdjNo 12 2 9" xfId="23674"/>
    <cellStyle name="AdjNo 12 3" xfId="1771"/>
    <cellStyle name="AdjNo 12 3 10" xfId="23675"/>
    <cellStyle name="AdjNo 12 3 2" xfId="1772"/>
    <cellStyle name="AdjNo 12 3 2 2" xfId="1773"/>
    <cellStyle name="AdjNo 12 3 2 3" xfId="23676"/>
    <cellStyle name="AdjNo 12 3 2 4" xfId="23677"/>
    <cellStyle name="AdjNo 12 3 3" xfId="1774"/>
    <cellStyle name="AdjNo 12 3 3 2" xfId="1775"/>
    <cellStyle name="AdjNo 12 3 3 3" xfId="23678"/>
    <cellStyle name="AdjNo 12 3 3 4" xfId="23679"/>
    <cellStyle name="AdjNo 12 3 4" xfId="1776"/>
    <cellStyle name="AdjNo 12 3 4 2" xfId="1777"/>
    <cellStyle name="AdjNo 12 3 4 3" xfId="23680"/>
    <cellStyle name="AdjNo 12 3 4 4" xfId="23681"/>
    <cellStyle name="AdjNo 12 3 5" xfId="1778"/>
    <cellStyle name="AdjNo 12 3 5 2" xfId="1779"/>
    <cellStyle name="AdjNo 12 3 5 3" xfId="23682"/>
    <cellStyle name="AdjNo 12 3 5 4" xfId="23683"/>
    <cellStyle name="AdjNo 12 3 6" xfId="1780"/>
    <cellStyle name="AdjNo 12 3 6 2" xfId="1781"/>
    <cellStyle name="AdjNo 12 3 6 3" xfId="23684"/>
    <cellStyle name="AdjNo 12 3 6 4" xfId="23685"/>
    <cellStyle name="AdjNo 12 3 7" xfId="1782"/>
    <cellStyle name="AdjNo 12 3 7 2" xfId="1783"/>
    <cellStyle name="AdjNo 12 3 7 3" xfId="23686"/>
    <cellStyle name="AdjNo 12 3 7 4" xfId="23687"/>
    <cellStyle name="AdjNo 12 3 8" xfId="1784"/>
    <cellStyle name="AdjNo 12 3 9" xfId="23688"/>
    <cellStyle name="AdjNo 12 4" xfId="1785"/>
    <cellStyle name="AdjNo 12 4 10" xfId="23689"/>
    <cellStyle name="AdjNo 12 4 2" xfId="1786"/>
    <cellStyle name="AdjNo 12 4 2 2" xfId="1787"/>
    <cellStyle name="AdjNo 12 4 2 3" xfId="23690"/>
    <cellStyle name="AdjNo 12 4 2 4" xfId="23691"/>
    <cellStyle name="AdjNo 12 4 3" xfId="1788"/>
    <cellStyle name="AdjNo 12 4 3 2" xfId="1789"/>
    <cellStyle name="AdjNo 12 4 3 3" xfId="23692"/>
    <cellStyle name="AdjNo 12 4 3 4" xfId="23693"/>
    <cellStyle name="AdjNo 12 4 4" xfId="1790"/>
    <cellStyle name="AdjNo 12 4 4 2" xfId="1791"/>
    <cellStyle name="AdjNo 12 4 4 3" xfId="23694"/>
    <cellStyle name="AdjNo 12 4 4 4" xfId="23695"/>
    <cellStyle name="AdjNo 12 4 5" xfId="1792"/>
    <cellStyle name="AdjNo 12 4 5 2" xfId="1793"/>
    <cellStyle name="AdjNo 12 4 5 3" xfId="23696"/>
    <cellStyle name="AdjNo 12 4 5 4" xfId="23697"/>
    <cellStyle name="AdjNo 12 4 6" xfId="1794"/>
    <cellStyle name="AdjNo 12 4 6 2" xfId="1795"/>
    <cellStyle name="AdjNo 12 4 6 3" xfId="23698"/>
    <cellStyle name="AdjNo 12 4 6 4" xfId="23699"/>
    <cellStyle name="AdjNo 12 4 7" xfId="1796"/>
    <cellStyle name="AdjNo 12 4 7 2" xfId="1797"/>
    <cellStyle name="AdjNo 12 4 7 3" xfId="23700"/>
    <cellStyle name="AdjNo 12 4 7 4" xfId="23701"/>
    <cellStyle name="AdjNo 12 4 8" xfId="1798"/>
    <cellStyle name="AdjNo 12 4 9" xfId="23702"/>
    <cellStyle name="AdjNo 12 5" xfId="1799"/>
    <cellStyle name="AdjNo 12 5 10" xfId="23703"/>
    <cellStyle name="AdjNo 12 5 2" xfId="1800"/>
    <cellStyle name="AdjNo 12 5 2 2" xfId="1801"/>
    <cellStyle name="AdjNo 12 5 2 3" xfId="23704"/>
    <cellStyle name="AdjNo 12 5 2 4" xfId="23705"/>
    <cellStyle name="AdjNo 12 5 3" xfId="1802"/>
    <cellStyle name="AdjNo 12 5 3 2" xfId="1803"/>
    <cellStyle name="AdjNo 12 5 3 3" xfId="23706"/>
    <cellStyle name="AdjNo 12 5 3 4" xfId="23707"/>
    <cellStyle name="AdjNo 12 5 4" xfId="1804"/>
    <cellStyle name="AdjNo 12 5 4 2" xfId="1805"/>
    <cellStyle name="AdjNo 12 5 4 3" xfId="23708"/>
    <cellStyle name="AdjNo 12 5 4 4" xfId="23709"/>
    <cellStyle name="AdjNo 12 5 5" xfId="1806"/>
    <cellStyle name="AdjNo 12 5 5 2" xfId="1807"/>
    <cellStyle name="AdjNo 12 5 5 3" xfId="23710"/>
    <cellStyle name="AdjNo 12 5 5 4" xfId="23711"/>
    <cellStyle name="AdjNo 12 5 6" xfId="1808"/>
    <cellStyle name="AdjNo 12 5 6 2" xfId="1809"/>
    <cellStyle name="AdjNo 12 5 6 3" xfId="23712"/>
    <cellStyle name="AdjNo 12 5 6 4" xfId="23713"/>
    <cellStyle name="AdjNo 12 5 7" xfId="1810"/>
    <cellStyle name="AdjNo 12 5 7 2" xfId="1811"/>
    <cellStyle name="AdjNo 12 5 7 3" xfId="23714"/>
    <cellStyle name="AdjNo 12 5 7 4" xfId="23715"/>
    <cellStyle name="AdjNo 12 5 8" xfId="1812"/>
    <cellStyle name="AdjNo 12 5 9" xfId="23716"/>
    <cellStyle name="AdjNo 12 6" xfId="1813"/>
    <cellStyle name="AdjNo 12 6 2" xfId="1814"/>
    <cellStyle name="AdjNo 12 6 3" xfId="23717"/>
    <cellStyle name="AdjNo 12 6 4" xfId="23718"/>
    <cellStyle name="AdjNo 12 7" xfId="1815"/>
    <cellStyle name="AdjNo 12 7 2" xfId="1816"/>
    <cellStyle name="AdjNo 12 7 3" xfId="23719"/>
    <cellStyle name="AdjNo 12 7 4" xfId="23720"/>
    <cellStyle name="AdjNo 12 8" xfId="1817"/>
    <cellStyle name="AdjNo 12 8 2" xfId="1818"/>
    <cellStyle name="AdjNo 12 8 3" xfId="23721"/>
    <cellStyle name="AdjNo 12 8 4" xfId="23722"/>
    <cellStyle name="AdjNo 12 9" xfId="1819"/>
    <cellStyle name="AdjNo 12 9 2" xfId="1820"/>
    <cellStyle name="AdjNo 12 9 3" xfId="23723"/>
    <cellStyle name="AdjNo 12 9 4" xfId="23724"/>
    <cellStyle name="AdjNo 13" xfId="1821"/>
    <cellStyle name="AdjNo 13 10" xfId="1822"/>
    <cellStyle name="AdjNo 13 10 2" xfId="1823"/>
    <cellStyle name="AdjNo 13 10 3" xfId="23725"/>
    <cellStyle name="AdjNo 13 10 4" xfId="23726"/>
    <cellStyle name="AdjNo 13 11" xfId="1824"/>
    <cellStyle name="AdjNo 13 11 2" xfId="1825"/>
    <cellStyle name="AdjNo 13 11 3" xfId="23727"/>
    <cellStyle name="AdjNo 13 11 4" xfId="23728"/>
    <cellStyle name="AdjNo 13 12" xfId="1826"/>
    <cellStyle name="AdjNo 13 13" xfId="23729"/>
    <cellStyle name="AdjNo 13 14" xfId="23730"/>
    <cellStyle name="AdjNo 13 2" xfId="1827"/>
    <cellStyle name="AdjNo 13 2 10" xfId="23731"/>
    <cellStyle name="AdjNo 13 2 2" xfId="1828"/>
    <cellStyle name="AdjNo 13 2 2 2" xfId="1829"/>
    <cellStyle name="AdjNo 13 2 2 3" xfId="23732"/>
    <cellStyle name="AdjNo 13 2 2 4" xfId="23733"/>
    <cellStyle name="AdjNo 13 2 3" xfId="1830"/>
    <cellStyle name="AdjNo 13 2 3 2" xfId="1831"/>
    <cellStyle name="AdjNo 13 2 3 3" xfId="23734"/>
    <cellStyle name="AdjNo 13 2 3 4" xfId="23735"/>
    <cellStyle name="AdjNo 13 2 4" xfId="1832"/>
    <cellStyle name="AdjNo 13 2 4 2" xfId="1833"/>
    <cellStyle name="AdjNo 13 2 4 3" xfId="23736"/>
    <cellStyle name="AdjNo 13 2 4 4" xfId="23737"/>
    <cellStyle name="AdjNo 13 2 5" xfId="1834"/>
    <cellStyle name="AdjNo 13 2 5 2" xfId="1835"/>
    <cellStyle name="AdjNo 13 2 5 3" xfId="23738"/>
    <cellStyle name="AdjNo 13 2 5 4" xfId="23739"/>
    <cellStyle name="AdjNo 13 2 6" xfId="1836"/>
    <cellStyle name="AdjNo 13 2 6 2" xfId="1837"/>
    <cellStyle name="AdjNo 13 2 6 3" xfId="23740"/>
    <cellStyle name="AdjNo 13 2 6 4" xfId="23741"/>
    <cellStyle name="AdjNo 13 2 7" xfId="1838"/>
    <cellStyle name="AdjNo 13 2 7 2" xfId="1839"/>
    <cellStyle name="AdjNo 13 2 7 3" xfId="23742"/>
    <cellStyle name="AdjNo 13 2 7 4" xfId="23743"/>
    <cellStyle name="AdjNo 13 2 8" xfId="1840"/>
    <cellStyle name="AdjNo 13 2 9" xfId="23744"/>
    <cellStyle name="AdjNo 13 3" xfId="1841"/>
    <cellStyle name="AdjNo 13 3 10" xfId="23745"/>
    <cellStyle name="AdjNo 13 3 2" xfId="1842"/>
    <cellStyle name="AdjNo 13 3 2 2" xfId="1843"/>
    <cellStyle name="AdjNo 13 3 2 3" xfId="23746"/>
    <cellStyle name="AdjNo 13 3 2 4" xfId="23747"/>
    <cellStyle name="AdjNo 13 3 3" xfId="1844"/>
    <cellStyle name="AdjNo 13 3 3 2" xfId="1845"/>
    <cellStyle name="AdjNo 13 3 3 3" xfId="23748"/>
    <cellStyle name="AdjNo 13 3 3 4" xfId="23749"/>
    <cellStyle name="AdjNo 13 3 4" xfId="1846"/>
    <cellStyle name="AdjNo 13 3 4 2" xfId="1847"/>
    <cellStyle name="AdjNo 13 3 4 3" xfId="23750"/>
    <cellStyle name="AdjNo 13 3 4 4" xfId="23751"/>
    <cellStyle name="AdjNo 13 3 5" xfId="1848"/>
    <cellStyle name="AdjNo 13 3 5 2" xfId="1849"/>
    <cellStyle name="AdjNo 13 3 5 3" xfId="23752"/>
    <cellStyle name="AdjNo 13 3 5 4" xfId="23753"/>
    <cellStyle name="AdjNo 13 3 6" xfId="1850"/>
    <cellStyle name="AdjNo 13 3 6 2" xfId="1851"/>
    <cellStyle name="AdjNo 13 3 6 3" xfId="23754"/>
    <cellStyle name="AdjNo 13 3 6 4" xfId="23755"/>
    <cellStyle name="AdjNo 13 3 7" xfId="1852"/>
    <cellStyle name="AdjNo 13 3 7 2" xfId="1853"/>
    <cellStyle name="AdjNo 13 3 7 3" xfId="23756"/>
    <cellStyle name="AdjNo 13 3 7 4" xfId="23757"/>
    <cellStyle name="AdjNo 13 3 8" xfId="1854"/>
    <cellStyle name="AdjNo 13 3 9" xfId="23758"/>
    <cellStyle name="AdjNo 13 4" xfId="1855"/>
    <cellStyle name="AdjNo 13 4 10" xfId="23759"/>
    <cellStyle name="AdjNo 13 4 2" xfId="1856"/>
    <cellStyle name="AdjNo 13 4 2 2" xfId="1857"/>
    <cellStyle name="AdjNo 13 4 2 3" xfId="23760"/>
    <cellStyle name="AdjNo 13 4 2 4" xfId="23761"/>
    <cellStyle name="AdjNo 13 4 3" xfId="1858"/>
    <cellStyle name="AdjNo 13 4 3 2" xfId="1859"/>
    <cellStyle name="AdjNo 13 4 3 3" xfId="23762"/>
    <cellStyle name="AdjNo 13 4 3 4" xfId="23763"/>
    <cellStyle name="AdjNo 13 4 4" xfId="1860"/>
    <cellStyle name="AdjNo 13 4 4 2" xfId="1861"/>
    <cellStyle name="AdjNo 13 4 4 3" xfId="23764"/>
    <cellStyle name="AdjNo 13 4 4 4" xfId="23765"/>
    <cellStyle name="AdjNo 13 4 5" xfId="1862"/>
    <cellStyle name="AdjNo 13 4 5 2" xfId="1863"/>
    <cellStyle name="AdjNo 13 4 5 3" xfId="23766"/>
    <cellStyle name="AdjNo 13 4 5 4" xfId="23767"/>
    <cellStyle name="AdjNo 13 4 6" xfId="1864"/>
    <cellStyle name="AdjNo 13 4 6 2" xfId="1865"/>
    <cellStyle name="AdjNo 13 4 6 3" xfId="23768"/>
    <cellStyle name="AdjNo 13 4 6 4" xfId="23769"/>
    <cellStyle name="AdjNo 13 4 7" xfId="1866"/>
    <cellStyle name="AdjNo 13 4 7 2" xfId="1867"/>
    <cellStyle name="AdjNo 13 4 7 3" xfId="23770"/>
    <cellStyle name="AdjNo 13 4 7 4" xfId="23771"/>
    <cellStyle name="AdjNo 13 4 8" xfId="1868"/>
    <cellStyle name="AdjNo 13 4 9" xfId="23772"/>
    <cellStyle name="AdjNo 13 5" xfId="1869"/>
    <cellStyle name="AdjNo 13 5 10" xfId="23773"/>
    <cellStyle name="AdjNo 13 5 2" xfId="1870"/>
    <cellStyle name="AdjNo 13 5 2 2" xfId="1871"/>
    <cellStyle name="AdjNo 13 5 2 3" xfId="23774"/>
    <cellStyle name="AdjNo 13 5 2 4" xfId="23775"/>
    <cellStyle name="AdjNo 13 5 3" xfId="1872"/>
    <cellStyle name="AdjNo 13 5 3 2" xfId="1873"/>
    <cellStyle name="AdjNo 13 5 3 3" xfId="23776"/>
    <cellStyle name="AdjNo 13 5 3 4" xfId="23777"/>
    <cellStyle name="AdjNo 13 5 4" xfId="1874"/>
    <cellStyle name="AdjNo 13 5 4 2" xfId="1875"/>
    <cellStyle name="AdjNo 13 5 4 3" xfId="23778"/>
    <cellStyle name="AdjNo 13 5 4 4" xfId="23779"/>
    <cellStyle name="AdjNo 13 5 5" xfId="1876"/>
    <cellStyle name="AdjNo 13 5 5 2" xfId="1877"/>
    <cellStyle name="AdjNo 13 5 5 3" xfId="23780"/>
    <cellStyle name="AdjNo 13 5 5 4" xfId="23781"/>
    <cellStyle name="AdjNo 13 5 6" xfId="1878"/>
    <cellStyle name="AdjNo 13 5 6 2" xfId="1879"/>
    <cellStyle name="AdjNo 13 5 6 3" xfId="23782"/>
    <cellStyle name="AdjNo 13 5 6 4" xfId="23783"/>
    <cellStyle name="AdjNo 13 5 7" xfId="1880"/>
    <cellStyle name="AdjNo 13 5 7 2" xfId="1881"/>
    <cellStyle name="AdjNo 13 5 7 3" xfId="23784"/>
    <cellStyle name="AdjNo 13 5 7 4" xfId="23785"/>
    <cellStyle name="AdjNo 13 5 8" xfId="1882"/>
    <cellStyle name="AdjNo 13 5 9" xfId="23786"/>
    <cellStyle name="AdjNo 13 6" xfId="1883"/>
    <cellStyle name="AdjNo 13 6 2" xfId="1884"/>
    <cellStyle name="AdjNo 13 6 3" xfId="23787"/>
    <cellStyle name="AdjNo 13 6 4" xfId="23788"/>
    <cellStyle name="AdjNo 13 7" xfId="1885"/>
    <cellStyle name="AdjNo 13 7 2" xfId="1886"/>
    <cellStyle name="AdjNo 13 7 3" xfId="23789"/>
    <cellStyle name="AdjNo 13 7 4" xfId="23790"/>
    <cellStyle name="AdjNo 13 8" xfId="1887"/>
    <cellStyle name="AdjNo 13 8 2" xfId="1888"/>
    <cellStyle name="AdjNo 13 8 3" xfId="23791"/>
    <cellStyle name="AdjNo 13 8 4" xfId="23792"/>
    <cellStyle name="AdjNo 13 9" xfId="1889"/>
    <cellStyle name="AdjNo 13 9 2" xfId="1890"/>
    <cellStyle name="AdjNo 13 9 3" xfId="23793"/>
    <cellStyle name="AdjNo 13 9 4" xfId="23794"/>
    <cellStyle name="AdjNo 14" xfId="1891"/>
    <cellStyle name="AdjNo 14 10" xfId="23795"/>
    <cellStyle name="AdjNo 14 2" xfId="1892"/>
    <cellStyle name="AdjNo 14 2 2" xfId="1893"/>
    <cellStyle name="AdjNo 14 2 3" xfId="23796"/>
    <cellStyle name="AdjNo 14 2 4" xfId="23797"/>
    <cellStyle name="AdjNo 14 3" xfId="1894"/>
    <cellStyle name="AdjNo 14 3 2" xfId="1895"/>
    <cellStyle name="AdjNo 14 3 3" xfId="23798"/>
    <cellStyle name="AdjNo 14 3 4" xfId="23799"/>
    <cellStyle name="AdjNo 14 4" xfId="1896"/>
    <cellStyle name="AdjNo 14 4 2" xfId="1897"/>
    <cellStyle name="AdjNo 14 4 3" xfId="23800"/>
    <cellStyle name="AdjNo 14 4 4" xfId="23801"/>
    <cellStyle name="AdjNo 14 5" xfId="1898"/>
    <cellStyle name="AdjNo 14 5 2" xfId="1899"/>
    <cellStyle name="AdjNo 14 5 3" xfId="23802"/>
    <cellStyle name="AdjNo 14 5 4" xfId="23803"/>
    <cellStyle name="AdjNo 14 6" xfId="1900"/>
    <cellStyle name="AdjNo 14 6 2" xfId="1901"/>
    <cellStyle name="AdjNo 14 6 3" xfId="23804"/>
    <cellStyle name="AdjNo 14 6 4" xfId="23805"/>
    <cellStyle name="AdjNo 14 7" xfId="1902"/>
    <cellStyle name="AdjNo 14 7 2" xfId="1903"/>
    <cellStyle name="AdjNo 14 7 3" xfId="23806"/>
    <cellStyle name="AdjNo 14 7 4" xfId="23807"/>
    <cellStyle name="AdjNo 14 8" xfId="1904"/>
    <cellStyle name="AdjNo 14 9" xfId="23808"/>
    <cellStyle name="AdjNo 15" xfId="1905"/>
    <cellStyle name="AdjNo 15 10" xfId="23809"/>
    <cellStyle name="AdjNo 15 2" xfId="1906"/>
    <cellStyle name="AdjNo 15 2 2" xfId="1907"/>
    <cellStyle name="AdjNo 15 2 3" xfId="23810"/>
    <cellStyle name="AdjNo 15 2 4" xfId="23811"/>
    <cellStyle name="AdjNo 15 3" xfId="1908"/>
    <cellStyle name="AdjNo 15 3 2" xfId="1909"/>
    <cellStyle name="AdjNo 15 3 3" xfId="23812"/>
    <cellStyle name="AdjNo 15 3 4" xfId="23813"/>
    <cellStyle name="AdjNo 15 4" xfId="1910"/>
    <cellStyle name="AdjNo 15 4 2" xfId="1911"/>
    <cellStyle name="AdjNo 15 4 3" xfId="23814"/>
    <cellStyle name="AdjNo 15 4 4" xfId="23815"/>
    <cellStyle name="AdjNo 15 5" xfId="1912"/>
    <cellStyle name="AdjNo 15 5 2" xfId="1913"/>
    <cellStyle name="AdjNo 15 5 3" xfId="23816"/>
    <cellStyle name="AdjNo 15 5 4" xfId="23817"/>
    <cellStyle name="AdjNo 15 6" xfId="1914"/>
    <cellStyle name="AdjNo 15 6 2" xfId="1915"/>
    <cellStyle name="AdjNo 15 6 3" xfId="23818"/>
    <cellStyle name="AdjNo 15 6 4" xfId="23819"/>
    <cellStyle name="AdjNo 15 7" xfId="1916"/>
    <cellStyle name="AdjNo 15 7 2" xfId="1917"/>
    <cellStyle name="AdjNo 15 7 3" xfId="23820"/>
    <cellStyle name="AdjNo 15 7 4" xfId="23821"/>
    <cellStyle name="AdjNo 15 8" xfId="1918"/>
    <cellStyle name="AdjNo 15 9" xfId="23822"/>
    <cellStyle name="AdjNo 16" xfId="1919"/>
    <cellStyle name="AdjNo 16 10" xfId="23823"/>
    <cellStyle name="AdjNo 16 2" xfId="1920"/>
    <cellStyle name="AdjNo 16 2 2" xfId="1921"/>
    <cellStyle name="AdjNo 16 2 3" xfId="23824"/>
    <cellStyle name="AdjNo 16 2 4" xfId="23825"/>
    <cellStyle name="AdjNo 16 3" xfId="1922"/>
    <cellStyle name="AdjNo 16 3 2" xfId="1923"/>
    <cellStyle name="AdjNo 16 3 3" xfId="23826"/>
    <cellStyle name="AdjNo 16 3 4" xfId="23827"/>
    <cellStyle name="AdjNo 16 4" xfId="1924"/>
    <cellStyle name="AdjNo 16 4 2" xfId="1925"/>
    <cellStyle name="AdjNo 16 4 3" xfId="23828"/>
    <cellStyle name="AdjNo 16 4 4" xfId="23829"/>
    <cellStyle name="AdjNo 16 5" xfId="1926"/>
    <cellStyle name="AdjNo 16 5 2" xfId="1927"/>
    <cellStyle name="AdjNo 16 5 3" xfId="23830"/>
    <cellStyle name="AdjNo 16 5 4" xfId="23831"/>
    <cellStyle name="AdjNo 16 6" xfId="1928"/>
    <cellStyle name="AdjNo 16 6 2" xfId="1929"/>
    <cellStyle name="AdjNo 16 6 3" xfId="23832"/>
    <cellStyle name="AdjNo 16 6 4" xfId="23833"/>
    <cellStyle name="AdjNo 16 7" xfId="1930"/>
    <cellStyle name="AdjNo 16 7 2" xfId="1931"/>
    <cellStyle name="AdjNo 16 7 3" xfId="23834"/>
    <cellStyle name="AdjNo 16 7 4" xfId="23835"/>
    <cellStyle name="AdjNo 16 8" xfId="1932"/>
    <cellStyle name="AdjNo 16 9" xfId="23836"/>
    <cellStyle name="AdjNo 17" xfId="1933"/>
    <cellStyle name="AdjNo 17 10" xfId="23837"/>
    <cellStyle name="AdjNo 17 2" xfId="1934"/>
    <cellStyle name="AdjNo 17 2 2" xfId="1935"/>
    <cellStyle name="AdjNo 17 2 3" xfId="23838"/>
    <cellStyle name="AdjNo 17 2 4" xfId="23839"/>
    <cellStyle name="AdjNo 17 3" xfId="1936"/>
    <cellStyle name="AdjNo 17 3 2" xfId="1937"/>
    <cellStyle name="AdjNo 17 3 3" xfId="23840"/>
    <cellStyle name="AdjNo 17 3 4" xfId="23841"/>
    <cellStyle name="AdjNo 17 4" xfId="1938"/>
    <cellStyle name="AdjNo 17 4 2" xfId="1939"/>
    <cellStyle name="AdjNo 17 4 3" xfId="23842"/>
    <cellStyle name="AdjNo 17 4 4" xfId="23843"/>
    <cellStyle name="AdjNo 17 5" xfId="1940"/>
    <cellStyle name="AdjNo 17 5 2" xfId="1941"/>
    <cellStyle name="AdjNo 17 5 3" xfId="23844"/>
    <cellStyle name="AdjNo 17 5 4" xfId="23845"/>
    <cellStyle name="AdjNo 17 6" xfId="1942"/>
    <cellStyle name="AdjNo 17 6 2" xfId="1943"/>
    <cellStyle name="AdjNo 17 6 3" xfId="23846"/>
    <cellStyle name="AdjNo 17 6 4" xfId="23847"/>
    <cellStyle name="AdjNo 17 7" xfId="1944"/>
    <cellStyle name="AdjNo 17 7 2" xfId="1945"/>
    <cellStyle name="AdjNo 17 7 3" xfId="23848"/>
    <cellStyle name="AdjNo 17 7 4" xfId="23849"/>
    <cellStyle name="AdjNo 17 8" xfId="1946"/>
    <cellStyle name="AdjNo 17 9" xfId="23850"/>
    <cellStyle name="AdjNo 18" xfId="1947"/>
    <cellStyle name="AdjNo 18 2" xfId="1948"/>
    <cellStyle name="AdjNo 18 3" xfId="23851"/>
    <cellStyle name="AdjNo 18 4" xfId="23852"/>
    <cellStyle name="AdjNo 19" xfId="1949"/>
    <cellStyle name="AdjNo 19 2" xfId="1950"/>
    <cellStyle name="AdjNo 19 3" xfId="23853"/>
    <cellStyle name="AdjNo 19 4" xfId="23854"/>
    <cellStyle name="AdjNo 2" xfId="1951"/>
    <cellStyle name="AdjNo 2 10" xfId="1952"/>
    <cellStyle name="AdjNo 2 10 2" xfId="1953"/>
    <cellStyle name="AdjNo 2 10 3" xfId="23855"/>
    <cellStyle name="AdjNo 2 10 4" xfId="23856"/>
    <cellStyle name="AdjNo 2 11" xfId="1954"/>
    <cellStyle name="AdjNo 2 11 2" xfId="1955"/>
    <cellStyle name="AdjNo 2 11 3" xfId="23857"/>
    <cellStyle name="AdjNo 2 11 4" xfId="23858"/>
    <cellStyle name="AdjNo 2 12" xfId="1956"/>
    <cellStyle name="AdjNo 2 13" xfId="23859"/>
    <cellStyle name="AdjNo 2 14" xfId="23860"/>
    <cellStyle name="AdjNo 2 2" xfId="1957"/>
    <cellStyle name="AdjNo 2 2 10" xfId="23861"/>
    <cellStyle name="AdjNo 2 2 2" xfId="1958"/>
    <cellStyle name="AdjNo 2 2 2 2" xfId="1959"/>
    <cellStyle name="AdjNo 2 2 2 3" xfId="23862"/>
    <cellStyle name="AdjNo 2 2 2 4" xfId="23863"/>
    <cellStyle name="AdjNo 2 2 3" xfId="1960"/>
    <cellStyle name="AdjNo 2 2 3 2" xfId="1961"/>
    <cellStyle name="AdjNo 2 2 3 3" xfId="23864"/>
    <cellStyle name="AdjNo 2 2 3 4" xfId="23865"/>
    <cellStyle name="AdjNo 2 2 4" xfId="1962"/>
    <cellStyle name="AdjNo 2 2 4 2" xfId="1963"/>
    <cellStyle name="AdjNo 2 2 4 3" xfId="23866"/>
    <cellStyle name="AdjNo 2 2 4 4" xfId="23867"/>
    <cellStyle name="AdjNo 2 2 5" xfId="1964"/>
    <cellStyle name="AdjNo 2 2 5 2" xfId="1965"/>
    <cellStyle name="AdjNo 2 2 5 3" xfId="23868"/>
    <cellStyle name="AdjNo 2 2 5 4" xfId="23869"/>
    <cellStyle name="AdjNo 2 2 6" xfId="1966"/>
    <cellStyle name="AdjNo 2 2 6 2" xfId="1967"/>
    <cellStyle name="AdjNo 2 2 6 3" xfId="23870"/>
    <cellStyle name="AdjNo 2 2 6 4" xfId="23871"/>
    <cellStyle name="AdjNo 2 2 7" xfId="1968"/>
    <cellStyle name="AdjNo 2 2 7 2" xfId="1969"/>
    <cellStyle name="AdjNo 2 2 7 3" xfId="23872"/>
    <cellStyle name="AdjNo 2 2 7 4" xfId="23873"/>
    <cellStyle name="AdjNo 2 2 8" xfId="1970"/>
    <cellStyle name="AdjNo 2 2 9" xfId="23874"/>
    <cellStyle name="AdjNo 2 3" xfId="1971"/>
    <cellStyle name="AdjNo 2 3 10" xfId="23875"/>
    <cellStyle name="AdjNo 2 3 2" xfId="1972"/>
    <cellStyle name="AdjNo 2 3 2 2" xfId="1973"/>
    <cellStyle name="AdjNo 2 3 2 3" xfId="23876"/>
    <cellStyle name="AdjNo 2 3 2 4" xfId="23877"/>
    <cellStyle name="AdjNo 2 3 3" xfId="1974"/>
    <cellStyle name="AdjNo 2 3 3 2" xfId="1975"/>
    <cellStyle name="AdjNo 2 3 3 3" xfId="23878"/>
    <cellStyle name="AdjNo 2 3 3 4" xfId="23879"/>
    <cellStyle name="AdjNo 2 3 4" xfId="1976"/>
    <cellStyle name="AdjNo 2 3 4 2" xfId="1977"/>
    <cellStyle name="AdjNo 2 3 4 3" xfId="23880"/>
    <cellStyle name="AdjNo 2 3 4 4" xfId="23881"/>
    <cellStyle name="AdjNo 2 3 5" xfId="1978"/>
    <cellStyle name="AdjNo 2 3 5 2" xfId="1979"/>
    <cellStyle name="AdjNo 2 3 5 3" xfId="23882"/>
    <cellStyle name="AdjNo 2 3 5 4" xfId="23883"/>
    <cellStyle name="AdjNo 2 3 6" xfId="1980"/>
    <cellStyle name="AdjNo 2 3 6 2" xfId="1981"/>
    <cellStyle name="AdjNo 2 3 6 3" xfId="23884"/>
    <cellStyle name="AdjNo 2 3 6 4" xfId="23885"/>
    <cellStyle name="AdjNo 2 3 7" xfId="1982"/>
    <cellStyle name="AdjNo 2 3 7 2" xfId="1983"/>
    <cellStyle name="AdjNo 2 3 7 3" xfId="23886"/>
    <cellStyle name="AdjNo 2 3 7 4" xfId="23887"/>
    <cellStyle name="AdjNo 2 3 8" xfId="1984"/>
    <cellStyle name="AdjNo 2 3 9" xfId="23888"/>
    <cellStyle name="AdjNo 2 4" xfId="1985"/>
    <cellStyle name="AdjNo 2 4 10" xfId="23889"/>
    <cellStyle name="AdjNo 2 4 2" xfId="1986"/>
    <cellStyle name="AdjNo 2 4 2 2" xfId="1987"/>
    <cellStyle name="AdjNo 2 4 2 3" xfId="23890"/>
    <cellStyle name="AdjNo 2 4 2 4" xfId="23891"/>
    <cellStyle name="AdjNo 2 4 3" xfId="1988"/>
    <cellStyle name="AdjNo 2 4 3 2" xfId="1989"/>
    <cellStyle name="AdjNo 2 4 3 3" xfId="23892"/>
    <cellStyle name="AdjNo 2 4 3 4" xfId="23893"/>
    <cellStyle name="AdjNo 2 4 4" xfId="1990"/>
    <cellStyle name="AdjNo 2 4 4 2" xfId="1991"/>
    <cellStyle name="AdjNo 2 4 4 3" xfId="23894"/>
    <cellStyle name="AdjNo 2 4 4 4" xfId="23895"/>
    <cellStyle name="AdjNo 2 4 5" xfId="1992"/>
    <cellStyle name="AdjNo 2 4 5 2" xfId="1993"/>
    <cellStyle name="AdjNo 2 4 5 3" xfId="23896"/>
    <cellStyle name="AdjNo 2 4 5 4" xfId="23897"/>
    <cellStyle name="AdjNo 2 4 6" xfId="1994"/>
    <cellStyle name="AdjNo 2 4 6 2" xfId="1995"/>
    <cellStyle name="AdjNo 2 4 6 3" xfId="23898"/>
    <cellStyle name="AdjNo 2 4 6 4" xfId="23899"/>
    <cellStyle name="AdjNo 2 4 7" xfId="1996"/>
    <cellStyle name="AdjNo 2 4 7 2" xfId="1997"/>
    <cellStyle name="AdjNo 2 4 7 3" xfId="23900"/>
    <cellStyle name="AdjNo 2 4 7 4" xfId="23901"/>
    <cellStyle name="AdjNo 2 4 8" xfId="1998"/>
    <cellStyle name="AdjNo 2 4 9" xfId="23902"/>
    <cellStyle name="AdjNo 2 5" xfId="1999"/>
    <cellStyle name="AdjNo 2 5 10" xfId="23903"/>
    <cellStyle name="AdjNo 2 5 2" xfId="2000"/>
    <cellStyle name="AdjNo 2 5 2 2" xfId="2001"/>
    <cellStyle name="AdjNo 2 5 2 3" xfId="23904"/>
    <cellStyle name="AdjNo 2 5 2 4" xfId="23905"/>
    <cellStyle name="AdjNo 2 5 3" xfId="2002"/>
    <cellStyle name="AdjNo 2 5 3 2" xfId="2003"/>
    <cellStyle name="AdjNo 2 5 3 3" xfId="23906"/>
    <cellStyle name="AdjNo 2 5 3 4" xfId="23907"/>
    <cellStyle name="AdjNo 2 5 4" xfId="2004"/>
    <cellStyle name="AdjNo 2 5 4 2" xfId="2005"/>
    <cellStyle name="AdjNo 2 5 4 3" xfId="23908"/>
    <cellStyle name="AdjNo 2 5 4 4" xfId="23909"/>
    <cellStyle name="AdjNo 2 5 5" xfId="2006"/>
    <cellStyle name="AdjNo 2 5 5 2" xfId="2007"/>
    <cellStyle name="AdjNo 2 5 5 3" xfId="23910"/>
    <cellStyle name="AdjNo 2 5 5 4" xfId="23911"/>
    <cellStyle name="AdjNo 2 5 6" xfId="2008"/>
    <cellStyle name="AdjNo 2 5 6 2" xfId="2009"/>
    <cellStyle name="AdjNo 2 5 6 3" xfId="23912"/>
    <cellStyle name="AdjNo 2 5 6 4" xfId="23913"/>
    <cellStyle name="AdjNo 2 5 7" xfId="2010"/>
    <cellStyle name="AdjNo 2 5 7 2" xfId="2011"/>
    <cellStyle name="AdjNo 2 5 7 3" xfId="23914"/>
    <cellStyle name="AdjNo 2 5 7 4" xfId="23915"/>
    <cellStyle name="AdjNo 2 5 8" xfId="2012"/>
    <cellStyle name="AdjNo 2 5 9" xfId="23916"/>
    <cellStyle name="AdjNo 2 6" xfId="2013"/>
    <cellStyle name="AdjNo 2 6 2" xfId="2014"/>
    <cellStyle name="AdjNo 2 6 3" xfId="23917"/>
    <cellStyle name="AdjNo 2 6 4" xfId="23918"/>
    <cellStyle name="AdjNo 2 7" xfId="2015"/>
    <cellStyle name="AdjNo 2 7 2" xfId="2016"/>
    <cellStyle name="AdjNo 2 7 3" xfId="23919"/>
    <cellStyle name="AdjNo 2 7 4" xfId="23920"/>
    <cellStyle name="AdjNo 2 8" xfId="2017"/>
    <cellStyle name="AdjNo 2 8 2" xfId="2018"/>
    <cellStyle name="AdjNo 2 8 3" xfId="23921"/>
    <cellStyle name="AdjNo 2 8 4" xfId="23922"/>
    <cellStyle name="AdjNo 2 9" xfId="2019"/>
    <cellStyle name="AdjNo 2 9 2" xfId="2020"/>
    <cellStyle name="AdjNo 2 9 3" xfId="23923"/>
    <cellStyle name="AdjNo 2 9 4" xfId="23924"/>
    <cellStyle name="AdjNo 20" xfId="2021"/>
    <cellStyle name="AdjNo 20 2" xfId="2022"/>
    <cellStyle name="AdjNo 20 3" xfId="23925"/>
    <cellStyle name="AdjNo 20 4" xfId="23926"/>
    <cellStyle name="AdjNo 21" xfId="2023"/>
    <cellStyle name="AdjNo 21 2" xfId="2024"/>
    <cellStyle name="AdjNo 21 3" xfId="23927"/>
    <cellStyle name="AdjNo 21 4" xfId="23928"/>
    <cellStyle name="AdjNo 22" xfId="2025"/>
    <cellStyle name="AdjNo 22 2" xfId="2026"/>
    <cellStyle name="AdjNo 22 3" xfId="23929"/>
    <cellStyle name="AdjNo 22 4" xfId="23930"/>
    <cellStyle name="AdjNo 23" xfId="2027"/>
    <cellStyle name="AdjNo 23 2" xfId="2028"/>
    <cellStyle name="AdjNo 23 3" xfId="23931"/>
    <cellStyle name="AdjNo 23 4" xfId="23932"/>
    <cellStyle name="AdjNo 24" xfId="2029"/>
    <cellStyle name="AdjNo 25" xfId="23933"/>
    <cellStyle name="AdjNo 26" xfId="23934"/>
    <cellStyle name="AdjNo 3" xfId="2030"/>
    <cellStyle name="AdjNo 3 10" xfId="2031"/>
    <cellStyle name="AdjNo 3 10 2" xfId="2032"/>
    <cellStyle name="AdjNo 3 10 3" xfId="23935"/>
    <cellStyle name="AdjNo 3 10 4" xfId="23936"/>
    <cellStyle name="AdjNo 3 11" xfId="2033"/>
    <cellStyle name="AdjNo 3 11 2" xfId="2034"/>
    <cellStyle name="AdjNo 3 11 3" xfId="23937"/>
    <cellStyle name="AdjNo 3 11 4" xfId="23938"/>
    <cellStyle name="AdjNo 3 12" xfId="2035"/>
    <cellStyle name="AdjNo 3 13" xfId="23939"/>
    <cellStyle name="AdjNo 3 14" xfId="23940"/>
    <cellStyle name="AdjNo 3 2" xfId="2036"/>
    <cellStyle name="AdjNo 3 2 10" xfId="23941"/>
    <cellStyle name="AdjNo 3 2 2" xfId="2037"/>
    <cellStyle name="AdjNo 3 2 2 2" xfId="2038"/>
    <cellStyle name="AdjNo 3 2 2 3" xfId="23942"/>
    <cellStyle name="AdjNo 3 2 2 4" xfId="23943"/>
    <cellStyle name="AdjNo 3 2 3" xfId="2039"/>
    <cellStyle name="AdjNo 3 2 3 2" xfId="2040"/>
    <cellStyle name="AdjNo 3 2 3 3" xfId="23944"/>
    <cellStyle name="AdjNo 3 2 3 4" xfId="23945"/>
    <cellStyle name="AdjNo 3 2 4" xfId="2041"/>
    <cellStyle name="AdjNo 3 2 4 2" xfId="2042"/>
    <cellStyle name="AdjNo 3 2 4 3" xfId="23946"/>
    <cellStyle name="AdjNo 3 2 4 4" xfId="23947"/>
    <cellStyle name="AdjNo 3 2 5" xfId="2043"/>
    <cellStyle name="AdjNo 3 2 5 2" xfId="2044"/>
    <cellStyle name="AdjNo 3 2 5 3" xfId="23948"/>
    <cellStyle name="AdjNo 3 2 5 4" xfId="23949"/>
    <cellStyle name="AdjNo 3 2 6" xfId="2045"/>
    <cellStyle name="AdjNo 3 2 6 2" xfId="2046"/>
    <cellStyle name="AdjNo 3 2 6 3" xfId="23950"/>
    <cellStyle name="AdjNo 3 2 6 4" xfId="23951"/>
    <cellStyle name="AdjNo 3 2 7" xfId="2047"/>
    <cellStyle name="AdjNo 3 2 7 2" xfId="2048"/>
    <cellStyle name="AdjNo 3 2 7 3" xfId="23952"/>
    <cellStyle name="AdjNo 3 2 7 4" xfId="23953"/>
    <cellStyle name="AdjNo 3 2 8" xfId="2049"/>
    <cellStyle name="AdjNo 3 2 9" xfId="23954"/>
    <cellStyle name="AdjNo 3 3" xfId="2050"/>
    <cellStyle name="AdjNo 3 3 10" xfId="23955"/>
    <cellStyle name="AdjNo 3 3 2" xfId="2051"/>
    <cellStyle name="AdjNo 3 3 2 2" xfId="2052"/>
    <cellStyle name="AdjNo 3 3 2 3" xfId="23956"/>
    <cellStyle name="AdjNo 3 3 2 4" xfId="23957"/>
    <cellStyle name="AdjNo 3 3 3" xfId="2053"/>
    <cellStyle name="AdjNo 3 3 3 2" xfId="2054"/>
    <cellStyle name="AdjNo 3 3 3 3" xfId="23958"/>
    <cellStyle name="AdjNo 3 3 3 4" xfId="23959"/>
    <cellStyle name="AdjNo 3 3 4" xfId="2055"/>
    <cellStyle name="AdjNo 3 3 4 2" xfId="2056"/>
    <cellStyle name="AdjNo 3 3 4 3" xfId="23960"/>
    <cellStyle name="AdjNo 3 3 4 4" xfId="23961"/>
    <cellStyle name="AdjNo 3 3 5" xfId="2057"/>
    <cellStyle name="AdjNo 3 3 5 2" xfId="2058"/>
    <cellStyle name="AdjNo 3 3 5 3" xfId="23962"/>
    <cellStyle name="AdjNo 3 3 5 4" xfId="23963"/>
    <cellStyle name="AdjNo 3 3 6" xfId="2059"/>
    <cellStyle name="AdjNo 3 3 6 2" xfId="2060"/>
    <cellStyle name="AdjNo 3 3 6 3" xfId="23964"/>
    <cellStyle name="AdjNo 3 3 6 4" xfId="23965"/>
    <cellStyle name="AdjNo 3 3 7" xfId="2061"/>
    <cellStyle name="AdjNo 3 3 7 2" xfId="2062"/>
    <cellStyle name="AdjNo 3 3 7 3" xfId="23966"/>
    <cellStyle name="AdjNo 3 3 7 4" xfId="23967"/>
    <cellStyle name="AdjNo 3 3 8" xfId="2063"/>
    <cellStyle name="AdjNo 3 3 9" xfId="23968"/>
    <cellStyle name="AdjNo 3 4" xfId="2064"/>
    <cellStyle name="AdjNo 3 4 10" xfId="23969"/>
    <cellStyle name="AdjNo 3 4 2" xfId="2065"/>
    <cellStyle name="AdjNo 3 4 2 2" xfId="2066"/>
    <cellStyle name="AdjNo 3 4 2 3" xfId="23970"/>
    <cellStyle name="AdjNo 3 4 2 4" xfId="23971"/>
    <cellStyle name="AdjNo 3 4 3" xfId="2067"/>
    <cellStyle name="AdjNo 3 4 3 2" xfId="2068"/>
    <cellStyle name="AdjNo 3 4 3 3" xfId="23972"/>
    <cellStyle name="AdjNo 3 4 3 4" xfId="23973"/>
    <cellStyle name="AdjNo 3 4 4" xfId="2069"/>
    <cellStyle name="AdjNo 3 4 4 2" xfId="2070"/>
    <cellStyle name="AdjNo 3 4 4 3" xfId="23974"/>
    <cellStyle name="AdjNo 3 4 4 4" xfId="23975"/>
    <cellStyle name="AdjNo 3 4 5" xfId="2071"/>
    <cellStyle name="AdjNo 3 4 5 2" xfId="2072"/>
    <cellStyle name="AdjNo 3 4 5 3" xfId="23976"/>
    <cellStyle name="AdjNo 3 4 5 4" xfId="23977"/>
    <cellStyle name="AdjNo 3 4 6" xfId="2073"/>
    <cellStyle name="AdjNo 3 4 6 2" xfId="2074"/>
    <cellStyle name="AdjNo 3 4 6 3" xfId="23978"/>
    <cellStyle name="AdjNo 3 4 6 4" xfId="23979"/>
    <cellStyle name="AdjNo 3 4 7" xfId="2075"/>
    <cellStyle name="AdjNo 3 4 7 2" xfId="2076"/>
    <cellStyle name="AdjNo 3 4 7 3" xfId="23980"/>
    <cellStyle name="AdjNo 3 4 7 4" xfId="23981"/>
    <cellStyle name="AdjNo 3 4 8" xfId="2077"/>
    <cellStyle name="AdjNo 3 4 9" xfId="23982"/>
    <cellStyle name="AdjNo 3 5" xfId="2078"/>
    <cellStyle name="AdjNo 3 5 10" xfId="23983"/>
    <cellStyle name="AdjNo 3 5 2" xfId="2079"/>
    <cellStyle name="AdjNo 3 5 2 2" xfId="2080"/>
    <cellStyle name="AdjNo 3 5 2 3" xfId="23984"/>
    <cellStyle name="AdjNo 3 5 2 4" xfId="23985"/>
    <cellStyle name="AdjNo 3 5 3" xfId="2081"/>
    <cellStyle name="AdjNo 3 5 3 2" xfId="2082"/>
    <cellStyle name="AdjNo 3 5 3 3" xfId="23986"/>
    <cellStyle name="AdjNo 3 5 3 4" xfId="23987"/>
    <cellStyle name="AdjNo 3 5 4" xfId="2083"/>
    <cellStyle name="AdjNo 3 5 4 2" xfId="2084"/>
    <cellStyle name="AdjNo 3 5 4 3" xfId="23988"/>
    <cellStyle name="AdjNo 3 5 4 4" xfId="23989"/>
    <cellStyle name="AdjNo 3 5 5" xfId="2085"/>
    <cellStyle name="AdjNo 3 5 5 2" xfId="2086"/>
    <cellStyle name="AdjNo 3 5 5 3" xfId="23990"/>
    <cellStyle name="AdjNo 3 5 5 4" xfId="23991"/>
    <cellStyle name="AdjNo 3 5 6" xfId="2087"/>
    <cellStyle name="AdjNo 3 5 6 2" xfId="2088"/>
    <cellStyle name="AdjNo 3 5 6 3" xfId="23992"/>
    <cellStyle name="AdjNo 3 5 6 4" xfId="23993"/>
    <cellStyle name="AdjNo 3 5 7" xfId="2089"/>
    <cellStyle name="AdjNo 3 5 7 2" xfId="2090"/>
    <cellStyle name="AdjNo 3 5 7 3" xfId="23994"/>
    <cellStyle name="AdjNo 3 5 7 4" xfId="23995"/>
    <cellStyle name="AdjNo 3 5 8" xfId="2091"/>
    <cellStyle name="AdjNo 3 5 9" xfId="23996"/>
    <cellStyle name="AdjNo 3 6" xfId="2092"/>
    <cellStyle name="AdjNo 3 6 2" xfId="2093"/>
    <cellStyle name="AdjNo 3 6 3" xfId="23997"/>
    <cellStyle name="AdjNo 3 6 4" xfId="23998"/>
    <cellStyle name="AdjNo 3 7" xfId="2094"/>
    <cellStyle name="AdjNo 3 7 2" xfId="2095"/>
    <cellStyle name="AdjNo 3 7 3" xfId="23999"/>
    <cellStyle name="AdjNo 3 7 4" xfId="24000"/>
    <cellStyle name="AdjNo 3 8" xfId="2096"/>
    <cellStyle name="AdjNo 3 8 2" xfId="2097"/>
    <cellStyle name="AdjNo 3 8 3" xfId="24001"/>
    <cellStyle name="AdjNo 3 8 4" xfId="24002"/>
    <cellStyle name="AdjNo 3 9" xfId="2098"/>
    <cellStyle name="AdjNo 3 9 2" xfId="2099"/>
    <cellStyle name="AdjNo 3 9 3" xfId="24003"/>
    <cellStyle name="AdjNo 3 9 4" xfId="24004"/>
    <cellStyle name="AdjNo 4" xfId="2100"/>
    <cellStyle name="AdjNo 4 10" xfId="2101"/>
    <cellStyle name="AdjNo 4 10 2" xfId="2102"/>
    <cellStyle name="AdjNo 4 10 3" xfId="24005"/>
    <cellStyle name="AdjNo 4 10 4" xfId="24006"/>
    <cellStyle name="AdjNo 4 11" xfId="2103"/>
    <cellStyle name="AdjNo 4 11 2" xfId="2104"/>
    <cellStyle name="AdjNo 4 11 3" xfId="24007"/>
    <cellStyle name="AdjNo 4 11 4" xfId="24008"/>
    <cellStyle name="AdjNo 4 12" xfId="2105"/>
    <cellStyle name="AdjNo 4 13" xfId="24009"/>
    <cellStyle name="AdjNo 4 14" xfId="24010"/>
    <cellStyle name="AdjNo 4 2" xfId="2106"/>
    <cellStyle name="AdjNo 4 2 10" xfId="24011"/>
    <cellStyle name="AdjNo 4 2 2" xfId="2107"/>
    <cellStyle name="AdjNo 4 2 2 2" xfId="2108"/>
    <cellStyle name="AdjNo 4 2 2 3" xfId="24012"/>
    <cellStyle name="AdjNo 4 2 2 4" xfId="24013"/>
    <cellStyle name="AdjNo 4 2 3" xfId="2109"/>
    <cellStyle name="AdjNo 4 2 3 2" xfId="2110"/>
    <cellStyle name="AdjNo 4 2 3 3" xfId="24014"/>
    <cellStyle name="AdjNo 4 2 3 4" xfId="24015"/>
    <cellStyle name="AdjNo 4 2 4" xfId="2111"/>
    <cellStyle name="AdjNo 4 2 4 2" xfId="2112"/>
    <cellStyle name="AdjNo 4 2 4 3" xfId="24016"/>
    <cellStyle name="AdjNo 4 2 4 4" xfId="24017"/>
    <cellStyle name="AdjNo 4 2 5" xfId="2113"/>
    <cellStyle name="AdjNo 4 2 5 2" xfId="2114"/>
    <cellStyle name="AdjNo 4 2 5 3" xfId="24018"/>
    <cellStyle name="AdjNo 4 2 5 4" xfId="24019"/>
    <cellStyle name="AdjNo 4 2 6" xfId="2115"/>
    <cellStyle name="AdjNo 4 2 6 2" xfId="2116"/>
    <cellStyle name="AdjNo 4 2 6 3" xfId="24020"/>
    <cellStyle name="AdjNo 4 2 6 4" xfId="24021"/>
    <cellStyle name="AdjNo 4 2 7" xfId="2117"/>
    <cellStyle name="AdjNo 4 2 7 2" xfId="2118"/>
    <cellStyle name="AdjNo 4 2 7 3" xfId="24022"/>
    <cellStyle name="AdjNo 4 2 7 4" xfId="24023"/>
    <cellStyle name="AdjNo 4 2 8" xfId="2119"/>
    <cellStyle name="AdjNo 4 2 9" xfId="24024"/>
    <cellStyle name="AdjNo 4 3" xfId="2120"/>
    <cellStyle name="AdjNo 4 3 10" xfId="24025"/>
    <cellStyle name="AdjNo 4 3 2" xfId="2121"/>
    <cellStyle name="AdjNo 4 3 2 2" xfId="2122"/>
    <cellStyle name="AdjNo 4 3 2 3" xfId="24026"/>
    <cellStyle name="AdjNo 4 3 2 4" xfId="24027"/>
    <cellStyle name="AdjNo 4 3 3" xfId="2123"/>
    <cellStyle name="AdjNo 4 3 3 2" xfId="2124"/>
    <cellStyle name="AdjNo 4 3 3 3" xfId="24028"/>
    <cellStyle name="AdjNo 4 3 3 4" xfId="24029"/>
    <cellStyle name="AdjNo 4 3 4" xfId="2125"/>
    <cellStyle name="AdjNo 4 3 4 2" xfId="2126"/>
    <cellStyle name="AdjNo 4 3 4 3" xfId="24030"/>
    <cellStyle name="AdjNo 4 3 4 4" xfId="24031"/>
    <cellStyle name="AdjNo 4 3 5" xfId="2127"/>
    <cellStyle name="AdjNo 4 3 5 2" xfId="2128"/>
    <cellStyle name="AdjNo 4 3 5 3" xfId="24032"/>
    <cellStyle name="AdjNo 4 3 5 4" xfId="24033"/>
    <cellStyle name="AdjNo 4 3 6" xfId="2129"/>
    <cellStyle name="AdjNo 4 3 6 2" xfId="2130"/>
    <cellStyle name="AdjNo 4 3 6 3" xfId="24034"/>
    <cellStyle name="AdjNo 4 3 6 4" xfId="24035"/>
    <cellStyle name="AdjNo 4 3 7" xfId="2131"/>
    <cellStyle name="AdjNo 4 3 7 2" xfId="2132"/>
    <cellStyle name="AdjNo 4 3 7 3" xfId="24036"/>
    <cellStyle name="AdjNo 4 3 7 4" xfId="24037"/>
    <cellStyle name="AdjNo 4 3 8" xfId="2133"/>
    <cellStyle name="AdjNo 4 3 9" xfId="24038"/>
    <cellStyle name="AdjNo 4 4" xfId="2134"/>
    <cellStyle name="AdjNo 4 4 10" xfId="24039"/>
    <cellStyle name="AdjNo 4 4 2" xfId="2135"/>
    <cellStyle name="AdjNo 4 4 2 2" xfId="2136"/>
    <cellStyle name="AdjNo 4 4 2 3" xfId="24040"/>
    <cellStyle name="AdjNo 4 4 2 4" xfId="24041"/>
    <cellStyle name="AdjNo 4 4 3" xfId="2137"/>
    <cellStyle name="AdjNo 4 4 3 2" xfId="2138"/>
    <cellStyle name="AdjNo 4 4 3 3" xfId="24042"/>
    <cellStyle name="AdjNo 4 4 3 4" xfId="24043"/>
    <cellStyle name="AdjNo 4 4 4" xfId="2139"/>
    <cellStyle name="AdjNo 4 4 4 2" xfId="2140"/>
    <cellStyle name="AdjNo 4 4 4 3" xfId="24044"/>
    <cellStyle name="AdjNo 4 4 4 4" xfId="24045"/>
    <cellStyle name="AdjNo 4 4 5" xfId="2141"/>
    <cellStyle name="AdjNo 4 4 5 2" xfId="2142"/>
    <cellStyle name="AdjNo 4 4 5 3" xfId="24046"/>
    <cellStyle name="AdjNo 4 4 5 4" xfId="24047"/>
    <cellStyle name="AdjNo 4 4 6" xfId="2143"/>
    <cellStyle name="AdjNo 4 4 6 2" xfId="2144"/>
    <cellStyle name="AdjNo 4 4 6 3" xfId="24048"/>
    <cellStyle name="AdjNo 4 4 6 4" xfId="24049"/>
    <cellStyle name="AdjNo 4 4 7" xfId="2145"/>
    <cellStyle name="AdjNo 4 4 7 2" xfId="2146"/>
    <cellStyle name="AdjNo 4 4 7 3" xfId="24050"/>
    <cellStyle name="AdjNo 4 4 7 4" xfId="24051"/>
    <cellStyle name="AdjNo 4 4 8" xfId="2147"/>
    <cellStyle name="AdjNo 4 4 9" xfId="24052"/>
    <cellStyle name="AdjNo 4 5" xfId="2148"/>
    <cellStyle name="AdjNo 4 5 10" xfId="24053"/>
    <cellStyle name="AdjNo 4 5 2" xfId="2149"/>
    <cellStyle name="AdjNo 4 5 2 2" xfId="2150"/>
    <cellStyle name="AdjNo 4 5 2 3" xfId="24054"/>
    <cellStyle name="AdjNo 4 5 2 4" xfId="24055"/>
    <cellStyle name="AdjNo 4 5 3" xfId="2151"/>
    <cellStyle name="AdjNo 4 5 3 2" xfId="2152"/>
    <cellStyle name="AdjNo 4 5 3 3" xfId="24056"/>
    <cellStyle name="AdjNo 4 5 3 4" xfId="24057"/>
    <cellStyle name="AdjNo 4 5 4" xfId="2153"/>
    <cellStyle name="AdjNo 4 5 4 2" xfId="2154"/>
    <cellStyle name="AdjNo 4 5 4 3" xfId="24058"/>
    <cellStyle name="AdjNo 4 5 4 4" xfId="24059"/>
    <cellStyle name="AdjNo 4 5 5" xfId="2155"/>
    <cellStyle name="AdjNo 4 5 5 2" xfId="2156"/>
    <cellStyle name="AdjNo 4 5 5 3" xfId="24060"/>
    <cellStyle name="AdjNo 4 5 5 4" xfId="24061"/>
    <cellStyle name="AdjNo 4 5 6" xfId="2157"/>
    <cellStyle name="AdjNo 4 5 6 2" xfId="2158"/>
    <cellStyle name="AdjNo 4 5 6 3" xfId="24062"/>
    <cellStyle name="AdjNo 4 5 6 4" xfId="24063"/>
    <cellStyle name="AdjNo 4 5 7" xfId="2159"/>
    <cellStyle name="AdjNo 4 5 7 2" xfId="2160"/>
    <cellStyle name="AdjNo 4 5 7 3" xfId="24064"/>
    <cellStyle name="AdjNo 4 5 7 4" xfId="24065"/>
    <cellStyle name="AdjNo 4 5 8" xfId="2161"/>
    <cellStyle name="AdjNo 4 5 9" xfId="24066"/>
    <cellStyle name="AdjNo 4 6" xfId="2162"/>
    <cellStyle name="AdjNo 4 6 2" xfId="2163"/>
    <cellStyle name="AdjNo 4 6 3" xfId="24067"/>
    <cellStyle name="AdjNo 4 6 4" xfId="24068"/>
    <cellStyle name="AdjNo 4 7" xfId="2164"/>
    <cellStyle name="AdjNo 4 7 2" xfId="2165"/>
    <cellStyle name="AdjNo 4 7 3" xfId="24069"/>
    <cellStyle name="AdjNo 4 7 4" xfId="24070"/>
    <cellStyle name="AdjNo 4 8" xfId="2166"/>
    <cellStyle name="AdjNo 4 8 2" xfId="2167"/>
    <cellStyle name="AdjNo 4 8 3" xfId="24071"/>
    <cellStyle name="AdjNo 4 8 4" xfId="24072"/>
    <cellStyle name="AdjNo 4 9" xfId="2168"/>
    <cellStyle name="AdjNo 4 9 2" xfId="2169"/>
    <cellStyle name="AdjNo 4 9 3" xfId="24073"/>
    <cellStyle name="AdjNo 4 9 4" xfId="24074"/>
    <cellStyle name="AdjNo 5" xfId="2170"/>
    <cellStyle name="AdjNo 5 10" xfId="2171"/>
    <cellStyle name="AdjNo 5 10 2" xfId="2172"/>
    <cellStyle name="AdjNo 5 10 3" xfId="24075"/>
    <cellStyle name="AdjNo 5 10 4" xfId="24076"/>
    <cellStyle name="AdjNo 5 11" xfId="2173"/>
    <cellStyle name="AdjNo 5 11 2" xfId="2174"/>
    <cellStyle name="AdjNo 5 11 3" xfId="24077"/>
    <cellStyle name="AdjNo 5 11 4" xfId="24078"/>
    <cellStyle name="AdjNo 5 12" xfId="2175"/>
    <cellStyle name="AdjNo 5 13" xfId="24079"/>
    <cellStyle name="AdjNo 5 14" xfId="24080"/>
    <cellStyle name="AdjNo 5 2" xfId="2176"/>
    <cellStyle name="AdjNo 5 2 10" xfId="24081"/>
    <cellStyle name="AdjNo 5 2 2" xfId="2177"/>
    <cellStyle name="AdjNo 5 2 2 2" xfId="2178"/>
    <cellStyle name="AdjNo 5 2 2 3" xfId="24082"/>
    <cellStyle name="AdjNo 5 2 2 4" xfId="24083"/>
    <cellStyle name="AdjNo 5 2 3" xfId="2179"/>
    <cellStyle name="AdjNo 5 2 3 2" xfId="2180"/>
    <cellStyle name="AdjNo 5 2 3 3" xfId="24084"/>
    <cellStyle name="AdjNo 5 2 3 4" xfId="24085"/>
    <cellStyle name="AdjNo 5 2 4" xfId="2181"/>
    <cellStyle name="AdjNo 5 2 4 2" xfId="2182"/>
    <cellStyle name="AdjNo 5 2 4 3" xfId="24086"/>
    <cellStyle name="AdjNo 5 2 4 4" xfId="24087"/>
    <cellStyle name="AdjNo 5 2 5" xfId="2183"/>
    <cellStyle name="AdjNo 5 2 5 2" xfId="2184"/>
    <cellStyle name="AdjNo 5 2 5 3" xfId="24088"/>
    <cellStyle name="AdjNo 5 2 5 4" xfId="24089"/>
    <cellStyle name="AdjNo 5 2 6" xfId="2185"/>
    <cellStyle name="AdjNo 5 2 6 2" xfId="2186"/>
    <cellStyle name="AdjNo 5 2 6 3" xfId="24090"/>
    <cellStyle name="AdjNo 5 2 6 4" xfId="24091"/>
    <cellStyle name="AdjNo 5 2 7" xfId="2187"/>
    <cellStyle name="AdjNo 5 2 7 2" xfId="2188"/>
    <cellStyle name="AdjNo 5 2 7 3" xfId="24092"/>
    <cellStyle name="AdjNo 5 2 7 4" xfId="24093"/>
    <cellStyle name="AdjNo 5 2 8" xfId="2189"/>
    <cellStyle name="AdjNo 5 2 9" xfId="24094"/>
    <cellStyle name="AdjNo 5 3" xfId="2190"/>
    <cellStyle name="AdjNo 5 3 10" xfId="24095"/>
    <cellStyle name="AdjNo 5 3 2" xfId="2191"/>
    <cellStyle name="AdjNo 5 3 2 2" xfId="2192"/>
    <cellStyle name="AdjNo 5 3 2 3" xfId="24096"/>
    <cellStyle name="AdjNo 5 3 2 4" xfId="24097"/>
    <cellStyle name="AdjNo 5 3 3" xfId="2193"/>
    <cellStyle name="AdjNo 5 3 3 2" xfId="2194"/>
    <cellStyle name="AdjNo 5 3 3 3" xfId="24098"/>
    <cellStyle name="AdjNo 5 3 3 4" xfId="24099"/>
    <cellStyle name="AdjNo 5 3 4" xfId="2195"/>
    <cellStyle name="AdjNo 5 3 4 2" xfId="2196"/>
    <cellStyle name="AdjNo 5 3 4 3" xfId="24100"/>
    <cellStyle name="AdjNo 5 3 4 4" xfId="24101"/>
    <cellStyle name="AdjNo 5 3 5" xfId="2197"/>
    <cellStyle name="AdjNo 5 3 5 2" xfId="2198"/>
    <cellStyle name="AdjNo 5 3 5 3" xfId="24102"/>
    <cellStyle name="AdjNo 5 3 5 4" xfId="24103"/>
    <cellStyle name="AdjNo 5 3 6" xfId="2199"/>
    <cellStyle name="AdjNo 5 3 6 2" xfId="2200"/>
    <cellStyle name="AdjNo 5 3 6 3" xfId="24104"/>
    <cellStyle name="AdjNo 5 3 6 4" xfId="24105"/>
    <cellStyle name="AdjNo 5 3 7" xfId="2201"/>
    <cellStyle name="AdjNo 5 3 7 2" xfId="2202"/>
    <cellStyle name="AdjNo 5 3 7 3" xfId="24106"/>
    <cellStyle name="AdjNo 5 3 7 4" xfId="24107"/>
    <cellStyle name="AdjNo 5 3 8" xfId="2203"/>
    <cellStyle name="AdjNo 5 3 9" xfId="24108"/>
    <cellStyle name="AdjNo 5 4" xfId="2204"/>
    <cellStyle name="AdjNo 5 4 10" xfId="24109"/>
    <cellStyle name="AdjNo 5 4 2" xfId="2205"/>
    <cellStyle name="AdjNo 5 4 2 2" xfId="2206"/>
    <cellStyle name="AdjNo 5 4 2 3" xfId="24110"/>
    <cellStyle name="AdjNo 5 4 2 4" xfId="24111"/>
    <cellStyle name="AdjNo 5 4 3" xfId="2207"/>
    <cellStyle name="AdjNo 5 4 3 2" xfId="2208"/>
    <cellStyle name="AdjNo 5 4 3 3" xfId="24112"/>
    <cellStyle name="AdjNo 5 4 3 4" xfId="24113"/>
    <cellStyle name="AdjNo 5 4 4" xfId="2209"/>
    <cellStyle name="AdjNo 5 4 4 2" xfId="2210"/>
    <cellStyle name="AdjNo 5 4 4 3" xfId="24114"/>
    <cellStyle name="AdjNo 5 4 4 4" xfId="24115"/>
    <cellStyle name="AdjNo 5 4 5" xfId="2211"/>
    <cellStyle name="AdjNo 5 4 5 2" xfId="2212"/>
    <cellStyle name="AdjNo 5 4 5 3" xfId="24116"/>
    <cellStyle name="AdjNo 5 4 5 4" xfId="24117"/>
    <cellStyle name="AdjNo 5 4 6" xfId="2213"/>
    <cellStyle name="AdjNo 5 4 6 2" xfId="2214"/>
    <cellStyle name="AdjNo 5 4 6 3" xfId="24118"/>
    <cellStyle name="AdjNo 5 4 6 4" xfId="24119"/>
    <cellStyle name="AdjNo 5 4 7" xfId="2215"/>
    <cellStyle name="AdjNo 5 4 7 2" xfId="2216"/>
    <cellStyle name="AdjNo 5 4 7 3" xfId="24120"/>
    <cellStyle name="AdjNo 5 4 7 4" xfId="24121"/>
    <cellStyle name="AdjNo 5 4 8" xfId="2217"/>
    <cellStyle name="AdjNo 5 4 9" xfId="24122"/>
    <cellStyle name="AdjNo 5 5" xfId="2218"/>
    <cellStyle name="AdjNo 5 5 10" xfId="24123"/>
    <cellStyle name="AdjNo 5 5 2" xfId="2219"/>
    <cellStyle name="AdjNo 5 5 2 2" xfId="2220"/>
    <cellStyle name="AdjNo 5 5 2 3" xfId="24124"/>
    <cellStyle name="AdjNo 5 5 2 4" xfId="24125"/>
    <cellStyle name="AdjNo 5 5 3" xfId="2221"/>
    <cellStyle name="AdjNo 5 5 3 2" xfId="2222"/>
    <cellStyle name="AdjNo 5 5 3 3" xfId="24126"/>
    <cellStyle name="AdjNo 5 5 3 4" xfId="24127"/>
    <cellStyle name="AdjNo 5 5 4" xfId="2223"/>
    <cellStyle name="AdjNo 5 5 4 2" xfId="2224"/>
    <cellStyle name="AdjNo 5 5 4 3" xfId="24128"/>
    <cellStyle name="AdjNo 5 5 4 4" xfId="24129"/>
    <cellStyle name="AdjNo 5 5 5" xfId="2225"/>
    <cellStyle name="AdjNo 5 5 5 2" xfId="2226"/>
    <cellStyle name="AdjNo 5 5 5 3" xfId="24130"/>
    <cellStyle name="AdjNo 5 5 5 4" xfId="24131"/>
    <cellStyle name="AdjNo 5 5 6" xfId="2227"/>
    <cellStyle name="AdjNo 5 5 6 2" xfId="2228"/>
    <cellStyle name="AdjNo 5 5 6 3" xfId="24132"/>
    <cellStyle name="AdjNo 5 5 6 4" xfId="24133"/>
    <cellStyle name="AdjNo 5 5 7" xfId="2229"/>
    <cellStyle name="AdjNo 5 5 7 2" xfId="2230"/>
    <cellStyle name="AdjNo 5 5 7 3" xfId="24134"/>
    <cellStyle name="AdjNo 5 5 7 4" xfId="24135"/>
    <cellStyle name="AdjNo 5 5 8" xfId="2231"/>
    <cellStyle name="AdjNo 5 5 9" xfId="24136"/>
    <cellStyle name="AdjNo 5 6" xfId="2232"/>
    <cellStyle name="AdjNo 5 6 2" xfId="2233"/>
    <cellStyle name="AdjNo 5 6 3" xfId="24137"/>
    <cellStyle name="AdjNo 5 6 4" xfId="24138"/>
    <cellStyle name="AdjNo 5 7" xfId="2234"/>
    <cellStyle name="AdjNo 5 7 2" xfId="2235"/>
    <cellStyle name="AdjNo 5 7 3" xfId="24139"/>
    <cellStyle name="AdjNo 5 7 4" xfId="24140"/>
    <cellStyle name="AdjNo 5 8" xfId="2236"/>
    <cellStyle name="AdjNo 5 8 2" xfId="2237"/>
    <cellStyle name="AdjNo 5 8 3" xfId="24141"/>
    <cellStyle name="AdjNo 5 8 4" xfId="24142"/>
    <cellStyle name="AdjNo 5 9" xfId="2238"/>
    <cellStyle name="AdjNo 5 9 2" xfId="2239"/>
    <cellStyle name="AdjNo 5 9 3" xfId="24143"/>
    <cellStyle name="AdjNo 5 9 4" xfId="24144"/>
    <cellStyle name="AdjNo 6" xfId="2240"/>
    <cellStyle name="AdjNo 6 10" xfId="2241"/>
    <cellStyle name="AdjNo 6 10 2" xfId="2242"/>
    <cellStyle name="AdjNo 6 10 3" xfId="24145"/>
    <cellStyle name="AdjNo 6 10 4" xfId="24146"/>
    <cellStyle name="AdjNo 6 11" xfId="2243"/>
    <cellStyle name="AdjNo 6 11 2" xfId="2244"/>
    <cellStyle name="AdjNo 6 11 3" xfId="24147"/>
    <cellStyle name="AdjNo 6 11 4" xfId="24148"/>
    <cellStyle name="AdjNo 6 12" xfId="2245"/>
    <cellStyle name="AdjNo 6 13" xfId="24149"/>
    <cellStyle name="AdjNo 6 14" xfId="24150"/>
    <cellStyle name="AdjNo 6 2" xfId="2246"/>
    <cellStyle name="AdjNo 6 2 10" xfId="24151"/>
    <cellStyle name="AdjNo 6 2 2" xfId="2247"/>
    <cellStyle name="AdjNo 6 2 2 2" xfId="2248"/>
    <cellStyle name="AdjNo 6 2 2 3" xfId="24152"/>
    <cellStyle name="AdjNo 6 2 2 4" xfId="24153"/>
    <cellStyle name="AdjNo 6 2 3" xfId="2249"/>
    <cellStyle name="AdjNo 6 2 3 2" xfId="2250"/>
    <cellStyle name="AdjNo 6 2 3 3" xfId="24154"/>
    <cellStyle name="AdjNo 6 2 3 4" xfId="24155"/>
    <cellStyle name="AdjNo 6 2 4" xfId="2251"/>
    <cellStyle name="AdjNo 6 2 4 2" xfId="2252"/>
    <cellStyle name="AdjNo 6 2 4 3" xfId="24156"/>
    <cellStyle name="AdjNo 6 2 4 4" xfId="24157"/>
    <cellStyle name="AdjNo 6 2 5" xfId="2253"/>
    <cellStyle name="AdjNo 6 2 5 2" xfId="2254"/>
    <cellStyle name="AdjNo 6 2 5 3" xfId="24158"/>
    <cellStyle name="AdjNo 6 2 5 4" xfId="24159"/>
    <cellStyle name="AdjNo 6 2 6" xfId="2255"/>
    <cellStyle name="AdjNo 6 2 6 2" xfId="2256"/>
    <cellStyle name="AdjNo 6 2 6 3" xfId="24160"/>
    <cellStyle name="AdjNo 6 2 6 4" xfId="24161"/>
    <cellStyle name="AdjNo 6 2 7" xfId="2257"/>
    <cellStyle name="AdjNo 6 2 7 2" xfId="2258"/>
    <cellStyle name="AdjNo 6 2 7 3" xfId="24162"/>
    <cellStyle name="AdjNo 6 2 7 4" xfId="24163"/>
    <cellStyle name="AdjNo 6 2 8" xfId="2259"/>
    <cellStyle name="AdjNo 6 2 9" xfId="24164"/>
    <cellStyle name="AdjNo 6 3" xfId="2260"/>
    <cellStyle name="AdjNo 6 3 10" xfId="24165"/>
    <cellStyle name="AdjNo 6 3 2" xfId="2261"/>
    <cellStyle name="AdjNo 6 3 2 2" xfId="2262"/>
    <cellStyle name="AdjNo 6 3 2 3" xfId="24166"/>
    <cellStyle name="AdjNo 6 3 2 4" xfId="24167"/>
    <cellStyle name="AdjNo 6 3 3" xfId="2263"/>
    <cellStyle name="AdjNo 6 3 3 2" xfId="2264"/>
    <cellStyle name="AdjNo 6 3 3 3" xfId="24168"/>
    <cellStyle name="AdjNo 6 3 3 4" xfId="24169"/>
    <cellStyle name="AdjNo 6 3 4" xfId="2265"/>
    <cellStyle name="AdjNo 6 3 4 2" xfId="2266"/>
    <cellStyle name="AdjNo 6 3 4 3" xfId="24170"/>
    <cellStyle name="AdjNo 6 3 4 4" xfId="24171"/>
    <cellStyle name="AdjNo 6 3 5" xfId="2267"/>
    <cellStyle name="AdjNo 6 3 5 2" xfId="2268"/>
    <cellStyle name="AdjNo 6 3 5 3" xfId="24172"/>
    <cellStyle name="AdjNo 6 3 5 4" xfId="24173"/>
    <cellStyle name="AdjNo 6 3 6" xfId="2269"/>
    <cellStyle name="AdjNo 6 3 6 2" xfId="2270"/>
    <cellStyle name="AdjNo 6 3 6 3" xfId="24174"/>
    <cellStyle name="AdjNo 6 3 6 4" xfId="24175"/>
    <cellStyle name="AdjNo 6 3 7" xfId="2271"/>
    <cellStyle name="AdjNo 6 3 7 2" xfId="2272"/>
    <cellStyle name="AdjNo 6 3 7 3" xfId="24176"/>
    <cellStyle name="AdjNo 6 3 7 4" xfId="24177"/>
    <cellStyle name="AdjNo 6 3 8" xfId="2273"/>
    <cellStyle name="AdjNo 6 3 9" xfId="24178"/>
    <cellStyle name="AdjNo 6 4" xfId="2274"/>
    <cellStyle name="AdjNo 6 4 10" xfId="24179"/>
    <cellStyle name="AdjNo 6 4 2" xfId="2275"/>
    <cellStyle name="AdjNo 6 4 2 2" xfId="2276"/>
    <cellStyle name="AdjNo 6 4 2 3" xfId="24180"/>
    <cellStyle name="AdjNo 6 4 2 4" xfId="24181"/>
    <cellStyle name="AdjNo 6 4 3" xfId="2277"/>
    <cellStyle name="AdjNo 6 4 3 2" xfId="2278"/>
    <cellStyle name="AdjNo 6 4 3 3" xfId="24182"/>
    <cellStyle name="AdjNo 6 4 3 4" xfId="24183"/>
    <cellStyle name="AdjNo 6 4 4" xfId="2279"/>
    <cellStyle name="AdjNo 6 4 4 2" xfId="2280"/>
    <cellStyle name="AdjNo 6 4 4 3" xfId="24184"/>
    <cellStyle name="AdjNo 6 4 4 4" xfId="24185"/>
    <cellStyle name="AdjNo 6 4 5" xfId="2281"/>
    <cellStyle name="AdjNo 6 4 5 2" xfId="2282"/>
    <cellStyle name="AdjNo 6 4 5 3" xfId="24186"/>
    <cellStyle name="AdjNo 6 4 5 4" xfId="24187"/>
    <cellStyle name="AdjNo 6 4 6" xfId="2283"/>
    <cellStyle name="AdjNo 6 4 6 2" xfId="2284"/>
    <cellStyle name="AdjNo 6 4 6 3" xfId="24188"/>
    <cellStyle name="AdjNo 6 4 6 4" xfId="24189"/>
    <cellStyle name="AdjNo 6 4 7" xfId="2285"/>
    <cellStyle name="AdjNo 6 4 7 2" xfId="2286"/>
    <cellStyle name="AdjNo 6 4 7 3" xfId="24190"/>
    <cellStyle name="AdjNo 6 4 7 4" xfId="24191"/>
    <cellStyle name="AdjNo 6 4 8" xfId="2287"/>
    <cellStyle name="AdjNo 6 4 9" xfId="24192"/>
    <cellStyle name="AdjNo 6 5" xfId="2288"/>
    <cellStyle name="AdjNo 6 5 10" xfId="24193"/>
    <cellStyle name="AdjNo 6 5 2" xfId="2289"/>
    <cellStyle name="AdjNo 6 5 2 2" xfId="2290"/>
    <cellStyle name="AdjNo 6 5 2 3" xfId="24194"/>
    <cellStyle name="AdjNo 6 5 2 4" xfId="24195"/>
    <cellStyle name="AdjNo 6 5 3" xfId="2291"/>
    <cellStyle name="AdjNo 6 5 3 2" xfId="2292"/>
    <cellStyle name="AdjNo 6 5 3 3" xfId="24196"/>
    <cellStyle name="AdjNo 6 5 3 4" xfId="24197"/>
    <cellStyle name="AdjNo 6 5 4" xfId="2293"/>
    <cellStyle name="AdjNo 6 5 4 2" xfId="2294"/>
    <cellStyle name="AdjNo 6 5 4 3" xfId="24198"/>
    <cellStyle name="AdjNo 6 5 4 4" xfId="24199"/>
    <cellStyle name="AdjNo 6 5 5" xfId="2295"/>
    <cellStyle name="AdjNo 6 5 5 2" xfId="2296"/>
    <cellStyle name="AdjNo 6 5 5 3" xfId="24200"/>
    <cellStyle name="AdjNo 6 5 5 4" xfId="24201"/>
    <cellStyle name="AdjNo 6 5 6" xfId="2297"/>
    <cellStyle name="AdjNo 6 5 6 2" xfId="2298"/>
    <cellStyle name="AdjNo 6 5 6 3" xfId="24202"/>
    <cellStyle name="AdjNo 6 5 6 4" xfId="24203"/>
    <cellStyle name="AdjNo 6 5 7" xfId="2299"/>
    <cellStyle name="AdjNo 6 5 7 2" xfId="2300"/>
    <cellStyle name="AdjNo 6 5 7 3" xfId="24204"/>
    <cellStyle name="AdjNo 6 5 7 4" xfId="24205"/>
    <cellStyle name="AdjNo 6 5 8" xfId="2301"/>
    <cellStyle name="AdjNo 6 5 9" xfId="24206"/>
    <cellStyle name="AdjNo 6 6" xfId="2302"/>
    <cellStyle name="AdjNo 6 6 2" xfId="2303"/>
    <cellStyle name="AdjNo 6 6 3" xfId="24207"/>
    <cellStyle name="AdjNo 6 6 4" xfId="24208"/>
    <cellStyle name="AdjNo 6 7" xfId="2304"/>
    <cellStyle name="AdjNo 6 7 2" xfId="2305"/>
    <cellStyle name="AdjNo 6 7 3" xfId="24209"/>
    <cellStyle name="AdjNo 6 7 4" xfId="24210"/>
    <cellStyle name="AdjNo 6 8" xfId="2306"/>
    <cellStyle name="AdjNo 6 8 2" xfId="2307"/>
    <cellStyle name="AdjNo 6 8 3" xfId="24211"/>
    <cellStyle name="AdjNo 6 8 4" xfId="24212"/>
    <cellStyle name="AdjNo 6 9" xfId="2308"/>
    <cellStyle name="AdjNo 6 9 2" xfId="2309"/>
    <cellStyle name="AdjNo 6 9 3" xfId="24213"/>
    <cellStyle name="AdjNo 6 9 4" xfId="24214"/>
    <cellStyle name="AdjNo 7" xfId="2310"/>
    <cellStyle name="AdjNo 7 10" xfId="2311"/>
    <cellStyle name="AdjNo 7 10 2" xfId="2312"/>
    <cellStyle name="AdjNo 7 10 3" xfId="24215"/>
    <cellStyle name="AdjNo 7 10 4" xfId="24216"/>
    <cellStyle name="AdjNo 7 11" xfId="2313"/>
    <cellStyle name="AdjNo 7 11 2" xfId="2314"/>
    <cellStyle name="AdjNo 7 11 3" xfId="24217"/>
    <cellStyle name="AdjNo 7 11 4" xfId="24218"/>
    <cellStyle name="AdjNo 7 12" xfId="2315"/>
    <cellStyle name="AdjNo 7 13" xfId="24219"/>
    <cellStyle name="AdjNo 7 14" xfId="24220"/>
    <cellStyle name="AdjNo 7 2" xfId="2316"/>
    <cellStyle name="AdjNo 7 2 10" xfId="24221"/>
    <cellStyle name="AdjNo 7 2 2" xfId="2317"/>
    <cellStyle name="AdjNo 7 2 2 2" xfId="2318"/>
    <cellStyle name="AdjNo 7 2 2 3" xfId="24222"/>
    <cellStyle name="AdjNo 7 2 2 4" xfId="24223"/>
    <cellStyle name="AdjNo 7 2 3" xfId="2319"/>
    <cellStyle name="AdjNo 7 2 3 2" xfId="2320"/>
    <cellStyle name="AdjNo 7 2 3 3" xfId="24224"/>
    <cellStyle name="AdjNo 7 2 3 4" xfId="24225"/>
    <cellStyle name="AdjNo 7 2 4" xfId="2321"/>
    <cellStyle name="AdjNo 7 2 4 2" xfId="2322"/>
    <cellStyle name="AdjNo 7 2 4 3" xfId="24226"/>
    <cellStyle name="AdjNo 7 2 4 4" xfId="24227"/>
    <cellStyle name="AdjNo 7 2 5" xfId="2323"/>
    <cellStyle name="AdjNo 7 2 5 2" xfId="2324"/>
    <cellStyle name="AdjNo 7 2 5 3" xfId="24228"/>
    <cellStyle name="AdjNo 7 2 5 4" xfId="24229"/>
    <cellStyle name="AdjNo 7 2 6" xfId="2325"/>
    <cellStyle name="AdjNo 7 2 6 2" xfId="2326"/>
    <cellStyle name="AdjNo 7 2 6 3" xfId="24230"/>
    <cellStyle name="AdjNo 7 2 6 4" xfId="24231"/>
    <cellStyle name="AdjNo 7 2 7" xfId="2327"/>
    <cellStyle name="AdjNo 7 2 7 2" xfId="2328"/>
    <cellStyle name="AdjNo 7 2 7 3" xfId="24232"/>
    <cellStyle name="AdjNo 7 2 7 4" xfId="24233"/>
    <cellStyle name="AdjNo 7 2 8" xfId="2329"/>
    <cellStyle name="AdjNo 7 2 9" xfId="24234"/>
    <cellStyle name="AdjNo 7 3" xfId="2330"/>
    <cellStyle name="AdjNo 7 3 10" xfId="24235"/>
    <cellStyle name="AdjNo 7 3 2" xfId="2331"/>
    <cellStyle name="AdjNo 7 3 2 2" xfId="2332"/>
    <cellStyle name="AdjNo 7 3 2 3" xfId="24236"/>
    <cellStyle name="AdjNo 7 3 2 4" xfId="24237"/>
    <cellStyle name="AdjNo 7 3 3" xfId="2333"/>
    <cellStyle name="AdjNo 7 3 3 2" xfId="2334"/>
    <cellStyle name="AdjNo 7 3 3 3" xfId="24238"/>
    <cellStyle name="AdjNo 7 3 3 4" xfId="24239"/>
    <cellStyle name="AdjNo 7 3 4" xfId="2335"/>
    <cellStyle name="AdjNo 7 3 4 2" xfId="2336"/>
    <cellStyle name="AdjNo 7 3 4 3" xfId="24240"/>
    <cellStyle name="AdjNo 7 3 4 4" xfId="24241"/>
    <cellStyle name="AdjNo 7 3 5" xfId="2337"/>
    <cellStyle name="AdjNo 7 3 5 2" xfId="2338"/>
    <cellStyle name="AdjNo 7 3 5 3" xfId="24242"/>
    <cellStyle name="AdjNo 7 3 5 4" xfId="24243"/>
    <cellStyle name="AdjNo 7 3 6" xfId="2339"/>
    <cellStyle name="AdjNo 7 3 6 2" xfId="2340"/>
    <cellStyle name="AdjNo 7 3 6 3" xfId="24244"/>
    <cellStyle name="AdjNo 7 3 6 4" xfId="24245"/>
    <cellStyle name="AdjNo 7 3 7" xfId="2341"/>
    <cellStyle name="AdjNo 7 3 7 2" xfId="2342"/>
    <cellStyle name="AdjNo 7 3 7 3" xfId="24246"/>
    <cellStyle name="AdjNo 7 3 7 4" xfId="24247"/>
    <cellStyle name="AdjNo 7 3 8" xfId="2343"/>
    <cellStyle name="AdjNo 7 3 9" xfId="24248"/>
    <cellStyle name="AdjNo 7 4" xfId="2344"/>
    <cellStyle name="AdjNo 7 4 10" xfId="24249"/>
    <cellStyle name="AdjNo 7 4 2" xfId="2345"/>
    <cellStyle name="AdjNo 7 4 2 2" xfId="2346"/>
    <cellStyle name="AdjNo 7 4 2 3" xfId="24250"/>
    <cellStyle name="AdjNo 7 4 2 4" xfId="24251"/>
    <cellStyle name="AdjNo 7 4 3" xfId="2347"/>
    <cellStyle name="AdjNo 7 4 3 2" xfId="2348"/>
    <cellStyle name="AdjNo 7 4 3 3" xfId="24252"/>
    <cellStyle name="AdjNo 7 4 3 4" xfId="24253"/>
    <cellStyle name="AdjNo 7 4 4" xfId="2349"/>
    <cellStyle name="AdjNo 7 4 4 2" xfId="2350"/>
    <cellStyle name="AdjNo 7 4 4 3" xfId="24254"/>
    <cellStyle name="AdjNo 7 4 4 4" xfId="24255"/>
    <cellStyle name="AdjNo 7 4 5" xfId="2351"/>
    <cellStyle name="AdjNo 7 4 5 2" xfId="2352"/>
    <cellStyle name="AdjNo 7 4 5 3" xfId="24256"/>
    <cellStyle name="AdjNo 7 4 5 4" xfId="24257"/>
    <cellStyle name="AdjNo 7 4 6" xfId="2353"/>
    <cellStyle name="AdjNo 7 4 6 2" xfId="2354"/>
    <cellStyle name="AdjNo 7 4 6 3" xfId="24258"/>
    <cellStyle name="AdjNo 7 4 6 4" xfId="24259"/>
    <cellStyle name="AdjNo 7 4 7" xfId="2355"/>
    <cellStyle name="AdjNo 7 4 7 2" xfId="2356"/>
    <cellStyle name="AdjNo 7 4 7 3" xfId="24260"/>
    <cellStyle name="AdjNo 7 4 7 4" xfId="24261"/>
    <cellStyle name="AdjNo 7 4 8" xfId="2357"/>
    <cellStyle name="AdjNo 7 4 9" xfId="24262"/>
    <cellStyle name="AdjNo 7 5" xfId="2358"/>
    <cellStyle name="AdjNo 7 5 10" xfId="24263"/>
    <cellStyle name="AdjNo 7 5 2" xfId="2359"/>
    <cellStyle name="AdjNo 7 5 2 2" xfId="2360"/>
    <cellStyle name="AdjNo 7 5 2 3" xfId="24264"/>
    <cellStyle name="AdjNo 7 5 2 4" xfId="24265"/>
    <cellStyle name="AdjNo 7 5 3" xfId="2361"/>
    <cellStyle name="AdjNo 7 5 3 2" xfId="2362"/>
    <cellStyle name="AdjNo 7 5 3 3" xfId="24266"/>
    <cellStyle name="AdjNo 7 5 3 4" xfId="24267"/>
    <cellStyle name="AdjNo 7 5 4" xfId="2363"/>
    <cellStyle name="AdjNo 7 5 4 2" xfId="2364"/>
    <cellStyle name="AdjNo 7 5 4 3" xfId="24268"/>
    <cellStyle name="AdjNo 7 5 4 4" xfId="24269"/>
    <cellStyle name="AdjNo 7 5 5" xfId="2365"/>
    <cellStyle name="AdjNo 7 5 5 2" xfId="2366"/>
    <cellStyle name="AdjNo 7 5 5 3" xfId="24270"/>
    <cellStyle name="AdjNo 7 5 5 4" xfId="24271"/>
    <cellStyle name="AdjNo 7 5 6" xfId="2367"/>
    <cellStyle name="AdjNo 7 5 6 2" xfId="2368"/>
    <cellStyle name="AdjNo 7 5 6 3" xfId="24272"/>
    <cellStyle name="AdjNo 7 5 6 4" xfId="24273"/>
    <cellStyle name="AdjNo 7 5 7" xfId="2369"/>
    <cellStyle name="AdjNo 7 5 7 2" xfId="2370"/>
    <cellStyle name="AdjNo 7 5 7 3" xfId="24274"/>
    <cellStyle name="AdjNo 7 5 7 4" xfId="24275"/>
    <cellStyle name="AdjNo 7 5 8" xfId="2371"/>
    <cellStyle name="AdjNo 7 5 9" xfId="24276"/>
    <cellStyle name="AdjNo 7 6" xfId="2372"/>
    <cellStyle name="AdjNo 7 6 2" xfId="2373"/>
    <cellStyle name="AdjNo 7 6 3" xfId="24277"/>
    <cellStyle name="AdjNo 7 6 4" xfId="24278"/>
    <cellStyle name="AdjNo 7 7" xfId="2374"/>
    <cellStyle name="AdjNo 7 7 2" xfId="2375"/>
    <cellStyle name="AdjNo 7 7 3" xfId="24279"/>
    <cellStyle name="AdjNo 7 7 4" xfId="24280"/>
    <cellStyle name="AdjNo 7 8" xfId="2376"/>
    <cellStyle name="AdjNo 7 8 2" xfId="2377"/>
    <cellStyle name="AdjNo 7 8 3" xfId="24281"/>
    <cellStyle name="AdjNo 7 8 4" xfId="24282"/>
    <cellStyle name="AdjNo 7 9" xfId="2378"/>
    <cellStyle name="AdjNo 7 9 2" xfId="2379"/>
    <cellStyle name="AdjNo 7 9 3" xfId="24283"/>
    <cellStyle name="AdjNo 7 9 4" xfId="24284"/>
    <cellStyle name="AdjNo 8" xfId="2380"/>
    <cellStyle name="AdjNo 8 10" xfId="2381"/>
    <cellStyle name="AdjNo 8 10 2" xfId="2382"/>
    <cellStyle name="AdjNo 8 10 3" xfId="24285"/>
    <cellStyle name="AdjNo 8 10 4" xfId="24286"/>
    <cellStyle name="AdjNo 8 11" xfId="2383"/>
    <cellStyle name="AdjNo 8 11 2" xfId="2384"/>
    <cellStyle name="AdjNo 8 11 3" xfId="24287"/>
    <cellStyle name="AdjNo 8 11 4" xfId="24288"/>
    <cellStyle name="AdjNo 8 12" xfId="2385"/>
    <cellStyle name="AdjNo 8 13" xfId="24289"/>
    <cellStyle name="AdjNo 8 14" xfId="24290"/>
    <cellStyle name="AdjNo 8 2" xfId="2386"/>
    <cellStyle name="AdjNo 8 2 10" xfId="24291"/>
    <cellStyle name="AdjNo 8 2 2" xfId="2387"/>
    <cellStyle name="AdjNo 8 2 2 2" xfId="2388"/>
    <cellStyle name="AdjNo 8 2 2 3" xfId="24292"/>
    <cellStyle name="AdjNo 8 2 2 4" xfId="24293"/>
    <cellStyle name="AdjNo 8 2 3" xfId="2389"/>
    <cellStyle name="AdjNo 8 2 3 2" xfId="2390"/>
    <cellStyle name="AdjNo 8 2 3 3" xfId="24294"/>
    <cellStyle name="AdjNo 8 2 3 4" xfId="24295"/>
    <cellStyle name="AdjNo 8 2 4" xfId="2391"/>
    <cellStyle name="AdjNo 8 2 4 2" xfId="2392"/>
    <cellStyle name="AdjNo 8 2 4 3" xfId="24296"/>
    <cellStyle name="AdjNo 8 2 4 4" xfId="24297"/>
    <cellStyle name="AdjNo 8 2 5" xfId="2393"/>
    <cellStyle name="AdjNo 8 2 5 2" xfId="2394"/>
    <cellStyle name="AdjNo 8 2 5 3" xfId="24298"/>
    <cellStyle name="AdjNo 8 2 5 4" xfId="24299"/>
    <cellStyle name="AdjNo 8 2 6" xfId="2395"/>
    <cellStyle name="AdjNo 8 2 6 2" xfId="2396"/>
    <cellStyle name="AdjNo 8 2 6 3" xfId="24300"/>
    <cellStyle name="AdjNo 8 2 6 4" xfId="24301"/>
    <cellStyle name="AdjNo 8 2 7" xfId="2397"/>
    <cellStyle name="AdjNo 8 2 7 2" xfId="2398"/>
    <cellStyle name="AdjNo 8 2 7 3" xfId="24302"/>
    <cellStyle name="AdjNo 8 2 7 4" xfId="24303"/>
    <cellStyle name="AdjNo 8 2 8" xfId="2399"/>
    <cellStyle name="AdjNo 8 2 9" xfId="24304"/>
    <cellStyle name="AdjNo 8 3" xfId="2400"/>
    <cellStyle name="AdjNo 8 3 10" xfId="24305"/>
    <cellStyle name="AdjNo 8 3 2" xfId="2401"/>
    <cellStyle name="AdjNo 8 3 2 2" xfId="2402"/>
    <cellStyle name="AdjNo 8 3 2 3" xfId="24306"/>
    <cellStyle name="AdjNo 8 3 2 4" xfId="24307"/>
    <cellStyle name="AdjNo 8 3 3" xfId="2403"/>
    <cellStyle name="AdjNo 8 3 3 2" xfId="2404"/>
    <cellStyle name="AdjNo 8 3 3 3" xfId="24308"/>
    <cellStyle name="AdjNo 8 3 3 4" xfId="24309"/>
    <cellStyle name="AdjNo 8 3 4" xfId="2405"/>
    <cellStyle name="AdjNo 8 3 4 2" xfId="2406"/>
    <cellStyle name="AdjNo 8 3 4 3" xfId="24310"/>
    <cellStyle name="AdjNo 8 3 4 4" xfId="24311"/>
    <cellStyle name="AdjNo 8 3 5" xfId="2407"/>
    <cellStyle name="AdjNo 8 3 5 2" xfId="2408"/>
    <cellStyle name="AdjNo 8 3 5 3" xfId="24312"/>
    <cellStyle name="AdjNo 8 3 5 4" xfId="24313"/>
    <cellStyle name="AdjNo 8 3 6" xfId="2409"/>
    <cellStyle name="AdjNo 8 3 6 2" xfId="2410"/>
    <cellStyle name="AdjNo 8 3 6 3" xfId="24314"/>
    <cellStyle name="AdjNo 8 3 6 4" xfId="24315"/>
    <cellStyle name="AdjNo 8 3 7" xfId="2411"/>
    <cellStyle name="AdjNo 8 3 7 2" xfId="2412"/>
    <cellStyle name="AdjNo 8 3 7 3" xfId="24316"/>
    <cellStyle name="AdjNo 8 3 7 4" xfId="24317"/>
    <cellStyle name="AdjNo 8 3 8" xfId="2413"/>
    <cellStyle name="AdjNo 8 3 9" xfId="24318"/>
    <cellStyle name="AdjNo 8 4" xfId="2414"/>
    <cellStyle name="AdjNo 8 4 10" xfId="24319"/>
    <cellStyle name="AdjNo 8 4 2" xfId="2415"/>
    <cellStyle name="AdjNo 8 4 2 2" xfId="2416"/>
    <cellStyle name="AdjNo 8 4 2 3" xfId="24320"/>
    <cellStyle name="AdjNo 8 4 2 4" xfId="24321"/>
    <cellStyle name="AdjNo 8 4 3" xfId="2417"/>
    <cellStyle name="AdjNo 8 4 3 2" xfId="2418"/>
    <cellStyle name="AdjNo 8 4 3 3" xfId="24322"/>
    <cellStyle name="AdjNo 8 4 3 4" xfId="24323"/>
    <cellStyle name="AdjNo 8 4 4" xfId="2419"/>
    <cellStyle name="AdjNo 8 4 4 2" xfId="2420"/>
    <cellStyle name="AdjNo 8 4 4 3" xfId="24324"/>
    <cellStyle name="AdjNo 8 4 4 4" xfId="24325"/>
    <cellStyle name="AdjNo 8 4 5" xfId="2421"/>
    <cellStyle name="AdjNo 8 4 5 2" xfId="2422"/>
    <cellStyle name="AdjNo 8 4 5 3" xfId="24326"/>
    <cellStyle name="AdjNo 8 4 5 4" xfId="24327"/>
    <cellStyle name="AdjNo 8 4 6" xfId="2423"/>
    <cellStyle name="AdjNo 8 4 6 2" xfId="2424"/>
    <cellStyle name="AdjNo 8 4 6 3" xfId="24328"/>
    <cellStyle name="AdjNo 8 4 6 4" xfId="24329"/>
    <cellStyle name="AdjNo 8 4 7" xfId="2425"/>
    <cellStyle name="AdjNo 8 4 7 2" xfId="2426"/>
    <cellStyle name="AdjNo 8 4 7 3" xfId="24330"/>
    <cellStyle name="AdjNo 8 4 7 4" xfId="24331"/>
    <cellStyle name="AdjNo 8 4 8" xfId="2427"/>
    <cellStyle name="AdjNo 8 4 9" xfId="24332"/>
    <cellStyle name="AdjNo 8 5" xfId="2428"/>
    <cellStyle name="AdjNo 8 5 10" xfId="24333"/>
    <cellStyle name="AdjNo 8 5 2" xfId="2429"/>
    <cellStyle name="AdjNo 8 5 2 2" xfId="2430"/>
    <cellStyle name="AdjNo 8 5 2 3" xfId="24334"/>
    <cellStyle name="AdjNo 8 5 2 4" xfId="24335"/>
    <cellStyle name="AdjNo 8 5 3" xfId="2431"/>
    <cellStyle name="AdjNo 8 5 3 2" xfId="2432"/>
    <cellStyle name="AdjNo 8 5 3 3" xfId="24336"/>
    <cellStyle name="AdjNo 8 5 3 4" xfId="24337"/>
    <cellStyle name="AdjNo 8 5 4" xfId="2433"/>
    <cellStyle name="AdjNo 8 5 4 2" xfId="2434"/>
    <cellStyle name="AdjNo 8 5 4 3" xfId="24338"/>
    <cellStyle name="AdjNo 8 5 4 4" xfId="24339"/>
    <cellStyle name="AdjNo 8 5 5" xfId="2435"/>
    <cellStyle name="AdjNo 8 5 5 2" xfId="2436"/>
    <cellStyle name="AdjNo 8 5 5 3" xfId="24340"/>
    <cellStyle name="AdjNo 8 5 5 4" xfId="24341"/>
    <cellStyle name="AdjNo 8 5 6" xfId="2437"/>
    <cellStyle name="AdjNo 8 5 6 2" xfId="2438"/>
    <cellStyle name="AdjNo 8 5 6 3" xfId="24342"/>
    <cellStyle name="AdjNo 8 5 6 4" xfId="24343"/>
    <cellStyle name="AdjNo 8 5 7" xfId="2439"/>
    <cellStyle name="AdjNo 8 5 7 2" xfId="2440"/>
    <cellStyle name="AdjNo 8 5 7 3" xfId="24344"/>
    <cellStyle name="AdjNo 8 5 7 4" xfId="24345"/>
    <cellStyle name="AdjNo 8 5 8" xfId="2441"/>
    <cellStyle name="AdjNo 8 5 9" xfId="24346"/>
    <cellStyle name="AdjNo 8 6" xfId="2442"/>
    <cellStyle name="AdjNo 8 6 2" xfId="2443"/>
    <cellStyle name="AdjNo 8 6 3" xfId="24347"/>
    <cellStyle name="AdjNo 8 6 4" xfId="24348"/>
    <cellStyle name="AdjNo 8 7" xfId="2444"/>
    <cellStyle name="AdjNo 8 7 2" xfId="2445"/>
    <cellStyle name="AdjNo 8 7 3" xfId="24349"/>
    <cellStyle name="AdjNo 8 7 4" xfId="24350"/>
    <cellStyle name="AdjNo 8 8" xfId="2446"/>
    <cellStyle name="AdjNo 8 8 2" xfId="2447"/>
    <cellStyle name="AdjNo 8 8 3" xfId="24351"/>
    <cellStyle name="AdjNo 8 8 4" xfId="24352"/>
    <cellStyle name="AdjNo 8 9" xfId="2448"/>
    <cellStyle name="AdjNo 8 9 2" xfId="2449"/>
    <cellStyle name="AdjNo 8 9 3" xfId="24353"/>
    <cellStyle name="AdjNo 8 9 4" xfId="24354"/>
    <cellStyle name="AdjNo 9" xfId="2450"/>
    <cellStyle name="AdjNo 9 10" xfId="2451"/>
    <cellStyle name="AdjNo 9 10 2" xfId="2452"/>
    <cellStyle name="AdjNo 9 10 3" xfId="24355"/>
    <cellStyle name="AdjNo 9 10 4" xfId="24356"/>
    <cellStyle name="AdjNo 9 11" xfId="2453"/>
    <cellStyle name="AdjNo 9 11 2" xfId="2454"/>
    <cellStyle name="AdjNo 9 11 3" xfId="24357"/>
    <cellStyle name="AdjNo 9 11 4" xfId="24358"/>
    <cellStyle name="AdjNo 9 12" xfId="2455"/>
    <cellStyle name="AdjNo 9 13" xfId="24359"/>
    <cellStyle name="AdjNo 9 14" xfId="24360"/>
    <cellStyle name="AdjNo 9 2" xfId="2456"/>
    <cellStyle name="AdjNo 9 2 10" xfId="24361"/>
    <cellStyle name="AdjNo 9 2 2" xfId="2457"/>
    <cellStyle name="AdjNo 9 2 2 2" xfId="2458"/>
    <cellStyle name="AdjNo 9 2 2 3" xfId="24362"/>
    <cellStyle name="AdjNo 9 2 2 4" xfId="24363"/>
    <cellStyle name="AdjNo 9 2 3" xfId="2459"/>
    <cellStyle name="AdjNo 9 2 3 2" xfId="2460"/>
    <cellStyle name="AdjNo 9 2 3 3" xfId="24364"/>
    <cellStyle name="AdjNo 9 2 3 4" xfId="24365"/>
    <cellStyle name="AdjNo 9 2 4" xfId="2461"/>
    <cellStyle name="AdjNo 9 2 4 2" xfId="2462"/>
    <cellStyle name="AdjNo 9 2 4 3" xfId="24366"/>
    <cellStyle name="AdjNo 9 2 4 4" xfId="24367"/>
    <cellStyle name="AdjNo 9 2 5" xfId="2463"/>
    <cellStyle name="AdjNo 9 2 5 2" xfId="2464"/>
    <cellStyle name="AdjNo 9 2 5 3" xfId="24368"/>
    <cellStyle name="AdjNo 9 2 5 4" xfId="24369"/>
    <cellStyle name="AdjNo 9 2 6" xfId="2465"/>
    <cellStyle name="AdjNo 9 2 6 2" xfId="2466"/>
    <cellStyle name="AdjNo 9 2 6 3" xfId="24370"/>
    <cellStyle name="AdjNo 9 2 6 4" xfId="24371"/>
    <cellStyle name="AdjNo 9 2 7" xfId="2467"/>
    <cellStyle name="AdjNo 9 2 7 2" xfId="2468"/>
    <cellStyle name="AdjNo 9 2 7 3" xfId="24372"/>
    <cellStyle name="AdjNo 9 2 7 4" xfId="24373"/>
    <cellStyle name="AdjNo 9 2 8" xfId="2469"/>
    <cellStyle name="AdjNo 9 2 9" xfId="24374"/>
    <cellStyle name="AdjNo 9 3" xfId="2470"/>
    <cellStyle name="AdjNo 9 3 10" xfId="24375"/>
    <cellStyle name="AdjNo 9 3 2" xfId="2471"/>
    <cellStyle name="AdjNo 9 3 2 2" xfId="2472"/>
    <cellStyle name="AdjNo 9 3 2 3" xfId="24376"/>
    <cellStyle name="AdjNo 9 3 2 4" xfId="24377"/>
    <cellStyle name="AdjNo 9 3 3" xfId="2473"/>
    <cellStyle name="AdjNo 9 3 3 2" xfId="2474"/>
    <cellStyle name="AdjNo 9 3 3 3" xfId="24378"/>
    <cellStyle name="AdjNo 9 3 3 4" xfId="24379"/>
    <cellStyle name="AdjNo 9 3 4" xfId="2475"/>
    <cellStyle name="AdjNo 9 3 4 2" xfId="2476"/>
    <cellStyle name="AdjNo 9 3 4 3" xfId="24380"/>
    <cellStyle name="AdjNo 9 3 4 4" xfId="24381"/>
    <cellStyle name="AdjNo 9 3 5" xfId="2477"/>
    <cellStyle name="AdjNo 9 3 5 2" xfId="2478"/>
    <cellStyle name="AdjNo 9 3 5 3" xfId="24382"/>
    <cellStyle name="AdjNo 9 3 5 4" xfId="24383"/>
    <cellStyle name="AdjNo 9 3 6" xfId="2479"/>
    <cellStyle name="AdjNo 9 3 6 2" xfId="2480"/>
    <cellStyle name="AdjNo 9 3 6 3" xfId="24384"/>
    <cellStyle name="AdjNo 9 3 6 4" xfId="24385"/>
    <cellStyle name="AdjNo 9 3 7" xfId="2481"/>
    <cellStyle name="AdjNo 9 3 7 2" xfId="2482"/>
    <cellStyle name="AdjNo 9 3 7 3" xfId="24386"/>
    <cellStyle name="AdjNo 9 3 7 4" xfId="24387"/>
    <cellStyle name="AdjNo 9 3 8" xfId="2483"/>
    <cellStyle name="AdjNo 9 3 9" xfId="24388"/>
    <cellStyle name="AdjNo 9 4" xfId="2484"/>
    <cellStyle name="AdjNo 9 4 10" xfId="24389"/>
    <cellStyle name="AdjNo 9 4 2" xfId="2485"/>
    <cellStyle name="AdjNo 9 4 2 2" xfId="2486"/>
    <cellStyle name="AdjNo 9 4 2 3" xfId="24390"/>
    <cellStyle name="AdjNo 9 4 2 4" xfId="24391"/>
    <cellStyle name="AdjNo 9 4 3" xfId="2487"/>
    <cellStyle name="AdjNo 9 4 3 2" xfId="2488"/>
    <cellStyle name="AdjNo 9 4 3 3" xfId="24392"/>
    <cellStyle name="AdjNo 9 4 3 4" xfId="24393"/>
    <cellStyle name="AdjNo 9 4 4" xfId="2489"/>
    <cellStyle name="AdjNo 9 4 4 2" xfId="2490"/>
    <cellStyle name="AdjNo 9 4 4 3" xfId="24394"/>
    <cellStyle name="AdjNo 9 4 4 4" xfId="24395"/>
    <cellStyle name="AdjNo 9 4 5" xfId="2491"/>
    <cellStyle name="AdjNo 9 4 5 2" xfId="2492"/>
    <cellStyle name="AdjNo 9 4 5 3" xfId="24396"/>
    <cellStyle name="AdjNo 9 4 5 4" xfId="24397"/>
    <cellStyle name="AdjNo 9 4 6" xfId="2493"/>
    <cellStyle name="AdjNo 9 4 6 2" xfId="2494"/>
    <cellStyle name="AdjNo 9 4 6 3" xfId="24398"/>
    <cellStyle name="AdjNo 9 4 6 4" xfId="24399"/>
    <cellStyle name="AdjNo 9 4 7" xfId="2495"/>
    <cellStyle name="AdjNo 9 4 7 2" xfId="2496"/>
    <cellStyle name="AdjNo 9 4 7 3" xfId="24400"/>
    <cellStyle name="AdjNo 9 4 7 4" xfId="24401"/>
    <cellStyle name="AdjNo 9 4 8" xfId="2497"/>
    <cellStyle name="AdjNo 9 4 9" xfId="24402"/>
    <cellStyle name="AdjNo 9 5" xfId="2498"/>
    <cellStyle name="AdjNo 9 5 10" xfId="24403"/>
    <cellStyle name="AdjNo 9 5 2" xfId="2499"/>
    <cellStyle name="AdjNo 9 5 2 2" xfId="2500"/>
    <cellStyle name="AdjNo 9 5 2 3" xfId="24404"/>
    <cellStyle name="AdjNo 9 5 2 4" xfId="24405"/>
    <cellStyle name="AdjNo 9 5 3" xfId="2501"/>
    <cellStyle name="AdjNo 9 5 3 2" xfId="2502"/>
    <cellStyle name="AdjNo 9 5 3 3" xfId="24406"/>
    <cellStyle name="AdjNo 9 5 3 4" xfId="24407"/>
    <cellStyle name="AdjNo 9 5 4" xfId="2503"/>
    <cellStyle name="AdjNo 9 5 4 2" xfId="2504"/>
    <cellStyle name="AdjNo 9 5 4 3" xfId="24408"/>
    <cellStyle name="AdjNo 9 5 4 4" xfId="24409"/>
    <cellStyle name="AdjNo 9 5 5" xfId="2505"/>
    <cellStyle name="AdjNo 9 5 5 2" xfId="2506"/>
    <cellStyle name="AdjNo 9 5 5 3" xfId="24410"/>
    <cellStyle name="AdjNo 9 5 5 4" xfId="24411"/>
    <cellStyle name="AdjNo 9 5 6" xfId="2507"/>
    <cellStyle name="AdjNo 9 5 6 2" xfId="2508"/>
    <cellStyle name="AdjNo 9 5 6 3" xfId="24412"/>
    <cellStyle name="AdjNo 9 5 6 4" xfId="24413"/>
    <cellStyle name="AdjNo 9 5 7" xfId="2509"/>
    <cellStyle name="AdjNo 9 5 7 2" xfId="2510"/>
    <cellStyle name="AdjNo 9 5 7 3" xfId="24414"/>
    <cellStyle name="AdjNo 9 5 7 4" xfId="24415"/>
    <cellStyle name="AdjNo 9 5 8" xfId="2511"/>
    <cellStyle name="AdjNo 9 5 9" xfId="24416"/>
    <cellStyle name="AdjNo 9 6" xfId="2512"/>
    <cellStyle name="AdjNo 9 6 2" xfId="2513"/>
    <cellStyle name="AdjNo 9 6 3" xfId="24417"/>
    <cellStyle name="AdjNo 9 6 4" xfId="24418"/>
    <cellStyle name="AdjNo 9 7" xfId="2514"/>
    <cellStyle name="AdjNo 9 7 2" xfId="2515"/>
    <cellStyle name="AdjNo 9 7 3" xfId="24419"/>
    <cellStyle name="AdjNo 9 7 4" xfId="24420"/>
    <cellStyle name="AdjNo 9 8" xfId="2516"/>
    <cellStyle name="AdjNo 9 8 2" xfId="2517"/>
    <cellStyle name="AdjNo 9 8 3" xfId="24421"/>
    <cellStyle name="AdjNo 9 8 4" xfId="24422"/>
    <cellStyle name="AdjNo 9 9" xfId="2518"/>
    <cellStyle name="AdjNo 9 9 2" xfId="2519"/>
    <cellStyle name="AdjNo 9 9 3" xfId="24423"/>
    <cellStyle name="AdjNo 9 9 4" xfId="24424"/>
    <cellStyle name="Adjustment" xfId="2520"/>
    <cellStyle name="Adjustment 10" xfId="2521"/>
    <cellStyle name="Adjustment 10 10" xfId="2522"/>
    <cellStyle name="Adjustment 10 10 2" xfId="2523"/>
    <cellStyle name="Adjustment 10 10 3" xfId="24425"/>
    <cellStyle name="Adjustment 10 10 4" xfId="24426"/>
    <cellStyle name="Adjustment 10 11" xfId="2524"/>
    <cellStyle name="Adjustment 10 11 2" xfId="2525"/>
    <cellStyle name="Adjustment 10 11 3" xfId="24427"/>
    <cellStyle name="Adjustment 10 11 4" xfId="24428"/>
    <cellStyle name="Adjustment 10 12" xfId="2526"/>
    <cellStyle name="Adjustment 10 13" xfId="24429"/>
    <cellStyle name="Adjustment 10 14" xfId="24430"/>
    <cellStyle name="Adjustment 10 2" xfId="2527"/>
    <cellStyle name="Adjustment 10 2 10" xfId="24431"/>
    <cellStyle name="Adjustment 10 2 2" xfId="2528"/>
    <cellStyle name="Adjustment 10 2 2 2" xfId="2529"/>
    <cellStyle name="Adjustment 10 2 2 3" xfId="24432"/>
    <cellStyle name="Adjustment 10 2 2 4" xfId="24433"/>
    <cellStyle name="Adjustment 10 2 3" xfId="2530"/>
    <cellStyle name="Adjustment 10 2 3 2" xfId="2531"/>
    <cellStyle name="Adjustment 10 2 3 3" xfId="24434"/>
    <cellStyle name="Adjustment 10 2 3 4" xfId="24435"/>
    <cellStyle name="Adjustment 10 2 4" xfId="2532"/>
    <cellStyle name="Adjustment 10 2 4 2" xfId="2533"/>
    <cellStyle name="Adjustment 10 2 4 3" xfId="24436"/>
    <cellStyle name="Adjustment 10 2 4 4" xfId="24437"/>
    <cellStyle name="Adjustment 10 2 5" xfId="2534"/>
    <cellStyle name="Adjustment 10 2 5 2" xfId="2535"/>
    <cellStyle name="Adjustment 10 2 5 3" xfId="24438"/>
    <cellStyle name="Adjustment 10 2 5 4" xfId="24439"/>
    <cellStyle name="Adjustment 10 2 6" xfId="2536"/>
    <cellStyle name="Adjustment 10 2 6 2" xfId="2537"/>
    <cellStyle name="Adjustment 10 2 6 3" xfId="24440"/>
    <cellStyle name="Adjustment 10 2 6 4" xfId="24441"/>
    <cellStyle name="Adjustment 10 2 7" xfId="2538"/>
    <cellStyle name="Adjustment 10 2 7 2" xfId="2539"/>
    <cellStyle name="Adjustment 10 2 7 3" xfId="24442"/>
    <cellStyle name="Adjustment 10 2 7 4" xfId="24443"/>
    <cellStyle name="Adjustment 10 2 8" xfId="2540"/>
    <cellStyle name="Adjustment 10 2 9" xfId="24444"/>
    <cellStyle name="Adjustment 10 3" xfId="2541"/>
    <cellStyle name="Adjustment 10 3 10" xfId="24445"/>
    <cellStyle name="Adjustment 10 3 2" xfId="2542"/>
    <cellStyle name="Adjustment 10 3 2 2" xfId="2543"/>
    <cellStyle name="Adjustment 10 3 2 3" xfId="24446"/>
    <cellStyle name="Adjustment 10 3 2 4" xfId="24447"/>
    <cellStyle name="Adjustment 10 3 3" xfId="2544"/>
    <cellStyle name="Adjustment 10 3 3 2" xfId="2545"/>
    <cellStyle name="Adjustment 10 3 3 3" xfId="24448"/>
    <cellStyle name="Adjustment 10 3 3 4" xfId="24449"/>
    <cellStyle name="Adjustment 10 3 4" xfId="2546"/>
    <cellStyle name="Adjustment 10 3 4 2" xfId="2547"/>
    <cellStyle name="Adjustment 10 3 4 3" xfId="24450"/>
    <cellStyle name="Adjustment 10 3 4 4" xfId="24451"/>
    <cellStyle name="Adjustment 10 3 5" xfId="2548"/>
    <cellStyle name="Adjustment 10 3 5 2" xfId="2549"/>
    <cellStyle name="Adjustment 10 3 5 3" xfId="24452"/>
    <cellStyle name="Adjustment 10 3 5 4" xfId="24453"/>
    <cellStyle name="Adjustment 10 3 6" xfId="2550"/>
    <cellStyle name="Adjustment 10 3 6 2" xfId="2551"/>
    <cellStyle name="Adjustment 10 3 6 3" xfId="24454"/>
    <cellStyle name="Adjustment 10 3 6 4" xfId="24455"/>
    <cellStyle name="Adjustment 10 3 7" xfId="2552"/>
    <cellStyle name="Adjustment 10 3 7 2" xfId="2553"/>
    <cellStyle name="Adjustment 10 3 7 3" xfId="24456"/>
    <cellStyle name="Adjustment 10 3 7 4" xfId="24457"/>
    <cellStyle name="Adjustment 10 3 8" xfId="2554"/>
    <cellStyle name="Adjustment 10 3 9" xfId="24458"/>
    <cellStyle name="Adjustment 10 4" xfId="2555"/>
    <cellStyle name="Adjustment 10 4 10" xfId="24459"/>
    <cellStyle name="Adjustment 10 4 2" xfId="2556"/>
    <cellStyle name="Adjustment 10 4 2 2" xfId="2557"/>
    <cellStyle name="Adjustment 10 4 2 3" xfId="24460"/>
    <cellStyle name="Adjustment 10 4 2 4" xfId="24461"/>
    <cellStyle name="Adjustment 10 4 3" xfId="2558"/>
    <cellStyle name="Adjustment 10 4 3 2" xfId="2559"/>
    <cellStyle name="Adjustment 10 4 3 3" xfId="24462"/>
    <cellStyle name="Adjustment 10 4 3 4" xfId="24463"/>
    <cellStyle name="Adjustment 10 4 4" xfId="2560"/>
    <cellStyle name="Adjustment 10 4 4 2" xfId="2561"/>
    <cellStyle name="Adjustment 10 4 4 3" xfId="24464"/>
    <cellStyle name="Adjustment 10 4 4 4" xfId="24465"/>
    <cellStyle name="Adjustment 10 4 5" xfId="2562"/>
    <cellStyle name="Adjustment 10 4 5 2" xfId="2563"/>
    <cellStyle name="Adjustment 10 4 5 3" xfId="24466"/>
    <cellStyle name="Adjustment 10 4 5 4" xfId="24467"/>
    <cellStyle name="Adjustment 10 4 6" xfId="2564"/>
    <cellStyle name="Adjustment 10 4 6 2" xfId="2565"/>
    <cellStyle name="Adjustment 10 4 6 3" xfId="24468"/>
    <cellStyle name="Adjustment 10 4 6 4" xfId="24469"/>
    <cellStyle name="Adjustment 10 4 7" xfId="2566"/>
    <cellStyle name="Adjustment 10 4 7 2" xfId="2567"/>
    <cellStyle name="Adjustment 10 4 7 3" xfId="24470"/>
    <cellStyle name="Adjustment 10 4 7 4" xfId="24471"/>
    <cellStyle name="Adjustment 10 4 8" xfId="2568"/>
    <cellStyle name="Adjustment 10 4 9" xfId="24472"/>
    <cellStyle name="Adjustment 10 5" xfId="2569"/>
    <cellStyle name="Adjustment 10 5 10" xfId="24473"/>
    <cellStyle name="Adjustment 10 5 2" xfId="2570"/>
    <cellStyle name="Adjustment 10 5 2 2" xfId="2571"/>
    <cellStyle name="Adjustment 10 5 2 3" xfId="24474"/>
    <cellStyle name="Adjustment 10 5 2 4" xfId="24475"/>
    <cellStyle name="Adjustment 10 5 3" xfId="2572"/>
    <cellStyle name="Adjustment 10 5 3 2" xfId="2573"/>
    <cellStyle name="Adjustment 10 5 3 3" xfId="24476"/>
    <cellStyle name="Adjustment 10 5 3 4" xfId="24477"/>
    <cellStyle name="Adjustment 10 5 4" xfId="2574"/>
    <cellStyle name="Adjustment 10 5 4 2" xfId="2575"/>
    <cellStyle name="Adjustment 10 5 4 3" xfId="24478"/>
    <cellStyle name="Adjustment 10 5 4 4" xfId="24479"/>
    <cellStyle name="Adjustment 10 5 5" xfId="2576"/>
    <cellStyle name="Adjustment 10 5 5 2" xfId="2577"/>
    <cellStyle name="Adjustment 10 5 5 3" xfId="24480"/>
    <cellStyle name="Adjustment 10 5 5 4" xfId="24481"/>
    <cellStyle name="Adjustment 10 5 6" xfId="2578"/>
    <cellStyle name="Adjustment 10 5 6 2" xfId="2579"/>
    <cellStyle name="Adjustment 10 5 6 3" xfId="24482"/>
    <cellStyle name="Adjustment 10 5 6 4" xfId="24483"/>
    <cellStyle name="Adjustment 10 5 7" xfId="2580"/>
    <cellStyle name="Adjustment 10 5 7 2" xfId="2581"/>
    <cellStyle name="Adjustment 10 5 7 3" xfId="24484"/>
    <cellStyle name="Adjustment 10 5 7 4" xfId="24485"/>
    <cellStyle name="Adjustment 10 5 8" xfId="2582"/>
    <cellStyle name="Adjustment 10 5 9" xfId="24486"/>
    <cellStyle name="Adjustment 10 6" xfId="2583"/>
    <cellStyle name="Adjustment 10 6 2" xfId="2584"/>
    <cellStyle name="Adjustment 10 6 3" xfId="24487"/>
    <cellStyle name="Adjustment 10 6 4" xfId="24488"/>
    <cellStyle name="Adjustment 10 7" xfId="2585"/>
    <cellStyle name="Adjustment 10 7 2" xfId="2586"/>
    <cellStyle name="Adjustment 10 7 3" xfId="24489"/>
    <cellStyle name="Adjustment 10 7 4" xfId="24490"/>
    <cellStyle name="Adjustment 10 8" xfId="2587"/>
    <cellStyle name="Adjustment 10 8 2" xfId="2588"/>
    <cellStyle name="Adjustment 10 8 3" xfId="24491"/>
    <cellStyle name="Adjustment 10 8 4" xfId="24492"/>
    <cellStyle name="Adjustment 10 9" xfId="2589"/>
    <cellStyle name="Adjustment 10 9 2" xfId="2590"/>
    <cellStyle name="Adjustment 10 9 3" xfId="24493"/>
    <cellStyle name="Adjustment 10 9 4" xfId="24494"/>
    <cellStyle name="Adjustment 11" xfId="2591"/>
    <cellStyle name="Adjustment 11 10" xfId="2592"/>
    <cellStyle name="Adjustment 11 10 2" xfId="2593"/>
    <cellStyle name="Adjustment 11 10 3" xfId="24495"/>
    <cellStyle name="Adjustment 11 10 4" xfId="24496"/>
    <cellStyle name="Adjustment 11 11" xfId="2594"/>
    <cellStyle name="Adjustment 11 11 2" xfId="2595"/>
    <cellStyle name="Adjustment 11 11 3" xfId="24497"/>
    <cellStyle name="Adjustment 11 11 4" xfId="24498"/>
    <cellStyle name="Adjustment 11 12" xfId="2596"/>
    <cellStyle name="Adjustment 11 13" xfId="24499"/>
    <cellStyle name="Adjustment 11 14" xfId="24500"/>
    <cellStyle name="Adjustment 11 2" xfId="2597"/>
    <cellStyle name="Adjustment 11 2 10" xfId="24501"/>
    <cellStyle name="Adjustment 11 2 2" xfId="2598"/>
    <cellStyle name="Adjustment 11 2 2 2" xfId="2599"/>
    <cellStyle name="Adjustment 11 2 2 3" xfId="24502"/>
    <cellStyle name="Adjustment 11 2 2 4" xfId="24503"/>
    <cellStyle name="Adjustment 11 2 3" xfId="2600"/>
    <cellStyle name="Adjustment 11 2 3 2" xfId="2601"/>
    <cellStyle name="Adjustment 11 2 3 3" xfId="24504"/>
    <cellStyle name="Adjustment 11 2 3 4" xfId="24505"/>
    <cellStyle name="Adjustment 11 2 4" xfId="2602"/>
    <cellStyle name="Adjustment 11 2 4 2" xfId="2603"/>
    <cellStyle name="Adjustment 11 2 4 3" xfId="24506"/>
    <cellStyle name="Adjustment 11 2 4 4" xfId="24507"/>
    <cellStyle name="Adjustment 11 2 5" xfId="2604"/>
    <cellStyle name="Adjustment 11 2 5 2" xfId="2605"/>
    <cellStyle name="Adjustment 11 2 5 3" xfId="24508"/>
    <cellStyle name="Adjustment 11 2 5 4" xfId="24509"/>
    <cellStyle name="Adjustment 11 2 6" xfId="2606"/>
    <cellStyle name="Adjustment 11 2 6 2" xfId="2607"/>
    <cellStyle name="Adjustment 11 2 6 3" xfId="24510"/>
    <cellStyle name="Adjustment 11 2 6 4" xfId="24511"/>
    <cellStyle name="Adjustment 11 2 7" xfId="2608"/>
    <cellStyle name="Adjustment 11 2 7 2" xfId="2609"/>
    <cellStyle name="Adjustment 11 2 7 3" xfId="24512"/>
    <cellStyle name="Adjustment 11 2 7 4" xfId="24513"/>
    <cellStyle name="Adjustment 11 2 8" xfId="2610"/>
    <cellStyle name="Adjustment 11 2 9" xfId="24514"/>
    <cellStyle name="Adjustment 11 3" xfId="2611"/>
    <cellStyle name="Adjustment 11 3 10" xfId="24515"/>
    <cellStyle name="Adjustment 11 3 2" xfId="2612"/>
    <cellStyle name="Adjustment 11 3 2 2" xfId="2613"/>
    <cellStyle name="Adjustment 11 3 2 3" xfId="24516"/>
    <cellStyle name="Adjustment 11 3 2 4" xfId="24517"/>
    <cellStyle name="Adjustment 11 3 3" xfId="2614"/>
    <cellStyle name="Adjustment 11 3 3 2" xfId="2615"/>
    <cellStyle name="Adjustment 11 3 3 3" xfId="24518"/>
    <cellStyle name="Adjustment 11 3 3 4" xfId="24519"/>
    <cellStyle name="Adjustment 11 3 4" xfId="2616"/>
    <cellStyle name="Adjustment 11 3 4 2" xfId="2617"/>
    <cellStyle name="Adjustment 11 3 4 3" xfId="24520"/>
    <cellStyle name="Adjustment 11 3 4 4" xfId="24521"/>
    <cellStyle name="Adjustment 11 3 5" xfId="2618"/>
    <cellStyle name="Adjustment 11 3 5 2" xfId="2619"/>
    <cellStyle name="Adjustment 11 3 5 3" xfId="24522"/>
    <cellStyle name="Adjustment 11 3 5 4" xfId="24523"/>
    <cellStyle name="Adjustment 11 3 6" xfId="2620"/>
    <cellStyle name="Adjustment 11 3 6 2" xfId="2621"/>
    <cellStyle name="Adjustment 11 3 6 3" xfId="24524"/>
    <cellStyle name="Adjustment 11 3 6 4" xfId="24525"/>
    <cellStyle name="Adjustment 11 3 7" xfId="2622"/>
    <cellStyle name="Adjustment 11 3 7 2" xfId="2623"/>
    <cellStyle name="Adjustment 11 3 7 3" xfId="24526"/>
    <cellStyle name="Adjustment 11 3 7 4" xfId="24527"/>
    <cellStyle name="Adjustment 11 3 8" xfId="2624"/>
    <cellStyle name="Adjustment 11 3 9" xfId="24528"/>
    <cellStyle name="Adjustment 11 4" xfId="2625"/>
    <cellStyle name="Adjustment 11 4 10" xfId="24529"/>
    <cellStyle name="Adjustment 11 4 2" xfId="2626"/>
    <cellStyle name="Adjustment 11 4 2 2" xfId="2627"/>
    <cellStyle name="Adjustment 11 4 2 3" xfId="24530"/>
    <cellStyle name="Adjustment 11 4 2 4" xfId="24531"/>
    <cellStyle name="Adjustment 11 4 3" xfId="2628"/>
    <cellStyle name="Adjustment 11 4 3 2" xfId="2629"/>
    <cellStyle name="Adjustment 11 4 3 3" xfId="24532"/>
    <cellStyle name="Adjustment 11 4 3 4" xfId="24533"/>
    <cellStyle name="Adjustment 11 4 4" xfId="2630"/>
    <cellStyle name="Adjustment 11 4 4 2" xfId="2631"/>
    <cellStyle name="Adjustment 11 4 4 3" xfId="24534"/>
    <cellStyle name="Adjustment 11 4 4 4" xfId="24535"/>
    <cellStyle name="Adjustment 11 4 5" xfId="2632"/>
    <cellStyle name="Adjustment 11 4 5 2" xfId="2633"/>
    <cellStyle name="Adjustment 11 4 5 3" xfId="24536"/>
    <cellStyle name="Adjustment 11 4 5 4" xfId="24537"/>
    <cellStyle name="Adjustment 11 4 6" xfId="2634"/>
    <cellStyle name="Adjustment 11 4 6 2" xfId="2635"/>
    <cellStyle name="Adjustment 11 4 6 3" xfId="24538"/>
    <cellStyle name="Adjustment 11 4 6 4" xfId="24539"/>
    <cellStyle name="Adjustment 11 4 7" xfId="2636"/>
    <cellStyle name="Adjustment 11 4 7 2" xfId="2637"/>
    <cellStyle name="Adjustment 11 4 7 3" xfId="24540"/>
    <cellStyle name="Adjustment 11 4 7 4" xfId="24541"/>
    <cellStyle name="Adjustment 11 4 8" xfId="2638"/>
    <cellStyle name="Adjustment 11 4 9" xfId="24542"/>
    <cellStyle name="Adjustment 11 5" xfId="2639"/>
    <cellStyle name="Adjustment 11 5 10" xfId="24543"/>
    <cellStyle name="Adjustment 11 5 2" xfId="2640"/>
    <cellStyle name="Adjustment 11 5 2 2" xfId="2641"/>
    <cellStyle name="Adjustment 11 5 2 3" xfId="24544"/>
    <cellStyle name="Adjustment 11 5 2 4" xfId="24545"/>
    <cellStyle name="Adjustment 11 5 3" xfId="2642"/>
    <cellStyle name="Adjustment 11 5 3 2" xfId="2643"/>
    <cellStyle name="Adjustment 11 5 3 3" xfId="24546"/>
    <cellStyle name="Adjustment 11 5 3 4" xfId="24547"/>
    <cellStyle name="Adjustment 11 5 4" xfId="2644"/>
    <cellStyle name="Adjustment 11 5 4 2" xfId="2645"/>
    <cellStyle name="Adjustment 11 5 4 3" xfId="24548"/>
    <cellStyle name="Adjustment 11 5 4 4" xfId="24549"/>
    <cellStyle name="Adjustment 11 5 5" xfId="2646"/>
    <cellStyle name="Adjustment 11 5 5 2" xfId="2647"/>
    <cellStyle name="Adjustment 11 5 5 3" xfId="24550"/>
    <cellStyle name="Adjustment 11 5 5 4" xfId="24551"/>
    <cellStyle name="Adjustment 11 5 6" xfId="2648"/>
    <cellStyle name="Adjustment 11 5 6 2" xfId="2649"/>
    <cellStyle name="Adjustment 11 5 6 3" xfId="24552"/>
    <cellStyle name="Adjustment 11 5 6 4" xfId="24553"/>
    <cellStyle name="Adjustment 11 5 7" xfId="2650"/>
    <cellStyle name="Adjustment 11 5 7 2" xfId="2651"/>
    <cellStyle name="Adjustment 11 5 7 3" xfId="24554"/>
    <cellStyle name="Adjustment 11 5 7 4" xfId="24555"/>
    <cellStyle name="Adjustment 11 5 8" xfId="2652"/>
    <cellStyle name="Adjustment 11 5 9" xfId="24556"/>
    <cellStyle name="Adjustment 11 6" xfId="2653"/>
    <cellStyle name="Adjustment 11 6 2" xfId="2654"/>
    <cellStyle name="Adjustment 11 6 3" xfId="24557"/>
    <cellStyle name="Adjustment 11 6 4" xfId="24558"/>
    <cellStyle name="Adjustment 11 7" xfId="2655"/>
    <cellStyle name="Adjustment 11 7 2" xfId="2656"/>
    <cellStyle name="Adjustment 11 7 3" xfId="24559"/>
    <cellStyle name="Adjustment 11 7 4" xfId="24560"/>
    <cellStyle name="Adjustment 11 8" xfId="2657"/>
    <cellStyle name="Adjustment 11 8 2" xfId="2658"/>
    <cellStyle name="Adjustment 11 8 3" xfId="24561"/>
    <cellStyle name="Adjustment 11 8 4" xfId="24562"/>
    <cellStyle name="Adjustment 11 9" xfId="2659"/>
    <cellStyle name="Adjustment 11 9 2" xfId="2660"/>
    <cellStyle name="Adjustment 11 9 3" xfId="24563"/>
    <cellStyle name="Adjustment 11 9 4" xfId="24564"/>
    <cellStyle name="Adjustment 12" xfId="2661"/>
    <cellStyle name="Adjustment 12 10" xfId="2662"/>
    <cellStyle name="Adjustment 12 10 2" xfId="2663"/>
    <cellStyle name="Adjustment 12 10 3" xfId="24565"/>
    <cellStyle name="Adjustment 12 10 4" xfId="24566"/>
    <cellStyle name="Adjustment 12 11" xfId="2664"/>
    <cellStyle name="Adjustment 12 11 2" xfId="2665"/>
    <cellStyle name="Adjustment 12 11 3" xfId="24567"/>
    <cellStyle name="Adjustment 12 11 4" xfId="24568"/>
    <cellStyle name="Adjustment 12 12" xfId="2666"/>
    <cellStyle name="Adjustment 12 13" xfId="24569"/>
    <cellStyle name="Adjustment 12 14" xfId="24570"/>
    <cellStyle name="Adjustment 12 2" xfId="2667"/>
    <cellStyle name="Adjustment 12 2 10" xfId="24571"/>
    <cellStyle name="Adjustment 12 2 2" xfId="2668"/>
    <cellStyle name="Adjustment 12 2 2 2" xfId="2669"/>
    <cellStyle name="Adjustment 12 2 2 3" xfId="24572"/>
    <cellStyle name="Adjustment 12 2 2 4" xfId="24573"/>
    <cellStyle name="Adjustment 12 2 3" xfId="2670"/>
    <cellStyle name="Adjustment 12 2 3 2" xfId="2671"/>
    <cellStyle name="Adjustment 12 2 3 3" xfId="24574"/>
    <cellStyle name="Adjustment 12 2 3 4" xfId="24575"/>
    <cellStyle name="Adjustment 12 2 4" xfId="2672"/>
    <cellStyle name="Adjustment 12 2 4 2" xfId="2673"/>
    <cellStyle name="Adjustment 12 2 4 3" xfId="24576"/>
    <cellStyle name="Adjustment 12 2 4 4" xfId="24577"/>
    <cellStyle name="Adjustment 12 2 5" xfId="2674"/>
    <cellStyle name="Adjustment 12 2 5 2" xfId="2675"/>
    <cellStyle name="Adjustment 12 2 5 3" xfId="24578"/>
    <cellStyle name="Adjustment 12 2 5 4" xfId="24579"/>
    <cellStyle name="Adjustment 12 2 6" xfId="2676"/>
    <cellStyle name="Adjustment 12 2 6 2" xfId="2677"/>
    <cellStyle name="Adjustment 12 2 6 3" xfId="24580"/>
    <cellStyle name="Adjustment 12 2 6 4" xfId="24581"/>
    <cellStyle name="Adjustment 12 2 7" xfId="2678"/>
    <cellStyle name="Adjustment 12 2 7 2" xfId="2679"/>
    <cellStyle name="Adjustment 12 2 7 3" xfId="24582"/>
    <cellStyle name="Adjustment 12 2 7 4" xfId="24583"/>
    <cellStyle name="Adjustment 12 2 8" xfId="2680"/>
    <cellStyle name="Adjustment 12 2 9" xfId="24584"/>
    <cellStyle name="Adjustment 12 3" xfId="2681"/>
    <cellStyle name="Adjustment 12 3 10" xfId="24585"/>
    <cellStyle name="Adjustment 12 3 2" xfId="2682"/>
    <cellStyle name="Adjustment 12 3 2 2" xfId="2683"/>
    <cellStyle name="Adjustment 12 3 2 3" xfId="24586"/>
    <cellStyle name="Adjustment 12 3 2 4" xfId="24587"/>
    <cellStyle name="Adjustment 12 3 3" xfId="2684"/>
    <cellStyle name="Adjustment 12 3 3 2" xfId="2685"/>
    <cellStyle name="Adjustment 12 3 3 3" xfId="24588"/>
    <cellStyle name="Adjustment 12 3 3 4" xfId="24589"/>
    <cellStyle name="Adjustment 12 3 4" xfId="2686"/>
    <cellStyle name="Adjustment 12 3 4 2" xfId="2687"/>
    <cellStyle name="Adjustment 12 3 4 3" xfId="24590"/>
    <cellStyle name="Adjustment 12 3 4 4" xfId="24591"/>
    <cellStyle name="Adjustment 12 3 5" xfId="2688"/>
    <cellStyle name="Adjustment 12 3 5 2" xfId="2689"/>
    <cellStyle name="Adjustment 12 3 5 3" xfId="24592"/>
    <cellStyle name="Adjustment 12 3 5 4" xfId="24593"/>
    <cellStyle name="Adjustment 12 3 6" xfId="2690"/>
    <cellStyle name="Adjustment 12 3 6 2" xfId="2691"/>
    <cellStyle name="Adjustment 12 3 6 3" xfId="24594"/>
    <cellStyle name="Adjustment 12 3 6 4" xfId="24595"/>
    <cellStyle name="Adjustment 12 3 7" xfId="2692"/>
    <cellStyle name="Adjustment 12 3 7 2" xfId="2693"/>
    <cellStyle name="Adjustment 12 3 7 3" xfId="24596"/>
    <cellStyle name="Adjustment 12 3 7 4" xfId="24597"/>
    <cellStyle name="Adjustment 12 3 8" xfId="2694"/>
    <cellStyle name="Adjustment 12 3 9" xfId="24598"/>
    <cellStyle name="Adjustment 12 4" xfId="2695"/>
    <cellStyle name="Adjustment 12 4 10" xfId="24599"/>
    <cellStyle name="Adjustment 12 4 2" xfId="2696"/>
    <cellStyle name="Adjustment 12 4 2 2" xfId="2697"/>
    <cellStyle name="Adjustment 12 4 2 3" xfId="24600"/>
    <cellStyle name="Adjustment 12 4 2 4" xfId="24601"/>
    <cellStyle name="Adjustment 12 4 3" xfId="2698"/>
    <cellStyle name="Adjustment 12 4 3 2" xfId="2699"/>
    <cellStyle name="Adjustment 12 4 3 3" xfId="24602"/>
    <cellStyle name="Adjustment 12 4 3 4" xfId="24603"/>
    <cellStyle name="Adjustment 12 4 4" xfId="2700"/>
    <cellStyle name="Adjustment 12 4 4 2" xfId="2701"/>
    <cellStyle name="Adjustment 12 4 4 3" xfId="24604"/>
    <cellStyle name="Adjustment 12 4 4 4" xfId="24605"/>
    <cellStyle name="Adjustment 12 4 5" xfId="2702"/>
    <cellStyle name="Adjustment 12 4 5 2" xfId="2703"/>
    <cellStyle name="Adjustment 12 4 5 3" xfId="24606"/>
    <cellStyle name="Adjustment 12 4 5 4" xfId="24607"/>
    <cellStyle name="Adjustment 12 4 6" xfId="2704"/>
    <cellStyle name="Adjustment 12 4 6 2" xfId="2705"/>
    <cellStyle name="Adjustment 12 4 6 3" xfId="24608"/>
    <cellStyle name="Adjustment 12 4 6 4" xfId="24609"/>
    <cellStyle name="Adjustment 12 4 7" xfId="2706"/>
    <cellStyle name="Adjustment 12 4 7 2" xfId="2707"/>
    <cellStyle name="Adjustment 12 4 7 3" xfId="24610"/>
    <cellStyle name="Adjustment 12 4 7 4" xfId="24611"/>
    <cellStyle name="Adjustment 12 4 8" xfId="2708"/>
    <cellStyle name="Adjustment 12 4 9" xfId="24612"/>
    <cellStyle name="Adjustment 12 5" xfId="2709"/>
    <cellStyle name="Adjustment 12 5 10" xfId="24613"/>
    <cellStyle name="Adjustment 12 5 2" xfId="2710"/>
    <cellStyle name="Adjustment 12 5 2 2" xfId="2711"/>
    <cellStyle name="Adjustment 12 5 2 3" xfId="24614"/>
    <cellStyle name="Adjustment 12 5 2 4" xfId="24615"/>
    <cellStyle name="Adjustment 12 5 3" xfId="2712"/>
    <cellStyle name="Adjustment 12 5 3 2" xfId="2713"/>
    <cellStyle name="Adjustment 12 5 3 3" xfId="24616"/>
    <cellStyle name="Adjustment 12 5 3 4" xfId="24617"/>
    <cellStyle name="Adjustment 12 5 4" xfId="2714"/>
    <cellStyle name="Adjustment 12 5 4 2" xfId="2715"/>
    <cellStyle name="Adjustment 12 5 4 3" xfId="24618"/>
    <cellStyle name="Adjustment 12 5 4 4" xfId="24619"/>
    <cellStyle name="Adjustment 12 5 5" xfId="2716"/>
    <cellStyle name="Adjustment 12 5 5 2" xfId="2717"/>
    <cellStyle name="Adjustment 12 5 5 3" xfId="24620"/>
    <cellStyle name="Adjustment 12 5 5 4" xfId="24621"/>
    <cellStyle name="Adjustment 12 5 6" xfId="2718"/>
    <cellStyle name="Adjustment 12 5 6 2" xfId="2719"/>
    <cellStyle name="Adjustment 12 5 6 3" xfId="24622"/>
    <cellStyle name="Adjustment 12 5 6 4" xfId="24623"/>
    <cellStyle name="Adjustment 12 5 7" xfId="2720"/>
    <cellStyle name="Adjustment 12 5 7 2" xfId="2721"/>
    <cellStyle name="Adjustment 12 5 7 3" xfId="24624"/>
    <cellStyle name="Adjustment 12 5 7 4" xfId="24625"/>
    <cellStyle name="Adjustment 12 5 8" xfId="2722"/>
    <cellStyle name="Adjustment 12 5 9" xfId="24626"/>
    <cellStyle name="Adjustment 12 6" xfId="2723"/>
    <cellStyle name="Adjustment 12 6 2" xfId="2724"/>
    <cellStyle name="Adjustment 12 6 3" xfId="24627"/>
    <cellStyle name="Adjustment 12 6 4" xfId="24628"/>
    <cellStyle name="Adjustment 12 7" xfId="2725"/>
    <cellStyle name="Adjustment 12 7 2" xfId="2726"/>
    <cellStyle name="Adjustment 12 7 3" xfId="24629"/>
    <cellStyle name="Adjustment 12 7 4" xfId="24630"/>
    <cellStyle name="Adjustment 12 8" xfId="2727"/>
    <cellStyle name="Adjustment 12 8 2" xfId="2728"/>
    <cellStyle name="Adjustment 12 8 3" xfId="24631"/>
    <cellStyle name="Adjustment 12 8 4" xfId="24632"/>
    <cellStyle name="Adjustment 12 9" xfId="2729"/>
    <cellStyle name="Adjustment 12 9 2" xfId="2730"/>
    <cellStyle name="Adjustment 12 9 3" xfId="24633"/>
    <cellStyle name="Adjustment 12 9 4" xfId="24634"/>
    <cellStyle name="Adjustment 13" xfId="2731"/>
    <cellStyle name="Adjustment 13 10" xfId="2732"/>
    <cellStyle name="Adjustment 13 10 2" xfId="2733"/>
    <cellStyle name="Adjustment 13 10 3" xfId="24635"/>
    <cellStyle name="Adjustment 13 10 4" xfId="24636"/>
    <cellStyle name="Adjustment 13 11" xfId="2734"/>
    <cellStyle name="Adjustment 13 11 2" xfId="2735"/>
    <cellStyle name="Adjustment 13 11 3" xfId="24637"/>
    <cellStyle name="Adjustment 13 11 4" xfId="24638"/>
    <cellStyle name="Adjustment 13 12" xfId="2736"/>
    <cellStyle name="Adjustment 13 13" xfId="24639"/>
    <cellStyle name="Adjustment 13 14" xfId="24640"/>
    <cellStyle name="Adjustment 13 2" xfId="2737"/>
    <cellStyle name="Adjustment 13 2 10" xfId="24641"/>
    <cellStyle name="Adjustment 13 2 2" xfId="2738"/>
    <cellStyle name="Adjustment 13 2 2 2" xfId="2739"/>
    <cellStyle name="Adjustment 13 2 2 3" xfId="24642"/>
    <cellStyle name="Adjustment 13 2 2 4" xfId="24643"/>
    <cellStyle name="Adjustment 13 2 3" xfId="2740"/>
    <cellStyle name="Adjustment 13 2 3 2" xfId="2741"/>
    <cellStyle name="Adjustment 13 2 3 3" xfId="24644"/>
    <cellStyle name="Adjustment 13 2 3 4" xfId="24645"/>
    <cellStyle name="Adjustment 13 2 4" xfId="2742"/>
    <cellStyle name="Adjustment 13 2 4 2" xfId="2743"/>
    <cellStyle name="Adjustment 13 2 4 3" xfId="24646"/>
    <cellStyle name="Adjustment 13 2 4 4" xfId="24647"/>
    <cellStyle name="Adjustment 13 2 5" xfId="2744"/>
    <cellStyle name="Adjustment 13 2 5 2" xfId="2745"/>
    <cellStyle name="Adjustment 13 2 5 3" xfId="24648"/>
    <cellStyle name="Adjustment 13 2 5 4" xfId="24649"/>
    <cellStyle name="Adjustment 13 2 6" xfId="2746"/>
    <cellStyle name="Adjustment 13 2 6 2" xfId="2747"/>
    <cellStyle name="Adjustment 13 2 6 3" xfId="24650"/>
    <cellStyle name="Adjustment 13 2 6 4" xfId="24651"/>
    <cellStyle name="Adjustment 13 2 7" xfId="2748"/>
    <cellStyle name="Adjustment 13 2 7 2" xfId="2749"/>
    <cellStyle name="Adjustment 13 2 7 3" xfId="24652"/>
    <cellStyle name="Adjustment 13 2 7 4" xfId="24653"/>
    <cellStyle name="Adjustment 13 2 8" xfId="2750"/>
    <cellStyle name="Adjustment 13 2 9" xfId="24654"/>
    <cellStyle name="Adjustment 13 3" xfId="2751"/>
    <cellStyle name="Adjustment 13 3 10" xfId="24655"/>
    <cellStyle name="Adjustment 13 3 2" xfId="2752"/>
    <cellStyle name="Adjustment 13 3 2 2" xfId="2753"/>
    <cellStyle name="Adjustment 13 3 2 3" xfId="24656"/>
    <cellStyle name="Adjustment 13 3 2 4" xfId="24657"/>
    <cellStyle name="Adjustment 13 3 3" xfId="2754"/>
    <cellStyle name="Adjustment 13 3 3 2" xfId="2755"/>
    <cellStyle name="Adjustment 13 3 3 3" xfId="24658"/>
    <cellStyle name="Adjustment 13 3 3 4" xfId="24659"/>
    <cellStyle name="Adjustment 13 3 4" xfId="2756"/>
    <cellStyle name="Adjustment 13 3 4 2" xfId="2757"/>
    <cellStyle name="Adjustment 13 3 4 3" xfId="24660"/>
    <cellStyle name="Adjustment 13 3 4 4" xfId="24661"/>
    <cellStyle name="Adjustment 13 3 5" xfId="2758"/>
    <cellStyle name="Adjustment 13 3 5 2" xfId="2759"/>
    <cellStyle name="Adjustment 13 3 5 3" xfId="24662"/>
    <cellStyle name="Adjustment 13 3 5 4" xfId="24663"/>
    <cellStyle name="Adjustment 13 3 6" xfId="2760"/>
    <cellStyle name="Adjustment 13 3 6 2" xfId="2761"/>
    <cellStyle name="Adjustment 13 3 6 3" xfId="24664"/>
    <cellStyle name="Adjustment 13 3 6 4" xfId="24665"/>
    <cellStyle name="Adjustment 13 3 7" xfId="2762"/>
    <cellStyle name="Adjustment 13 3 7 2" xfId="2763"/>
    <cellStyle name="Adjustment 13 3 7 3" xfId="24666"/>
    <cellStyle name="Adjustment 13 3 7 4" xfId="24667"/>
    <cellStyle name="Adjustment 13 3 8" xfId="2764"/>
    <cellStyle name="Adjustment 13 3 9" xfId="24668"/>
    <cellStyle name="Adjustment 13 4" xfId="2765"/>
    <cellStyle name="Adjustment 13 4 10" xfId="24669"/>
    <cellStyle name="Adjustment 13 4 2" xfId="2766"/>
    <cellStyle name="Adjustment 13 4 2 2" xfId="2767"/>
    <cellStyle name="Adjustment 13 4 2 3" xfId="24670"/>
    <cellStyle name="Adjustment 13 4 2 4" xfId="24671"/>
    <cellStyle name="Adjustment 13 4 3" xfId="2768"/>
    <cellStyle name="Adjustment 13 4 3 2" xfId="2769"/>
    <cellStyle name="Adjustment 13 4 3 3" xfId="24672"/>
    <cellStyle name="Adjustment 13 4 3 4" xfId="24673"/>
    <cellStyle name="Adjustment 13 4 4" xfId="2770"/>
    <cellStyle name="Adjustment 13 4 4 2" xfId="2771"/>
    <cellStyle name="Adjustment 13 4 4 3" xfId="24674"/>
    <cellStyle name="Adjustment 13 4 4 4" xfId="24675"/>
    <cellStyle name="Adjustment 13 4 5" xfId="2772"/>
    <cellStyle name="Adjustment 13 4 5 2" xfId="2773"/>
    <cellStyle name="Adjustment 13 4 5 3" xfId="24676"/>
    <cellStyle name="Adjustment 13 4 5 4" xfId="24677"/>
    <cellStyle name="Adjustment 13 4 6" xfId="2774"/>
    <cellStyle name="Adjustment 13 4 6 2" xfId="2775"/>
    <cellStyle name="Adjustment 13 4 6 3" xfId="24678"/>
    <cellStyle name="Adjustment 13 4 6 4" xfId="24679"/>
    <cellStyle name="Adjustment 13 4 7" xfId="2776"/>
    <cellStyle name="Adjustment 13 4 7 2" xfId="2777"/>
    <cellStyle name="Adjustment 13 4 7 3" xfId="24680"/>
    <cellStyle name="Adjustment 13 4 7 4" xfId="24681"/>
    <cellStyle name="Adjustment 13 4 8" xfId="2778"/>
    <cellStyle name="Adjustment 13 4 9" xfId="24682"/>
    <cellStyle name="Adjustment 13 5" xfId="2779"/>
    <cellStyle name="Adjustment 13 5 10" xfId="24683"/>
    <cellStyle name="Adjustment 13 5 2" xfId="2780"/>
    <cellStyle name="Adjustment 13 5 2 2" xfId="2781"/>
    <cellStyle name="Adjustment 13 5 2 3" xfId="24684"/>
    <cellStyle name="Adjustment 13 5 2 4" xfId="24685"/>
    <cellStyle name="Adjustment 13 5 3" xfId="2782"/>
    <cellStyle name="Adjustment 13 5 3 2" xfId="2783"/>
    <cellStyle name="Adjustment 13 5 3 3" xfId="24686"/>
    <cellStyle name="Adjustment 13 5 3 4" xfId="24687"/>
    <cellStyle name="Adjustment 13 5 4" xfId="2784"/>
    <cellStyle name="Adjustment 13 5 4 2" xfId="2785"/>
    <cellStyle name="Adjustment 13 5 4 3" xfId="24688"/>
    <cellStyle name="Adjustment 13 5 4 4" xfId="24689"/>
    <cellStyle name="Adjustment 13 5 5" xfId="2786"/>
    <cellStyle name="Adjustment 13 5 5 2" xfId="2787"/>
    <cellStyle name="Adjustment 13 5 5 3" xfId="24690"/>
    <cellStyle name="Adjustment 13 5 5 4" xfId="24691"/>
    <cellStyle name="Adjustment 13 5 6" xfId="2788"/>
    <cellStyle name="Adjustment 13 5 6 2" xfId="2789"/>
    <cellStyle name="Adjustment 13 5 6 3" xfId="24692"/>
    <cellStyle name="Adjustment 13 5 6 4" xfId="24693"/>
    <cellStyle name="Adjustment 13 5 7" xfId="2790"/>
    <cellStyle name="Adjustment 13 5 7 2" xfId="2791"/>
    <cellStyle name="Adjustment 13 5 7 3" xfId="24694"/>
    <cellStyle name="Adjustment 13 5 7 4" xfId="24695"/>
    <cellStyle name="Adjustment 13 5 8" xfId="2792"/>
    <cellStyle name="Adjustment 13 5 9" xfId="24696"/>
    <cellStyle name="Adjustment 13 6" xfId="2793"/>
    <cellStyle name="Adjustment 13 6 2" xfId="2794"/>
    <cellStyle name="Adjustment 13 6 3" xfId="24697"/>
    <cellStyle name="Adjustment 13 6 4" xfId="24698"/>
    <cellStyle name="Adjustment 13 7" xfId="2795"/>
    <cellStyle name="Adjustment 13 7 2" xfId="2796"/>
    <cellStyle name="Adjustment 13 7 3" xfId="24699"/>
    <cellStyle name="Adjustment 13 7 4" xfId="24700"/>
    <cellStyle name="Adjustment 13 8" xfId="2797"/>
    <cellStyle name="Adjustment 13 8 2" xfId="2798"/>
    <cellStyle name="Adjustment 13 8 3" xfId="24701"/>
    <cellStyle name="Adjustment 13 8 4" xfId="24702"/>
    <cellStyle name="Adjustment 13 9" xfId="2799"/>
    <cellStyle name="Adjustment 13 9 2" xfId="2800"/>
    <cellStyle name="Adjustment 13 9 3" xfId="24703"/>
    <cellStyle name="Adjustment 13 9 4" xfId="24704"/>
    <cellStyle name="Adjustment 14" xfId="2801"/>
    <cellStyle name="Adjustment 14 10" xfId="24705"/>
    <cellStyle name="Adjustment 14 2" xfId="2802"/>
    <cellStyle name="Adjustment 14 2 2" xfId="2803"/>
    <cellStyle name="Adjustment 14 2 3" xfId="24706"/>
    <cellStyle name="Adjustment 14 2 4" xfId="24707"/>
    <cellStyle name="Adjustment 14 3" xfId="2804"/>
    <cellStyle name="Adjustment 14 3 2" xfId="2805"/>
    <cellStyle name="Adjustment 14 3 3" xfId="24708"/>
    <cellStyle name="Adjustment 14 3 4" xfId="24709"/>
    <cellStyle name="Adjustment 14 4" xfId="2806"/>
    <cellStyle name="Adjustment 14 4 2" xfId="2807"/>
    <cellStyle name="Adjustment 14 4 3" xfId="24710"/>
    <cellStyle name="Adjustment 14 4 4" xfId="24711"/>
    <cellStyle name="Adjustment 14 5" xfId="2808"/>
    <cellStyle name="Adjustment 14 5 2" xfId="2809"/>
    <cellStyle name="Adjustment 14 5 3" xfId="24712"/>
    <cellStyle name="Adjustment 14 5 4" xfId="24713"/>
    <cellStyle name="Adjustment 14 6" xfId="2810"/>
    <cellStyle name="Adjustment 14 6 2" xfId="2811"/>
    <cellStyle name="Adjustment 14 6 3" xfId="24714"/>
    <cellStyle name="Adjustment 14 6 4" xfId="24715"/>
    <cellStyle name="Adjustment 14 7" xfId="2812"/>
    <cellStyle name="Adjustment 14 7 2" xfId="2813"/>
    <cellStyle name="Adjustment 14 7 3" xfId="24716"/>
    <cellStyle name="Adjustment 14 7 4" xfId="24717"/>
    <cellStyle name="Adjustment 14 8" xfId="2814"/>
    <cellStyle name="Adjustment 14 9" xfId="24718"/>
    <cellStyle name="Adjustment 15" xfId="2815"/>
    <cellStyle name="Adjustment 15 10" xfId="24719"/>
    <cellStyle name="Adjustment 15 2" xfId="2816"/>
    <cellStyle name="Adjustment 15 2 2" xfId="2817"/>
    <cellStyle name="Adjustment 15 2 3" xfId="24720"/>
    <cellStyle name="Adjustment 15 2 4" xfId="24721"/>
    <cellStyle name="Adjustment 15 3" xfId="2818"/>
    <cellStyle name="Adjustment 15 3 2" xfId="2819"/>
    <cellStyle name="Adjustment 15 3 3" xfId="24722"/>
    <cellStyle name="Adjustment 15 3 4" xfId="24723"/>
    <cellStyle name="Adjustment 15 4" xfId="2820"/>
    <cellStyle name="Adjustment 15 4 2" xfId="2821"/>
    <cellStyle name="Adjustment 15 4 3" xfId="24724"/>
    <cellStyle name="Adjustment 15 4 4" xfId="24725"/>
    <cellStyle name="Adjustment 15 5" xfId="2822"/>
    <cellStyle name="Adjustment 15 5 2" xfId="2823"/>
    <cellStyle name="Adjustment 15 5 3" xfId="24726"/>
    <cellStyle name="Adjustment 15 5 4" xfId="24727"/>
    <cellStyle name="Adjustment 15 6" xfId="2824"/>
    <cellStyle name="Adjustment 15 6 2" xfId="2825"/>
    <cellStyle name="Adjustment 15 6 3" xfId="24728"/>
    <cellStyle name="Adjustment 15 6 4" xfId="24729"/>
    <cellStyle name="Adjustment 15 7" xfId="2826"/>
    <cellStyle name="Adjustment 15 7 2" xfId="2827"/>
    <cellStyle name="Adjustment 15 7 3" xfId="24730"/>
    <cellStyle name="Adjustment 15 7 4" xfId="24731"/>
    <cellStyle name="Adjustment 15 8" xfId="2828"/>
    <cellStyle name="Adjustment 15 9" xfId="24732"/>
    <cellStyle name="Adjustment 16" xfId="2829"/>
    <cellStyle name="Adjustment 16 10" xfId="24733"/>
    <cellStyle name="Adjustment 16 2" xfId="2830"/>
    <cellStyle name="Adjustment 16 2 2" xfId="2831"/>
    <cellStyle name="Adjustment 16 2 3" xfId="24734"/>
    <cellStyle name="Adjustment 16 2 4" xfId="24735"/>
    <cellStyle name="Adjustment 16 3" xfId="2832"/>
    <cellStyle name="Adjustment 16 3 2" xfId="2833"/>
    <cellStyle name="Adjustment 16 3 3" xfId="24736"/>
    <cellStyle name="Adjustment 16 3 4" xfId="24737"/>
    <cellStyle name="Adjustment 16 4" xfId="2834"/>
    <cellStyle name="Adjustment 16 4 2" xfId="2835"/>
    <cellStyle name="Adjustment 16 4 3" xfId="24738"/>
    <cellStyle name="Adjustment 16 4 4" xfId="24739"/>
    <cellStyle name="Adjustment 16 5" xfId="2836"/>
    <cellStyle name="Adjustment 16 5 2" xfId="2837"/>
    <cellStyle name="Adjustment 16 5 3" xfId="24740"/>
    <cellStyle name="Adjustment 16 5 4" xfId="24741"/>
    <cellStyle name="Adjustment 16 6" xfId="2838"/>
    <cellStyle name="Adjustment 16 6 2" xfId="2839"/>
    <cellStyle name="Adjustment 16 6 3" xfId="24742"/>
    <cellStyle name="Adjustment 16 6 4" xfId="24743"/>
    <cellStyle name="Adjustment 16 7" xfId="2840"/>
    <cellStyle name="Adjustment 16 7 2" xfId="2841"/>
    <cellStyle name="Adjustment 16 7 3" xfId="24744"/>
    <cellStyle name="Adjustment 16 7 4" xfId="24745"/>
    <cellStyle name="Adjustment 16 8" xfId="2842"/>
    <cellStyle name="Adjustment 16 9" xfId="24746"/>
    <cellStyle name="Adjustment 17" xfId="2843"/>
    <cellStyle name="Adjustment 17 10" xfId="24747"/>
    <cellStyle name="Adjustment 17 2" xfId="2844"/>
    <cellStyle name="Adjustment 17 2 2" xfId="2845"/>
    <cellStyle name="Adjustment 17 2 3" xfId="24748"/>
    <cellStyle name="Adjustment 17 2 4" xfId="24749"/>
    <cellStyle name="Adjustment 17 3" xfId="2846"/>
    <cellStyle name="Adjustment 17 3 2" xfId="2847"/>
    <cellStyle name="Adjustment 17 3 3" xfId="24750"/>
    <cellStyle name="Adjustment 17 3 4" xfId="24751"/>
    <cellStyle name="Adjustment 17 4" xfId="2848"/>
    <cellStyle name="Adjustment 17 4 2" xfId="2849"/>
    <cellStyle name="Adjustment 17 4 3" xfId="24752"/>
    <cellStyle name="Adjustment 17 4 4" xfId="24753"/>
    <cellStyle name="Adjustment 17 5" xfId="2850"/>
    <cellStyle name="Adjustment 17 5 2" xfId="2851"/>
    <cellStyle name="Adjustment 17 5 3" xfId="24754"/>
    <cellStyle name="Adjustment 17 5 4" xfId="24755"/>
    <cellStyle name="Adjustment 17 6" xfId="2852"/>
    <cellStyle name="Adjustment 17 6 2" xfId="2853"/>
    <cellStyle name="Adjustment 17 6 3" xfId="24756"/>
    <cellStyle name="Adjustment 17 6 4" xfId="24757"/>
    <cellStyle name="Adjustment 17 7" xfId="2854"/>
    <cellStyle name="Adjustment 17 7 2" xfId="2855"/>
    <cellStyle name="Adjustment 17 7 3" xfId="24758"/>
    <cellStyle name="Adjustment 17 7 4" xfId="24759"/>
    <cellStyle name="Adjustment 17 8" xfId="2856"/>
    <cellStyle name="Adjustment 17 9" xfId="24760"/>
    <cellStyle name="Adjustment 18" xfId="2857"/>
    <cellStyle name="Adjustment 18 2" xfId="2858"/>
    <cellStyle name="Adjustment 18 3" xfId="24761"/>
    <cellStyle name="Adjustment 18 4" xfId="24762"/>
    <cellStyle name="Adjustment 19" xfId="2859"/>
    <cellStyle name="Adjustment 19 2" xfId="2860"/>
    <cellStyle name="Adjustment 19 3" xfId="24763"/>
    <cellStyle name="Adjustment 19 4" xfId="24764"/>
    <cellStyle name="Adjustment 2" xfId="2861"/>
    <cellStyle name="Adjustment 2 10" xfId="2862"/>
    <cellStyle name="Adjustment 2 10 2" xfId="2863"/>
    <cellStyle name="Adjustment 2 10 3" xfId="24765"/>
    <cellStyle name="Adjustment 2 10 4" xfId="24766"/>
    <cellStyle name="Adjustment 2 11" xfId="2864"/>
    <cellStyle name="Adjustment 2 11 2" xfId="2865"/>
    <cellStyle name="Adjustment 2 11 3" xfId="24767"/>
    <cellStyle name="Adjustment 2 11 4" xfId="24768"/>
    <cellStyle name="Adjustment 2 12" xfId="2866"/>
    <cellStyle name="Adjustment 2 13" xfId="24769"/>
    <cellStyle name="Adjustment 2 14" xfId="24770"/>
    <cellStyle name="Adjustment 2 2" xfId="2867"/>
    <cellStyle name="Adjustment 2 2 10" xfId="24771"/>
    <cellStyle name="Adjustment 2 2 2" xfId="2868"/>
    <cellStyle name="Adjustment 2 2 2 2" xfId="2869"/>
    <cellStyle name="Adjustment 2 2 2 3" xfId="24772"/>
    <cellStyle name="Adjustment 2 2 2 4" xfId="24773"/>
    <cellStyle name="Adjustment 2 2 3" xfId="2870"/>
    <cellStyle name="Adjustment 2 2 3 2" xfId="2871"/>
    <cellStyle name="Adjustment 2 2 3 3" xfId="24774"/>
    <cellStyle name="Adjustment 2 2 3 4" xfId="24775"/>
    <cellStyle name="Adjustment 2 2 4" xfId="2872"/>
    <cellStyle name="Adjustment 2 2 4 2" xfId="2873"/>
    <cellStyle name="Adjustment 2 2 4 3" xfId="24776"/>
    <cellStyle name="Adjustment 2 2 4 4" xfId="24777"/>
    <cellStyle name="Adjustment 2 2 5" xfId="2874"/>
    <cellStyle name="Adjustment 2 2 5 2" xfId="2875"/>
    <cellStyle name="Adjustment 2 2 5 3" xfId="24778"/>
    <cellStyle name="Adjustment 2 2 5 4" xfId="24779"/>
    <cellStyle name="Adjustment 2 2 6" xfId="2876"/>
    <cellStyle name="Adjustment 2 2 6 2" xfId="2877"/>
    <cellStyle name="Adjustment 2 2 6 3" xfId="24780"/>
    <cellStyle name="Adjustment 2 2 6 4" xfId="24781"/>
    <cellStyle name="Adjustment 2 2 7" xfId="2878"/>
    <cellStyle name="Adjustment 2 2 7 2" xfId="2879"/>
    <cellStyle name="Adjustment 2 2 7 3" xfId="24782"/>
    <cellStyle name="Adjustment 2 2 7 4" xfId="24783"/>
    <cellStyle name="Adjustment 2 2 8" xfId="2880"/>
    <cellStyle name="Adjustment 2 2 9" xfId="24784"/>
    <cellStyle name="Adjustment 2 3" xfId="2881"/>
    <cellStyle name="Adjustment 2 3 10" xfId="24785"/>
    <cellStyle name="Adjustment 2 3 2" xfId="2882"/>
    <cellStyle name="Adjustment 2 3 2 2" xfId="2883"/>
    <cellStyle name="Adjustment 2 3 2 3" xfId="24786"/>
    <cellStyle name="Adjustment 2 3 2 4" xfId="24787"/>
    <cellStyle name="Adjustment 2 3 3" xfId="2884"/>
    <cellStyle name="Adjustment 2 3 3 2" xfId="2885"/>
    <cellStyle name="Adjustment 2 3 3 3" xfId="24788"/>
    <cellStyle name="Adjustment 2 3 3 4" xfId="24789"/>
    <cellStyle name="Adjustment 2 3 4" xfId="2886"/>
    <cellStyle name="Adjustment 2 3 4 2" xfId="2887"/>
    <cellStyle name="Adjustment 2 3 4 3" xfId="24790"/>
    <cellStyle name="Adjustment 2 3 4 4" xfId="24791"/>
    <cellStyle name="Adjustment 2 3 5" xfId="2888"/>
    <cellStyle name="Adjustment 2 3 5 2" xfId="2889"/>
    <cellStyle name="Adjustment 2 3 5 3" xfId="24792"/>
    <cellStyle name="Adjustment 2 3 5 4" xfId="24793"/>
    <cellStyle name="Adjustment 2 3 6" xfId="2890"/>
    <cellStyle name="Adjustment 2 3 6 2" xfId="2891"/>
    <cellStyle name="Adjustment 2 3 6 3" xfId="24794"/>
    <cellStyle name="Adjustment 2 3 6 4" xfId="24795"/>
    <cellStyle name="Adjustment 2 3 7" xfId="2892"/>
    <cellStyle name="Adjustment 2 3 7 2" xfId="2893"/>
    <cellStyle name="Adjustment 2 3 7 3" xfId="24796"/>
    <cellStyle name="Adjustment 2 3 7 4" xfId="24797"/>
    <cellStyle name="Adjustment 2 3 8" xfId="2894"/>
    <cellStyle name="Adjustment 2 3 9" xfId="24798"/>
    <cellStyle name="Adjustment 2 4" xfId="2895"/>
    <cellStyle name="Adjustment 2 4 10" xfId="24799"/>
    <cellStyle name="Adjustment 2 4 2" xfId="2896"/>
    <cellStyle name="Adjustment 2 4 2 2" xfId="2897"/>
    <cellStyle name="Adjustment 2 4 2 3" xfId="24800"/>
    <cellStyle name="Adjustment 2 4 2 4" xfId="24801"/>
    <cellStyle name="Adjustment 2 4 3" xfId="2898"/>
    <cellStyle name="Adjustment 2 4 3 2" xfId="2899"/>
    <cellStyle name="Adjustment 2 4 3 3" xfId="24802"/>
    <cellStyle name="Adjustment 2 4 3 4" xfId="24803"/>
    <cellStyle name="Adjustment 2 4 4" xfId="2900"/>
    <cellStyle name="Adjustment 2 4 4 2" xfId="2901"/>
    <cellStyle name="Adjustment 2 4 4 3" xfId="24804"/>
    <cellStyle name="Adjustment 2 4 4 4" xfId="24805"/>
    <cellStyle name="Adjustment 2 4 5" xfId="2902"/>
    <cellStyle name="Adjustment 2 4 5 2" xfId="2903"/>
    <cellStyle name="Adjustment 2 4 5 3" xfId="24806"/>
    <cellStyle name="Adjustment 2 4 5 4" xfId="24807"/>
    <cellStyle name="Adjustment 2 4 6" xfId="2904"/>
    <cellStyle name="Adjustment 2 4 6 2" xfId="2905"/>
    <cellStyle name="Adjustment 2 4 6 3" xfId="24808"/>
    <cellStyle name="Adjustment 2 4 6 4" xfId="24809"/>
    <cellStyle name="Adjustment 2 4 7" xfId="2906"/>
    <cellStyle name="Adjustment 2 4 7 2" xfId="2907"/>
    <cellStyle name="Adjustment 2 4 7 3" xfId="24810"/>
    <cellStyle name="Adjustment 2 4 7 4" xfId="24811"/>
    <cellStyle name="Adjustment 2 4 8" xfId="2908"/>
    <cellStyle name="Adjustment 2 4 9" xfId="24812"/>
    <cellStyle name="Adjustment 2 5" xfId="2909"/>
    <cellStyle name="Adjustment 2 5 10" xfId="24813"/>
    <cellStyle name="Adjustment 2 5 2" xfId="2910"/>
    <cellStyle name="Adjustment 2 5 2 2" xfId="2911"/>
    <cellStyle name="Adjustment 2 5 2 3" xfId="24814"/>
    <cellStyle name="Adjustment 2 5 2 4" xfId="24815"/>
    <cellStyle name="Adjustment 2 5 3" xfId="2912"/>
    <cellStyle name="Adjustment 2 5 3 2" xfId="2913"/>
    <cellStyle name="Adjustment 2 5 3 3" xfId="24816"/>
    <cellStyle name="Adjustment 2 5 3 4" xfId="24817"/>
    <cellStyle name="Adjustment 2 5 4" xfId="2914"/>
    <cellStyle name="Adjustment 2 5 4 2" xfId="2915"/>
    <cellStyle name="Adjustment 2 5 4 3" xfId="24818"/>
    <cellStyle name="Adjustment 2 5 4 4" xfId="24819"/>
    <cellStyle name="Adjustment 2 5 5" xfId="2916"/>
    <cellStyle name="Adjustment 2 5 5 2" xfId="2917"/>
    <cellStyle name="Adjustment 2 5 5 3" xfId="24820"/>
    <cellStyle name="Adjustment 2 5 5 4" xfId="24821"/>
    <cellStyle name="Adjustment 2 5 6" xfId="2918"/>
    <cellStyle name="Adjustment 2 5 6 2" xfId="2919"/>
    <cellStyle name="Adjustment 2 5 6 3" xfId="24822"/>
    <cellStyle name="Adjustment 2 5 6 4" xfId="24823"/>
    <cellStyle name="Adjustment 2 5 7" xfId="2920"/>
    <cellStyle name="Adjustment 2 5 7 2" xfId="2921"/>
    <cellStyle name="Adjustment 2 5 7 3" xfId="24824"/>
    <cellStyle name="Adjustment 2 5 7 4" xfId="24825"/>
    <cellStyle name="Adjustment 2 5 8" xfId="2922"/>
    <cellStyle name="Adjustment 2 5 9" xfId="24826"/>
    <cellStyle name="Adjustment 2 6" xfId="2923"/>
    <cellStyle name="Adjustment 2 6 2" xfId="2924"/>
    <cellStyle name="Adjustment 2 6 3" xfId="24827"/>
    <cellStyle name="Adjustment 2 6 4" xfId="24828"/>
    <cellStyle name="Adjustment 2 7" xfId="2925"/>
    <cellStyle name="Adjustment 2 7 2" xfId="2926"/>
    <cellStyle name="Adjustment 2 7 3" xfId="24829"/>
    <cellStyle name="Adjustment 2 7 4" xfId="24830"/>
    <cellStyle name="Adjustment 2 8" xfId="2927"/>
    <cellStyle name="Adjustment 2 8 2" xfId="2928"/>
    <cellStyle name="Adjustment 2 8 3" xfId="24831"/>
    <cellStyle name="Adjustment 2 8 4" xfId="24832"/>
    <cellStyle name="Adjustment 2 9" xfId="2929"/>
    <cellStyle name="Adjustment 2 9 2" xfId="2930"/>
    <cellStyle name="Adjustment 2 9 3" xfId="24833"/>
    <cellStyle name="Adjustment 2 9 4" xfId="24834"/>
    <cellStyle name="Adjustment 20" xfId="2931"/>
    <cellStyle name="Adjustment 20 2" xfId="2932"/>
    <cellStyle name="Adjustment 20 3" xfId="24835"/>
    <cellStyle name="Adjustment 20 4" xfId="24836"/>
    <cellStyle name="Adjustment 21" xfId="2933"/>
    <cellStyle name="Adjustment 21 2" xfId="2934"/>
    <cellStyle name="Adjustment 21 3" xfId="24837"/>
    <cellStyle name="Adjustment 21 4" xfId="24838"/>
    <cellStyle name="Adjustment 22" xfId="2935"/>
    <cellStyle name="Adjustment 22 2" xfId="2936"/>
    <cellStyle name="Adjustment 22 3" xfId="24839"/>
    <cellStyle name="Adjustment 22 4" xfId="24840"/>
    <cellStyle name="Adjustment 23" xfId="2937"/>
    <cellStyle name="Adjustment 23 2" xfId="2938"/>
    <cellStyle name="Adjustment 23 3" xfId="24841"/>
    <cellStyle name="Adjustment 23 4" xfId="24842"/>
    <cellStyle name="Adjustment 24" xfId="2939"/>
    <cellStyle name="Adjustment 25" xfId="24843"/>
    <cellStyle name="Adjustment 26" xfId="24844"/>
    <cellStyle name="Adjustment 3" xfId="2940"/>
    <cellStyle name="Adjustment 3 10" xfId="2941"/>
    <cellStyle name="Adjustment 3 10 2" xfId="2942"/>
    <cellStyle name="Adjustment 3 10 3" xfId="24845"/>
    <cellStyle name="Adjustment 3 10 4" xfId="24846"/>
    <cellStyle name="Adjustment 3 11" xfId="2943"/>
    <cellStyle name="Adjustment 3 11 2" xfId="2944"/>
    <cellStyle name="Adjustment 3 11 3" xfId="24847"/>
    <cellStyle name="Adjustment 3 11 4" xfId="24848"/>
    <cellStyle name="Adjustment 3 12" xfId="2945"/>
    <cellStyle name="Adjustment 3 13" xfId="24849"/>
    <cellStyle name="Adjustment 3 14" xfId="24850"/>
    <cellStyle name="Adjustment 3 2" xfId="2946"/>
    <cellStyle name="Adjustment 3 2 10" xfId="24851"/>
    <cellStyle name="Adjustment 3 2 2" xfId="2947"/>
    <cellStyle name="Adjustment 3 2 2 2" xfId="2948"/>
    <cellStyle name="Adjustment 3 2 2 3" xfId="24852"/>
    <cellStyle name="Adjustment 3 2 2 4" xfId="24853"/>
    <cellStyle name="Adjustment 3 2 3" xfId="2949"/>
    <cellStyle name="Adjustment 3 2 3 2" xfId="2950"/>
    <cellStyle name="Adjustment 3 2 3 3" xfId="24854"/>
    <cellStyle name="Adjustment 3 2 3 4" xfId="24855"/>
    <cellStyle name="Adjustment 3 2 4" xfId="2951"/>
    <cellStyle name="Adjustment 3 2 4 2" xfId="2952"/>
    <cellStyle name="Adjustment 3 2 4 3" xfId="24856"/>
    <cellStyle name="Adjustment 3 2 4 4" xfId="24857"/>
    <cellStyle name="Adjustment 3 2 5" xfId="2953"/>
    <cellStyle name="Adjustment 3 2 5 2" xfId="2954"/>
    <cellStyle name="Adjustment 3 2 5 3" xfId="24858"/>
    <cellStyle name="Adjustment 3 2 5 4" xfId="24859"/>
    <cellStyle name="Adjustment 3 2 6" xfId="2955"/>
    <cellStyle name="Adjustment 3 2 6 2" xfId="2956"/>
    <cellStyle name="Adjustment 3 2 6 3" xfId="24860"/>
    <cellStyle name="Adjustment 3 2 6 4" xfId="24861"/>
    <cellStyle name="Adjustment 3 2 7" xfId="2957"/>
    <cellStyle name="Adjustment 3 2 7 2" xfId="2958"/>
    <cellStyle name="Adjustment 3 2 7 3" xfId="24862"/>
    <cellStyle name="Adjustment 3 2 7 4" xfId="24863"/>
    <cellStyle name="Adjustment 3 2 8" xfId="2959"/>
    <cellStyle name="Adjustment 3 2 9" xfId="24864"/>
    <cellStyle name="Adjustment 3 3" xfId="2960"/>
    <cellStyle name="Adjustment 3 3 10" xfId="24865"/>
    <cellStyle name="Adjustment 3 3 2" xfId="2961"/>
    <cellStyle name="Adjustment 3 3 2 2" xfId="2962"/>
    <cellStyle name="Adjustment 3 3 2 3" xfId="24866"/>
    <cellStyle name="Adjustment 3 3 2 4" xfId="24867"/>
    <cellStyle name="Adjustment 3 3 3" xfId="2963"/>
    <cellStyle name="Adjustment 3 3 3 2" xfId="2964"/>
    <cellStyle name="Adjustment 3 3 3 3" xfId="24868"/>
    <cellStyle name="Adjustment 3 3 3 4" xfId="24869"/>
    <cellStyle name="Adjustment 3 3 4" xfId="2965"/>
    <cellStyle name="Adjustment 3 3 4 2" xfId="2966"/>
    <cellStyle name="Adjustment 3 3 4 3" xfId="24870"/>
    <cellStyle name="Adjustment 3 3 4 4" xfId="24871"/>
    <cellStyle name="Adjustment 3 3 5" xfId="2967"/>
    <cellStyle name="Adjustment 3 3 5 2" xfId="2968"/>
    <cellStyle name="Adjustment 3 3 5 3" xfId="24872"/>
    <cellStyle name="Adjustment 3 3 5 4" xfId="24873"/>
    <cellStyle name="Adjustment 3 3 6" xfId="2969"/>
    <cellStyle name="Adjustment 3 3 6 2" xfId="2970"/>
    <cellStyle name="Adjustment 3 3 6 3" xfId="24874"/>
    <cellStyle name="Adjustment 3 3 6 4" xfId="24875"/>
    <cellStyle name="Adjustment 3 3 7" xfId="2971"/>
    <cellStyle name="Adjustment 3 3 7 2" xfId="2972"/>
    <cellStyle name="Adjustment 3 3 7 3" xfId="24876"/>
    <cellStyle name="Adjustment 3 3 7 4" xfId="24877"/>
    <cellStyle name="Adjustment 3 3 8" xfId="2973"/>
    <cellStyle name="Adjustment 3 3 9" xfId="24878"/>
    <cellStyle name="Adjustment 3 4" xfId="2974"/>
    <cellStyle name="Adjustment 3 4 10" xfId="24879"/>
    <cellStyle name="Adjustment 3 4 2" xfId="2975"/>
    <cellStyle name="Adjustment 3 4 2 2" xfId="2976"/>
    <cellStyle name="Adjustment 3 4 2 3" xfId="24880"/>
    <cellStyle name="Adjustment 3 4 2 4" xfId="24881"/>
    <cellStyle name="Adjustment 3 4 3" xfId="2977"/>
    <cellStyle name="Adjustment 3 4 3 2" xfId="2978"/>
    <cellStyle name="Adjustment 3 4 3 3" xfId="24882"/>
    <cellStyle name="Adjustment 3 4 3 4" xfId="24883"/>
    <cellStyle name="Adjustment 3 4 4" xfId="2979"/>
    <cellStyle name="Adjustment 3 4 4 2" xfId="2980"/>
    <cellStyle name="Adjustment 3 4 4 3" xfId="24884"/>
    <cellStyle name="Adjustment 3 4 4 4" xfId="24885"/>
    <cellStyle name="Adjustment 3 4 5" xfId="2981"/>
    <cellStyle name="Adjustment 3 4 5 2" xfId="2982"/>
    <cellStyle name="Adjustment 3 4 5 3" xfId="24886"/>
    <cellStyle name="Adjustment 3 4 5 4" xfId="24887"/>
    <cellStyle name="Adjustment 3 4 6" xfId="2983"/>
    <cellStyle name="Adjustment 3 4 6 2" xfId="2984"/>
    <cellStyle name="Adjustment 3 4 6 3" xfId="24888"/>
    <cellStyle name="Adjustment 3 4 6 4" xfId="24889"/>
    <cellStyle name="Adjustment 3 4 7" xfId="2985"/>
    <cellStyle name="Adjustment 3 4 7 2" xfId="2986"/>
    <cellStyle name="Adjustment 3 4 7 3" xfId="24890"/>
    <cellStyle name="Adjustment 3 4 7 4" xfId="24891"/>
    <cellStyle name="Adjustment 3 4 8" xfId="2987"/>
    <cellStyle name="Adjustment 3 4 9" xfId="24892"/>
    <cellStyle name="Adjustment 3 5" xfId="2988"/>
    <cellStyle name="Adjustment 3 5 10" xfId="24893"/>
    <cellStyle name="Adjustment 3 5 2" xfId="2989"/>
    <cellStyle name="Adjustment 3 5 2 2" xfId="2990"/>
    <cellStyle name="Adjustment 3 5 2 3" xfId="24894"/>
    <cellStyle name="Adjustment 3 5 2 4" xfId="24895"/>
    <cellStyle name="Adjustment 3 5 3" xfId="2991"/>
    <cellStyle name="Adjustment 3 5 3 2" xfId="2992"/>
    <cellStyle name="Adjustment 3 5 3 3" xfId="24896"/>
    <cellStyle name="Adjustment 3 5 3 4" xfId="24897"/>
    <cellStyle name="Adjustment 3 5 4" xfId="2993"/>
    <cellStyle name="Adjustment 3 5 4 2" xfId="2994"/>
    <cellStyle name="Adjustment 3 5 4 3" xfId="24898"/>
    <cellStyle name="Adjustment 3 5 4 4" xfId="24899"/>
    <cellStyle name="Adjustment 3 5 5" xfId="2995"/>
    <cellStyle name="Adjustment 3 5 5 2" xfId="2996"/>
    <cellStyle name="Adjustment 3 5 5 3" xfId="24900"/>
    <cellStyle name="Adjustment 3 5 5 4" xfId="24901"/>
    <cellStyle name="Adjustment 3 5 6" xfId="2997"/>
    <cellStyle name="Adjustment 3 5 6 2" xfId="2998"/>
    <cellStyle name="Adjustment 3 5 6 3" xfId="24902"/>
    <cellStyle name="Adjustment 3 5 6 4" xfId="24903"/>
    <cellStyle name="Adjustment 3 5 7" xfId="2999"/>
    <cellStyle name="Adjustment 3 5 7 2" xfId="3000"/>
    <cellStyle name="Adjustment 3 5 7 3" xfId="24904"/>
    <cellStyle name="Adjustment 3 5 7 4" xfId="24905"/>
    <cellStyle name="Adjustment 3 5 8" xfId="3001"/>
    <cellStyle name="Adjustment 3 5 9" xfId="24906"/>
    <cellStyle name="Adjustment 3 6" xfId="3002"/>
    <cellStyle name="Adjustment 3 6 2" xfId="3003"/>
    <cellStyle name="Adjustment 3 6 3" xfId="24907"/>
    <cellStyle name="Adjustment 3 6 4" xfId="24908"/>
    <cellStyle name="Adjustment 3 7" xfId="3004"/>
    <cellStyle name="Adjustment 3 7 2" xfId="3005"/>
    <cellStyle name="Adjustment 3 7 3" xfId="24909"/>
    <cellStyle name="Adjustment 3 7 4" xfId="24910"/>
    <cellStyle name="Adjustment 3 8" xfId="3006"/>
    <cellStyle name="Adjustment 3 8 2" xfId="3007"/>
    <cellStyle name="Adjustment 3 8 3" xfId="24911"/>
    <cellStyle name="Adjustment 3 8 4" xfId="24912"/>
    <cellStyle name="Adjustment 3 9" xfId="3008"/>
    <cellStyle name="Adjustment 3 9 2" xfId="3009"/>
    <cellStyle name="Adjustment 3 9 3" xfId="24913"/>
    <cellStyle name="Adjustment 3 9 4" xfId="24914"/>
    <cellStyle name="Adjustment 4" xfId="3010"/>
    <cellStyle name="Adjustment 4 10" xfId="3011"/>
    <cellStyle name="Adjustment 4 10 2" xfId="3012"/>
    <cellStyle name="Adjustment 4 10 3" xfId="24915"/>
    <cellStyle name="Adjustment 4 10 4" xfId="24916"/>
    <cellStyle name="Adjustment 4 11" xfId="3013"/>
    <cellStyle name="Adjustment 4 11 2" xfId="3014"/>
    <cellStyle name="Adjustment 4 11 3" xfId="24917"/>
    <cellStyle name="Adjustment 4 11 4" xfId="24918"/>
    <cellStyle name="Adjustment 4 12" xfId="3015"/>
    <cellStyle name="Adjustment 4 13" xfId="24919"/>
    <cellStyle name="Adjustment 4 14" xfId="24920"/>
    <cellStyle name="Adjustment 4 2" xfId="3016"/>
    <cellStyle name="Adjustment 4 2 10" xfId="24921"/>
    <cellStyle name="Adjustment 4 2 2" xfId="3017"/>
    <cellStyle name="Adjustment 4 2 2 2" xfId="3018"/>
    <cellStyle name="Adjustment 4 2 2 3" xfId="24922"/>
    <cellStyle name="Adjustment 4 2 2 4" xfId="24923"/>
    <cellStyle name="Adjustment 4 2 3" xfId="3019"/>
    <cellStyle name="Adjustment 4 2 3 2" xfId="3020"/>
    <cellStyle name="Adjustment 4 2 3 3" xfId="24924"/>
    <cellStyle name="Adjustment 4 2 3 4" xfId="24925"/>
    <cellStyle name="Adjustment 4 2 4" xfId="3021"/>
    <cellStyle name="Adjustment 4 2 4 2" xfId="3022"/>
    <cellStyle name="Adjustment 4 2 4 3" xfId="24926"/>
    <cellStyle name="Adjustment 4 2 4 4" xfId="24927"/>
    <cellStyle name="Adjustment 4 2 5" xfId="3023"/>
    <cellStyle name="Adjustment 4 2 5 2" xfId="3024"/>
    <cellStyle name="Adjustment 4 2 5 3" xfId="24928"/>
    <cellStyle name="Adjustment 4 2 5 4" xfId="24929"/>
    <cellStyle name="Adjustment 4 2 6" xfId="3025"/>
    <cellStyle name="Adjustment 4 2 6 2" xfId="3026"/>
    <cellStyle name="Adjustment 4 2 6 3" xfId="24930"/>
    <cellStyle name="Adjustment 4 2 6 4" xfId="24931"/>
    <cellStyle name="Adjustment 4 2 7" xfId="3027"/>
    <cellStyle name="Adjustment 4 2 7 2" xfId="3028"/>
    <cellStyle name="Adjustment 4 2 7 3" xfId="24932"/>
    <cellStyle name="Adjustment 4 2 7 4" xfId="24933"/>
    <cellStyle name="Adjustment 4 2 8" xfId="3029"/>
    <cellStyle name="Adjustment 4 2 9" xfId="24934"/>
    <cellStyle name="Adjustment 4 3" xfId="3030"/>
    <cellStyle name="Adjustment 4 3 10" xfId="24935"/>
    <cellStyle name="Adjustment 4 3 2" xfId="3031"/>
    <cellStyle name="Adjustment 4 3 2 2" xfId="3032"/>
    <cellStyle name="Adjustment 4 3 2 3" xfId="24936"/>
    <cellStyle name="Adjustment 4 3 2 4" xfId="24937"/>
    <cellStyle name="Adjustment 4 3 3" xfId="3033"/>
    <cellStyle name="Adjustment 4 3 3 2" xfId="3034"/>
    <cellStyle name="Adjustment 4 3 3 3" xfId="24938"/>
    <cellStyle name="Adjustment 4 3 3 4" xfId="24939"/>
    <cellStyle name="Adjustment 4 3 4" xfId="3035"/>
    <cellStyle name="Adjustment 4 3 4 2" xfId="3036"/>
    <cellStyle name="Adjustment 4 3 4 3" xfId="24940"/>
    <cellStyle name="Adjustment 4 3 4 4" xfId="24941"/>
    <cellStyle name="Adjustment 4 3 5" xfId="3037"/>
    <cellStyle name="Adjustment 4 3 5 2" xfId="3038"/>
    <cellStyle name="Adjustment 4 3 5 3" xfId="24942"/>
    <cellStyle name="Adjustment 4 3 5 4" xfId="24943"/>
    <cellStyle name="Adjustment 4 3 6" xfId="3039"/>
    <cellStyle name="Adjustment 4 3 6 2" xfId="3040"/>
    <cellStyle name="Adjustment 4 3 6 3" xfId="24944"/>
    <cellStyle name="Adjustment 4 3 6 4" xfId="24945"/>
    <cellStyle name="Adjustment 4 3 7" xfId="3041"/>
    <cellStyle name="Adjustment 4 3 7 2" xfId="3042"/>
    <cellStyle name="Adjustment 4 3 7 3" xfId="24946"/>
    <cellStyle name="Adjustment 4 3 7 4" xfId="24947"/>
    <cellStyle name="Adjustment 4 3 8" xfId="3043"/>
    <cellStyle name="Adjustment 4 3 9" xfId="24948"/>
    <cellStyle name="Adjustment 4 4" xfId="3044"/>
    <cellStyle name="Adjustment 4 4 10" xfId="24949"/>
    <cellStyle name="Adjustment 4 4 2" xfId="3045"/>
    <cellStyle name="Adjustment 4 4 2 2" xfId="3046"/>
    <cellStyle name="Adjustment 4 4 2 3" xfId="24950"/>
    <cellStyle name="Adjustment 4 4 2 4" xfId="24951"/>
    <cellStyle name="Adjustment 4 4 3" xfId="3047"/>
    <cellStyle name="Adjustment 4 4 3 2" xfId="3048"/>
    <cellStyle name="Adjustment 4 4 3 3" xfId="24952"/>
    <cellStyle name="Adjustment 4 4 3 4" xfId="24953"/>
    <cellStyle name="Adjustment 4 4 4" xfId="3049"/>
    <cellStyle name="Adjustment 4 4 4 2" xfId="3050"/>
    <cellStyle name="Adjustment 4 4 4 3" xfId="24954"/>
    <cellStyle name="Adjustment 4 4 4 4" xfId="24955"/>
    <cellStyle name="Adjustment 4 4 5" xfId="3051"/>
    <cellStyle name="Adjustment 4 4 5 2" xfId="3052"/>
    <cellStyle name="Adjustment 4 4 5 3" xfId="24956"/>
    <cellStyle name="Adjustment 4 4 5 4" xfId="24957"/>
    <cellStyle name="Adjustment 4 4 6" xfId="3053"/>
    <cellStyle name="Adjustment 4 4 6 2" xfId="3054"/>
    <cellStyle name="Adjustment 4 4 6 3" xfId="24958"/>
    <cellStyle name="Adjustment 4 4 6 4" xfId="24959"/>
    <cellStyle name="Adjustment 4 4 7" xfId="3055"/>
    <cellStyle name="Adjustment 4 4 7 2" xfId="3056"/>
    <cellStyle name="Adjustment 4 4 7 3" xfId="24960"/>
    <cellStyle name="Adjustment 4 4 7 4" xfId="24961"/>
    <cellStyle name="Adjustment 4 4 8" xfId="3057"/>
    <cellStyle name="Adjustment 4 4 9" xfId="24962"/>
    <cellStyle name="Adjustment 4 5" xfId="3058"/>
    <cellStyle name="Adjustment 4 5 10" xfId="24963"/>
    <cellStyle name="Adjustment 4 5 2" xfId="3059"/>
    <cellStyle name="Adjustment 4 5 2 2" xfId="3060"/>
    <cellStyle name="Adjustment 4 5 2 3" xfId="24964"/>
    <cellStyle name="Adjustment 4 5 2 4" xfId="24965"/>
    <cellStyle name="Adjustment 4 5 3" xfId="3061"/>
    <cellStyle name="Adjustment 4 5 3 2" xfId="3062"/>
    <cellStyle name="Adjustment 4 5 3 3" xfId="24966"/>
    <cellStyle name="Adjustment 4 5 3 4" xfId="24967"/>
    <cellStyle name="Adjustment 4 5 4" xfId="3063"/>
    <cellStyle name="Adjustment 4 5 4 2" xfId="3064"/>
    <cellStyle name="Adjustment 4 5 4 3" xfId="24968"/>
    <cellStyle name="Adjustment 4 5 4 4" xfId="24969"/>
    <cellStyle name="Adjustment 4 5 5" xfId="3065"/>
    <cellStyle name="Adjustment 4 5 5 2" xfId="3066"/>
    <cellStyle name="Adjustment 4 5 5 3" xfId="24970"/>
    <cellStyle name="Adjustment 4 5 5 4" xfId="24971"/>
    <cellStyle name="Adjustment 4 5 6" xfId="3067"/>
    <cellStyle name="Adjustment 4 5 6 2" xfId="3068"/>
    <cellStyle name="Adjustment 4 5 6 3" xfId="24972"/>
    <cellStyle name="Adjustment 4 5 6 4" xfId="24973"/>
    <cellStyle name="Adjustment 4 5 7" xfId="3069"/>
    <cellStyle name="Adjustment 4 5 7 2" xfId="3070"/>
    <cellStyle name="Adjustment 4 5 7 3" xfId="24974"/>
    <cellStyle name="Adjustment 4 5 7 4" xfId="24975"/>
    <cellStyle name="Adjustment 4 5 8" xfId="3071"/>
    <cellStyle name="Adjustment 4 5 9" xfId="24976"/>
    <cellStyle name="Adjustment 4 6" xfId="3072"/>
    <cellStyle name="Adjustment 4 6 2" xfId="3073"/>
    <cellStyle name="Adjustment 4 6 3" xfId="24977"/>
    <cellStyle name="Adjustment 4 6 4" xfId="24978"/>
    <cellStyle name="Adjustment 4 7" xfId="3074"/>
    <cellStyle name="Adjustment 4 7 2" xfId="3075"/>
    <cellStyle name="Adjustment 4 7 3" xfId="24979"/>
    <cellStyle name="Adjustment 4 7 4" xfId="24980"/>
    <cellStyle name="Adjustment 4 8" xfId="3076"/>
    <cellStyle name="Adjustment 4 8 2" xfId="3077"/>
    <cellStyle name="Adjustment 4 8 3" xfId="24981"/>
    <cellStyle name="Adjustment 4 8 4" xfId="24982"/>
    <cellStyle name="Adjustment 4 9" xfId="3078"/>
    <cellStyle name="Adjustment 4 9 2" xfId="3079"/>
    <cellStyle name="Adjustment 4 9 3" xfId="24983"/>
    <cellStyle name="Adjustment 4 9 4" xfId="24984"/>
    <cellStyle name="Adjustment 5" xfId="3080"/>
    <cellStyle name="Adjustment 5 10" xfId="3081"/>
    <cellStyle name="Adjustment 5 10 2" xfId="3082"/>
    <cellStyle name="Adjustment 5 10 3" xfId="24985"/>
    <cellStyle name="Adjustment 5 10 4" xfId="24986"/>
    <cellStyle name="Adjustment 5 11" xfId="3083"/>
    <cellStyle name="Adjustment 5 11 2" xfId="3084"/>
    <cellStyle name="Adjustment 5 11 3" xfId="24987"/>
    <cellStyle name="Adjustment 5 11 4" xfId="24988"/>
    <cellStyle name="Adjustment 5 12" xfId="3085"/>
    <cellStyle name="Adjustment 5 13" xfId="24989"/>
    <cellStyle name="Adjustment 5 14" xfId="24990"/>
    <cellStyle name="Adjustment 5 2" xfId="3086"/>
    <cellStyle name="Adjustment 5 2 10" xfId="24991"/>
    <cellStyle name="Adjustment 5 2 2" xfId="3087"/>
    <cellStyle name="Adjustment 5 2 2 2" xfId="3088"/>
    <cellStyle name="Adjustment 5 2 2 3" xfId="24992"/>
    <cellStyle name="Adjustment 5 2 2 4" xfId="24993"/>
    <cellStyle name="Adjustment 5 2 3" xfId="3089"/>
    <cellStyle name="Adjustment 5 2 3 2" xfId="3090"/>
    <cellStyle name="Adjustment 5 2 3 3" xfId="24994"/>
    <cellStyle name="Adjustment 5 2 3 4" xfId="24995"/>
    <cellStyle name="Adjustment 5 2 4" xfId="3091"/>
    <cellStyle name="Adjustment 5 2 4 2" xfId="3092"/>
    <cellStyle name="Adjustment 5 2 4 3" xfId="24996"/>
    <cellStyle name="Adjustment 5 2 4 4" xfId="24997"/>
    <cellStyle name="Adjustment 5 2 5" xfId="3093"/>
    <cellStyle name="Adjustment 5 2 5 2" xfId="3094"/>
    <cellStyle name="Adjustment 5 2 5 3" xfId="24998"/>
    <cellStyle name="Adjustment 5 2 5 4" xfId="24999"/>
    <cellStyle name="Adjustment 5 2 6" xfId="3095"/>
    <cellStyle name="Adjustment 5 2 6 2" xfId="3096"/>
    <cellStyle name="Adjustment 5 2 6 3" xfId="25000"/>
    <cellStyle name="Adjustment 5 2 6 4" xfId="25001"/>
    <cellStyle name="Adjustment 5 2 7" xfId="3097"/>
    <cellStyle name="Adjustment 5 2 7 2" xfId="3098"/>
    <cellStyle name="Adjustment 5 2 7 3" xfId="25002"/>
    <cellStyle name="Adjustment 5 2 7 4" xfId="25003"/>
    <cellStyle name="Adjustment 5 2 8" xfId="3099"/>
    <cellStyle name="Adjustment 5 2 9" xfId="25004"/>
    <cellStyle name="Adjustment 5 3" xfId="3100"/>
    <cellStyle name="Adjustment 5 3 10" xfId="25005"/>
    <cellStyle name="Adjustment 5 3 2" xfId="3101"/>
    <cellStyle name="Adjustment 5 3 2 2" xfId="3102"/>
    <cellStyle name="Adjustment 5 3 2 3" xfId="25006"/>
    <cellStyle name="Adjustment 5 3 2 4" xfId="25007"/>
    <cellStyle name="Adjustment 5 3 3" xfId="3103"/>
    <cellStyle name="Adjustment 5 3 3 2" xfId="3104"/>
    <cellStyle name="Adjustment 5 3 3 3" xfId="25008"/>
    <cellStyle name="Adjustment 5 3 3 4" xfId="25009"/>
    <cellStyle name="Adjustment 5 3 4" xfId="3105"/>
    <cellStyle name="Adjustment 5 3 4 2" xfId="3106"/>
    <cellStyle name="Adjustment 5 3 4 3" xfId="25010"/>
    <cellStyle name="Adjustment 5 3 4 4" xfId="25011"/>
    <cellStyle name="Adjustment 5 3 5" xfId="3107"/>
    <cellStyle name="Adjustment 5 3 5 2" xfId="3108"/>
    <cellStyle name="Adjustment 5 3 5 3" xfId="25012"/>
    <cellStyle name="Adjustment 5 3 5 4" xfId="25013"/>
    <cellStyle name="Adjustment 5 3 6" xfId="3109"/>
    <cellStyle name="Adjustment 5 3 6 2" xfId="3110"/>
    <cellStyle name="Adjustment 5 3 6 3" xfId="25014"/>
    <cellStyle name="Adjustment 5 3 6 4" xfId="25015"/>
    <cellStyle name="Adjustment 5 3 7" xfId="3111"/>
    <cellStyle name="Adjustment 5 3 7 2" xfId="3112"/>
    <cellStyle name="Adjustment 5 3 7 3" xfId="25016"/>
    <cellStyle name="Adjustment 5 3 7 4" xfId="25017"/>
    <cellStyle name="Adjustment 5 3 8" xfId="3113"/>
    <cellStyle name="Adjustment 5 3 9" xfId="25018"/>
    <cellStyle name="Adjustment 5 4" xfId="3114"/>
    <cellStyle name="Adjustment 5 4 10" xfId="25019"/>
    <cellStyle name="Adjustment 5 4 2" xfId="3115"/>
    <cellStyle name="Adjustment 5 4 2 2" xfId="3116"/>
    <cellStyle name="Adjustment 5 4 2 3" xfId="25020"/>
    <cellStyle name="Adjustment 5 4 2 4" xfId="25021"/>
    <cellStyle name="Adjustment 5 4 3" xfId="3117"/>
    <cellStyle name="Adjustment 5 4 3 2" xfId="3118"/>
    <cellStyle name="Adjustment 5 4 3 3" xfId="25022"/>
    <cellStyle name="Adjustment 5 4 3 4" xfId="25023"/>
    <cellStyle name="Adjustment 5 4 4" xfId="3119"/>
    <cellStyle name="Adjustment 5 4 4 2" xfId="3120"/>
    <cellStyle name="Adjustment 5 4 4 3" xfId="25024"/>
    <cellStyle name="Adjustment 5 4 4 4" xfId="25025"/>
    <cellStyle name="Adjustment 5 4 5" xfId="3121"/>
    <cellStyle name="Adjustment 5 4 5 2" xfId="3122"/>
    <cellStyle name="Adjustment 5 4 5 3" xfId="25026"/>
    <cellStyle name="Adjustment 5 4 5 4" xfId="25027"/>
    <cellStyle name="Adjustment 5 4 6" xfId="3123"/>
    <cellStyle name="Adjustment 5 4 6 2" xfId="3124"/>
    <cellStyle name="Adjustment 5 4 6 3" xfId="25028"/>
    <cellStyle name="Adjustment 5 4 6 4" xfId="25029"/>
    <cellStyle name="Adjustment 5 4 7" xfId="3125"/>
    <cellStyle name="Adjustment 5 4 7 2" xfId="3126"/>
    <cellStyle name="Adjustment 5 4 7 3" xfId="25030"/>
    <cellStyle name="Adjustment 5 4 7 4" xfId="25031"/>
    <cellStyle name="Adjustment 5 4 8" xfId="3127"/>
    <cellStyle name="Adjustment 5 4 9" xfId="25032"/>
    <cellStyle name="Adjustment 5 5" xfId="3128"/>
    <cellStyle name="Adjustment 5 5 10" xfId="25033"/>
    <cellStyle name="Adjustment 5 5 2" xfId="3129"/>
    <cellStyle name="Adjustment 5 5 2 2" xfId="3130"/>
    <cellStyle name="Adjustment 5 5 2 3" xfId="25034"/>
    <cellStyle name="Adjustment 5 5 2 4" xfId="25035"/>
    <cellStyle name="Adjustment 5 5 3" xfId="3131"/>
    <cellStyle name="Adjustment 5 5 3 2" xfId="3132"/>
    <cellStyle name="Adjustment 5 5 3 3" xfId="25036"/>
    <cellStyle name="Adjustment 5 5 3 4" xfId="25037"/>
    <cellStyle name="Adjustment 5 5 4" xfId="3133"/>
    <cellStyle name="Adjustment 5 5 4 2" xfId="3134"/>
    <cellStyle name="Adjustment 5 5 4 3" xfId="25038"/>
    <cellStyle name="Adjustment 5 5 4 4" xfId="25039"/>
    <cellStyle name="Adjustment 5 5 5" xfId="3135"/>
    <cellStyle name="Adjustment 5 5 5 2" xfId="3136"/>
    <cellStyle name="Adjustment 5 5 5 3" xfId="25040"/>
    <cellStyle name="Adjustment 5 5 5 4" xfId="25041"/>
    <cellStyle name="Adjustment 5 5 6" xfId="3137"/>
    <cellStyle name="Adjustment 5 5 6 2" xfId="3138"/>
    <cellStyle name="Adjustment 5 5 6 3" xfId="25042"/>
    <cellStyle name="Adjustment 5 5 6 4" xfId="25043"/>
    <cellStyle name="Adjustment 5 5 7" xfId="3139"/>
    <cellStyle name="Adjustment 5 5 7 2" xfId="3140"/>
    <cellStyle name="Adjustment 5 5 7 3" xfId="25044"/>
    <cellStyle name="Adjustment 5 5 7 4" xfId="25045"/>
    <cellStyle name="Adjustment 5 5 8" xfId="3141"/>
    <cellStyle name="Adjustment 5 5 9" xfId="25046"/>
    <cellStyle name="Adjustment 5 6" xfId="3142"/>
    <cellStyle name="Adjustment 5 6 2" xfId="3143"/>
    <cellStyle name="Adjustment 5 6 3" xfId="25047"/>
    <cellStyle name="Adjustment 5 6 4" xfId="25048"/>
    <cellStyle name="Adjustment 5 7" xfId="3144"/>
    <cellStyle name="Adjustment 5 7 2" xfId="3145"/>
    <cellStyle name="Adjustment 5 7 3" xfId="25049"/>
    <cellStyle name="Adjustment 5 7 4" xfId="25050"/>
    <cellStyle name="Adjustment 5 8" xfId="3146"/>
    <cellStyle name="Adjustment 5 8 2" xfId="3147"/>
    <cellStyle name="Adjustment 5 8 3" xfId="25051"/>
    <cellStyle name="Adjustment 5 8 4" xfId="25052"/>
    <cellStyle name="Adjustment 5 9" xfId="3148"/>
    <cellStyle name="Adjustment 5 9 2" xfId="3149"/>
    <cellStyle name="Adjustment 5 9 3" xfId="25053"/>
    <cellStyle name="Adjustment 5 9 4" xfId="25054"/>
    <cellStyle name="Adjustment 6" xfId="3150"/>
    <cellStyle name="Adjustment 6 10" xfId="3151"/>
    <cellStyle name="Adjustment 6 10 2" xfId="3152"/>
    <cellStyle name="Adjustment 6 10 3" xfId="25055"/>
    <cellStyle name="Adjustment 6 10 4" xfId="25056"/>
    <cellStyle name="Adjustment 6 11" xfId="3153"/>
    <cellStyle name="Adjustment 6 11 2" xfId="3154"/>
    <cellStyle name="Adjustment 6 11 3" xfId="25057"/>
    <cellStyle name="Adjustment 6 11 4" xfId="25058"/>
    <cellStyle name="Adjustment 6 12" xfId="3155"/>
    <cellStyle name="Adjustment 6 13" xfId="25059"/>
    <cellStyle name="Adjustment 6 14" xfId="25060"/>
    <cellStyle name="Adjustment 6 2" xfId="3156"/>
    <cellStyle name="Adjustment 6 2 10" xfId="25061"/>
    <cellStyle name="Adjustment 6 2 2" xfId="3157"/>
    <cellStyle name="Adjustment 6 2 2 2" xfId="3158"/>
    <cellStyle name="Adjustment 6 2 2 3" xfId="25062"/>
    <cellStyle name="Adjustment 6 2 2 4" xfId="25063"/>
    <cellStyle name="Adjustment 6 2 3" xfId="3159"/>
    <cellStyle name="Adjustment 6 2 3 2" xfId="3160"/>
    <cellStyle name="Adjustment 6 2 3 3" xfId="25064"/>
    <cellStyle name="Adjustment 6 2 3 4" xfId="25065"/>
    <cellStyle name="Adjustment 6 2 4" xfId="3161"/>
    <cellStyle name="Adjustment 6 2 4 2" xfId="3162"/>
    <cellStyle name="Adjustment 6 2 4 3" xfId="25066"/>
    <cellStyle name="Adjustment 6 2 4 4" xfId="25067"/>
    <cellStyle name="Adjustment 6 2 5" xfId="3163"/>
    <cellStyle name="Adjustment 6 2 5 2" xfId="3164"/>
    <cellStyle name="Adjustment 6 2 5 3" xfId="25068"/>
    <cellStyle name="Adjustment 6 2 5 4" xfId="25069"/>
    <cellStyle name="Adjustment 6 2 6" xfId="3165"/>
    <cellStyle name="Adjustment 6 2 6 2" xfId="3166"/>
    <cellStyle name="Adjustment 6 2 6 3" xfId="25070"/>
    <cellStyle name="Adjustment 6 2 6 4" xfId="25071"/>
    <cellStyle name="Adjustment 6 2 7" xfId="3167"/>
    <cellStyle name="Adjustment 6 2 7 2" xfId="3168"/>
    <cellStyle name="Adjustment 6 2 7 3" xfId="25072"/>
    <cellStyle name="Adjustment 6 2 7 4" xfId="25073"/>
    <cellStyle name="Adjustment 6 2 8" xfId="3169"/>
    <cellStyle name="Adjustment 6 2 9" xfId="25074"/>
    <cellStyle name="Adjustment 6 3" xfId="3170"/>
    <cellStyle name="Adjustment 6 3 10" xfId="25075"/>
    <cellStyle name="Adjustment 6 3 2" xfId="3171"/>
    <cellStyle name="Adjustment 6 3 2 2" xfId="3172"/>
    <cellStyle name="Adjustment 6 3 2 3" xfId="25076"/>
    <cellStyle name="Adjustment 6 3 2 4" xfId="25077"/>
    <cellStyle name="Adjustment 6 3 3" xfId="3173"/>
    <cellStyle name="Adjustment 6 3 3 2" xfId="3174"/>
    <cellStyle name="Adjustment 6 3 3 3" xfId="25078"/>
    <cellStyle name="Adjustment 6 3 3 4" xfId="25079"/>
    <cellStyle name="Adjustment 6 3 4" xfId="3175"/>
    <cellStyle name="Adjustment 6 3 4 2" xfId="3176"/>
    <cellStyle name="Adjustment 6 3 4 3" xfId="25080"/>
    <cellStyle name="Adjustment 6 3 4 4" xfId="25081"/>
    <cellStyle name="Adjustment 6 3 5" xfId="3177"/>
    <cellStyle name="Adjustment 6 3 5 2" xfId="3178"/>
    <cellStyle name="Adjustment 6 3 5 3" xfId="25082"/>
    <cellStyle name="Adjustment 6 3 5 4" xfId="25083"/>
    <cellStyle name="Adjustment 6 3 6" xfId="3179"/>
    <cellStyle name="Adjustment 6 3 6 2" xfId="3180"/>
    <cellStyle name="Adjustment 6 3 6 3" xfId="25084"/>
    <cellStyle name="Adjustment 6 3 6 4" xfId="25085"/>
    <cellStyle name="Adjustment 6 3 7" xfId="3181"/>
    <cellStyle name="Adjustment 6 3 7 2" xfId="3182"/>
    <cellStyle name="Adjustment 6 3 7 3" xfId="25086"/>
    <cellStyle name="Adjustment 6 3 7 4" xfId="25087"/>
    <cellStyle name="Adjustment 6 3 8" xfId="3183"/>
    <cellStyle name="Adjustment 6 3 9" xfId="25088"/>
    <cellStyle name="Adjustment 6 4" xfId="3184"/>
    <cellStyle name="Adjustment 6 4 10" xfId="25089"/>
    <cellStyle name="Adjustment 6 4 2" xfId="3185"/>
    <cellStyle name="Adjustment 6 4 2 2" xfId="3186"/>
    <cellStyle name="Adjustment 6 4 2 3" xfId="25090"/>
    <cellStyle name="Adjustment 6 4 2 4" xfId="25091"/>
    <cellStyle name="Adjustment 6 4 3" xfId="3187"/>
    <cellStyle name="Adjustment 6 4 3 2" xfId="3188"/>
    <cellStyle name="Adjustment 6 4 3 3" xfId="25092"/>
    <cellStyle name="Adjustment 6 4 3 4" xfId="25093"/>
    <cellStyle name="Adjustment 6 4 4" xfId="3189"/>
    <cellStyle name="Adjustment 6 4 4 2" xfId="3190"/>
    <cellStyle name="Adjustment 6 4 4 3" xfId="25094"/>
    <cellStyle name="Adjustment 6 4 4 4" xfId="25095"/>
    <cellStyle name="Adjustment 6 4 5" xfId="3191"/>
    <cellStyle name="Adjustment 6 4 5 2" xfId="3192"/>
    <cellStyle name="Adjustment 6 4 5 3" xfId="25096"/>
    <cellStyle name="Adjustment 6 4 5 4" xfId="25097"/>
    <cellStyle name="Adjustment 6 4 6" xfId="3193"/>
    <cellStyle name="Adjustment 6 4 6 2" xfId="3194"/>
    <cellStyle name="Adjustment 6 4 6 3" xfId="25098"/>
    <cellStyle name="Adjustment 6 4 6 4" xfId="25099"/>
    <cellStyle name="Adjustment 6 4 7" xfId="3195"/>
    <cellStyle name="Adjustment 6 4 7 2" xfId="3196"/>
    <cellStyle name="Adjustment 6 4 7 3" xfId="25100"/>
    <cellStyle name="Adjustment 6 4 7 4" xfId="25101"/>
    <cellStyle name="Adjustment 6 4 8" xfId="3197"/>
    <cellStyle name="Adjustment 6 4 9" xfId="25102"/>
    <cellStyle name="Adjustment 6 5" xfId="3198"/>
    <cellStyle name="Adjustment 6 5 10" xfId="25103"/>
    <cellStyle name="Adjustment 6 5 2" xfId="3199"/>
    <cellStyle name="Adjustment 6 5 2 2" xfId="3200"/>
    <cellStyle name="Adjustment 6 5 2 3" xfId="25104"/>
    <cellStyle name="Adjustment 6 5 2 4" xfId="25105"/>
    <cellStyle name="Adjustment 6 5 3" xfId="3201"/>
    <cellStyle name="Adjustment 6 5 3 2" xfId="3202"/>
    <cellStyle name="Adjustment 6 5 3 3" xfId="25106"/>
    <cellStyle name="Adjustment 6 5 3 4" xfId="25107"/>
    <cellStyle name="Adjustment 6 5 4" xfId="3203"/>
    <cellStyle name="Adjustment 6 5 4 2" xfId="3204"/>
    <cellStyle name="Adjustment 6 5 4 3" xfId="25108"/>
    <cellStyle name="Adjustment 6 5 4 4" xfId="25109"/>
    <cellStyle name="Adjustment 6 5 5" xfId="3205"/>
    <cellStyle name="Adjustment 6 5 5 2" xfId="3206"/>
    <cellStyle name="Adjustment 6 5 5 3" xfId="25110"/>
    <cellStyle name="Adjustment 6 5 5 4" xfId="25111"/>
    <cellStyle name="Adjustment 6 5 6" xfId="3207"/>
    <cellStyle name="Adjustment 6 5 6 2" xfId="3208"/>
    <cellStyle name="Adjustment 6 5 6 3" xfId="25112"/>
    <cellStyle name="Adjustment 6 5 6 4" xfId="25113"/>
    <cellStyle name="Adjustment 6 5 7" xfId="3209"/>
    <cellStyle name="Adjustment 6 5 7 2" xfId="3210"/>
    <cellStyle name="Adjustment 6 5 7 3" xfId="25114"/>
    <cellStyle name="Adjustment 6 5 7 4" xfId="25115"/>
    <cellStyle name="Adjustment 6 5 8" xfId="3211"/>
    <cellStyle name="Adjustment 6 5 9" xfId="25116"/>
    <cellStyle name="Adjustment 6 6" xfId="3212"/>
    <cellStyle name="Adjustment 6 6 2" xfId="3213"/>
    <cellStyle name="Adjustment 6 6 3" xfId="25117"/>
    <cellStyle name="Adjustment 6 6 4" xfId="25118"/>
    <cellStyle name="Adjustment 6 7" xfId="3214"/>
    <cellStyle name="Adjustment 6 7 2" xfId="3215"/>
    <cellStyle name="Adjustment 6 7 3" xfId="25119"/>
    <cellStyle name="Adjustment 6 7 4" xfId="25120"/>
    <cellStyle name="Adjustment 6 8" xfId="3216"/>
    <cellStyle name="Adjustment 6 8 2" xfId="3217"/>
    <cellStyle name="Adjustment 6 8 3" xfId="25121"/>
    <cellStyle name="Adjustment 6 8 4" xfId="25122"/>
    <cellStyle name="Adjustment 6 9" xfId="3218"/>
    <cellStyle name="Adjustment 6 9 2" xfId="3219"/>
    <cellStyle name="Adjustment 6 9 3" xfId="25123"/>
    <cellStyle name="Adjustment 6 9 4" xfId="25124"/>
    <cellStyle name="Adjustment 7" xfId="3220"/>
    <cellStyle name="Adjustment 7 10" xfId="3221"/>
    <cellStyle name="Adjustment 7 10 2" xfId="3222"/>
    <cellStyle name="Adjustment 7 10 3" xfId="25125"/>
    <cellStyle name="Adjustment 7 10 4" xfId="25126"/>
    <cellStyle name="Adjustment 7 11" xfId="3223"/>
    <cellStyle name="Adjustment 7 11 2" xfId="3224"/>
    <cellStyle name="Adjustment 7 11 3" xfId="25127"/>
    <cellStyle name="Adjustment 7 11 4" xfId="25128"/>
    <cellStyle name="Adjustment 7 12" xfId="3225"/>
    <cellStyle name="Adjustment 7 13" xfId="25129"/>
    <cellStyle name="Adjustment 7 14" xfId="25130"/>
    <cellStyle name="Adjustment 7 2" xfId="3226"/>
    <cellStyle name="Adjustment 7 2 10" xfId="25131"/>
    <cellStyle name="Adjustment 7 2 2" xfId="3227"/>
    <cellStyle name="Adjustment 7 2 2 2" xfId="3228"/>
    <cellStyle name="Adjustment 7 2 2 3" xfId="25132"/>
    <cellStyle name="Adjustment 7 2 2 4" xfId="25133"/>
    <cellStyle name="Adjustment 7 2 3" xfId="3229"/>
    <cellStyle name="Adjustment 7 2 3 2" xfId="3230"/>
    <cellStyle name="Adjustment 7 2 3 3" xfId="25134"/>
    <cellStyle name="Adjustment 7 2 3 4" xfId="25135"/>
    <cellStyle name="Adjustment 7 2 4" xfId="3231"/>
    <cellStyle name="Adjustment 7 2 4 2" xfId="3232"/>
    <cellStyle name="Adjustment 7 2 4 3" xfId="25136"/>
    <cellStyle name="Adjustment 7 2 4 4" xfId="25137"/>
    <cellStyle name="Adjustment 7 2 5" xfId="3233"/>
    <cellStyle name="Adjustment 7 2 5 2" xfId="3234"/>
    <cellStyle name="Adjustment 7 2 5 3" xfId="25138"/>
    <cellStyle name="Adjustment 7 2 5 4" xfId="25139"/>
    <cellStyle name="Adjustment 7 2 6" xfId="3235"/>
    <cellStyle name="Adjustment 7 2 6 2" xfId="3236"/>
    <cellStyle name="Adjustment 7 2 6 3" xfId="25140"/>
    <cellStyle name="Adjustment 7 2 6 4" xfId="25141"/>
    <cellStyle name="Adjustment 7 2 7" xfId="3237"/>
    <cellStyle name="Adjustment 7 2 7 2" xfId="3238"/>
    <cellStyle name="Adjustment 7 2 7 3" xfId="25142"/>
    <cellStyle name="Adjustment 7 2 7 4" xfId="25143"/>
    <cellStyle name="Adjustment 7 2 8" xfId="3239"/>
    <cellStyle name="Adjustment 7 2 9" xfId="25144"/>
    <cellStyle name="Adjustment 7 3" xfId="3240"/>
    <cellStyle name="Adjustment 7 3 10" xfId="25145"/>
    <cellStyle name="Adjustment 7 3 2" xfId="3241"/>
    <cellStyle name="Adjustment 7 3 2 2" xfId="3242"/>
    <cellStyle name="Adjustment 7 3 2 3" xfId="25146"/>
    <cellStyle name="Adjustment 7 3 2 4" xfId="25147"/>
    <cellStyle name="Adjustment 7 3 3" xfId="3243"/>
    <cellStyle name="Adjustment 7 3 3 2" xfId="3244"/>
    <cellStyle name="Adjustment 7 3 3 3" xfId="25148"/>
    <cellStyle name="Adjustment 7 3 3 4" xfId="25149"/>
    <cellStyle name="Adjustment 7 3 4" xfId="3245"/>
    <cellStyle name="Adjustment 7 3 4 2" xfId="3246"/>
    <cellStyle name="Adjustment 7 3 4 3" xfId="25150"/>
    <cellStyle name="Adjustment 7 3 4 4" xfId="25151"/>
    <cellStyle name="Adjustment 7 3 5" xfId="3247"/>
    <cellStyle name="Adjustment 7 3 5 2" xfId="3248"/>
    <cellStyle name="Adjustment 7 3 5 3" xfId="25152"/>
    <cellStyle name="Adjustment 7 3 5 4" xfId="25153"/>
    <cellStyle name="Adjustment 7 3 6" xfId="3249"/>
    <cellStyle name="Adjustment 7 3 6 2" xfId="3250"/>
    <cellStyle name="Adjustment 7 3 6 3" xfId="25154"/>
    <cellStyle name="Adjustment 7 3 6 4" xfId="25155"/>
    <cellStyle name="Adjustment 7 3 7" xfId="3251"/>
    <cellStyle name="Adjustment 7 3 7 2" xfId="3252"/>
    <cellStyle name="Adjustment 7 3 7 3" xfId="25156"/>
    <cellStyle name="Adjustment 7 3 7 4" xfId="25157"/>
    <cellStyle name="Adjustment 7 3 8" xfId="3253"/>
    <cellStyle name="Adjustment 7 3 9" xfId="25158"/>
    <cellStyle name="Adjustment 7 4" xfId="3254"/>
    <cellStyle name="Adjustment 7 4 10" xfId="25159"/>
    <cellStyle name="Adjustment 7 4 2" xfId="3255"/>
    <cellStyle name="Adjustment 7 4 2 2" xfId="3256"/>
    <cellStyle name="Adjustment 7 4 2 3" xfId="25160"/>
    <cellStyle name="Adjustment 7 4 2 4" xfId="25161"/>
    <cellStyle name="Adjustment 7 4 3" xfId="3257"/>
    <cellStyle name="Adjustment 7 4 3 2" xfId="3258"/>
    <cellStyle name="Adjustment 7 4 3 3" xfId="25162"/>
    <cellStyle name="Adjustment 7 4 3 4" xfId="25163"/>
    <cellStyle name="Adjustment 7 4 4" xfId="3259"/>
    <cellStyle name="Adjustment 7 4 4 2" xfId="3260"/>
    <cellStyle name="Adjustment 7 4 4 3" xfId="25164"/>
    <cellStyle name="Adjustment 7 4 4 4" xfId="25165"/>
    <cellStyle name="Adjustment 7 4 5" xfId="3261"/>
    <cellStyle name="Adjustment 7 4 5 2" xfId="3262"/>
    <cellStyle name="Adjustment 7 4 5 3" xfId="25166"/>
    <cellStyle name="Adjustment 7 4 5 4" xfId="25167"/>
    <cellStyle name="Adjustment 7 4 6" xfId="3263"/>
    <cellStyle name="Adjustment 7 4 6 2" xfId="3264"/>
    <cellStyle name="Adjustment 7 4 6 3" xfId="25168"/>
    <cellStyle name="Adjustment 7 4 6 4" xfId="25169"/>
    <cellStyle name="Adjustment 7 4 7" xfId="3265"/>
    <cellStyle name="Adjustment 7 4 7 2" xfId="3266"/>
    <cellStyle name="Adjustment 7 4 7 3" xfId="25170"/>
    <cellStyle name="Adjustment 7 4 7 4" xfId="25171"/>
    <cellStyle name="Adjustment 7 4 8" xfId="3267"/>
    <cellStyle name="Adjustment 7 4 9" xfId="25172"/>
    <cellStyle name="Adjustment 7 5" xfId="3268"/>
    <cellStyle name="Adjustment 7 5 10" xfId="25173"/>
    <cellStyle name="Adjustment 7 5 2" xfId="3269"/>
    <cellStyle name="Adjustment 7 5 2 2" xfId="3270"/>
    <cellStyle name="Adjustment 7 5 2 3" xfId="25174"/>
    <cellStyle name="Adjustment 7 5 2 4" xfId="25175"/>
    <cellStyle name="Adjustment 7 5 3" xfId="3271"/>
    <cellStyle name="Adjustment 7 5 3 2" xfId="3272"/>
    <cellStyle name="Adjustment 7 5 3 3" xfId="25176"/>
    <cellStyle name="Adjustment 7 5 3 4" xfId="25177"/>
    <cellStyle name="Adjustment 7 5 4" xfId="3273"/>
    <cellStyle name="Adjustment 7 5 4 2" xfId="3274"/>
    <cellStyle name="Adjustment 7 5 4 3" xfId="25178"/>
    <cellStyle name="Adjustment 7 5 4 4" xfId="25179"/>
    <cellStyle name="Adjustment 7 5 5" xfId="3275"/>
    <cellStyle name="Adjustment 7 5 5 2" xfId="3276"/>
    <cellStyle name="Adjustment 7 5 5 3" xfId="25180"/>
    <cellStyle name="Adjustment 7 5 5 4" xfId="25181"/>
    <cellStyle name="Adjustment 7 5 6" xfId="3277"/>
    <cellStyle name="Adjustment 7 5 6 2" xfId="3278"/>
    <cellStyle name="Adjustment 7 5 6 3" xfId="25182"/>
    <cellStyle name="Adjustment 7 5 6 4" xfId="25183"/>
    <cellStyle name="Adjustment 7 5 7" xfId="3279"/>
    <cellStyle name="Adjustment 7 5 7 2" xfId="3280"/>
    <cellStyle name="Adjustment 7 5 7 3" xfId="25184"/>
    <cellStyle name="Adjustment 7 5 7 4" xfId="25185"/>
    <cellStyle name="Adjustment 7 5 8" xfId="3281"/>
    <cellStyle name="Adjustment 7 5 9" xfId="25186"/>
    <cellStyle name="Adjustment 7 6" xfId="3282"/>
    <cellStyle name="Adjustment 7 6 2" xfId="3283"/>
    <cellStyle name="Adjustment 7 6 3" xfId="25187"/>
    <cellStyle name="Adjustment 7 6 4" xfId="25188"/>
    <cellStyle name="Adjustment 7 7" xfId="3284"/>
    <cellStyle name="Adjustment 7 7 2" xfId="3285"/>
    <cellStyle name="Adjustment 7 7 3" xfId="25189"/>
    <cellStyle name="Adjustment 7 7 4" xfId="25190"/>
    <cellStyle name="Adjustment 7 8" xfId="3286"/>
    <cellStyle name="Adjustment 7 8 2" xfId="3287"/>
    <cellStyle name="Adjustment 7 8 3" xfId="25191"/>
    <cellStyle name="Adjustment 7 8 4" xfId="25192"/>
    <cellStyle name="Adjustment 7 9" xfId="3288"/>
    <cellStyle name="Adjustment 7 9 2" xfId="3289"/>
    <cellStyle name="Adjustment 7 9 3" xfId="25193"/>
    <cellStyle name="Adjustment 7 9 4" xfId="25194"/>
    <cellStyle name="Adjustment 8" xfId="3290"/>
    <cellStyle name="Adjustment 8 10" xfId="3291"/>
    <cellStyle name="Adjustment 8 10 2" xfId="3292"/>
    <cellStyle name="Adjustment 8 10 3" xfId="25195"/>
    <cellStyle name="Adjustment 8 10 4" xfId="25196"/>
    <cellStyle name="Adjustment 8 11" xfId="3293"/>
    <cellStyle name="Adjustment 8 11 2" xfId="3294"/>
    <cellStyle name="Adjustment 8 11 3" xfId="25197"/>
    <cellStyle name="Adjustment 8 11 4" xfId="25198"/>
    <cellStyle name="Adjustment 8 12" xfId="3295"/>
    <cellStyle name="Adjustment 8 13" xfId="25199"/>
    <cellStyle name="Adjustment 8 14" xfId="25200"/>
    <cellStyle name="Adjustment 8 2" xfId="3296"/>
    <cellStyle name="Adjustment 8 2 10" xfId="25201"/>
    <cellStyle name="Adjustment 8 2 2" xfId="3297"/>
    <cellStyle name="Adjustment 8 2 2 2" xfId="3298"/>
    <cellStyle name="Adjustment 8 2 2 3" xfId="25202"/>
    <cellStyle name="Adjustment 8 2 2 4" xfId="25203"/>
    <cellStyle name="Adjustment 8 2 3" xfId="3299"/>
    <cellStyle name="Adjustment 8 2 3 2" xfId="3300"/>
    <cellStyle name="Adjustment 8 2 3 3" xfId="25204"/>
    <cellStyle name="Adjustment 8 2 3 4" xfId="25205"/>
    <cellStyle name="Adjustment 8 2 4" xfId="3301"/>
    <cellStyle name="Adjustment 8 2 4 2" xfId="3302"/>
    <cellStyle name="Adjustment 8 2 4 3" xfId="25206"/>
    <cellStyle name="Adjustment 8 2 4 4" xfId="25207"/>
    <cellStyle name="Adjustment 8 2 5" xfId="3303"/>
    <cellStyle name="Adjustment 8 2 5 2" xfId="3304"/>
    <cellStyle name="Adjustment 8 2 5 3" xfId="25208"/>
    <cellStyle name="Adjustment 8 2 5 4" xfId="25209"/>
    <cellStyle name="Adjustment 8 2 6" xfId="3305"/>
    <cellStyle name="Adjustment 8 2 6 2" xfId="3306"/>
    <cellStyle name="Adjustment 8 2 6 3" xfId="25210"/>
    <cellStyle name="Adjustment 8 2 6 4" xfId="25211"/>
    <cellStyle name="Adjustment 8 2 7" xfId="3307"/>
    <cellStyle name="Adjustment 8 2 7 2" xfId="3308"/>
    <cellStyle name="Adjustment 8 2 7 3" xfId="25212"/>
    <cellStyle name="Adjustment 8 2 7 4" xfId="25213"/>
    <cellStyle name="Adjustment 8 2 8" xfId="3309"/>
    <cellStyle name="Adjustment 8 2 9" xfId="25214"/>
    <cellStyle name="Adjustment 8 3" xfId="3310"/>
    <cellStyle name="Adjustment 8 3 10" xfId="25215"/>
    <cellStyle name="Adjustment 8 3 2" xfId="3311"/>
    <cellStyle name="Adjustment 8 3 2 2" xfId="3312"/>
    <cellStyle name="Adjustment 8 3 2 3" xfId="25216"/>
    <cellStyle name="Adjustment 8 3 2 4" xfId="25217"/>
    <cellStyle name="Adjustment 8 3 3" xfId="3313"/>
    <cellStyle name="Adjustment 8 3 3 2" xfId="3314"/>
    <cellStyle name="Adjustment 8 3 3 3" xfId="25218"/>
    <cellStyle name="Adjustment 8 3 3 4" xfId="25219"/>
    <cellStyle name="Adjustment 8 3 4" xfId="3315"/>
    <cellStyle name="Adjustment 8 3 4 2" xfId="3316"/>
    <cellStyle name="Adjustment 8 3 4 3" xfId="25220"/>
    <cellStyle name="Adjustment 8 3 4 4" xfId="25221"/>
    <cellStyle name="Adjustment 8 3 5" xfId="3317"/>
    <cellStyle name="Adjustment 8 3 5 2" xfId="3318"/>
    <cellStyle name="Adjustment 8 3 5 3" xfId="25222"/>
    <cellStyle name="Adjustment 8 3 5 4" xfId="25223"/>
    <cellStyle name="Adjustment 8 3 6" xfId="3319"/>
    <cellStyle name="Adjustment 8 3 6 2" xfId="3320"/>
    <cellStyle name="Adjustment 8 3 6 3" xfId="25224"/>
    <cellStyle name="Adjustment 8 3 6 4" xfId="25225"/>
    <cellStyle name="Adjustment 8 3 7" xfId="3321"/>
    <cellStyle name="Adjustment 8 3 7 2" xfId="3322"/>
    <cellStyle name="Adjustment 8 3 7 3" xfId="25226"/>
    <cellStyle name="Adjustment 8 3 7 4" xfId="25227"/>
    <cellStyle name="Adjustment 8 3 8" xfId="3323"/>
    <cellStyle name="Adjustment 8 3 9" xfId="25228"/>
    <cellStyle name="Adjustment 8 4" xfId="3324"/>
    <cellStyle name="Adjustment 8 4 10" xfId="25229"/>
    <cellStyle name="Adjustment 8 4 2" xfId="3325"/>
    <cellStyle name="Adjustment 8 4 2 2" xfId="3326"/>
    <cellStyle name="Adjustment 8 4 2 3" xfId="25230"/>
    <cellStyle name="Adjustment 8 4 2 4" xfId="25231"/>
    <cellStyle name="Adjustment 8 4 3" xfId="3327"/>
    <cellStyle name="Adjustment 8 4 3 2" xfId="3328"/>
    <cellStyle name="Adjustment 8 4 3 3" xfId="25232"/>
    <cellStyle name="Adjustment 8 4 3 4" xfId="25233"/>
    <cellStyle name="Adjustment 8 4 4" xfId="3329"/>
    <cellStyle name="Adjustment 8 4 4 2" xfId="3330"/>
    <cellStyle name="Adjustment 8 4 4 3" xfId="25234"/>
    <cellStyle name="Adjustment 8 4 4 4" xfId="25235"/>
    <cellStyle name="Adjustment 8 4 5" xfId="3331"/>
    <cellStyle name="Adjustment 8 4 5 2" xfId="3332"/>
    <cellStyle name="Adjustment 8 4 5 3" xfId="25236"/>
    <cellStyle name="Adjustment 8 4 5 4" xfId="25237"/>
    <cellStyle name="Adjustment 8 4 6" xfId="3333"/>
    <cellStyle name="Adjustment 8 4 6 2" xfId="3334"/>
    <cellStyle name="Adjustment 8 4 6 3" xfId="25238"/>
    <cellStyle name="Adjustment 8 4 6 4" xfId="25239"/>
    <cellStyle name="Adjustment 8 4 7" xfId="3335"/>
    <cellStyle name="Adjustment 8 4 7 2" xfId="3336"/>
    <cellStyle name="Adjustment 8 4 7 3" xfId="25240"/>
    <cellStyle name="Adjustment 8 4 7 4" xfId="25241"/>
    <cellStyle name="Adjustment 8 4 8" xfId="3337"/>
    <cellStyle name="Adjustment 8 4 9" xfId="25242"/>
    <cellStyle name="Adjustment 8 5" xfId="3338"/>
    <cellStyle name="Adjustment 8 5 10" xfId="25243"/>
    <cellStyle name="Adjustment 8 5 2" xfId="3339"/>
    <cellStyle name="Adjustment 8 5 2 2" xfId="3340"/>
    <cellStyle name="Adjustment 8 5 2 3" xfId="25244"/>
    <cellStyle name="Adjustment 8 5 2 4" xfId="25245"/>
    <cellStyle name="Adjustment 8 5 3" xfId="3341"/>
    <cellStyle name="Adjustment 8 5 3 2" xfId="3342"/>
    <cellStyle name="Adjustment 8 5 3 3" xfId="25246"/>
    <cellStyle name="Adjustment 8 5 3 4" xfId="25247"/>
    <cellStyle name="Adjustment 8 5 4" xfId="3343"/>
    <cellStyle name="Adjustment 8 5 4 2" xfId="3344"/>
    <cellStyle name="Adjustment 8 5 4 3" xfId="25248"/>
    <cellStyle name="Adjustment 8 5 4 4" xfId="25249"/>
    <cellStyle name="Adjustment 8 5 5" xfId="3345"/>
    <cellStyle name="Adjustment 8 5 5 2" xfId="3346"/>
    <cellStyle name="Adjustment 8 5 5 3" xfId="25250"/>
    <cellStyle name="Adjustment 8 5 5 4" xfId="25251"/>
    <cellStyle name="Adjustment 8 5 6" xfId="3347"/>
    <cellStyle name="Adjustment 8 5 6 2" xfId="3348"/>
    <cellStyle name="Adjustment 8 5 6 3" xfId="25252"/>
    <cellStyle name="Adjustment 8 5 6 4" xfId="25253"/>
    <cellStyle name="Adjustment 8 5 7" xfId="3349"/>
    <cellStyle name="Adjustment 8 5 7 2" xfId="3350"/>
    <cellStyle name="Adjustment 8 5 7 3" xfId="25254"/>
    <cellStyle name="Adjustment 8 5 7 4" xfId="25255"/>
    <cellStyle name="Adjustment 8 5 8" xfId="3351"/>
    <cellStyle name="Adjustment 8 5 9" xfId="25256"/>
    <cellStyle name="Adjustment 8 6" xfId="3352"/>
    <cellStyle name="Adjustment 8 6 2" xfId="3353"/>
    <cellStyle name="Adjustment 8 6 3" xfId="25257"/>
    <cellStyle name="Adjustment 8 6 4" xfId="25258"/>
    <cellStyle name="Adjustment 8 7" xfId="3354"/>
    <cellStyle name="Adjustment 8 7 2" xfId="3355"/>
    <cellStyle name="Adjustment 8 7 3" xfId="25259"/>
    <cellStyle name="Adjustment 8 7 4" xfId="25260"/>
    <cellStyle name="Adjustment 8 8" xfId="3356"/>
    <cellStyle name="Adjustment 8 8 2" xfId="3357"/>
    <cellStyle name="Adjustment 8 8 3" xfId="25261"/>
    <cellStyle name="Adjustment 8 8 4" xfId="25262"/>
    <cellStyle name="Adjustment 8 9" xfId="3358"/>
    <cellStyle name="Adjustment 8 9 2" xfId="3359"/>
    <cellStyle name="Adjustment 8 9 3" xfId="25263"/>
    <cellStyle name="Adjustment 8 9 4" xfId="25264"/>
    <cellStyle name="Adjustment 9" xfId="3360"/>
    <cellStyle name="Adjustment 9 10" xfId="3361"/>
    <cellStyle name="Adjustment 9 10 2" xfId="3362"/>
    <cellStyle name="Adjustment 9 10 3" xfId="25265"/>
    <cellStyle name="Adjustment 9 10 4" xfId="25266"/>
    <cellStyle name="Adjustment 9 11" xfId="3363"/>
    <cellStyle name="Adjustment 9 11 2" xfId="3364"/>
    <cellStyle name="Adjustment 9 11 3" xfId="25267"/>
    <cellStyle name="Adjustment 9 11 4" xfId="25268"/>
    <cellStyle name="Adjustment 9 12" xfId="3365"/>
    <cellStyle name="Adjustment 9 13" xfId="25269"/>
    <cellStyle name="Adjustment 9 14" xfId="25270"/>
    <cellStyle name="Adjustment 9 2" xfId="3366"/>
    <cellStyle name="Adjustment 9 2 10" xfId="25271"/>
    <cellStyle name="Adjustment 9 2 2" xfId="3367"/>
    <cellStyle name="Adjustment 9 2 2 2" xfId="3368"/>
    <cellStyle name="Adjustment 9 2 2 3" xfId="25272"/>
    <cellStyle name="Adjustment 9 2 2 4" xfId="25273"/>
    <cellStyle name="Adjustment 9 2 3" xfId="3369"/>
    <cellStyle name="Adjustment 9 2 3 2" xfId="3370"/>
    <cellStyle name="Adjustment 9 2 3 3" xfId="25274"/>
    <cellStyle name="Adjustment 9 2 3 4" xfId="25275"/>
    <cellStyle name="Adjustment 9 2 4" xfId="3371"/>
    <cellStyle name="Adjustment 9 2 4 2" xfId="3372"/>
    <cellStyle name="Adjustment 9 2 4 3" xfId="25276"/>
    <cellStyle name="Adjustment 9 2 4 4" xfId="25277"/>
    <cellStyle name="Adjustment 9 2 5" xfId="3373"/>
    <cellStyle name="Adjustment 9 2 5 2" xfId="3374"/>
    <cellStyle name="Adjustment 9 2 5 3" xfId="25278"/>
    <cellStyle name="Adjustment 9 2 5 4" xfId="25279"/>
    <cellStyle name="Adjustment 9 2 6" xfId="3375"/>
    <cellStyle name="Adjustment 9 2 6 2" xfId="3376"/>
    <cellStyle name="Adjustment 9 2 6 3" xfId="25280"/>
    <cellStyle name="Adjustment 9 2 6 4" xfId="25281"/>
    <cellStyle name="Adjustment 9 2 7" xfId="3377"/>
    <cellStyle name="Adjustment 9 2 7 2" xfId="3378"/>
    <cellStyle name="Adjustment 9 2 7 3" xfId="25282"/>
    <cellStyle name="Adjustment 9 2 7 4" xfId="25283"/>
    <cellStyle name="Adjustment 9 2 8" xfId="3379"/>
    <cellStyle name="Adjustment 9 2 9" xfId="25284"/>
    <cellStyle name="Adjustment 9 3" xfId="3380"/>
    <cellStyle name="Adjustment 9 3 10" xfId="25285"/>
    <cellStyle name="Adjustment 9 3 2" xfId="3381"/>
    <cellStyle name="Adjustment 9 3 2 2" xfId="3382"/>
    <cellStyle name="Adjustment 9 3 2 3" xfId="25286"/>
    <cellStyle name="Adjustment 9 3 2 4" xfId="25287"/>
    <cellStyle name="Adjustment 9 3 3" xfId="3383"/>
    <cellStyle name="Adjustment 9 3 3 2" xfId="3384"/>
    <cellStyle name="Adjustment 9 3 3 3" xfId="25288"/>
    <cellStyle name="Adjustment 9 3 3 4" xfId="25289"/>
    <cellStyle name="Adjustment 9 3 4" xfId="3385"/>
    <cellStyle name="Adjustment 9 3 4 2" xfId="3386"/>
    <cellStyle name="Adjustment 9 3 4 3" xfId="25290"/>
    <cellStyle name="Adjustment 9 3 4 4" xfId="25291"/>
    <cellStyle name="Adjustment 9 3 5" xfId="3387"/>
    <cellStyle name="Adjustment 9 3 5 2" xfId="3388"/>
    <cellStyle name="Adjustment 9 3 5 3" xfId="25292"/>
    <cellStyle name="Adjustment 9 3 5 4" xfId="25293"/>
    <cellStyle name="Adjustment 9 3 6" xfId="3389"/>
    <cellStyle name="Adjustment 9 3 6 2" xfId="3390"/>
    <cellStyle name="Adjustment 9 3 6 3" xfId="25294"/>
    <cellStyle name="Adjustment 9 3 6 4" xfId="25295"/>
    <cellStyle name="Adjustment 9 3 7" xfId="3391"/>
    <cellStyle name="Adjustment 9 3 7 2" xfId="3392"/>
    <cellStyle name="Adjustment 9 3 7 3" xfId="25296"/>
    <cellStyle name="Adjustment 9 3 7 4" xfId="25297"/>
    <cellStyle name="Adjustment 9 3 8" xfId="3393"/>
    <cellStyle name="Adjustment 9 3 9" xfId="25298"/>
    <cellStyle name="Adjustment 9 4" xfId="3394"/>
    <cellStyle name="Adjustment 9 4 10" xfId="25299"/>
    <cellStyle name="Adjustment 9 4 2" xfId="3395"/>
    <cellStyle name="Adjustment 9 4 2 2" xfId="3396"/>
    <cellStyle name="Adjustment 9 4 2 3" xfId="25300"/>
    <cellStyle name="Adjustment 9 4 2 4" xfId="25301"/>
    <cellStyle name="Adjustment 9 4 3" xfId="3397"/>
    <cellStyle name="Adjustment 9 4 3 2" xfId="3398"/>
    <cellStyle name="Adjustment 9 4 3 3" xfId="25302"/>
    <cellStyle name="Adjustment 9 4 3 4" xfId="25303"/>
    <cellStyle name="Adjustment 9 4 4" xfId="3399"/>
    <cellStyle name="Adjustment 9 4 4 2" xfId="3400"/>
    <cellStyle name="Adjustment 9 4 4 3" xfId="25304"/>
    <cellStyle name="Adjustment 9 4 4 4" xfId="25305"/>
    <cellStyle name="Adjustment 9 4 5" xfId="3401"/>
    <cellStyle name="Adjustment 9 4 5 2" xfId="3402"/>
    <cellStyle name="Adjustment 9 4 5 3" xfId="25306"/>
    <cellStyle name="Adjustment 9 4 5 4" xfId="25307"/>
    <cellStyle name="Adjustment 9 4 6" xfId="3403"/>
    <cellStyle name="Adjustment 9 4 6 2" xfId="3404"/>
    <cellStyle name="Adjustment 9 4 6 3" xfId="25308"/>
    <cellStyle name="Adjustment 9 4 6 4" xfId="25309"/>
    <cellStyle name="Adjustment 9 4 7" xfId="3405"/>
    <cellStyle name="Adjustment 9 4 7 2" xfId="3406"/>
    <cellStyle name="Adjustment 9 4 7 3" xfId="25310"/>
    <cellStyle name="Adjustment 9 4 7 4" xfId="25311"/>
    <cellStyle name="Adjustment 9 4 8" xfId="3407"/>
    <cellStyle name="Adjustment 9 4 9" xfId="25312"/>
    <cellStyle name="Adjustment 9 5" xfId="3408"/>
    <cellStyle name="Adjustment 9 5 10" xfId="25313"/>
    <cellStyle name="Adjustment 9 5 2" xfId="3409"/>
    <cellStyle name="Adjustment 9 5 2 2" xfId="3410"/>
    <cellStyle name="Adjustment 9 5 2 3" xfId="25314"/>
    <cellStyle name="Adjustment 9 5 2 4" xfId="25315"/>
    <cellStyle name="Adjustment 9 5 3" xfId="3411"/>
    <cellStyle name="Adjustment 9 5 3 2" xfId="3412"/>
    <cellStyle name="Adjustment 9 5 3 3" xfId="25316"/>
    <cellStyle name="Adjustment 9 5 3 4" xfId="25317"/>
    <cellStyle name="Adjustment 9 5 4" xfId="3413"/>
    <cellStyle name="Adjustment 9 5 4 2" xfId="3414"/>
    <cellStyle name="Adjustment 9 5 4 3" xfId="25318"/>
    <cellStyle name="Adjustment 9 5 4 4" xfId="25319"/>
    <cellStyle name="Adjustment 9 5 5" xfId="3415"/>
    <cellStyle name="Adjustment 9 5 5 2" xfId="3416"/>
    <cellStyle name="Adjustment 9 5 5 3" xfId="25320"/>
    <cellStyle name="Adjustment 9 5 5 4" xfId="25321"/>
    <cellStyle name="Adjustment 9 5 6" xfId="3417"/>
    <cellStyle name="Adjustment 9 5 6 2" xfId="3418"/>
    <cellStyle name="Adjustment 9 5 6 3" xfId="25322"/>
    <cellStyle name="Adjustment 9 5 6 4" xfId="25323"/>
    <cellStyle name="Adjustment 9 5 7" xfId="3419"/>
    <cellStyle name="Adjustment 9 5 7 2" xfId="3420"/>
    <cellStyle name="Adjustment 9 5 7 3" xfId="25324"/>
    <cellStyle name="Adjustment 9 5 7 4" xfId="25325"/>
    <cellStyle name="Adjustment 9 5 8" xfId="3421"/>
    <cellStyle name="Adjustment 9 5 9" xfId="25326"/>
    <cellStyle name="Adjustment 9 6" xfId="3422"/>
    <cellStyle name="Adjustment 9 6 2" xfId="3423"/>
    <cellStyle name="Adjustment 9 6 3" xfId="25327"/>
    <cellStyle name="Adjustment 9 6 4" xfId="25328"/>
    <cellStyle name="Adjustment 9 7" xfId="3424"/>
    <cellStyle name="Adjustment 9 7 2" xfId="3425"/>
    <cellStyle name="Adjustment 9 7 3" xfId="25329"/>
    <cellStyle name="Adjustment 9 7 4" xfId="25330"/>
    <cellStyle name="Adjustment 9 8" xfId="3426"/>
    <cellStyle name="Adjustment 9 8 2" xfId="3427"/>
    <cellStyle name="Adjustment 9 8 3" xfId="25331"/>
    <cellStyle name="Adjustment 9 8 4" xfId="25332"/>
    <cellStyle name="Adjustment 9 9" xfId="3428"/>
    <cellStyle name="Adjustment 9 9 2" xfId="3429"/>
    <cellStyle name="Adjustment 9 9 3" xfId="25333"/>
    <cellStyle name="Adjustment 9 9 4" xfId="25334"/>
    <cellStyle name="AnalyseCode" xfId="3430"/>
    <cellStyle name="AnalyseCode 10" xfId="3431"/>
    <cellStyle name="AnalyseCode 10 2" xfId="3432"/>
    <cellStyle name="AnalyseCode 10 3" xfId="25335"/>
    <cellStyle name="AnalyseCode 11" xfId="3433"/>
    <cellStyle name="AnalyseCode 12" xfId="25336"/>
    <cellStyle name="AnalyseCode 2" xfId="3434"/>
    <cellStyle name="AnalyseCode 2 2" xfId="3435"/>
    <cellStyle name="AnalyseCode 2 2 2" xfId="3436"/>
    <cellStyle name="AnalyseCode 2 2 2 2" xfId="3437"/>
    <cellStyle name="AnalyseCode 2 2 2 3" xfId="25337"/>
    <cellStyle name="AnalyseCode 2 2 3" xfId="3438"/>
    <cellStyle name="AnalyseCode 2 2 3 2" xfId="3439"/>
    <cellStyle name="AnalyseCode 2 2 3 3" xfId="25338"/>
    <cellStyle name="AnalyseCode 2 2 4" xfId="3440"/>
    <cellStyle name="AnalyseCode 2 2 4 2" xfId="3441"/>
    <cellStyle name="AnalyseCode 2 2 4 3" xfId="25339"/>
    <cellStyle name="AnalyseCode 2 2 5" xfId="3442"/>
    <cellStyle name="AnalyseCode 2 2 5 2" xfId="3443"/>
    <cellStyle name="AnalyseCode 2 2 5 3" xfId="25340"/>
    <cellStyle name="AnalyseCode 2 2 6" xfId="3444"/>
    <cellStyle name="AnalyseCode 2 2 7" xfId="25341"/>
    <cellStyle name="AnalyseCode 2 3" xfId="3445"/>
    <cellStyle name="AnalyseCode 2 3 2" xfId="3446"/>
    <cellStyle name="AnalyseCode 2 3 3" xfId="25342"/>
    <cellStyle name="AnalyseCode 2 4" xfId="3447"/>
    <cellStyle name="AnalyseCode 2 4 2" xfId="3448"/>
    <cellStyle name="AnalyseCode 2 4 3" xfId="25343"/>
    <cellStyle name="AnalyseCode 2 5" xfId="3449"/>
    <cellStyle name="AnalyseCode 2 5 2" xfId="3450"/>
    <cellStyle name="AnalyseCode 2 5 3" xfId="25344"/>
    <cellStyle name="AnalyseCode 2 6" xfId="3451"/>
    <cellStyle name="AnalyseCode 2 7" xfId="25345"/>
    <cellStyle name="AnalyseCode 3" xfId="3452"/>
    <cellStyle name="AnalyseCode 3 2" xfId="3453"/>
    <cellStyle name="AnalyseCode 3 3" xfId="25346"/>
    <cellStyle name="AnalyseCode 4" xfId="3454"/>
    <cellStyle name="AnalyseCode 4 2" xfId="3455"/>
    <cellStyle name="AnalyseCode 4 3" xfId="25347"/>
    <cellStyle name="AnalyseCode 5" xfId="3456"/>
    <cellStyle name="AnalyseCode 5 2" xfId="3457"/>
    <cellStyle name="AnalyseCode 5 3" xfId="25348"/>
    <cellStyle name="AnalyseCode 6" xfId="3458"/>
    <cellStyle name="AnalyseCode 6 2" xfId="3459"/>
    <cellStyle name="AnalyseCode 6 3" xfId="25349"/>
    <cellStyle name="AnalyseCode 7" xfId="3460"/>
    <cellStyle name="AnalyseCode 7 2" xfId="3461"/>
    <cellStyle name="AnalyseCode 7 3" xfId="25350"/>
    <cellStyle name="AnalyseCode 8" xfId="3462"/>
    <cellStyle name="AnalyseCode 8 2" xfId="3463"/>
    <cellStyle name="AnalyseCode 8 3" xfId="25351"/>
    <cellStyle name="AnalyseCode 9" xfId="3464"/>
    <cellStyle name="AnalyseCode 9 2" xfId="3465"/>
    <cellStyle name="AnalyseCode 9 3" xfId="25352"/>
    <cellStyle name="AnalyseName" xfId="3466"/>
    <cellStyle name="AnalyseName 10" xfId="3467"/>
    <cellStyle name="AnalyseName 10 2" xfId="3468"/>
    <cellStyle name="AnalyseName 10 3" xfId="25353"/>
    <cellStyle name="AnalyseName 11" xfId="3469"/>
    <cellStyle name="AnalyseName 12" xfId="25354"/>
    <cellStyle name="AnalyseName 2" xfId="3470"/>
    <cellStyle name="AnalyseName 2 2" xfId="3471"/>
    <cellStyle name="AnalyseName 2 2 2" xfId="3472"/>
    <cellStyle name="AnalyseName 2 2 2 2" xfId="3473"/>
    <cellStyle name="AnalyseName 2 2 2 3" xfId="25355"/>
    <cellStyle name="AnalyseName 2 2 3" xfId="3474"/>
    <cellStyle name="AnalyseName 2 2 3 2" xfId="3475"/>
    <cellStyle name="AnalyseName 2 2 3 3" xfId="25356"/>
    <cellStyle name="AnalyseName 2 2 4" xfId="3476"/>
    <cellStyle name="AnalyseName 2 2 4 2" xfId="3477"/>
    <cellStyle name="AnalyseName 2 2 4 3" xfId="25357"/>
    <cellStyle name="AnalyseName 2 2 5" xfId="3478"/>
    <cellStyle name="AnalyseName 2 2 5 2" xfId="3479"/>
    <cellStyle name="AnalyseName 2 2 5 3" xfId="25358"/>
    <cellStyle name="AnalyseName 2 2 6" xfId="3480"/>
    <cellStyle name="AnalyseName 2 2 7" xfId="25359"/>
    <cellStyle name="AnalyseName 2 3" xfId="3481"/>
    <cellStyle name="AnalyseName 2 3 2" xfId="3482"/>
    <cellStyle name="AnalyseName 2 3 3" xfId="25360"/>
    <cellStyle name="AnalyseName 2 4" xfId="3483"/>
    <cellStyle name="AnalyseName 2 4 2" xfId="3484"/>
    <cellStyle name="AnalyseName 2 4 3" xfId="25361"/>
    <cellStyle name="AnalyseName 2 5" xfId="3485"/>
    <cellStyle name="AnalyseName 2 5 2" xfId="3486"/>
    <cellStyle name="AnalyseName 2 5 3" xfId="25362"/>
    <cellStyle name="AnalyseName 2 6" xfId="3487"/>
    <cellStyle name="AnalyseName 2 7" xfId="25363"/>
    <cellStyle name="AnalyseName 3" xfId="3488"/>
    <cellStyle name="AnalyseName 3 2" xfId="3489"/>
    <cellStyle name="AnalyseName 3 3" xfId="25364"/>
    <cellStyle name="AnalyseName 4" xfId="3490"/>
    <cellStyle name="AnalyseName 4 2" xfId="3491"/>
    <cellStyle name="AnalyseName 4 3" xfId="25365"/>
    <cellStyle name="AnalyseName 5" xfId="3492"/>
    <cellStyle name="AnalyseName 5 2" xfId="3493"/>
    <cellStyle name="AnalyseName 5 3" xfId="25366"/>
    <cellStyle name="AnalyseName 6" xfId="3494"/>
    <cellStyle name="AnalyseName 6 2" xfId="3495"/>
    <cellStyle name="AnalyseName 6 3" xfId="25367"/>
    <cellStyle name="AnalyseName 7" xfId="3496"/>
    <cellStyle name="AnalyseName 7 2" xfId="3497"/>
    <cellStyle name="AnalyseName 7 3" xfId="25368"/>
    <cellStyle name="AnalyseName 8" xfId="3498"/>
    <cellStyle name="AnalyseName 8 2" xfId="3499"/>
    <cellStyle name="AnalyseName 8 3" xfId="25369"/>
    <cellStyle name="AnalyseName 9" xfId="3500"/>
    <cellStyle name="AnalyseName 9 2" xfId="3501"/>
    <cellStyle name="AnalyseName 9 3" xfId="25370"/>
    <cellStyle name="B_Bold_L" xfId="3502"/>
    <cellStyle name="B_Bold_L 10" xfId="3503"/>
    <cellStyle name="B_Bold_L 2" xfId="3504"/>
    <cellStyle name="B_Bold_L 2 2" xfId="3505"/>
    <cellStyle name="B_Bold_L 2 2 2" xfId="3506"/>
    <cellStyle name="B_Bold_L 2 2 3" xfId="3507"/>
    <cellStyle name="B_Bold_L 2 2 4" xfId="3508"/>
    <cellStyle name="B_Bold_L 2 2 5" xfId="3509"/>
    <cellStyle name="B_Bold_L 2 3" xfId="3510"/>
    <cellStyle name="B_Bold_L 2 4" xfId="3511"/>
    <cellStyle name="B_Bold_L 2 5" xfId="3512"/>
    <cellStyle name="B_Bold_L 3" xfId="3513"/>
    <cellStyle name="B_Bold_L 4" xfId="3514"/>
    <cellStyle name="B_Bold_L 5" xfId="3515"/>
    <cellStyle name="B_Bold_L 6" xfId="3516"/>
    <cellStyle name="B_Bold_L 7" xfId="3517"/>
    <cellStyle name="B_Bold_L 8" xfId="3518"/>
    <cellStyle name="B_Bold_L 9" xfId="3519"/>
    <cellStyle name="B_Bold_L_FY Magnitude IFRS Schedules" xfId="3520"/>
    <cellStyle name="B_Bold_L_FY Magnitude IFRS Schedules 10" xfId="3521"/>
    <cellStyle name="B_Bold_L_FY Magnitude IFRS Schedules 2" xfId="3522"/>
    <cellStyle name="B_Bold_L_FY Magnitude IFRS Schedules 2 2" xfId="3523"/>
    <cellStyle name="B_Bold_L_FY Magnitude IFRS Schedules 2 2 2" xfId="3524"/>
    <cellStyle name="B_Bold_L_FY Magnitude IFRS Schedules 2 2 3" xfId="3525"/>
    <cellStyle name="B_Bold_L_FY Magnitude IFRS Schedules 2 2 4" xfId="3526"/>
    <cellStyle name="B_Bold_L_FY Magnitude IFRS Schedules 2 2 5" xfId="3527"/>
    <cellStyle name="B_Bold_L_FY Magnitude IFRS Schedules 2 3" xfId="3528"/>
    <cellStyle name="B_Bold_L_FY Magnitude IFRS Schedules 2 4" xfId="3529"/>
    <cellStyle name="B_Bold_L_FY Magnitude IFRS Schedules 2 5" xfId="3530"/>
    <cellStyle name="B_Bold_L_FY Magnitude IFRS Schedules 3" xfId="3531"/>
    <cellStyle name="B_Bold_L_FY Magnitude IFRS Schedules 4" xfId="3532"/>
    <cellStyle name="B_Bold_L_FY Magnitude IFRS Schedules 5" xfId="3533"/>
    <cellStyle name="B_Bold_L_FY Magnitude IFRS Schedules 6" xfId="3534"/>
    <cellStyle name="B_Bold_L_FY Magnitude IFRS Schedules 7" xfId="3535"/>
    <cellStyle name="B_Bold_L_FY Magnitude IFRS Schedules 8" xfId="3536"/>
    <cellStyle name="B_Bold_L_FY Magnitude IFRS Schedules 9" xfId="3537"/>
    <cellStyle name="B_Bold_L_HK.EEV-Jun06 07-09 2006 (QF3)" xfId="3538"/>
    <cellStyle name="B_Bold_L_HK.EEV-Jun06 07-09 2006 (QF3) 10" xfId="3539"/>
    <cellStyle name="B_Bold_L_HK.EEV-Jun06 07-09 2006 (QF3) 2" xfId="3540"/>
    <cellStyle name="B_Bold_L_HK.EEV-Jun06 07-09 2006 (QF3) 2 2" xfId="3541"/>
    <cellStyle name="B_Bold_L_HK.EEV-Jun06 07-09 2006 (QF3) 2 2 2" xfId="3542"/>
    <cellStyle name="B_Bold_L_HK.EEV-Jun06 07-09 2006 (QF3) 2 2 3" xfId="3543"/>
    <cellStyle name="B_Bold_L_HK.EEV-Jun06 07-09 2006 (QF3) 2 2 4" xfId="3544"/>
    <cellStyle name="B_Bold_L_HK.EEV-Jun06 07-09 2006 (QF3) 2 2 5" xfId="3545"/>
    <cellStyle name="B_Bold_L_HK.EEV-Jun06 07-09 2006 (QF3) 2 3" xfId="3546"/>
    <cellStyle name="B_Bold_L_HK.EEV-Jun06 07-09 2006 (QF3) 2 4" xfId="3547"/>
    <cellStyle name="B_Bold_L_HK.EEV-Jun06 07-09 2006 (QF3) 2 5" xfId="3548"/>
    <cellStyle name="B_Bold_L_HK.EEV-Jun06 07-09 2006 (QF3) 3" xfId="3549"/>
    <cellStyle name="B_Bold_L_HK.EEV-Jun06 07-09 2006 (QF3) 4" xfId="3550"/>
    <cellStyle name="B_Bold_L_HK.EEV-Jun06 07-09 2006 (QF3) 5" xfId="3551"/>
    <cellStyle name="B_Bold_L_HK.EEV-Jun06 07-09 2006 (QF3) 6" xfId="3552"/>
    <cellStyle name="B_Bold_L_HK.EEV-Jun06 07-09 2006 (QF3) 7" xfId="3553"/>
    <cellStyle name="B_Bold_L_HK.EEV-Jun06 07-09 2006 (QF3) 8" xfId="3554"/>
    <cellStyle name="B_Bold_L_HK.EEV-Jun06 07-09 2006 (QF3) 9" xfId="3555"/>
    <cellStyle name="B_Bold_L_SG.EEV-June06 6+6" xfId="3556"/>
    <cellStyle name="B_Bold_L_SG.EEV-June06 6+6 10" xfId="3557"/>
    <cellStyle name="B_Bold_L_SG.EEV-June06 6+6 2" xfId="3558"/>
    <cellStyle name="B_Bold_L_SG.EEV-June06 6+6 2 2" xfId="3559"/>
    <cellStyle name="B_Bold_L_SG.EEV-June06 6+6 2 2 2" xfId="3560"/>
    <cellStyle name="B_Bold_L_SG.EEV-June06 6+6 2 2 3" xfId="3561"/>
    <cellStyle name="B_Bold_L_SG.EEV-June06 6+6 2 2 4" xfId="3562"/>
    <cellStyle name="B_Bold_L_SG.EEV-June06 6+6 2 2 5" xfId="3563"/>
    <cellStyle name="B_Bold_L_SG.EEV-June06 6+6 2 3" xfId="3564"/>
    <cellStyle name="B_Bold_L_SG.EEV-June06 6+6 2 4" xfId="3565"/>
    <cellStyle name="B_Bold_L_SG.EEV-June06 6+6 2 5" xfId="3566"/>
    <cellStyle name="B_Bold_L_SG.EEV-June06 6+6 3" xfId="3567"/>
    <cellStyle name="B_Bold_L_SG.EEV-June06 6+6 4" xfId="3568"/>
    <cellStyle name="B_Bold_L_SG.EEV-June06 6+6 5" xfId="3569"/>
    <cellStyle name="B_Bold_L_SG.EEV-June06 6+6 6" xfId="3570"/>
    <cellStyle name="B_Bold_L_SG.EEV-June06 6+6 7" xfId="3571"/>
    <cellStyle name="B_Bold_L_SG.EEV-June06 6+6 8" xfId="3572"/>
    <cellStyle name="B_Bold_L_SG.EEV-June06 6+6 9" xfId="3573"/>
    <cellStyle name="B_Bot" xfId="3574"/>
    <cellStyle name="B_Bot 10" xfId="3575"/>
    <cellStyle name="B_Bot 10 2" xfId="3576"/>
    <cellStyle name="B_Bot 10 3" xfId="25371"/>
    <cellStyle name="B_Bot 11" xfId="3577"/>
    <cellStyle name="B_Bot 11 2" xfId="3578"/>
    <cellStyle name="B_Bot 11 3" xfId="25372"/>
    <cellStyle name="B_Bot 12" xfId="3579"/>
    <cellStyle name="B_Bot 12 2" xfId="3580"/>
    <cellStyle name="B_Bot 12 3" xfId="25373"/>
    <cellStyle name="B_Bot 13" xfId="3581"/>
    <cellStyle name="B_Bot 13 2" xfId="3582"/>
    <cellStyle name="B_Bot 13 3" xfId="25374"/>
    <cellStyle name="B_Bot 14" xfId="3583"/>
    <cellStyle name="B_Bot 14 2" xfId="3584"/>
    <cellStyle name="B_Bot 14 3" xfId="25375"/>
    <cellStyle name="B_Bot 15" xfId="3585"/>
    <cellStyle name="B_Bot 15 2" xfId="3586"/>
    <cellStyle name="B_Bot 15 3" xfId="25376"/>
    <cellStyle name="B_Bot 16" xfId="3587"/>
    <cellStyle name="B_Bot 16 2" xfId="3588"/>
    <cellStyle name="B_Bot 16 3" xfId="25377"/>
    <cellStyle name="B_Bot 17" xfId="3589"/>
    <cellStyle name="B_Bot 17 2" xfId="3590"/>
    <cellStyle name="B_Bot 17 3" xfId="25378"/>
    <cellStyle name="B_Bot 18" xfId="3591"/>
    <cellStyle name="B_Bot 18 2" xfId="3592"/>
    <cellStyle name="B_Bot 18 3" xfId="25379"/>
    <cellStyle name="B_Bot 19" xfId="3593"/>
    <cellStyle name="B_Bot 19 2" xfId="3594"/>
    <cellStyle name="B_Bot 19 3" xfId="25380"/>
    <cellStyle name="B_Bot 2" xfId="3595"/>
    <cellStyle name="B_Bot 2 2" xfId="3596"/>
    <cellStyle name="B_Bot 2 3" xfId="25381"/>
    <cellStyle name="B_Bot 20" xfId="3597"/>
    <cellStyle name="B_Bot 20 2" xfId="3598"/>
    <cellStyle name="B_Bot 20 3" xfId="25382"/>
    <cellStyle name="B_Bot 21" xfId="3599"/>
    <cellStyle name="B_Bot 21 2" xfId="3600"/>
    <cellStyle name="B_Bot 21 3" xfId="25383"/>
    <cellStyle name="B_Bot 22" xfId="3601"/>
    <cellStyle name="B_Bot 22 2" xfId="3602"/>
    <cellStyle name="B_Bot 22 3" xfId="25384"/>
    <cellStyle name="B_Bot 23" xfId="3603"/>
    <cellStyle name="B_Bot 23 2" xfId="3604"/>
    <cellStyle name="B_Bot 23 3" xfId="25385"/>
    <cellStyle name="B_Bot 24" xfId="3605"/>
    <cellStyle name="B_Bot 25" xfId="25386"/>
    <cellStyle name="B_Bot 3" xfId="3606"/>
    <cellStyle name="B_Bot 3 2" xfId="3607"/>
    <cellStyle name="B_Bot 3 3" xfId="25387"/>
    <cellStyle name="B_Bot 4" xfId="3608"/>
    <cellStyle name="B_Bot 4 2" xfId="3609"/>
    <cellStyle name="B_Bot 4 3" xfId="25388"/>
    <cellStyle name="B_Bot 5" xfId="3610"/>
    <cellStyle name="B_Bot 5 2" xfId="3611"/>
    <cellStyle name="B_Bot 5 3" xfId="25389"/>
    <cellStyle name="B_Bot 6" xfId="3612"/>
    <cellStyle name="B_Bot 6 2" xfId="3613"/>
    <cellStyle name="B_Bot 6 3" xfId="25390"/>
    <cellStyle name="B_Bot 7" xfId="3614"/>
    <cellStyle name="B_Bot 7 2" xfId="3615"/>
    <cellStyle name="B_Bot 7 3" xfId="25391"/>
    <cellStyle name="B_Bot 8" xfId="3616"/>
    <cellStyle name="B_Bot 8 2" xfId="3617"/>
    <cellStyle name="B_Bot 8 3" xfId="25392"/>
    <cellStyle name="B_Bot 9" xfId="3618"/>
    <cellStyle name="B_Bot 9 2" xfId="3619"/>
    <cellStyle name="B_Bot 9 3" xfId="25393"/>
    <cellStyle name="B_Bot_ASSUMP" xfId="3620"/>
    <cellStyle name="B_Bot_ASSUMP 10" xfId="3621"/>
    <cellStyle name="B_Bot_ASSUMP 10 2" xfId="3622"/>
    <cellStyle name="B_Bot_ASSUMP 10 3" xfId="25394"/>
    <cellStyle name="B_Bot_ASSUMP 11" xfId="3623"/>
    <cellStyle name="B_Bot_ASSUMP 11 2" xfId="3624"/>
    <cellStyle name="B_Bot_ASSUMP 11 3" xfId="25395"/>
    <cellStyle name="B_Bot_ASSUMP 12" xfId="3625"/>
    <cellStyle name="B_Bot_ASSUMP 12 2" xfId="3626"/>
    <cellStyle name="B_Bot_ASSUMP 12 3" xfId="25396"/>
    <cellStyle name="B_Bot_ASSUMP 13" xfId="3627"/>
    <cellStyle name="B_Bot_ASSUMP 13 2" xfId="3628"/>
    <cellStyle name="B_Bot_ASSUMP 13 3" xfId="25397"/>
    <cellStyle name="B_Bot_ASSUMP 14" xfId="3629"/>
    <cellStyle name="B_Bot_ASSUMP 14 2" xfId="3630"/>
    <cellStyle name="B_Bot_ASSUMP 14 3" xfId="25398"/>
    <cellStyle name="B_Bot_ASSUMP 15" xfId="3631"/>
    <cellStyle name="B_Bot_ASSUMP 15 2" xfId="3632"/>
    <cellStyle name="B_Bot_ASSUMP 15 3" xfId="25399"/>
    <cellStyle name="B_Bot_ASSUMP 16" xfId="3633"/>
    <cellStyle name="B_Bot_ASSUMP 16 2" xfId="3634"/>
    <cellStyle name="B_Bot_ASSUMP 16 3" xfId="25400"/>
    <cellStyle name="B_Bot_ASSUMP 17" xfId="3635"/>
    <cellStyle name="B_Bot_ASSUMP 17 2" xfId="3636"/>
    <cellStyle name="B_Bot_ASSUMP 17 3" xfId="25401"/>
    <cellStyle name="B_Bot_ASSUMP 18" xfId="3637"/>
    <cellStyle name="B_Bot_ASSUMP 18 2" xfId="3638"/>
    <cellStyle name="B_Bot_ASSUMP 18 3" xfId="25402"/>
    <cellStyle name="B_Bot_ASSUMP 19" xfId="3639"/>
    <cellStyle name="B_Bot_ASSUMP 19 2" xfId="3640"/>
    <cellStyle name="B_Bot_ASSUMP 19 3" xfId="25403"/>
    <cellStyle name="B_Bot_ASSUMP 2" xfId="3641"/>
    <cellStyle name="B_Bot_ASSUMP 2 2" xfId="3642"/>
    <cellStyle name="B_Bot_ASSUMP 2 3" xfId="25404"/>
    <cellStyle name="B_Bot_ASSUMP 20" xfId="3643"/>
    <cellStyle name="B_Bot_ASSUMP 20 2" xfId="3644"/>
    <cellStyle name="B_Bot_ASSUMP 20 3" xfId="25405"/>
    <cellStyle name="B_Bot_ASSUMP 21" xfId="3645"/>
    <cellStyle name="B_Bot_ASSUMP 21 2" xfId="3646"/>
    <cellStyle name="B_Bot_ASSUMP 21 3" xfId="25406"/>
    <cellStyle name="B_Bot_ASSUMP 22" xfId="3647"/>
    <cellStyle name="B_Bot_ASSUMP 22 2" xfId="3648"/>
    <cellStyle name="B_Bot_ASSUMP 22 3" xfId="25407"/>
    <cellStyle name="B_Bot_ASSUMP 23" xfId="3649"/>
    <cellStyle name="B_Bot_ASSUMP 23 2" xfId="3650"/>
    <cellStyle name="B_Bot_ASSUMP 23 3" xfId="25408"/>
    <cellStyle name="B_Bot_ASSUMP 24" xfId="3651"/>
    <cellStyle name="B_Bot_ASSUMP 25" xfId="25409"/>
    <cellStyle name="B_Bot_ASSUMP 3" xfId="3652"/>
    <cellStyle name="B_Bot_ASSUMP 3 2" xfId="3653"/>
    <cellStyle name="B_Bot_ASSUMP 3 3" xfId="25410"/>
    <cellStyle name="B_Bot_ASSUMP 4" xfId="3654"/>
    <cellStyle name="B_Bot_ASSUMP 4 2" xfId="3655"/>
    <cellStyle name="B_Bot_ASSUMP 4 3" xfId="25411"/>
    <cellStyle name="B_Bot_ASSUMP 5" xfId="3656"/>
    <cellStyle name="B_Bot_ASSUMP 5 2" xfId="3657"/>
    <cellStyle name="B_Bot_ASSUMP 5 3" xfId="25412"/>
    <cellStyle name="B_Bot_ASSUMP 6" xfId="3658"/>
    <cellStyle name="B_Bot_ASSUMP 6 2" xfId="3659"/>
    <cellStyle name="B_Bot_ASSUMP 6 3" xfId="25413"/>
    <cellStyle name="B_Bot_ASSUMP 7" xfId="3660"/>
    <cellStyle name="B_Bot_ASSUMP 7 2" xfId="3661"/>
    <cellStyle name="B_Bot_ASSUMP 7 3" xfId="25414"/>
    <cellStyle name="B_Bot_ASSUMP 8" xfId="3662"/>
    <cellStyle name="B_Bot_ASSUMP 8 2" xfId="3663"/>
    <cellStyle name="B_Bot_ASSUMP 8 3" xfId="25415"/>
    <cellStyle name="B_Bot_ASSUMP 9" xfId="3664"/>
    <cellStyle name="B_Bot_ASSUMP 9 2" xfId="3665"/>
    <cellStyle name="B_Bot_ASSUMP 9 3" xfId="25416"/>
    <cellStyle name="B_Bot_ASSUMP_PROD_DETAILS" xfId="3666"/>
    <cellStyle name="B_Bot_ASSUMP_PROD_DETAILS 2" xfId="3667"/>
    <cellStyle name="B_Bot_ASSUMP_PROD_DETAILS 3" xfId="25417"/>
    <cellStyle name="B_Bot_ASSUMP_SOLVENCY POSITION " xfId="3668"/>
    <cellStyle name="B_Bot_ASSUMP_SOLVENCY POSITION  2" xfId="3669"/>
    <cellStyle name="B_Bot_ASSUMP_SOLVENCY POSITION  3" xfId="25418"/>
    <cellStyle name="B_Bot_Checks" xfId="3670"/>
    <cellStyle name="B_Bot_Checks 10" xfId="3671"/>
    <cellStyle name="B_Bot_Checks 10 2" xfId="3672"/>
    <cellStyle name="B_Bot_Checks 10 3" xfId="25419"/>
    <cellStyle name="B_Bot_Checks 11" xfId="3673"/>
    <cellStyle name="B_Bot_Checks 11 2" xfId="3674"/>
    <cellStyle name="B_Bot_Checks 11 3" xfId="25420"/>
    <cellStyle name="B_Bot_Checks 12" xfId="3675"/>
    <cellStyle name="B_Bot_Checks 12 2" xfId="3676"/>
    <cellStyle name="B_Bot_Checks 12 3" xfId="25421"/>
    <cellStyle name="B_Bot_Checks 13" xfId="3677"/>
    <cellStyle name="B_Bot_Checks 13 2" xfId="3678"/>
    <cellStyle name="B_Bot_Checks 13 3" xfId="25422"/>
    <cellStyle name="B_Bot_Checks 14" xfId="3679"/>
    <cellStyle name="B_Bot_Checks 14 2" xfId="3680"/>
    <cellStyle name="B_Bot_Checks 14 3" xfId="25423"/>
    <cellStyle name="B_Bot_Checks 15" xfId="3681"/>
    <cellStyle name="B_Bot_Checks 15 2" xfId="3682"/>
    <cellStyle name="B_Bot_Checks 15 3" xfId="25424"/>
    <cellStyle name="B_Bot_Checks 16" xfId="3683"/>
    <cellStyle name="B_Bot_Checks 16 2" xfId="3684"/>
    <cellStyle name="B_Bot_Checks 16 3" xfId="25425"/>
    <cellStyle name="B_Bot_Checks 17" xfId="3685"/>
    <cellStyle name="B_Bot_Checks 17 2" xfId="3686"/>
    <cellStyle name="B_Bot_Checks 17 3" xfId="25426"/>
    <cellStyle name="B_Bot_Checks 18" xfId="3687"/>
    <cellStyle name="B_Bot_Checks 18 2" xfId="3688"/>
    <cellStyle name="B_Bot_Checks 18 3" xfId="25427"/>
    <cellStyle name="B_Bot_Checks 19" xfId="3689"/>
    <cellStyle name="B_Bot_Checks 19 2" xfId="3690"/>
    <cellStyle name="B_Bot_Checks 19 3" xfId="25428"/>
    <cellStyle name="B_Bot_Checks 2" xfId="3691"/>
    <cellStyle name="B_Bot_Checks 2 2" xfId="3692"/>
    <cellStyle name="B_Bot_Checks 2 3" xfId="25429"/>
    <cellStyle name="B_Bot_Checks 20" xfId="3693"/>
    <cellStyle name="B_Bot_Checks 20 2" xfId="3694"/>
    <cellStyle name="B_Bot_Checks 20 3" xfId="25430"/>
    <cellStyle name="B_Bot_Checks 21" xfId="3695"/>
    <cellStyle name="B_Bot_Checks 21 2" xfId="3696"/>
    <cellStyle name="B_Bot_Checks 21 3" xfId="25431"/>
    <cellStyle name="B_Bot_Checks 22" xfId="3697"/>
    <cellStyle name="B_Bot_Checks 22 2" xfId="3698"/>
    <cellStyle name="B_Bot_Checks 22 3" xfId="25432"/>
    <cellStyle name="B_Bot_Checks 23" xfId="3699"/>
    <cellStyle name="B_Bot_Checks 23 2" xfId="3700"/>
    <cellStyle name="B_Bot_Checks 23 3" xfId="25433"/>
    <cellStyle name="B_Bot_Checks 24" xfId="3701"/>
    <cellStyle name="B_Bot_Checks 25" xfId="25434"/>
    <cellStyle name="B_Bot_Checks 3" xfId="3702"/>
    <cellStyle name="B_Bot_Checks 3 2" xfId="3703"/>
    <cellStyle name="B_Bot_Checks 3 3" xfId="25435"/>
    <cellStyle name="B_Bot_Checks 4" xfId="3704"/>
    <cellStyle name="B_Bot_Checks 4 2" xfId="3705"/>
    <cellStyle name="B_Bot_Checks 4 3" xfId="25436"/>
    <cellStyle name="B_Bot_Checks 5" xfId="3706"/>
    <cellStyle name="B_Bot_Checks 5 2" xfId="3707"/>
    <cellStyle name="B_Bot_Checks 5 3" xfId="25437"/>
    <cellStyle name="B_Bot_Checks 6" xfId="3708"/>
    <cellStyle name="B_Bot_Checks 6 2" xfId="3709"/>
    <cellStyle name="B_Bot_Checks 6 3" xfId="25438"/>
    <cellStyle name="B_Bot_Checks 7" xfId="3710"/>
    <cellStyle name="B_Bot_Checks 7 2" xfId="3711"/>
    <cellStyle name="B_Bot_Checks 7 3" xfId="25439"/>
    <cellStyle name="B_Bot_Checks 8" xfId="3712"/>
    <cellStyle name="B_Bot_Checks 8 2" xfId="3713"/>
    <cellStyle name="B_Bot_Checks 8 3" xfId="25440"/>
    <cellStyle name="B_Bot_Checks 9" xfId="3714"/>
    <cellStyle name="B_Bot_Checks 9 2" xfId="3715"/>
    <cellStyle name="B_Bot_Checks 9 3" xfId="25441"/>
    <cellStyle name="B_Bot_Checks_PROD_DETAILS" xfId="3716"/>
    <cellStyle name="B_Bot_Checks_PROD_DETAILS 2" xfId="3717"/>
    <cellStyle name="B_Bot_Checks_PROD_DETAILS 3" xfId="25442"/>
    <cellStyle name="B_Bot_Checks_SOLVENCY POSITION " xfId="3718"/>
    <cellStyle name="B_Bot_Checks_SOLVENCY POSITION  2" xfId="3719"/>
    <cellStyle name="B_Bot_Checks_SOLVENCY POSITION  3" xfId="25443"/>
    <cellStyle name="B_Bot_Group Life" xfId="3720"/>
    <cellStyle name="B_Bot_Group Life 10" xfId="3721"/>
    <cellStyle name="B_Bot_Group Life 10 2" xfId="3722"/>
    <cellStyle name="B_Bot_Group Life 10 3" xfId="25444"/>
    <cellStyle name="B_Bot_Group Life 11" xfId="3723"/>
    <cellStyle name="B_Bot_Group Life 11 2" xfId="3724"/>
    <cellStyle name="B_Bot_Group Life 11 3" xfId="25445"/>
    <cellStyle name="B_Bot_Group Life 12" xfId="3725"/>
    <cellStyle name="B_Bot_Group Life 12 2" xfId="3726"/>
    <cellStyle name="B_Bot_Group Life 12 3" xfId="25446"/>
    <cellStyle name="B_Bot_Group Life 13" xfId="3727"/>
    <cellStyle name="B_Bot_Group Life 13 2" xfId="3728"/>
    <cellStyle name="B_Bot_Group Life 13 3" xfId="25447"/>
    <cellStyle name="B_Bot_Group Life 14" xfId="3729"/>
    <cellStyle name="B_Bot_Group Life 14 2" xfId="3730"/>
    <cellStyle name="B_Bot_Group Life 14 3" xfId="25448"/>
    <cellStyle name="B_Bot_Group Life 15" xfId="3731"/>
    <cellStyle name="B_Bot_Group Life 15 2" xfId="3732"/>
    <cellStyle name="B_Bot_Group Life 15 3" xfId="25449"/>
    <cellStyle name="B_Bot_Group Life 16" xfId="3733"/>
    <cellStyle name="B_Bot_Group Life 16 2" xfId="3734"/>
    <cellStyle name="B_Bot_Group Life 16 3" xfId="25450"/>
    <cellStyle name="B_Bot_Group Life 17" xfId="3735"/>
    <cellStyle name="B_Bot_Group Life 17 2" xfId="3736"/>
    <cellStyle name="B_Bot_Group Life 17 3" xfId="25451"/>
    <cellStyle name="B_Bot_Group Life 18" xfId="3737"/>
    <cellStyle name="B_Bot_Group Life 18 2" xfId="3738"/>
    <cellStyle name="B_Bot_Group Life 18 3" xfId="25452"/>
    <cellStyle name="B_Bot_Group Life 19" xfId="3739"/>
    <cellStyle name="B_Bot_Group Life 19 2" xfId="3740"/>
    <cellStyle name="B_Bot_Group Life 19 3" xfId="25453"/>
    <cellStyle name="B_Bot_Group Life 2" xfId="3741"/>
    <cellStyle name="B_Bot_Group Life 2 2" xfId="3742"/>
    <cellStyle name="B_Bot_Group Life 2 3" xfId="25454"/>
    <cellStyle name="B_Bot_Group Life 20" xfId="3743"/>
    <cellStyle name="B_Bot_Group Life 20 2" xfId="3744"/>
    <cellStyle name="B_Bot_Group Life 20 3" xfId="25455"/>
    <cellStyle name="B_Bot_Group Life 21" xfId="3745"/>
    <cellStyle name="B_Bot_Group Life 21 2" xfId="3746"/>
    <cellStyle name="B_Bot_Group Life 21 3" xfId="25456"/>
    <cellStyle name="B_Bot_Group Life 22" xfId="3747"/>
    <cellStyle name="B_Bot_Group Life 22 2" xfId="3748"/>
    <cellStyle name="B_Bot_Group Life 22 3" xfId="25457"/>
    <cellStyle name="B_Bot_Group Life 23" xfId="3749"/>
    <cellStyle name="B_Bot_Group Life 23 2" xfId="3750"/>
    <cellStyle name="B_Bot_Group Life 23 3" xfId="25458"/>
    <cellStyle name="B_Bot_Group Life 24" xfId="3751"/>
    <cellStyle name="B_Bot_Group Life 25" xfId="25459"/>
    <cellStyle name="B_Bot_Group Life 3" xfId="3752"/>
    <cellStyle name="B_Bot_Group Life 3 2" xfId="3753"/>
    <cellStyle name="B_Bot_Group Life 3 3" xfId="25460"/>
    <cellStyle name="B_Bot_Group Life 4" xfId="3754"/>
    <cellStyle name="B_Bot_Group Life 4 2" xfId="3755"/>
    <cellStyle name="B_Bot_Group Life 4 3" xfId="25461"/>
    <cellStyle name="B_Bot_Group Life 5" xfId="3756"/>
    <cellStyle name="B_Bot_Group Life 5 2" xfId="3757"/>
    <cellStyle name="B_Bot_Group Life 5 3" xfId="25462"/>
    <cellStyle name="B_Bot_Group Life 6" xfId="3758"/>
    <cellStyle name="B_Bot_Group Life 6 2" xfId="3759"/>
    <cellStyle name="B_Bot_Group Life 6 3" xfId="25463"/>
    <cellStyle name="B_Bot_Group Life 7" xfId="3760"/>
    <cellStyle name="B_Bot_Group Life 7 2" xfId="3761"/>
    <cellStyle name="B_Bot_Group Life 7 3" xfId="25464"/>
    <cellStyle name="B_Bot_Group Life 8" xfId="3762"/>
    <cellStyle name="B_Bot_Group Life 8 2" xfId="3763"/>
    <cellStyle name="B_Bot_Group Life 8 3" xfId="25465"/>
    <cellStyle name="B_Bot_Group Life 9" xfId="3764"/>
    <cellStyle name="B_Bot_Group Life 9 2" xfId="3765"/>
    <cellStyle name="B_Bot_Group Life 9 3" xfId="25466"/>
    <cellStyle name="B_Bot_Group Life_PROD_DETAILS" xfId="3766"/>
    <cellStyle name="B_Bot_Group Life_PROD_DETAILS 2" xfId="3767"/>
    <cellStyle name="B_Bot_Group Life_PROD_DETAILS 3" xfId="25467"/>
    <cellStyle name="B_Bot_Group Life_SOLVENCY POSITION " xfId="3768"/>
    <cellStyle name="B_Bot_Group Life_SOLVENCY POSITION  2" xfId="3769"/>
    <cellStyle name="B_Bot_Group Life_SOLVENCY POSITION  3" xfId="25468"/>
    <cellStyle name="B_Bot_HK P &amp; L (To Finance to compute tax)" xfId="3770"/>
    <cellStyle name="B_Bot_HK P &amp; L (To Finance to compute tax) 10" xfId="3771"/>
    <cellStyle name="B_Bot_HK P &amp; L (To Finance to compute tax) 10 2" xfId="3772"/>
    <cellStyle name="B_Bot_HK P &amp; L (To Finance to compute tax) 10 3" xfId="25469"/>
    <cellStyle name="B_Bot_HK P &amp; L (To Finance to compute tax) 11" xfId="3773"/>
    <cellStyle name="B_Bot_HK P &amp; L (To Finance to compute tax) 11 2" xfId="3774"/>
    <cellStyle name="B_Bot_HK P &amp; L (To Finance to compute tax) 11 3" xfId="25470"/>
    <cellStyle name="B_Bot_HK P &amp; L (To Finance to compute tax) 12" xfId="3775"/>
    <cellStyle name="B_Bot_HK P &amp; L (To Finance to compute tax) 12 2" xfId="3776"/>
    <cellStyle name="B_Bot_HK P &amp; L (To Finance to compute tax) 12 3" xfId="25471"/>
    <cellStyle name="B_Bot_HK P &amp; L (To Finance to compute tax) 13" xfId="3777"/>
    <cellStyle name="B_Bot_HK P &amp; L (To Finance to compute tax) 13 2" xfId="3778"/>
    <cellStyle name="B_Bot_HK P &amp; L (To Finance to compute tax) 13 3" xfId="25472"/>
    <cellStyle name="B_Bot_HK P &amp; L (To Finance to compute tax) 14" xfId="3779"/>
    <cellStyle name="B_Bot_HK P &amp; L (To Finance to compute tax) 14 2" xfId="3780"/>
    <cellStyle name="B_Bot_HK P &amp; L (To Finance to compute tax) 14 3" xfId="25473"/>
    <cellStyle name="B_Bot_HK P &amp; L (To Finance to compute tax) 15" xfId="3781"/>
    <cellStyle name="B_Bot_HK P &amp; L (To Finance to compute tax) 15 2" xfId="3782"/>
    <cellStyle name="B_Bot_HK P &amp; L (To Finance to compute tax) 15 3" xfId="25474"/>
    <cellStyle name="B_Bot_HK P &amp; L (To Finance to compute tax) 16" xfId="3783"/>
    <cellStyle name="B_Bot_HK P &amp; L (To Finance to compute tax) 16 2" xfId="3784"/>
    <cellStyle name="B_Bot_HK P &amp; L (To Finance to compute tax) 16 3" xfId="25475"/>
    <cellStyle name="B_Bot_HK P &amp; L (To Finance to compute tax) 17" xfId="3785"/>
    <cellStyle name="B_Bot_HK P &amp; L (To Finance to compute tax) 17 2" xfId="3786"/>
    <cellStyle name="B_Bot_HK P &amp; L (To Finance to compute tax) 17 3" xfId="25476"/>
    <cellStyle name="B_Bot_HK P &amp; L (To Finance to compute tax) 18" xfId="3787"/>
    <cellStyle name="B_Bot_HK P &amp; L (To Finance to compute tax) 18 2" xfId="3788"/>
    <cellStyle name="B_Bot_HK P &amp; L (To Finance to compute tax) 18 3" xfId="25477"/>
    <cellStyle name="B_Bot_HK P &amp; L (To Finance to compute tax) 19" xfId="3789"/>
    <cellStyle name="B_Bot_HK P &amp; L (To Finance to compute tax) 19 2" xfId="3790"/>
    <cellStyle name="B_Bot_HK P &amp; L (To Finance to compute tax) 19 3" xfId="25478"/>
    <cellStyle name="B_Bot_HK P &amp; L (To Finance to compute tax) 2" xfId="3791"/>
    <cellStyle name="B_Bot_HK P &amp; L (To Finance to compute tax) 2 2" xfId="3792"/>
    <cellStyle name="B_Bot_HK P &amp; L (To Finance to compute tax) 2 3" xfId="25479"/>
    <cellStyle name="B_Bot_HK P &amp; L (To Finance to compute tax) 20" xfId="3793"/>
    <cellStyle name="B_Bot_HK P &amp; L (To Finance to compute tax) 20 2" xfId="3794"/>
    <cellStyle name="B_Bot_HK P &amp; L (To Finance to compute tax) 20 3" xfId="25480"/>
    <cellStyle name="B_Bot_HK P &amp; L (To Finance to compute tax) 21" xfId="3795"/>
    <cellStyle name="B_Bot_HK P &amp; L (To Finance to compute tax) 21 2" xfId="3796"/>
    <cellStyle name="B_Bot_HK P &amp; L (To Finance to compute tax) 21 3" xfId="25481"/>
    <cellStyle name="B_Bot_HK P &amp; L (To Finance to compute tax) 22" xfId="3797"/>
    <cellStyle name="B_Bot_HK P &amp; L (To Finance to compute tax) 22 2" xfId="3798"/>
    <cellStyle name="B_Bot_HK P &amp; L (To Finance to compute tax) 22 3" xfId="25482"/>
    <cellStyle name="B_Bot_HK P &amp; L (To Finance to compute tax) 23" xfId="3799"/>
    <cellStyle name="B_Bot_HK P &amp; L (To Finance to compute tax) 23 2" xfId="3800"/>
    <cellStyle name="B_Bot_HK P &amp; L (To Finance to compute tax) 23 3" xfId="25483"/>
    <cellStyle name="B_Bot_HK P &amp; L (To Finance to compute tax) 24" xfId="3801"/>
    <cellStyle name="B_Bot_HK P &amp; L (To Finance to compute tax) 25" xfId="25484"/>
    <cellStyle name="B_Bot_HK P &amp; L (To Finance to compute tax) 3" xfId="3802"/>
    <cellStyle name="B_Bot_HK P &amp; L (To Finance to compute tax) 3 2" xfId="3803"/>
    <cellStyle name="B_Bot_HK P &amp; L (To Finance to compute tax) 3 3" xfId="25485"/>
    <cellStyle name="B_Bot_HK P &amp; L (To Finance to compute tax) 4" xfId="3804"/>
    <cellStyle name="B_Bot_HK P &amp; L (To Finance to compute tax) 4 2" xfId="3805"/>
    <cellStyle name="B_Bot_HK P &amp; L (To Finance to compute tax) 4 3" xfId="25486"/>
    <cellStyle name="B_Bot_HK P &amp; L (To Finance to compute tax) 5" xfId="3806"/>
    <cellStyle name="B_Bot_HK P &amp; L (To Finance to compute tax) 5 2" xfId="3807"/>
    <cellStyle name="B_Bot_HK P &amp; L (To Finance to compute tax) 5 3" xfId="25487"/>
    <cellStyle name="B_Bot_HK P &amp; L (To Finance to compute tax) 6" xfId="3808"/>
    <cellStyle name="B_Bot_HK P &amp; L (To Finance to compute tax) 6 2" xfId="3809"/>
    <cellStyle name="B_Bot_HK P &amp; L (To Finance to compute tax) 6 3" xfId="25488"/>
    <cellStyle name="B_Bot_HK P &amp; L (To Finance to compute tax) 7" xfId="3810"/>
    <cellStyle name="B_Bot_HK P &amp; L (To Finance to compute tax) 7 2" xfId="3811"/>
    <cellStyle name="B_Bot_HK P &amp; L (To Finance to compute tax) 7 3" xfId="25489"/>
    <cellStyle name="B_Bot_HK P &amp; L (To Finance to compute tax) 8" xfId="3812"/>
    <cellStyle name="B_Bot_HK P &amp; L (To Finance to compute tax) 8 2" xfId="3813"/>
    <cellStyle name="B_Bot_HK P &amp; L (To Finance to compute tax) 8 3" xfId="25490"/>
    <cellStyle name="B_Bot_HK P &amp; L (To Finance to compute tax) 9" xfId="3814"/>
    <cellStyle name="B_Bot_HK P &amp; L (To Finance to compute tax) 9 2" xfId="3815"/>
    <cellStyle name="B_Bot_HK P &amp; L (To Finance to compute tax) 9 3" xfId="25491"/>
    <cellStyle name="B_Bot_HK P &amp; L (To Finance to compute tax)_PROD_DETAILS" xfId="3816"/>
    <cellStyle name="B_Bot_HK P &amp; L (To Finance to compute tax)_PROD_DETAILS 2" xfId="3817"/>
    <cellStyle name="B_Bot_HK P &amp; L (To Finance to compute tax)_PROD_DETAILS 3" xfId="25492"/>
    <cellStyle name="B_Bot_HK P &amp; L (To Finance to compute tax)_SOLVENCY POSITION " xfId="3818"/>
    <cellStyle name="B_Bot_HK P &amp; L (To Finance to compute tax)_SOLVENCY POSITION  2" xfId="3819"/>
    <cellStyle name="B_Bot_HK P &amp; L (To Finance to compute tax)_SOLVENCY POSITION  3" xfId="25493"/>
    <cellStyle name="B_Bot_HK.EEV-Apr06v2" xfId="3820"/>
    <cellStyle name="B_Bot_HK.EEV-Apr06v2 10" xfId="3821"/>
    <cellStyle name="B_Bot_HK.EEV-Apr06v2 10 2" xfId="3822"/>
    <cellStyle name="B_Bot_HK.EEV-Apr06v2 10 3" xfId="25494"/>
    <cellStyle name="B_Bot_HK.EEV-Apr06v2 11" xfId="3823"/>
    <cellStyle name="B_Bot_HK.EEV-Apr06v2 11 2" xfId="3824"/>
    <cellStyle name="B_Bot_HK.EEV-Apr06v2 11 3" xfId="25495"/>
    <cellStyle name="B_Bot_HK.EEV-Apr06v2 12" xfId="3825"/>
    <cellStyle name="B_Bot_HK.EEV-Apr06v2 12 2" xfId="3826"/>
    <cellStyle name="B_Bot_HK.EEV-Apr06v2 12 3" xfId="25496"/>
    <cellStyle name="B_Bot_HK.EEV-Apr06v2 13" xfId="3827"/>
    <cellStyle name="B_Bot_HK.EEV-Apr06v2 13 2" xfId="3828"/>
    <cellStyle name="B_Bot_HK.EEV-Apr06v2 13 3" xfId="25497"/>
    <cellStyle name="B_Bot_HK.EEV-Apr06v2 14" xfId="3829"/>
    <cellStyle name="B_Bot_HK.EEV-Apr06v2 14 2" xfId="3830"/>
    <cellStyle name="B_Bot_HK.EEV-Apr06v2 14 3" xfId="25498"/>
    <cellStyle name="B_Bot_HK.EEV-Apr06v2 15" xfId="3831"/>
    <cellStyle name="B_Bot_HK.EEV-Apr06v2 15 2" xfId="3832"/>
    <cellStyle name="B_Bot_HK.EEV-Apr06v2 15 3" xfId="25499"/>
    <cellStyle name="B_Bot_HK.EEV-Apr06v2 16" xfId="3833"/>
    <cellStyle name="B_Bot_HK.EEV-Apr06v2 16 2" xfId="3834"/>
    <cellStyle name="B_Bot_HK.EEV-Apr06v2 16 3" xfId="25500"/>
    <cellStyle name="B_Bot_HK.EEV-Apr06v2 17" xfId="3835"/>
    <cellStyle name="B_Bot_HK.EEV-Apr06v2 17 2" xfId="3836"/>
    <cellStyle name="B_Bot_HK.EEV-Apr06v2 17 3" xfId="25501"/>
    <cellStyle name="B_Bot_HK.EEV-Apr06v2 18" xfId="3837"/>
    <cellStyle name="B_Bot_HK.EEV-Apr06v2 18 2" xfId="3838"/>
    <cellStyle name="B_Bot_HK.EEV-Apr06v2 18 3" xfId="25502"/>
    <cellStyle name="B_Bot_HK.EEV-Apr06v2 19" xfId="3839"/>
    <cellStyle name="B_Bot_HK.EEV-Apr06v2 19 2" xfId="3840"/>
    <cellStyle name="B_Bot_HK.EEV-Apr06v2 19 3" xfId="25503"/>
    <cellStyle name="B_Bot_HK.EEV-Apr06v2 2" xfId="3841"/>
    <cellStyle name="B_Bot_HK.EEV-Apr06v2 2 2" xfId="3842"/>
    <cellStyle name="B_Bot_HK.EEV-Apr06v2 2 3" xfId="25504"/>
    <cellStyle name="B_Bot_HK.EEV-Apr06v2 20" xfId="3843"/>
    <cellStyle name="B_Bot_HK.EEV-Apr06v2 20 2" xfId="3844"/>
    <cellStyle name="B_Bot_HK.EEV-Apr06v2 20 3" xfId="25505"/>
    <cellStyle name="B_Bot_HK.EEV-Apr06v2 21" xfId="3845"/>
    <cellStyle name="B_Bot_HK.EEV-Apr06v2 21 2" xfId="3846"/>
    <cellStyle name="B_Bot_HK.EEV-Apr06v2 21 3" xfId="25506"/>
    <cellStyle name="B_Bot_HK.EEV-Apr06v2 22" xfId="3847"/>
    <cellStyle name="B_Bot_HK.EEV-Apr06v2 22 2" xfId="3848"/>
    <cellStyle name="B_Bot_HK.EEV-Apr06v2 22 3" xfId="25507"/>
    <cellStyle name="B_Bot_HK.EEV-Apr06v2 23" xfId="3849"/>
    <cellStyle name="B_Bot_HK.EEV-Apr06v2 23 2" xfId="3850"/>
    <cellStyle name="B_Bot_HK.EEV-Apr06v2 23 3" xfId="25508"/>
    <cellStyle name="B_Bot_HK.EEV-Apr06v2 24" xfId="3851"/>
    <cellStyle name="B_Bot_HK.EEV-Apr06v2 25" xfId="25509"/>
    <cellStyle name="B_Bot_HK.EEV-Apr06v2 3" xfId="3852"/>
    <cellStyle name="B_Bot_HK.EEV-Apr06v2 3 2" xfId="3853"/>
    <cellStyle name="B_Bot_HK.EEV-Apr06v2 3 3" xfId="25510"/>
    <cellStyle name="B_Bot_HK.EEV-Apr06v2 4" xfId="3854"/>
    <cellStyle name="B_Bot_HK.EEV-Apr06v2 4 2" xfId="3855"/>
    <cellStyle name="B_Bot_HK.EEV-Apr06v2 4 3" xfId="25511"/>
    <cellStyle name="B_Bot_HK.EEV-Apr06v2 5" xfId="3856"/>
    <cellStyle name="B_Bot_HK.EEV-Apr06v2 5 2" xfId="3857"/>
    <cellStyle name="B_Bot_HK.EEV-Apr06v2 5 3" xfId="25512"/>
    <cellStyle name="B_Bot_HK.EEV-Apr06v2 6" xfId="3858"/>
    <cellStyle name="B_Bot_HK.EEV-Apr06v2 6 2" xfId="3859"/>
    <cellStyle name="B_Bot_HK.EEV-Apr06v2 6 3" xfId="25513"/>
    <cellStyle name="B_Bot_HK.EEV-Apr06v2 7" xfId="3860"/>
    <cellStyle name="B_Bot_HK.EEV-Apr06v2 7 2" xfId="3861"/>
    <cellStyle name="B_Bot_HK.EEV-Apr06v2 7 3" xfId="25514"/>
    <cellStyle name="B_Bot_HK.EEV-Apr06v2 8" xfId="3862"/>
    <cellStyle name="B_Bot_HK.EEV-Apr06v2 8 2" xfId="3863"/>
    <cellStyle name="B_Bot_HK.EEV-Apr06v2 8 3" xfId="25515"/>
    <cellStyle name="B_Bot_HK.EEV-Apr06v2 9" xfId="3864"/>
    <cellStyle name="B_Bot_HK.EEV-Apr06v2 9 2" xfId="3865"/>
    <cellStyle name="B_Bot_HK.EEV-Apr06v2 9 3" xfId="25516"/>
    <cellStyle name="B_Bot_HK.EEV-Apr06v2_HK.EEV-May06 4+2 kkh" xfId="3866"/>
    <cellStyle name="B_Bot_HK.EEV-Apr06v2_HK.EEV-May06 4+2 kkh 10" xfId="3867"/>
    <cellStyle name="B_Bot_HK.EEV-Apr06v2_HK.EEV-May06 4+2 kkh 10 2" xfId="3868"/>
    <cellStyle name="B_Bot_HK.EEV-Apr06v2_HK.EEV-May06 4+2 kkh 10 3" xfId="25517"/>
    <cellStyle name="B_Bot_HK.EEV-Apr06v2_HK.EEV-May06 4+2 kkh 11" xfId="3869"/>
    <cellStyle name="B_Bot_HK.EEV-Apr06v2_HK.EEV-May06 4+2 kkh 11 2" xfId="3870"/>
    <cellStyle name="B_Bot_HK.EEV-Apr06v2_HK.EEV-May06 4+2 kkh 11 3" xfId="25518"/>
    <cellStyle name="B_Bot_HK.EEV-Apr06v2_HK.EEV-May06 4+2 kkh 12" xfId="3871"/>
    <cellStyle name="B_Bot_HK.EEV-Apr06v2_HK.EEV-May06 4+2 kkh 12 2" xfId="3872"/>
    <cellStyle name="B_Bot_HK.EEV-Apr06v2_HK.EEV-May06 4+2 kkh 12 3" xfId="25519"/>
    <cellStyle name="B_Bot_HK.EEV-Apr06v2_HK.EEV-May06 4+2 kkh 13" xfId="3873"/>
    <cellStyle name="B_Bot_HK.EEV-Apr06v2_HK.EEV-May06 4+2 kkh 13 2" xfId="3874"/>
    <cellStyle name="B_Bot_HK.EEV-Apr06v2_HK.EEV-May06 4+2 kkh 13 3" xfId="25520"/>
    <cellStyle name="B_Bot_HK.EEV-Apr06v2_HK.EEV-May06 4+2 kkh 14" xfId="3875"/>
    <cellStyle name="B_Bot_HK.EEV-Apr06v2_HK.EEV-May06 4+2 kkh 14 2" xfId="3876"/>
    <cellStyle name="B_Bot_HK.EEV-Apr06v2_HK.EEV-May06 4+2 kkh 14 3" xfId="25521"/>
    <cellStyle name="B_Bot_HK.EEV-Apr06v2_HK.EEV-May06 4+2 kkh 15" xfId="3877"/>
    <cellStyle name="B_Bot_HK.EEV-Apr06v2_HK.EEV-May06 4+2 kkh 15 2" xfId="3878"/>
    <cellStyle name="B_Bot_HK.EEV-Apr06v2_HK.EEV-May06 4+2 kkh 15 3" xfId="25522"/>
    <cellStyle name="B_Bot_HK.EEV-Apr06v2_HK.EEV-May06 4+2 kkh 16" xfId="3879"/>
    <cellStyle name="B_Bot_HK.EEV-Apr06v2_HK.EEV-May06 4+2 kkh 16 2" xfId="3880"/>
    <cellStyle name="B_Bot_HK.EEV-Apr06v2_HK.EEV-May06 4+2 kkh 16 3" xfId="25523"/>
    <cellStyle name="B_Bot_HK.EEV-Apr06v2_HK.EEV-May06 4+2 kkh 17" xfId="3881"/>
    <cellStyle name="B_Bot_HK.EEV-Apr06v2_HK.EEV-May06 4+2 kkh 17 2" xfId="3882"/>
    <cellStyle name="B_Bot_HK.EEV-Apr06v2_HK.EEV-May06 4+2 kkh 17 3" xfId="25524"/>
    <cellStyle name="B_Bot_HK.EEV-Apr06v2_HK.EEV-May06 4+2 kkh 18" xfId="3883"/>
    <cellStyle name="B_Bot_HK.EEV-Apr06v2_HK.EEV-May06 4+2 kkh 18 2" xfId="3884"/>
    <cellStyle name="B_Bot_HK.EEV-Apr06v2_HK.EEV-May06 4+2 kkh 18 3" xfId="25525"/>
    <cellStyle name="B_Bot_HK.EEV-Apr06v2_HK.EEV-May06 4+2 kkh 19" xfId="3885"/>
    <cellStyle name="B_Bot_HK.EEV-Apr06v2_HK.EEV-May06 4+2 kkh 19 2" xfId="3886"/>
    <cellStyle name="B_Bot_HK.EEV-Apr06v2_HK.EEV-May06 4+2 kkh 19 3" xfId="25526"/>
    <cellStyle name="B_Bot_HK.EEV-Apr06v2_HK.EEV-May06 4+2 kkh 2" xfId="3887"/>
    <cellStyle name="B_Bot_HK.EEV-Apr06v2_HK.EEV-May06 4+2 kkh 2 2" xfId="3888"/>
    <cellStyle name="B_Bot_HK.EEV-Apr06v2_HK.EEV-May06 4+2 kkh 2 3" xfId="25527"/>
    <cellStyle name="B_Bot_HK.EEV-Apr06v2_HK.EEV-May06 4+2 kkh 20" xfId="3889"/>
    <cellStyle name="B_Bot_HK.EEV-Apr06v2_HK.EEV-May06 4+2 kkh 20 2" xfId="3890"/>
    <cellStyle name="B_Bot_HK.EEV-Apr06v2_HK.EEV-May06 4+2 kkh 20 3" xfId="25528"/>
    <cellStyle name="B_Bot_HK.EEV-Apr06v2_HK.EEV-May06 4+2 kkh 21" xfId="3891"/>
    <cellStyle name="B_Bot_HK.EEV-Apr06v2_HK.EEV-May06 4+2 kkh 21 2" xfId="3892"/>
    <cellStyle name="B_Bot_HK.EEV-Apr06v2_HK.EEV-May06 4+2 kkh 21 3" xfId="25529"/>
    <cellStyle name="B_Bot_HK.EEV-Apr06v2_HK.EEV-May06 4+2 kkh 22" xfId="3893"/>
    <cellStyle name="B_Bot_HK.EEV-Apr06v2_HK.EEV-May06 4+2 kkh 22 2" xfId="3894"/>
    <cellStyle name="B_Bot_HK.EEV-Apr06v2_HK.EEV-May06 4+2 kkh 22 3" xfId="25530"/>
    <cellStyle name="B_Bot_HK.EEV-Apr06v2_HK.EEV-May06 4+2 kkh 23" xfId="3895"/>
    <cellStyle name="B_Bot_HK.EEV-Apr06v2_HK.EEV-May06 4+2 kkh 23 2" xfId="3896"/>
    <cellStyle name="B_Bot_HK.EEV-Apr06v2_HK.EEV-May06 4+2 kkh 23 3" xfId="25531"/>
    <cellStyle name="B_Bot_HK.EEV-Apr06v2_HK.EEV-May06 4+2 kkh 24" xfId="3897"/>
    <cellStyle name="B_Bot_HK.EEV-Apr06v2_HK.EEV-May06 4+2 kkh 25" xfId="25532"/>
    <cellStyle name="B_Bot_HK.EEV-Apr06v2_HK.EEV-May06 4+2 kkh 3" xfId="3898"/>
    <cellStyle name="B_Bot_HK.EEV-Apr06v2_HK.EEV-May06 4+2 kkh 3 2" xfId="3899"/>
    <cellStyle name="B_Bot_HK.EEV-Apr06v2_HK.EEV-May06 4+2 kkh 3 3" xfId="25533"/>
    <cellStyle name="B_Bot_HK.EEV-Apr06v2_HK.EEV-May06 4+2 kkh 4" xfId="3900"/>
    <cellStyle name="B_Bot_HK.EEV-Apr06v2_HK.EEV-May06 4+2 kkh 4 2" xfId="3901"/>
    <cellStyle name="B_Bot_HK.EEV-Apr06v2_HK.EEV-May06 4+2 kkh 4 3" xfId="25534"/>
    <cellStyle name="B_Bot_HK.EEV-Apr06v2_HK.EEV-May06 4+2 kkh 5" xfId="3902"/>
    <cellStyle name="B_Bot_HK.EEV-Apr06v2_HK.EEV-May06 4+2 kkh 5 2" xfId="3903"/>
    <cellStyle name="B_Bot_HK.EEV-Apr06v2_HK.EEV-May06 4+2 kkh 5 3" xfId="25535"/>
    <cellStyle name="B_Bot_HK.EEV-Apr06v2_HK.EEV-May06 4+2 kkh 6" xfId="3904"/>
    <cellStyle name="B_Bot_HK.EEV-Apr06v2_HK.EEV-May06 4+2 kkh 6 2" xfId="3905"/>
    <cellStyle name="B_Bot_HK.EEV-Apr06v2_HK.EEV-May06 4+2 kkh 6 3" xfId="25536"/>
    <cellStyle name="B_Bot_HK.EEV-Apr06v2_HK.EEV-May06 4+2 kkh 7" xfId="3906"/>
    <cellStyle name="B_Bot_HK.EEV-Apr06v2_HK.EEV-May06 4+2 kkh 7 2" xfId="3907"/>
    <cellStyle name="B_Bot_HK.EEV-Apr06v2_HK.EEV-May06 4+2 kkh 7 3" xfId="25537"/>
    <cellStyle name="B_Bot_HK.EEV-Apr06v2_HK.EEV-May06 4+2 kkh 8" xfId="3908"/>
    <cellStyle name="B_Bot_HK.EEV-Apr06v2_HK.EEV-May06 4+2 kkh 8 2" xfId="3909"/>
    <cellStyle name="B_Bot_HK.EEV-Apr06v2_HK.EEV-May06 4+2 kkh 8 3" xfId="25538"/>
    <cellStyle name="B_Bot_HK.EEV-Apr06v2_HK.EEV-May06 4+2 kkh 9" xfId="3910"/>
    <cellStyle name="B_Bot_HK.EEV-Apr06v2_HK.EEV-May06 4+2 kkh 9 2" xfId="3911"/>
    <cellStyle name="B_Bot_HK.EEV-Apr06v2_HK.EEV-May06 4+2 kkh 9 3" xfId="25539"/>
    <cellStyle name="B_Bot_HK.EEV-Apr06v2_HK.EEV-May06 4+2 kkh_PROD_DETAILS" xfId="3912"/>
    <cellStyle name="B_Bot_HK.EEV-Apr06v2_HK.EEV-May06 4+2 kkh_PROD_DETAILS 2" xfId="3913"/>
    <cellStyle name="B_Bot_HK.EEV-Apr06v2_HK.EEV-May06 4+2 kkh_PROD_DETAILS 3" xfId="25540"/>
    <cellStyle name="B_Bot_HK.EEV-Apr06v2_HK.EEV-May06 4+2 kkh_SOLVENCY POSITION " xfId="3914"/>
    <cellStyle name="B_Bot_HK.EEV-Apr06v2_HK.EEV-May06 4+2 kkh_SOLVENCY POSITION  2" xfId="3915"/>
    <cellStyle name="B_Bot_HK.EEV-Apr06v2_HK.EEV-May06 4+2 kkh_SOLVENCY POSITION  3" xfId="25541"/>
    <cellStyle name="B_Bot_HK.EEV-Apr06v2_PROD_DETAILS" xfId="3916"/>
    <cellStyle name="B_Bot_HK.EEV-Apr06v2_PROD_DETAILS 2" xfId="3917"/>
    <cellStyle name="B_Bot_HK.EEV-Apr06v2_PROD_DETAILS 3" xfId="25542"/>
    <cellStyle name="B_Bot_HK.EEV-Apr06v2_SOLVENCY POSITION " xfId="3918"/>
    <cellStyle name="B_Bot_HK.EEV-Apr06v2_SOLVENCY POSITION  2" xfId="3919"/>
    <cellStyle name="B_Bot_HK.EEV-Apr06v2_SOLVENCY POSITION  3" xfId="25543"/>
    <cellStyle name="B_Bot_HK.EEV-Jun06 07-09 2006 (QF3)" xfId="3920"/>
    <cellStyle name="B_Bot_HK.EEV-Jun06 07-09 2006 (QF3) 10" xfId="3921"/>
    <cellStyle name="B_Bot_HK.EEV-Jun06 07-09 2006 (QF3) 10 2" xfId="3922"/>
    <cellStyle name="B_Bot_HK.EEV-Jun06 07-09 2006 (QF3) 10 3" xfId="25544"/>
    <cellStyle name="B_Bot_HK.EEV-Jun06 07-09 2006 (QF3) 11" xfId="3923"/>
    <cellStyle name="B_Bot_HK.EEV-Jun06 07-09 2006 (QF3) 11 2" xfId="3924"/>
    <cellStyle name="B_Bot_HK.EEV-Jun06 07-09 2006 (QF3) 11 3" xfId="25545"/>
    <cellStyle name="B_Bot_HK.EEV-Jun06 07-09 2006 (QF3) 12" xfId="3925"/>
    <cellStyle name="B_Bot_HK.EEV-Jun06 07-09 2006 (QF3) 12 2" xfId="3926"/>
    <cellStyle name="B_Bot_HK.EEV-Jun06 07-09 2006 (QF3) 12 3" xfId="25546"/>
    <cellStyle name="B_Bot_HK.EEV-Jun06 07-09 2006 (QF3) 13" xfId="3927"/>
    <cellStyle name="B_Bot_HK.EEV-Jun06 07-09 2006 (QF3) 13 2" xfId="3928"/>
    <cellStyle name="B_Bot_HK.EEV-Jun06 07-09 2006 (QF3) 13 3" xfId="25547"/>
    <cellStyle name="B_Bot_HK.EEV-Jun06 07-09 2006 (QF3) 14" xfId="3929"/>
    <cellStyle name="B_Bot_HK.EEV-Jun06 07-09 2006 (QF3) 14 2" xfId="3930"/>
    <cellStyle name="B_Bot_HK.EEV-Jun06 07-09 2006 (QF3) 14 3" xfId="25548"/>
    <cellStyle name="B_Bot_HK.EEV-Jun06 07-09 2006 (QF3) 15" xfId="3931"/>
    <cellStyle name="B_Bot_HK.EEV-Jun06 07-09 2006 (QF3) 15 2" xfId="3932"/>
    <cellStyle name="B_Bot_HK.EEV-Jun06 07-09 2006 (QF3) 15 3" xfId="25549"/>
    <cellStyle name="B_Bot_HK.EEV-Jun06 07-09 2006 (QF3) 16" xfId="3933"/>
    <cellStyle name="B_Bot_HK.EEV-Jun06 07-09 2006 (QF3) 16 2" xfId="3934"/>
    <cellStyle name="B_Bot_HK.EEV-Jun06 07-09 2006 (QF3) 16 3" xfId="25550"/>
    <cellStyle name="B_Bot_HK.EEV-Jun06 07-09 2006 (QF3) 17" xfId="3935"/>
    <cellStyle name="B_Bot_HK.EEV-Jun06 07-09 2006 (QF3) 17 2" xfId="3936"/>
    <cellStyle name="B_Bot_HK.EEV-Jun06 07-09 2006 (QF3) 17 3" xfId="25551"/>
    <cellStyle name="B_Bot_HK.EEV-Jun06 07-09 2006 (QF3) 18" xfId="3937"/>
    <cellStyle name="B_Bot_HK.EEV-Jun06 07-09 2006 (QF3) 18 2" xfId="3938"/>
    <cellStyle name="B_Bot_HK.EEV-Jun06 07-09 2006 (QF3) 18 3" xfId="25552"/>
    <cellStyle name="B_Bot_HK.EEV-Jun06 07-09 2006 (QF3) 19" xfId="3939"/>
    <cellStyle name="B_Bot_HK.EEV-Jun06 07-09 2006 (QF3) 19 2" xfId="3940"/>
    <cellStyle name="B_Bot_HK.EEV-Jun06 07-09 2006 (QF3) 19 3" xfId="25553"/>
    <cellStyle name="B_Bot_HK.EEV-Jun06 07-09 2006 (QF3) 2" xfId="3941"/>
    <cellStyle name="B_Bot_HK.EEV-Jun06 07-09 2006 (QF3) 2 2" xfId="3942"/>
    <cellStyle name="B_Bot_HK.EEV-Jun06 07-09 2006 (QF3) 2 3" xfId="25554"/>
    <cellStyle name="B_Bot_HK.EEV-Jun06 07-09 2006 (QF3) 20" xfId="3943"/>
    <cellStyle name="B_Bot_HK.EEV-Jun06 07-09 2006 (QF3) 20 2" xfId="3944"/>
    <cellStyle name="B_Bot_HK.EEV-Jun06 07-09 2006 (QF3) 20 3" xfId="25555"/>
    <cellStyle name="B_Bot_HK.EEV-Jun06 07-09 2006 (QF3) 21" xfId="3945"/>
    <cellStyle name="B_Bot_HK.EEV-Jun06 07-09 2006 (QF3) 21 2" xfId="3946"/>
    <cellStyle name="B_Bot_HK.EEV-Jun06 07-09 2006 (QF3) 21 3" xfId="25556"/>
    <cellStyle name="B_Bot_HK.EEV-Jun06 07-09 2006 (QF3) 22" xfId="3947"/>
    <cellStyle name="B_Bot_HK.EEV-Jun06 07-09 2006 (QF3) 22 2" xfId="3948"/>
    <cellStyle name="B_Bot_HK.EEV-Jun06 07-09 2006 (QF3) 22 3" xfId="25557"/>
    <cellStyle name="B_Bot_HK.EEV-Jun06 07-09 2006 (QF3) 23" xfId="3949"/>
    <cellStyle name="B_Bot_HK.EEV-Jun06 07-09 2006 (QF3) 23 2" xfId="3950"/>
    <cellStyle name="B_Bot_HK.EEV-Jun06 07-09 2006 (QF3) 23 3" xfId="25558"/>
    <cellStyle name="B_Bot_HK.EEV-Jun06 07-09 2006 (QF3) 24" xfId="3951"/>
    <cellStyle name="B_Bot_HK.EEV-Jun06 07-09 2006 (QF3) 25" xfId="25559"/>
    <cellStyle name="B_Bot_HK.EEV-Jun06 07-09 2006 (QF3) 3" xfId="3952"/>
    <cellStyle name="B_Bot_HK.EEV-Jun06 07-09 2006 (QF3) 3 2" xfId="3953"/>
    <cellStyle name="B_Bot_HK.EEV-Jun06 07-09 2006 (QF3) 3 3" xfId="25560"/>
    <cellStyle name="B_Bot_HK.EEV-Jun06 07-09 2006 (QF3) 4" xfId="3954"/>
    <cellStyle name="B_Bot_HK.EEV-Jun06 07-09 2006 (QF3) 4 2" xfId="3955"/>
    <cellStyle name="B_Bot_HK.EEV-Jun06 07-09 2006 (QF3) 4 3" xfId="25561"/>
    <cellStyle name="B_Bot_HK.EEV-Jun06 07-09 2006 (QF3) 5" xfId="3956"/>
    <cellStyle name="B_Bot_HK.EEV-Jun06 07-09 2006 (QF3) 5 2" xfId="3957"/>
    <cellStyle name="B_Bot_HK.EEV-Jun06 07-09 2006 (QF3) 5 3" xfId="25562"/>
    <cellStyle name="B_Bot_HK.EEV-Jun06 07-09 2006 (QF3) 6" xfId="3958"/>
    <cellStyle name="B_Bot_HK.EEV-Jun06 07-09 2006 (QF3) 6 2" xfId="3959"/>
    <cellStyle name="B_Bot_HK.EEV-Jun06 07-09 2006 (QF3) 6 3" xfId="25563"/>
    <cellStyle name="B_Bot_HK.EEV-Jun06 07-09 2006 (QF3) 7" xfId="3960"/>
    <cellStyle name="B_Bot_HK.EEV-Jun06 07-09 2006 (QF3) 7 2" xfId="3961"/>
    <cellStyle name="B_Bot_HK.EEV-Jun06 07-09 2006 (QF3) 7 3" xfId="25564"/>
    <cellStyle name="B_Bot_HK.EEV-Jun06 07-09 2006 (QF3) 8" xfId="3962"/>
    <cellStyle name="B_Bot_HK.EEV-Jun06 07-09 2006 (QF3) 8 2" xfId="3963"/>
    <cellStyle name="B_Bot_HK.EEV-Jun06 07-09 2006 (QF3) 8 3" xfId="25565"/>
    <cellStyle name="B_Bot_HK.EEV-Jun06 07-09 2006 (QF3) 9" xfId="3964"/>
    <cellStyle name="B_Bot_HK.EEV-Jun06 07-09 2006 (QF3) 9 2" xfId="3965"/>
    <cellStyle name="B_Bot_HK.EEV-Jun06 07-09 2006 (QF3) 9 3" xfId="25566"/>
    <cellStyle name="B_Bot_HK.EEV-Jun06 07-09 2006 (QF3)_PROD_DETAILS" xfId="3966"/>
    <cellStyle name="B_Bot_HK.EEV-Jun06 07-09 2006 (QF3)_PROD_DETAILS 2" xfId="3967"/>
    <cellStyle name="B_Bot_HK.EEV-Jun06 07-09 2006 (QF3)_PROD_DETAILS 3" xfId="25567"/>
    <cellStyle name="B_Bot_HK.EEV-Jun06 07-09 2006 (QF3)_SOLVENCY POSITION " xfId="3968"/>
    <cellStyle name="B_Bot_HK.EEV-Jun06 07-09 2006 (QF3)_SOLVENCY POSITION  2" xfId="3969"/>
    <cellStyle name="B_Bot_HK.EEV-Jun06 07-09 2006 (QF3)_SOLVENCY POSITION  3" xfId="25568"/>
    <cellStyle name="B_Bot_HK.EEV-May06 4+2" xfId="3970"/>
    <cellStyle name="B_Bot_HK.EEV-May06 4+2 10" xfId="3971"/>
    <cellStyle name="B_Bot_HK.EEV-May06 4+2 10 2" xfId="3972"/>
    <cellStyle name="B_Bot_HK.EEV-May06 4+2 10 3" xfId="25569"/>
    <cellStyle name="B_Bot_HK.EEV-May06 4+2 11" xfId="3973"/>
    <cellStyle name="B_Bot_HK.EEV-May06 4+2 11 2" xfId="3974"/>
    <cellStyle name="B_Bot_HK.EEV-May06 4+2 11 3" xfId="25570"/>
    <cellStyle name="B_Bot_HK.EEV-May06 4+2 12" xfId="3975"/>
    <cellStyle name="B_Bot_HK.EEV-May06 4+2 12 2" xfId="3976"/>
    <cellStyle name="B_Bot_HK.EEV-May06 4+2 12 3" xfId="25571"/>
    <cellStyle name="B_Bot_HK.EEV-May06 4+2 13" xfId="3977"/>
    <cellStyle name="B_Bot_HK.EEV-May06 4+2 13 2" xfId="3978"/>
    <cellStyle name="B_Bot_HK.EEV-May06 4+2 13 3" xfId="25572"/>
    <cellStyle name="B_Bot_HK.EEV-May06 4+2 14" xfId="3979"/>
    <cellStyle name="B_Bot_HK.EEV-May06 4+2 14 2" xfId="3980"/>
    <cellStyle name="B_Bot_HK.EEV-May06 4+2 14 3" xfId="25573"/>
    <cellStyle name="B_Bot_HK.EEV-May06 4+2 15" xfId="3981"/>
    <cellStyle name="B_Bot_HK.EEV-May06 4+2 15 2" xfId="3982"/>
    <cellStyle name="B_Bot_HK.EEV-May06 4+2 15 3" xfId="25574"/>
    <cellStyle name="B_Bot_HK.EEV-May06 4+2 16" xfId="3983"/>
    <cellStyle name="B_Bot_HK.EEV-May06 4+2 16 2" xfId="3984"/>
    <cellStyle name="B_Bot_HK.EEV-May06 4+2 16 3" xfId="25575"/>
    <cellStyle name="B_Bot_HK.EEV-May06 4+2 17" xfId="3985"/>
    <cellStyle name="B_Bot_HK.EEV-May06 4+2 17 2" xfId="3986"/>
    <cellStyle name="B_Bot_HK.EEV-May06 4+2 17 3" xfId="25576"/>
    <cellStyle name="B_Bot_HK.EEV-May06 4+2 18" xfId="3987"/>
    <cellStyle name="B_Bot_HK.EEV-May06 4+2 18 2" xfId="3988"/>
    <cellStyle name="B_Bot_HK.EEV-May06 4+2 18 3" xfId="25577"/>
    <cellStyle name="B_Bot_HK.EEV-May06 4+2 19" xfId="3989"/>
    <cellStyle name="B_Bot_HK.EEV-May06 4+2 19 2" xfId="3990"/>
    <cellStyle name="B_Bot_HK.EEV-May06 4+2 19 3" xfId="25578"/>
    <cellStyle name="B_Bot_HK.EEV-May06 4+2 2" xfId="3991"/>
    <cellStyle name="B_Bot_HK.EEV-May06 4+2 2 2" xfId="3992"/>
    <cellStyle name="B_Bot_HK.EEV-May06 4+2 2 3" xfId="25579"/>
    <cellStyle name="B_Bot_HK.EEV-May06 4+2 20" xfId="3993"/>
    <cellStyle name="B_Bot_HK.EEV-May06 4+2 20 2" xfId="3994"/>
    <cellStyle name="B_Bot_HK.EEV-May06 4+2 20 3" xfId="25580"/>
    <cellStyle name="B_Bot_HK.EEV-May06 4+2 21" xfId="3995"/>
    <cellStyle name="B_Bot_HK.EEV-May06 4+2 21 2" xfId="3996"/>
    <cellStyle name="B_Bot_HK.EEV-May06 4+2 21 3" xfId="25581"/>
    <cellStyle name="B_Bot_HK.EEV-May06 4+2 22" xfId="3997"/>
    <cellStyle name="B_Bot_HK.EEV-May06 4+2 22 2" xfId="3998"/>
    <cellStyle name="B_Bot_HK.EEV-May06 4+2 22 3" xfId="25582"/>
    <cellStyle name="B_Bot_HK.EEV-May06 4+2 23" xfId="3999"/>
    <cellStyle name="B_Bot_HK.EEV-May06 4+2 23 2" xfId="4000"/>
    <cellStyle name="B_Bot_HK.EEV-May06 4+2 23 3" xfId="25583"/>
    <cellStyle name="B_Bot_HK.EEV-May06 4+2 24" xfId="4001"/>
    <cellStyle name="B_Bot_HK.EEV-May06 4+2 25" xfId="25584"/>
    <cellStyle name="B_Bot_HK.EEV-May06 4+2 3" xfId="4002"/>
    <cellStyle name="B_Bot_HK.EEV-May06 4+2 3 2" xfId="4003"/>
    <cellStyle name="B_Bot_HK.EEV-May06 4+2 3 3" xfId="25585"/>
    <cellStyle name="B_Bot_HK.EEV-May06 4+2 4" xfId="4004"/>
    <cellStyle name="B_Bot_HK.EEV-May06 4+2 4 2" xfId="4005"/>
    <cellStyle name="B_Bot_HK.EEV-May06 4+2 4 3" xfId="25586"/>
    <cellStyle name="B_Bot_HK.EEV-May06 4+2 5" xfId="4006"/>
    <cellStyle name="B_Bot_HK.EEV-May06 4+2 5 2" xfId="4007"/>
    <cellStyle name="B_Bot_HK.EEV-May06 4+2 5 3" xfId="25587"/>
    <cellStyle name="B_Bot_HK.EEV-May06 4+2 6" xfId="4008"/>
    <cellStyle name="B_Bot_HK.EEV-May06 4+2 6 2" xfId="4009"/>
    <cellStyle name="B_Bot_HK.EEV-May06 4+2 6 3" xfId="25588"/>
    <cellStyle name="B_Bot_HK.EEV-May06 4+2 7" xfId="4010"/>
    <cellStyle name="B_Bot_HK.EEV-May06 4+2 7 2" xfId="4011"/>
    <cellStyle name="B_Bot_HK.EEV-May06 4+2 7 3" xfId="25589"/>
    <cellStyle name="B_Bot_HK.EEV-May06 4+2 8" xfId="4012"/>
    <cellStyle name="B_Bot_HK.EEV-May06 4+2 8 2" xfId="4013"/>
    <cellStyle name="B_Bot_HK.EEV-May06 4+2 8 3" xfId="25590"/>
    <cellStyle name="B_Bot_HK.EEV-May06 4+2 9" xfId="4014"/>
    <cellStyle name="B_Bot_HK.EEV-May06 4+2 9 2" xfId="4015"/>
    <cellStyle name="B_Bot_HK.EEV-May06 4+2 9 3" xfId="25591"/>
    <cellStyle name="B_Bot_HK.EEV-May06 4+2_HK.EEV-May06 4+2 kkh" xfId="4016"/>
    <cellStyle name="B_Bot_HK.EEV-May06 4+2_HK.EEV-May06 4+2 kkh 10" xfId="4017"/>
    <cellStyle name="B_Bot_HK.EEV-May06 4+2_HK.EEV-May06 4+2 kkh 10 2" xfId="4018"/>
    <cellStyle name="B_Bot_HK.EEV-May06 4+2_HK.EEV-May06 4+2 kkh 10 3" xfId="25592"/>
    <cellStyle name="B_Bot_HK.EEV-May06 4+2_HK.EEV-May06 4+2 kkh 11" xfId="4019"/>
    <cellStyle name="B_Bot_HK.EEV-May06 4+2_HK.EEV-May06 4+2 kkh 11 2" xfId="4020"/>
    <cellStyle name="B_Bot_HK.EEV-May06 4+2_HK.EEV-May06 4+2 kkh 11 3" xfId="25593"/>
    <cellStyle name="B_Bot_HK.EEV-May06 4+2_HK.EEV-May06 4+2 kkh 12" xfId="4021"/>
    <cellStyle name="B_Bot_HK.EEV-May06 4+2_HK.EEV-May06 4+2 kkh 12 2" xfId="4022"/>
    <cellStyle name="B_Bot_HK.EEV-May06 4+2_HK.EEV-May06 4+2 kkh 12 3" xfId="25594"/>
    <cellStyle name="B_Bot_HK.EEV-May06 4+2_HK.EEV-May06 4+2 kkh 13" xfId="4023"/>
    <cellStyle name="B_Bot_HK.EEV-May06 4+2_HK.EEV-May06 4+2 kkh 13 2" xfId="4024"/>
    <cellStyle name="B_Bot_HK.EEV-May06 4+2_HK.EEV-May06 4+2 kkh 13 3" xfId="25595"/>
    <cellStyle name="B_Bot_HK.EEV-May06 4+2_HK.EEV-May06 4+2 kkh 14" xfId="4025"/>
    <cellStyle name="B_Bot_HK.EEV-May06 4+2_HK.EEV-May06 4+2 kkh 14 2" xfId="4026"/>
    <cellStyle name="B_Bot_HK.EEV-May06 4+2_HK.EEV-May06 4+2 kkh 14 3" xfId="25596"/>
    <cellStyle name="B_Bot_HK.EEV-May06 4+2_HK.EEV-May06 4+2 kkh 15" xfId="4027"/>
    <cellStyle name="B_Bot_HK.EEV-May06 4+2_HK.EEV-May06 4+2 kkh 15 2" xfId="4028"/>
    <cellStyle name="B_Bot_HK.EEV-May06 4+2_HK.EEV-May06 4+2 kkh 15 3" xfId="25597"/>
    <cellStyle name="B_Bot_HK.EEV-May06 4+2_HK.EEV-May06 4+2 kkh 16" xfId="4029"/>
    <cellStyle name="B_Bot_HK.EEV-May06 4+2_HK.EEV-May06 4+2 kkh 16 2" xfId="4030"/>
    <cellStyle name="B_Bot_HK.EEV-May06 4+2_HK.EEV-May06 4+2 kkh 16 3" xfId="25598"/>
    <cellStyle name="B_Bot_HK.EEV-May06 4+2_HK.EEV-May06 4+2 kkh 17" xfId="4031"/>
    <cellStyle name="B_Bot_HK.EEV-May06 4+2_HK.EEV-May06 4+2 kkh 17 2" xfId="4032"/>
    <cellStyle name="B_Bot_HK.EEV-May06 4+2_HK.EEV-May06 4+2 kkh 17 3" xfId="25599"/>
    <cellStyle name="B_Bot_HK.EEV-May06 4+2_HK.EEV-May06 4+2 kkh 18" xfId="4033"/>
    <cellStyle name="B_Bot_HK.EEV-May06 4+2_HK.EEV-May06 4+2 kkh 18 2" xfId="4034"/>
    <cellStyle name="B_Bot_HK.EEV-May06 4+2_HK.EEV-May06 4+2 kkh 18 3" xfId="25600"/>
    <cellStyle name="B_Bot_HK.EEV-May06 4+2_HK.EEV-May06 4+2 kkh 19" xfId="4035"/>
    <cellStyle name="B_Bot_HK.EEV-May06 4+2_HK.EEV-May06 4+2 kkh 19 2" xfId="4036"/>
    <cellStyle name="B_Bot_HK.EEV-May06 4+2_HK.EEV-May06 4+2 kkh 19 3" xfId="25601"/>
    <cellStyle name="B_Bot_HK.EEV-May06 4+2_HK.EEV-May06 4+2 kkh 2" xfId="4037"/>
    <cellStyle name="B_Bot_HK.EEV-May06 4+2_HK.EEV-May06 4+2 kkh 2 2" xfId="4038"/>
    <cellStyle name="B_Bot_HK.EEV-May06 4+2_HK.EEV-May06 4+2 kkh 2 3" xfId="25602"/>
    <cellStyle name="B_Bot_HK.EEV-May06 4+2_HK.EEV-May06 4+2 kkh 20" xfId="4039"/>
    <cellStyle name="B_Bot_HK.EEV-May06 4+2_HK.EEV-May06 4+2 kkh 20 2" xfId="4040"/>
    <cellStyle name="B_Bot_HK.EEV-May06 4+2_HK.EEV-May06 4+2 kkh 20 3" xfId="25603"/>
    <cellStyle name="B_Bot_HK.EEV-May06 4+2_HK.EEV-May06 4+2 kkh 21" xfId="4041"/>
    <cellStyle name="B_Bot_HK.EEV-May06 4+2_HK.EEV-May06 4+2 kkh 21 2" xfId="4042"/>
    <cellStyle name="B_Bot_HK.EEV-May06 4+2_HK.EEV-May06 4+2 kkh 21 3" xfId="25604"/>
    <cellStyle name="B_Bot_HK.EEV-May06 4+2_HK.EEV-May06 4+2 kkh 22" xfId="4043"/>
    <cellStyle name="B_Bot_HK.EEV-May06 4+2_HK.EEV-May06 4+2 kkh 22 2" xfId="4044"/>
    <cellStyle name="B_Bot_HK.EEV-May06 4+2_HK.EEV-May06 4+2 kkh 22 3" xfId="25605"/>
    <cellStyle name="B_Bot_HK.EEV-May06 4+2_HK.EEV-May06 4+2 kkh 23" xfId="4045"/>
    <cellStyle name="B_Bot_HK.EEV-May06 4+2_HK.EEV-May06 4+2 kkh 23 2" xfId="4046"/>
    <cellStyle name="B_Bot_HK.EEV-May06 4+2_HK.EEV-May06 4+2 kkh 23 3" xfId="25606"/>
    <cellStyle name="B_Bot_HK.EEV-May06 4+2_HK.EEV-May06 4+2 kkh 24" xfId="4047"/>
    <cellStyle name="B_Bot_HK.EEV-May06 4+2_HK.EEV-May06 4+2 kkh 25" xfId="25607"/>
    <cellStyle name="B_Bot_HK.EEV-May06 4+2_HK.EEV-May06 4+2 kkh 3" xfId="4048"/>
    <cellStyle name="B_Bot_HK.EEV-May06 4+2_HK.EEV-May06 4+2 kkh 3 2" xfId="4049"/>
    <cellStyle name="B_Bot_HK.EEV-May06 4+2_HK.EEV-May06 4+2 kkh 3 3" xfId="25608"/>
    <cellStyle name="B_Bot_HK.EEV-May06 4+2_HK.EEV-May06 4+2 kkh 4" xfId="4050"/>
    <cellStyle name="B_Bot_HK.EEV-May06 4+2_HK.EEV-May06 4+2 kkh 4 2" xfId="4051"/>
    <cellStyle name="B_Bot_HK.EEV-May06 4+2_HK.EEV-May06 4+2 kkh 4 3" xfId="25609"/>
    <cellStyle name="B_Bot_HK.EEV-May06 4+2_HK.EEV-May06 4+2 kkh 5" xfId="4052"/>
    <cellStyle name="B_Bot_HK.EEV-May06 4+2_HK.EEV-May06 4+2 kkh 5 2" xfId="4053"/>
    <cellStyle name="B_Bot_HK.EEV-May06 4+2_HK.EEV-May06 4+2 kkh 5 3" xfId="25610"/>
    <cellStyle name="B_Bot_HK.EEV-May06 4+2_HK.EEV-May06 4+2 kkh 6" xfId="4054"/>
    <cellStyle name="B_Bot_HK.EEV-May06 4+2_HK.EEV-May06 4+2 kkh 6 2" xfId="4055"/>
    <cellStyle name="B_Bot_HK.EEV-May06 4+2_HK.EEV-May06 4+2 kkh 6 3" xfId="25611"/>
    <cellStyle name="B_Bot_HK.EEV-May06 4+2_HK.EEV-May06 4+2 kkh 7" xfId="4056"/>
    <cellStyle name="B_Bot_HK.EEV-May06 4+2_HK.EEV-May06 4+2 kkh 7 2" xfId="4057"/>
    <cellStyle name="B_Bot_HK.EEV-May06 4+2_HK.EEV-May06 4+2 kkh 7 3" xfId="25612"/>
    <cellStyle name="B_Bot_HK.EEV-May06 4+2_HK.EEV-May06 4+2 kkh 8" xfId="4058"/>
    <cellStyle name="B_Bot_HK.EEV-May06 4+2_HK.EEV-May06 4+2 kkh 8 2" xfId="4059"/>
    <cellStyle name="B_Bot_HK.EEV-May06 4+2_HK.EEV-May06 4+2 kkh 8 3" xfId="25613"/>
    <cellStyle name="B_Bot_HK.EEV-May06 4+2_HK.EEV-May06 4+2 kkh 9" xfId="4060"/>
    <cellStyle name="B_Bot_HK.EEV-May06 4+2_HK.EEV-May06 4+2 kkh 9 2" xfId="4061"/>
    <cellStyle name="B_Bot_HK.EEV-May06 4+2_HK.EEV-May06 4+2 kkh 9 3" xfId="25614"/>
    <cellStyle name="B_Bot_HK.EEV-May06 4+2_HK.EEV-May06 4+2 kkh_PROD_DETAILS" xfId="4062"/>
    <cellStyle name="B_Bot_HK.EEV-May06 4+2_HK.EEV-May06 4+2 kkh_PROD_DETAILS 2" xfId="4063"/>
    <cellStyle name="B_Bot_HK.EEV-May06 4+2_HK.EEV-May06 4+2 kkh_PROD_DETAILS 3" xfId="25615"/>
    <cellStyle name="B_Bot_HK.EEV-May06 4+2_HK.EEV-May06 4+2 kkh_SOLVENCY POSITION " xfId="4064"/>
    <cellStyle name="B_Bot_HK.EEV-May06 4+2_HK.EEV-May06 4+2 kkh_SOLVENCY POSITION  2" xfId="4065"/>
    <cellStyle name="B_Bot_HK.EEV-May06 4+2_HK.EEV-May06 4+2 kkh_SOLVENCY POSITION  3" xfId="25616"/>
    <cellStyle name="B_Bot_HK.EEV-May06 4+2_PROD_DETAILS" xfId="4066"/>
    <cellStyle name="B_Bot_HK.EEV-May06 4+2_PROD_DETAILS 2" xfId="4067"/>
    <cellStyle name="B_Bot_HK.EEV-May06 4+2_PROD_DETAILS 3" xfId="25617"/>
    <cellStyle name="B_Bot_HK.EEV-May06 4+2_SOLVENCY POSITION " xfId="4068"/>
    <cellStyle name="B_Bot_HK.EEV-May06 4+2_SOLVENCY POSITION  2" xfId="4069"/>
    <cellStyle name="B_Bot_HK.EEV-May06 4+2_SOLVENCY POSITION  3" xfId="25618"/>
    <cellStyle name="B_Bot_HK.NBC@Mar2006" xfId="4070"/>
    <cellStyle name="B_Bot_HK.NBC@Mar2006 10" xfId="4071"/>
    <cellStyle name="B_Bot_HK.NBC@Mar2006 10 2" xfId="4072"/>
    <cellStyle name="B_Bot_HK.NBC@Mar2006 10 3" xfId="25619"/>
    <cellStyle name="B_Bot_HK.NBC@Mar2006 11" xfId="4073"/>
    <cellStyle name="B_Bot_HK.NBC@Mar2006 11 2" xfId="4074"/>
    <cellStyle name="B_Bot_HK.NBC@Mar2006 11 3" xfId="25620"/>
    <cellStyle name="B_Bot_HK.NBC@Mar2006 12" xfId="4075"/>
    <cellStyle name="B_Bot_HK.NBC@Mar2006 12 2" xfId="4076"/>
    <cellStyle name="B_Bot_HK.NBC@Mar2006 12 3" xfId="25621"/>
    <cellStyle name="B_Bot_HK.NBC@Mar2006 13" xfId="4077"/>
    <cellStyle name="B_Bot_HK.NBC@Mar2006 13 2" xfId="4078"/>
    <cellStyle name="B_Bot_HK.NBC@Mar2006 13 3" xfId="25622"/>
    <cellStyle name="B_Bot_HK.NBC@Mar2006 14" xfId="4079"/>
    <cellStyle name="B_Bot_HK.NBC@Mar2006 14 2" xfId="4080"/>
    <cellStyle name="B_Bot_HK.NBC@Mar2006 14 3" xfId="25623"/>
    <cellStyle name="B_Bot_HK.NBC@Mar2006 15" xfId="4081"/>
    <cellStyle name="B_Bot_HK.NBC@Mar2006 15 2" xfId="4082"/>
    <cellStyle name="B_Bot_HK.NBC@Mar2006 15 3" xfId="25624"/>
    <cellStyle name="B_Bot_HK.NBC@Mar2006 16" xfId="4083"/>
    <cellStyle name="B_Bot_HK.NBC@Mar2006 16 2" xfId="4084"/>
    <cellStyle name="B_Bot_HK.NBC@Mar2006 16 3" xfId="25625"/>
    <cellStyle name="B_Bot_HK.NBC@Mar2006 17" xfId="4085"/>
    <cellStyle name="B_Bot_HK.NBC@Mar2006 17 2" xfId="4086"/>
    <cellStyle name="B_Bot_HK.NBC@Mar2006 17 3" xfId="25626"/>
    <cellStyle name="B_Bot_HK.NBC@Mar2006 18" xfId="4087"/>
    <cellStyle name="B_Bot_HK.NBC@Mar2006 18 2" xfId="4088"/>
    <cellStyle name="B_Bot_HK.NBC@Mar2006 18 3" xfId="25627"/>
    <cellStyle name="B_Bot_HK.NBC@Mar2006 19" xfId="4089"/>
    <cellStyle name="B_Bot_HK.NBC@Mar2006 19 2" xfId="4090"/>
    <cellStyle name="B_Bot_HK.NBC@Mar2006 19 3" xfId="25628"/>
    <cellStyle name="B_Bot_HK.NBC@Mar2006 2" xfId="4091"/>
    <cellStyle name="B_Bot_HK.NBC@Mar2006 2 2" xfId="4092"/>
    <cellStyle name="B_Bot_HK.NBC@Mar2006 2 3" xfId="25629"/>
    <cellStyle name="B_Bot_HK.NBC@Mar2006 20" xfId="4093"/>
    <cellStyle name="B_Bot_HK.NBC@Mar2006 20 2" xfId="4094"/>
    <cellStyle name="B_Bot_HK.NBC@Mar2006 20 3" xfId="25630"/>
    <cellStyle name="B_Bot_HK.NBC@Mar2006 21" xfId="4095"/>
    <cellStyle name="B_Bot_HK.NBC@Mar2006 21 2" xfId="4096"/>
    <cellStyle name="B_Bot_HK.NBC@Mar2006 21 3" xfId="25631"/>
    <cellStyle name="B_Bot_HK.NBC@Mar2006 22" xfId="4097"/>
    <cellStyle name="B_Bot_HK.NBC@Mar2006 22 2" xfId="4098"/>
    <cellStyle name="B_Bot_HK.NBC@Mar2006 22 3" xfId="25632"/>
    <cellStyle name="B_Bot_HK.NBC@Mar2006 23" xfId="4099"/>
    <cellStyle name="B_Bot_HK.NBC@Mar2006 23 2" xfId="4100"/>
    <cellStyle name="B_Bot_HK.NBC@Mar2006 23 3" xfId="25633"/>
    <cellStyle name="B_Bot_HK.NBC@Mar2006 24" xfId="4101"/>
    <cellStyle name="B_Bot_HK.NBC@Mar2006 25" xfId="25634"/>
    <cellStyle name="B_Bot_HK.NBC@Mar2006 3" xfId="4102"/>
    <cellStyle name="B_Bot_HK.NBC@Mar2006 3 2" xfId="4103"/>
    <cellStyle name="B_Bot_HK.NBC@Mar2006 3 3" xfId="25635"/>
    <cellStyle name="B_Bot_HK.NBC@Mar2006 4" xfId="4104"/>
    <cellStyle name="B_Bot_HK.NBC@Mar2006 4 2" xfId="4105"/>
    <cellStyle name="B_Bot_HK.NBC@Mar2006 4 3" xfId="25636"/>
    <cellStyle name="B_Bot_HK.NBC@Mar2006 5" xfId="4106"/>
    <cellStyle name="B_Bot_HK.NBC@Mar2006 5 2" xfId="4107"/>
    <cellStyle name="B_Bot_HK.NBC@Mar2006 5 3" xfId="25637"/>
    <cellStyle name="B_Bot_HK.NBC@Mar2006 6" xfId="4108"/>
    <cellStyle name="B_Bot_HK.NBC@Mar2006 6 2" xfId="4109"/>
    <cellStyle name="B_Bot_HK.NBC@Mar2006 6 3" xfId="25638"/>
    <cellStyle name="B_Bot_HK.NBC@Mar2006 7" xfId="4110"/>
    <cellStyle name="B_Bot_HK.NBC@Mar2006 7 2" xfId="4111"/>
    <cellStyle name="B_Bot_HK.NBC@Mar2006 7 3" xfId="25639"/>
    <cellStyle name="B_Bot_HK.NBC@Mar2006 8" xfId="4112"/>
    <cellStyle name="B_Bot_HK.NBC@Mar2006 8 2" xfId="4113"/>
    <cellStyle name="B_Bot_HK.NBC@Mar2006 8 3" xfId="25640"/>
    <cellStyle name="B_Bot_HK.NBC@Mar2006 9" xfId="4114"/>
    <cellStyle name="B_Bot_HK.NBC@Mar2006 9 2" xfId="4115"/>
    <cellStyle name="B_Bot_HK.NBC@Mar2006 9 3" xfId="25641"/>
    <cellStyle name="B_Bot_HK.NBC@Mar2006_HK.EEV-May06 4+2 kkh" xfId="4116"/>
    <cellStyle name="B_Bot_HK.NBC@Mar2006_HK.EEV-May06 4+2 kkh 10" xfId="4117"/>
    <cellStyle name="B_Bot_HK.NBC@Mar2006_HK.EEV-May06 4+2 kkh 10 2" xfId="4118"/>
    <cellStyle name="B_Bot_HK.NBC@Mar2006_HK.EEV-May06 4+2 kkh 10 3" xfId="25642"/>
    <cellStyle name="B_Bot_HK.NBC@Mar2006_HK.EEV-May06 4+2 kkh 11" xfId="4119"/>
    <cellStyle name="B_Bot_HK.NBC@Mar2006_HK.EEV-May06 4+2 kkh 11 2" xfId="4120"/>
    <cellStyle name="B_Bot_HK.NBC@Mar2006_HK.EEV-May06 4+2 kkh 11 3" xfId="25643"/>
    <cellStyle name="B_Bot_HK.NBC@Mar2006_HK.EEV-May06 4+2 kkh 12" xfId="4121"/>
    <cellStyle name="B_Bot_HK.NBC@Mar2006_HK.EEV-May06 4+2 kkh 12 2" xfId="4122"/>
    <cellStyle name="B_Bot_HK.NBC@Mar2006_HK.EEV-May06 4+2 kkh 12 3" xfId="25644"/>
    <cellStyle name="B_Bot_HK.NBC@Mar2006_HK.EEV-May06 4+2 kkh 13" xfId="4123"/>
    <cellStyle name="B_Bot_HK.NBC@Mar2006_HK.EEV-May06 4+2 kkh 13 2" xfId="4124"/>
    <cellStyle name="B_Bot_HK.NBC@Mar2006_HK.EEV-May06 4+2 kkh 13 3" xfId="25645"/>
    <cellStyle name="B_Bot_HK.NBC@Mar2006_HK.EEV-May06 4+2 kkh 14" xfId="4125"/>
    <cellStyle name="B_Bot_HK.NBC@Mar2006_HK.EEV-May06 4+2 kkh 14 2" xfId="4126"/>
    <cellStyle name="B_Bot_HK.NBC@Mar2006_HK.EEV-May06 4+2 kkh 14 3" xfId="25646"/>
    <cellStyle name="B_Bot_HK.NBC@Mar2006_HK.EEV-May06 4+2 kkh 15" xfId="4127"/>
    <cellStyle name="B_Bot_HK.NBC@Mar2006_HK.EEV-May06 4+2 kkh 15 2" xfId="4128"/>
    <cellStyle name="B_Bot_HK.NBC@Mar2006_HK.EEV-May06 4+2 kkh 15 3" xfId="25647"/>
    <cellStyle name="B_Bot_HK.NBC@Mar2006_HK.EEV-May06 4+2 kkh 16" xfId="4129"/>
    <cellStyle name="B_Bot_HK.NBC@Mar2006_HK.EEV-May06 4+2 kkh 16 2" xfId="4130"/>
    <cellStyle name="B_Bot_HK.NBC@Mar2006_HK.EEV-May06 4+2 kkh 16 3" xfId="25648"/>
    <cellStyle name="B_Bot_HK.NBC@Mar2006_HK.EEV-May06 4+2 kkh 17" xfId="4131"/>
    <cellStyle name="B_Bot_HK.NBC@Mar2006_HK.EEV-May06 4+2 kkh 17 2" xfId="4132"/>
    <cellStyle name="B_Bot_HK.NBC@Mar2006_HK.EEV-May06 4+2 kkh 17 3" xfId="25649"/>
    <cellStyle name="B_Bot_HK.NBC@Mar2006_HK.EEV-May06 4+2 kkh 18" xfId="4133"/>
    <cellStyle name="B_Bot_HK.NBC@Mar2006_HK.EEV-May06 4+2 kkh 18 2" xfId="4134"/>
    <cellStyle name="B_Bot_HK.NBC@Mar2006_HK.EEV-May06 4+2 kkh 18 3" xfId="25650"/>
    <cellStyle name="B_Bot_HK.NBC@Mar2006_HK.EEV-May06 4+2 kkh 19" xfId="4135"/>
    <cellStyle name="B_Bot_HK.NBC@Mar2006_HK.EEV-May06 4+2 kkh 19 2" xfId="4136"/>
    <cellStyle name="B_Bot_HK.NBC@Mar2006_HK.EEV-May06 4+2 kkh 19 3" xfId="25651"/>
    <cellStyle name="B_Bot_HK.NBC@Mar2006_HK.EEV-May06 4+2 kkh 2" xfId="4137"/>
    <cellStyle name="B_Bot_HK.NBC@Mar2006_HK.EEV-May06 4+2 kkh 2 2" xfId="4138"/>
    <cellStyle name="B_Bot_HK.NBC@Mar2006_HK.EEV-May06 4+2 kkh 2 3" xfId="25652"/>
    <cellStyle name="B_Bot_HK.NBC@Mar2006_HK.EEV-May06 4+2 kkh 20" xfId="4139"/>
    <cellStyle name="B_Bot_HK.NBC@Mar2006_HK.EEV-May06 4+2 kkh 20 2" xfId="4140"/>
    <cellStyle name="B_Bot_HK.NBC@Mar2006_HK.EEV-May06 4+2 kkh 20 3" xfId="25653"/>
    <cellStyle name="B_Bot_HK.NBC@Mar2006_HK.EEV-May06 4+2 kkh 21" xfId="4141"/>
    <cellStyle name="B_Bot_HK.NBC@Mar2006_HK.EEV-May06 4+2 kkh 21 2" xfId="4142"/>
    <cellStyle name="B_Bot_HK.NBC@Mar2006_HK.EEV-May06 4+2 kkh 21 3" xfId="25654"/>
    <cellStyle name="B_Bot_HK.NBC@Mar2006_HK.EEV-May06 4+2 kkh 22" xfId="4143"/>
    <cellStyle name="B_Bot_HK.NBC@Mar2006_HK.EEV-May06 4+2 kkh 22 2" xfId="4144"/>
    <cellStyle name="B_Bot_HK.NBC@Mar2006_HK.EEV-May06 4+2 kkh 22 3" xfId="25655"/>
    <cellStyle name="B_Bot_HK.NBC@Mar2006_HK.EEV-May06 4+2 kkh 23" xfId="4145"/>
    <cellStyle name="B_Bot_HK.NBC@Mar2006_HK.EEV-May06 4+2 kkh 23 2" xfId="4146"/>
    <cellStyle name="B_Bot_HK.NBC@Mar2006_HK.EEV-May06 4+2 kkh 23 3" xfId="25656"/>
    <cellStyle name="B_Bot_HK.NBC@Mar2006_HK.EEV-May06 4+2 kkh 24" xfId="4147"/>
    <cellStyle name="B_Bot_HK.NBC@Mar2006_HK.EEV-May06 4+2 kkh 25" xfId="25657"/>
    <cellStyle name="B_Bot_HK.NBC@Mar2006_HK.EEV-May06 4+2 kkh 3" xfId="4148"/>
    <cellStyle name="B_Bot_HK.NBC@Mar2006_HK.EEV-May06 4+2 kkh 3 2" xfId="4149"/>
    <cellStyle name="B_Bot_HK.NBC@Mar2006_HK.EEV-May06 4+2 kkh 3 3" xfId="25658"/>
    <cellStyle name="B_Bot_HK.NBC@Mar2006_HK.EEV-May06 4+2 kkh 4" xfId="4150"/>
    <cellStyle name="B_Bot_HK.NBC@Mar2006_HK.EEV-May06 4+2 kkh 4 2" xfId="4151"/>
    <cellStyle name="B_Bot_HK.NBC@Mar2006_HK.EEV-May06 4+2 kkh 4 3" xfId="25659"/>
    <cellStyle name="B_Bot_HK.NBC@Mar2006_HK.EEV-May06 4+2 kkh 5" xfId="4152"/>
    <cellStyle name="B_Bot_HK.NBC@Mar2006_HK.EEV-May06 4+2 kkh 5 2" xfId="4153"/>
    <cellStyle name="B_Bot_HK.NBC@Mar2006_HK.EEV-May06 4+2 kkh 5 3" xfId="25660"/>
    <cellStyle name="B_Bot_HK.NBC@Mar2006_HK.EEV-May06 4+2 kkh 6" xfId="4154"/>
    <cellStyle name="B_Bot_HK.NBC@Mar2006_HK.EEV-May06 4+2 kkh 6 2" xfId="4155"/>
    <cellStyle name="B_Bot_HK.NBC@Mar2006_HK.EEV-May06 4+2 kkh 6 3" xfId="25661"/>
    <cellStyle name="B_Bot_HK.NBC@Mar2006_HK.EEV-May06 4+2 kkh 7" xfId="4156"/>
    <cellStyle name="B_Bot_HK.NBC@Mar2006_HK.EEV-May06 4+2 kkh 7 2" xfId="4157"/>
    <cellStyle name="B_Bot_HK.NBC@Mar2006_HK.EEV-May06 4+2 kkh 7 3" xfId="25662"/>
    <cellStyle name="B_Bot_HK.NBC@Mar2006_HK.EEV-May06 4+2 kkh 8" xfId="4158"/>
    <cellStyle name="B_Bot_HK.NBC@Mar2006_HK.EEV-May06 4+2 kkh 8 2" xfId="4159"/>
    <cellStyle name="B_Bot_HK.NBC@Mar2006_HK.EEV-May06 4+2 kkh 8 3" xfId="25663"/>
    <cellStyle name="B_Bot_HK.NBC@Mar2006_HK.EEV-May06 4+2 kkh 9" xfId="4160"/>
    <cellStyle name="B_Bot_HK.NBC@Mar2006_HK.EEV-May06 4+2 kkh 9 2" xfId="4161"/>
    <cellStyle name="B_Bot_HK.NBC@Mar2006_HK.EEV-May06 4+2 kkh 9 3" xfId="25664"/>
    <cellStyle name="B_Bot_HK.NBC@Mar2006_HK.EEV-May06 4+2 kkh_PROD_DETAILS" xfId="4162"/>
    <cellStyle name="B_Bot_HK.NBC@Mar2006_HK.EEV-May06 4+2 kkh_PROD_DETAILS 2" xfId="4163"/>
    <cellStyle name="B_Bot_HK.NBC@Mar2006_HK.EEV-May06 4+2 kkh_PROD_DETAILS 3" xfId="25665"/>
    <cellStyle name="B_Bot_HK.NBC@Mar2006_HK.EEV-May06 4+2 kkh_SOLVENCY POSITION " xfId="4164"/>
    <cellStyle name="B_Bot_HK.NBC@Mar2006_HK.EEV-May06 4+2 kkh_SOLVENCY POSITION  2" xfId="4165"/>
    <cellStyle name="B_Bot_HK.NBC@Mar2006_HK.EEV-May06 4+2 kkh_SOLVENCY POSITION  3" xfId="25666"/>
    <cellStyle name="B_Bot_HK.NBC@Mar2006_PROD_DETAILS" xfId="4166"/>
    <cellStyle name="B_Bot_HK.NBC@Mar2006_PROD_DETAILS 2" xfId="4167"/>
    <cellStyle name="B_Bot_HK.NBC@Mar2006_PROD_DETAILS 3" xfId="25667"/>
    <cellStyle name="B_Bot_HK.NBC@Mar2006_SOLVENCY POSITION " xfId="4168"/>
    <cellStyle name="B_Bot_HK.NBC@Mar2006_SOLVENCY POSITION  2" xfId="4169"/>
    <cellStyle name="B_Bot_HK.NBC@Mar2006_SOLVENCY POSITION  3" xfId="25668"/>
    <cellStyle name="B_Bot_HK_NBC@Dec2007(New Lapse)Final" xfId="4170"/>
    <cellStyle name="B_Bot_HK_NBC@Dec2007(New Lapse)Final 10" xfId="4171"/>
    <cellStyle name="B_Bot_HK_NBC@Dec2007(New Lapse)Final 10 2" xfId="4172"/>
    <cellStyle name="B_Bot_HK_NBC@Dec2007(New Lapse)Final 10 3" xfId="25669"/>
    <cellStyle name="B_Bot_HK_NBC@Dec2007(New Lapse)Final 11" xfId="4173"/>
    <cellStyle name="B_Bot_HK_NBC@Dec2007(New Lapse)Final 11 2" xfId="4174"/>
    <cellStyle name="B_Bot_HK_NBC@Dec2007(New Lapse)Final 11 3" xfId="25670"/>
    <cellStyle name="B_Bot_HK_NBC@Dec2007(New Lapse)Final 12" xfId="4175"/>
    <cellStyle name="B_Bot_HK_NBC@Dec2007(New Lapse)Final 12 2" xfId="4176"/>
    <cellStyle name="B_Bot_HK_NBC@Dec2007(New Lapse)Final 12 3" xfId="25671"/>
    <cellStyle name="B_Bot_HK_NBC@Dec2007(New Lapse)Final 13" xfId="4177"/>
    <cellStyle name="B_Bot_HK_NBC@Dec2007(New Lapse)Final 13 2" xfId="4178"/>
    <cellStyle name="B_Bot_HK_NBC@Dec2007(New Lapse)Final 13 3" xfId="25672"/>
    <cellStyle name="B_Bot_HK_NBC@Dec2007(New Lapse)Final 14" xfId="4179"/>
    <cellStyle name="B_Bot_HK_NBC@Dec2007(New Lapse)Final 14 2" xfId="4180"/>
    <cellStyle name="B_Bot_HK_NBC@Dec2007(New Lapse)Final 14 3" xfId="25673"/>
    <cellStyle name="B_Bot_HK_NBC@Dec2007(New Lapse)Final 15" xfId="4181"/>
    <cellStyle name="B_Bot_HK_NBC@Dec2007(New Lapse)Final 15 2" xfId="4182"/>
    <cellStyle name="B_Bot_HK_NBC@Dec2007(New Lapse)Final 15 3" xfId="25674"/>
    <cellStyle name="B_Bot_HK_NBC@Dec2007(New Lapse)Final 16" xfId="4183"/>
    <cellStyle name="B_Bot_HK_NBC@Dec2007(New Lapse)Final 16 2" xfId="4184"/>
    <cellStyle name="B_Bot_HK_NBC@Dec2007(New Lapse)Final 16 3" xfId="25675"/>
    <cellStyle name="B_Bot_HK_NBC@Dec2007(New Lapse)Final 17" xfId="4185"/>
    <cellStyle name="B_Bot_HK_NBC@Dec2007(New Lapse)Final 17 2" xfId="4186"/>
    <cellStyle name="B_Bot_HK_NBC@Dec2007(New Lapse)Final 17 3" xfId="25676"/>
    <cellStyle name="B_Bot_HK_NBC@Dec2007(New Lapse)Final 18" xfId="4187"/>
    <cellStyle name="B_Bot_HK_NBC@Dec2007(New Lapse)Final 18 2" xfId="4188"/>
    <cellStyle name="B_Bot_HK_NBC@Dec2007(New Lapse)Final 18 3" xfId="25677"/>
    <cellStyle name="B_Bot_HK_NBC@Dec2007(New Lapse)Final 19" xfId="4189"/>
    <cellStyle name="B_Bot_HK_NBC@Dec2007(New Lapse)Final 19 2" xfId="4190"/>
    <cellStyle name="B_Bot_HK_NBC@Dec2007(New Lapse)Final 19 3" xfId="25678"/>
    <cellStyle name="B_Bot_HK_NBC@Dec2007(New Lapse)Final 2" xfId="4191"/>
    <cellStyle name="B_Bot_HK_NBC@Dec2007(New Lapse)Final 2 2" xfId="4192"/>
    <cellStyle name="B_Bot_HK_NBC@Dec2007(New Lapse)Final 2 3" xfId="25679"/>
    <cellStyle name="B_Bot_HK_NBC@Dec2007(New Lapse)Final 20" xfId="4193"/>
    <cellStyle name="B_Bot_HK_NBC@Dec2007(New Lapse)Final 20 2" xfId="4194"/>
    <cellStyle name="B_Bot_HK_NBC@Dec2007(New Lapse)Final 20 3" xfId="25680"/>
    <cellStyle name="B_Bot_HK_NBC@Dec2007(New Lapse)Final 21" xfId="4195"/>
    <cellStyle name="B_Bot_HK_NBC@Dec2007(New Lapse)Final 21 2" xfId="4196"/>
    <cellStyle name="B_Bot_HK_NBC@Dec2007(New Lapse)Final 21 3" xfId="25681"/>
    <cellStyle name="B_Bot_HK_NBC@Dec2007(New Lapse)Final 22" xfId="4197"/>
    <cellStyle name="B_Bot_HK_NBC@Dec2007(New Lapse)Final 22 2" xfId="4198"/>
    <cellStyle name="B_Bot_HK_NBC@Dec2007(New Lapse)Final 22 3" xfId="25682"/>
    <cellStyle name="B_Bot_HK_NBC@Dec2007(New Lapse)Final 23" xfId="4199"/>
    <cellStyle name="B_Bot_HK_NBC@Dec2007(New Lapse)Final 23 2" xfId="4200"/>
    <cellStyle name="B_Bot_HK_NBC@Dec2007(New Lapse)Final 23 3" xfId="25683"/>
    <cellStyle name="B_Bot_HK_NBC@Dec2007(New Lapse)Final 24" xfId="4201"/>
    <cellStyle name="B_Bot_HK_NBC@Dec2007(New Lapse)Final 25" xfId="25684"/>
    <cellStyle name="B_Bot_HK_NBC@Dec2007(New Lapse)Final 3" xfId="4202"/>
    <cellStyle name="B_Bot_HK_NBC@Dec2007(New Lapse)Final 3 2" xfId="4203"/>
    <cellStyle name="B_Bot_HK_NBC@Dec2007(New Lapse)Final 3 3" xfId="25685"/>
    <cellStyle name="B_Bot_HK_NBC@Dec2007(New Lapse)Final 4" xfId="4204"/>
    <cellStyle name="B_Bot_HK_NBC@Dec2007(New Lapse)Final 4 2" xfId="4205"/>
    <cellStyle name="B_Bot_HK_NBC@Dec2007(New Lapse)Final 4 3" xfId="25686"/>
    <cellStyle name="B_Bot_HK_NBC@Dec2007(New Lapse)Final 5" xfId="4206"/>
    <cellStyle name="B_Bot_HK_NBC@Dec2007(New Lapse)Final 5 2" xfId="4207"/>
    <cellStyle name="B_Bot_HK_NBC@Dec2007(New Lapse)Final 5 3" xfId="25687"/>
    <cellStyle name="B_Bot_HK_NBC@Dec2007(New Lapse)Final 6" xfId="4208"/>
    <cellStyle name="B_Bot_HK_NBC@Dec2007(New Lapse)Final 6 2" xfId="4209"/>
    <cellStyle name="B_Bot_HK_NBC@Dec2007(New Lapse)Final 6 3" xfId="25688"/>
    <cellStyle name="B_Bot_HK_NBC@Dec2007(New Lapse)Final 7" xfId="4210"/>
    <cellStyle name="B_Bot_HK_NBC@Dec2007(New Lapse)Final 7 2" xfId="4211"/>
    <cellStyle name="B_Bot_HK_NBC@Dec2007(New Lapse)Final 7 3" xfId="25689"/>
    <cellStyle name="B_Bot_HK_NBC@Dec2007(New Lapse)Final 8" xfId="4212"/>
    <cellStyle name="B_Bot_HK_NBC@Dec2007(New Lapse)Final 8 2" xfId="4213"/>
    <cellStyle name="B_Bot_HK_NBC@Dec2007(New Lapse)Final 8 3" xfId="25690"/>
    <cellStyle name="B_Bot_HK_NBC@Dec2007(New Lapse)Final 9" xfId="4214"/>
    <cellStyle name="B_Bot_HK_NBC@Dec2007(New Lapse)Final 9 2" xfId="4215"/>
    <cellStyle name="B_Bot_HK_NBC@Dec2007(New Lapse)Final 9 3" xfId="25691"/>
    <cellStyle name="B_Bot_HK_NBC@Dec2007(New Lapse)Final_PROD_DETAILS" xfId="4216"/>
    <cellStyle name="B_Bot_HK_NBC@Dec2007(New Lapse)Final_PROD_DETAILS 2" xfId="4217"/>
    <cellStyle name="B_Bot_HK_NBC@Dec2007(New Lapse)Final_PROD_DETAILS 3" xfId="25692"/>
    <cellStyle name="B_Bot_HK_NBC@Dec2007(New Lapse)Final_SOLVENCY POSITION " xfId="4218"/>
    <cellStyle name="B_Bot_HK_NBC@Dec2007(New Lapse)Final_SOLVENCY POSITION  2" xfId="4219"/>
    <cellStyle name="B_Bot_HK_NBC@Dec2007(New Lapse)Final_SOLVENCY POSITION  3" xfId="25693"/>
    <cellStyle name="B_Bot_KPI's" xfId="4220"/>
    <cellStyle name="B_Bot_KPI's 10" xfId="4221"/>
    <cellStyle name="B_Bot_KPI's 10 2" xfId="4222"/>
    <cellStyle name="B_Bot_KPI's 10 3" xfId="25694"/>
    <cellStyle name="B_Bot_KPI's 11" xfId="4223"/>
    <cellStyle name="B_Bot_KPI's 11 2" xfId="4224"/>
    <cellStyle name="B_Bot_KPI's 11 3" xfId="25695"/>
    <cellStyle name="B_Bot_KPI's 12" xfId="4225"/>
    <cellStyle name="B_Bot_KPI's 12 2" xfId="4226"/>
    <cellStyle name="B_Bot_KPI's 12 3" xfId="25696"/>
    <cellStyle name="B_Bot_KPI's 13" xfId="4227"/>
    <cellStyle name="B_Bot_KPI's 13 2" xfId="4228"/>
    <cellStyle name="B_Bot_KPI's 13 3" xfId="25697"/>
    <cellStyle name="B_Bot_KPI's 14" xfId="4229"/>
    <cellStyle name="B_Bot_KPI's 14 2" xfId="4230"/>
    <cellStyle name="B_Bot_KPI's 14 3" xfId="25698"/>
    <cellStyle name="B_Bot_KPI's 15" xfId="4231"/>
    <cellStyle name="B_Bot_KPI's 15 2" xfId="4232"/>
    <cellStyle name="B_Bot_KPI's 15 3" xfId="25699"/>
    <cellStyle name="B_Bot_KPI's 16" xfId="4233"/>
    <cellStyle name="B_Bot_KPI's 16 2" xfId="4234"/>
    <cellStyle name="B_Bot_KPI's 16 3" xfId="25700"/>
    <cellStyle name="B_Bot_KPI's 17" xfId="4235"/>
    <cellStyle name="B_Bot_KPI's 17 2" xfId="4236"/>
    <cellStyle name="B_Bot_KPI's 17 3" xfId="25701"/>
    <cellStyle name="B_Bot_KPI's 18" xfId="4237"/>
    <cellStyle name="B_Bot_KPI's 18 2" xfId="4238"/>
    <cellStyle name="B_Bot_KPI's 18 3" xfId="25702"/>
    <cellStyle name="B_Bot_KPI's 19" xfId="4239"/>
    <cellStyle name="B_Bot_KPI's 19 2" xfId="4240"/>
    <cellStyle name="B_Bot_KPI's 19 3" xfId="25703"/>
    <cellStyle name="B_Bot_KPI's 2" xfId="4241"/>
    <cellStyle name="B_Bot_KPI's 2 2" xfId="4242"/>
    <cellStyle name="B_Bot_KPI's 2 3" xfId="25704"/>
    <cellStyle name="B_Bot_KPI's 20" xfId="4243"/>
    <cellStyle name="B_Bot_KPI's 20 2" xfId="4244"/>
    <cellStyle name="B_Bot_KPI's 20 3" xfId="25705"/>
    <cellStyle name="B_Bot_KPI's 21" xfId="4245"/>
    <cellStyle name="B_Bot_KPI's 21 2" xfId="4246"/>
    <cellStyle name="B_Bot_KPI's 21 3" xfId="25706"/>
    <cellStyle name="B_Bot_KPI's 22" xfId="4247"/>
    <cellStyle name="B_Bot_KPI's 22 2" xfId="4248"/>
    <cellStyle name="B_Bot_KPI's 22 3" xfId="25707"/>
    <cellStyle name="B_Bot_KPI's 23" xfId="4249"/>
    <cellStyle name="B_Bot_KPI's 23 2" xfId="4250"/>
    <cellStyle name="B_Bot_KPI's 23 3" xfId="25708"/>
    <cellStyle name="B_Bot_KPI's 24" xfId="4251"/>
    <cellStyle name="B_Bot_KPI's 25" xfId="25709"/>
    <cellStyle name="B_Bot_KPI's 3" xfId="4252"/>
    <cellStyle name="B_Bot_KPI's 3 2" xfId="4253"/>
    <cellStyle name="B_Bot_KPI's 3 3" xfId="25710"/>
    <cellStyle name="B_Bot_KPI's 4" xfId="4254"/>
    <cellStyle name="B_Bot_KPI's 4 2" xfId="4255"/>
    <cellStyle name="B_Bot_KPI's 4 3" xfId="25711"/>
    <cellStyle name="B_Bot_KPI's 5" xfId="4256"/>
    <cellStyle name="B_Bot_KPI's 5 2" xfId="4257"/>
    <cellStyle name="B_Bot_KPI's 5 3" xfId="25712"/>
    <cellStyle name="B_Bot_KPI's 6" xfId="4258"/>
    <cellStyle name="B_Bot_KPI's 6 2" xfId="4259"/>
    <cellStyle name="B_Bot_KPI's 6 3" xfId="25713"/>
    <cellStyle name="B_Bot_KPI's 7" xfId="4260"/>
    <cellStyle name="B_Bot_KPI's 7 2" xfId="4261"/>
    <cellStyle name="B_Bot_KPI's 7 3" xfId="25714"/>
    <cellStyle name="B_Bot_KPI's 8" xfId="4262"/>
    <cellStyle name="B_Bot_KPI's 8 2" xfId="4263"/>
    <cellStyle name="B_Bot_KPI's 8 3" xfId="25715"/>
    <cellStyle name="B_Bot_KPI's 9" xfId="4264"/>
    <cellStyle name="B_Bot_KPI's 9 2" xfId="4265"/>
    <cellStyle name="B_Bot_KPI's 9 3" xfId="25716"/>
    <cellStyle name="B_Bot_KPI's_PROD_DETAILS" xfId="4266"/>
    <cellStyle name="B_Bot_KPI's_PROD_DETAILS 2" xfId="4267"/>
    <cellStyle name="B_Bot_KPI's_PROD_DETAILS 3" xfId="25717"/>
    <cellStyle name="B_Bot_KPI's_SOLVENCY POSITION " xfId="4268"/>
    <cellStyle name="B_Bot_KPI's_SOLVENCY POSITION  2" xfId="4269"/>
    <cellStyle name="B_Bot_KPI's_SOLVENCY POSITION  3" xfId="25718"/>
    <cellStyle name="B_Bot_p&amp;l wkgs" xfId="4270"/>
    <cellStyle name="B_Bot_p&amp;l wkgs 10" xfId="4271"/>
    <cellStyle name="B_Bot_p&amp;l wkgs 10 2" xfId="4272"/>
    <cellStyle name="B_Bot_p&amp;l wkgs 10 3" xfId="25719"/>
    <cellStyle name="B_Bot_p&amp;l wkgs 11" xfId="4273"/>
    <cellStyle name="B_Bot_p&amp;l wkgs 11 2" xfId="4274"/>
    <cellStyle name="B_Bot_p&amp;l wkgs 11 3" xfId="25720"/>
    <cellStyle name="B_Bot_p&amp;l wkgs 12" xfId="4275"/>
    <cellStyle name="B_Bot_p&amp;l wkgs 12 2" xfId="4276"/>
    <cellStyle name="B_Bot_p&amp;l wkgs 12 3" xfId="25721"/>
    <cellStyle name="B_Bot_p&amp;l wkgs 13" xfId="4277"/>
    <cellStyle name="B_Bot_p&amp;l wkgs 13 2" xfId="4278"/>
    <cellStyle name="B_Bot_p&amp;l wkgs 13 3" xfId="25722"/>
    <cellStyle name="B_Bot_p&amp;l wkgs 14" xfId="4279"/>
    <cellStyle name="B_Bot_p&amp;l wkgs 14 2" xfId="4280"/>
    <cellStyle name="B_Bot_p&amp;l wkgs 14 3" xfId="25723"/>
    <cellStyle name="B_Bot_p&amp;l wkgs 15" xfId="4281"/>
    <cellStyle name="B_Bot_p&amp;l wkgs 15 2" xfId="4282"/>
    <cellStyle name="B_Bot_p&amp;l wkgs 15 3" xfId="25724"/>
    <cellStyle name="B_Bot_p&amp;l wkgs 16" xfId="4283"/>
    <cellStyle name="B_Bot_p&amp;l wkgs 16 2" xfId="4284"/>
    <cellStyle name="B_Bot_p&amp;l wkgs 16 3" xfId="25725"/>
    <cellStyle name="B_Bot_p&amp;l wkgs 17" xfId="4285"/>
    <cellStyle name="B_Bot_p&amp;l wkgs 17 2" xfId="4286"/>
    <cellStyle name="B_Bot_p&amp;l wkgs 17 3" xfId="25726"/>
    <cellStyle name="B_Bot_p&amp;l wkgs 18" xfId="4287"/>
    <cellStyle name="B_Bot_p&amp;l wkgs 18 2" xfId="4288"/>
    <cellStyle name="B_Bot_p&amp;l wkgs 18 3" xfId="25727"/>
    <cellStyle name="B_Bot_p&amp;l wkgs 19" xfId="4289"/>
    <cellStyle name="B_Bot_p&amp;l wkgs 19 2" xfId="4290"/>
    <cellStyle name="B_Bot_p&amp;l wkgs 19 3" xfId="25728"/>
    <cellStyle name="B_Bot_p&amp;l wkgs 2" xfId="4291"/>
    <cellStyle name="B_Bot_p&amp;l wkgs 2 2" xfId="4292"/>
    <cellStyle name="B_Bot_p&amp;l wkgs 2 3" xfId="25729"/>
    <cellStyle name="B_Bot_p&amp;l wkgs 20" xfId="4293"/>
    <cellStyle name="B_Bot_p&amp;l wkgs 20 2" xfId="4294"/>
    <cellStyle name="B_Bot_p&amp;l wkgs 20 3" xfId="25730"/>
    <cellStyle name="B_Bot_p&amp;l wkgs 21" xfId="4295"/>
    <cellStyle name="B_Bot_p&amp;l wkgs 21 2" xfId="4296"/>
    <cellStyle name="B_Bot_p&amp;l wkgs 21 3" xfId="25731"/>
    <cellStyle name="B_Bot_p&amp;l wkgs 22" xfId="4297"/>
    <cellStyle name="B_Bot_p&amp;l wkgs 22 2" xfId="4298"/>
    <cellStyle name="B_Bot_p&amp;l wkgs 22 3" xfId="25732"/>
    <cellStyle name="B_Bot_p&amp;l wkgs 23" xfId="4299"/>
    <cellStyle name="B_Bot_p&amp;l wkgs 23 2" xfId="4300"/>
    <cellStyle name="B_Bot_p&amp;l wkgs 23 3" xfId="25733"/>
    <cellStyle name="B_Bot_p&amp;l wkgs 24" xfId="4301"/>
    <cellStyle name="B_Bot_p&amp;l wkgs 25" xfId="25734"/>
    <cellStyle name="B_Bot_p&amp;l wkgs 3" xfId="4302"/>
    <cellStyle name="B_Bot_p&amp;l wkgs 3 2" xfId="4303"/>
    <cellStyle name="B_Bot_p&amp;l wkgs 3 3" xfId="25735"/>
    <cellStyle name="B_Bot_p&amp;l wkgs 4" xfId="4304"/>
    <cellStyle name="B_Bot_p&amp;l wkgs 4 2" xfId="4305"/>
    <cellStyle name="B_Bot_p&amp;l wkgs 4 3" xfId="25736"/>
    <cellStyle name="B_Bot_p&amp;l wkgs 5" xfId="4306"/>
    <cellStyle name="B_Bot_p&amp;l wkgs 5 2" xfId="4307"/>
    <cellStyle name="B_Bot_p&amp;l wkgs 5 3" xfId="25737"/>
    <cellStyle name="B_Bot_p&amp;l wkgs 6" xfId="4308"/>
    <cellStyle name="B_Bot_p&amp;l wkgs 6 2" xfId="4309"/>
    <cellStyle name="B_Bot_p&amp;l wkgs 6 3" xfId="25738"/>
    <cellStyle name="B_Bot_p&amp;l wkgs 7" xfId="4310"/>
    <cellStyle name="B_Bot_p&amp;l wkgs 7 2" xfId="4311"/>
    <cellStyle name="B_Bot_p&amp;l wkgs 7 3" xfId="25739"/>
    <cellStyle name="B_Bot_p&amp;l wkgs 8" xfId="4312"/>
    <cellStyle name="B_Bot_p&amp;l wkgs 8 2" xfId="4313"/>
    <cellStyle name="B_Bot_p&amp;l wkgs 8 3" xfId="25740"/>
    <cellStyle name="B_Bot_p&amp;l wkgs 9" xfId="4314"/>
    <cellStyle name="B_Bot_p&amp;l wkgs 9 2" xfId="4315"/>
    <cellStyle name="B_Bot_p&amp;l wkgs 9 3" xfId="25741"/>
    <cellStyle name="B_Bot_p&amp;l wkgs_PROD_DETAILS" xfId="4316"/>
    <cellStyle name="B_Bot_p&amp;l wkgs_PROD_DETAILS 2" xfId="4317"/>
    <cellStyle name="B_Bot_p&amp;l wkgs_PROD_DETAILS 3" xfId="25742"/>
    <cellStyle name="B_Bot_p&amp;l wkgs_SOLVENCY POSITION " xfId="4318"/>
    <cellStyle name="B_Bot_p&amp;l wkgs_SOLVENCY POSITION  2" xfId="4319"/>
    <cellStyle name="B_Bot_p&amp;l wkgs_SOLVENCY POSITION  3" xfId="25743"/>
    <cellStyle name="B_Bot_PROD_DETAILS" xfId="4320"/>
    <cellStyle name="B_Bot_PROD_DETAILS 2" xfId="4321"/>
    <cellStyle name="B_Bot_PROD_DETAILS 3" xfId="25744"/>
    <cellStyle name="B_Bot_Prophet Roll" xfId="4322"/>
    <cellStyle name="B_Bot_Prophet Roll 10" xfId="4323"/>
    <cellStyle name="B_Bot_Prophet Roll 10 2" xfId="4324"/>
    <cellStyle name="B_Bot_Prophet Roll 10 3" xfId="25745"/>
    <cellStyle name="B_Bot_Prophet Roll 11" xfId="4325"/>
    <cellStyle name="B_Bot_Prophet Roll 11 2" xfId="4326"/>
    <cellStyle name="B_Bot_Prophet Roll 11 3" xfId="25746"/>
    <cellStyle name="B_Bot_Prophet Roll 12" xfId="4327"/>
    <cellStyle name="B_Bot_Prophet Roll 12 2" xfId="4328"/>
    <cellStyle name="B_Bot_Prophet Roll 12 3" xfId="25747"/>
    <cellStyle name="B_Bot_Prophet Roll 13" xfId="4329"/>
    <cellStyle name="B_Bot_Prophet Roll 13 2" xfId="4330"/>
    <cellStyle name="B_Bot_Prophet Roll 13 3" xfId="25748"/>
    <cellStyle name="B_Bot_Prophet Roll 14" xfId="4331"/>
    <cellStyle name="B_Bot_Prophet Roll 14 2" xfId="4332"/>
    <cellStyle name="B_Bot_Prophet Roll 14 3" xfId="25749"/>
    <cellStyle name="B_Bot_Prophet Roll 15" xfId="4333"/>
    <cellStyle name="B_Bot_Prophet Roll 15 2" xfId="4334"/>
    <cellStyle name="B_Bot_Prophet Roll 15 3" xfId="25750"/>
    <cellStyle name="B_Bot_Prophet Roll 16" xfId="4335"/>
    <cellStyle name="B_Bot_Prophet Roll 16 2" xfId="4336"/>
    <cellStyle name="B_Bot_Prophet Roll 16 3" xfId="25751"/>
    <cellStyle name="B_Bot_Prophet Roll 17" xfId="4337"/>
    <cellStyle name="B_Bot_Prophet Roll 17 2" xfId="4338"/>
    <cellStyle name="B_Bot_Prophet Roll 17 3" xfId="25752"/>
    <cellStyle name="B_Bot_Prophet Roll 18" xfId="4339"/>
    <cellStyle name="B_Bot_Prophet Roll 18 2" xfId="4340"/>
    <cellStyle name="B_Bot_Prophet Roll 18 3" xfId="25753"/>
    <cellStyle name="B_Bot_Prophet Roll 19" xfId="4341"/>
    <cellStyle name="B_Bot_Prophet Roll 19 2" xfId="4342"/>
    <cellStyle name="B_Bot_Prophet Roll 19 3" xfId="25754"/>
    <cellStyle name="B_Bot_Prophet Roll 2" xfId="4343"/>
    <cellStyle name="B_Bot_Prophet Roll 2 2" xfId="4344"/>
    <cellStyle name="B_Bot_Prophet Roll 2 3" xfId="25755"/>
    <cellStyle name="B_Bot_Prophet Roll 20" xfId="4345"/>
    <cellStyle name="B_Bot_Prophet Roll 20 2" xfId="4346"/>
    <cellStyle name="B_Bot_Prophet Roll 20 3" xfId="25756"/>
    <cellStyle name="B_Bot_Prophet Roll 21" xfId="4347"/>
    <cellStyle name="B_Bot_Prophet Roll 21 2" xfId="4348"/>
    <cellStyle name="B_Bot_Prophet Roll 21 3" xfId="25757"/>
    <cellStyle name="B_Bot_Prophet Roll 22" xfId="4349"/>
    <cellStyle name="B_Bot_Prophet Roll 22 2" xfId="4350"/>
    <cellStyle name="B_Bot_Prophet Roll 22 3" xfId="25758"/>
    <cellStyle name="B_Bot_Prophet Roll 23" xfId="4351"/>
    <cellStyle name="B_Bot_Prophet Roll 23 2" xfId="4352"/>
    <cellStyle name="B_Bot_Prophet Roll 23 3" xfId="25759"/>
    <cellStyle name="B_Bot_Prophet Roll 24" xfId="4353"/>
    <cellStyle name="B_Bot_Prophet Roll 25" xfId="25760"/>
    <cellStyle name="B_Bot_Prophet Roll 3" xfId="4354"/>
    <cellStyle name="B_Bot_Prophet Roll 3 2" xfId="4355"/>
    <cellStyle name="B_Bot_Prophet Roll 3 3" xfId="25761"/>
    <cellStyle name="B_Bot_Prophet Roll 4" xfId="4356"/>
    <cellStyle name="B_Bot_Prophet Roll 4 2" xfId="4357"/>
    <cellStyle name="B_Bot_Prophet Roll 4 3" xfId="25762"/>
    <cellStyle name="B_Bot_Prophet Roll 5" xfId="4358"/>
    <cellStyle name="B_Bot_Prophet Roll 5 2" xfId="4359"/>
    <cellStyle name="B_Bot_Prophet Roll 5 3" xfId="25763"/>
    <cellStyle name="B_Bot_Prophet Roll 6" xfId="4360"/>
    <cellStyle name="B_Bot_Prophet Roll 6 2" xfId="4361"/>
    <cellStyle name="B_Bot_Prophet Roll 6 3" xfId="25764"/>
    <cellStyle name="B_Bot_Prophet Roll 7" xfId="4362"/>
    <cellStyle name="B_Bot_Prophet Roll 7 2" xfId="4363"/>
    <cellStyle name="B_Bot_Prophet Roll 7 3" xfId="25765"/>
    <cellStyle name="B_Bot_Prophet Roll 8" xfId="4364"/>
    <cellStyle name="B_Bot_Prophet Roll 8 2" xfId="4365"/>
    <cellStyle name="B_Bot_Prophet Roll 8 3" xfId="25766"/>
    <cellStyle name="B_Bot_Prophet Roll 9" xfId="4366"/>
    <cellStyle name="B_Bot_Prophet Roll 9 2" xfId="4367"/>
    <cellStyle name="B_Bot_Prophet Roll 9 3" xfId="25767"/>
    <cellStyle name="B_Bot_Prophet Roll_PROD_DETAILS" xfId="4368"/>
    <cellStyle name="B_Bot_Prophet Roll_PROD_DETAILS 2" xfId="4369"/>
    <cellStyle name="B_Bot_Prophet Roll_PROD_DETAILS 3" xfId="25768"/>
    <cellStyle name="B_Bot_Prophet Roll_SOLVENCY POSITION " xfId="4370"/>
    <cellStyle name="B_Bot_Prophet Roll_SOLVENCY POSITION  2" xfId="4371"/>
    <cellStyle name="B_Bot_Prophet Roll_SOLVENCY POSITION  3" xfId="25769"/>
    <cellStyle name="B_Bot_Prophet SalesProj Roll" xfId="4372"/>
    <cellStyle name="B_Bot_Prophet SalesProj Roll 10" xfId="4373"/>
    <cellStyle name="B_Bot_Prophet SalesProj Roll 10 2" xfId="4374"/>
    <cellStyle name="B_Bot_Prophet SalesProj Roll 10 3" xfId="25770"/>
    <cellStyle name="B_Bot_Prophet SalesProj Roll 11" xfId="4375"/>
    <cellStyle name="B_Bot_Prophet SalesProj Roll 11 2" xfId="4376"/>
    <cellStyle name="B_Bot_Prophet SalesProj Roll 11 3" xfId="25771"/>
    <cellStyle name="B_Bot_Prophet SalesProj Roll 12" xfId="4377"/>
    <cellStyle name="B_Bot_Prophet SalesProj Roll 12 2" xfId="4378"/>
    <cellStyle name="B_Bot_Prophet SalesProj Roll 12 3" xfId="25772"/>
    <cellStyle name="B_Bot_Prophet SalesProj Roll 13" xfId="4379"/>
    <cellStyle name="B_Bot_Prophet SalesProj Roll 13 2" xfId="4380"/>
    <cellStyle name="B_Bot_Prophet SalesProj Roll 13 3" xfId="25773"/>
    <cellStyle name="B_Bot_Prophet SalesProj Roll 14" xfId="4381"/>
    <cellStyle name="B_Bot_Prophet SalesProj Roll 14 2" xfId="4382"/>
    <cellStyle name="B_Bot_Prophet SalesProj Roll 14 3" xfId="25774"/>
    <cellStyle name="B_Bot_Prophet SalesProj Roll 15" xfId="4383"/>
    <cellStyle name="B_Bot_Prophet SalesProj Roll 15 2" xfId="4384"/>
    <cellStyle name="B_Bot_Prophet SalesProj Roll 15 3" xfId="25775"/>
    <cellStyle name="B_Bot_Prophet SalesProj Roll 16" xfId="4385"/>
    <cellStyle name="B_Bot_Prophet SalesProj Roll 16 2" xfId="4386"/>
    <cellStyle name="B_Bot_Prophet SalesProj Roll 16 3" xfId="25776"/>
    <cellStyle name="B_Bot_Prophet SalesProj Roll 17" xfId="4387"/>
    <cellStyle name="B_Bot_Prophet SalesProj Roll 17 2" xfId="4388"/>
    <cellStyle name="B_Bot_Prophet SalesProj Roll 17 3" xfId="25777"/>
    <cellStyle name="B_Bot_Prophet SalesProj Roll 18" xfId="4389"/>
    <cellStyle name="B_Bot_Prophet SalesProj Roll 18 2" xfId="4390"/>
    <cellStyle name="B_Bot_Prophet SalesProj Roll 18 3" xfId="25778"/>
    <cellStyle name="B_Bot_Prophet SalesProj Roll 19" xfId="4391"/>
    <cellStyle name="B_Bot_Prophet SalesProj Roll 19 2" xfId="4392"/>
    <cellStyle name="B_Bot_Prophet SalesProj Roll 19 3" xfId="25779"/>
    <cellStyle name="B_Bot_Prophet SalesProj Roll 2" xfId="4393"/>
    <cellStyle name="B_Bot_Prophet SalesProj Roll 2 2" xfId="4394"/>
    <cellStyle name="B_Bot_Prophet SalesProj Roll 2 3" xfId="25780"/>
    <cellStyle name="B_Bot_Prophet SalesProj Roll 20" xfId="4395"/>
    <cellStyle name="B_Bot_Prophet SalesProj Roll 20 2" xfId="4396"/>
    <cellStyle name="B_Bot_Prophet SalesProj Roll 20 3" xfId="25781"/>
    <cellStyle name="B_Bot_Prophet SalesProj Roll 21" xfId="4397"/>
    <cellStyle name="B_Bot_Prophet SalesProj Roll 21 2" xfId="4398"/>
    <cellStyle name="B_Bot_Prophet SalesProj Roll 21 3" xfId="25782"/>
    <cellStyle name="B_Bot_Prophet SalesProj Roll 22" xfId="4399"/>
    <cellStyle name="B_Bot_Prophet SalesProj Roll 22 2" xfId="4400"/>
    <cellStyle name="B_Bot_Prophet SalesProj Roll 22 3" xfId="25783"/>
    <cellStyle name="B_Bot_Prophet SalesProj Roll 23" xfId="4401"/>
    <cellStyle name="B_Bot_Prophet SalesProj Roll 23 2" xfId="4402"/>
    <cellStyle name="B_Bot_Prophet SalesProj Roll 23 3" xfId="25784"/>
    <cellStyle name="B_Bot_Prophet SalesProj Roll 24" xfId="4403"/>
    <cellStyle name="B_Bot_Prophet SalesProj Roll 25" xfId="25785"/>
    <cellStyle name="B_Bot_Prophet SalesProj Roll 3" xfId="4404"/>
    <cellStyle name="B_Bot_Prophet SalesProj Roll 3 2" xfId="4405"/>
    <cellStyle name="B_Bot_Prophet SalesProj Roll 3 3" xfId="25786"/>
    <cellStyle name="B_Bot_Prophet SalesProj Roll 4" xfId="4406"/>
    <cellStyle name="B_Bot_Prophet SalesProj Roll 4 2" xfId="4407"/>
    <cellStyle name="B_Bot_Prophet SalesProj Roll 4 3" xfId="25787"/>
    <cellStyle name="B_Bot_Prophet SalesProj Roll 5" xfId="4408"/>
    <cellStyle name="B_Bot_Prophet SalesProj Roll 5 2" xfId="4409"/>
    <cellStyle name="B_Bot_Prophet SalesProj Roll 5 3" xfId="25788"/>
    <cellStyle name="B_Bot_Prophet SalesProj Roll 6" xfId="4410"/>
    <cellStyle name="B_Bot_Prophet SalesProj Roll 6 2" xfId="4411"/>
    <cellStyle name="B_Bot_Prophet SalesProj Roll 6 3" xfId="25789"/>
    <cellStyle name="B_Bot_Prophet SalesProj Roll 7" xfId="4412"/>
    <cellStyle name="B_Bot_Prophet SalesProj Roll 7 2" xfId="4413"/>
    <cellStyle name="B_Bot_Prophet SalesProj Roll 7 3" xfId="25790"/>
    <cellStyle name="B_Bot_Prophet SalesProj Roll 8" xfId="4414"/>
    <cellStyle name="B_Bot_Prophet SalesProj Roll 8 2" xfId="4415"/>
    <cellStyle name="B_Bot_Prophet SalesProj Roll 8 3" xfId="25791"/>
    <cellStyle name="B_Bot_Prophet SalesProj Roll 9" xfId="4416"/>
    <cellStyle name="B_Bot_Prophet SalesProj Roll 9 2" xfId="4417"/>
    <cellStyle name="B_Bot_Prophet SalesProj Roll 9 3" xfId="25792"/>
    <cellStyle name="B_Bot_Prophet SalesProj Roll_PROD_DETAILS" xfId="4418"/>
    <cellStyle name="B_Bot_Prophet SalesProj Roll_PROD_DETAILS 2" xfId="4419"/>
    <cellStyle name="B_Bot_Prophet SalesProj Roll_PROD_DETAILS 3" xfId="25793"/>
    <cellStyle name="B_Bot_Prophet SalesProj Roll_SOLVENCY POSITION " xfId="4420"/>
    <cellStyle name="B_Bot_Prophet SalesProj Roll_SOLVENCY POSITION  2" xfId="4421"/>
    <cellStyle name="B_Bot_Prophet SalesProj Roll_SOLVENCY POSITION  3" xfId="25794"/>
    <cellStyle name="B_Bot_Prophet-EEV ReportingFinal301205-Apr06" xfId="4422"/>
    <cellStyle name="B_Bot_Prophet-EEV ReportingFinal301205-Apr06 10" xfId="4423"/>
    <cellStyle name="B_Bot_Prophet-EEV ReportingFinal301205-Apr06 10 2" xfId="4424"/>
    <cellStyle name="B_Bot_Prophet-EEV ReportingFinal301205-Apr06 10 3" xfId="25795"/>
    <cellStyle name="B_Bot_Prophet-EEV ReportingFinal301205-Apr06 11" xfId="4425"/>
    <cellStyle name="B_Bot_Prophet-EEV ReportingFinal301205-Apr06 11 2" xfId="4426"/>
    <cellStyle name="B_Bot_Prophet-EEV ReportingFinal301205-Apr06 11 3" xfId="25796"/>
    <cellStyle name="B_Bot_Prophet-EEV ReportingFinal301205-Apr06 12" xfId="4427"/>
    <cellStyle name="B_Bot_Prophet-EEV ReportingFinal301205-Apr06 12 2" xfId="4428"/>
    <cellStyle name="B_Bot_Prophet-EEV ReportingFinal301205-Apr06 12 3" xfId="25797"/>
    <cellStyle name="B_Bot_Prophet-EEV ReportingFinal301205-Apr06 13" xfId="4429"/>
    <cellStyle name="B_Bot_Prophet-EEV ReportingFinal301205-Apr06 13 2" xfId="4430"/>
    <cellStyle name="B_Bot_Prophet-EEV ReportingFinal301205-Apr06 13 3" xfId="25798"/>
    <cellStyle name="B_Bot_Prophet-EEV ReportingFinal301205-Apr06 14" xfId="4431"/>
    <cellStyle name="B_Bot_Prophet-EEV ReportingFinal301205-Apr06 14 2" xfId="4432"/>
    <cellStyle name="B_Bot_Prophet-EEV ReportingFinal301205-Apr06 14 3" xfId="25799"/>
    <cellStyle name="B_Bot_Prophet-EEV ReportingFinal301205-Apr06 15" xfId="4433"/>
    <cellStyle name="B_Bot_Prophet-EEV ReportingFinal301205-Apr06 15 2" xfId="4434"/>
    <cellStyle name="B_Bot_Prophet-EEV ReportingFinal301205-Apr06 15 3" xfId="25800"/>
    <cellStyle name="B_Bot_Prophet-EEV ReportingFinal301205-Apr06 16" xfId="4435"/>
    <cellStyle name="B_Bot_Prophet-EEV ReportingFinal301205-Apr06 16 2" xfId="4436"/>
    <cellStyle name="B_Bot_Prophet-EEV ReportingFinal301205-Apr06 16 3" xfId="25801"/>
    <cellStyle name="B_Bot_Prophet-EEV ReportingFinal301205-Apr06 17" xfId="4437"/>
    <cellStyle name="B_Bot_Prophet-EEV ReportingFinal301205-Apr06 17 2" xfId="4438"/>
    <cellStyle name="B_Bot_Prophet-EEV ReportingFinal301205-Apr06 17 3" xfId="25802"/>
    <cellStyle name="B_Bot_Prophet-EEV ReportingFinal301205-Apr06 18" xfId="4439"/>
    <cellStyle name="B_Bot_Prophet-EEV ReportingFinal301205-Apr06 18 2" xfId="4440"/>
    <cellStyle name="B_Bot_Prophet-EEV ReportingFinal301205-Apr06 18 3" xfId="25803"/>
    <cellStyle name="B_Bot_Prophet-EEV ReportingFinal301205-Apr06 19" xfId="4441"/>
    <cellStyle name="B_Bot_Prophet-EEV ReportingFinal301205-Apr06 19 2" xfId="4442"/>
    <cellStyle name="B_Bot_Prophet-EEV ReportingFinal301205-Apr06 19 3" xfId="25804"/>
    <cellStyle name="B_Bot_Prophet-EEV ReportingFinal301205-Apr06 2" xfId="4443"/>
    <cellStyle name="B_Bot_Prophet-EEV ReportingFinal301205-Apr06 2 2" xfId="4444"/>
    <cellStyle name="B_Bot_Prophet-EEV ReportingFinal301205-Apr06 2 3" xfId="25805"/>
    <cellStyle name="B_Bot_Prophet-EEV ReportingFinal301205-Apr06 20" xfId="4445"/>
    <cellStyle name="B_Bot_Prophet-EEV ReportingFinal301205-Apr06 20 2" xfId="4446"/>
    <cellStyle name="B_Bot_Prophet-EEV ReportingFinal301205-Apr06 20 3" xfId="25806"/>
    <cellStyle name="B_Bot_Prophet-EEV ReportingFinal301205-Apr06 21" xfId="4447"/>
    <cellStyle name="B_Bot_Prophet-EEV ReportingFinal301205-Apr06 21 2" xfId="4448"/>
    <cellStyle name="B_Bot_Prophet-EEV ReportingFinal301205-Apr06 21 3" xfId="25807"/>
    <cellStyle name="B_Bot_Prophet-EEV ReportingFinal301205-Apr06 22" xfId="4449"/>
    <cellStyle name="B_Bot_Prophet-EEV ReportingFinal301205-Apr06 22 2" xfId="4450"/>
    <cellStyle name="B_Bot_Prophet-EEV ReportingFinal301205-Apr06 22 3" xfId="25808"/>
    <cellStyle name="B_Bot_Prophet-EEV ReportingFinal301205-Apr06 23" xfId="4451"/>
    <cellStyle name="B_Bot_Prophet-EEV ReportingFinal301205-Apr06 23 2" xfId="4452"/>
    <cellStyle name="B_Bot_Prophet-EEV ReportingFinal301205-Apr06 23 3" xfId="25809"/>
    <cellStyle name="B_Bot_Prophet-EEV ReportingFinal301205-Apr06 24" xfId="4453"/>
    <cellStyle name="B_Bot_Prophet-EEV ReportingFinal301205-Apr06 25" xfId="25810"/>
    <cellStyle name="B_Bot_Prophet-EEV ReportingFinal301205-Apr06 3" xfId="4454"/>
    <cellStyle name="B_Bot_Prophet-EEV ReportingFinal301205-Apr06 3 2" xfId="4455"/>
    <cellStyle name="B_Bot_Prophet-EEV ReportingFinal301205-Apr06 3 3" xfId="25811"/>
    <cellStyle name="B_Bot_Prophet-EEV ReportingFinal301205-Apr06 4" xfId="4456"/>
    <cellStyle name="B_Bot_Prophet-EEV ReportingFinal301205-Apr06 4 2" xfId="4457"/>
    <cellStyle name="B_Bot_Prophet-EEV ReportingFinal301205-Apr06 4 3" xfId="25812"/>
    <cellStyle name="B_Bot_Prophet-EEV ReportingFinal301205-Apr06 5" xfId="4458"/>
    <cellStyle name="B_Bot_Prophet-EEV ReportingFinal301205-Apr06 5 2" xfId="4459"/>
    <cellStyle name="B_Bot_Prophet-EEV ReportingFinal301205-Apr06 5 3" xfId="25813"/>
    <cellStyle name="B_Bot_Prophet-EEV ReportingFinal301205-Apr06 6" xfId="4460"/>
    <cellStyle name="B_Bot_Prophet-EEV ReportingFinal301205-Apr06 6 2" xfId="4461"/>
    <cellStyle name="B_Bot_Prophet-EEV ReportingFinal301205-Apr06 6 3" xfId="25814"/>
    <cellStyle name="B_Bot_Prophet-EEV ReportingFinal301205-Apr06 7" xfId="4462"/>
    <cellStyle name="B_Bot_Prophet-EEV ReportingFinal301205-Apr06 7 2" xfId="4463"/>
    <cellStyle name="B_Bot_Prophet-EEV ReportingFinal301205-Apr06 7 3" xfId="25815"/>
    <cellStyle name="B_Bot_Prophet-EEV ReportingFinal301205-Apr06 8" xfId="4464"/>
    <cellStyle name="B_Bot_Prophet-EEV ReportingFinal301205-Apr06 8 2" xfId="4465"/>
    <cellStyle name="B_Bot_Prophet-EEV ReportingFinal301205-Apr06 8 3" xfId="25816"/>
    <cellStyle name="B_Bot_Prophet-EEV ReportingFinal301205-Apr06 9" xfId="4466"/>
    <cellStyle name="B_Bot_Prophet-EEV ReportingFinal301205-Apr06 9 2" xfId="4467"/>
    <cellStyle name="B_Bot_Prophet-EEV ReportingFinal301205-Apr06 9 3" xfId="25817"/>
    <cellStyle name="B_Bot_Prophet-EEV ReportingFinal301205-Apr06_HK.EEV-May06 4+2 kkh" xfId="4468"/>
    <cellStyle name="B_Bot_Prophet-EEV ReportingFinal301205-Apr06_HK.EEV-May06 4+2 kkh 10" xfId="4469"/>
    <cellStyle name="B_Bot_Prophet-EEV ReportingFinal301205-Apr06_HK.EEV-May06 4+2 kkh 10 2" xfId="4470"/>
    <cellStyle name="B_Bot_Prophet-EEV ReportingFinal301205-Apr06_HK.EEV-May06 4+2 kkh 10 3" xfId="25818"/>
    <cellStyle name="B_Bot_Prophet-EEV ReportingFinal301205-Apr06_HK.EEV-May06 4+2 kkh 11" xfId="4471"/>
    <cellStyle name="B_Bot_Prophet-EEV ReportingFinal301205-Apr06_HK.EEV-May06 4+2 kkh 11 2" xfId="4472"/>
    <cellStyle name="B_Bot_Prophet-EEV ReportingFinal301205-Apr06_HK.EEV-May06 4+2 kkh 11 3" xfId="25819"/>
    <cellStyle name="B_Bot_Prophet-EEV ReportingFinal301205-Apr06_HK.EEV-May06 4+2 kkh 12" xfId="4473"/>
    <cellStyle name="B_Bot_Prophet-EEV ReportingFinal301205-Apr06_HK.EEV-May06 4+2 kkh 12 2" xfId="4474"/>
    <cellStyle name="B_Bot_Prophet-EEV ReportingFinal301205-Apr06_HK.EEV-May06 4+2 kkh 12 3" xfId="25820"/>
    <cellStyle name="B_Bot_Prophet-EEV ReportingFinal301205-Apr06_HK.EEV-May06 4+2 kkh 13" xfId="4475"/>
    <cellStyle name="B_Bot_Prophet-EEV ReportingFinal301205-Apr06_HK.EEV-May06 4+2 kkh 13 2" xfId="4476"/>
    <cellStyle name="B_Bot_Prophet-EEV ReportingFinal301205-Apr06_HK.EEV-May06 4+2 kkh 13 3" xfId="25821"/>
    <cellStyle name="B_Bot_Prophet-EEV ReportingFinal301205-Apr06_HK.EEV-May06 4+2 kkh 14" xfId="4477"/>
    <cellStyle name="B_Bot_Prophet-EEV ReportingFinal301205-Apr06_HK.EEV-May06 4+2 kkh 14 2" xfId="4478"/>
    <cellStyle name="B_Bot_Prophet-EEV ReportingFinal301205-Apr06_HK.EEV-May06 4+2 kkh 14 3" xfId="25822"/>
    <cellStyle name="B_Bot_Prophet-EEV ReportingFinal301205-Apr06_HK.EEV-May06 4+2 kkh 15" xfId="4479"/>
    <cellStyle name="B_Bot_Prophet-EEV ReportingFinal301205-Apr06_HK.EEV-May06 4+2 kkh 15 2" xfId="4480"/>
    <cellStyle name="B_Bot_Prophet-EEV ReportingFinal301205-Apr06_HK.EEV-May06 4+2 kkh 15 3" xfId="25823"/>
    <cellStyle name="B_Bot_Prophet-EEV ReportingFinal301205-Apr06_HK.EEV-May06 4+2 kkh 16" xfId="4481"/>
    <cellStyle name="B_Bot_Prophet-EEV ReportingFinal301205-Apr06_HK.EEV-May06 4+2 kkh 16 2" xfId="4482"/>
    <cellStyle name="B_Bot_Prophet-EEV ReportingFinal301205-Apr06_HK.EEV-May06 4+2 kkh 16 3" xfId="25824"/>
    <cellStyle name="B_Bot_Prophet-EEV ReportingFinal301205-Apr06_HK.EEV-May06 4+2 kkh 17" xfId="4483"/>
    <cellStyle name="B_Bot_Prophet-EEV ReportingFinal301205-Apr06_HK.EEV-May06 4+2 kkh 17 2" xfId="4484"/>
    <cellStyle name="B_Bot_Prophet-EEV ReportingFinal301205-Apr06_HK.EEV-May06 4+2 kkh 17 3" xfId="25825"/>
    <cellStyle name="B_Bot_Prophet-EEV ReportingFinal301205-Apr06_HK.EEV-May06 4+2 kkh 18" xfId="4485"/>
    <cellStyle name="B_Bot_Prophet-EEV ReportingFinal301205-Apr06_HK.EEV-May06 4+2 kkh 18 2" xfId="4486"/>
    <cellStyle name="B_Bot_Prophet-EEV ReportingFinal301205-Apr06_HK.EEV-May06 4+2 kkh 18 3" xfId="25826"/>
    <cellStyle name="B_Bot_Prophet-EEV ReportingFinal301205-Apr06_HK.EEV-May06 4+2 kkh 19" xfId="4487"/>
    <cellStyle name="B_Bot_Prophet-EEV ReportingFinal301205-Apr06_HK.EEV-May06 4+2 kkh 19 2" xfId="4488"/>
    <cellStyle name="B_Bot_Prophet-EEV ReportingFinal301205-Apr06_HK.EEV-May06 4+2 kkh 19 3" xfId="25827"/>
    <cellStyle name="B_Bot_Prophet-EEV ReportingFinal301205-Apr06_HK.EEV-May06 4+2 kkh 2" xfId="4489"/>
    <cellStyle name="B_Bot_Prophet-EEV ReportingFinal301205-Apr06_HK.EEV-May06 4+2 kkh 2 2" xfId="4490"/>
    <cellStyle name="B_Bot_Prophet-EEV ReportingFinal301205-Apr06_HK.EEV-May06 4+2 kkh 2 3" xfId="25828"/>
    <cellStyle name="B_Bot_Prophet-EEV ReportingFinal301205-Apr06_HK.EEV-May06 4+2 kkh 20" xfId="4491"/>
    <cellStyle name="B_Bot_Prophet-EEV ReportingFinal301205-Apr06_HK.EEV-May06 4+2 kkh 20 2" xfId="4492"/>
    <cellStyle name="B_Bot_Prophet-EEV ReportingFinal301205-Apr06_HK.EEV-May06 4+2 kkh 20 3" xfId="25829"/>
    <cellStyle name="B_Bot_Prophet-EEV ReportingFinal301205-Apr06_HK.EEV-May06 4+2 kkh 21" xfId="4493"/>
    <cellStyle name="B_Bot_Prophet-EEV ReportingFinal301205-Apr06_HK.EEV-May06 4+2 kkh 21 2" xfId="4494"/>
    <cellStyle name="B_Bot_Prophet-EEV ReportingFinal301205-Apr06_HK.EEV-May06 4+2 kkh 21 3" xfId="25830"/>
    <cellStyle name="B_Bot_Prophet-EEV ReportingFinal301205-Apr06_HK.EEV-May06 4+2 kkh 22" xfId="4495"/>
    <cellStyle name="B_Bot_Prophet-EEV ReportingFinal301205-Apr06_HK.EEV-May06 4+2 kkh 22 2" xfId="4496"/>
    <cellStyle name="B_Bot_Prophet-EEV ReportingFinal301205-Apr06_HK.EEV-May06 4+2 kkh 22 3" xfId="25831"/>
    <cellStyle name="B_Bot_Prophet-EEV ReportingFinal301205-Apr06_HK.EEV-May06 4+2 kkh 23" xfId="4497"/>
    <cellStyle name="B_Bot_Prophet-EEV ReportingFinal301205-Apr06_HK.EEV-May06 4+2 kkh 23 2" xfId="4498"/>
    <cellStyle name="B_Bot_Prophet-EEV ReportingFinal301205-Apr06_HK.EEV-May06 4+2 kkh 23 3" xfId="25832"/>
    <cellStyle name="B_Bot_Prophet-EEV ReportingFinal301205-Apr06_HK.EEV-May06 4+2 kkh 24" xfId="4499"/>
    <cellStyle name="B_Bot_Prophet-EEV ReportingFinal301205-Apr06_HK.EEV-May06 4+2 kkh 25" xfId="25833"/>
    <cellStyle name="B_Bot_Prophet-EEV ReportingFinal301205-Apr06_HK.EEV-May06 4+2 kkh 3" xfId="4500"/>
    <cellStyle name="B_Bot_Prophet-EEV ReportingFinal301205-Apr06_HK.EEV-May06 4+2 kkh 3 2" xfId="4501"/>
    <cellStyle name="B_Bot_Prophet-EEV ReportingFinal301205-Apr06_HK.EEV-May06 4+2 kkh 3 3" xfId="25834"/>
    <cellStyle name="B_Bot_Prophet-EEV ReportingFinal301205-Apr06_HK.EEV-May06 4+2 kkh 4" xfId="4502"/>
    <cellStyle name="B_Bot_Prophet-EEV ReportingFinal301205-Apr06_HK.EEV-May06 4+2 kkh 4 2" xfId="4503"/>
    <cellStyle name="B_Bot_Prophet-EEV ReportingFinal301205-Apr06_HK.EEV-May06 4+2 kkh 4 3" xfId="25835"/>
    <cellStyle name="B_Bot_Prophet-EEV ReportingFinal301205-Apr06_HK.EEV-May06 4+2 kkh 5" xfId="4504"/>
    <cellStyle name="B_Bot_Prophet-EEV ReportingFinal301205-Apr06_HK.EEV-May06 4+2 kkh 5 2" xfId="4505"/>
    <cellStyle name="B_Bot_Prophet-EEV ReportingFinal301205-Apr06_HK.EEV-May06 4+2 kkh 5 3" xfId="25836"/>
    <cellStyle name="B_Bot_Prophet-EEV ReportingFinal301205-Apr06_HK.EEV-May06 4+2 kkh 6" xfId="4506"/>
    <cellStyle name="B_Bot_Prophet-EEV ReportingFinal301205-Apr06_HK.EEV-May06 4+2 kkh 6 2" xfId="4507"/>
    <cellStyle name="B_Bot_Prophet-EEV ReportingFinal301205-Apr06_HK.EEV-May06 4+2 kkh 6 3" xfId="25837"/>
    <cellStyle name="B_Bot_Prophet-EEV ReportingFinal301205-Apr06_HK.EEV-May06 4+2 kkh 7" xfId="4508"/>
    <cellStyle name="B_Bot_Prophet-EEV ReportingFinal301205-Apr06_HK.EEV-May06 4+2 kkh 7 2" xfId="4509"/>
    <cellStyle name="B_Bot_Prophet-EEV ReportingFinal301205-Apr06_HK.EEV-May06 4+2 kkh 7 3" xfId="25838"/>
    <cellStyle name="B_Bot_Prophet-EEV ReportingFinal301205-Apr06_HK.EEV-May06 4+2 kkh 8" xfId="4510"/>
    <cellStyle name="B_Bot_Prophet-EEV ReportingFinal301205-Apr06_HK.EEV-May06 4+2 kkh 8 2" xfId="4511"/>
    <cellStyle name="B_Bot_Prophet-EEV ReportingFinal301205-Apr06_HK.EEV-May06 4+2 kkh 8 3" xfId="25839"/>
    <cellStyle name="B_Bot_Prophet-EEV ReportingFinal301205-Apr06_HK.EEV-May06 4+2 kkh 9" xfId="4512"/>
    <cellStyle name="B_Bot_Prophet-EEV ReportingFinal301205-Apr06_HK.EEV-May06 4+2 kkh 9 2" xfId="4513"/>
    <cellStyle name="B_Bot_Prophet-EEV ReportingFinal301205-Apr06_HK.EEV-May06 4+2 kkh 9 3" xfId="25840"/>
    <cellStyle name="B_Bot_Prophet-EEV ReportingFinal301205-Apr06_HK.EEV-May06 4+2 kkh_PROD_DETAILS" xfId="4514"/>
    <cellStyle name="B_Bot_Prophet-EEV ReportingFinal301205-Apr06_HK.EEV-May06 4+2 kkh_PROD_DETAILS 2" xfId="4515"/>
    <cellStyle name="B_Bot_Prophet-EEV ReportingFinal301205-Apr06_HK.EEV-May06 4+2 kkh_PROD_DETAILS 3" xfId="25841"/>
    <cellStyle name="B_Bot_Prophet-EEV ReportingFinal301205-Apr06_HK.EEV-May06 4+2 kkh_SOLVENCY POSITION " xfId="4516"/>
    <cellStyle name="B_Bot_Prophet-EEV ReportingFinal301205-Apr06_HK.EEV-May06 4+2 kkh_SOLVENCY POSITION  2" xfId="4517"/>
    <cellStyle name="B_Bot_Prophet-EEV ReportingFinal301205-Apr06_HK.EEV-May06 4+2 kkh_SOLVENCY POSITION  3" xfId="25842"/>
    <cellStyle name="B_Bot_Prophet-EEV ReportingFinal301205-Apr06_PROD_DETAILS" xfId="4518"/>
    <cellStyle name="B_Bot_Prophet-EEV ReportingFinal301205-Apr06_PROD_DETAILS 2" xfId="4519"/>
    <cellStyle name="B_Bot_Prophet-EEV ReportingFinal301205-Apr06_PROD_DETAILS 3" xfId="25843"/>
    <cellStyle name="B_Bot_Prophet-EEV ReportingFinal301205-Apr06_SOLVENCY POSITION " xfId="4520"/>
    <cellStyle name="B_Bot_Prophet-EEV ReportingFinal301205-Apr06_SOLVENCY POSITION  2" xfId="4521"/>
    <cellStyle name="B_Bot_Prophet-EEV ReportingFinal301205-Apr06_SOLVENCY POSITION  3" xfId="25844"/>
    <cellStyle name="B_Bot_QF12007_FINchecks" xfId="4522"/>
    <cellStyle name="B_Bot_QF12007_FINchecks 10" xfId="4523"/>
    <cellStyle name="B_Bot_QF12007_FINchecks 10 2" xfId="4524"/>
    <cellStyle name="B_Bot_QF12007_FINchecks 10 3" xfId="25845"/>
    <cellStyle name="B_Bot_QF12007_FINchecks 11" xfId="4525"/>
    <cellStyle name="B_Bot_QF12007_FINchecks 11 2" xfId="4526"/>
    <cellStyle name="B_Bot_QF12007_FINchecks 11 3" xfId="25846"/>
    <cellStyle name="B_Bot_QF12007_FINchecks 12" xfId="4527"/>
    <cellStyle name="B_Bot_QF12007_FINchecks 12 2" xfId="4528"/>
    <cellStyle name="B_Bot_QF12007_FINchecks 12 3" xfId="25847"/>
    <cellStyle name="B_Bot_QF12007_FINchecks 13" xfId="4529"/>
    <cellStyle name="B_Bot_QF12007_FINchecks 13 2" xfId="4530"/>
    <cellStyle name="B_Bot_QF12007_FINchecks 13 3" xfId="25848"/>
    <cellStyle name="B_Bot_QF12007_FINchecks 14" xfId="4531"/>
    <cellStyle name="B_Bot_QF12007_FINchecks 14 2" xfId="4532"/>
    <cellStyle name="B_Bot_QF12007_FINchecks 14 3" xfId="25849"/>
    <cellStyle name="B_Bot_QF12007_FINchecks 15" xfId="4533"/>
    <cellStyle name="B_Bot_QF12007_FINchecks 15 2" xfId="4534"/>
    <cellStyle name="B_Bot_QF12007_FINchecks 15 3" xfId="25850"/>
    <cellStyle name="B_Bot_QF12007_FINchecks 16" xfId="4535"/>
    <cellStyle name="B_Bot_QF12007_FINchecks 16 2" xfId="4536"/>
    <cellStyle name="B_Bot_QF12007_FINchecks 16 3" xfId="25851"/>
    <cellStyle name="B_Bot_QF12007_FINchecks 17" xfId="4537"/>
    <cellStyle name="B_Bot_QF12007_FINchecks 17 2" xfId="4538"/>
    <cellStyle name="B_Bot_QF12007_FINchecks 17 3" xfId="25852"/>
    <cellStyle name="B_Bot_QF12007_FINchecks 18" xfId="4539"/>
    <cellStyle name="B_Bot_QF12007_FINchecks 18 2" xfId="4540"/>
    <cellStyle name="B_Bot_QF12007_FINchecks 18 3" xfId="25853"/>
    <cellStyle name="B_Bot_QF12007_FINchecks 19" xfId="4541"/>
    <cellStyle name="B_Bot_QF12007_FINchecks 19 2" xfId="4542"/>
    <cellStyle name="B_Bot_QF12007_FINchecks 19 3" xfId="25854"/>
    <cellStyle name="B_Bot_QF12007_FINchecks 2" xfId="4543"/>
    <cellStyle name="B_Bot_QF12007_FINchecks 2 2" xfId="4544"/>
    <cellStyle name="B_Bot_QF12007_FINchecks 2 3" xfId="25855"/>
    <cellStyle name="B_Bot_QF12007_FINchecks 20" xfId="4545"/>
    <cellStyle name="B_Bot_QF12007_FINchecks 20 2" xfId="4546"/>
    <cellStyle name="B_Bot_QF12007_FINchecks 20 3" xfId="25856"/>
    <cellStyle name="B_Bot_QF12007_FINchecks 21" xfId="4547"/>
    <cellStyle name="B_Bot_QF12007_FINchecks 21 2" xfId="4548"/>
    <cellStyle name="B_Bot_QF12007_FINchecks 21 3" xfId="25857"/>
    <cellStyle name="B_Bot_QF12007_FINchecks 22" xfId="4549"/>
    <cellStyle name="B_Bot_QF12007_FINchecks 22 2" xfId="4550"/>
    <cellStyle name="B_Bot_QF12007_FINchecks 22 3" xfId="25858"/>
    <cellStyle name="B_Bot_QF12007_FINchecks 23" xfId="4551"/>
    <cellStyle name="B_Bot_QF12007_FINchecks 23 2" xfId="4552"/>
    <cellStyle name="B_Bot_QF12007_FINchecks 23 3" xfId="25859"/>
    <cellStyle name="B_Bot_QF12007_FINchecks 24" xfId="4553"/>
    <cellStyle name="B_Bot_QF12007_FINchecks 25" xfId="25860"/>
    <cellStyle name="B_Bot_QF12007_FINchecks 3" xfId="4554"/>
    <cellStyle name="B_Bot_QF12007_FINchecks 3 2" xfId="4555"/>
    <cellStyle name="B_Bot_QF12007_FINchecks 3 3" xfId="25861"/>
    <cellStyle name="B_Bot_QF12007_FINchecks 4" xfId="4556"/>
    <cellStyle name="B_Bot_QF12007_FINchecks 4 2" xfId="4557"/>
    <cellStyle name="B_Bot_QF12007_FINchecks 4 3" xfId="25862"/>
    <cellStyle name="B_Bot_QF12007_FINchecks 5" xfId="4558"/>
    <cellStyle name="B_Bot_QF12007_FINchecks 5 2" xfId="4559"/>
    <cellStyle name="B_Bot_QF12007_FINchecks 5 3" xfId="25863"/>
    <cellStyle name="B_Bot_QF12007_FINchecks 6" xfId="4560"/>
    <cellStyle name="B_Bot_QF12007_FINchecks 6 2" xfId="4561"/>
    <cellStyle name="B_Bot_QF12007_FINchecks 6 3" xfId="25864"/>
    <cellStyle name="B_Bot_QF12007_FINchecks 7" xfId="4562"/>
    <cellStyle name="B_Bot_QF12007_FINchecks 7 2" xfId="4563"/>
    <cellStyle name="B_Bot_QF12007_FINchecks 7 3" xfId="25865"/>
    <cellStyle name="B_Bot_QF12007_FINchecks 8" xfId="4564"/>
    <cellStyle name="B_Bot_QF12007_FINchecks 8 2" xfId="4565"/>
    <cellStyle name="B_Bot_QF12007_FINchecks 8 3" xfId="25866"/>
    <cellStyle name="B_Bot_QF12007_FINchecks 9" xfId="4566"/>
    <cellStyle name="B_Bot_QF12007_FINchecks 9 2" xfId="4567"/>
    <cellStyle name="B_Bot_QF12007_FINchecks 9 3" xfId="25867"/>
    <cellStyle name="B_Bot_QF12007_FINchecks_PROD_DETAILS" xfId="4568"/>
    <cellStyle name="B_Bot_QF12007_FINchecks_PROD_DETAILS 2" xfId="4569"/>
    <cellStyle name="B_Bot_QF12007_FINchecks_PROD_DETAILS 3" xfId="25868"/>
    <cellStyle name="B_Bot_QF12007_FINchecks_SOLVENCY POSITION " xfId="4570"/>
    <cellStyle name="B_Bot_QF12007_FINchecks_SOLVENCY POSITION  2" xfId="4571"/>
    <cellStyle name="B_Bot_QF12007_FINchecks_SOLVENCY POSITION  3" xfId="25869"/>
    <cellStyle name="B_Bot_SG.EEV-Apr06" xfId="4572"/>
    <cellStyle name="B_Bot_SG.EEV-Apr06 10" xfId="4573"/>
    <cellStyle name="B_Bot_SG.EEV-Apr06 10 2" xfId="4574"/>
    <cellStyle name="B_Bot_SG.EEV-Apr06 10 3" xfId="25870"/>
    <cellStyle name="B_Bot_SG.EEV-Apr06 11" xfId="4575"/>
    <cellStyle name="B_Bot_SG.EEV-Apr06 11 2" xfId="4576"/>
    <cellStyle name="B_Bot_SG.EEV-Apr06 11 3" xfId="25871"/>
    <cellStyle name="B_Bot_SG.EEV-Apr06 12" xfId="4577"/>
    <cellStyle name="B_Bot_SG.EEV-Apr06 12 2" xfId="4578"/>
    <cellStyle name="B_Bot_SG.EEV-Apr06 12 3" xfId="25872"/>
    <cellStyle name="B_Bot_SG.EEV-Apr06 13" xfId="4579"/>
    <cellStyle name="B_Bot_SG.EEV-Apr06 13 2" xfId="4580"/>
    <cellStyle name="B_Bot_SG.EEV-Apr06 13 3" xfId="25873"/>
    <cellStyle name="B_Bot_SG.EEV-Apr06 14" xfId="4581"/>
    <cellStyle name="B_Bot_SG.EEV-Apr06 14 2" xfId="4582"/>
    <cellStyle name="B_Bot_SG.EEV-Apr06 14 3" xfId="25874"/>
    <cellStyle name="B_Bot_SG.EEV-Apr06 15" xfId="4583"/>
    <cellStyle name="B_Bot_SG.EEV-Apr06 15 2" xfId="4584"/>
    <cellStyle name="B_Bot_SG.EEV-Apr06 15 3" xfId="25875"/>
    <cellStyle name="B_Bot_SG.EEV-Apr06 16" xfId="4585"/>
    <cellStyle name="B_Bot_SG.EEV-Apr06 16 2" xfId="4586"/>
    <cellStyle name="B_Bot_SG.EEV-Apr06 16 3" xfId="25876"/>
    <cellStyle name="B_Bot_SG.EEV-Apr06 17" xfId="4587"/>
    <cellStyle name="B_Bot_SG.EEV-Apr06 17 2" xfId="4588"/>
    <cellStyle name="B_Bot_SG.EEV-Apr06 17 3" xfId="25877"/>
    <cellStyle name="B_Bot_SG.EEV-Apr06 18" xfId="4589"/>
    <cellStyle name="B_Bot_SG.EEV-Apr06 18 2" xfId="4590"/>
    <cellStyle name="B_Bot_SG.EEV-Apr06 18 3" xfId="25878"/>
    <cellStyle name="B_Bot_SG.EEV-Apr06 19" xfId="4591"/>
    <cellStyle name="B_Bot_SG.EEV-Apr06 19 2" xfId="4592"/>
    <cellStyle name="B_Bot_SG.EEV-Apr06 19 3" xfId="25879"/>
    <cellStyle name="B_Bot_SG.EEV-Apr06 2" xfId="4593"/>
    <cellStyle name="B_Bot_SG.EEV-Apr06 2 2" xfId="4594"/>
    <cellStyle name="B_Bot_SG.EEV-Apr06 2 3" xfId="25880"/>
    <cellStyle name="B_Bot_SG.EEV-Apr06 20" xfId="4595"/>
    <cellStyle name="B_Bot_SG.EEV-Apr06 20 2" xfId="4596"/>
    <cellStyle name="B_Bot_SG.EEV-Apr06 20 3" xfId="25881"/>
    <cellStyle name="B_Bot_SG.EEV-Apr06 21" xfId="4597"/>
    <cellStyle name="B_Bot_SG.EEV-Apr06 21 2" xfId="4598"/>
    <cellStyle name="B_Bot_SG.EEV-Apr06 21 3" xfId="25882"/>
    <cellStyle name="B_Bot_SG.EEV-Apr06 22" xfId="4599"/>
    <cellStyle name="B_Bot_SG.EEV-Apr06 22 2" xfId="4600"/>
    <cellStyle name="B_Bot_SG.EEV-Apr06 22 3" xfId="25883"/>
    <cellStyle name="B_Bot_SG.EEV-Apr06 23" xfId="4601"/>
    <cellStyle name="B_Bot_SG.EEV-Apr06 23 2" xfId="4602"/>
    <cellStyle name="B_Bot_SG.EEV-Apr06 23 3" xfId="25884"/>
    <cellStyle name="B_Bot_SG.EEV-Apr06 24" xfId="4603"/>
    <cellStyle name="B_Bot_SG.EEV-Apr06 25" xfId="25885"/>
    <cellStyle name="B_Bot_SG.EEV-Apr06 3" xfId="4604"/>
    <cellStyle name="B_Bot_SG.EEV-Apr06 3 2" xfId="4605"/>
    <cellStyle name="B_Bot_SG.EEV-Apr06 3 3" xfId="25886"/>
    <cellStyle name="B_Bot_SG.EEV-Apr06 4" xfId="4606"/>
    <cellStyle name="B_Bot_SG.EEV-Apr06 4 2" xfId="4607"/>
    <cellStyle name="B_Bot_SG.EEV-Apr06 4 3" xfId="25887"/>
    <cellStyle name="B_Bot_SG.EEV-Apr06 5" xfId="4608"/>
    <cellStyle name="B_Bot_SG.EEV-Apr06 5 2" xfId="4609"/>
    <cellStyle name="B_Bot_SG.EEV-Apr06 5 3" xfId="25888"/>
    <cellStyle name="B_Bot_SG.EEV-Apr06 6" xfId="4610"/>
    <cellStyle name="B_Bot_SG.EEV-Apr06 6 2" xfId="4611"/>
    <cellStyle name="B_Bot_SG.EEV-Apr06 6 3" xfId="25889"/>
    <cellStyle name="B_Bot_SG.EEV-Apr06 7" xfId="4612"/>
    <cellStyle name="B_Bot_SG.EEV-Apr06 7 2" xfId="4613"/>
    <cellStyle name="B_Bot_SG.EEV-Apr06 7 3" xfId="25890"/>
    <cellStyle name="B_Bot_SG.EEV-Apr06 8" xfId="4614"/>
    <cellStyle name="B_Bot_SG.EEV-Apr06 8 2" xfId="4615"/>
    <cellStyle name="B_Bot_SG.EEV-Apr06 8 3" xfId="25891"/>
    <cellStyle name="B_Bot_SG.EEV-Apr06 9" xfId="4616"/>
    <cellStyle name="B_Bot_SG.EEV-Apr06 9 2" xfId="4617"/>
    <cellStyle name="B_Bot_SG.EEV-Apr06 9 3" xfId="25892"/>
    <cellStyle name="B_Bot_SG.EEV-Apr06_HK.EEV-May06 4+2 kkh" xfId="4618"/>
    <cellStyle name="B_Bot_SG.EEV-Apr06_HK.EEV-May06 4+2 kkh 10" xfId="4619"/>
    <cellStyle name="B_Bot_SG.EEV-Apr06_HK.EEV-May06 4+2 kkh 10 2" xfId="4620"/>
    <cellStyle name="B_Bot_SG.EEV-Apr06_HK.EEV-May06 4+2 kkh 10 3" xfId="25893"/>
    <cellStyle name="B_Bot_SG.EEV-Apr06_HK.EEV-May06 4+2 kkh 11" xfId="4621"/>
    <cellStyle name="B_Bot_SG.EEV-Apr06_HK.EEV-May06 4+2 kkh 11 2" xfId="4622"/>
    <cellStyle name="B_Bot_SG.EEV-Apr06_HK.EEV-May06 4+2 kkh 11 3" xfId="25894"/>
    <cellStyle name="B_Bot_SG.EEV-Apr06_HK.EEV-May06 4+2 kkh 12" xfId="4623"/>
    <cellStyle name="B_Bot_SG.EEV-Apr06_HK.EEV-May06 4+2 kkh 12 2" xfId="4624"/>
    <cellStyle name="B_Bot_SG.EEV-Apr06_HK.EEV-May06 4+2 kkh 12 3" xfId="25895"/>
    <cellStyle name="B_Bot_SG.EEV-Apr06_HK.EEV-May06 4+2 kkh 13" xfId="4625"/>
    <cellStyle name="B_Bot_SG.EEV-Apr06_HK.EEV-May06 4+2 kkh 13 2" xfId="4626"/>
    <cellStyle name="B_Bot_SG.EEV-Apr06_HK.EEV-May06 4+2 kkh 13 3" xfId="25896"/>
    <cellStyle name="B_Bot_SG.EEV-Apr06_HK.EEV-May06 4+2 kkh 14" xfId="4627"/>
    <cellStyle name="B_Bot_SG.EEV-Apr06_HK.EEV-May06 4+2 kkh 14 2" xfId="4628"/>
    <cellStyle name="B_Bot_SG.EEV-Apr06_HK.EEV-May06 4+2 kkh 14 3" xfId="25897"/>
    <cellStyle name="B_Bot_SG.EEV-Apr06_HK.EEV-May06 4+2 kkh 15" xfId="4629"/>
    <cellStyle name="B_Bot_SG.EEV-Apr06_HK.EEV-May06 4+2 kkh 15 2" xfId="4630"/>
    <cellStyle name="B_Bot_SG.EEV-Apr06_HK.EEV-May06 4+2 kkh 15 3" xfId="25898"/>
    <cellStyle name="B_Bot_SG.EEV-Apr06_HK.EEV-May06 4+2 kkh 16" xfId="4631"/>
    <cellStyle name="B_Bot_SG.EEV-Apr06_HK.EEV-May06 4+2 kkh 16 2" xfId="4632"/>
    <cellStyle name="B_Bot_SG.EEV-Apr06_HK.EEV-May06 4+2 kkh 16 3" xfId="25899"/>
    <cellStyle name="B_Bot_SG.EEV-Apr06_HK.EEV-May06 4+2 kkh 17" xfId="4633"/>
    <cellStyle name="B_Bot_SG.EEV-Apr06_HK.EEV-May06 4+2 kkh 17 2" xfId="4634"/>
    <cellStyle name="B_Bot_SG.EEV-Apr06_HK.EEV-May06 4+2 kkh 17 3" xfId="25900"/>
    <cellStyle name="B_Bot_SG.EEV-Apr06_HK.EEV-May06 4+2 kkh 18" xfId="4635"/>
    <cellStyle name="B_Bot_SG.EEV-Apr06_HK.EEV-May06 4+2 kkh 18 2" xfId="4636"/>
    <cellStyle name="B_Bot_SG.EEV-Apr06_HK.EEV-May06 4+2 kkh 18 3" xfId="25901"/>
    <cellStyle name="B_Bot_SG.EEV-Apr06_HK.EEV-May06 4+2 kkh 19" xfId="4637"/>
    <cellStyle name="B_Bot_SG.EEV-Apr06_HK.EEV-May06 4+2 kkh 19 2" xfId="4638"/>
    <cellStyle name="B_Bot_SG.EEV-Apr06_HK.EEV-May06 4+2 kkh 19 3" xfId="25902"/>
    <cellStyle name="B_Bot_SG.EEV-Apr06_HK.EEV-May06 4+2 kkh 2" xfId="4639"/>
    <cellStyle name="B_Bot_SG.EEV-Apr06_HK.EEV-May06 4+2 kkh 2 2" xfId="4640"/>
    <cellStyle name="B_Bot_SG.EEV-Apr06_HK.EEV-May06 4+2 kkh 2 3" xfId="25903"/>
    <cellStyle name="B_Bot_SG.EEV-Apr06_HK.EEV-May06 4+2 kkh 20" xfId="4641"/>
    <cellStyle name="B_Bot_SG.EEV-Apr06_HK.EEV-May06 4+2 kkh 20 2" xfId="4642"/>
    <cellStyle name="B_Bot_SG.EEV-Apr06_HK.EEV-May06 4+2 kkh 20 3" xfId="25904"/>
    <cellStyle name="B_Bot_SG.EEV-Apr06_HK.EEV-May06 4+2 kkh 21" xfId="4643"/>
    <cellStyle name="B_Bot_SG.EEV-Apr06_HK.EEV-May06 4+2 kkh 21 2" xfId="4644"/>
    <cellStyle name="B_Bot_SG.EEV-Apr06_HK.EEV-May06 4+2 kkh 21 3" xfId="25905"/>
    <cellStyle name="B_Bot_SG.EEV-Apr06_HK.EEV-May06 4+2 kkh 22" xfId="4645"/>
    <cellStyle name="B_Bot_SG.EEV-Apr06_HK.EEV-May06 4+2 kkh 22 2" xfId="4646"/>
    <cellStyle name="B_Bot_SG.EEV-Apr06_HK.EEV-May06 4+2 kkh 22 3" xfId="25906"/>
    <cellStyle name="B_Bot_SG.EEV-Apr06_HK.EEV-May06 4+2 kkh 23" xfId="4647"/>
    <cellStyle name="B_Bot_SG.EEV-Apr06_HK.EEV-May06 4+2 kkh 23 2" xfId="4648"/>
    <cellStyle name="B_Bot_SG.EEV-Apr06_HK.EEV-May06 4+2 kkh 23 3" xfId="25907"/>
    <cellStyle name="B_Bot_SG.EEV-Apr06_HK.EEV-May06 4+2 kkh 24" xfId="4649"/>
    <cellStyle name="B_Bot_SG.EEV-Apr06_HK.EEV-May06 4+2 kkh 25" xfId="25908"/>
    <cellStyle name="B_Bot_SG.EEV-Apr06_HK.EEV-May06 4+2 kkh 3" xfId="4650"/>
    <cellStyle name="B_Bot_SG.EEV-Apr06_HK.EEV-May06 4+2 kkh 3 2" xfId="4651"/>
    <cellStyle name="B_Bot_SG.EEV-Apr06_HK.EEV-May06 4+2 kkh 3 3" xfId="25909"/>
    <cellStyle name="B_Bot_SG.EEV-Apr06_HK.EEV-May06 4+2 kkh 4" xfId="4652"/>
    <cellStyle name="B_Bot_SG.EEV-Apr06_HK.EEV-May06 4+2 kkh 4 2" xfId="4653"/>
    <cellStyle name="B_Bot_SG.EEV-Apr06_HK.EEV-May06 4+2 kkh 4 3" xfId="25910"/>
    <cellStyle name="B_Bot_SG.EEV-Apr06_HK.EEV-May06 4+2 kkh 5" xfId="4654"/>
    <cellStyle name="B_Bot_SG.EEV-Apr06_HK.EEV-May06 4+2 kkh 5 2" xfId="4655"/>
    <cellStyle name="B_Bot_SG.EEV-Apr06_HK.EEV-May06 4+2 kkh 5 3" xfId="25911"/>
    <cellStyle name="B_Bot_SG.EEV-Apr06_HK.EEV-May06 4+2 kkh 6" xfId="4656"/>
    <cellStyle name="B_Bot_SG.EEV-Apr06_HK.EEV-May06 4+2 kkh 6 2" xfId="4657"/>
    <cellStyle name="B_Bot_SG.EEV-Apr06_HK.EEV-May06 4+2 kkh 6 3" xfId="25912"/>
    <cellStyle name="B_Bot_SG.EEV-Apr06_HK.EEV-May06 4+2 kkh 7" xfId="4658"/>
    <cellStyle name="B_Bot_SG.EEV-Apr06_HK.EEV-May06 4+2 kkh 7 2" xfId="4659"/>
    <cellStyle name="B_Bot_SG.EEV-Apr06_HK.EEV-May06 4+2 kkh 7 3" xfId="25913"/>
    <cellStyle name="B_Bot_SG.EEV-Apr06_HK.EEV-May06 4+2 kkh 8" xfId="4660"/>
    <cellStyle name="B_Bot_SG.EEV-Apr06_HK.EEV-May06 4+2 kkh 8 2" xfId="4661"/>
    <cellStyle name="B_Bot_SG.EEV-Apr06_HK.EEV-May06 4+2 kkh 8 3" xfId="25914"/>
    <cellStyle name="B_Bot_SG.EEV-Apr06_HK.EEV-May06 4+2 kkh 9" xfId="4662"/>
    <cellStyle name="B_Bot_SG.EEV-Apr06_HK.EEV-May06 4+2 kkh 9 2" xfId="4663"/>
    <cellStyle name="B_Bot_SG.EEV-Apr06_HK.EEV-May06 4+2 kkh 9 3" xfId="25915"/>
    <cellStyle name="B_Bot_SG.EEV-Apr06_HK.EEV-May06 4+2 kkh_PROD_DETAILS" xfId="4664"/>
    <cellStyle name="B_Bot_SG.EEV-Apr06_HK.EEV-May06 4+2 kkh_PROD_DETAILS 2" xfId="4665"/>
    <cellStyle name="B_Bot_SG.EEV-Apr06_HK.EEV-May06 4+2 kkh_PROD_DETAILS 3" xfId="25916"/>
    <cellStyle name="B_Bot_SG.EEV-Apr06_HK.EEV-May06 4+2 kkh_SOLVENCY POSITION " xfId="4666"/>
    <cellStyle name="B_Bot_SG.EEV-Apr06_HK.EEV-May06 4+2 kkh_SOLVENCY POSITION  2" xfId="4667"/>
    <cellStyle name="B_Bot_SG.EEV-Apr06_HK.EEV-May06 4+2 kkh_SOLVENCY POSITION  3" xfId="25917"/>
    <cellStyle name="B_Bot_SG.EEV-Apr06_PROD_DETAILS" xfId="4668"/>
    <cellStyle name="B_Bot_SG.EEV-Apr06_PROD_DETAILS 2" xfId="4669"/>
    <cellStyle name="B_Bot_SG.EEV-Apr06_PROD_DETAILS 3" xfId="25918"/>
    <cellStyle name="B_Bot_SG.EEV-Apr06_SOLVENCY POSITION " xfId="4670"/>
    <cellStyle name="B_Bot_SG.EEV-Apr06_SOLVENCY POSITION  2" xfId="4671"/>
    <cellStyle name="B_Bot_SG.EEV-Apr06_SOLVENCY POSITION  3" xfId="25919"/>
    <cellStyle name="B_Bot_SG.EEV-June06 6+6" xfId="4672"/>
    <cellStyle name="B_Bot_SG.EEV-June06 6+6 10" xfId="4673"/>
    <cellStyle name="B_Bot_SG.EEV-June06 6+6 10 2" xfId="4674"/>
    <cellStyle name="B_Bot_SG.EEV-June06 6+6 10 3" xfId="25920"/>
    <cellStyle name="B_Bot_SG.EEV-June06 6+6 11" xfId="4675"/>
    <cellStyle name="B_Bot_SG.EEV-June06 6+6 11 2" xfId="4676"/>
    <cellStyle name="B_Bot_SG.EEV-June06 6+6 11 3" xfId="25921"/>
    <cellStyle name="B_Bot_SG.EEV-June06 6+6 12" xfId="4677"/>
    <cellStyle name="B_Bot_SG.EEV-June06 6+6 12 2" xfId="4678"/>
    <cellStyle name="B_Bot_SG.EEV-June06 6+6 12 3" xfId="25922"/>
    <cellStyle name="B_Bot_SG.EEV-June06 6+6 13" xfId="4679"/>
    <cellStyle name="B_Bot_SG.EEV-June06 6+6 13 2" xfId="4680"/>
    <cellStyle name="B_Bot_SG.EEV-June06 6+6 13 3" xfId="25923"/>
    <cellStyle name="B_Bot_SG.EEV-June06 6+6 14" xfId="4681"/>
    <cellStyle name="B_Bot_SG.EEV-June06 6+6 14 2" xfId="4682"/>
    <cellStyle name="B_Bot_SG.EEV-June06 6+6 14 3" xfId="25924"/>
    <cellStyle name="B_Bot_SG.EEV-June06 6+6 15" xfId="4683"/>
    <cellStyle name="B_Bot_SG.EEV-June06 6+6 15 2" xfId="4684"/>
    <cellStyle name="B_Bot_SG.EEV-June06 6+6 15 3" xfId="25925"/>
    <cellStyle name="B_Bot_SG.EEV-June06 6+6 16" xfId="4685"/>
    <cellStyle name="B_Bot_SG.EEV-June06 6+6 16 2" xfId="4686"/>
    <cellStyle name="B_Bot_SG.EEV-June06 6+6 16 3" xfId="25926"/>
    <cellStyle name="B_Bot_SG.EEV-June06 6+6 17" xfId="4687"/>
    <cellStyle name="B_Bot_SG.EEV-June06 6+6 17 2" xfId="4688"/>
    <cellStyle name="B_Bot_SG.EEV-June06 6+6 17 3" xfId="25927"/>
    <cellStyle name="B_Bot_SG.EEV-June06 6+6 18" xfId="4689"/>
    <cellStyle name="B_Bot_SG.EEV-June06 6+6 18 2" xfId="4690"/>
    <cellStyle name="B_Bot_SG.EEV-June06 6+6 18 3" xfId="25928"/>
    <cellStyle name="B_Bot_SG.EEV-June06 6+6 19" xfId="4691"/>
    <cellStyle name="B_Bot_SG.EEV-June06 6+6 19 2" xfId="4692"/>
    <cellStyle name="B_Bot_SG.EEV-June06 6+6 19 3" xfId="25929"/>
    <cellStyle name="B_Bot_SG.EEV-June06 6+6 2" xfId="4693"/>
    <cellStyle name="B_Bot_SG.EEV-June06 6+6 2 2" xfId="4694"/>
    <cellStyle name="B_Bot_SG.EEV-June06 6+6 2 3" xfId="25930"/>
    <cellStyle name="B_Bot_SG.EEV-June06 6+6 20" xfId="4695"/>
    <cellStyle name="B_Bot_SG.EEV-June06 6+6 20 2" xfId="4696"/>
    <cellStyle name="B_Bot_SG.EEV-June06 6+6 20 3" xfId="25931"/>
    <cellStyle name="B_Bot_SG.EEV-June06 6+6 21" xfId="4697"/>
    <cellStyle name="B_Bot_SG.EEV-June06 6+6 21 2" xfId="4698"/>
    <cellStyle name="B_Bot_SG.EEV-June06 6+6 21 3" xfId="25932"/>
    <cellStyle name="B_Bot_SG.EEV-June06 6+6 22" xfId="4699"/>
    <cellStyle name="B_Bot_SG.EEV-June06 6+6 22 2" xfId="4700"/>
    <cellStyle name="B_Bot_SG.EEV-June06 6+6 22 3" xfId="25933"/>
    <cellStyle name="B_Bot_SG.EEV-June06 6+6 23" xfId="4701"/>
    <cellStyle name="B_Bot_SG.EEV-June06 6+6 23 2" xfId="4702"/>
    <cellStyle name="B_Bot_SG.EEV-June06 6+6 23 3" xfId="25934"/>
    <cellStyle name="B_Bot_SG.EEV-June06 6+6 24" xfId="4703"/>
    <cellStyle name="B_Bot_SG.EEV-June06 6+6 25" xfId="25935"/>
    <cellStyle name="B_Bot_SG.EEV-June06 6+6 3" xfId="4704"/>
    <cellStyle name="B_Bot_SG.EEV-June06 6+6 3 2" xfId="4705"/>
    <cellStyle name="B_Bot_SG.EEV-June06 6+6 3 3" xfId="25936"/>
    <cellStyle name="B_Bot_SG.EEV-June06 6+6 4" xfId="4706"/>
    <cellStyle name="B_Bot_SG.EEV-June06 6+6 4 2" xfId="4707"/>
    <cellStyle name="B_Bot_SG.EEV-June06 6+6 4 3" xfId="25937"/>
    <cellStyle name="B_Bot_SG.EEV-June06 6+6 5" xfId="4708"/>
    <cellStyle name="B_Bot_SG.EEV-June06 6+6 5 2" xfId="4709"/>
    <cellStyle name="B_Bot_SG.EEV-June06 6+6 5 3" xfId="25938"/>
    <cellStyle name="B_Bot_SG.EEV-June06 6+6 6" xfId="4710"/>
    <cellStyle name="B_Bot_SG.EEV-June06 6+6 6 2" xfId="4711"/>
    <cellStyle name="B_Bot_SG.EEV-June06 6+6 6 3" xfId="25939"/>
    <cellStyle name="B_Bot_SG.EEV-June06 6+6 7" xfId="4712"/>
    <cellStyle name="B_Bot_SG.EEV-June06 6+6 7 2" xfId="4713"/>
    <cellStyle name="B_Bot_SG.EEV-June06 6+6 7 3" xfId="25940"/>
    <cellStyle name="B_Bot_SG.EEV-June06 6+6 8" xfId="4714"/>
    <cellStyle name="B_Bot_SG.EEV-June06 6+6 8 2" xfId="4715"/>
    <cellStyle name="B_Bot_SG.EEV-June06 6+6 8 3" xfId="25941"/>
    <cellStyle name="B_Bot_SG.EEV-June06 6+6 9" xfId="4716"/>
    <cellStyle name="B_Bot_SG.EEV-June06 6+6 9 2" xfId="4717"/>
    <cellStyle name="B_Bot_SG.EEV-June06 6+6 9 3" xfId="25942"/>
    <cellStyle name="B_Bot_SG.EEV-June06 6+6_PROD_DETAILS" xfId="4718"/>
    <cellStyle name="B_Bot_SG.EEV-June06 6+6_PROD_DETAILS 2" xfId="4719"/>
    <cellStyle name="B_Bot_SG.EEV-June06 6+6_PROD_DETAILS 3" xfId="25943"/>
    <cellStyle name="B_Bot_SG.EEV-June06 6+6_SOLVENCY POSITION " xfId="4720"/>
    <cellStyle name="B_Bot_SG.EEV-June06 6+6_SOLVENCY POSITION  2" xfId="4721"/>
    <cellStyle name="B_Bot_SG.EEV-June06 6+6_SOLVENCY POSITION  3" xfId="25944"/>
    <cellStyle name="B_Bot_SG.EEV-May06 4+2" xfId="4722"/>
    <cellStyle name="B_Bot_SG.EEV-May06 4+2 10" xfId="4723"/>
    <cellStyle name="B_Bot_SG.EEV-May06 4+2 10 2" xfId="4724"/>
    <cellStyle name="B_Bot_SG.EEV-May06 4+2 10 3" xfId="25945"/>
    <cellStyle name="B_Bot_SG.EEV-May06 4+2 11" xfId="4725"/>
    <cellStyle name="B_Bot_SG.EEV-May06 4+2 11 2" xfId="4726"/>
    <cellStyle name="B_Bot_SG.EEV-May06 4+2 11 3" xfId="25946"/>
    <cellStyle name="B_Bot_SG.EEV-May06 4+2 12" xfId="4727"/>
    <cellStyle name="B_Bot_SG.EEV-May06 4+2 12 2" xfId="4728"/>
    <cellStyle name="B_Bot_SG.EEV-May06 4+2 12 3" xfId="25947"/>
    <cellStyle name="B_Bot_SG.EEV-May06 4+2 13" xfId="4729"/>
    <cellStyle name="B_Bot_SG.EEV-May06 4+2 13 2" xfId="4730"/>
    <cellStyle name="B_Bot_SG.EEV-May06 4+2 13 3" xfId="25948"/>
    <cellStyle name="B_Bot_SG.EEV-May06 4+2 14" xfId="4731"/>
    <cellStyle name="B_Bot_SG.EEV-May06 4+2 14 2" xfId="4732"/>
    <cellStyle name="B_Bot_SG.EEV-May06 4+2 14 3" xfId="25949"/>
    <cellStyle name="B_Bot_SG.EEV-May06 4+2 15" xfId="4733"/>
    <cellStyle name="B_Bot_SG.EEV-May06 4+2 15 2" xfId="4734"/>
    <cellStyle name="B_Bot_SG.EEV-May06 4+2 15 3" xfId="25950"/>
    <cellStyle name="B_Bot_SG.EEV-May06 4+2 16" xfId="4735"/>
    <cellStyle name="B_Bot_SG.EEV-May06 4+2 16 2" xfId="4736"/>
    <cellStyle name="B_Bot_SG.EEV-May06 4+2 16 3" xfId="25951"/>
    <cellStyle name="B_Bot_SG.EEV-May06 4+2 17" xfId="4737"/>
    <cellStyle name="B_Bot_SG.EEV-May06 4+2 17 2" xfId="4738"/>
    <cellStyle name="B_Bot_SG.EEV-May06 4+2 17 3" xfId="25952"/>
    <cellStyle name="B_Bot_SG.EEV-May06 4+2 18" xfId="4739"/>
    <cellStyle name="B_Bot_SG.EEV-May06 4+2 18 2" xfId="4740"/>
    <cellStyle name="B_Bot_SG.EEV-May06 4+2 18 3" xfId="25953"/>
    <cellStyle name="B_Bot_SG.EEV-May06 4+2 19" xfId="4741"/>
    <cellStyle name="B_Bot_SG.EEV-May06 4+2 19 2" xfId="4742"/>
    <cellStyle name="B_Bot_SG.EEV-May06 4+2 19 3" xfId="25954"/>
    <cellStyle name="B_Bot_SG.EEV-May06 4+2 2" xfId="4743"/>
    <cellStyle name="B_Bot_SG.EEV-May06 4+2 2 2" xfId="4744"/>
    <cellStyle name="B_Bot_SG.EEV-May06 4+2 2 3" xfId="25955"/>
    <cellStyle name="B_Bot_SG.EEV-May06 4+2 20" xfId="4745"/>
    <cellStyle name="B_Bot_SG.EEV-May06 4+2 20 2" xfId="4746"/>
    <cellStyle name="B_Bot_SG.EEV-May06 4+2 20 3" xfId="25956"/>
    <cellStyle name="B_Bot_SG.EEV-May06 4+2 21" xfId="4747"/>
    <cellStyle name="B_Bot_SG.EEV-May06 4+2 21 2" xfId="4748"/>
    <cellStyle name="B_Bot_SG.EEV-May06 4+2 21 3" xfId="25957"/>
    <cellStyle name="B_Bot_SG.EEV-May06 4+2 22" xfId="4749"/>
    <cellStyle name="B_Bot_SG.EEV-May06 4+2 22 2" xfId="4750"/>
    <cellStyle name="B_Bot_SG.EEV-May06 4+2 22 3" xfId="25958"/>
    <cellStyle name="B_Bot_SG.EEV-May06 4+2 23" xfId="4751"/>
    <cellStyle name="B_Bot_SG.EEV-May06 4+2 23 2" xfId="4752"/>
    <cellStyle name="B_Bot_SG.EEV-May06 4+2 23 3" xfId="25959"/>
    <cellStyle name="B_Bot_SG.EEV-May06 4+2 24" xfId="4753"/>
    <cellStyle name="B_Bot_SG.EEV-May06 4+2 25" xfId="25960"/>
    <cellStyle name="B_Bot_SG.EEV-May06 4+2 3" xfId="4754"/>
    <cellStyle name="B_Bot_SG.EEV-May06 4+2 3 2" xfId="4755"/>
    <cellStyle name="B_Bot_SG.EEV-May06 4+2 3 3" xfId="25961"/>
    <cellStyle name="B_Bot_SG.EEV-May06 4+2 4" xfId="4756"/>
    <cellStyle name="B_Bot_SG.EEV-May06 4+2 4 2" xfId="4757"/>
    <cellStyle name="B_Bot_SG.EEV-May06 4+2 4 3" xfId="25962"/>
    <cellStyle name="B_Bot_SG.EEV-May06 4+2 5" xfId="4758"/>
    <cellStyle name="B_Bot_SG.EEV-May06 4+2 5 2" xfId="4759"/>
    <cellStyle name="B_Bot_SG.EEV-May06 4+2 5 3" xfId="25963"/>
    <cellStyle name="B_Bot_SG.EEV-May06 4+2 6" xfId="4760"/>
    <cellStyle name="B_Bot_SG.EEV-May06 4+2 6 2" xfId="4761"/>
    <cellStyle name="B_Bot_SG.EEV-May06 4+2 6 3" xfId="25964"/>
    <cellStyle name="B_Bot_SG.EEV-May06 4+2 7" xfId="4762"/>
    <cellStyle name="B_Bot_SG.EEV-May06 4+2 7 2" xfId="4763"/>
    <cellStyle name="B_Bot_SG.EEV-May06 4+2 7 3" xfId="25965"/>
    <cellStyle name="B_Bot_SG.EEV-May06 4+2 8" xfId="4764"/>
    <cellStyle name="B_Bot_SG.EEV-May06 4+2 8 2" xfId="4765"/>
    <cellStyle name="B_Bot_SG.EEV-May06 4+2 8 3" xfId="25966"/>
    <cellStyle name="B_Bot_SG.EEV-May06 4+2 9" xfId="4766"/>
    <cellStyle name="B_Bot_SG.EEV-May06 4+2 9 2" xfId="4767"/>
    <cellStyle name="B_Bot_SG.EEV-May06 4+2 9 3" xfId="25967"/>
    <cellStyle name="B_Bot_SG.EEV-May06 4+2_PROD_DETAILS" xfId="4768"/>
    <cellStyle name="B_Bot_SG.EEV-May06 4+2_PROD_DETAILS 2" xfId="4769"/>
    <cellStyle name="B_Bot_SG.EEV-May06 4+2_PROD_DETAILS 3" xfId="25968"/>
    <cellStyle name="B_Bot_SG.EEV-May06 4+2_SOLVENCY POSITION " xfId="4770"/>
    <cellStyle name="B_Bot_SG.EEV-May06 4+2_SOLVENCY POSITION  2" xfId="4771"/>
    <cellStyle name="B_Bot_SG.EEV-May06 4+2_SOLVENCY POSITION  3" xfId="25969"/>
    <cellStyle name="B_Bot_SOLVENCY POSITION " xfId="4772"/>
    <cellStyle name="B_Bot_SOLVENCY POSITION  2" xfId="4773"/>
    <cellStyle name="B_Bot_SOLVENCY POSITION  3" xfId="25970"/>
    <cellStyle name="B_Bot_SUMM" xfId="4774"/>
    <cellStyle name="B_Bot_SUMM 10" xfId="4775"/>
    <cellStyle name="B_Bot_SUMM 10 2" xfId="4776"/>
    <cellStyle name="B_Bot_SUMM 10 3" xfId="25971"/>
    <cellStyle name="B_Bot_SUMM 11" xfId="4777"/>
    <cellStyle name="B_Bot_SUMM 11 2" xfId="4778"/>
    <cellStyle name="B_Bot_SUMM 11 3" xfId="25972"/>
    <cellStyle name="B_Bot_SUMM 12" xfId="4779"/>
    <cellStyle name="B_Bot_SUMM 12 2" xfId="4780"/>
    <cellStyle name="B_Bot_SUMM 12 3" xfId="25973"/>
    <cellStyle name="B_Bot_SUMM 13" xfId="4781"/>
    <cellStyle name="B_Bot_SUMM 13 2" xfId="4782"/>
    <cellStyle name="B_Bot_SUMM 13 3" xfId="25974"/>
    <cellStyle name="B_Bot_SUMM 14" xfId="4783"/>
    <cellStyle name="B_Bot_SUMM 14 2" xfId="4784"/>
    <cellStyle name="B_Bot_SUMM 14 3" xfId="25975"/>
    <cellStyle name="B_Bot_SUMM 15" xfId="4785"/>
    <cellStyle name="B_Bot_SUMM 15 2" xfId="4786"/>
    <cellStyle name="B_Bot_SUMM 15 3" xfId="25976"/>
    <cellStyle name="B_Bot_SUMM 16" xfId="4787"/>
    <cellStyle name="B_Bot_SUMM 16 2" xfId="4788"/>
    <cellStyle name="B_Bot_SUMM 16 3" xfId="25977"/>
    <cellStyle name="B_Bot_SUMM 17" xfId="4789"/>
    <cellStyle name="B_Bot_SUMM 17 2" xfId="4790"/>
    <cellStyle name="B_Bot_SUMM 17 3" xfId="25978"/>
    <cellStyle name="B_Bot_SUMM 18" xfId="4791"/>
    <cellStyle name="B_Bot_SUMM 18 2" xfId="4792"/>
    <cellStyle name="B_Bot_SUMM 18 3" xfId="25979"/>
    <cellStyle name="B_Bot_SUMM 19" xfId="4793"/>
    <cellStyle name="B_Bot_SUMM 19 2" xfId="4794"/>
    <cellStyle name="B_Bot_SUMM 19 3" xfId="25980"/>
    <cellStyle name="B_Bot_SUMM 2" xfId="4795"/>
    <cellStyle name="B_Bot_SUMM 2 2" xfId="4796"/>
    <cellStyle name="B_Bot_SUMM 2 3" xfId="25981"/>
    <cellStyle name="B_Bot_SUMM 20" xfId="4797"/>
    <cellStyle name="B_Bot_SUMM 20 2" xfId="4798"/>
    <cellStyle name="B_Bot_SUMM 20 3" xfId="25982"/>
    <cellStyle name="B_Bot_SUMM 21" xfId="4799"/>
    <cellStyle name="B_Bot_SUMM 21 2" xfId="4800"/>
    <cellStyle name="B_Bot_SUMM 21 3" xfId="25983"/>
    <cellStyle name="B_Bot_SUMM 22" xfId="4801"/>
    <cellStyle name="B_Bot_SUMM 22 2" xfId="4802"/>
    <cellStyle name="B_Bot_SUMM 22 3" xfId="25984"/>
    <cellStyle name="B_Bot_SUMM 23" xfId="4803"/>
    <cellStyle name="B_Bot_SUMM 23 2" xfId="4804"/>
    <cellStyle name="B_Bot_SUMM 23 3" xfId="25985"/>
    <cellStyle name="B_Bot_SUMM 24" xfId="4805"/>
    <cellStyle name="B_Bot_SUMM 25" xfId="25986"/>
    <cellStyle name="B_Bot_SUMM 3" xfId="4806"/>
    <cellStyle name="B_Bot_SUMM 3 2" xfId="4807"/>
    <cellStyle name="B_Bot_SUMM 3 3" xfId="25987"/>
    <cellStyle name="B_Bot_SUMM 4" xfId="4808"/>
    <cellStyle name="B_Bot_SUMM 4 2" xfId="4809"/>
    <cellStyle name="B_Bot_SUMM 4 3" xfId="25988"/>
    <cellStyle name="B_Bot_SUMM 5" xfId="4810"/>
    <cellStyle name="B_Bot_SUMM 5 2" xfId="4811"/>
    <cellStyle name="B_Bot_SUMM 5 3" xfId="25989"/>
    <cellStyle name="B_Bot_SUMM 6" xfId="4812"/>
    <cellStyle name="B_Bot_SUMM 6 2" xfId="4813"/>
    <cellStyle name="B_Bot_SUMM 6 3" xfId="25990"/>
    <cellStyle name="B_Bot_SUMM 7" xfId="4814"/>
    <cellStyle name="B_Bot_SUMM 7 2" xfId="4815"/>
    <cellStyle name="B_Bot_SUMM 7 3" xfId="25991"/>
    <cellStyle name="B_Bot_SUMM 8" xfId="4816"/>
    <cellStyle name="B_Bot_SUMM 8 2" xfId="4817"/>
    <cellStyle name="B_Bot_SUMM 8 3" xfId="25992"/>
    <cellStyle name="B_Bot_SUMM 9" xfId="4818"/>
    <cellStyle name="B_Bot_SUMM 9 2" xfId="4819"/>
    <cellStyle name="B_Bot_SUMM 9 3" xfId="25993"/>
    <cellStyle name="B_Bot_SUMM_PROD_DETAILS" xfId="4820"/>
    <cellStyle name="B_Bot_SUMM_PROD_DETAILS 2" xfId="4821"/>
    <cellStyle name="B_Bot_SUMM_PROD_DETAILS 3" xfId="25994"/>
    <cellStyle name="B_Bot_SUMM_SOLVENCY POSITION " xfId="4822"/>
    <cellStyle name="B_Bot_SUMM_SOLVENCY POSITION  2" xfId="4823"/>
    <cellStyle name="B_Bot_SUMM_SOLVENCY POSITION  3" xfId="25995"/>
    <cellStyle name="B_Bot_Template" xfId="4824"/>
    <cellStyle name="B_Bot_Template 10" xfId="4825"/>
    <cellStyle name="B_Bot_Template 10 2" xfId="4826"/>
    <cellStyle name="B_Bot_Template 10 3" xfId="25996"/>
    <cellStyle name="B_Bot_Template 11" xfId="4827"/>
    <cellStyle name="B_Bot_Template 11 2" xfId="4828"/>
    <cellStyle name="B_Bot_Template 11 3" xfId="25997"/>
    <cellStyle name="B_Bot_Template 12" xfId="4829"/>
    <cellStyle name="B_Bot_Template 12 2" xfId="4830"/>
    <cellStyle name="B_Bot_Template 12 3" xfId="25998"/>
    <cellStyle name="B_Bot_Template 13" xfId="4831"/>
    <cellStyle name="B_Bot_Template 13 2" xfId="4832"/>
    <cellStyle name="B_Bot_Template 13 3" xfId="25999"/>
    <cellStyle name="B_Bot_Template 14" xfId="4833"/>
    <cellStyle name="B_Bot_Template 14 2" xfId="4834"/>
    <cellStyle name="B_Bot_Template 14 3" xfId="26000"/>
    <cellStyle name="B_Bot_Template 15" xfId="4835"/>
    <cellStyle name="B_Bot_Template 15 2" xfId="4836"/>
    <cellStyle name="B_Bot_Template 15 3" xfId="26001"/>
    <cellStyle name="B_Bot_Template 16" xfId="4837"/>
    <cellStyle name="B_Bot_Template 16 2" xfId="4838"/>
    <cellStyle name="B_Bot_Template 16 3" xfId="26002"/>
    <cellStyle name="B_Bot_Template 17" xfId="4839"/>
    <cellStyle name="B_Bot_Template 17 2" xfId="4840"/>
    <cellStyle name="B_Bot_Template 17 3" xfId="26003"/>
    <cellStyle name="B_Bot_Template 18" xfId="4841"/>
    <cellStyle name="B_Bot_Template 18 2" xfId="4842"/>
    <cellStyle name="B_Bot_Template 18 3" xfId="26004"/>
    <cellStyle name="B_Bot_Template 19" xfId="4843"/>
    <cellStyle name="B_Bot_Template 19 2" xfId="4844"/>
    <cellStyle name="B_Bot_Template 19 3" xfId="26005"/>
    <cellStyle name="B_Bot_Template 2" xfId="4845"/>
    <cellStyle name="B_Bot_Template 2 2" xfId="4846"/>
    <cellStyle name="B_Bot_Template 2 3" xfId="26006"/>
    <cellStyle name="B_Bot_Template 20" xfId="4847"/>
    <cellStyle name="B_Bot_Template 20 2" xfId="4848"/>
    <cellStyle name="B_Bot_Template 20 3" xfId="26007"/>
    <cellStyle name="B_Bot_Template 21" xfId="4849"/>
    <cellStyle name="B_Bot_Template 21 2" xfId="4850"/>
    <cellStyle name="B_Bot_Template 21 3" xfId="26008"/>
    <cellStyle name="B_Bot_Template 22" xfId="4851"/>
    <cellStyle name="B_Bot_Template 22 2" xfId="4852"/>
    <cellStyle name="B_Bot_Template 22 3" xfId="26009"/>
    <cellStyle name="B_Bot_Template 23" xfId="4853"/>
    <cellStyle name="B_Bot_Template 23 2" xfId="4854"/>
    <cellStyle name="B_Bot_Template 23 3" xfId="26010"/>
    <cellStyle name="B_Bot_Template 24" xfId="4855"/>
    <cellStyle name="B_Bot_Template 25" xfId="26011"/>
    <cellStyle name="B_Bot_Template 3" xfId="4856"/>
    <cellStyle name="B_Bot_Template 3 2" xfId="4857"/>
    <cellStyle name="B_Bot_Template 3 3" xfId="26012"/>
    <cellStyle name="B_Bot_Template 4" xfId="4858"/>
    <cellStyle name="B_Bot_Template 4 2" xfId="4859"/>
    <cellStyle name="B_Bot_Template 4 3" xfId="26013"/>
    <cellStyle name="B_Bot_Template 5" xfId="4860"/>
    <cellStyle name="B_Bot_Template 5 2" xfId="4861"/>
    <cellStyle name="B_Bot_Template 5 3" xfId="26014"/>
    <cellStyle name="B_Bot_Template 6" xfId="4862"/>
    <cellStyle name="B_Bot_Template 6 2" xfId="4863"/>
    <cellStyle name="B_Bot_Template 6 3" xfId="26015"/>
    <cellStyle name="B_Bot_Template 7" xfId="4864"/>
    <cellStyle name="B_Bot_Template 7 2" xfId="4865"/>
    <cellStyle name="B_Bot_Template 7 3" xfId="26016"/>
    <cellStyle name="B_Bot_Template 8" xfId="4866"/>
    <cellStyle name="B_Bot_Template 8 2" xfId="4867"/>
    <cellStyle name="B_Bot_Template 8 3" xfId="26017"/>
    <cellStyle name="B_Bot_Template 9" xfId="4868"/>
    <cellStyle name="B_Bot_Template 9 2" xfId="4869"/>
    <cellStyle name="B_Bot_Template 9 3" xfId="26018"/>
    <cellStyle name="B_Bot_Template_PROD_DETAILS" xfId="4870"/>
    <cellStyle name="B_Bot_Template_PROD_DETAILS 2" xfId="4871"/>
    <cellStyle name="B_Bot_Template_PROD_DETAILS 3" xfId="26019"/>
    <cellStyle name="B_Bot_Template_SOLVENCY POSITION " xfId="4872"/>
    <cellStyle name="B_Bot_Template_SOLVENCY POSITION  2" xfId="4873"/>
    <cellStyle name="B_Bot_Template_SOLVENCY POSITION  3" xfId="26020"/>
    <cellStyle name="B_BotLC" xfId="4874"/>
    <cellStyle name="B_BotLC 10" xfId="4875"/>
    <cellStyle name="B_BotLC 10 2" xfId="4876"/>
    <cellStyle name="B_BotLC 10 3" xfId="26021"/>
    <cellStyle name="B_BotLC 11" xfId="4877"/>
    <cellStyle name="B_BotLC 11 2" xfId="4878"/>
    <cellStyle name="B_BotLC 11 3" xfId="26022"/>
    <cellStyle name="B_BotLC 12" xfId="4879"/>
    <cellStyle name="B_BotLC 12 2" xfId="4880"/>
    <cellStyle name="B_BotLC 12 3" xfId="26023"/>
    <cellStyle name="B_BotLC 13" xfId="4881"/>
    <cellStyle name="B_BotLC 13 2" xfId="4882"/>
    <cellStyle name="B_BotLC 13 3" xfId="26024"/>
    <cellStyle name="B_BotLC 14" xfId="4883"/>
    <cellStyle name="B_BotLC 14 2" xfId="4884"/>
    <cellStyle name="B_BotLC 14 3" xfId="26025"/>
    <cellStyle name="B_BotLC 15" xfId="4885"/>
    <cellStyle name="B_BotLC 15 2" xfId="4886"/>
    <cellStyle name="B_BotLC 15 3" xfId="26026"/>
    <cellStyle name="B_BotLC 16" xfId="4887"/>
    <cellStyle name="B_BotLC 16 2" xfId="4888"/>
    <cellStyle name="B_BotLC 16 3" xfId="26027"/>
    <cellStyle name="B_BotLC 17" xfId="4889"/>
    <cellStyle name="B_BotLC 17 2" xfId="4890"/>
    <cellStyle name="B_BotLC 17 3" xfId="26028"/>
    <cellStyle name="B_BotLC 18" xfId="4891"/>
    <cellStyle name="B_BotLC 18 2" xfId="4892"/>
    <cellStyle name="B_BotLC 18 3" xfId="26029"/>
    <cellStyle name="B_BotLC 19" xfId="4893"/>
    <cellStyle name="B_BotLC 19 2" xfId="4894"/>
    <cellStyle name="B_BotLC 19 3" xfId="26030"/>
    <cellStyle name="B_BotLC 2" xfId="4895"/>
    <cellStyle name="B_BotLC 2 2" xfId="4896"/>
    <cellStyle name="B_BotLC 2 3" xfId="26031"/>
    <cellStyle name="B_BotLC 20" xfId="4897"/>
    <cellStyle name="B_BotLC 20 2" xfId="4898"/>
    <cellStyle name="B_BotLC 20 3" xfId="26032"/>
    <cellStyle name="B_BotLC 21" xfId="4899"/>
    <cellStyle name="B_BotLC 21 2" xfId="4900"/>
    <cellStyle name="B_BotLC 21 3" xfId="26033"/>
    <cellStyle name="B_BotLC 22" xfId="4901"/>
    <cellStyle name="B_BotLC 22 2" xfId="4902"/>
    <cellStyle name="B_BotLC 22 3" xfId="26034"/>
    <cellStyle name="B_BotLC 23" xfId="4903"/>
    <cellStyle name="B_BotLC 23 2" xfId="4904"/>
    <cellStyle name="B_BotLC 23 3" xfId="26035"/>
    <cellStyle name="B_BotLC 24" xfId="4905"/>
    <cellStyle name="B_BotLC 25" xfId="26036"/>
    <cellStyle name="B_BotLC 3" xfId="4906"/>
    <cellStyle name="B_BotLC 3 2" xfId="4907"/>
    <cellStyle name="B_BotLC 3 3" xfId="26037"/>
    <cellStyle name="B_BotLC 4" xfId="4908"/>
    <cellStyle name="B_BotLC 4 2" xfId="4909"/>
    <cellStyle name="B_BotLC 4 3" xfId="26038"/>
    <cellStyle name="B_BotLC 5" xfId="4910"/>
    <cellStyle name="B_BotLC 5 2" xfId="4911"/>
    <cellStyle name="B_BotLC 5 3" xfId="26039"/>
    <cellStyle name="B_BotLC 6" xfId="4912"/>
    <cellStyle name="B_BotLC 6 2" xfId="4913"/>
    <cellStyle name="B_BotLC 6 3" xfId="26040"/>
    <cellStyle name="B_BotLC 7" xfId="4914"/>
    <cellStyle name="B_BotLC 7 2" xfId="4915"/>
    <cellStyle name="B_BotLC 7 3" xfId="26041"/>
    <cellStyle name="B_BotLC 8" xfId="4916"/>
    <cellStyle name="B_BotLC 8 2" xfId="4917"/>
    <cellStyle name="B_BotLC 8 3" xfId="26042"/>
    <cellStyle name="B_BotLC 9" xfId="4918"/>
    <cellStyle name="B_BotLC 9 2" xfId="4919"/>
    <cellStyle name="B_BotLC 9 3" xfId="26043"/>
    <cellStyle name="B_BotLC_ASSUMP" xfId="4920"/>
    <cellStyle name="B_BotLC_ASSUMP 10" xfId="4921"/>
    <cellStyle name="B_BotLC_ASSUMP 10 2" xfId="4922"/>
    <cellStyle name="B_BotLC_ASSUMP 10 3" xfId="26044"/>
    <cellStyle name="B_BotLC_ASSUMP 11" xfId="4923"/>
    <cellStyle name="B_BotLC_ASSUMP 11 2" xfId="4924"/>
    <cellStyle name="B_BotLC_ASSUMP 11 3" xfId="26045"/>
    <cellStyle name="B_BotLC_ASSUMP 12" xfId="4925"/>
    <cellStyle name="B_BotLC_ASSUMP 12 2" xfId="4926"/>
    <cellStyle name="B_BotLC_ASSUMP 12 3" xfId="26046"/>
    <cellStyle name="B_BotLC_ASSUMP 13" xfId="4927"/>
    <cellStyle name="B_BotLC_ASSUMP 13 2" xfId="4928"/>
    <cellStyle name="B_BotLC_ASSUMP 13 3" xfId="26047"/>
    <cellStyle name="B_BotLC_ASSUMP 14" xfId="4929"/>
    <cellStyle name="B_BotLC_ASSUMP 14 2" xfId="4930"/>
    <cellStyle name="B_BotLC_ASSUMP 14 3" xfId="26048"/>
    <cellStyle name="B_BotLC_ASSUMP 15" xfId="4931"/>
    <cellStyle name="B_BotLC_ASSUMP 15 2" xfId="4932"/>
    <cellStyle name="B_BotLC_ASSUMP 15 3" xfId="26049"/>
    <cellStyle name="B_BotLC_ASSUMP 16" xfId="4933"/>
    <cellStyle name="B_BotLC_ASSUMP 16 2" xfId="4934"/>
    <cellStyle name="B_BotLC_ASSUMP 16 3" xfId="26050"/>
    <cellStyle name="B_BotLC_ASSUMP 17" xfId="4935"/>
    <cellStyle name="B_BotLC_ASSUMP 17 2" xfId="4936"/>
    <cellStyle name="B_BotLC_ASSUMP 17 3" xfId="26051"/>
    <cellStyle name="B_BotLC_ASSUMP 18" xfId="4937"/>
    <cellStyle name="B_BotLC_ASSUMP 18 2" xfId="4938"/>
    <cellStyle name="B_BotLC_ASSUMP 18 3" xfId="26052"/>
    <cellStyle name="B_BotLC_ASSUMP 19" xfId="4939"/>
    <cellStyle name="B_BotLC_ASSUMP 19 2" xfId="4940"/>
    <cellStyle name="B_BotLC_ASSUMP 19 3" xfId="26053"/>
    <cellStyle name="B_BotLC_ASSUMP 2" xfId="4941"/>
    <cellStyle name="B_BotLC_ASSUMP 2 2" xfId="4942"/>
    <cellStyle name="B_BotLC_ASSUMP 2 3" xfId="26054"/>
    <cellStyle name="B_BotLC_ASSUMP 20" xfId="4943"/>
    <cellStyle name="B_BotLC_ASSUMP 20 2" xfId="4944"/>
    <cellStyle name="B_BotLC_ASSUMP 20 3" xfId="26055"/>
    <cellStyle name="B_BotLC_ASSUMP 21" xfId="4945"/>
    <cellStyle name="B_BotLC_ASSUMP 21 2" xfId="4946"/>
    <cellStyle name="B_BotLC_ASSUMP 21 3" xfId="26056"/>
    <cellStyle name="B_BotLC_ASSUMP 22" xfId="4947"/>
    <cellStyle name="B_BotLC_ASSUMP 22 2" xfId="4948"/>
    <cellStyle name="B_BotLC_ASSUMP 22 3" xfId="26057"/>
    <cellStyle name="B_BotLC_ASSUMP 23" xfId="4949"/>
    <cellStyle name="B_BotLC_ASSUMP 23 2" xfId="4950"/>
    <cellStyle name="B_BotLC_ASSUMP 23 3" xfId="26058"/>
    <cellStyle name="B_BotLC_ASSUMP 24" xfId="4951"/>
    <cellStyle name="B_BotLC_ASSUMP 25" xfId="26059"/>
    <cellStyle name="B_BotLC_ASSUMP 3" xfId="4952"/>
    <cellStyle name="B_BotLC_ASSUMP 3 2" xfId="4953"/>
    <cellStyle name="B_BotLC_ASSUMP 3 3" xfId="26060"/>
    <cellStyle name="B_BotLC_ASSUMP 4" xfId="4954"/>
    <cellStyle name="B_BotLC_ASSUMP 4 2" xfId="4955"/>
    <cellStyle name="B_BotLC_ASSUMP 4 3" xfId="26061"/>
    <cellStyle name="B_BotLC_ASSUMP 5" xfId="4956"/>
    <cellStyle name="B_BotLC_ASSUMP 5 2" xfId="4957"/>
    <cellStyle name="B_BotLC_ASSUMP 5 3" xfId="26062"/>
    <cellStyle name="B_BotLC_ASSUMP 6" xfId="4958"/>
    <cellStyle name="B_BotLC_ASSUMP 6 2" xfId="4959"/>
    <cellStyle name="B_BotLC_ASSUMP 6 3" xfId="26063"/>
    <cellStyle name="B_BotLC_ASSUMP 7" xfId="4960"/>
    <cellStyle name="B_BotLC_ASSUMP 7 2" xfId="4961"/>
    <cellStyle name="B_BotLC_ASSUMP 7 3" xfId="26064"/>
    <cellStyle name="B_BotLC_ASSUMP 8" xfId="4962"/>
    <cellStyle name="B_BotLC_ASSUMP 8 2" xfId="4963"/>
    <cellStyle name="B_BotLC_ASSUMP 8 3" xfId="26065"/>
    <cellStyle name="B_BotLC_ASSUMP 9" xfId="4964"/>
    <cellStyle name="B_BotLC_ASSUMP 9 2" xfId="4965"/>
    <cellStyle name="B_BotLC_ASSUMP 9 3" xfId="26066"/>
    <cellStyle name="B_BotLC_ASSUMP_PROD_DETAILS" xfId="4966"/>
    <cellStyle name="B_BotLC_ASSUMP_PROD_DETAILS 2" xfId="4967"/>
    <cellStyle name="B_BotLC_ASSUMP_PROD_DETAILS 3" xfId="26067"/>
    <cellStyle name="B_BotLC_ASSUMP_SOLVENCY POSITION " xfId="4968"/>
    <cellStyle name="B_BotLC_ASSUMP_SOLVENCY POSITION  2" xfId="4969"/>
    <cellStyle name="B_BotLC_ASSUMP_SOLVENCY POSITION  3" xfId="26068"/>
    <cellStyle name="B_BotLC_Checks" xfId="4970"/>
    <cellStyle name="B_BotLC_Checks 10" xfId="4971"/>
    <cellStyle name="B_BotLC_Checks 10 2" xfId="4972"/>
    <cellStyle name="B_BotLC_Checks 10 3" xfId="26069"/>
    <cellStyle name="B_BotLC_Checks 11" xfId="4973"/>
    <cellStyle name="B_BotLC_Checks 11 2" xfId="4974"/>
    <cellStyle name="B_BotLC_Checks 11 3" xfId="26070"/>
    <cellStyle name="B_BotLC_Checks 12" xfId="4975"/>
    <cellStyle name="B_BotLC_Checks 12 2" xfId="4976"/>
    <cellStyle name="B_BotLC_Checks 12 3" xfId="26071"/>
    <cellStyle name="B_BotLC_Checks 13" xfId="4977"/>
    <cellStyle name="B_BotLC_Checks 13 2" xfId="4978"/>
    <cellStyle name="B_BotLC_Checks 13 3" xfId="26072"/>
    <cellStyle name="B_BotLC_Checks 14" xfId="4979"/>
    <cellStyle name="B_BotLC_Checks 14 2" xfId="4980"/>
    <cellStyle name="B_BotLC_Checks 14 3" xfId="26073"/>
    <cellStyle name="B_BotLC_Checks 15" xfId="4981"/>
    <cellStyle name="B_BotLC_Checks 15 2" xfId="4982"/>
    <cellStyle name="B_BotLC_Checks 15 3" xfId="26074"/>
    <cellStyle name="B_BotLC_Checks 16" xfId="4983"/>
    <cellStyle name="B_BotLC_Checks 16 2" xfId="4984"/>
    <cellStyle name="B_BotLC_Checks 16 3" xfId="26075"/>
    <cellStyle name="B_BotLC_Checks 17" xfId="4985"/>
    <cellStyle name="B_BotLC_Checks 17 2" xfId="4986"/>
    <cellStyle name="B_BotLC_Checks 17 3" xfId="26076"/>
    <cellStyle name="B_BotLC_Checks 18" xfId="4987"/>
    <cellStyle name="B_BotLC_Checks 18 2" xfId="4988"/>
    <cellStyle name="B_BotLC_Checks 18 3" xfId="26077"/>
    <cellStyle name="B_BotLC_Checks 19" xfId="4989"/>
    <cellStyle name="B_BotLC_Checks 19 2" xfId="4990"/>
    <cellStyle name="B_BotLC_Checks 19 3" xfId="26078"/>
    <cellStyle name="B_BotLC_Checks 2" xfId="4991"/>
    <cellStyle name="B_BotLC_Checks 2 2" xfId="4992"/>
    <cellStyle name="B_BotLC_Checks 2 3" xfId="26079"/>
    <cellStyle name="B_BotLC_Checks 20" xfId="4993"/>
    <cellStyle name="B_BotLC_Checks 20 2" xfId="4994"/>
    <cellStyle name="B_BotLC_Checks 20 3" xfId="26080"/>
    <cellStyle name="B_BotLC_Checks 21" xfId="4995"/>
    <cellStyle name="B_BotLC_Checks 21 2" xfId="4996"/>
    <cellStyle name="B_BotLC_Checks 21 3" xfId="26081"/>
    <cellStyle name="B_BotLC_Checks 22" xfId="4997"/>
    <cellStyle name="B_BotLC_Checks 22 2" xfId="4998"/>
    <cellStyle name="B_BotLC_Checks 22 3" xfId="26082"/>
    <cellStyle name="B_BotLC_Checks 23" xfId="4999"/>
    <cellStyle name="B_BotLC_Checks 23 2" xfId="5000"/>
    <cellStyle name="B_BotLC_Checks 23 3" xfId="26083"/>
    <cellStyle name="B_BotLC_Checks 24" xfId="5001"/>
    <cellStyle name="B_BotLC_Checks 25" xfId="26084"/>
    <cellStyle name="B_BotLC_Checks 3" xfId="5002"/>
    <cellStyle name="B_BotLC_Checks 3 2" xfId="5003"/>
    <cellStyle name="B_BotLC_Checks 3 3" xfId="26085"/>
    <cellStyle name="B_BotLC_Checks 4" xfId="5004"/>
    <cellStyle name="B_BotLC_Checks 4 2" xfId="5005"/>
    <cellStyle name="B_BotLC_Checks 4 3" xfId="26086"/>
    <cellStyle name="B_BotLC_Checks 5" xfId="5006"/>
    <cellStyle name="B_BotLC_Checks 5 2" xfId="5007"/>
    <cellStyle name="B_BotLC_Checks 5 3" xfId="26087"/>
    <cellStyle name="B_BotLC_Checks 6" xfId="5008"/>
    <cellStyle name="B_BotLC_Checks 6 2" xfId="5009"/>
    <cellStyle name="B_BotLC_Checks 6 3" xfId="26088"/>
    <cellStyle name="B_BotLC_Checks 7" xfId="5010"/>
    <cellStyle name="B_BotLC_Checks 7 2" xfId="5011"/>
    <cellStyle name="B_BotLC_Checks 7 3" xfId="26089"/>
    <cellStyle name="B_BotLC_Checks 8" xfId="5012"/>
    <cellStyle name="B_BotLC_Checks 8 2" xfId="5013"/>
    <cellStyle name="B_BotLC_Checks 8 3" xfId="26090"/>
    <cellStyle name="B_BotLC_Checks 9" xfId="5014"/>
    <cellStyle name="B_BotLC_Checks 9 2" xfId="5015"/>
    <cellStyle name="B_BotLC_Checks 9 3" xfId="26091"/>
    <cellStyle name="B_BotLC_Checks_PROD_DETAILS" xfId="5016"/>
    <cellStyle name="B_BotLC_Checks_PROD_DETAILS 2" xfId="5017"/>
    <cellStyle name="B_BotLC_Checks_PROD_DETAILS 3" xfId="26092"/>
    <cellStyle name="B_BotLC_Checks_SOLVENCY POSITION " xfId="5018"/>
    <cellStyle name="B_BotLC_Checks_SOLVENCY POSITION  2" xfId="5019"/>
    <cellStyle name="B_BotLC_Checks_SOLVENCY POSITION  3" xfId="26093"/>
    <cellStyle name="B_BotLC_Group Life" xfId="5020"/>
    <cellStyle name="B_BotLC_Group Life 10" xfId="5021"/>
    <cellStyle name="B_BotLC_Group Life 10 2" xfId="5022"/>
    <cellStyle name="B_BotLC_Group Life 10 3" xfId="26094"/>
    <cellStyle name="B_BotLC_Group Life 11" xfId="5023"/>
    <cellStyle name="B_BotLC_Group Life 11 2" xfId="5024"/>
    <cellStyle name="B_BotLC_Group Life 11 3" xfId="26095"/>
    <cellStyle name="B_BotLC_Group Life 12" xfId="5025"/>
    <cellStyle name="B_BotLC_Group Life 12 2" xfId="5026"/>
    <cellStyle name="B_BotLC_Group Life 12 3" xfId="26096"/>
    <cellStyle name="B_BotLC_Group Life 13" xfId="5027"/>
    <cellStyle name="B_BotLC_Group Life 13 2" xfId="5028"/>
    <cellStyle name="B_BotLC_Group Life 13 3" xfId="26097"/>
    <cellStyle name="B_BotLC_Group Life 14" xfId="5029"/>
    <cellStyle name="B_BotLC_Group Life 14 2" xfId="5030"/>
    <cellStyle name="B_BotLC_Group Life 14 3" xfId="26098"/>
    <cellStyle name="B_BotLC_Group Life 15" xfId="5031"/>
    <cellStyle name="B_BotLC_Group Life 15 2" xfId="5032"/>
    <cellStyle name="B_BotLC_Group Life 15 3" xfId="26099"/>
    <cellStyle name="B_BotLC_Group Life 16" xfId="5033"/>
    <cellStyle name="B_BotLC_Group Life 16 2" xfId="5034"/>
    <cellStyle name="B_BotLC_Group Life 16 3" xfId="26100"/>
    <cellStyle name="B_BotLC_Group Life 17" xfId="5035"/>
    <cellStyle name="B_BotLC_Group Life 17 2" xfId="5036"/>
    <cellStyle name="B_BotLC_Group Life 17 3" xfId="26101"/>
    <cellStyle name="B_BotLC_Group Life 18" xfId="5037"/>
    <cellStyle name="B_BotLC_Group Life 18 2" xfId="5038"/>
    <cellStyle name="B_BotLC_Group Life 18 3" xfId="26102"/>
    <cellStyle name="B_BotLC_Group Life 19" xfId="5039"/>
    <cellStyle name="B_BotLC_Group Life 19 2" xfId="5040"/>
    <cellStyle name="B_BotLC_Group Life 19 3" xfId="26103"/>
    <cellStyle name="B_BotLC_Group Life 2" xfId="5041"/>
    <cellStyle name="B_BotLC_Group Life 2 2" xfId="5042"/>
    <cellStyle name="B_BotLC_Group Life 2 3" xfId="26104"/>
    <cellStyle name="B_BotLC_Group Life 20" xfId="5043"/>
    <cellStyle name="B_BotLC_Group Life 20 2" xfId="5044"/>
    <cellStyle name="B_BotLC_Group Life 20 3" xfId="26105"/>
    <cellStyle name="B_BotLC_Group Life 21" xfId="5045"/>
    <cellStyle name="B_BotLC_Group Life 21 2" xfId="5046"/>
    <cellStyle name="B_BotLC_Group Life 21 3" xfId="26106"/>
    <cellStyle name="B_BotLC_Group Life 22" xfId="5047"/>
    <cellStyle name="B_BotLC_Group Life 22 2" xfId="5048"/>
    <cellStyle name="B_BotLC_Group Life 22 3" xfId="26107"/>
    <cellStyle name="B_BotLC_Group Life 23" xfId="5049"/>
    <cellStyle name="B_BotLC_Group Life 23 2" xfId="5050"/>
    <cellStyle name="B_BotLC_Group Life 23 3" xfId="26108"/>
    <cellStyle name="B_BotLC_Group Life 24" xfId="5051"/>
    <cellStyle name="B_BotLC_Group Life 25" xfId="26109"/>
    <cellStyle name="B_BotLC_Group Life 3" xfId="5052"/>
    <cellStyle name="B_BotLC_Group Life 3 2" xfId="5053"/>
    <cellStyle name="B_BotLC_Group Life 3 3" xfId="26110"/>
    <cellStyle name="B_BotLC_Group Life 4" xfId="5054"/>
    <cellStyle name="B_BotLC_Group Life 4 2" xfId="5055"/>
    <cellStyle name="B_BotLC_Group Life 4 3" xfId="26111"/>
    <cellStyle name="B_BotLC_Group Life 5" xfId="5056"/>
    <cellStyle name="B_BotLC_Group Life 5 2" xfId="5057"/>
    <cellStyle name="B_BotLC_Group Life 5 3" xfId="26112"/>
    <cellStyle name="B_BotLC_Group Life 6" xfId="5058"/>
    <cellStyle name="B_BotLC_Group Life 6 2" xfId="5059"/>
    <cellStyle name="B_BotLC_Group Life 6 3" xfId="26113"/>
    <cellStyle name="B_BotLC_Group Life 7" xfId="5060"/>
    <cellStyle name="B_BotLC_Group Life 7 2" xfId="5061"/>
    <cellStyle name="B_BotLC_Group Life 7 3" xfId="26114"/>
    <cellStyle name="B_BotLC_Group Life 8" xfId="5062"/>
    <cellStyle name="B_BotLC_Group Life 8 2" xfId="5063"/>
    <cellStyle name="B_BotLC_Group Life 8 3" xfId="26115"/>
    <cellStyle name="B_BotLC_Group Life 9" xfId="5064"/>
    <cellStyle name="B_BotLC_Group Life 9 2" xfId="5065"/>
    <cellStyle name="B_BotLC_Group Life 9 3" xfId="26116"/>
    <cellStyle name="B_BotLC_Group Life_PROD_DETAILS" xfId="5066"/>
    <cellStyle name="B_BotLC_Group Life_PROD_DETAILS 2" xfId="5067"/>
    <cellStyle name="B_BotLC_Group Life_PROD_DETAILS 3" xfId="26117"/>
    <cellStyle name="B_BotLC_Group Life_SOLVENCY POSITION " xfId="5068"/>
    <cellStyle name="B_BotLC_Group Life_SOLVENCY POSITION  2" xfId="5069"/>
    <cellStyle name="B_BotLC_Group Life_SOLVENCY POSITION  3" xfId="26118"/>
    <cellStyle name="B_BotLC_HK P &amp; L (To Finance to compute tax)" xfId="5070"/>
    <cellStyle name="B_BotLC_HK P &amp; L (To Finance to compute tax) 10" xfId="5071"/>
    <cellStyle name="B_BotLC_HK P &amp; L (To Finance to compute tax) 10 2" xfId="5072"/>
    <cellStyle name="B_BotLC_HK P &amp; L (To Finance to compute tax) 10 3" xfId="26119"/>
    <cellStyle name="B_BotLC_HK P &amp; L (To Finance to compute tax) 11" xfId="5073"/>
    <cellStyle name="B_BotLC_HK P &amp; L (To Finance to compute tax) 11 2" xfId="5074"/>
    <cellStyle name="B_BotLC_HK P &amp; L (To Finance to compute tax) 11 3" xfId="26120"/>
    <cellStyle name="B_BotLC_HK P &amp; L (To Finance to compute tax) 12" xfId="5075"/>
    <cellStyle name="B_BotLC_HK P &amp; L (To Finance to compute tax) 12 2" xfId="5076"/>
    <cellStyle name="B_BotLC_HK P &amp; L (To Finance to compute tax) 12 3" xfId="26121"/>
    <cellStyle name="B_BotLC_HK P &amp; L (To Finance to compute tax) 13" xfId="5077"/>
    <cellStyle name="B_BotLC_HK P &amp; L (To Finance to compute tax) 13 2" xfId="5078"/>
    <cellStyle name="B_BotLC_HK P &amp; L (To Finance to compute tax) 13 3" xfId="26122"/>
    <cellStyle name="B_BotLC_HK P &amp; L (To Finance to compute tax) 14" xfId="5079"/>
    <cellStyle name="B_BotLC_HK P &amp; L (To Finance to compute tax) 14 2" xfId="5080"/>
    <cellStyle name="B_BotLC_HK P &amp; L (To Finance to compute tax) 14 3" xfId="26123"/>
    <cellStyle name="B_BotLC_HK P &amp; L (To Finance to compute tax) 15" xfId="5081"/>
    <cellStyle name="B_BotLC_HK P &amp; L (To Finance to compute tax) 15 2" xfId="5082"/>
    <cellStyle name="B_BotLC_HK P &amp; L (To Finance to compute tax) 15 3" xfId="26124"/>
    <cellStyle name="B_BotLC_HK P &amp; L (To Finance to compute tax) 16" xfId="5083"/>
    <cellStyle name="B_BotLC_HK P &amp; L (To Finance to compute tax) 16 2" xfId="5084"/>
    <cellStyle name="B_BotLC_HK P &amp; L (To Finance to compute tax) 16 3" xfId="26125"/>
    <cellStyle name="B_BotLC_HK P &amp; L (To Finance to compute tax) 17" xfId="5085"/>
    <cellStyle name="B_BotLC_HK P &amp; L (To Finance to compute tax) 17 2" xfId="5086"/>
    <cellStyle name="B_BotLC_HK P &amp; L (To Finance to compute tax) 17 3" xfId="26126"/>
    <cellStyle name="B_BotLC_HK P &amp; L (To Finance to compute tax) 18" xfId="5087"/>
    <cellStyle name="B_BotLC_HK P &amp; L (To Finance to compute tax) 18 2" xfId="5088"/>
    <cellStyle name="B_BotLC_HK P &amp; L (To Finance to compute tax) 18 3" xfId="26127"/>
    <cellStyle name="B_BotLC_HK P &amp; L (To Finance to compute tax) 19" xfId="5089"/>
    <cellStyle name="B_BotLC_HK P &amp; L (To Finance to compute tax) 19 2" xfId="5090"/>
    <cellStyle name="B_BotLC_HK P &amp; L (To Finance to compute tax) 19 3" xfId="26128"/>
    <cellStyle name="B_BotLC_HK P &amp; L (To Finance to compute tax) 2" xfId="5091"/>
    <cellStyle name="B_BotLC_HK P &amp; L (To Finance to compute tax) 2 2" xfId="5092"/>
    <cellStyle name="B_BotLC_HK P &amp; L (To Finance to compute tax) 2 3" xfId="26129"/>
    <cellStyle name="B_BotLC_HK P &amp; L (To Finance to compute tax) 20" xfId="5093"/>
    <cellStyle name="B_BotLC_HK P &amp; L (To Finance to compute tax) 20 2" xfId="5094"/>
    <cellStyle name="B_BotLC_HK P &amp; L (To Finance to compute tax) 20 3" xfId="26130"/>
    <cellStyle name="B_BotLC_HK P &amp; L (To Finance to compute tax) 21" xfId="5095"/>
    <cellStyle name="B_BotLC_HK P &amp; L (To Finance to compute tax) 21 2" xfId="5096"/>
    <cellStyle name="B_BotLC_HK P &amp; L (To Finance to compute tax) 21 3" xfId="26131"/>
    <cellStyle name="B_BotLC_HK P &amp; L (To Finance to compute tax) 22" xfId="5097"/>
    <cellStyle name="B_BotLC_HK P &amp; L (To Finance to compute tax) 22 2" xfId="5098"/>
    <cellStyle name="B_BotLC_HK P &amp; L (To Finance to compute tax) 22 3" xfId="26132"/>
    <cellStyle name="B_BotLC_HK P &amp; L (To Finance to compute tax) 23" xfId="5099"/>
    <cellStyle name="B_BotLC_HK P &amp; L (To Finance to compute tax) 23 2" xfId="5100"/>
    <cellStyle name="B_BotLC_HK P &amp; L (To Finance to compute tax) 23 3" xfId="26133"/>
    <cellStyle name="B_BotLC_HK P &amp; L (To Finance to compute tax) 24" xfId="5101"/>
    <cellStyle name="B_BotLC_HK P &amp; L (To Finance to compute tax) 25" xfId="26134"/>
    <cellStyle name="B_BotLC_HK P &amp; L (To Finance to compute tax) 3" xfId="5102"/>
    <cellStyle name="B_BotLC_HK P &amp; L (To Finance to compute tax) 3 2" xfId="5103"/>
    <cellStyle name="B_BotLC_HK P &amp; L (To Finance to compute tax) 3 3" xfId="26135"/>
    <cellStyle name="B_BotLC_HK P &amp; L (To Finance to compute tax) 4" xfId="5104"/>
    <cellStyle name="B_BotLC_HK P &amp; L (To Finance to compute tax) 4 2" xfId="5105"/>
    <cellStyle name="B_BotLC_HK P &amp; L (To Finance to compute tax) 4 3" xfId="26136"/>
    <cellStyle name="B_BotLC_HK P &amp; L (To Finance to compute tax) 5" xfId="5106"/>
    <cellStyle name="B_BotLC_HK P &amp; L (To Finance to compute tax) 5 2" xfId="5107"/>
    <cellStyle name="B_BotLC_HK P &amp; L (To Finance to compute tax) 5 3" xfId="26137"/>
    <cellStyle name="B_BotLC_HK P &amp; L (To Finance to compute tax) 6" xfId="5108"/>
    <cellStyle name="B_BotLC_HK P &amp; L (To Finance to compute tax) 6 2" xfId="5109"/>
    <cellStyle name="B_BotLC_HK P &amp; L (To Finance to compute tax) 6 3" xfId="26138"/>
    <cellStyle name="B_BotLC_HK P &amp; L (To Finance to compute tax) 7" xfId="5110"/>
    <cellStyle name="B_BotLC_HK P &amp; L (To Finance to compute tax) 7 2" xfId="5111"/>
    <cellStyle name="B_BotLC_HK P &amp; L (To Finance to compute tax) 7 3" xfId="26139"/>
    <cellStyle name="B_BotLC_HK P &amp; L (To Finance to compute tax) 8" xfId="5112"/>
    <cellStyle name="B_BotLC_HK P &amp; L (To Finance to compute tax) 8 2" xfId="5113"/>
    <cellStyle name="B_BotLC_HK P &amp; L (To Finance to compute tax) 8 3" xfId="26140"/>
    <cellStyle name="B_BotLC_HK P &amp; L (To Finance to compute tax) 9" xfId="5114"/>
    <cellStyle name="B_BotLC_HK P &amp; L (To Finance to compute tax) 9 2" xfId="5115"/>
    <cellStyle name="B_BotLC_HK P &amp; L (To Finance to compute tax) 9 3" xfId="26141"/>
    <cellStyle name="B_BotLC_HK P &amp; L (To Finance to compute tax)_PROD_DETAILS" xfId="5116"/>
    <cellStyle name="B_BotLC_HK P &amp; L (To Finance to compute tax)_PROD_DETAILS 2" xfId="5117"/>
    <cellStyle name="B_BotLC_HK P &amp; L (To Finance to compute tax)_PROD_DETAILS 3" xfId="26142"/>
    <cellStyle name="B_BotLC_HK P &amp; L (To Finance to compute tax)_SOLVENCY POSITION " xfId="5118"/>
    <cellStyle name="B_BotLC_HK P &amp; L (To Finance to compute tax)_SOLVENCY POSITION  2" xfId="5119"/>
    <cellStyle name="B_BotLC_HK P &amp; L (To Finance to compute tax)_SOLVENCY POSITION  3" xfId="26143"/>
    <cellStyle name="B_BotLC_HK.EEV-Apr06v2" xfId="5120"/>
    <cellStyle name="B_BotLC_HK.EEV-Apr06v2 10" xfId="5121"/>
    <cellStyle name="B_BotLC_HK.EEV-Apr06v2 10 2" xfId="5122"/>
    <cellStyle name="B_BotLC_HK.EEV-Apr06v2 10 3" xfId="26144"/>
    <cellStyle name="B_BotLC_HK.EEV-Apr06v2 11" xfId="5123"/>
    <cellStyle name="B_BotLC_HK.EEV-Apr06v2 11 2" xfId="5124"/>
    <cellStyle name="B_BotLC_HK.EEV-Apr06v2 11 3" xfId="26145"/>
    <cellStyle name="B_BotLC_HK.EEV-Apr06v2 12" xfId="5125"/>
    <cellStyle name="B_BotLC_HK.EEV-Apr06v2 12 2" xfId="5126"/>
    <cellStyle name="B_BotLC_HK.EEV-Apr06v2 12 3" xfId="26146"/>
    <cellStyle name="B_BotLC_HK.EEV-Apr06v2 13" xfId="5127"/>
    <cellStyle name="B_BotLC_HK.EEV-Apr06v2 13 2" xfId="5128"/>
    <cellStyle name="B_BotLC_HK.EEV-Apr06v2 13 3" xfId="26147"/>
    <cellStyle name="B_BotLC_HK.EEV-Apr06v2 14" xfId="5129"/>
    <cellStyle name="B_BotLC_HK.EEV-Apr06v2 14 2" xfId="5130"/>
    <cellStyle name="B_BotLC_HK.EEV-Apr06v2 14 3" xfId="26148"/>
    <cellStyle name="B_BotLC_HK.EEV-Apr06v2 15" xfId="5131"/>
    <cellStyle name="B_BotLC_HK.EEV-Apr06v2 15 2" xfId="5132"/>
    <cellStyle name="B_BotLC_HK.EEV-Apr06v2 15 3" xfId="26149"/>
    <cellStyle name="B_BotLC_HK.EEV-Apr06v2 16" xfId="5133"/>
    <cellStyle name="B_BotLC_HK.EEV-Apr06v2 16 2" xfId="5134"/>
    <cellStyle name="B_BotLC_HK.EEV-Apr06v2 16 3" xfId="26150"/>
    <cellStyle name="B_BotLC_HK.EEV-Apr06v2 17" xfId="5135"/>
    <cellStyle name="B_BotLC_HK.EEV-Apr06v2 17 2" xfId="5136"/>
    <cellStyle name="B_BotLC_HK.EEV-Apr06v2 17 3" xfId="26151"/>
    <cellStyle name="B_BotLC_HK.EEV-Apr06v2 18" xfId="5137"/>
    <cellStyle name="B_BotLC_HK.EEV-Apr06v2 18 2" xfId="5138"/>
    <cellStyle name="B_BotLC_HK.EEV-Apr06v2 18 3" xfId="26152"/>
    <cellStyle name="B_BotLC_HK.EEV-Apr06v2 19" xfId="5139"/>
    <cellStyle name="B_BotLC_HK.EEV-Apr06v2 19 2" xfId="5140"/>
    <cellStyle name="B_BotLC_HK.EEV-Apr06v2 19 3" xfId="26153"/>
    <cellStyle name="B_BotLC_HK.EEV-Apr06v2 2" xfId="5141"/>
    <cellStyle name="B_BotLC_HK.EEV-Apr06v2 2 2" xfId="5142"/>
    <cellStyle name="B_BotLC_HK.EEV-Apr06v2 2 3" xfId="26154"/>
    <cellStyle name="B_BotLC_HK.EEV-Apr06v2 20" xfId="5143"/>
    <cellStyle name="B_BotLC_HK.EEV-Apr06v2 20 2" xfId="5144"/>
    <cellStyle name="B_BotLC_HK.EEV-Apr06v2 20 3" xfId="26155"/>
    <cellStyle name="B_BotLC_HK.EEV-Apr06v2 21" xfId="5145"/>
    <cellStyle name="B_BotLC_HK.EEV-Apr06v2 21 2" xfId="5146"/>
    <cellStyle name="B_BotLC_HK.EEV-Apr06v2 21 3" xfId="26156"/>
    <cellStyle name="B_BotLC_HK.EEV-Apr06v2 22" xfId="5147"/>
    <cellStyle name="B_BotLC_HK.EEV-Apr06v2 22 2" xfId="5148"/>
    <cellStyle name="B_BotLC_HK.EEV-Apr06v2 22 3" xfId="26157"/>
    <cellStyle name="B_BotLC_HK.EEV-Apr06v2 23" xfId="5149"/>
    <cellStyle name="B_BotLC_HK.EEV-Apr06v2 23 2" xfId="5150"/>
    <cellStyle name="B_BotLC_HK.EEV-Apr06v2 23 3" xfId="26158"/>
    <cellStyle name="B_BotLC_HK.EEV-Apr06v2 24" xfId="5151"/>
    <cellStyle name="B_BotLC_HK.EEV-Apr06v2 25" xfId="26159"/>
    <cellStyle name="B_BotLC_HK.EEV-Apr06v2 3" xfId="5152"/>
    <cellStyle name="B_BotLC_HK.EEV-Apr06v2 3 2" xfId="5153"/>
    <cellStyle name="B_BotLC_HK.EEV-Apr06v2 3 3" xfId="26160"/>
    <cellStyle name="B_BotLC_HK.EEV-Apr06v2 4" xfId="5154"/>
    <cellStyle name="B_BotLC_HK.EEV-Apr06v2 4 2" xfId="5155"/>
    <cellStyle name="B_BotLC_HK.EEV-Apr06v2 4 3" xfId="26161"/>
    <cellStyle name="B_BotLC_HK.EEV-Apr06v2 5" xfId="5156"/>
    <cellStyle name="B_BotLC_HK.EEV-Apr06v2 5 2" xfId="5157"/>
    <cellStyle name="B_BotLC_HK.EEV-Apr06v2 5 3" xfId="26162"/>
    <cellStyle name="B_BotLC_HK.EEV-Apr06v2 6" xfId="5158"/>
    <cellStyle name="B_BotLC_HK.EEV-Apr06v2 6 2" xfId="5159"/>
    <cellStyle name="B_BotLC_HK.EEV-Apr06v2 6 3" xfId="26163"/>
    <cellStyle name="B_BotLC_HK.EEV-Apr06v2 7" xfId="5160"/>
    <cellStyle name="B_BotLC_HK.EEV-Apr06v2 7 2" xfId="5161"/>
    <cellStyle name="B_BotLC_HK.EEV-Apr06v2 7 3" xfId="26164"/>
    <cellStyle name="B_BotLC_HK.EEV-Apr06v2 8" xfId="5162"/>
    <cellStyle name="B_BotLC_HK.EEV-Apr06v2 8 2" xfId="5163"/>
    <cellStyle name="B_BotLC_HK.EEV-Apr06v2 8 3" xfId="26165"/>
    <cellStyle name="B_BotLC_HK.EEV-Apr06v2 9" xfId="5164"/>
    <cellStyle name="B_BotLC_HK.EEV-Apr06v2 9 2" xfId="5165"/>
    <cellStyle name="B_BotLC_HK.EEV-Apr06v2 9 3" xfId="26166"/>
    <cellStyle name="B_BotLC_HK.EEV-Apr06v2_HK.EEV-May06 4+2 kkh" xfId="5166"/>
    <cellStyle name="B_BotLC_HK.EEV-Apr06v2_HK.EEV-May06 4+2 kkh 10" xfId="5167"/>
    <cellStyle name="B_BotLC_HK.EEV-Apr06v2_HK.EEV-May06 4+2 kkh 10 2" xfId="5168"/>
    <cellStyle name="B_BotLC_HK.EEV-Apr06v2_HK.EEV-May06 4+2 kkh 10 3" xfId="26167"/>
    <cellStyle name="B_BotLC_HK.EEV-Apr06v2_HK.EEV-May06 4+2 kkh 11" xfId="5169"/>
    <cellStyle name="B_BotLC_HK.EEV-Apr06v2_HK.EEV-May06 4+2 kkh 11 2" xfId="5170"/>
    <cellStyle name="B_BotLC_HK.EEV-Apr06v2_HK.EEV-May06 4+2 kkh 11 3" xfId="26168"/>
    <cellStyle name="B_BotLC_HK.EEV-Apr06v2_HK.EEV-May06 4+2 kkh 12" xfId="5171"/>
    <cellStyle name="B_BotLC_HK.EEV-Apr06v2_HK.EEV-May06 4+2 kkh 12 2" xfId="5172"/>
    <cellStyle name="B_BotLC_HK.EEV-Apr06v2_HK.EEV-May06 4+2 kkh 12 3" xfId="26169"/>
    <cellStyle name="B_BotLC_HK.EEV-Apr06v2_HK.EEV-May06 4+2 kkh 13" xfId="5173"/>
    <cellStyle name="B_BotLC_HK.EEV-Apr06v2_HK.EEV-May06 4+2 kkh 13 2" xfId="5174"/>
    <cellStyle name="B_BotLC_HK.EEV-Apr06v2_HK.EEV-May06 4+2 kkh 13 3" xfId="26170"/>
    <cellStyle name="B_BotLC_HK.EEV-Apr06v2_HK.EEV-May06 4+2 kkh 14" xfId="5175"/>
    <cellStyle name="B_BotLC_HK.EEV-Apr06v2_HK.EEV-May06 4+2 kkh 14 2" xfId="5176"/>
    <cellStyle name="B_BotLC_HK.EEV-Apr06v2_HK.EEV-May06 4+2 kkh 14 3" xfId="26171"/>
    <cellStyle name="B_BotLC_HK.EEV-Apr06v2_HK.EEV-May06 4+2 kkh 15" xfId="5177"/>
    <cellStyle name="B_BotLC_HK.EEV-Apr06v2_HK.EEV-May06 4+2 kkh 15 2" xfId="5178"/>
    <cellStyle name="B_BotLC_HK.EEV-Apr06v2_HK.EEV-May06 4+2 kkh 15 3" xfId="26172"/>
    <cellStyle name="B_BotLC_HK.EEV-Apr06v2_HK.EEV-May06 4+2 kkh 16" xfId="5179"/>
    <cellStyle name="B_BotLC_HK.EEV-Apr06v2_HK.EEV-May06 4+2 kkh 16 2" xfId="5180"/>
    <cellStyle name="B_BotLC_HK.EEV-Apr06v2_HK.EEV-May06 4+2 kkh 16 3" xfId="26173"/>
    <cellStyle name="B_BotLC_HK.EEV-Apr06v2_HK.EEV-May06 4+2 kkh 17" xfId="5181"/>
    <cellStyle name="B_BotLC_HK.EEV-Apr06v2_HK.EEV-May06 4+2 kkh 17 2" xfId="5182"/>
    <cellStyle name="B_BotLC_HK.EEV-Apr06v2_HK.EEV-May06 4+2 kkh 17 3" xfId="26174"/>
    <cellStyle name="B_BotLC_HK.EEV-Apr06v2_HK.EEV-May06 4+2 kkh 18" xfId="5183"/>
    <cellStyle name="B_BotLC_HK.EEV-Apr06v2_HK.EEV-May06 4+2 kkh 18 2" xfId="5184"/>
    <cellStyle name="B_BotLC_HK.EEV-Apr06v2_HK.EEV-May06 4+2 kkh 18 3" xfId="26175"/>
    <cellStyle name="B_BotLC_HK.EEV-Apr06v2_HK.EEV-May06 4+2 kkh 19" xfId="5185"/>
    <cellStyle name="B_BotLC_HK.EEV-Apr06v2_HK.EEV-May06 4+2 kkh 19 2" xfId="5186"/>
    <cellStyle name="B_BotLC_HK.EEV-Apr06v2_HK.EEV-May06 4+2 kkh 19 3" xfId="26176"/>
    <cellStyle name="B_BotLC_HK.EEV-Apr06v2_HK.EEV-May06 4+2 kkh 2" xfId="5187"/>
    <cellStyle name="B_BotLC_HK.EEV-Apr06v2_HK.EEV-May06 4+2 kkh 2 2" xfId="5188"/>
    <cellStyle name="B_BotLC_HK.EEV-Apr06v2_HK.EEV-May06 4+2 kkh 2 3" xfId="26177"/>
    <cellStyle name="B_BotLC_HK.EEV-Apr06v2_HK.EEV-May06 4+2 kkh 20" xfId="5189"/>
    <cellStyle name="B_BotLC_HK.EEV-Apr06v2_HK.EEV-May06 4+2 kkh 20 2" xfId="5190"/>
    <cellStyle name="B_BotLC_HK.EEV-Apr06v2_HK.EEV-May06 4+2 kkh 20 3" xfId="26178"/>
    <cellStyle name="B_BotLC_HK.EEV-Apr06v2_HK.EEV-May06 4+2 kkh 21" xfId="5191"/>
    <cellStyle name="B_BotLC_HK.EEV-Apr06v2_HK.EEV-May06 4+2 kkh 21 2" xfId="5192"/>
    <cellStyle name="B_BotLC_HK.EEV-Apr06v2_HK.EEV-May06 4+2 kkh 21 3" xfId="26179"/>
    <cellStyle name="B_BotLC_HK.EEV-Apr06v2_HK.EEV-May06 4+2 kkh 22" xfId="5193"/>
    <cellStyle name="B_BotLC_HK.EEV-Apr06v2_HK.EEV-May06 4+2 kkh 22 2" xfId="5194"/>
    <cellStyle name="B_BotLC_HK.EEV-Apr06v2_HK.EEV-May06 4+2 kkh 22 3" xfId="26180"/>
    <cellStyle name="B_BotLC_HK.EEV-Apr06v2_HK.EEV-May06 4+2 kkh 23" xfId="5195"/>
    <cellStyle name="B_BotLC_HK.EEV-Apr06v2_HK.EEV-May06 4+2 kkh 23 2" xfId="5196"/>
    <cellStyle name="B_BotLC_HK.EEV-Apr06v2_HK.EEV-May06 4+2 kkh 23 3" xfId="26181"/>
    <cellStyle name="B_BotLC_HK.EEV-Apr06v2_HK.EEV-May06 4+2 kkh 24" xfId="5197"/>
    <cellStyle name="B_BotLC_HK.EEV-Apr06v2_HK.EEV-May06 4+2 kkh 25" xfId="26182"/>
    <cellStyle name="B_BotLC_HK.EEV-Apr06v2_HK.EEV-May06 4+2 kkh 3" xfId="5198"/>
    <cellStyle name="B_BotLC_HK.EEV-Apr06v2_HK.EEV-May06 4+2 kkh 3 2" xfId="5199"/>
    <cellStyle name="B_BotLC_HK.EEV-Apr06v2_HK.EEV-May06 4+2 kkh 3 3" xfId="26183"/>
    <cellStyle name="B_BotLC_HK.EEV-Apr06v2_HK.EEV-May06 4+2 kkh 4" xfId="5200"/>
    <cellStyle name="B_BotLC_HK.EEV-Apr06v2_HK.EEV-May06 4+2 kkh 4 2" xfId="5201"/>
    <cellStyle name="B_BotLC_HK.EEV-Apr06v2_HK.EEV-May06 4+2 kkh 4 3" xfId="26184"/>
    <cellStyle name="B_BotLC_HK.EEV-Apr06v2_HK.EEV-May06 4+2 kkh 5" xfId="5202"/>
    <cellStyle name="B_BotLC_HK.EEV-Apr06v2_HK.EEV-May06 4+2 kkh 5 2" xfId="5203"/>
    <cellStyle name="B_BotLC_HK.EEV-Apr06v2_HK.EEV-May06 4+2 kkh 5 3" xfId="26185"/>
    <cellStyle name="B_BotLC_HK.EEV-Apr06v2_HK.EEV-May06 4+2 kkh 6" xfId="5204"/>
    <cellStyle name="B_BotLC_HK.EEV-Apr06v2_HK.EEV-May06 4+2 kkh 6 2" xfId="5205"/>
    <cellStyle name="B_BotLC_HK.EEV-Apr06v2_HK.EEV-May06 4+2 kkh 6 3" xfId="26186"/>
    <cellStyle name="B_BotLC_HK.EEV-Apr06v2_HK.EEV-May06 4+2 kkh 7" xfId="5206"/>
    <cellStyle name="B_BotLC_HK.EEV-Apr06v2_HK.EEV-May06 4+2 kkh 7 2" xfId="5207"/>
    <cellStyle name="B_BotLC_HK.EEV-Apr06v2_HK.EEV-May06 4+2 kkh 7 3" xfId="26187"/>
    <cellStyle name="B_BotLC_HK.EEV-Apr06v2_HK.EEV-May06 4+2 kkh 8" xfId="5208"/>
    <cellStyle name="B_BotLC_HK.EEV-Apr06v2_HK.EEV-May06 4+2 kkh 8 2" xfId="5209"/>
    <cellStyle name="B_BotLC_HK.EEV-Apr06v2_HK.EEV-May06 4+2 kkh 8 3" xfId="26188"/>
    <cellStyle name="B_BotLC_HK.EEV-Apr06v2_HK.EEV-May06 4+2 kkh 9" xfId="5210"/>
    <cellStyle name="B_BotLC_HK.EEV-Apr06v2_HK.EEV-May06 4+2 kkh 9 2" xfId="5211"/>
    <cellStyle name="B_BotLC_HK.EEV-Apr06v2_HK.EEV-May06 4+2 kkh 9 3" xfId="26189"/>
    <cellStyle name="B_BotLC_HK.EEV-Apr06v2_HK.EEV-May06 4+2 kkh_PROD_DETAILS" xfId="5212"/>
    <cellStyle name="B_BotLC_HK.EEV-Apr06v2_HK.EEV-May06 4+2 kkh_PROD_DETAILS 2" xfId="5213"/>
    <cellStyle name="B_BotLC_HK.EEV-Apr06v2_HK.EEV-May06 4+2 kkh_PROD_DETAILS 3" xfId="26190"/>
    <cellStyle name="B_BotLC_HK.EEV-Apr06v2_HK.EEV-May06 4+2 kkh_SOLVENCY POSITION " xfId="5214"/>
    <cellStyle name="B_BotLC_HK.EEV-Apr06v2_HK.EEV-May06 4+2 kkh_SOLVENCY POSITION  2" xfId="5215"/>
    <cellStyle name="B_BotLC_HK.EEV-Apr06v2_HK.EEV-May06 4+2 kkh_SOLVENCY POSITION  3" xfId="26191"/>
    <cellStyle name="B_BotLC_HK.EEV-Apr06v2_PROD_DETAILS" xfId="5216"/>
    <cellStyle name="B_BotLC_HK.EEV-Apr06v2_PROD_DETAILS 2" xfId="5217"/>
    <cellStyle name="B_BotLC_HK.EEV-Apr06v2_PROD_DETAILS 3" xfId="26192"/>
    <cellStyle name="B_BotLC_HK.EEV-Apr06v2_SOLVENCY POSITION " xfId="5218"/>
    <cellStyle name="B_BotLC_HK.EEV-Apr06v2_SOLVENCY POSITION  2" xfId="5219"/>
    <cellStyle name="B_BotLC_HK.EEV-Apr06v2_SOLVENCY POSITION  3" xfId="26193"/>
    <cellStyle name="B_BotLC_HK.EEV-Jun06 07-09 2006 (QF3)" xfId="5220"/>
    <cellStyle name="B_BotLC_HK.EEV-Jun06 07-09 2006 (QF3) 10" xfId="5221"/>
    <cellStyle name="B_BotLC_HK.EEV-Jun06 07-09 2006 (QF3) 10 2" xfId="5222"/>
    <cellStyle name="B_BotLC_HK.EEV-Jun06 07-09 2006 (QF3) 10 3" xfId="26194"/>
    <cellStyle name="B_BotLC_HK.EEV-Jun06 07-09 2006 (QF3) 11" xfId="5223"/>
    <cellStyle name="B_BotLC_HK.EEV-Jun06 07-09 2006 (QF3) 11 2" xfId="5224"/>
    <cellStyle name="B_BotLC_HK.EEV-Jun06 07-09 2006 (QF3) 11 3" xfId="26195"/>
    <cellStyle name="B_BotLC_HK.EEV-Jun06 07-09 2006 (QF3) 12" xfId="5225"/>
    <cellStyle name="B_BotLC_HK.EEV-Jun06 07-09 2006 (QF3) 12 2" xfId="5226"/>
    <cellStyle name="B_BotLC_HK.EEV-Jun06 07-09 2006 (QF3) 12 3" xfId="26196"/>
    <cellStyle name="B_BotLC_HK.EEV-Jun06 07-09 2006 (QF3) 13" xfId="5227"/>
    <cellStyle name="B_BotLC_HK.EEV-Jun06 07-09 2006 (QF3) 13 2" xfId="5228"/>
    <cellStyle name="B_BotLC_HK.EEV-Jun06 07-09 2006 (QF3) 13 3" xfId="26197"/>
    <cellStyle name="B_BotLC_HK.EEV-Jun06 07-09 2006 (QF3) 14" xfId="5229"/>
    <cellStyle name="B_BotLC_HK.EEV-Jun06 07-09 2006 (QF3) 14 2" xfId="5230"/>
    <cellStyle name="B_BotLC_HK.EEV-Jun06 07-09 2006 (QF3) 14 3" xfId="26198"/>
    <cellStyle name="B_BotLC_HK.EEV-Jun06 07-09 2006 (QF3) 15" xfId="5231"/>
    <cellStyle name="B_BotLC_HK.EEV-Jun06 07-09 2006 (QF3) 15 2" xfId="5232"/>
    <cellStyle name="B_BotLC_HK.EEV-Jun06 07-09 2006 (QF3) 15 3" xfId="26199"/>
    <cellStyle name="B_BotLC_HK.EEV-Jun06 07-09 2006 (QF3) 16" xfId="5233"/>
    <cellStyle name="B_BotLC_HK.EEV-Jun06 07-09 2006 (QF3) 16 2" xfId="5234"/>
    <cellStyle name="B_BotLC_HK.EEV-Jun06 07-09 2006 (QF3) 16 3" xfId="26200"/>
    <cellStyle name="B_BotLC_HK.EEV-Jun06 07-09 2006 (QF3) 17" xfId="5235"/>
    <cellStyle name="B_BotLC_HK.EEV-Jun06 07-09 2006 (QF3) 17 2" xfId="5236"/>
    <cellStyle name="B_BotLC_HK.EEV-Jun06 07-09 2006 (QF3) 17 3" xfId="26201"/>
    <cellStyle name="B_BotLC_HK.EEV-Jun06 07-09 2006 (QF3) 18" xfId="5237"/>
    <cellStyle name="B_BotLC_HK.EEV-Jun06 07-09 2006 (QF3) 18 2" xfId="5238"/>
    <cellStyle name="B_BotLC_HK.EEV-Jun06 07-09 2006 (QF3) 18 3" xfId="26202"/>
    <cellStyle name="B_BotLC_HK.EEV-Jun06 07-09 2006 (QF3) 19" xfId="5239"/>
    <cellStyle name="B_BotLC_HK.EEV-Jun06 07-09 2006 (QF3) 19 2" xfId="5240"/>
    <cellStyle name="B_BotLC_HK.EEV-Jun06 07-09 2006 (QF3) 19 3" xfId="26203"/>
    <cellStyle name="B_BotLC_HK.EEV-Jun06 07-09 2006 (QF3) 2" xfId="5241"/>
    <cellStyle name="B_BotLC_HK.EEV-Jun06 07-09 2006 (QF3) 2 2" xfId="5242"/>
    <cellStyle name="B_BotLC_HK.EEV-Jun06 07-09 2006 (QF3) 2 3" xfId="26204"/>
    <cellStyle name="B_BotLC_HK.EEV-Jun06 07-09 2006 (QF3) 20" xfId="5243"/>
    <cellStyle name="B_BotLC_HK.EEV-Jun06 07-09 2006 (QF3) 20 2" xfId="5244"/>
    <cellStyle name="B_BotLC_HK.EEV-Jun06 07-09 2006 (QF3) 20 3" xfId="26205"/>
    <cellStyle name="B_BotLC_HK.EEV-Jun06 07-09 2006 (QF3) 21" xfId="5245"/>
    <cellStyle name="B_BotLC_HK.EEV-Jun06 07-09 2006 (QF3) 21 2" xfId="5246"/>
    <cellStyle name="B_BotLC_HK.EEV-Jun06 07-09 2006 (QF3) 21 3" xfId="26206"/>
    <cellStyle name="B_BotLC_HK.EEV-Jun06 07-09 2006 (QF3) 22" xfId="5247"/>
    <cellStyle name="B_BotLC_HK.EEV-Jun06 07-09 2006 (QF3) 22 2" xfId="5248"/>
    <cellStyle name="B_BotLC_HK.EEV-Jun06 07-09 2006 (QF3) 22 3" xfId="26207"/>
    <cellStyle name="B_BotLC_HK.EEV-Jun06 07-09 2006 (QF3) 23" xfId="5249"/>
    <cellStyle name="B_BotLC_HK.EEV-Jun06 07-09 2006 (QF3) 23 2" xfId="5250"/>
    <cellStyle name="B_BotLC_HK.EEV-Jun06 07-09 2006 (QF3) 23 3" xfId="26208"/>
    <cellStyle name="B_BotLC_HK.EEV-Jun06 07-09 2006 (QF3) 24" xfId="5251"/>
    <cellStyle name="B_BotLC_HK.EEV-Jun06 07-09 2006 (QF3) 25" xfId="26209"/>
    <cellStyle name="B_BotLC_HK.EEV-Jun06 07-09 2006 (QF3) 3" xfId="5252"/>
    <cellStyle name="B_BotLC_HK.EEV-Jun06 07-09 2006 (QF3) 3 2" xfId="5253"/>
    <cellStyle name="B_BotLC_HK.EEV-Jun06 07-09 2006 (QF3) 3 3" xfId="26210"/>
    <cellStyle name="B_BotLC_HK.EEV-Jun06 07-09 2006 (QF3) 4" xfId="5254"/>
    <cellStyle name="B_BotLC_HK.EEV-Jun06 07-09 2006 (QF3) 4 2" xfId="5255"/>
    <cellStyle name="B_BotLC_HK.EEV-Jun06 07-09 2006 (QF3) 4 3" xfId="26211"/>
    <cellStyle name="B_BotLC_HK.EEV-Jun06 07-09 2006 (QF3) 5" xfId="5256"/>
    <cellStyle name="B_BotLC_HK.EEV-Jun06 07-09 2006 (QF3) 5 2" xfId="5257"/>
    <cellStyle name="B_BotLC_HK.EEV-Jun06 07-09 2006 (QF3) 5 3" xfId="26212"/>
    <cellStyle name="B_BotLC_HK.EEV-Jun06 07-09 2006 (QF3) 6" xfId="5258"/>
    <cellStyle name="B_BotLC_HK.EEV-Jun06 07-09 2006 (QF3) 6 2" xfId="5259"/>
    <cellStyle name="B_BotLC_HK.EEV-Jun06 07-09 2006 (QF3) 6 3" xfId="26213"/>
    <cellStyle name="B_BotLC_HK.EEV-Jun06 07-09 2006 (QF3) 7" xfId="5260"/>
    <cellStyle name="B_BotLC_HK.EEV-Jun06 07-09 2006 (QF3) 7 2" xfId="5261"/>
    <cellStyle name="B_BotLC_HK.EEV-Jun06 07-09 2006 (QF3) 7 3" xfId="26214"/>
    <cellStyle name="B_BotLC_HK.EEV-Jun06 07-09 2006 (QF3) 8" xfId="5262"/>
    <cellStyle name="B_BotLC_HK.EEV-Jun06 07-09 2006 (QF3) 8 2" xfId="5263"/>
    <cellStyle name="B_BotLC_HK.EEV-Jun06 07-09 2006 (QF3) 8 3" xfId="26215"/>
    <cellStyle name="B_BotLC_HK.EEV-Jun06 07-09 2006 (QF3) 9" xfId="5264"/>
    <cellStyle name="B_BotLC_HK.EEV-Jun06 07-09 2006 (QF3) 9 2" xfId="5265"/>
    <cellStyle name="B_BotLC_HK.EEV-Jun06 07-09 2006 (QF3) 9 3" xfId="26216"/>
    <cellStyle name="B_BotLC_HK.EEV-Jun06 07-09 2006 (QF3)_PROD_DETAILS" xfId="5266"/>
    <cellStyle name="B_BotLC_HK.EEV-Jun06 07-09 2006 (QF3)_PROD_DETAILS 2" xfId="5267"/>
    <cellStyle name="B_BotLC_HK.EEV-Jun06 07-09 2006 (QF3)_PROD_DETAILS 3" xfId="26217"/>
    <cellStyle name="B_BotLC_HK.EEV-Jun06 07-09 2006 (QF3)_SOLVENCY POSITION " xfId="5268"/>
    <cellStyle name="B_BotLC_HK.EEV-Jun06 07-09 2006 (QF3)_SOLVENCY POSITION  2" xfId="5269"/>
    <cellStyle name="B_BotLC_HK.EEV-Jun06 07-09 2006 (QF3)_SOLVENCY POSITION  3" xfId="26218"/>
    <cellStyle name="B_BotLC_HK.EEV-May06 4+2" xfId="5270"/>
    <cellStyle name="B_BotLC_HK.EEV-May06 4+2 10" xfId="5271"/>
    <cellStyle name="B_BotLC_HK.EEV-May06 4+2 10 2" xfId="5272"/>
    <cellStyle name="B_BotLC_HK.EEV-May06 4+2 10 3" xfId="26219"/>
    <cellStyle name="B_BotLC_HK.EEV-May06 4+2 11" xfId="5273"/>
    <cellStyle name="B_BotLC_HK.EEV-May06 4+2 11 2" xfId="5274"/>
    <cellStyle name="B_BotLC_HK.EEV-May06 4+2 11 3" xfId="26220"/>
    <cellStyle name="B_BotLC_HK.EEV-May06 4+2 12" xfId="5275"/>
    <cellStyle name="B_BotLC_HK.EEV-May06 4+2 12 2" xfId="5276"/>
    <cellStyle name="B_BotLC_HK.EEV-May06 4+2 12 3" xfId="26221"/>
    <cellStyle name="B_BotLC_HK.EEV-May06 4+2 13" xfId="5277"/>
    <cellStyle name="B_BotLC_HK.EEV-May06 4+2 13 2" xfId="5278"/>
    <cellStyle name="B_BotLC_HK.EEV-May06 4+2 13 3" xfId="26222"/>
    <cellStyle name="B_BotLC_HK.EEV-May06 4+2 14" xfId="5279"/>
    <cellStyle name="B_BotLC_HK.EEV-May06 4+2 14 2" xfId="5280"/>
    <cellStyle name="B_BotLC_HK.EEV-May06 4+2 14 3" xfId="26223"/>
    <cellStyle name="B_BotLC_HK.EEV-May06 4+2 15" xfId="5281"/>
    <cellStyle name="B_BotLC_HK.EEV-May06 4+2 15 2" xfId="5282"/>
    <cellStyle name="B_BotLC_HK.EEV-May06 4+2 15 3" xfId="26224"/>
    <cellStyle name="B_BotLC_HK.EEV-May06 4+2 16" xfId="5283"/>
    <cellStyle name="B_BotLC_HK.EEV-May06 4+2 16 2" xfId="5284"/>
    <cellStyle name="B_BotLC_HK.EEV-May06 4+2 16 3" xfId="26225"/>
    <cellStyle name="B_BotLC_HK.EEV-May06 4+2 17" xfId="5285"/>
    <cellStyle name="B_BotLC_HK.EEV-May06 4+2 17 2" xfId="5286"/>
    <cellStyle name="B_BotLC_HK.EEV-May06 4+2 17 3" xfId="26226"/>
    <cellStyle name="B_BotLC_HK.EEV-May06 4+2 18" xfId="5287"/>
    <cellStyle name="B_BotLC_HK.EEV-May06 4+2 18 2" xfId="5288"/>
    <cellStyle name="B_BotLC_HK.EEV-May06 4+2 18 3" xfId="26227"/>
    <cellStyle name="B_BotLC_HK.EEV-May06 4+2 19" xfId="5289"/>
    <cellStyle name="B_BotLC_HK.EEV-May06 4+2 19 2" xfId="5290"/>
    <cellStyle name="B_BotLC_HK.EEV-May06 4+2 19 3" xfId="26228"/>
    <cellStyle name="B_BotLC_HK.EEV-May06 4+2 2" xfId="5291"/>
    <cellStyle name="B_BotLC_HK.EEV-May06 4+2 2 2" xfId="5292"/>
    <cellStyle name="B_BotLC_HK.EEV-May06 4+2 2 3" xfId="26229"/>
    <cellStyle name="B_BotLC_HK.EEV-May06 4+2 20" xfId="5293"/>
    <cellStyle name="B_BotLC_HK.EEV-May06 4+2 20 2" xfId="5294"/>
    <cellStyle name="B_BotLC_HK.EEV-May06 4+2 20 3" xfId="26230"/>
    <cellStyle name="B_BotLC_HK.EEV-May06 4+2 21" xfId="5295"/>
    <cellStyle name="B_BotLC_HK.EEV-May06 4+2 21 2" xfId="5296"/>
    <cellStyle name="B_BotLC_HK.EEV-May06 4+2 21 3" xfId="26231"/>
    <cellStyle name="B_BotLC_HK.EEV-May06 4+2 22" xfId="5297"/>
    <cellStyle name="B_BotLC_HK.EEV-May06 4+2 22 2" xfId="5298"/>
    <cellStyle name="B_BotLC_HK.EEV-May06 4+2 22 3" xfId="26232"/>
    <cellStyle name="B_BotLC_HK.EEV-May06 4+2 23" xfId="5299"/>
    <cellStyle name="B_BotLC_HK.EEV-May06 4+2 23 2" xfId="5300"/>
    <cellStyle name="B_BotLC_HK.EEV-May06 4+2 23 3" xfId="26233"/>
    <cellStyle name="B_BotLC_HK.EEV-May06 4+2 24" xfId="5301"/>
    <cellStyle name="B_BotLC_HK.EEV-May06 4+2 25" xfId="26234"/>
    <cellStyle name="B_BotLC_HK.EEV-May06 4+2 3" xfId="5302"/>
    <cellStyle name="B_BotLC_HK.EEV-May06 4+2 3 2" xfId="5303"/>
    <cellStyle name="B_BotLC_HK.EEV-May06 4+2 3 3" xfId="26235"/>
    <cellStyle name="B_BotLC_HK.EEV-May06 4+2 4" xfId="5304"/>
    <cellStyle name="B_BotLC_HK.EEV-May06 4+2 4 2" xfId="5305"/>
    <cellStyle name="B_BotLC_HK.EEV-May06 4+2 4 3" xfId="26236"/>
    <cellStyle name="B_BotLC_HK.EEV-May06 4+2 5" xfId="5306"/>
    <cellStyle name="B_BotLC_HK.EEV-May06 4+2 5 2" xfId="5307"/>
    <cellStyle name="B_BotLC_HK.EEV-May06 4+2 5 3" xfId="26237"/>
    <cellStyle name="B_BotLC_HK.EEV-May06 4+2 6" xfId="5308"/>
    <cellStyle name="B_BotLC_HK.EEV-May06 4+2 6 2" xfId="5309"/>
    <cellStyle name="B_BotLC_HK.EEV-May06 4+2 6 3" xfId="26238"/>
    <cellStyle name="B_BotLC_HK.EEV-May06 4+2 7" xfId="5310"/>
    <cellStyle name="B_BotLC_HK.EEV-May06 4+2 7 2" xfId="5311"/>
    <cellStyle name="B_BotLC_HK.EEV-May06 4+2 7 3" xfId="26239"/>
    <cellStyle name="B_BotLC_HK.EEV-May06 4+2 8" xfId="5312"/>
    <cellStyle name="B_BotLC_HK.EEV-May06 4+2 8 2" xfId="5313"/>
    <cellStyle name="B_BotLC_HK.EEV-May06 4+2 8 3" xfId="26240"/>
    <cellStyle name="B_BotLC_HK.EEV-May06 4+2 9" xfId="5314"/>
    <cellStyle name="B_BotLC_HK.EEV-May06 4+2 9 2" xfId="5315"/>
    <cellStyle name="B_BotLC_HK.EEV-May06 4+2 9 3" xfId="26241"/>
    <cellStyle name="B_BotLC_HK.EEV-May06 4+2_HK.EEV-May06 4+2 kkh" xfId="5316"/>
    <cellStyle name="B_BotLC_HK.EEV-May06 4+2_HK.EEV-May06 4+2 kkh 10" xfId="5317"/>
    <cellStyle name="B_BotLC_HK.EEV-May06 4+2_HK.EEV-May06 4+2 kkh 10 2" xfId="5318"/>
    <cellStyle name="B_BotLC_HK.EEV-May06 4+2_HK.EEV-May06 4+2 kkh 10 3" xfId="26242"/>
    <cellStyle name="B_BotLC_HK.EEV-May06 4+2_HK.EEV-May06 4+2 kkh 11" xfId="5319"/>
    <cellStyle name="B_BotLC_HK.EEV-May06 4+2_HK.EEV-May06 4+2 kkh 11 2" xfId="5320"/>
    <cellStyle name="B_BotLC_HK.EEV-May06 4+2_HK.EEV-May06 4+2 kkh 11 3" xfId="26243"/>
    <cellStyle name="B_BotLC_HK.EEV-May06 4+2_HK.EEV-May06 4+2 kkh 12" xfId="5321"/>
    <cellStyle name="B_BotLC_HK.EEV-May06 4+2_HK.EEV-May06 4+2 kkh 12 2" xfId="5322"/>
    <cellStyle name="B_BotLC_HK.EEV-May06 4+2_HK.EEV-May06 4+2 kkh 12 3" xfId="26244"/>
    <cellStyle name="B_BotLC_HK.EEV-May06 4+2_HK.EEV-May06 4+2 kkh 13" xfId="5323"/>
    <cellStyle name="B_BotLC_HK.EEV-May06 4+2_HK.EEV-May06 4+2 kkh 13 2" xfId="5324"/>
    <cellStyle name="B_BotLC_HK.EEV-May06 4+2_HK.EEV-May06 4+2 kkh 13 3" xfId="26245"/>
    <cellStyle name="B_BotLC_HK.EEV-May06 4+2_HK.EEV-May06 4+2 kkh 14" xfId="5325"/>
    <cellStyle name="B_BotLC_HK.EEV-May06 4+2_HK.EEV-May06 4+2 kkh 14 2" xfId="5326"/>
    <cellStyle name="B_BotLC_HK.EEV-May06 4+2_HK.EEV-May06 4+2 kkh 14 3" xfId="26246"/>
    <cellStyle name="B_BotLC_HK.EEV-May06 4+2_HK.EEV-May06 4+2 kkh 15" xfId="5327"/>
    <cellStyle name="B_BotLC_HK.EEV-May06 4+2_HK.EEV-May06 4+2 kkh 15 2" xfId="5328"/>
    <cellStyle name="B_BotLC_HK.EEV-May06 4+2_HK.EEV-May06 4+2 kkh 15 3" xfId="26247"/>
    <cellStyle name="B_BotLC_HK.EEV-May06 4+2_HK.EEV-May06 4+2 kkh 16" xfId="5329"/>
    <cellStyle name="B_BotLC_HK.EEV-May06 4+2_HK.EEV-May06 4+2 kkh 16 2" xfId="5330"/>
    <cellStyle name="B_BotLC_HK.EEV-May06 4+2_HK.EEV-May06 4+2 kkh 16 3" xfId="26248"/>
    <cellStyle name="B_BotLC_HK.EEV-May06 4+2_HK.EEV-May06 4+2 kkh 17" xfId="5331"/>
    <cellStyle name="B_BotLC_HK.EEV-May06 4+2_HK.EEV-May06 4+2 kkh 17 2" xfId="5332"/>
    <cellStyle name="B_BotLC_HK.EEV-May06 4+2_HK.EEV-May06 4+2 kkh 17 3" xfId="26249"/>
    <cellStyle name="B_BotLC_HK.EEV-May06 4+2_HK.EEV-May06 4+2 kkh 18" xfId="5333"/>
    <cellStyle name="B_BotLC_HK.EEV-May06 4+2_HK.EEV-May06 4+2 kkh 18 2" xfId="5334"/>
    <cellStyle name="B_BotLC_HK.EEV-May06 4+2_HK.EEV-May06 4+2 kkh 18 3" xfId="26250"/>
    <cellStyle name="B_BotLC_HK.EEV-May06 4+2_HK.EEV-May06 4+2 kkh 19" xfId="5335"/>
    <cellStyle name="B_BotLC_HK.EEV-May06 4+2_HK.EEV-May06 4+2 kkh 19 2" xfId="5336"/>
    <cellStyle name="B_BotLC_HK.EEV-May06 4+2_HK.EEV-May06 4+2 kkh 19 3" xfId="26251"/>
    <cellStyle name="B_BotLC_HK.EEV-May06 4+2_HK.EEV-May06 4+2 kkh 2" xfId="5337"/>
    <cellStyle name="B_BotLC_HK.EEV-May06 4+2_HK.EEV-May06 4+2 kkh 2 2" xfId="5338"/>
    <cellStyle name="B_BotLC_HK.EEV-May06 4+2_HK.EEV-May06 4+2 kkh 2 3" xfId="26252"/>
    <cellStyle name="B_BotLC_HK.EEV-May06 4+2_HK.EEV-May06 4+2 kkh 20" xfId="5339"/>
    <cellStyle name="B_BotLC_HK.EEV-May06 4+2_HK.EEV-May06 4+2 kkh 20 2" xfId="5340"/>
    <cellStyle name="B_BotLC_HK.EEV-May06 4+2_HK.EEV-May06 4+2 kkh 20 3" xfId="26253"/>
    <cellStyle name="B_BotLC_HK.EEV-May06 4+2_HK.EEV-May06 4+2 kkh 21" xfId="5341"/>
    <cellStyle name="B_BotLC_HK.EEV-May06 4+2_HK.EEV-May06 4+2 kkh 21 2" xfId="5342"/>
    <cellStyle name="B_BotLC_HK.EEV-May06 4+2_HK.EEV-May06 4+2 kkh 21 3" xfId="26254"/>
    <cellStyle name="B_BotLC_HK.EEV-May06 4+2_HK.EEV-May06 4+2 kkh 22" xfId="5343"/>
    <cellStyle name="B_BotLC_HK.EEV-May06 4+2_HK.EEV-May06 4+2 kkh 22 2" xfId="5344"/>
    <cellStyle name="B_BotLC_HK.EEV-May06 4+2_HK.EEV-May06 4+2 kkh 22 3" xfId="26255"/>
    <cellStyle name="B_BotLC_HK.EEV-May06 4+2_HK.EEV-May06 4+2 kkh 23" xfId="5345"/>
    <cellStyle name="B_BotLC_HK.EEV-May06 4+2_HK.EEV-May06 4+2 kkh 23 2" xfId="5346"/>
    <cellStyle name="B_BotLC_HK.EEV-May06 4+2_HK.EEV-May06 4+2 kkh 23 3" xfId="26256"/>
    <cellStyle name="B_BotLC_HK.EEV-May06 4+2_HK.EEV-May06 4+2 kkh 24" xfId="5347"/>
    <cellStyle name="B_BotLC_HK.EEV-May06 4+2_HK.EEV-May06 4+2 kkh 25" xfId="26257"/>
    <cellStyle name="B_BotLC_HK.EEV-May06 4+2_HK.EEV-May06 4+2 kkh 3" xfId="5348"/>
    <cellStyle name="B_BotLC_HK.EEV-May06 4+2_HK.EEV-May06 4+2 kkh 3 2" xfId="5349"/>
    <cellStyle name="B_BotLC_HK.EEV-May06 4+2_HK.EEV-May06 4+2 kkh 3 3" xfId="26258"/>
    <cellStyle name="B_BotLC_HK.EEV-May06 4+2_HK.EEV-May06 4+2 kkh 4" xfId="5350"/>
    <cellStyle name="B_BotLC_HK.EEV-May06 4+2_HK.EEV-May06 4+2 kkh 4 2" xfId="5351"/>
    <cellStyle name="B_BotLC_HK.EEV-May06 4+2_HK.EEV-May06 4+2 kkh 4 3" xfId="26259"/>
    <cellStyle name="B_BotLC_HK.EEV-May06 4+2_HK.EEV-May06 4+2 kkh 5" xfId="5352"/>
    <cellStyle name="B_BotLC_HK.EEV-May06 4+2_HK.EEV-May06 4+2 kkh 5 2" xfId="5353"/>
    <cellStyle name="B_BotLC_HK.EEV-May06 4+2_HK.EEV-May06 4+2 kkh 5 3" xfId="26260"/>
    <cellStyle name="B_BotLC_HK.EEV-May06 4+2_HK.EEV-May06 4+2 kkh 6" xfId="5354"/>
    <cellStyle name="B_BotLC_HK.EEV-May06 4+2_HK.EEV-May06 4+2 kkh 6 2" xfId="5355"/>
    <cellStyle name="B_BotLC_HK.EEV-May06 4+2_HK.EEV-May06 4+2 kkh 6 3" xfId="26261"/>
    <cellStyle name="B_BotLC_HK.EEV-May06 4+2_HK.EEV-May06 4+2 kkh 7" xfId="5356"/>
    <cellStyle name="B_BotLC_HK.EEV-May06 4+2_HK.EEV-May06 4+2 kkh 7 2" xfId="5357"/>
    <cellStyle name="B_BotLC_HK.EEV-May06 4+2_HK.EEV-May06 4+2 kkh 7 3" xfId="26262"/>
    <cellStyle name="B_BotLC_HK.EEV-May06 4+2_HK.EEV-May06 4+2 kkh 8" xfId="5358"/>
    <cellStyle name="B_BotLC_HK.EEV-May06 4+2_HK.EEV-May06 4+2 kkh 8 2" xfId="5359"/>
    <cellStyle name="B_BotLC_HK.EEV-May06 4+2_HK.EEV-May06 4+2 kkh 8 3" xfId="26263"/>
    <cellStyle name="B_BotLC_HK.EEV-May06 4+2_HK.EEV-May06 4+2 kkh 9" xfId="5360"/>
    <cellStyle name="B_BotLC_HK.EEV-May06 4+2_HK.EEV-May06 4+2 kkh 9 2" xfId="5361"/>
    <cellStyle name="B_BotLC_HK.EEV-May06 4+2_HK.EEV-May06 4+2 kkh 9 3" xfId="26264"/>
    <cellStyle name="B_BotLC_HK.EEV-May06 4+2_HK.EEV-May06 4+2 kkh_PROD_DETAILS" xfId="5362"/>
    <cellStyle name="B_BotLC_HK.EEV-May06 4+2_HK.EEV-May06 4+2 kkh_PROD_DETAILS 2" xfId="5363"/>
    <cellStyle name="B_BotLC_HK.EEV-May06 4+2_HK.EEV-May06 4+2 kkh_PROD_DETAILS 3" xfId="26265"/>
    <cellStyle name="B_BotLC_HK.EEV-May06 4+2_HK.EEV-May06 4+2 kkh_SOLVENCY POSITION " xfId="5364"/>
    <cellStyle name="B_BotLC_HK.EEV-May06 4+2_HK.EEV-May06 4+2 kkh_SOLVENCY POSITION  2" xfId="5365"/>
    <cellStyle name="B_BotLC_HK.EEV-May06 4+2_HK.EEV-May06 4+2 kkh_SOLVENCY POSITION  3" xfId="26266"/>
    <cellStyle name="B_BotLC_HK.EEV-May06 4+2_PROD_DETAILS" xfId="5366"/>
    <cellStyle name="B_BotLC_HK.EEV-May06 4+2_PROD_DETAILS 2" xfId="5367"/>
    <cellStyle name="B_BotLC_HK.EEV-May06 4+2_PROD_DETAILS 3" xfId="26267"/>
    <cellStyle name="B_BotLC_HK.EEV-May06 4+2_SOLVENCY POSITION " xfId="5368"/>
    <cellStyle name="B_BotLC_HK.EEV-May06 4+2_SOLVENCY POSITION  2" xfId="5369"/>
    <cellStyle name="B_BotLC_HK.EEV-May06 4+2_SOLVENCY POSITION  3" xfId="26268"/>
    <cellStyle name="B_BotLC_HK.NBC@Mar2006" xfId="5370"/>
    <cellStyle name="B_BotLC_HK.NBC@Mar2006 10" xfId="5371"/>
    <cellStyle name="B_BotLC_HK.NBC@Mar2006 10 2" xfId="5372"/>
    <cellStyle name="B_BotLC_HK.NBC@Mar2006 10 3" xfId="26269"/>
    <cellStyle name="B_BotLC_HK.NBC@Mar2006 11" xfId="5373"/>
    <cellStyle name="B_BotLC_HK.NBC@Mar2006 11 2" xfId="5374"/>
    <cellStyle name="B_BotLC_HK.NBC@Mar2006 11 3" xfId="26270"/>
    <cellStyle name="B_BotLC_HK.NBC@Mar2006 12" xfId="5375"/>
    <cellStyle name="B_BotLC_HK.NBC@Mar2006 12 2" xfId="5376"/>
    <cellStyle name="B_BotLC_HK.NBC@Mar2006 12 3" xfId="26271"/>
    <cellStyle name="B_BotLC_HK.NBC@Mar2006 13" xfId="5377"/>
    <cellStyle name="B_BotLC_HK.NBC@Mar2006 13 2" xfId="5378"/>
    <cellStyle name="B_BotLC_HK.NBC@Mar2006 13 3" xfId="26272"/>
    <cellStyle name="B_BotLC_HK.NBC@Mar2006 14" xfId="5379"/>
    <cellStyle name="B_BotLC_HK.NBC@Mar2006 14 2" xfId="5380"/>
    <cellStyle name="B_BotLC_HK.NBC@Mar2006 14 3" xfId="26273"/>
    <cellStyle name="B_BotLC_HK.NBC@Mar2006 15" xfId="5381"/>
    <cellStyle name="B_BotLC_HK.NBC@Mar2006 15 2" xfId="5382"/>
    <cellStyle name="B_BotLC_HK.NBC@Mar2006 15 3" xfId="26274"/>
    <cellStyle name="B_BotLC_HK.NBC@Mar2006 16" xfId="5383"/>
    <cellStyle name="B_BotLC_HK.NBC@Mar2006 16 2" xfId="5384"/>
    <cellStyle name="B_BotLC_HK.NBC@Mar2006 16 3" xfId="26275"/>
    <cellStyle name="B_BotLC_HK.NBC@Mar2006 17" xfId="5385"/>
    <cellStyle name="B_BotLC_HK.NBC@Mar2006 17 2" xfId="5386"/>
    <cellStyle name="B_BotLC_HK.NBC@Mar2006 17 3" xfId="26276"/>
    <cellStyle name="B_BotLC_HK.NBC@Mar2006 18" xfId="5387"/>
    <cellStyle name="B_BotLC_HK.NBC@Mar2006 18 2" xfId="5388"/>
    <cellStyle name="B_BotLC_HK.NBC@Mar2006 18 3" xfId="26277"/>
    <cellStyle name="B_BotLC_HK.NBC@Mar2006 19" xfId="5389"/>
    <cellStyle name="B_BotLC_HK.NBC@Mar2006 19 2" xfId="5390"/>
    <cellStyle name="B_BotLC_HK.NBC@Mar2006 19 3" xfId="26278"/>
    <cellStyle name="B_BotLC_HK.NBC@Mar2006 2" xfId="5391"/>
    <cellStyle name="B_BotLC_HK.NBC@Mar2006 2 2" xfId="5392"/>
    <cellStyle name="B_BotLC_HK.NBC@Mar2006 2 3" xfId="26279"/>
    <cellStyle name="B_BotLC_HK.NBC@Mar2006 20" xfId="5393"/>
    <cellStyle name="B_BotLC_HK.NBC@Mar2006 20 2" xfId="5394"/>
    <cellStyle name="B_BotLC_HK.NBC@Mar2006 20 3" xfId="26280"/>
    <cellStyle name="B_BotLC_HK.NBC@Mar2006 21" xfId="5395"/>
    <cellStyle name="B_BotLC_HK.NBC@Mar2006 21 2" xfId="5396"/>
    <cellStyle name="B_BotLC_HK.NBC@Mar2006 21 3" xfId="26281"/>
    <cellStyle name="B_BotLC_HK.NBC@Mar2006 22" xfId="5397"/>
    <cellStyle name="B_BotLC_HK.NBC@Mar2006 22 2" xfId="5398"/>
    <cellStyle name="B_BotLC_HK.NBC@Mar2006 22 3" xfId="26282"/>
    <cellStyle name="B_BotLC_HK.NBC@Mar2006 23" xfId="5399"/>
    <cellStyle name="B_BotLC_HK.NBC@Mar2006 23 2" xfId="5400"/>
    <cellStyle name="B_BotLC_HK.NBC@Mar2006 23 3" xfId="26283"/>
    <cellStyle name="B_BotLC_HK.NBC@Mar2006 24" xfId="5401"/>
    <cellStyle name="B_BotLC_HK.NBC@Mar2006 25" xfId="26284"/>
    <cellStyle name="B_BotLC_HK.NBC@Mar2006 3" xfId="5402"/>
    <cellStyle name="B_BotLC_HK.NBC@Mar2006 3 2" xfId="5403"/>
    <cellStyle name="B_BotLC_HK.NBC@Mar2006 3 3" xfId="26285"/>
    <cellStyle name="B_BotLC_HK.NBC@Mar2006 4" xfId="5404"/>
    <cellStyle name="B_BotLC_HK.NBC@Mar2006 4 2" xfId="5405"/>
    <cellStyle name="B_BotLC_HK.NBC@Mar2006 4 3" xfId="26286"/>
    <cellStyle name="B_BotLC_HK.NBC@Mar2006 5" xfId="5406"/>
    <cellStyle name="B_BotLC_HK.NBC@Mar2006 5 2" xfId="5407"/>
    <cellStyle name="B_BotLC_HK.NBC@Mar2006 5 3" xfId="26287"/>
    <cellStyle name="B_BotLC_HK.NBC@Mar2006 6" xfId="5408"/>
    <cellStyle name="B_BotLC_HK.NBC@Mar2006 6 2" xfId="5409"/>
    <cellStyle name="B_BotLC_HK.NBC@Mar2006 6 3" xfId="26288"/>
    <cellStyle name="B_BotLC_HK.NBC@Mar2006 7" xfId="5410"/>
    <cellStyle name="B_BotLC_HK.NBC@Mar2006 7 2" xfId="5411"/>
    <cellStyle name="B_BotLC_HK.NBC@Mar2006 7 3" xfId="26289"/>
    <cellStyle name="B_BotLC_HK.NBC@Mar2006 8" xfId="5412"/>
    <cellStyle name="B_BotLC_HK.NBC@Mar2006 8 2" xfId="5413"/>
    <cellStyle name="B_BotLC_HK.NBC@Mar2006 8 3" xfId="26290"/>
    <cellStyle name="B_BotLC_HK.NBC@Mar2006 9" xfId="5414"/>
    <cellStyle name="B_BotLC_HK.NBC@Mar2006 9 2" xfId="5415"/>
    <cellStyle name="B_BotLC_HK.NBC@Mar2006 9 3" xfId="26291"/>
    <cellStyle name="B_BotLC_HK.NBC@Mar2006_HK.EEV-May06 4+2 kkh" xfId="5416"/>
    <cellStyle name="B_BotLC_HK.NBC@Mar2006_HK.EEV-May06 4+2 kkh 10" xfId="5417"/>
    <cellStyle name="B_BotLC_HK.NBC@Mar2006_HK.EEV-May06 4+2 kkh 10 2" xfId="5418"/>
    <cellStyle name="B_BotLC_HK.NBC@Mar2006_HK.EEV-May06 4+2 kkh 10 3" xfId="26292"/>
    <cellStyle name="B_BotLC_HK.NBC@Mar2006_HK.EEV-May06 4+2 kkh 11" xfId="5419"/>
    <cellStyle name="B_BotLC_HK.NBC@Mar2006_HK.EEV-May06 4+2 kkh 11 2" xfId="5420"/>
    <cellStyle name="B_BotLC_HK.NBC@Mar2006_HK.EEV-May06 4+2 kkh 11 3" xfId="26293"/>
    <cellStyle name="B_BotLC_HK.NBC@Mar2006_HK.EEV-May06 4+2 kkh 12" xfId="5421"/>
    <cellStyle name="B_BotLC_HK.NBC@Mar2006_HK.EEV-May06 4+2 kkh 12 2" xfId="5422"/>
    <cellStyle name="B_BotLC_HK.NBC@Mar2006_HK.EEV-May06 4+2 kkh 12 3" xfId="26294"/>
    <cellStyle name="B_BotLC_HK.NBC@Mar2006_HK.EEV-May06 4+2 kkh 13" xfId="5423"/>
    <cellStyle name="B_BotLC_HK.NBC@Mar2006_HK.EEV-May06 4+2 kkh 13 2" xfId="5424"/>
    <cellStyle name="B_BotLC_HK.NBC@Mar2006_HK.EEV-May06 4+2 kkh 13 3" xfId="26295"/>
    <cellStyle name="B_BotLC_HK.NBC@Mar2006_HK.EEV-May06 4+2 kkh 14" xfId="5425"/>
    <cellStyle name="B_BotLC_HK.NBC@Mar2006_HK.EEV-May06 4+2 kkh 14 2" xfId="5426"/>
    <cellStyle name="B_BotLC_HK.NBC@Mar2006_HK.EEV-May06 4+2 kkh 14 3" xfId="26296"/>
    <cellStyle name="B_BotLC_HK.NBC@Mar2006_HK.EEV-May06 4+2 kkh 15" xfId="5427"/>
    <cellStyle name="B_BotLC_HK.NBC@Mar2006_HK.EEV-May06 4+2 kkh 15 2" xfId="5428"/>
    <cellStyle name="B_BotLC_HK.NBC@Mar2006_HK.EEV-May06 4+2 kkh 15 3" xfId="26297"/>
    <cellStyle name="B_BotLC_HK.NBC@Mar2006_HK.EEV-May06 4+2 kkh 16" xfId="5429"/>
    <cellStyle name="B_BotLC_HK.NBC@Mar2006_HK.EEV-May06 4+2 kkh 16 2" xfId="5430"/>
    <cellStyle name="B_BotLC_HK.NBC@Mar2006_HK.EEV-May06 4+2 kkh 16 3" xfId="26298"/>
    <cellStyle name="B_BotLC_HK.NBC@Mar2006_HK.EEV-May06 4+2 kkh 17" xfId="5431"/>
    <cellStyle name="B_BotLC_HK.NBC@Mar2006_HK.EEV-May06 4+2 kkh 17 2" xfId="5432"/>
    <cellStyle name="B_BotLC_HK.NBC@Mar2006_HK.EEV-May06 4+2 kkh 17 3" xfId="26299"/>
    <cellStyle name="B_BotLC_HK.NBC@Mar2006_HK.EEV-May06 4+2 kkh 18" xfId="5433"/>
    <cellStyle name="B_BotLC_HK.NBC@Mar2006_HK.EEV-May06 4+2 kkh 18 2" xfId="5434"/>
    <cellStyle name="B_BotLC_HK.NBC@Mar2006_HK.EEV-May06 4+2 kkh 18 3" xfId="26300"/>
    <cellStyle name="B_BotLC_HK.NBC@Mar2006_HK.EEV-May06 4+2 kkh 19" xfId="5435"/>
    <cellStyle name="B_BotLC_HK.NBC@Mar2006_HK.EEV-May06 4+2 kkh 19 2" xfId="5436"/>
    <cellStyle name="B_BotLC_HK.NBC@Mar2006_HK.EEV-May06 4+2 kkh 19 3" xfId="26301"/>
    <cellStyle name="B_BotLC_HK.NBC@Mar2006_HK.EEV-May06 4+2 kkh 2" xfId="5437"/>
    <cellStyle name="B_BotLC_HK.NBC@Mar2006_HK.EEV-May06 4+2 kkh 2 2" xfId="5438"/>
    <cellStyle name="B_BotLC_HK.NBC@Mar2006_HK.EEV-May06 4+2 kkh 2 3" xfId="26302"/>
    <cellStyle name="B_BotLC_HK.NBC@Mar2006_HK.EEV-May06 4+2 kkh 20" xfId="5439"/>
    <cellStyle name="B_BotLC_HK.NBC@Mar2006_HK.EEV-May06 4+2 kkh 20 2" xfId="5440"/>
    <cellStyle name="B_BotLC_HK.NBC@Mar2006_HK.EEV-May06 4+2 kkh 20 3" xfId="26303"/>
    <cellStyle name="B_BotLC_HK.NBC@Mar2006_HK.EEV-May06 4+2 kkh 21" xfId="5441"/>
    <cellStyle name="B_BotLC_HK.NBC@Mar2006_HK.EEV-May06 4+2 kkh 21 2" xfId="5442"/>
    <cellStyle name="B_BotLC_HK.NBC@Mar2006_HK.EEV-May06 4+2 kkh 21 3" xfId="26304"/>
    <cellStyle name="B_BotLC_HK.NBC@Mar2006_HK.EEV-May06 4+2 kkh 22" xfId="5443"/>
    <cellStyle name="B_BotLC_HK.NBC@Mar2006_HK.EEV-May06 4+2 kkh 22 2" xfId="5444"/>
    <cellStyle name="B_BotLC_HK.NBC@Mar2006_HK.EEV-May06 4+2 kkh 22 3" xfId="26305"/>
    <cellStyle name="B_BotLC_HK.NBC@Mar2006_HK.EEV-May06 4+2 kkh 23" xfId="5445"/>
    <cellStyle name="B_BotLC_HK.NBC@Mar2006_HK.EEV-May06 4+2 kkh 23 2" xfId="5446"/>
    <cellStyle name="B_BotLC_HK.NBC@Mar2006_HK.EEV-May06 4+2 kkh 23 3" xfId="26306"/>
    <cellStyle name="B_BotLC_HK.NBC@Mar2006_HK.EEV-May06 4+2 kkh 24" xfId="5447"/>
    <cellStyle name="B_BotLC_HK.NBC@Mar2006_HK.EEV-May06 4+2 kkh 25" xfId="26307"/>
    <cellStyle name="B_BotLC_HK.NBC@Mar2006_HK.EEV-May06 4+2 kkh 3" xfId="5448"/>
    <cellStyle name="B_BotLC_HK.NBC@Mar2006_HK.EEV-May06 4+2 kkh 3 2" xfId="5449"/>
    <cellStyle name="B_BotLC_HK.NBC@Mar2006_HK.EEV-May06 4+2 kkh 3 3" xfId="26308"/>
    <cellStyle name="B_BotLC_HK.NBC@Mar2006_HK.EEV-May06 4+2 kkh 4" xfId="5450"/>
    <cellStyle name="B_BotLC_HK.NBC@Mar2006_HK.EEV-May06 4+2 kkh 4 2" xfId="5451"/>
    <cellStyle name="B_BotLC_HK.NBC@Mar2006_HK.EEV-May06 4+2 kkh 4 3" xfId="26309"/>
    <cellStyle name="B_BotLC_HK.NBC@Mar2006_HK.EEV-May06 4+2 kkh 5" xfId="5452"/>
    <cellStyle name="B_BotLC_HK.NBC@Mar2006_HK.EEV-May06 4+2 kkh 5 2" xfId="5453"/>
    <cellStyle name="B_BotLC_HK.NBC@Mar2006_HK.EEV-May06 4+2 kkh 5 3" xfId="26310"/>
    <cellStyle name="B_BotLC_HK.NBC@Mar2006_HK.EEV-May06 4+2 kkh 6" xfId="5454"/>
    <cellStyle name="B_BotLC_HK.NBC@Mar2006_HK.EEV-May06 4+2 kkh 6 2" xfId="5455"/>
    <cellStyle name="B_BotLC_HK.NBC@Mar2006_HK.EEV-May06 4+2 kkh 6 3" xfId="26311"/>
    <cellStyle name="B_BotLC_HK.NBC@Mar2006_HK.EEV-May06 4+2 kkh 7" xfId="5456"/>
    <cellStyle name="B_BotLC_HK.NBC@Mar2006_HK.EEV-May06 4+2 kkh 7 2" xfId="5457"/>
    <cellStyle name="B_BotLC_HK.NBC@Mar2006_HK.EEV-May06 4+2 kkh 7 3" xfId="26312"/>
    <cellStyle name="B_BotLC_HK.NBC@Mar2006_HK.EEV-May06 4+2 kkh 8" xfId="5458"/>
    <cellStyle name="B_BotLC_HK.NBC@Mar2006_HK.EEV-May06 4+2 kkh 8 2" xfId="5459"/>
    <cellStyle name="B_BotLC_HK.NBC@Mar2006_HK.EEV-May06 4+2 kkh 8 3" xfId="26313"/>
    <cellStyle name="B_BotLC_HK.NBC@Mar2006_HK.EEV-May06 4+2 kkh 9" xfId="5460"/>
    <cellStyle name="B_BotLC_HK.NBC@Mar2006_HK.EEV-May06 4+2 kkh 9 2" xfId="5461"/>
    <cellStyle name="B_BotLC_HK.NBC@Mar2006_HK.EEV-May06 4+2 kkh 9 3" xfId="26314"/>
    <cellStyle name="B_BotLC_HK.NBC@Mar2006_HK.EEV-May06 4+2 kkh_PROD_DETAILS" xfId="5462"/>
    <cellStyle name="B_BotLC_HK.NBC@Mar2006_HK.EEV-May06 4+2 kkh_PROD_DETAILS 2" xfId="5463"/>
    <cellStyle name="B_BotLC_HK.NBC@Mar2006_HK.EEV-May06 4+2 kkh_PROD_DETAILS 3" xfId="26315"/>
    <cellStyle name="B_BotLC_HK.NBC@Mar2006_HK.EEV-May06 4+2 kkh_SOLVENCY POSITION " xfId="5464"/>
    <cellStyle name="B_BotLC_HK.NBC@Mar2006_HK.EEV-May06 4+2 kkh_SOLVENCY POSITION  2" xfId="5465"/>
    <cellStyle name="B_BotLC_HK.NBC@Mar2006_HK.EEV-May06 4+2 kkh_SOLVENCY POSITION  3" xfId="26316"/>
    <cellStyle name="B_BotLC_HK.NBC@Mar2006_PROD_DETAILS" xfId="5466"/>
    <cellStyle name="B_BotLC_HK.NBC@Mar2006_PROD_DETAILS 2" xfId="5467"/>
    <cellStyle name="B_BotLC_HK.NBC@Mar2006_PROD_DETAILS 3" xfId="26317"/>
    <cellStyle name="B_BotLC_HK.NBC@Mar2006_SOLVENCY POSITION " xfId="5468"/>
    <cellStyle name="B_BotLC_HK.NBC@Mar2006_SOLVENCY POSITION  2" xfId="5469"/>
    <cellStyle name="B_BotLC_HK.NBC@Mar2006_SOLVENCY POSITION  3" xfId="26318"/>
    <cellStyle name="B_BotLC_HK_NBC@Dec2007(New Lapse)Final" xfId="5470"/>
    <cellStyle name="B_BotLC_HK_NBC@Dec2007(New Lapse)Final 10" xfId="5471"/>
    <cellStyle name="B_BotLC_HK_NBC@Dec2007(New Lapse)Final 10 2" xfId="5472"/>
    <cellStyle name="B_BotLC_HK_NBC@Dec2007(New Lapse)Final 10 3" xfId="26319"/>
    <cellStyle name="B_BotLC_HK_NBC@Dec2007(New Lapse)Final 11" xfId="5473"/>
    <cellStyle name="B_BotLC_HK_NBC@Dec2007(New Lapse)Final 11 2" xfId="5474"/>
    <cellStyle name="B_BotLC_HK_NBC@Dec2007(New Lapse)Final 11 3" xfId="26320"/>
    <cellStyle name="B_BotLC_HK_NBC@Dec2007(New Lapse)Final 12" xfId="5475"/>
    <cellStyle name="B_BotLC_HK_NBC@Dec2007(New Lapse)Final 12 2" xfId="5476"/>
    <cellStyle name="B_BotLC_HK_NBC@Dec2007(New Lapse)Final 12 3" xfId="26321"/>
    <cellStyle name="B_BotLC_HK_NBC@Dec2007(New Lapse)Final 13" xfId="5477"/>
    <cellStyle name="B_BotLC_HK_NBC@Dec2007(New Lapse)Final 13 2" xfId="5478"/>
    <cellStyle name="B_BotLC_HK_NBC@Dec2007(New Lapse)Final 13 3" xfId="26322"/>
    <cellStyle name="B_BotLC_HK_NBC@Dec2007(New Lapse)Final 14" xfId="5479"/>
    <cellStyle name="B_BotLC_HK_NBC@Dec2007(New Lapse)Final 14 2" xfId="5480"/>
    <cellStyle name="B_BotLC_HK_NBC@Dec2007(New Lapse)Final 14 3" xfId="26323"/>
    <cellStyle name="B_BotLC_HK_NBC@Dec2007(New Lapse)Final 15" xfId="5481"/>
    <cellStyle name="B_BotLC_HK_NBC@Dec2007(New Lapse)Final 15 2" xfId="5482"/>
    <cellStyle name="B_BotLC_HK_NBC@Dec2007(New Lapse)Final 15 3" xfId="26324"/>
    <cellStyle name="B_BotLC_HK_NBC@Dec2007(New Lapse)Final 16" xfId="5483"/>
    <cellStyle name="B_BotLC_HK_NBC@Dec2007(New Lapse)Final 16 2" xfId="5484"/>
    <cellStyle name="B_BotLC_HK_NBC@Dec2007(New Lapse)Final 16 3" xfId="26325"/>
    <cellStyle name="B_BotLC_HK_NBC@Dec2007(New Lapse)Final 17" xfId="5485"/>
    <cellStyle name="B_BotLC_HK_NBC@Dec2007(New Lapse)Final 17 2" xfId="5486"/>
    <cellStyle name="B_BotLC_HK_NBC@Dec2007(New Lapse)Final 17 3" xfId="26326"/>
    <cellStyle name="B_BotLC_HK_NBC@Dec2007(New Lapse)Final 18" xfId="5487"/>
    <cellStyle name="B_BotLC_HK_NBC@Dec2007(New Lapse)Final 18 2" xfId="5488"/>
    <cellStyle name="B_BotLC_HK_NBC@Dec2007(New Lapse)Final 18 3" xfId="26327"/>
    <cellStyle name="B_BotLC_HK_NBC@Dec2007(New Lapse)Final 19" xfId="5489"/>
    <cellStyle name="B_BotLC_HK_NBC@Dec2007(New Lapse)Final 19 2" xfId="5490"/>
    <cellStyle name="B_BotLC_HK_NBC@Dec2007(New Lapse)Final 19 3" xfId="26328"/>
    <cellStyle name="B_BotLC_HK_NBC@Dec2007(New Lapse)Final 2" xfId="5491"/>
    <cellStyle name="B_BotLC_HK_NBC@Dec2007(New Lapse)Final 2 2" xfId="5492"/>
    <cellStyle name="B_BotLC_HK_NBC@Dec2007(New Lapse)Final 2 3" xfId="26329"/>
    <cellStyle name="B_BotLC_HK_NBC@Dec2007(New Lapse)Final 20" xfId="5493"/>
    <cellStyle name="B_BotLC_HK_NBC@Dec2007(New Lapse)Final 20 2" xfId="5494"/>
    <cellStyle name="B_BotLC_HK_NBC@Dec2007(New Lapse)Final 20 3" xfId="26330"/>
    <cellStyle name="B_BotLC_HK_NBC@Dec2007(New Lapse)Final 21" xfId="5495"/>
    <cellStyle name="B_BotLC_HK_NBC@Dec2007(New Lapse)Final 21 2" xfId="5496"/>
    <cellStyle name="B_BotLC_HK_NBC@Dec2007(New Lapse)Final 21 3" xfId="26331"/>
    <cellStyle name="B_BotLC_HK_NBC@Dec2007(New Lapse)Final 22" xfId="5497"/>
    <cellStyle name="B_BotLC_HK_NBC@Dec2007(New Lapse)Final 22 2" xfId="5498"/>
    <cellStyle name="B_BotLC_HK_NBC@Dec2007(New Lapse)Final 22 3" xfId="26332"/>
    <cellStyle name="B_BotLC_HK_NBC@Dec2007(New Lapse)Final 23" xfId="5499"/>
    <cellStyle name="B_BotLC_HK_NBC@Dec2007(New Lapse)Final 23 2" xfId="5500"/>
    <cellStyle name="B_BotLC_HK_NBC@Dec2007(New Lapse)Final 23 3" xfId="26333"/>
    <cellStyle name="B_BotLC_HK_NBC@Dec2007(New Lapse)Final 24" xfId="5501"/>
    <cellStyle name="B_BotLC_HK_NBC@Dec2007(New Lapse)Final 25" xfId="26334"/>
    <cellStyle name="B_BotLC_HK_NBC@Dec2007(New Lapse)Final 3" xfId="5502"/>
    <cellStyle name="B_BotLC_HK_NBC@Dec2007(New Lapse)Final 3 2" xfId="5503"/>
    <cellStyle name="B_BotLC_HK_NBC@Dec2007(New Lapse)Final 3 3" xfId="26335"/>
    <cellStyle name="B_BotLC_HK_NBC@Dec2007(New Lapse)Final 4" xfId="5504"/>
    <cellStyle name="B_BotLC_HK_NBC@Dec2007(New Lapse)Final 4 2" xfId="5505"/>
    <cellStyle name="B_BotLC_HK_NBC@Dec2007(New Lapse)Final 4 3" xfId="26336"/>
    <cellStyle name="B_BotLC_HK_NBC@Dec2007(New Lapse)Final 5" xfId="5506"/>
    <cellStyle name="B_BotLC_HK_NBC@Dec2007(New Lapse)Final 5 2" xfId="5507"/>
    <cellStyle name="B_BotLC_HK_NBC@Dec2007(New Lapse)Final 5 3" xfId="26337"/>
    <cellStyle name="B_BotLC_HK_NBC@Dec2007(New Lapse)Final 6" xfId="5508"/>
    <cellStyle name="B_BotLC_HK_NBC@Dec2007(New Lapse)Final 6 2" xfId="5509"/>
    <cellStyle name="B_BotLC_HK_NBC@Dec2007(New Lapse)Final 6 3" xfId="26338"/>
    <cellStyle name="B_BotLC_HK_NBC@Dec2007(New Lapse)Final 7" xfId="5510"/>
    <cellStyle name="B_BotLC_HK_NBC@Dec2007(New Lapse)Final 7 2" xfId="5511"/>
    <cellStyle name="B_BotLC_HK_NBC@Dec2007(New Lapse)Final 7 3" xfId="26339"/>
    <cellStyle name="B_BotLC_HK_NBC@Dec2007(New Lapse)Final 8" xfId="5512"/>
    <cellStyle name="B_BotLC_HK_NBC@Dec2007(New Lapse)Final 8 2" xfId="5513"/>
    <cellStyle name="B_BotLC_HK_NBC@Dec2007(New Lapse)Final 8 3" xfId="26340"/>
    <cellStyle name="B_BotLC_HK_NBC@Dec2007(New Lapse)Final 9" xfId="5514"/>
    <cellStyle name="B_BotLC_HK_NBC@Dec2007(New Lapse)Final 9 2" xfId="5515"/>
    <cellStyle name="B_BotLC_HK_NBC@Dec2007(New Lapse)Final 9 3" xfId="26341"/>
    <cellStyle name="B_BotLC_HK_NBC@Dec2007(New Lapse)Final_PROD_DETAILS" xfId="5516"/>
    <cellStyle name="B_BotLC_HK_NBC@Dec2007(New Lapse)Final_PROD_DETAILS 2" xfId="5517"/>
    <cellStyle name="B_BotLC_HK_NBC@Dec2007(New Lapse)Final_PROD_DETAILS 3" xfId="26342"/>
    <cellStyle name="B_BotLC_HK_NBC@Dec2007(New Lapse)Final_SOLVENCY POSITION " xfId="5518"/>
    <cellStyle name="B_BotLC_HK_NBC@Dec2007(New Lapse)Final_SOLVENCY POSITION  2" xfId="5519"/>
    <cellStyle name="B_BotLC_HK_NBC@Dec2007(New Lapse)Final_SOLVENCY POSITION  3" xfId="26343"/>
    <cellStyle name="B_BotLC_KPI's" xfId="5520"/>
    <cellStyle name="B_BotLC_KPI's 10" xfId="5521"/>
    <cellStyle name="B_BotLC_KPI's 10 2" xfId="5522"/>
    <cellStyle name="B_BotLC_KPI's 10 3" xfId="26344"/>
    <cellStyle name="B_BotLC_KPI's 11" xfId="5523"/>
    <cellStyle name="B_BotLC_KPI's 11 2" xfId="5524"/>
    <cellStyle name="B_BotLC_KPI's 11 3" xfId="26345"/>
    <cellStyle name="B_BotLC_KPI's 12" xfId="5525"/>
    <cellStyle name="B_BotLC_KPI's 12 2" xfId="5526"/>
    <cellStyle name="B_BotLC_KPI's 12 3" xfId="26346"/>
    <cellStyle name="B_BotLC_KPI's 13" xfId="5527"/>
    <cellStyle name="B_BotLC_KPI's 13 2" xfId="5528"/>
    <cellStyle name="B_BotLC_KPI's 13 3" xfId="26347"/>
    <cellStyle name="B_BotLC_KPI's 14" xfId="5529"/>
    <cellStyle name="B_BotLC_KPI's 14 2" xfId="5530"/>
    <cellStyle name="B_BotLC_KPI's 14 3" xfId="26348"/>
    <cellStyle name="B_BotLC_KPI's 15" xfId="5531"/>
    <cellStyle name="B_BotLC_KPI's 15 2" xfId="5532"/>
    <cellStyle name="B_BotLC_KPI's 15 3" xfId="26349"/>
    <cellStyle name="B_BotLC_KPI's 16" xfId="5533"/>
    <cellStyle name="B_BotLC_KPI's 16 2" xfId="5534"/>
    <cellStyle name="B_BotLC_KPI's 16 3" xfId="26350"/>
    <cellStyle name="B_BotLC_KPI's 17" xfId="5535"/>
    <cellStyle name="B_BotLC_KPI's 17 2" xfId="5536"/>
    <cellStyle name="B_BotLC_KPI's 17 3" xfId="26351"/>
    <cellStyle name="B_BotLC_KPI's 18" xfId="5537"/>
    <cellStyle name="B_BotLC_KPI's 18 2" xfId="5538"/>
    <cellStyle name="B_BotLC_KPI's 18 3" xfId="26352"/>
    <cellStyle name="B_BotLC_KPI's 19" xfId="5539"/>
    <cellStyle name="B_BotLC_KPI's 19 2" xfId="5540"/>
    <cellStyle name="B_BotLC_KPI's 19 3" xfId="26353"/>
    <cellStyle name="B_BotLC_KPI's 2" xfId="5541"/>
    <cellStyle name="B_BotLC_KPI's 2 2" xfId="5542"/>
    <cellStyle name="B_BotLC_KPI's 2 3" xfId="26354"/>
    <cellStyle name="B_BotLC_KPI's 20" xfId="5543"/>
    <cellStyle name="B_BotLC_KPI's 20 2" xfId="5544"/>
    <cellStyle name="B_BotLC_KPI's 20 3" xfId="26355"/>
    <cellStyle name="B_BotLC_KPI's 21" xfId="5545"/>
    <cellStyle name="B_BotLC_KPI's 21 2" xfId="5546"/>
    <cellStyle name="B_BotLC_KPI's 21 3" xfId="26356"/>
    <cellStyle name="B_BotLC_KPI's 22" xfId="5547"/>
    <cellStyle name="B_BotLC_KPI's 22 2" xfId="5548"/>
    <cellStyle name="B_BotLC_KPI's 22 3" xfId="26357"/>
    <cellStyle name="B_BotLC_KPI's 23" xfId="5549"/>
    <cellStyle name="B_BotLC_KPI's 23 2" xfId="5550"/>
    <cellStyle name="B_BotLC_KPI's 23 3" xfId="26358"/>
    <cellStyle name="B_BotLC_KPI's 24" xfId="5551"/>
    <cellStyle name="B_BotLC_KPI's 25" xfId="26359"/>
    <cellStyle name="B_BotLC_KPI's 3" xfId="5552"/>
    <cellStyle name="B_BotLC_KPI's 3 2" xfId="5553"/>
    <cellStyle name="B_BotLC_KPI's 3 3" xfId="26360"/>
    <cellStyle name="B_BotLC_KPI's 4" xfId="5554"/>
    <cellStyle name="B_BotLC_KPI's 4 2" xfId="5555"/>
    <cellStyle name="B_BotLC_KPI's 4 3" xfId="26361"/>
    <cellStyle name="B_BotLC_KPI's 5" xfId="5556"/>
    <cellStyle name="B_BotLC_KPI's 5 2" xfId="5557"/>
    <cellStyle name="B_BotLC_KPI's 5 3" xfId="26362"/>
    <cellStyle name="B_BotLC_KPI's 6" xfId="5558"/>
    <cellStyle name="B_BotLC_KPI's 6 2" xfId="5559"/>
    <cellStyle name="B_BotLC_KPI's 6 3" xfId="26363"/>
    <cellStyle name="B_BotLC_KPI's 7" xfId="5560"/>
    <cellStyle name="B_BotLC_KPI's 7 2" xfId="5561"/>
    <cellStyle name="B_BotLC_KPI's 7 3" xfId="26364"/>
    <cellStyle name="B_BotLC_KPI's 8" xfId="5562"/>
    <cellStyle name="B_BotLC_KPI's 8 2" xfId="5563"/>
    <cellStyle name="B_BotLC_KPI's 8 3" xfId="26365"/>
    <cellStyle name="B_BotLC_KPI's 9" xfId="5564"/>
    <cellStyle name="B_BotLC_KPI's 9 2" xfId="5565"/>
    <cellStyle name="B_BotLC_KPI's 9 3" xfId="26366"/>
    <cellStyle name="B_BotLC_KPI's_PROD_DETAILS" xfId="5566"/>
    <cellStyle name="B_BotLC_KPI's_PROD_DETAILS 2" xfId="5567"/>
    <cellStyle name="B_BotLC_KPI's_PROD_DETAILS 3" xfId="26367"/>
    <cellStyle name="B_BotLC_KPI's_SOLVENCY POSITION " xfId="5568"/>
    <cellStyle name="B_BotLC_KPI's_SOLVENCY POSITION  2" xfId="5569"/>
    <cellStyle name="B_BotLC_KPI's_SOLVENCY POSITION  3" xfId="26368"/>
    <cellStyle name="B_BotLC_p&amp;l wkgs" xfId="5570"/>
    <cellStyle name="B_BotLC_p&amp;l wkgs 10" xfId="5571"/>
    <cellStyle name="B_BotLC_p&amp;l wkgs 10 2" xfId="5572"/>
    <cellStyle name="B_BotLC_p&amp;l wkgs 10 3" xfId="26369"/>
    <cellStyle name="B_BotLC_p&amp;l wkgs 11" xfId="5573"/>
    <cellStyle name="B_BotLC_p&amp;l wkgs 11 2" xfId="5574"/>
    <cellStyle name="B_BotLC_p&amp;l wkgs 11 3" xfId="26370"/>
    <cellStyle name="B_BotLC_p&amp;l wkgs 12" xfId="5575"/>
    <cellStyle name="B_BotLC_p&amp;l wkgs 12 2" xfId="5576"/>
    <cellStyle name="B_BotLC_p&amp;l wkgs 12 3" xfId="26371"/>
    <cellStyle name="B_BotLC_p&amp;l wkgs 13" xfId="5577"/>
    <cellStyle name="B_BotLC_p&amp;l wkgs 13 2" xfId="5578"/>
    <cellStyle name="B_BotLC_p&amp;l wkgs 13 3" xfId="26372"/>
    <cellStyle name="B_BotLC_p&amp;l wkgs 14" xfId="5579"/>
    <cellStyle name="B_BotLC_p&amp;l wkgs 14 2" xfId="5580"/>
    <cellStyle name="B_BotLC_p&amp;l wkgs 14 3" xfId="26373"/>
    <cellStyle name="B_BotLC_p&amp;l wkgs 15" xfId="5581"/>
    <cellStyle name="B_BotLC_p&amp;l wkgs 15 2" xfId="5582"/>
    <cellStyle name="B_BotLC_p&amp;l wkgs 15 3" xfId="26374"/>
    <cellStyle name="B_BotLC_p&amp;l wkgs 16" xfId="5583"/>
    <cellStyle name="B_BotLC_p&amp;l wkgs 16 2" xfId="5584"/>
    <cellStyle name="B_BotLC_p&amp;l wkgs 16 3" xfId="26375"/>
    <cellStyle name="B_BotLC_p&amp;l wkgs 17" xfId="5585"/>
    <cellStyle name="B_BotLC_p&amp;l wkgs 17 2" xfId="5586"/>
    <cellStyle name="B_BotLC_p&amp;l wkgs 17 3" xfId="26376"/>
    <cellStyle name="B_BotLC_p&amp;l wkgs 18" xfId="5587"/>
    <cellStyle name="B_BotLC_p&amp;l wkgs 18 2" xfId="5588"/>
    <cellStyle name="B_BotLC_p&amp;l wkgs 18 3" xfId="26377"/>
    <cellStyle name="B_BotLC_p&amp;l wkgs 19" xfId="5589"/>
    <cellStyle name="B_BotLC_p&amp;l wkgs 19 2" xfId="5590"/>
    <cellStyle name="B_BotLC_p&amp;l wkgs 19 3" xfId="26378"/>
    <cellStyle name="B_BotLC_p&amp;l wkgs 2" xfId="5591"/>
    <cellStyle name="B_BotLC_p&amp;l wkgs 2 2" xfId="5592"/>
    <cellStyle name="B_BotLC_p&amp;l wkgs 2 3" xfId="26379"/>
    <cellStyle name="B_BotLC_p&amp;l wkgs 20" xfId="5593"/>
    <cellStyle name="B_BotLC_p&amp;l wkgs 20 2" xfId="5594"/>
    <cellStyle name="B_BotLC_p&amp;l wkgs 20 3" xfId="26380"/>
    <cellStyle name="B_BotLC_p&amp;l wkgs 21" xfId="5595"/>
    <cellStyle name="B_BotLC_p&amp;l wkgs 21 2" xfId="5596"/>
    <cellStyle name="B_BotLC_p&amp;l wkgs 21 3" xfId="26381"/>
    <cellStyle name="B_BotLC_p&amp;l wkgs 22" xfId="5597"/>
    <cellStyle name="B_BotLC_p&amp;l wkgs 22 2" xfId="5598"/>
    <cellStyle name="B_BotLC_p&amp;l wkgs 22 3" xfId="26382"/>
    <cellStyle name="B_BotLC_p&amp;l wkgs 23" xfId="5599"/>
    <cellStyle name="B_BotLC_p&amp;l wkgs 23 2" xfId="5600"/>
    <cellStyle name="B_BotLC_p&amp;l wkgs 23 3" xfId="26383"/>
    <cellStyle name="B_BotLC_p&amp;l wkgs 24" xfId="5601"/>
    <cellStyle name="B_BotLC_p&amp;l wkgs 25" xfId="26384"/>
    <cellStyle name="B_BotLC_p&amp;l wkgs 3" xfId="5602"/>
    <cellStyle name="B_BotLC_p&amp;l wkgs 3 2" xfId="5603"/>
    <cellStyle name="B_BotLC_p&amp;l wkgs 3 3" xfId="26385"/>
    <cellStyle name="B_BotLC_p&amp;l wkgs 4" xfId="5604"/>
    <cellStyle name="B_BotLC_p&amp;l wkgs 4 2" xfId="5605"/>
    <cellStyle name="B_BotLC_p&amp;l wkgs 4 3" xfId="26386"/>
    <cellStyle name="B_BotLC_p&amp;l wkgs 5" xfId="5606"/>
    <cellStyle name="B_BotLC_p&amp;l wkgs 5 2" xfId="5607"/>
    <cellStyle name="B_BotLC_p&amp;l wkgs 5 3" xfId="26387"/>
    <cellStyle name="B_BotLC_p&amp;l wkgs 6" xfId="5608"/>
    <cellStyle name="B_BotLC_p&amp;l wkgs 6 2" xfId="5609"/>
    <cellStyle name="B_BotLC_p&amp;l wkgs 6 3" xfId="26388"/>
    <cellStyle name="B_BotLC_p&amp;l wkgs 7" xfId="5610"/>
    <cellStyle name="B_BotLC_p&amp;l wkgs 7 2" xfId="5611"/>
    <cellStyle name="B_BotLC_p&amp;l wkgs 7 3" xfId="26389"/>
    <cellStyle name="B_BotLC_p&amp;l wkgs 8" xfId="5612"/>
    <cellStyle name="B_BotLC_p&amp;l wkgs 8 2" xfId="5613"/>
    <cellStyle name="B_BotLC_p&amp;l wkgs 8 3" xfId="26390"/>
    <cellStyle name="B_BotLC_p&amp;l wkgs 9" xfId="5614"/>
    <cellStyle name="B_BotLC_p&amp;l wkgs 9 2" xfId="5615"/>
    <cellStyle name="B_BotLC_p&amp;l wkgs 9 3" xfId="26391"/>
    <cellStyle name="B_BotLC_p&amp;l wkgs_PROD_DETAILS" xfId="5616"/>
    <cellStyle name="B_BotLC_p&amp;l wkgs_PROD_DETAILS 2" xfId="5617"/>
    <cellStyle name="B_BotLC_p&amp;l wkgs_PROD_DETAILS 3" xfId="26392"/>
    <cellStyle name="B_BotLC_p&amp;l wkgs_SOLVENCY POSITION " xfId="5618"/>
    <cellStyle name="B_BotLC_p&amp;l wkgs_SOLVENCY POSITION  2" xfId="5619"/>
    <cellStyle name="B_BotLC_p&amp;l wkgs_SOLVENCY POSITION  3" xfId="26393"/>
    <cellStyle name="B_BotLC_PROD_DETAILS" xfId="5620"/>
    <cellStyle name="B_BotLC_PROD_DETAILS 2" xfId="5621"/>
    <cellStyle name="B_BotLC_PROD_DETAILS 3" xfId="26394"/>
    <cellStyle name="B_BotLC_Prophet Roll" xfId="5622"/>
    <cellStyle name="B_BotLC_Prophet Roll 10" xfId="5623"/>
    <cellStyle name="B_BotLC_Prophet Roll 10 2" xfId="5624"/>
    <cellStyle name="B_BotLC_Prophet Roll 10 3" xfId="26395"/>
    <cellStyle name="B_BotLC_Prophet Roll 11" xfId="5625"/>
    <cellStyle name="B_BotLC_Prophet Roll 11 2" xfId="5626"/>
    <cellStyle name="B_BotLC_Prophet Roll 11 3" xfId="26396"/>
    <cellStyle name="B_BotLC_Prophet Roll 12" xfId="5627"/>
    <cellStyle name="B_BotLC_Prophet Roll 12 2" xfId="5628"/>
    <cellStyle name="B_BotLC_Prophet Roll 12 3" xfId="26397"/>
    <cellStyle name="B_BotLC_Prophet Roll 13" xfId="5629"/>
    <cellStyle name="B_BotLC_Prophet Roll 13 2" xfId="5630"/>
    <cellStyle name="B_BotLC_Prophet Roll 13 3" xfId="26398"/>
    <cellStyle name="B_BotLC_Prophet Roll 14" xfId="5631"/>
    <cellStyle name="B_BotLC_Prophet Roll 14 2" xfId="5632"/>
    <cellStyle name="B_BotLC_Prophet Roll 14 3" xfId="26399"/>
    <cellStyle name="B_BotLC_Prophet Roll 15" xfId="5633"/>
    <cellStyle name="B_BotLC_Prophet Roll 15 2" xfId="5634"/>
    <cellStyle name="B_BotLC_Prophet Roll 15 3" xfId="26400"/>
    <cellStyle name="B_BotLC_Prophet Roll 16" xfId="5635"/>
    <cellStyle name="B_BotLC_Prophet Roll 16 2" xfId="5636"/>
    <cellStyle name="B_BotLC_Prophet Roll 16 3" xfId="26401"/>
    <cellStyle name="B_BotLC_Prophet Roll 17" xfId="5637"/>
    <cellStyle name="B_BotLC_Prophet Roll 17 2" xfId="5638"/>
    <cellStyle name="B_BotLC_Prophet Roll 17 3" xfId="26402"/>
    <cellStyle name="B_BotLC_Prophet Roll 18" xfId="5639"/>
    <cellStyle name="B_BotLC_Prophet Roll 18 2" xfId="5640"/>
    <cellStyle name="B_BotLC_Prophet Roll 18 3" xfId="26403"/>
    <cellStyle name="B_BotLC_Prophet Roll 19" xfId="5641"/>
    <cellStyle name="B_BotLC_Prophet Roll 19 2" xfId="5642"/>
    <cellStyle name="B_BotLC_Prophet Roll 19 3" xfId="26404"/>
    <cellStyle name="B_BotLC_Prophet Roll 2" xfId="5643"/>
    <cellStyle name="B_BotLC_Prophet Roll 2 2" xfId="5644"/>
    <cellStyle name="B_BotLC_Prophet Roll 2 3" xfId="26405"/>
    <cellStyle name="B_BotLC_Prophet Roll 20" xfId="5645"/>
    <cellStyle name="B_BotLC_Prophet Roll 20 2" xfId="5646"/>
    <cellStyle name="B_BotLC_Prophet Roll 20 3" xfId="26406"/>
    <cellStyle name="B_BotLC_Prophet Roll 21" xfId="5647"/>
    <cellStyle name="B_BotLC_Prophet Roll 21 2" xfId="5648"/>
    <cellStyle name="B_BotLC_Prophet Roll 21 3" xfId="26407"/>
    <cellStyle name="B_BotLC_Prophet Roll 22" xfId="5649"/>
    <cellStyle name="B_BotLC_Prophet Roll 22 2" xfId="5650"/>
    <cellStyle name="B_BotLC_Prophet Roll 22 3" xfId="26408"/>
    <cellStyle name="B_BotLC_Prophet Roll 23" xfId="5651"/>
    <cellStyle name="B_BotLC_Prophet Roll 23 2" xfId="5652"/>
    <cellStyle name="B_BotLC_Prophet Roll 23 3" xfId="26409"/>
    <cellStyle name="B_BotLC_Prophet Roll 24" xfId="5653"/>
    <cellStyle name="B_BotLC_Prophet Roll 25" xfId="26410"/>
    <cellStyle name="B_BotLC_Prophet Roll 3" xfId="5654"/>
    <cellStyle name="B_BotLC_Prophet Roll 3 2" xfId="5655"/>
    <cellStyle name="B_BotLC_Prophet Roll 3 3" xfId="26411"/>
    <cellStyle name="B_BotLC_Prophet Roll 4" xfId="5656"/>
    <cellStyle name="B_BotLC_Prophet Roll 4 2" xfId="5657"/>
    <cellStyle name="B_BotLC_Prophet Roll 4 3" xfId="26412"/>
    <cellStyle name="B_BotLC_Prophet Roll 5" xfId="5658"/>
    <cellStyle name="B_BotLC_Prophet Roll 5 2" xfId="5659"/>
    <cellStyle name="B_BotLC_Prophet Roll 5 3" xfId="26413"/>
    <cellStyle name="B_BotLC_Prophet Roll 6" xfId="5660"/>
    <cellStyle name="B_BotLC_Prophet Roll 6 2" xfId="5661"/>
    <cellStyle name="B_BotLC_Prophet Roll 6 3" xfId="26414"/>
    <cellStyle name="B_BotLC_Prophet Roll 7" xfId="5662"/>
    <cellStyle name="B_BotLC_Prophet Roll 7 2" xfId="5663"/>
    <cellStyle name="B_BotLC_Prophet Roll 7 3" xfId="26415"/>
    <cellStyle name="B_BotLC_Prophet Roll 8" xfId="5664"/>
    <cellStyle name="B_BotLC_Prophet Roll 8 2" xfId="5665"/>
    <cellStyle name="B_BotLC_Prophet Roll 8 3" xfId="26416"/>
    <cellStyle name="B_BotLC_Prophet Roll 9" xfId="5666"/>
    <cellStyle name="B_BotLC_Prophet Roll 9 2" xfId="5667"/>
    <cellStyle name="B_BotLC_Prophet Roll 9 3" xfId="26417"/>
    <cellStyle name="B_BotLC_Prophet Roll_PROD_DETAILS" xfId="5668"/>
    <cellStyle name="B_BotLC_Prophet Roll_PROD_DETAILS 2" xfId="5669"/>
    <cellStyle name="B_BotLC_Prophet Roll_PROD_DETAILS 3" xfId="26418"/>
    <cellStyle name="B_BotLC_Prophet Roll_SOLVENCY POSITION " xfId="5670"/>
    <cellStyle name="B_BotLC_Prophet Roll_SOLVENCY POSITION  2" xfId="5671"/>
    <cellStyle name="B_BotLC_Prophet Roll_SOLVENCY POSITION  3" xfId="26419"/>
    <cellStyle name="B_BotLC_Prophet SalesProj Roll" xfId="5672"/>
    <cellStyle name="B_BotLC_Prophet SalesProj Roll 10" xfId="5673"/>
    <cellStyle name="B_BotLC_Prophet SalesProj Roll 10 2" xfId="5674"/>
    <cellStyle name="B_BotLC_Prophet SalesProj Roll 10 3" xfId="26420"/>
    <cellStyle name="B_BotLC_Prophet SalesProj Roll 11" xfId="5675"/>
    <cellStyle name="B_BotLC_Prophet SalesProj Roll 11 2" xfId="5676"/>
    <cellStyle name="B_BotLC_Prophet SalesProj Roll 11 3" xfId="26421"/>
    <cellStyle name="B_BotLC_Prophet SalesProj Roll 12" xfId="5677"/>
    <cellStyle name="B_BotLC_Prophet SalesProj Roll 12 2" xfId="5678"/>
    <cellStyle name="B_BotLC_Prophet SalesProj Roll 12 3" xfId="26422"/>
    <cellStyle name="B_BotLC_Prophet SalesProj Roll 13" xfId="5679"/>
    <cellStyle name="B_BotLC_Prophet SalesProj Roll 13 2" xfId="5680"/>
    <cellStyle name="B_BotLC_Prophet SalesProj Roll 13 3" xfId="26423"/>
    <cellStyle name="B_BotLC_Prophet SalesProj Roll 14" xfId="5681"/>
    <cellStyle name="B_BotLC_Prophet SalesProj Roll 14 2" xfId="5682"/>
    <cellStyle name="B_BotLC_Prophet SalesProj Roll 14 3" xfId="26424"/>
    <cellStyle name="B_BotLC_Prophet SalesProj Roll 15" xfId="5683"/>
    <cellStyle name="B_BotLC_Prophet SalesProj Roll 15 2" xfId="5684"/>
    <cellStyle name="B_BotLC_Prophet SalesProj Roll 15 3" xfId="26425"/>
    <cellStyle name="B_BotLC_Prophet SalesProj Roll 16" xfId="5685"/>
    <cellStyle name="B_BotLC_Prophet SalesProj Roll 16 2" xfId="5686"/>
    <cellStyle name="B_BotLC_Prophet SalesProj Roll 16 3" xfId="26426"/>
    <cellStyle name="B_BotLC_Prophet SalesProj Roll 17" xfId="5687"/>
    <cellStyle name="B_BotLC_Prophet SalesProj Roll 17 2" xfId="5688"/>
    <cellStyle name="B_BotLC_Prophet SalesProj Roll 17 3" xfId="26427"/>
    <cellStyle name="B_BotLC_Prophet SalesProj Roll 18" xfId="5689"/>
    <cellStyle name="B_BotLC_Prophet SalesProj Roll 18 2" xfId="5690"/>
    <cellStyle name="B_BotLC_Prophet SalesProj Roll 18 3" xfId="26428"/>
    <cellStyle name="B_BotLC_Prophet SalesProj Roll 19" xfId="5691"/>
    <cellStyle name="B_BotLC_Prophet SalesProj Roll 19 2" xfId="5692"/>
    <cellStyle name="B_BotLC_Prophet SalesProj Roll 19 3" xfId="26429"/>
    <cellStyle name="B_BotLC_Prophet SalesProj Roll 2" xfId="5693"/>
    <cellStyle name="B_BotLC_Prophet SalesProj Roll 2 2" xfId="5694"/>
    <cellStyle name="B_BotLC_Prophet SalesProj Roll 2 3" xfId="26430"/>
    <cellStyle name="B_BotLC_Prophet SalesProj Roll 20" xfId="5695"/>
    <cellStyle name="B_BotLC_Prophet SalesProj Roll 20 2" xfId="5696"/>
    <cellStyle name="B_BotLC_Prophet SalesProj Roll 20 3" xfId="26431"/>
    <cellStyle name="B_BotLC_Prophet SalesProj Roll 21" xfId="5697"/>
    <cellStyle name="B_BotLC_Prophet SalesProj Roll 21 2" xfId="5698"/>
    <cellStyle name="B_BotLC_Prophet SalesProj Roll 21 3" xfId="26432"/>
    <cellStyle name="B_BotLC_Prophet SalesProj Roll 22" xfId="5699"/>
    <cellStyle name="B_BotLC_Prophet SalesProj Roll 22 2" xfId="5700"/>
    <cellStyle name="B_BotLC_Prophet SalesProj Roll 22 3" xfId="26433"/>
    <cellStyle name="B_BotLC_Prophet SalesProj Roll 23" xfId="5701"/>
    <cellStyle name="B_BotLC_Prophet SalesProj Roll 23 2" xfId="5702"/>
    <cellStyle name="B_BotLC_Prophet SalesProj Roll 23 3" xfId="26434"/>
    <cellStyle name="B_BotLC_Prophet SalesProj Roll 24" xfId="5703"/>
    <cellStyle name="B_BotLC_Prophet SalesProj Roll 25" xfId="26435"/>
    <cellStyle name="B_BotLC_Prophet SalesProj Roll 3" xfId="5704"/>
    <cellStyle name="B_BotLC_Prophet SalesProj Roll 3 2" xfId="5705"/>
    <cellStyle name="B_BotLC_Prophet SalesProj Roll 3 3" xfId="26436"/>
    <cellStyle name="B_BotLC_Prophet SalesProj Roll 4" xfId="5706"/>
    <cellStyle name="B_BotLC_Prophet SalesProj Roll 4 2" xfId="5707"/>
    <cellStyle name="B_BotLC_Prophet SalesProj Roll 4 3" xfId="26437"/>
    <cellStyle name="B_BotLC_Prophet SalesProj Roll 5" xfId="5708"/>
    <cellStyle name="B_BotLC_Prophet SalesProj Roll 5 2" xfId="5709"/>
    <cellStyle name="B_BotLC_Prophet SalesProj Roll 5 3" xfId="26438"/>
    <cellStyle name="B_BotLC_Prophet SalesProj Roll 6" xfId="5710"/>
    <cellStyle name="B_BotLC_Prophet SalesProj Roll 6 2" xfId="5711"/>
    <cellStyle name="B_BotLC_Prophet SalesProj Roll 6 3" xfId="26439"/>
    <cellStyle name="B_BotLC_Prophet SalesProj Roll 7" xfId="5712"/>
    <cellStyle name="B_BotLC_Prophet SalesProj Roll 7 2" xfId="5713"/>
    <cellStyle name="B_BotLC_Prophet SalesProj Roll 7 3" xfId="26440"/>
    <cellStyle name="B_BotLC_Prophet SalesProj Roll 8" xfId="5714"/>
    <cellStyle name="B_BotLC_Prophet SalesProj Roll 8 2" xfId="5715"/>
    <cellStyle name="B_BotLC_Prophet SalesProj Roll 8 3" xfId="26441"/>
    <cellStyle name="B_BotLC_Prophet SalesProj Roll 9" xfId="5716"/>
    <cellStyle name="B_BotLC_Prophet SalesProj Roll 9 2" xfId="5717"/>
    <cellStyle name="B_BotLC_Prophet SalesProj Roll 9 3" xfId="26442"/>
    <cellStyle name="B_BotLC_Prophet SalesProj Roll_PROD_DETAILS" xfId="5718"/>
    <cellStyle name="B_BotLC_Prophet SalesProj Roll_PROD_DETAILS 2" xfId="5719"/>
    <cellStyle name="B_BotLC_Prophet SalesProj Roll_PROD_DETAILS 3" xfId="26443"/>
    <cellStyle name="B_BotLC_Prophet SalesProj Roll_SOLVENCY POSITION " xfId="5720"/>
    <cellStyle name="B_BotLC_Prophet SalesProj Roll_SOLVENCY POSITION  2" xfId="5721"/>
    <cellStyle name="B_BotLC_Prophet SalesProj Roll_SOLVENCY POSITION  3" xfId="26444"/>
    <cellStyle name="B_BotLC_Prophet-EEV ReportingFinal301205-Apr06" xfId="5722"/>
    <cellStyle name="B_BotLC_Prophet-EEV ReportingFinal301205-Apr06 10" xfId="5723"/>
    <cellStyle name="B_BotLC_Prophet-EEV ReportingFinal301205-Apr06 10 2" xfId="5724"/>
    <cellStyle name="B_BotLC_Prophet-EEV ReportingFinal301205-Apr06 10 3" xfId="26445"/>
    <cellStyle name="B_BotLC_Prophet-EEV ReportingFinal301205-Apr06 11" xfId="5725"/>
    <cellStyle name="B_BotLC_Prophet-EEV ReportingFinal301205-Apr06 11 2" xfId="5726"/>
    <cellStyle name="B_BotLC_Prophet-EEV ReportingFinal301205-Apr06 11 3" xfId="26446"/>
    <cellStyle name="B_BotLC_Prophet-EEV ReportingFinal301205-Apr06 12" xfId="5727"/>
    <cellStyle name="B_BotLC_Prophet-EEV ReportingFinal301205-Apr06 12 2" xfId="5728"/>
    <cellStyle name="B_BotLC_Prophet-EEV ReportingFinal301205-Apr06 12 3" xfId="26447"/>
    <cellStyle name="B_BotLC_Prophet-EEV ReportingFinal301205-Apr06 13" xfId="5729"/>
    <cellStyle name="B_BotLC_Prophet-EEV ReportingFinal301205-Apr06 13 2" xfId="5730"/>
    <cellStyle name="B_BotLC_Prophet-EEV ReportingFinal301205-Apr06 13 3" xfId="26448"/>
    <cellStyle name="B_BotLC_Prophet-EEV ReportingFinal301205-Apr06 14" xfId="5731"/>
    <cellStyle name="B_BotLC_Prophet-EEV ReportingFinal301205-Apr06 14 2" xfId="5732"/>
    <cellStyle name="B_BotLC_Prophet-EEV ReportingFinal301205-Apr06 14 3" xfId="26449"/>
    <cellStyle name="B_BotLC_Prophet-EEV ReportingFinal301205-Apr06 15" xfId="5733"/>
    <cellStyle name="B_BotLC_Prophet-EEV ReportingFinal301205-Apr06 15 2" xfId="5734"/>
    <cellStyle name="B_BotLC_Prophet-EEV ReportingFinal301205-Apr06 15 3" xfId="26450"/>
    <cellStyle name="B_BotLC_Prophet-EEV ReportingFinal301205-Apr06 16" xfId="5735"/>
    <cellStyle name="B_BotLC_Prophet-EEV ReportingFinal301205-Apr06 16 2" xfId="5736"/>
    <cellStyle name="B_BotLC_Prophet-EEV ReportingFinal301205-Apr06 16 3" xfId="26451"/>
    <cellStyle name="B_BotLC_Prophet-EEV ReportingFinal301205-Apr06 17" xfId="5737"/>
    <cellStyle name="B_BotLC_Prophet-EEV ReportingFinal301205-Apr06 17 2" xfId="5738"/>
    <cellStyle name="B_BotLC_Prophet-EEV ReportingFinal301205-Apr06 17 3" xfId="26452"/>
    <cellStyle name="B_BotLC_Prophet-EEV ReportingFinal301205-Apr06 18" xfId="5739"/>
    <cellStyle name="B_BotLC_Prophet-EEV ReportingFinal301205-Apr06 18 2" xfId="5740"/>
    <cellStyle name="B_BotLC_Prophet-EEV ReportingFinal301205-Apr06 18 3" xfId="26453"/>
    <cellStyle name="B_BotLC_Prophet-EEV ReportingFinal301205-Apr06 19" xfId="5741"/>
    <cellStyle name="B_BotLC_Prophet-EEV ReportingFinal301205-Apr06 19 2" xfId="5742"/>
    <cellStyle name="B_BotLC_Prophet-EEV ReportingFinal301205-Apr06 19 3" xfId="26454"/>
    <cellStyle name="B_BotLC_Prophet-EEV ReportingFinal301205-Apr06 2" xfId="5743"/>
    <cellStyle name="B_BotLC_Prophet-EEV ReportingFinal301205-Apr06 2 2" xfId="5744"/>
    <cellStyle name="B_BotLC_Prophet-EEV ReportingFinal301205-Apr06 2 3" xfId="26455"/>
    <cellStyle name="B_BotLC_Prophet-EEV ReportingFinal301205-Apr06 20" xfId="5745"/>
    <cellStyle name="B_BotLC_Prophet-EEV ReportingFinal301205-Apr06 20 2" xfId="5746"/>
    <cellStyle name="B_BotLC_Prophet-EEV ReportingFinal301205-Apr06 20 3" xfId="26456"/>
    <cellStyle name="B_BotLC_Prophet-EEV ReportingFinal301205-Apr06 21" xfId="5747"/>
    <cellStyle name="B_BotLC_Prophet-EEV ReportingFinal301205-Apr06 21 2" xfId="5748"/>
    <cellStyle name="B_BotLC_Prophet-EEV ReportingFinal301205-Apr06 21 3" xfId="26457"/>
    <cellStyle name="B_BotLC_Prophet-EEV ReportingFinal301205-Apr06 22" xfId="5749"/>
    <cellStyle name="B_BotLC_Prophet-EEV ReportingFinal301205-Apr06 22 2" xfId="5750"/>
    <cellStyle name="B_BotLC_Prophet-EEV ReportingFinal301205-Apr06 22 3" xfId="26458"/>
    <cellStyle name="B_BotLC_Prophet-EEV ReportingFinal301205-Apr06 23" xfId="5751"/>
    <cellStyle name="B_BotLC_Prophet-EEV ReportingFinal301205-Apr06 23 2" xfId="5752"/>
    <cellStyle name="B_BotLC_Prophet-EEV ReportingFinal301205-Apr06 23 3" xfId="26459"/>
    <cellStyle name="B_BotLC_Prophet-EEV ReportingFinal301205-Apr06 24" xfId="5753"/>
    <cellStyle name="B_BotLC_Prophet-EEV ReportingFinal301205-Apr06 25" xfId="26460"/>
    <cellStyle name="B_BotLC_Prophet-EEV ReportingFinal301205-Apr06 3" xfId="5754"/>
    <cellStyle name="B_BotLC_Prophet-EEV ReportingFinal301205-Apr06 3 2" xfId="5755"/>
    <cellStyle name="B_BotLC_Prophet-EEV ReportingFinal301205-Apr06 3 3" xfId="26461"/>
    <cellStyle name="B_BotLC_Prophet-EEV ReportingFinal301205-Apr06 4" xfId="5756"/>
    <cellStyle name="B_BotLC_Prophet-EEV ReportingFinal301205-Apr06 4 2" xfId="5757"/>
    <cellStyle name="B_BotLC_Prophet-EEV ReportingFinal301205-Apr06 4 3" xfId="26462"/>
    <cellStyle name="B_BotLC_Prophet-EEV ReportingFinal301205-Apr06 5" xfId="5758"/>
    <cellStyle name="B_BotLC_Prophet-EEV ReportingFinal301205-Apr06 5 2" xfId="5759"/>
    <cellStyle name="B_BotLC_Prophet-EEV ReportingFinal301205-Apr06 5 3" xfId="26463"/>
    <cellStyle name="B_BotLC_Prophet-EEV ReportingFinal301205-Apr06 6" xfId="5760"/>
    <cellStyle name="B_BotLC_Prophet-EEV ReportingFinal301205-Apr06 6 2" xfId="5761"/>
    <cellStyle name="B_BotLC_Prophet-EEV ReportingFinal301205-Apr06 6 3" xfId="26464"/>
    <cellStyle name="B_BotLC_Prophet-EEV ReportingFinal301205-Apr06 7" xfId="5762"/>
    <cellStyle name="B_BotLC_Prophet-EEV ReportingFinal301205-Apr06 7 2" xfId="5763"/>
    <cellStyle name="B_BotLC_Prophet-EEV ReportingFinal301205-Apr06 7 3" xfId="26465"/>
    <cellStyle name="B_BotLC_Prophet-EEV ReportingFinal301205-Apr06 8" xfId="5764"/>
    <cellStyle name="B_BotLC_Prophet-EEV ReportingFinal301205-Apr06 8 2" xfId="5765"/>
    <cellStyle name="B_BotLC_Prophet-EEV ReportingFinal301205-Apr06 8 3" xfId="26466"/>
    <cellStyle name="B_BotLC_Prophet-EEV ReportingFinal301205-Apr06 9" xfId="5766"/>
    <cellStyle name="B_BotLC_Prophet-EEV ReportingFinal301205-Apr06 9 2" xfId="5767"/>
    <cellStyle name="B_BotLC_Prophet-EEV ReportingFinal301205-Apr06 9 3" xfId="26467"/>
    <cellStyle name="B_BotLC_Prophet-EEV ReportingFinal301205-Apr06_HK.EEV-May06 4+2 kkh" xfId="5768"/>
    <cellStyle name="B_BotLC_Prophet-EEV ReportingFinal301205-Apr06_HK.EEV-May06 4+2 kkh 10" xfId="5769"/>
    <cellStyle name="B_BotLC_Prophet-EEV ReportingFinal301205-Apr06_HK.EEV-May06 4+2 kkh 10 2" xfId="5770"/>
    <cellStyle name="B_BotLC_Prophet-EEV ReportingFinal301205-Apr06_HK.EEV-May06 4+2 kkh 10 3" xfId="26468"/>
    <cellStyle name="B_BotLC_Prophet-EEV ReportingFinal301205-Apr06_HK.EEV-May06 4+2 kkh 11" xfId="5771"/>
    <cellStyle name="B_BotLC_Prophet-EEV ReportingFinal301205-Apr06_HK.EEV-May06 4+2 kkh 11 2" xfId="5772"/>
    <cellStyle name="B_BotLC_Prophet-EEV ReportingFinal301205-Apr06_HK.EEV-May06 4+2 kkh 11 3" xfId="26469"/>
    <cellStyle name="B_BotLC_Prophet-EEV ReportingFinal301205-Apr06_HK.EEV-May06 4+2 kkh 12" xfId="5773"/>
    <cellStyle name="B_BotLC_Prophet-EEV ReportingFinal301205-Apr06_HK.EEV-May06 4+2 kkh 12 2" xfId="5774"/>
    <cellStyle name="B_BotLC_Prophet-EEV ReportingFinal301205-Apr06_HK.EEV-May06 4+2 kkh 12 3" xfId="26470"/>
    <cellStyle name="B_BotLC_Prophet-EEV ReportingFinal301205-Apr06_HK.EEV-May06 4+2 kkh 13" xfId="5775"/>
    <cellStyle name="B_BotLC_Prophet-EEV ReportingFinal301205-Apr06_HK.EEV-May06 4+2 kkh 13 2" xfId="5776"/>
    <cellStyle name="B_BotLC_Prophet-EEV ReportingFinal301205-Apr06_HK.EEV-May06 4+2 kkh 13 3" xfId="26471"/>
    <cellStyle name="B_BotLC_Prophet-EEV ReportingFinal301205-Apr06_HK.EEV-May06 4+2 kkh 14" xfId="5777"/>
    <cellStyle name="B_BotLC_Prophet-EEV ReportingFinal301205-Apr06_HK.EEV-May06 4+2 kkh 14 2" xfId="5778"/>
    <cellStyle name="B_BotLC_Prophet-EEV ReportingFinal301205-Apr06_HK.EEV-May06 4+2 kkh 14 3" xfId="26472"/>
    <cellStyle name="B_BotLC_Prophet-EEV ReportingFinal301205-Apr06_HK.EEV-May06 4+2 kkh 15" xfId="5779"/>
    <cellStyle name="B_BotLC_Prophet-EEV ReportingFinal301205-Apr06_HK.EEV-May06 4+2 kkh 15 2" xfId="5780"/>
    <cellStyle name="B_BotLC_Prophet-EEV ReportingFinal301205-Apr06_HK.EEV-May06 4+2 kkh 15 3" xfId="26473"/>
    <cellStyle name="B_BotLC_Prophet-EEV ReportingFinal301205-Apr06_HK.EEV-May06 4+2 kkh 16" xfId="5781"/>
    <cellStyle name="B_BotLC_Prophet-EEV ReportingFinal301205-Apr06_HK.EEV-May06 4+2 kkh 16 2" xfId="5782"/>
    <cellStyle name="B_BotLC_Prophet-EEV ReportingFinal301205-Apr06_HK.EEV-May06 4+2 kkh 16 3" xfId="26474"/>
    <cellStyle name="B_BotLC_Prophet-EEV ReportingFinal301205-Apr06_HK.EEV-May06 4+2 kkh 17" xfId="5783"/>
    <cellStyle name="B_BotLC_Prophet-EEV ReportingFinal301205-Apr06_HK.EEV-May06 4+2 kkh 17 2" xfId="5784"/>
    <cellStyle name="B_BotLC_Prophet-EEV ReportingFinal301205-Apr06_HK.EEV-May06 4+2 kkh 17 3" xfId="26475"/>
    <cellStyle name="B_BotLC_Prophet-EEV ReportingFinal301205-Apr06_HK.EEV-May06 4+2 kkh 18" xfId="5785"/>
    <cellStyle name="B_BotLC_Prophet-EEV ReportingFinal301205-Apr06_HK.EEV-May06 4+2 kkh 18 2" xfId="5786"/>
    <cellStyle name="B_BotLC_Prophet-EEV ReportingFinal301205-Apr06_HK.EEV-May06 4+2 kkh 18 3" xfId="26476"/>
    <cellStyle name="B_BotLC_Prophet-EEV ReportingFinal301205-Apr06_HK.EEV-May06 4+2 kkh 19" xfId="5787"/>
    <cellStyle name="B_BotLC_Prophet-EEV ReportingFinal301205-Apr06_HK.EEV-May06 4+2 kkh 19 2" xfId="5788"/>
    <cellStyle name="B_BotLC_Prophet-EEV ReportingFinal301205-Apr06_HK.EEV-May06 4+2 kkh 19 3" xfId="26477"/>
    <cellStyle name="B_BotLC_Prophet-EEV ReportingFinal301205-Apr06_HK.EEV-May06 4+2 kkh 2" xfId="5789"/>
    <cellStyle name="B_BotLC_Prophet-EEV ReportingFinal301205-Apr06_HK.EEV-May06 4+2 kkh 2 2" xfId="5790"/>
    <cellStyle name="B_BotLC_Prophet-EEV ReportingFinal301205-Apr06_HK.EEV-May06 4+2 kkh 2 3" xfId="26478"/>
    <cellStyle name="B_BotLC_Prophet-EEV ReportingFinal301205-Apr06_HK.EEV-May06 4+2 kkh 20" xfId="5791"/>
    <cellStyle name="B_BotLC_Prophet-EEV ReportingFinal301205-Apr06_HK.EEV-May06 4+2 kkh 20 2" xfId="5792"/>
    <cellStyle name="B_BotLC_Prophet-EEV ReportingFinal301205-Apr06_HK.EEV-May06 4+2 kkh 20 3" xfId="26479"/>
    <cellStyle name="B_BotLC_Prophet-EEV ReportingFinal301205-Apr06_HK.EEV-May06 4+2 kkh 21" xfId="5793"/>
    <cellStyle name="B_BotLC_Prophet-EEV ReportingFinal301205-Apr06_HK.EEV-May06 4+2 kkh 21 2" xfId="5794"/>
    <cellStyle name="B_BotLC_Prophet-EEV ReportingFinal301205-Apr06_HK.EEV-May06 4+2 kkh 21 3" xfId="26480"/>
    <cellStyle name="B_BotLC_Prophet-EEV ReportingFinal301205-Apr06_HK.EEV-May06 4+2 kkh 22" xfId="5795"/>
    <cellStyle name="B_BotLC_Prophet-EEV ReportingFinal301205-Apr06_HK.EEV-May06 4+2 kkh 22 2" xfId="5796"/>
    <cellStyle name="B_BotLC_Prophet-EEV ReportingFinal301205-Apr06_HK.EEV-May06 4+2 kkh 22 3" xfId="26481"/>
    <cellStyle name="B_BotLC_Prophet-EEV ReportingFinal301205-Apr06_HK.EEV-May06 4+2 kkh 23" xfId="5797"/>
    <cellStyle name="B_BotLC_Prophet-EEV ReportingFinal301205-Apr06_HK.EEV-May06 4+2 kkh 23 2" xfId="5798"/>
    <cellStyle name="B_BotLC_Prophet-EEV ReportingFinal301205-Apr06_HK.EEV-May06 4+2 kkh 23 3" xfId="26482"/>
    <cellStyle name="B_BotLC_Prophet-EEV ReportingFinal301205-Apr06_HK.EEV-May06 4+2 kkh 24" xfId="5799"/>
    <cellStyle name="B_BotLC_Prophet-EEV ReportingFinal301205-Apr06_HK.EEV-May06 4+2 kkh 25" xfId="26483"/>
    <cellStyle name="B_BotLC_Prophet-EEV ReportingFinal301205-Apr06_HK.EEV-May06 4+2 kkh 3" xfId="5800"/>
    <cellStyle name="B_BotLC_Prophet-EEV ReportingFinal301205-Apr06_HK.EEV-May06 4+2 kkh 3 2" xfId="5801"/>
    <cellStyle name="B_BotLC_Prophet-EEV ReportingFinal301205-Apr06_HK.EEV-May06 4+2 kkh 3 3" xfId="26484"/>
    <cellStyle name="B_BotLC_Prophet-EEV ReportingFinal301205-Apr06_HK.EEV-May06 4+2 kkh 4" xfId="5802"/>
    <cellStyle name="B_BotLC_Prophet-EEV ReportingFinal301205-Apr06_HK.EEV-May06 4+2 kkh 4 2" xfId="5803"/>
    <cellStyle name="B_BotLC_Prophet-EEV ReportingFinal301205-Apr06_HK.EEV-May06 4+2 kkh 4 3" xfId="26485"/>
    <cellStyle name="B_BotLC_Prophet-EEV ReportingFinal301205-Apr06_HK.EEV-May06 4+2 kkh 5" xfId="5804"/>
    <cellStyle name="B_BotLC_Prophet-EEV ReportingFinal301205-Apr06_HK.EEV-May06 4+2 kkh 5 2" xfId="5805"/>
    <cellStyle name="B_BotLC_Prophet-EEV ReportingFinal301205-Apr06_HK.EEV-May06 4+2 kkh 5 3" xfId="26486"/>
    <cellStyle name="B_BotLC_Prophet-EEV ReportingFinal301205-Apr06_HK.EEV-May06 4+2 kkh 6" xfId="5806"/>
    <cellStyle name="B_BotLC_Prophet-EEV ReportingFinal301205-Apr06_HK.EEV-May06 4+2 kkh 6 2" xfId="5807"/>
    <cellStyle name="B_BotLC_Prophet-EEV ReportingFinal301205-Apr06_HK.EEV-May06 4+2 kkh 6 3" xfId="26487"/>
    <cellStyle name="B_BotLC_Prophet-EEV ReportingFinal301205-Apr06_HK.EEV-May06 4+2 kkh 7" xfId="5808"/>
    <cellStyle name="B_BotLC_Prophet-EEV ReportingFinal301205-Apr06_HK.EEV-May06 4+2 kkh 7 2" xfId="5809"/>
    <cellStyle name="B_BotLC_Prophet-EEV ReportingFinal301205-Apr06_HK.EEV-May06 4+2 kkh 7 3" xfId="26488"/>
    <cellStyle name="B_BotLC_Prophet-EEV ReportingFinal301205-Apr06_HK.EEV-May06 4+2 kkh 8" xfId="5810"/>
    <cellStyle name="B_BotLC_Prophet-EEV ReportingFinal301205-Apr06_HK.EEV-May06 4+2 kkh 8 2" xfId="5811"/>
    <cellStyle name="B_BotLC_Prophet-EEV ReportingFinal301205-Apr06_HK.EEV-May06 4+2 kkh 8 3" xfId="26489"/>
    <cellStyle name="B_BotLC_Prophet-EEV ReportingFinal301205-Apr06_HK.EEV-May06 4+2 kkh 9" xfId="5812"/>
    <cellStyle name="B_BotLC_Prophet-EEV ReportingFinal301205-Apr06_HK.EEV-May06 4+2 kkh 9 2" xfId="5813"/>
    <cellStyle name="B_BotLC_Prophet-EEV ReportingFinal301205-Apr06_HK.EEV-May06 4+2 kkh 9 3" xfId="26490"/>
    <cellStyle name="B_BotLC_Prophet-EEV ReportingFinal301205-Apr06_HK.EEV-May06 4+2 kkh_PROD_DETAILS" xfId="5814"/>
    <cellStyle name="B_BotLC_Prophet-EEV ReportingFinal301205-Apr06_HK.EEV-May06 4+2 kkh_PROD_DETAILS 2" xfId="5815"/>
    <cellStyle name="B_BotLC_Prophet-EEV ReportingFinal301205-Apr06_HK.EEV-May06 4+2 kkh_PROD_DETAILS 3" xfId="26491"/>
    <cellStyle name="B_BotLC_Prophet-EEV ReportingFinal301205-Apr06_HK.EEV-May06 4+2 kkh_SOLVENCY POSITION " xfId="5816"/>
    <cellStyle name="B_BotLC_Prophet-EEV ReportingFinal301205-Apr06_HK.EEV-May06 4+2 kkh_SOLVENCY POSITION  2" xfId="5817"/>
    <cellStyle name="B_BotLC_Prophet-EEV ReportingFinal301205-Apr06_HK.EEV-May06 4+2 kkh_SOLVENCY POSITION  3" xfId="26492"/>
    <cellStyle name="B_BotLC_Prophet-EEV ReportingFinal301205-Apr06_PROD_DETAILS" xfId="5818"/>
    <cellStyle name="B_BotLC_Prophet-EEV ReportingFinal301205-Apr06_PROD_DETAILS 2" xfId="5819"/>
    <cellStyle name="B_BotLC_Prophet-EEV ReportingFinal301205-Apr06_PROD_DETAILS 3" xfId="26493"/>
    <cellStyle name="B_BotLC_Prophet-EEV ReportingFinal301205-Apr06_SOLVENCY POSITION " xfId="5820"/>
    <cellStyle name="B_BotLC_Prophet-EEV ReportingFinal301205-Apr06_SOLVENCY POSITION  2" xfId="5821"/>
    <cellStyle name="B_BotLC_Prophet-EEV ReportingFinal301205-Apr06_SOLVENCY POSITION  3" xfId="26494"/>
    <cellStyle name="B_BotLC_SG.EEV-Apr06" xfId="5822"/>
    <cellStyle name="B_BotLC_SG.EEV-Apr06 10" xfId="5823"/>
    <cellStyle name="B_BotLC_SG.EEV-Apr06 10 2" xfId="5824"/>
    <cellStyle name="B_BotLC_SG.EEV-Apr06 10 3" xfId="26495"/>
    <cellStyle name="B_BotLC_SG.EEV-Apr06 11" xfId="5825"/>
    <cellStyle name="B_BotLC_SG.EEV-Apr06 11 2" xfId="5826"/>
    <cellStyle name="B_BotLC_SG.EEV-Apr06 11 3" xfId="26496"/>
    <cellStyle name="B_BotLC_SG.EEV-Apr06 12" xfId="5827"/>
    <cellStyle name="B_BotLC_SG.EEV-Apr06 12 2" xfId="5828"/>
    <cellStyle name="B_BotLC_SG.EEV-Apr06 12 3" xfId="26497"/>
    <cellStyle name="B_BotLC_SG.EEV-Apr06 13" xfId="5829"/>
    <cellStyle name="B_BotLC_SG.EEV-Apr06 13 2" xfId="5830"/>
    <cellStyle name="B_BotLC_SG.EEV-Apr06 13 3" xfId="26498"/>
    <cellStyle name="B_BotLC_SG.EEV-Apr06 14" xfId="5831"/>
    <cellStyle name="B_BotLC_SG.EEV-Apr06 14 2" xfId="5832"/>
    <cellStyle name="B_BotLC_SG.EEV-Apr06 14 3" xfId="26499"/>
    <cellStyle name="B_BotLC_SG.EEV-Apr06 15" xfId="5833"/>
    <cellStyle name="B_BotLC_SG.EEV-Apr06 15 2" xfId="5834"/>
    <cellStyle name="B_BotLC_SG.EEV-Apr06 15 3" xfId="26500"/>
    <cellStyle name="B_BotLC_SG.EEV-Apr06 16" xfId="5835"/>
    <cellStyle name="B_BotLC_SG.EEV-Apr06 16 2" xfId="5836"/>
    <cellStyle name="B_BotLC_SG.EEV-Apr06 16 3" xfId="26501"/>
    <cellStyle name="B_BotLC_SG.EEV-Apr06 17" xfId="5837"/>
    <cellStyle name="B_BotLC_SG.EEV-Apr06 17 2" xfId="5838"/>
    <cellStyle name="B_BotLC_SG.EEV-Apr06 17 3" xfId="26502"/>
    <cellStyle name="B_BotLC_SG.EEV-Apr06 18" xfId="5839"/>
    <cellStyle name="B_BotLC_SG.EEV-Apr06 18 2" xfId="5840"/>
    <cellStyle name="B_BotLC_SG.EEV-Apr06 18 3" xfId="26503"/>
    <cellStyle name="B_BotLC_SG.EEV-Apr06 19" xfId="5841"/>
    <cellStyle name="B_BotLC_SG.EEV-Apr06 19 2" xfId="5842"/>
    <cellStyle name="B_BotLC_SG.EEV-Apr06 19 3" xfId="26504"/>
    <cellStyle name="B_BotLC_SG.EEV-Apr06 2" xfId="5843"/>
    <cellStyle name="B_BotLC_SG.EEV-Apr06 2 2" xfId="5844"/>
    <cellStyle name="B_BotLC_SG.EEV-Apr06 2 3" xfId="26505"/>
    <cellStyle name="B_BotLC_SG.EEV-Apr06 20" xfId="5845"/>
    <cellStyle name="B_BotLC_SG.EEV-Apr06 20 2" xfId="5846"/>
    <cellStyle name="B_BotLC_SG.EEV-Apr06 20 3" xfId="26506"/>
    <cellStyle name="B_BotLC_SG.EEV-Apr06 21" xfId="5847"/>
    <cellStyle name="B_BotLC_SG.EEV-Apr06 21 2" xfId="5848"/>
    <cellStyle name="B_BotLC_SG.EEV-Apr06 21 3" xfId="26507"/>
    <cellStyle name="B_BotLC_SG.EEV-Apr06 22" xfId="5849"/>
    <cellStyle name="B_BotLC_SG.EEV-Apr06 22 2" xfId="5850"/>
    <cellStyle name="B_BotLC_SG.EEV-Apr06 22 3" xfId="26508"/>
    <cellStyle name="B_BotLC_SG.EEV-Apr06 23" xfId="5851"/>
    <cellStyle name="B_BotLC_SG.EEV-Apr06 23 2" xfId="5852"/>
    <cellStyle name="B_BotLC_SG.EEV-Apr06 23 3" xfId="26509"/>
    <cellStyle name="B_BotLC_SG.EEV-Apr06 24" xfId="5853"/>
    <cellStyle name="B_BotLC_SG.EEV-Apr06 25" xfId="26510"/>
    <cellStyle name="B_BotLC_SG.EEV-Apr06 3" xfId="5854"/>
    <cellStyle name="B_BotLC_SG.EEV-Apr06 3 2" xfId="5855"/>
    <cellStyle name="B_BotLC_SG.EEV-Apr06 3 3" xfId="26511"/>
    <cellStyle name="B_BotLC_SG.EEV-Apr06 4" xfId="5856"/>
    <cellStyle name="B_BotLC_SG.EEV-Apr06 4 2" xfId="5857"/>
    <cellStyle name="B_BotLC_SG.EEV-Apr06 4 3" xfId="26512"/>
    <cellStyle name="B_BotLC_SG.EEV-Apr06 5" xfId="5858"/>
    <cellStyle name="B_BotLC_SG.EEV-Apr06 5 2" xfId="5859"/>
    <cellStyle name="B_BotLC_SG.EEV-Apr06 5 3" xfId="26513"/>
    <cellStyle name="B_BotLC_SG.EEV-Apr06 6" xfId="5860"/>
    <cellStyle name="B_BotLC_SG.EEV-Apr06 6 2" xfId="5861"/>
    <cellStyle name="B_BotLC_SG.EEV-Apr06 6 3" xfId="26514"/>
    <cellStyle name="B_BotLC_SG.EEV-Apr06 7" xfId="5862"/>
    <cellStyle name="B_BotLC_SG.EEV-Apr06 7 2" xfId="5863"/>
    <cellStyle name="B_BotLC_SG.EEV-Apr06 7 3" xfId="26515"/>
    <cellStyle name="B_BotLC_SG.EEV-Apr06 8" xfId="5864"/>
    <cellStyle name="B_BotLC_SG.EEV-Apr06 8 2" xfId="5865"/>
    <cellStyle name="B_BotLC_SG.EEV-Apr06 8 3" xfId="26516"/>
    <cellStyle name="B_BotLC_SG.EEV-Apr06 9" xfId="5866"/>
    <cellStyle name="B_BotLC_SG.EEV-Apr06 9 2" xfId="5867"/>
    <cellStyle name="B_BotLC_SG.EEV-Apr06 9 3" xfId="26517"/>
    <cellStyle name="B_BotLC_SG.EEV-Apr06_HK.EEV-May06 4+2 kkh" xfId="5868"/>
    <cellStyle name="B_BotLC_SG.EEV-Apr06_HK.EEV-May06 4+2 kkh 10" xfId="5869"/>
    <cellStyle name="B_BotLC_SG.EEV-Apr06_HK.EEV-May06 4+2 kkh 10 2" xfId="5870"/>
    <cellStyle name="B_BotLC_SG.EEV-Apr06_HK.EEV-May06 4+2 kkh 10 3" xfId="26518"/>
    <cellStyle name="B_BotLC_SG.EEV-Apr06_HK.EEV-May06 4+2 kkh 11" xfId="5871"/>
    <cellStyle name="B_BotLC_SG.EEV-Apr06_HK.EEV-May06 4+2 kkh 11 2" xfId="5872"/>
    <cellStyle name="B_BotLC_SG.EEV-Apr06_HK.EEV-May06 4+2 kkh 11 3" xfId="26519"/>
    <cellStyle name="B_BotLC_SG.EEV-Apr06_HK.EEV-May06 4+2 kkh 12" xfId="5873"/>
    <cellStyle name="B_BotLC_SG.EEV-Apr06_HK.EEV-May06 4+2 kkh 12 2" xfId="5874"/>
    <cellStyle name="B_BotLC_SG.EEV-Apr06_HK.EEV-May06 4+2 kkh 12 3" xfId="26520"/>
    <cellStyle name="B_BotLC_SG.EEV-Apr06_HK.EEV-May06 4+2 kkh 13" xfId="5875"/>
    <cellStyle name="B_BotLC_SG.EEV-Apr06_HK.EEV-May06 4+2 kkh 13 2" xfId="5876"/>
    <cellStyle name="B_BotLC_SG.EEV-Apr06_HK.EEV-May06 4+2 kkh 13 3" xfId="26521"/>
    <cellStyle name="B_BotLC_SG.EEV-Apr06_HK.EEV-May06 4+2 kkh 14" xfId="5877"/>
    <cellStyle name="B_BotLC_SG.EEV-Apr06_HK.EEV-May06 4+2 kkh 14 2" xfId="5878"/>
    <cellStyle name="B_BotLC_SG.EEV-Apr06_HK.EEV-May06 4+2 kkh 14 3" xfId="26522"/>
    <cellStyle name="B_BotLC_SG.EEV-Apr06_HK.EEV-May06 4+2 kkh 15" xfId="5879"/>
    <cellStyle name="B_BotLC_SG.EEV-Apr06_HK.EEV-May06 4+2 kkh 15 2" xfId="5880"/>
    <cellStyle name="B_BotLC_SG.EEV-Apr06_HK.EEV-May06 4+2 kkh 15 3" xfId="26523"/>
    <cellStyle name="B_BotLC_SG.EEV-Apr06_HK.EEV-May06 4+2 kkh 16" xfId="5881"/>
    <cellStyle name="B_BotLC_SG.EEV-Apr06_HK.EEV-May06 4+2 kkh 16 2" xfId="5882"/>
    <cellStyle name="B_BotLC_SG.EEV-Apr06_HK.EEV-May06 4+2 kkh 16 3" xfId="26524"/>
    <cellStyle name="B_BotLC_SG.EEV-Apr06_HK.EEV-May06 4+2 kkh 17" xfId="5883"/>
    <cellStyle name="B_BotLC_SG.EEV-Apr06_HK.EEV-May06 4+2 kkh 17 2" xfId="5884"/>
    <cellStyle name="B_BotLC_SG.EEV-Apr06_HK.EEV-May06 4+2 kkh 17 3" xfId="26525"/>
    <cellStyle name="B_BotLC_SG.EEV-Apr06_HK.EEV-May06 4+2 kkh 18" xfId="5885"/>
    <cellStyle name="B_BotLC_SG.EEV-Apr06_HK.EEV-May06 4+2 kkh 18 2" xfId="5886"/>
    <cellStyle name="B_BotLC_SG.EEV-Apr06_HK.EEV-May06 4+2 kkh 18 3" xfId="26526"/>
    <cellStyle name="B_BotLC_SG.EEV-Apr06_HK.EEV-May06 4+2 kkh 19" xfId="5887"/>
    <cellStyle name="B_BotLC_SG.EEV-Apr06_HK.EEV-May06 4+2 kkh 19 2" xfId="5888"/>
    <cellStyle name="B_BotLC_SG.EEV-Apr06_HK.EEV-May06 4+2 kkh 19 3" xfId="26527"/>
    <cellStyle name="B_BotLC_SG.EEV-Apr06_HK.EEV-May06 4+2 kkh 2" xfId="5889"/>
    <cellStyle name="B_BotLC_SG.EEV-Apr06_HK.EEV-May06 4+2 kkh 2 2" xfId="5890"/>
    <cellStyle name="B_BotLC_SG.EEV-Apr06_HK.EEV-May06 4+2 kkh 2 3" xfId="26528"/>
    <cellStyle name="B_BotLC_SG.EEV-Apr06_HK.EEV-May06 4+2 kkh 20" xfId="5891"/>
    <cellStyle name="B_BotLC_SG.EEV-Apr06_HK.EEV-May06 4+2 kkh 20 2" xfId="5892"/>
    <cellStyle name="B_BotLC_SG.EEV-Apr06_HK.EEV-May06 4+2 kkh 20 3" xfId="26529"/>
    <cellStyle name="B_BotLC_SG.EEV-Apr06_HK.EEV-May06 4+2 kkh 21" xfId="5893"/>
    <cellStyle name="B_BotLC_SG.EEV-Apr06_HK.EEV-May06 4+2 kkh 21 2" xfId="5894"/>
    <cellStyle name="B_BotLC_SG.EEV-Apr06_HK.EEV-May06 4+2 kkh 21 3" xfId="26530"/>
    <cellStyle name="B_BotLC_SG.EEV-Apr06_HK.EEV-May06 4+2 kkh 22" xfId="5895"/>
    <cellStyle name="B_BotLC_SG.EEV-Apr06_HK.EEV-May06 4+2 kkh 22 2" xfId="5896"/>
    <cellStyle name="B_BotLC_SG.EEV-Apr06_HK.EEV-May06 4+2 kkh 22 3" xfId="26531"/>
    <cellStyle name="B_BotLC_SG.EEV-Apr06_HK.EEV-May06 4+2 kkh 23" xfId="5897"/>
    <cellStyle name="B_BotLC_SG.EEV-Apr06_HK.EEV-May06 4+2 kkh 23 2" xfId="5898"/>
    <cellStyle name="B_BotLC_SG.EEV-Apr06_HK.EEV-May06 4+2 kkh 23 3" xfId="26532"/>
    <cellStyle name="B_BotLC_SG.EEV-Apr06_HK.EEV-May06 4+2 kkh 24" xfId="5899"/>
    <cellStyle name="B_BotLC_SG.EEV-Apr06_HK.EEV-May06 4+2 kkh 25" xfId="26533"/>
    <cellStyle name="B_BotLC_SG.EEV-Apr06_HK.EEV-May06 4+2 kkh 3" xfId="5900"/>
    <cellStyle name="B_BotLC_SG.EEV-Apr06_HK.EEV-May06 4+2 kkh 3 2" xfId="5901"/>
    <cellStyle name="B_BotLC_SG.EEV-Apr06_HK.EEV-May06 4+2 kkh 3 3" xfId="26534"/>
    <cellStyle name="B_BotLC_SG.EEV-Apr06_HK.EEV-May06 4+2 kkh 4" xfId="5902"/>
    <cellStyle name="B_BotLC_SG.EEV-Apr06_HK.EEV-May06 4+2 kkh 4 2" xfId="5903"/>
    <cellStyle name="B_BotLC_SG.EEV-Apr06_HK.EEV-May06 4+2 kkh 4 3" xfId="26535"/>
    <cellStyle name="B_BotLC_SG.EEV-Apr06_HK.EEV-May06 4+2 kkh 5" xfId="5904"/>
    <cellStyle name="B_BotLC_SG.EEV-Apr06_HK.EEV-May06 4+2 kkh 5 2" xfId="5905"/>
    <cellStyle name="B_BotLC_SG.EEV-Apr06_HK.EEV-May06 4+2 kkh 5 3" xfId="26536"/>
    <cellStyle name="B_BotLC_SG.EEV-Apr06_HK.EEV-May06 4+2 kkh 6" xfId="5906"/>
    <cellStyle name="B_BotLC_SG.EEV-Apr06_HK.EEV-May06 4+2 kkh 6 2" xfId="5907"/>
    <cellStyle name="B_BotLC_SG.EEV-Apr06_HK.EEV-May06 4+2 kkh 6 3" xfId="26537"/>
    <cellStyle name="B_BotLC_SG.EEV-Apr06_HK.EEV-May06 4+2 kkh 7" xfId="5908"/>
    <cellStyle name="B_BotLC_SG.EEV-Apr06_HK.EEV-May06 4+2 kkh 7 2" xfId="5909"/>
    <cellStyle name="B_BotLC_SG.EEV-Apr06_HK.EEV-May06 4+2 kkh 7 3" xfId="26538"/>
    <cellStyle name="B_BotLC_SG.EEV-Apr06_HK.EEV-May06 4+2 kkh 8" xfId="5910"/>
    <cellStyle name="B_BotLC_SG.EEV-Apr06_HK.EEV-May06 4+2 kkh 8 2" xfId="5911"/>
    <cellStyle name="B_BotLC_SG.EEV-Apr06_HK.EEV-May06 4+2 kkh 8 3" xfId="26539"/>
    <cellStyle name="B_BotLC_SG.EEV-Apr06_HK.EEV-May06 4+2 kkh 9" xfId="5912"/>
    <cellStyle name="B_BotLC_SG.EEV-Apr06_HK.EEV-May06 4+2 kkh 9 2" xfId="5913"/>
    <cellStyle name="B_BotLC_SG.EEV-Apr06_HK.EEV-May06 4+2 kkh 9 3" xfId="26540"/>
    <cellStyle name="B_BotLC_SG.EEV-Apr06_HK.EEV-May06 4+2 kkh_PROD_DETAILS" xfId="5914"/>
    <cellStyle name="B_BotLC_SG.EEV-Apr06_HK.EEV-May06 4+2 kkh_PROD_DETAILS 2" xfId="5915"/>
    <cellStyle name="B_BotLC_SG.EEV-Apr06_HK.EEV-May06 4+2 kkh_PROD_DETAILS 3" xfId="26541"/>
    <cellStyle name="B_BotLC_SG.EEV-Apr06_HK.EEV-May06 4+2 kkh_SOLVENCY POSITION " xfId="5916"/>
    <cellStyle name="B_BotLC_SG.EEV-Apr06_HK.EEV-May06 4+2 kkh_SOLVENCY POSITION  2" xfId="5917"/>
    <cellStyle name="B_BotLC_SG.EEV-Apr06_HK.EEV-May06 4+2 kkh_SOLVENCY POSITION  3" xfId="26542"/>
    <cellStyle name="B_BotLC_SG.EEV-Apr06_PROD_DETAILS" xfId="5918"/>
    <cellStyle name="B_BotLC_SG.EEV-Apr06_PROD_DETAILS 2" xfId="5919"/>
    <cellStyle name="B_BotLC_SG.EEV-Apr06_PROD_DETAILS 3" xfId="26543"/>
    <cellStyle name="B_BotLC_SG.EEV-Apr06_SOLVENCY POSITION " xfId="5920"/>
    <cellStyle name="B_BotLC_SG.EEV-Apr06_SOLVENCY POSITION  2" xfId="5921"/>
    <cellStyle name="B_BotLC_SG.EEV-Apr06_SOLVENCY POSITION  3" xfId="26544"/>
    <cellStyle name="B_BotLC_SG.EEV-June06 6+6" xfId="5922"/>
    <cellStyle name="B_BotLC_SG.EEV-June06 6+6 10" xfId="5923"/>
    <cellStyle name="B_BotLC_SG.EEV-June06 6+6 10 2" xfId="5924"/>
    <cellStyle name="B_BotLC_SG.EEV-June06 6+6 10 3" xfId="26545"/>
    <cellStyle name="B_BotLC_SG.EEV-June06 6+6 11" xfId="5925"/>
    <cellStyle name="B_BotLC_SG.EEV-June06 6+6 11 2" xfId="5926"/>
    <cellStyle name="B_BotLC_SG.EEV-June06 6+6 11 3" xfId="26546"/>
    <cellStyle name="B_BotLC_SG.EEV-June06 6+6 12" xfId="5927"/>
    <cellStyle name="B_BotLC_SG.EEV-June06 6+6 12 2" xfId="5928"/>
    <cellStyle name="B_BotLC_SG.EEV-June06 6+6 12 3" xfId="26547"/>
    <cellStyle name="B_BotLC_SG.EEV-June06 6+6 13" xfId="5929"/>
    <cellStyle name="B_BotLC_SG.EEV-June06 6+6 13 2" xfId="5930"/>
    <cellStyle name="B_BotLC_SG.EEV-June06 6+6 13 3" xfId="26548"/>
    <cellStyle name="B_BotLC_SG.EEV-June06 6+6 14" xfId="5931"/>
    <cellStyle name="B_BotLC_SG.EEV-June06 6+6 14 2" xfId="5932"/>
    <cellStyle name="B_BotLC_SG.EEV-June06 6+6 14 3" xfId="26549"/>
    <cellStyle name="B_BotLC_SG.EEV-June06 6+6 15" xfId="5933"/>
    <cellStyle name="B_BotLC_SG.EEV-June06 6+6 15 2" xfId="5934"/>
    <cellStyle name="B_BotLC_SG.EEV-June06 6+6 15 3" xfId="26550"/>
    <cellStyle name="B_BotLC_SG.EEV-June06 6+6 16" xfId="5935"/>
    <cellStyle name="B_BotLC_SG.EEV-June06 6+6 16 2" xfId="5936"/>
    <cellStyle name="B_BotLC_SG.EEV-June06 6+6 16 3" xfId="26551"/>
    <cellStyle name="B_BotLC_SG.EEV-June06 6+6 17" xfId="5937"/>
    <cellStyle name="B_BotLC_SG.EEV-June06 6+6 17 2" xfId="5938"/>
    <cellStyle name="B_BotLC_SG.EEV-June06 6+6 17 3" xfId="26552"/>
    <cellStyle name="B_BotLC_SG.EEV-June06 6+6 18" xfId="5939"/>
    <cellStyle name="B_BotLC_SG.EEV-June06 6+6 18 2" xfId="5940"/>
    <cellStyle name="B_BotLC_SG.EEV-June06 6+6 18 3" xfId="26553"/>
    <cellStyle name="B_BotLC_SG.EEV-June06 6+6 19" xfId="5941"/>
    <cellStyle name="B_BotLC_SG.EEV-June06 6+6 19 2" xfId="5942"/>
    <cellStyle name="B_BotLC_SG.EEV-June06 6+6 19 3" xfId="26554"/>
    <cellStyle name="B_BotLC_SG.EEV-June06 6+6 2" xfId="5943"/>
    <cellStyle name="B_BotLC_SG.EEV-June06 6+6 2 2" xfId="5944"/>
    <cellStyle name="B_BotLC_SG.EEV-June06 6+6 2 3" xfId="26555"/>
    <cellStyle name="B_BotLC_SG.EEV-June06 6+6 20" xfId="5945"/>
    <cellStyle name="B_BotLC_SG.EEV-June06 6+6 20 2" xfId="5946"/>
    <cellStyle name="B_BotLC_SG.EEV-June06 6+6 20 3" xfId="26556"/>
    <cellStyle name="B_BotLC_SG.EEV-June06 6+6 21" xfId="5947"/>
    <cellStyle name="B_BotLC_SG.EEV-June06 6+6 21 2" xfId="5948"/>
    <cellStyle name="B_BotLC_SG.EEV-June06 6+6 21 3" xfId="26557"/>
    <cellStyle name="B_BotLC_SG.EEV-June06 6+6 22" xfId="5949"/>
    <cellStyle name="B_BotLC_SG.EEV-June06 6+6 22 2" xfId="5950"/>
    <cellStyle name="B_BotLC_SG.EEV-June06 6+6 22 3" xfId="26558"/>
    <cellStyle name="B_BotLC_SG.EEV-June06 6+6 23" xfId="5951"/>
    <cellStyle name="B_BotLC_SG.EEV-June06 6+6 23 2" xfId="5952"/>
    <cellStyle name="B_BotLC_SG.EEV-June06 6+6 23 3" xfId="26559"/>
    <cellStyle name="B_BotLC_SG.EEV-June06 6+6 24" xfId="5953"/>
    <cellStyle name="B_BotLC_SG.EEV-June06 6+6 25" xfId="26560"/>
    <cellStyle name="B_BotLC_SG.EEV-June06 6+6 3" xfId="5954"/>
    <cellStyle name="B_BotLC_SG.EEV-June06 6+6 3 2" xfId="5955"/>
    <cellStyle name="B_BotLC_SG.EEV-June06 6+6 3 3" xfId="26561"/>
    <cellStyle name="B_BotLC_SG.EEV-June06 6+6 4" xfId="5956"/>
    <cellStyle name="B_BotLC_SG.EEV-June06 6+6 4 2" xfId="5957"/>
    <cellStyle name="B_BotLC_SG.EEV-June06 6+6 4 3" xfId="26562"/>
    <cellStyle name="B_BotLC_SG.EEV-June06 6+6 5" xfId="5958"/>
    <cellStyle name="B_BotLC_SG.EEV-June06 6+6 5 2" xfId="5959"/>
    <cellStyle name="B_BotLC_SG.EEV-June06 6+6 5 3" xfId="26563"/>
    <cellStyle name="B_BotLC_SG.EEV-June06 6+6 6" xfId="5960"/>
    <cellStyle name="B_BotLC_SG.EEV-June06 6+6 6 2" xfId="5961"/>
    <cellStyle name="B_BotLC_SG.EEV-June06 6+6 6 3" xfId="26564"/>
    <cellStyle name="B_BotLC_SG.EEV-June06 6+6 7" xfId="5962"/>
    <cellStyle name="B_BotLC_SG.EEV-June06 6+6 7 2" xfId="5963"/>
    <cellStyle name="B_BotLC_SG.EEV-June06 6+6 7 3" xfId="26565"/>
    <cellStyle name="B_BotLC_SG.EEV-June06 6+6 8" xfId="5964"/>
    <cellStyle name="B_BotLC_SG.EEV-June06 6+6 8 2" xfId="5965"/>
    <cellStyle name="B_BotLC_SG.EEV-June06 6+6 8 3" xfId="26566"/>
    <cellStyle name="B_BotLC_SG.EEV-June06 6+6 9" xfId="5966"/>
    <cellStyle name="B_BotLC_SG.EEV-June06 6+6 9 2" xfId="5967"/>
    <cellStyle name="B_BotLC_SG.EEV-June06 6+6 9 3" xfId="26567"/>
    <cellStyle name="B_BotLC_SG.EEV-June06 6+6_PROD_DETAILS" xfId="5968"/>
    <cellStyle name="B_BotLC_SG.EEV-June06 6+6_PROD_DETAILS 2" xfId="5969"/>
    <cellStyle name="B_BotLC_SG.EEV-June06 6+6_PROD_DETAILS 3" xfId="26568"/>
    <cellStyle name="B_BotLC_SG.EEV-June06 6+6_SOLVENCY POSITION " xfId="5970"/>
    <cellStyle name="B_BotLC_SG.EEV-June06 6+6_SOLVENCY POSITION  2" xfId="5971"/>
    <cellStyle name="B_BotLC_SG.EEV-June06 6+6_SOLVENCY POSITION  3" xfId="26569"/>
    <cellStyle name="B_BotLC_SG.EEV-May06 4+2" xfId="5972"/>
    <cellStyle name="B_BotLC_SG.EEV-May06 4+2 10" xfId="5973"/>
    <cellStyle name="B_BotLC_SG.EEV-May06 4+2 10 2" xfId="5974"/>
    <cellStyle name="B_BotLC_SG.EEV-May06 4+2 10 3" xfId="26570"/>
    <cellStyle name="B_BotLC_SG.EEV-May06 4+2 11" xfId="5975"/>
    <cellStyle name="B_BotLC_SG.EEV-May06 4+2 11 2" xfId="5976"/>
    <cellStyle name="B_BotLC_SG.EEV-May06 4+2 11 3" xfId="26571"/>
    <cellStyle name="B_BotLC_SG.EEV-May06 4+2 12" xfId="5977"/>
    <cellStyle name="B_BotLC_SG.EEV-May06 4+2 12 2" xfId="5978"/>
    <cellStyle name="B_BotLC_SG.EEV-May06 4+2 12 3" xfId="26572"/>
    <cellStyle name="B_BotLC_SG.EEV-May06 4+2 13" xfId="5979"/>
    <cellStyle name="B_BotLC_SG.EEV-May06 4+2 13 2" xfId="5980"/>
    <cellStyle name="B_BotLC_SG.EEV-May06 4+2 13 3" xfId="26573"/>
    <cellStyle name="B_BotLC_SG.EEV-May06 4+2 14" xfId="5981"/>
    <cellStyle name="B_BotLC_SG.EEV-May06 4+2 14 2" xfId="5982"/>
    <cellStyle name="B_BotLC_SG.EEV-May06 4+2 14 3" xfId="26574"/>
    <cellStyle name="B_BotLC_SG.EEV-May06 4+2 15" xfId="5983"/>
    <cellStyle name="B_BotLC_SG.EEV-May06 4+2 15 2" xfId="5984"/>
    <cellStyle name="B_BotLC_SG.EEV-May06 4+2 15 3" xfId="26575"/>
    <cellStyle name="B_BotLC_SG.EEV-May06 4+2 16" xfId="5985"/>
    <cellStyle name="B_BotLC_SG.EEV-May06 4+2 16 2" xfId="5986"/>
    <cellStyle name="B_BotLC_SG.EEV-May06 4+2 16 3" xfId="26576"/>
    <cellStyle name="B_BotLC_SG.EEV-May06 4+2 17" xfId="5987"/>
    <cellStyle name="B_BotLC_SG.EEV-May06 4+2 17 2" xfId="5988"/>
    <cellStyle name="B_BotLC_SG.EEV-May06 4+2 17 3" xfId="26577"/>
    <cellStyle name="B_BotLC_SG.EEV-May06 4+2 18" xfId="5989"/>
    <cellStyle name="B_BotLC_SG.EEV-May06 4+2 18 2" xfId="5990"/>
    <cellStyle name="B_BotLC_SG.EEV-May06 4+2 18 3" xfId="26578"/>
    <cellStyle name="B_BotLC_SG.EEV-May06 4+2 19" xfId="5991"/>
    <cellStyle name="B_BotLC_SG.EEV-May06 4+2 19 2" xfId="5992"/>
    <cellStyle name="B_BotLC_SG.EEV-May06 4+2 19 3" xfId="26579"/>
    <cellStyle name="B_BotLC_SG.EEV-May06 4+2 2" xfId="5993"/>
    <cellStyle name="B_BotLC_SG.EEV-May06 4+2 2 2" xfId="5994"/>
    <cellStyle name="B_BotLC_SG.EEV-May06 4+2 2 3" xfId="26580"/>
    <cellStyle name="B_BotLC_SG.EEV-May06 4+2 20" xfId="5995"/>
    <cellStyle name="B_BotLC_SG.EEV-May06 4+2 20 2" xfId="5996"/>
    <cellStyle name="B_BotLC_SG.EEV-May06 4+2 20 3" xfId="26581"/>
    <cellStyle name="B_BotLC_SG.EEV-May06 4+2 21" xfId="5997"/>
    <cellStyle name="B_BotLC_SG.EEV-May06 4+2 21 2" xfId="5998"/>
    <cellStyle name="B_BotLC_SG.EEV-May06 4+2 21 3" xfId="26582"/>
    <cellStyle name="B_BotLC_SG.EEV-May06 4+2 22" xfId="5999"/>
    <cellStyle name="B_BotLC_SG.EEV-May06 4+2 22 2" xfId="6000"/>
    <cellStyle name="B_BotLC_SG.EEV-May06 4+2 22 3" xfId="26583"/>
    <cellStyle name="B_BotLC_SG.EEV-May06 4+2 23" xfId="6001"/>
    <cellStyle name="B_BotLC_SG.EEV-May06 4+2 23 2" xfId="6002"/>
    <cellStyle name="B_BotLC_SG.EEV-May06 4+2 23 3" xfId="26584"/>
    <cellStyle name="B_BotLC_SG.EEV-May06 4+2 24" xfId="6003"/>
    <cellStyle name="B_BotLC_SG.EEV-May06 4+2 25" xfId="26585"/>
    <cellStyle name="B_BotLC_SG.EEV-May06 4+2 3" xfId="6004"/>
    <cellStyle name="B_BotLC_SG.EEV-May06 4+2 3 2" xfId="6005"/>
    <cellStyle name="B_BotLC_SG.EEV-May06 4+2 3 3" xfId="26586"/>
    <cellStyle name="B_BotLC_SG.EEV-May06 4+2 4" xfId="6006"/>
    <cellStyle name="B_BotLC_SG.EEV-May06 4+2 4 2" xfId="6007"/>
    <cellStyle name="B_BotLC_SG.EEV-May06 4+2 4 3" xfId="26587"/>
    <cellStyle name="B_BotLC_SG.EEV-May06 4+2 5" xfId="6008"/>
    <cellStyle name="B_BotLC_SG.EEV-May06 4+2 5 2" xfId="6009"/>
    <cellStyle name="B_BotLC_SG.EEV-May06 4+2 5 3" xfId="26588"/>
    <cellStyle name="B_BotLC_SG.EEV-May06 4+2 6" xfId="6010"/>
    <cellStyle name="B_BotLC_SG.EEV-May06 4+2 6 2" xfId="6011"/>
    <cellStyle name="B_BotLC_SG.EEV-May06 4+2 6 3" xfId="26589"/>
    <cellStyle name="B_BotLC_SG.EEV-May06 4+2 7" xfId="6012"/>
    <cellStyle name="B_BotLC_SG.EEV-May06 4+2 7 2" xfId="6013"/>
    <cellStyle name="B_BotLC_SG.EEV-May06 4+2 7 3" xfId="26590"/>
    <cellStyle name="B_BotLC_SG.EEV-May06 4+2 8" xfId="6014"/>
    <cellStyle name="B_BotLC_SG.EEV-May06 4+2 8 2" xfId="6015"/>
    <cellStyle name="B_BotLC_SG.EEV-May06 4+2 8 3" xfId="26591"/>
    <cellStyle name="B_BotLC_SG.EEV-May06 4+2 9" xfId="6016"/>
    <cellStyle name="B_BotLC_SG.EEV-May06 4+2 9 2" xfId="6017"/>
    <cellStyle name="B_BotLC_SG.EEV-May06 4+2 9 3" xfId="26592"/>
    <cellStyle name="B_BotLC_SG.EEV-May06 4+2_PROD_DETAILS" xfId="6018"/>
    <cellStyle name="B_BotLC_SG.EEV-May06 4+2_PROD_DETAILS 2" xfId="6019"/>
    <cellStyle name="B_BotLC_SG.EEV-May06 4+2_PROD_DETAILS 3" xfId="26593"/>
    <cellStyle name="B_BotLC_SG.EEV-May06 4+2_SOLVENCY POSITION " xfId="6020"/>
    <cellStyle name="B_BotLC_SG.EEV-May06 4+2_SOLVENCY POSITION  2" xfId="6021"/>
    <cellStyle name="B_BotLC_SG.EEV-May06 4+2_SOLVENCY POSITION  3" xfId="26594"/>
    <cellStyle name="B_BotLC_SOLVENCY POSITION " xfId="6022"/>
    <cellStyle name="B_BotLC_SOLVENCY POSITION  2" xfId="6023"/>
    <cellStyle name="B_BotLC_SOLVENCY POSITION  3" xfId="26595"/>
    <cellStyle name="B_BotLC_SUMM" xfId="6024"/>
    <cellStyle name="B_BotLC_SUMM 10" xfId="6025"/>
    <cellStyle name="B_BotLC_SUMM 10 2" xfId="6026"/>
    <cellStyle name="B_BotLC_SUMM 10 3" xfId="26596"/>
    <cellStyle name="B_BotLC_SUMM 11" xfId="6027"/>
    <cellStyle name="B_BotLC_SUMM 11 2" xfId="6028"/>
    <cellStyle name="B_BotLC_SUMM 11 3" xfId="26597"/>
    <cellStyle name="B_BotLC_SUMM 12" xfId="6029"/>
    <cellStyle name="B_BotLC_SUMM 12 2" xfId="6030"/>
    <cellStyle name="B_BotLC_SUMM 12 3" xfId="26598"/>
    <cellStyle name="B_BotLC_SUMM 13" xfId="6031"/>
    <cellStyle name="B_BotLC_SUMM 13 2" xfId="6032"/>
    <cellStyle name="B_BotLC_SUMM 13 3" xfId="26599"/>
    <cellStyle name="B_BotLC_SUMM 14" xfId="6033"/>
    <cellStyle name="B_BotLC_SUMM 14 2" xfId="6034"/>
    <cellStyle name="B_BotLC_SUMM 14 3" xfId="26600"/>
    <cellStyle name="B_BotLC_SUMM 15" xfId="6035"/>
    <cellStyle name="B_BotLC_SUMM 15 2" xfId="6036"/>
    <cellStyle name="B_BotLC_SUMM 15 3" xfId="26601"/>
    <cellStyle name="B_BotLC_SUMM 16" xfId="6037"/>
    <cellStyle name="B_BotLC_SUMM 16 2" xfId="6038"/>
    <cellStyle name="B_BotLC_SUMM 16 3" xfId="26602"/>
    <cellStyle name="B_BotLC_SUMM 17" xfId="6039"/>
    <cellStyle name="B_BotLC_SUMM 17 2" xfId="6040"/>
    <cellStyle name="B_BotLC_SUMM 17 3" xfId="26603"/>
    <cellStyle name="B_BotLC_SUMM 18" xfId="6041"/>
    <cellStyle name="B_BotLC_SUMM 18 2" xfId="6042"/>
    <cellStyle name="B_BotLC_SUMM 18 3" xfId="26604"/>
    <cellStyle name="B_BotLC_SUMM 19" xfId="6043"/>
    <cellStyle name="B_BotLC_SUMM 19 2" xfId="6044"/>
    <cellStyle name="B_BotLC_SUMM 19 3" xfId="26605"/>
    <cellStyle name="B_BotLC_SUMM 2" xfId="6045"/>
    <cellStyle name="B_BotLC_SUMM 2 2" xfId="6046"/>
    <cellStyle name="B_BotLC_SUMM 2 3" xfId="26606"/>
    <cellStyle name="B_BotLC_SUMM 20" xfId="6047"/>
    <cellStyle name="B_BotLC_SUMM 20 2" xfId="6048"/>
    <cellStyle name="B_BotLC_SUMM 20 3" xfId="26607"/>
    <cellStyle name="B_BotLC_SUMM 21" xfId="6049"/>
    <cellStyle name="B_BotLC_SUMM 21 2" xfId="6050"/>
    <cellStyle name="B_BotLC_SUMM 21 3" xfId="26608"/>
    <cellStyle name="B_BotLC_SUMM 22" xfId="6051"/>
    <cellStyle name="B_BotLC_SUMM 22 2" xfId="6052"/>
    <cellStyle name="B_BotLC_SUMM 22 3" xfId="26609"/>
    <cellStyle name="B_BotLC_SUMM 23" xfId="6053"/>
    <cellStyle name="B_BotLC_SUMM 23 2" xfId="6054"/>
    <cellStyle name="B_BotLC_SUMM 23 3" xfId="26610"/>
    <cellStyle name="B_BotLC_SUMM 24" xfId="6055"/>
    <cellStyle name="B_BotLC_SUMM 25" xfId="26611"/>
    <cellStyle name="B_BotLC_SUMM 3" xfId="6056"/>
    <cellStyle name="B_BotLC_SUMM 3 2" xfId="6057"/>
    <cellStyle name="B_BotLC_SUMM 3 3" xfId="26612"/>
    <cellStyle name="B_BotLC_SUMM 4" xfId="6058"/>
    <cellStyle name="B_BotLC_SUMM 4 2" xfId="6059"/>
    <cellStyle name="B_BotLC_SUMM 4 3" xfId="26613"/>
    <cellStyle name="B_BotLC_SUMM 5" xfId="6060"/>
    <cellStyle name="B_BotLC_SUMM 5 2" xfId="6061"/>
    <cellStyle name="B_BotLC_SUMM 5 3" xfId="26614"/>
    <cellStyle name="B_BotLC_SUMM 6" xfId="6062"/>
    <cellStyle name="B_BotLC_SUMM 6 2" xfId="6063"/>
    <cellStyle name="B_BotLC_SUMM 6 3" xfId="26615"/>
    <cellStyle name="B_BotLC_SUMM 7" xfId="6064"/>
    <cellStyle name="B_BotLC_SUMM 7 2" xfId="6065"/>
    <cellStyle name="B_BotLC_SUMM 7 3" xfId="26616"/>
    <cellStyle name="B_BotLC_SUMM 8" xfId="6066"/>
    <cellStyle name="B_BotLC_SUMM 8 2" xfId="6067"/>
    <cellStyle name="B_BotLC_SUMM 8 3" xfId="26617"/>
    <cellStyle name="B_BotLC_SUMM 9" xfId="6068"/>
    <cellStyle name="B_BotLC_SUMM 9 2" xfId="6069"/>
    <cellStyle name="B_BotLC_SUMM 9 3" xfId="26618"/>
    <cellStyle name="B_BotLC_SUMM_PROD_DETAILS" xfId="6070"/>
    <cellStyle name="B_BotLC_SUMM_PROD_DETAILS 2" xfId="6071"/>
    <cellStyle name="B_BotLC_SUMM_PROD_DETAILS 3" xfId="26619"/>
    <cellStyle name="B_BotLC_SUMM_SOLVENCY POSITION " xfId="6072"/>
    <cellStyle name="B_BotLC_SUMM_SOLVENCY POSITION  2" xfId="6073"/>
    <cellStyle name="B_BotLC_SUMM_SOLVENCY POSITION  3" xfId="26620"/>
    <cellStyle name="B_BotLC_Template" xfId="6074"/>
    <cellStyle name="B_BotLC_Template 10" xfId="6075"/>
    <cellStyle name="B_BotLC_Template 10 2" xfId="6076"/>
    <cellStyle name="B_BotLC_Template 10 3" xfId="26621"/>
    <cellStyle name="B_BotLC_Template 11" xfId="6077"/>
    <cellStyle name="B_BotLC_Template 11 2" xfId="6078"/>
    <cellStyle name="B_BotLC_Template 11 3" xfId="26622"/>
    <cellStyle name="B_BotLC_Template 12" xfId="6079"/>
    <cellStyle name="B_BotLC_Template 12 2" xfId="6080"/>
    <cellStyle name="B_BotLC_Template 12 3" xfId="26623"/>
    <cellStyle name="B_BotLC_Template 13" xfId="6081"/>
    <cellStyle name="B_BotLC_Template 13 2" xfId="6082"/>
    <cellStyle name="B_BotLC_Template 13 3" xfId="26624"/>
    <cellStyle name="B_BotLC_Template 14" xfId="6083"/>
    <cellStyle name="B_BotLC_Template 14 2" xfId="6084"/>
    <cellStyle name="B_BotLC_Template 14 3" xfId="26625"/>
    <cellStyle name="B_BotLC_Template 15" xfId="6085"/>
    <cellStyle name="B_BotLC_Template 15 2" xfId="6086"/>
    <cellStyle name="B_BotLC_Template 15 3" xfId="26626"/>
    <cellStyle name="B_BotLC_Template 16" xfId="6087"/>
    <cellStyle name="B_BotLC_Template 16 2" xfId="6088"/>
    <cellStyle name="B_BotLC_Template 16 3" xfId="26627"/>
    <cellStyle name="B_BotLC_Template 17" xfId="6089"/>
    <cellStyle name="B_BotLC_Template 17 2" xfId="6090"/>
    <cellStyle name="B_BotLC_Template 17 3" xfId="26628"/>
    <cellStyle name="B_BotLC_Template 18" xfId="6091"/>
    <cellStyle name="B_BotLC_Template 18 2" xfId="6092"/>
    <cellStyle name="B_BotLC_Template 18 3" xfId="26629"/>
    <cellStyle name="B_BotLC_Template 19" xfId="6093"/>
    <cellStyle name="B_BotLC_Template 19 2" xfId="6094"/>
    <cellStyle name="B_BotLC_Template 19 3" xfId="26630"/>
    <cellStyle name="B_BotLC_Template 2" xfId="6095"/>
    <cellStyle name="B_BotLC_Template 2 2" xfId="6096"/>
    <cellStyle name="B_BotLC_Template 2 3" xfId="26631"/>
    <cellStyle name="B_BotLC_Template 20" xfId="6097"/>
    <cellStyle name="B_BotLC_Template 20 2" xfId="6098"/>
    <cellStyle name="B_BotLC_Template 20 3" xfId="26632"/>
    <cellStyle name="B_BotLC_Template 21" xfId="6099"/>
    <cellStyle name="B_BotLC_Template 21 2" xfId="6100"/>
    <cellStyle name="B_BotLC_Template 21 3" xfId="26633"/>
    <cellStyle name="B_BotLC_Template 22" xfId="6101"/>
    <cellStyle name="B_BotLC_Template 22 2" xfId="6102"/>
    <cellStyle name="B_BotLC_Template 22 3" xfId="26634"/>
    <cellStyle name="B_BotLC_Template 23" xfId="6103"/>
    <cellStyle name="B_BotLC_Template 23 2" xfId="6104"/>
    <cellStyle name="B_BotLC_Template 23 3" xfId="26635"/>
    <cellStyle name="B_BotLC_Template 24" xfId="6105"/>
    <cellStyle name="B_BotLC_Template 25" xfId="26636"/>
    <cellStyle name="B_BotLC_Template 3" xfId="6106"/>
    <cellStyle name="B_BotLC_Template 3 2" xfId="6107"/>
    <cellStyle name="B_BotLC_Template 3 3" xfId="26637"/>
    <cellStyle name="B_BotLC_Template 4" xfId="6108"/>
    <cellStyle name="B_BotLC_Template 4 2" xfId="6109"/>
    <cellStyle name="B_BotLC_Template 4 3" xfId="26638"/>
    <cellStyle name="B_BotLC_Template 5" xfId="6110"/>
    <cellStyle name="B_BotLC_Template 5 2" xfId="6111"/>
    <cellStyle name="B_BotLC_Template 5 3" xfId="26639"/>
    <cellStyle name="B_BotLC_Template 6" xfId="6112"/>
    <cellStyle name="B_BotLC_Template 6 2" xfId="6113"/>
    <cellStyle name="B_BotLC_Template 6 3" xfId="26640"/>
    <cellStyle name="B_BotLC_Template 7" xfId="6114"/>
    <cellStyle name="B_BotLC_Template 7 2" xfId="6115"/>
    <cellStyle name="B_BotLC_Template 7 3" xfId="26641"/>
    <cellStyle name="B_BotLC_Template 8" xfId="6116"/>
    <cellStyle name="B_BotLC_Template 8 2" xfId="6117"/>
    <cellStyle name="B_BotLC_Template 8 3" xfId="26642"/>
    <cellStyle name="B_BotLC_Template 9" xfId="6118"/>
    <cellStyle name="B_BotLC_Template 9 2" xfId="6119"/>
    <cellStyle name="B_BotLC_Template 9 3" xfId="26643"/>
    <cellStyle name="B_BotLC_Template_PROD_DETAILS" xfId="6120"/>
    <cellStyle name="B_BotLC_Template_PROD_DETAILS 2" xfId="6121"/>
    <cellStyle name="B_BotLC_Template_PROD_DETAILS 3" xfId="26644"/>
    <cellStyle name="B_BotLC_Template_SOLVENCY POSITION " xfId="6122"/>
    <cellStyle name="B_BotLC_Template_SOLVENCY POSITION  2" xfId="6123"/>
    <cellStyle name="B_BotLC_Template_SOLVENCY POSITION  3" xfId="26645"/>
    <cellStyle name="B_BotRC" xfId="6124"/>
    <cellStyle name="B_BotRC 10" xfId="6125"/>
    <cellStyle name="B_BotRC 10 2" xfId="6126"/>
    <cellStyle name="B_BotRC 10 3" xfId="26646"/>
    <cellStyle name="B_BotRC 11" xfId="6127"/>
    <cellStyle name="B_BotRC 11 2" xfId="6128"/>
    <cellStyle name="B_BotRC 11 3" xfId="26647"/>
    <cellStyle name="B_BotRC 12" xfId="6129"/>
    <cellStyle name="B_BotRC 12 2" xfId="6130"/>
    <cellStyle name="B_BotRC 12 3" xfId="26648"/>
    <cellStyle name="B_BotRC 13" xfId="6131"/>
    <cellStyle name="B_BotRC 13 2" xfId="6132"/>
    <cellStyle name="B_BotRC 13 3" xfId="26649"/>
    <cellStyle name="B_BotRC 14" xfId="6133"/>
    <cellStyle name="B_BotRC 14 2" xfId="6134"/>
    <cellStyle name="B_BotRC 14 3" xfId="26650"/>
    <cellStyle name="B_BotRC 15" xfId="6135"/>
    <cellStyle name="B_BotRC 15 2" xfId="6136"/>
    <cellStyle name="B_BotRC 15 3" xfId="26651"/>
    <cellStyle name="B_BotRC 16" xfId="6137"/>
    <cellStyle name="B_BotRC 16 2" xfId="6138"/>
    <cellStyle name="B_BotRC 16 3" xfId="26652"/>
    <cellStyle name="B_BotRC 17" xfId="6139"/>
    <cellStyle name="B_BotRC 17 2" xfId="6140"/>
    <cellStyle name="B_BotRC 17 3" xfId="26653"/>
    <cellStyle name="B_BotRC 18" xfId="6141"/>
    <cellStyle name="B_BotRC 18 2" xfId="6142"/>
    <cellStyle name="B_BotRC 18 3" xfId="26654"/>
    <cellStyle name="B_BotRC 19" xfId="6143"/>
    <cellStyle name="B_BotRC 19 2" xfId="6144"/>
    <cellStyle name="B_BotRC 19 3" xfId="26655"/>
    <cellStyle name="B_BotRC 2" xfId="6145"/>
    <cellStyle name="B_BotRC 2 2" xfId="6146"/>
    <cellStyle name="B_BotRC 2 3" xfId="26656"/>
    <cellStyle name="B_BotRC 20" xfId="6147"/>
    <cellStyle name="B_BotRC 20 2" xfId="6148"/>
    <cellStyle name="B_BotRC 20 3" xfId="26657"/>
    <cellStyle name="B_BotRC 21" xfId="6149"/>
    <cellStyle name="B_BotRC 21 2" xfId="6150"/>
    <cellStyle name="B_BotRC 21 3" xfId="26658"/>
    <cellStyle name="B_BotRC 22" xfId="6151"/>
    <cellStyle name="B_BotRC 22 2" xfId="6152"/>
    <cellStyle name="B_BotRC 22 3" xfId="26659"/>
    <cellStyle name="B_BotRC 23" xfId="6153"/>
    <cellStyle name="B_BotRC 23 2" xfId="6154"/>
    <cellStyle name="B_BotRC 23 3" xfId="26660"/>
    <cellStyle name="B_BotRC 24" xfId="6155"/>
    <cellStyle name="B_BotRC 25" xfId="26661"/>
    <cellStyle name="B_BotRC 3" xfId="6156"/>
    <cellStyle name="B_BotRC 3 2" xfId="6157"/>
    <cellStyle name="B_BotRC 3 3" xfId="26662"/>
    <cellStyle name="B_BotRC 4" xfId="6158"/>
    <cellStyle name="B_BotRC 4 2" xfId="6159"/>
    <cellStyle name="B_BotRC 4 3" xfId="26663"/>
    <cellStyle name="B_BotRC 5" xfId="6160"/>
    <cellStyle name="B_BotRC 5 2" xfId="6161"/>
    <cellStyle name="B_BotRC 5 3" xfId="26664"/>
    <cellStyle name="B_BotRC 6" xfId="6162"/>
    <cellStyle name="B_BotRC 6 2" xfId="6163"/>
    <cellStyle name="B_BotRC 6 3" xfId="26665"/>
    <cellStyle name="B_BotRC 7" xfId="6164"/>
    <cellStyle name="B_BotRC 7 2" xfId="6165"/>
    <cellStyle name="B_BotRC 7 3" xfId="26666"/>
    <cellStyle name="B_BotRC 8" xfId="6166"/>
    <cellStyle name="B_BotRC 8 2" xfId="6167"/>
    <cellStyle name="B_BotRC 8 3" xfId="26667"/>
    <cellStyle name="B_BotRC 9" xfId="6168"/>
    <cellStyle name="B_BotRC 9 2" xfId="6169"/>
    <cellStyle name="B_BotRC 9 3" xfId="26668"/>
    <cellStyle name="B_BotRC_ASSUMP" xfId="6170"/>
    <cellStyle name="B_BotRC_ASSUMP 10" xfId="6171"/>
    <cellStyle name="B_BotRC_ASSUMP 10 2" xfId="6172"/>
    <cellStyle name="B_BotRC_ASSUMP 10 3" xfId="26669"/>
    <cellStyle name="B_BotRC_ASSUMP 11" xfId="6173"/>
    <cellStyle name="B_BotRC_ASSUMP 11 2" xfId="6174"/>
    <cellStyle name="B_BotRC_ASSUMP 11 3" xfId="26670"/>
    <cellStyle name="B_BotRC_ASSUMP 12" xfId="6175"/>
    <cellStyle name="B_BotRC_ASSUMP 12 2" xfId="6176"/>
    <cellStyle name="B_BotRC_ASSUMP 12 3" xfId="26671"/>
    <cellStyle name="B_BotRC_ASSUMP 13" xfId="6177"/>
    <cellStyle name="B_BotRC_ASSUMP 13 2" xfId="6178"/>
    <cellStyle name="B_BotRC_ASSUMP 13 3" xfId="26672"/>
    <cellStyle name="B_BotRC_ASSUMP 14" xfId="6179"/>
    <cellStyle name="B_BotRC_ASSUMP 14 2" xfId="6180"/>
    <cellStyle name="B_BotRC_ASSUMP 14 3" xfId="26673"/>
    <cellStyle name="B_BotRC_ASSUMP 15" xfId="6181"/>
    <cellStyle name="B_BotRC_ASSUMP 15 2" xfId="6182"/>
    <cellStyle name="B_BotRC_ASSUMP 15 3" xfId="26674"/>
    <cellStyle name="B_BotRC_ASSUMP 16" xfId="6183"/>
    <cellStyle name="B_BotRC_ASSUMP 16 2" xfId="6184"/>
    <cellStyle name="B_BotRC_ASSUMP 16 3" xfId="26675"/>
    <cellStyle name="B_BotRC_ASSUMP 17" xfId="6185"/>
    <cellStyle name="B_BotRC_ASSUMP 17 2" xfId="6186"/>
    <cellStyle name="B_BotRC_ASSUMP 17 3" xfId="26676"/>
    <cellStyle name="B_BotRC_ASSUMP 18" xfId="6187"/>
    <cellStyle name="B_BotRC_ASSUMP 18 2" xfId="6188"/>
    <cellStyle name="B_BotRC_ASSUMP 18 3" xfId="26677"/>
    <cellStyle name="B_BotRC_ASSUMP 19" xfId="6189"/>
    <cellStyle name="B_BotRC_ASSUMP 19 2" xfId="6190"/>
    <cellStyle name="B_BotRC_ASSUMP 19 3" xfId="26678"/>
    <cellStyle name="B_BotRC_ASSUMP 2" xfId="6191"/>
    <cellStyle name="B_BotRC_ASSUMP 2 2" xfId="6192"/>
    <cellStyle name="B_BotRC_ASSUMP 2 3" xfId="26679"/>
    <cellStyle name="B_BotRC_ASSUMP 20" xfId="6193"/>
    <cellStyle name="B_BotRC_ASSUMP 20 2" xfId="6194"/>
    <cellStyle name="B_BotRC_ASSUMP 20 3" xfId="26680"/>
    <cellStyle name="B_BotRC_ASSUMP 21" xfId="6195"/>
    <cellStyle name="B_BotRC_ASSUMP 21 2" xfId="6196"/>
    <cellStyle name="B_BotRC_ASSUMP 21 3" xfId="26681"/>
    <cellStyle name="B_BotRC_ASSUMP 22" xfId="6197"/>
    <cellStyle name="B_BotRC_ASSUMP 22 2" xfId="6198"/>
    <cellStyle name="B_BotRC_ASSUMP 22 3" xfId="26682"/>
    <cellStyle name="B_BotRC_ASSUMP 23" xfId="6199"/>
    <cellStyle name="B_BotRC_ASSUMP 23 2" xfId="6200"/>
    <cellStyle name="B_BotRC_ASSUMP 23 3" xfId="26683"/>
    <cellStyle name="B_BotRC_ASSUMP 24" xfId="6201"/>
    <cellStyle name="B_BotRC_ASSUMP 25" xfId="26684"/>
    <cellStyle name="B_BotRC_ASSUMP 3" xfId="6202"/>
    <cellStyle name="B_BotRC_ASSUMP 3 2" xfId="6203"/>
    <cellStyle name="B_BotRC_ASSUMP 3 3" xfId="26685"/>
    <cellStyle name="B_BotRC_ASSUMP 4" xfId="6204"/>
    <cellStyle name="B_BotRC_ASSUMP 4 2" xfId="6205"/>
    <cellStyle name="B_BotRC_ASSUMP 4 3" xfId="26686"/>
    <cellStyle name="B_BotRC_ASSUMP 5" xfId="6206"/>
    <cellStyle name="B_BotRC_ASSUMP 5 2" xfId="6207"/>
    <cellStyle name="B_BotRC_ASSUMP 5 3" xfId="26687"/>
    <cellStyle name="B_BotRC_ASSUMP 6" xfId="6208"/>
    <cellStyle name="B_BotRC_ASSUMP 6 2" xfId="6209"/>
    <cellStyle name="B_BotRC_ASSUMP 6 3" xfId="26688"/>
    <cellStyle name="B_BotRC_ASSUMP 7" xfId="6210"/>
    <cellStyle name="B_BotRC_ASSUMP 7 2" xfId="6211"/>
    <cellStyle name="B_BotRC_ASSUMP 7 3" xfId="26689"/>
    <cellStyle name="B_BotRC_ASSUMP 8" xfId="6212"/>
    <cellStyle name="B_BotRC_ASSUMP 8 2" xfId="6213"/>
    <cellStyle name="B_BotRC_ASSUMP 8 3" xfId="26690"/>
    <cellStyle name="B_BotRC_ASSUMP 9" xfId="6214"/>
    <cellStyle name="B_BotRC_ASSUMP 9 2" xfId="6215"/>
    <cellStyle name="B_BotRC_ASSUMP 9 3" xfId="26691"/>
    <cellStyle name="B_BotRC_ASSUMP_PROD_DETAILS" xfId="6216"/>
    <cellStyle name="B_BotRC_ASSUMP_PROD_DETAILS 2" xfId="6217"/>
    <cellStyle name="B_BotRC_ASSUMP_PROD_DETAILS 3" xfId="26692"/>
    <cellStyle name="B_BotRC_ASSUMP_SOLVENCY POSITION " xfId="6218"/>
    <cellStyle name="B_BotRC_ASSUMP_SOLVENCY POSITION  2" xfId="6219"/>
    <cellStyle name="B_BotRC_ASSUMP_SOLVENCY POSITION  3" xfId="26693"/>
    <cellStyle name="B_BotRC_Checks" xfId="6220"/>
    <cellStyle name="B_BotRC_Checks 10" xfId="6221"/>
    <cellStyle name="B_BotRC_Checks 10 2" xfId="6222"/>
    <cellStyle name="B_BotRC_Checks 10 3" xfId="26694"/>
    <cellStyle name="B_BotRC_Checks 11" xfId="6223"/>
    <cellStyle name="B_BotRC_Checks 11 2" xfId="6224"/>
    <cellStyle name="B_BotRC_Checks 11 3" xfId="26695"/>
    <cellStyle name="B_BotRC_Checks 12" xfId="6225"/>
    <cellStyle name="B_BotRC_Checks 12 2" xfId="6226"/>
    <cellStyle name="B_BotRC_Checks 12 3" xfId="26696"/>
    <cellStyle name="B_BotRC_Checks 13" xfId="6227"/>
    <cellStyle name="B_BotRC_Checks 13 2" xfId="6228"/>
    <cellStyle name="B_BotRC_Checks 13 3" xfId="26697"/>
    <cellStyle name="B_BotRC_Checks 14" xfId="6229"/>
    <cellStyle name="B_BotRC_Checks 14 2" xfId="6230"/>
    <cellStyle name="B_BotRC_Checks 14 3" xfId="26698"/>
    <cellStyle name="B_BotRC_Checks 15" xfId="6231"/>
    <cellStyle name="B_BotRC_Checks 15 2" xfId="6232"/>
    <cellStyle name="B_BotRC_Checks 15 3" xfId="26699"/>
    <cellStyle name="B_BotRC_Checks 16" xfId="6233"/>
    <cellStyle name="B_BotRC_Checks 16 2" xfId="6234"/>
    <cellStyle name="B_BotRC_Checks 16 3" xfId="26700"/>
    <cellStyle name="B_BotRC_Checks 17" xfId="6235"/>
    <cellStyle name="B_BotRC_Checks 17 2" xfId="6236"/>
    <cellStyle name="B_BotRC_Checks 17 3" xfId="26701"/>
    <cellStyle name="B_BotRC_Checks 18" xfId="6237"/>
    <cellStyle name="B_BotRC_Checks 18 2" xfId="6238"/>
    <cellStyle name="B_BotRC_Checks 18 3" xfId="26702"/>
    <cellStyle name="B_BotRC_Checks 19" xfId="6239"/>
    <cellStyle name="B_BotRC_Checks 19 2" xfId="6240"/>
    <cellStyle name="B_BotRC_Checks 19 3" xfId="26703"/>
    <cellStyle name="B_BotRC_Checks 2" xfId="6241"/>
    <cellStyle name="B_BotRC_Checks 2 2" xfId="6242"/>
    <cellStyle name="B_BotRC_Checks 2 3" xfId="26704"/>
    <cellStyle name="B_BotRC_Checks 20" xfId="6243"/>
    <cellStyle name="B_BotRC_Checks 20 2" xfId="6244"/>
    <cellStyle name="B_BotRC_Checks 20 3" xfId="26705"/>
    <cellStyle name="B_BotRC_Checks 21" xfId="6245"/>
    <cellStyle name="B_BotRC_Checks 21 2" xfId="6246"/>
    <cellStyle name="B_BotRC_Checks 21 3" xfId="26706"/>
    <cellStyle name="B_BotRC_Checks 22" xfId="6247"/>
    <cellStyle name="B_BotRC_Checks 22 2" xfId="6248"/>
    <cellStyle name="B_BotRC_Checks 22 3" xfId="26707"/>
    <cellStyle name="B_BotRC_Checks 23" xfId="6249"/>
    <cellStyle name="B_BotRC_Checks 23 2" xfId="6250"/>
    <cellStyle name="B_BotRC_Checks 23 3" xfId="26708"/>
    <cellStyle name="B_BotRC_Checks 24" xfId="6251"/>
    <cellStyle name="B_BotRC_Checks 25" xfId="26709"/>
    <cellStyle name="B_BotRC_Checks 3" xfId="6252"/>
    <cellStyle name="B_BotRC_Checks 3 2" xfId="6253"/>
    <cellStyle name="B_BotRC_Checks 3 3" xfId="26710"/>
    <cellStyle name="B_BotRC_Checks 4" xfId="6254"/>
    <cellStyle name="B_BotRC_Checks 4 2" xfId="6255"/>
    <cellStyle name="B_BotRC_Checks 4 3" xfId="26711"/>
    <cellStyle name="B_BotRC_Checks 5" xfId="6256"/>
    <cellStyle name="B_BotRC_Checks 5 2" xfId="6257"/>
    <cellStyle name="B_BotRC_Checks 5 3" xfId="26712"/>
    <cellStyle name="B_BotRC_Checks 6" xfId="6258"/>
    <cellStyle name="B_BotRC_Checks 6 2" xfId="6259"/>
    <cellStyle name="B_BotRC_Checks 6 3" xfId="26713"/>
    <cellStyle name="B_BotRC_Checks 7" xfId="6260"/>
    <cellStyle name="B_BotRC_Checks 7 2" xfId="6261"/>
    <cellStyle name="B_BotRC_Checks 7 3" xfId="26714"/>
    <cellStyle name="B_BotRC_Checks 8" xfId="6262"/>
    <cellStyle name="B_BotRC_Checks 8 2" xfId="6263"/>
    <cellStyle name="B_BotRC_Checks 8 3" xfId="26715"/>
    <cellStyle name="B_BotRC_Checks 9" xfId="6264"/>
    <cellStyle name="B_BotRC_Checks 9 2" xfId="6265"/>
    <cellStyle name="B_BotRC_Checks 9 3" xfId="26716"/>
    <cellStyle name="B_BotRC_Checks_PROD_DETAILS" xfId="6266"/>
    <cellStyle name="B_BotRC_Checks_PROD_DETAILS 2" xfId="6267"/>
    <cellStyle name="B_BotRC_Checks_PROD_DETAILS 3" xfId="26717"/>
    <cellStyle name="B_BotRC_Checks_SOLVENCY POSITION " xfId="6268"/>
    <cellStyle name="B_BotRC_Checks_SOLVENCY POSITION  2" xfId="6269"/>
    <cellStyle name="B_BotRC_Checks_SOLVENCY POSITION  3" xfId="26718"/>
    <cellStyle name="B_BotRC_Group Life" xfId="6270"/>
    <cellStyle name="B_BotRC_Group Life 10" xfId="6271"/>
    <cellStyle name="B_BotRC_Group Life 10 2" xfId="6272"/>
    <cellStyle name="B_BotRC_Group Life 10 3" xfId="26719"/>
    <cellStyle name="B_BotRC_Group Life 11" xfId="6273"/>
    <cellStyle name="B_BotRC_Group Life 11 2" xfId="6274"/>
    <cellStyle name="B_BotRC_Group Life 11 3" xfId="26720"/>
    <cellStyle name="B_BotRC_Group Life 12" xfId="6275"/>
    <cellStyle name="B_BotRC_Group Life 12 2" xfId="6276"/>
    <cellStyle name="B_BotRC_Group Life 12 3" xfId="26721"/>
    <cellStyle name="B_BotRC_Group Life 13" xfId="6277"/>
    <cellStyle name="B_BotRC_Group Life 13 2" xfId="6278"/>
    <cellStyle name="B_BotRC_Group Life 13 3" xfId="26722"/>
    <cellStyle name="B_BotRC_Group Life 14" xfId="6279"/>
    <cellStyle name="B_BotRC_Group Life 14 2" xfId="6280"/>
    <cellStyle name="B_BotRC_Group Life 14 3" xfId="26723"/>
    <cellStyle name="B_BotRC_Group Life 15" xfId="6281"/>
    <cellStyle name="B_BotRC_Group Life 15 2" xfId="6282"/>
    <cellStyle name="B_BotRC_Group Life 15 3" xfId="26724"/>
    <cellStyle name="B_BotRC_Group Life 16" xfId="6283"/>
    <cellStyle name="B_BotRC_Group Life 16 2" xfId="6284"/>
    <cellStyle name="B_BotRC_Group Life 16 3" xfId="26725"/>
    <cellStyle name="B_BotRC_Group Life 17" xfId="6285"/>
    <cellStyle name="B_BotRC_Group Life 17 2" xfId="6286"/>
    <cellStyle name="B_BotRC_Group Life 17 3" xfId="26726"/>
    <cellStyle name="B_BotRC_Group Life 18" xfId="6287"/>
    <cellStyle name="B_BotRC_Group Life 18 2" xfId="6288"/>
    <cellStyle name="B_BotRC_Group Life 18 3" xfId="26727"/>
    <cellStyle name="B_BotRC_Group Life 19" xfId="6289"/>
    <cellStyle name="B_BotRC_Group Life 19 2" xfId="6290"/>
    <cellStyle name="B_BotRC_Group Life 19 3" xfId="26728"/>
    <cellStyle name="B_BotRC_Group Life 2" xfId="6291"/>
    <cellStyle name="B_BotRC_Group Life 2 2" xfId="6292"/>
    <cellStyle name="B_BotRC_Group Life 2 3" xfId="26729"/>
    <cellStyle name="B_BotRC_Group Life 20" xfId="6293"/>
    <cellStyle name="B_BotRC_Group Life 20 2" xfId="6294"/>
    <cellStyle name="B_BotRC_Group Life 20 3" xfId="26730"/>
    <cellStyle name="B_BotRC_Group Life 21" xfId="6295"/>
    <cellStyle name="B_BotRC_Group Life 21 2" xfId="6296"/>
    <cellStyle name="B_BotRC_Group Life 21 3" xfId="26731"/>
    <cellStyle name="B_BotRC_Group Life 22" xfId="6297"/>
    <cellStyle name="B_BotRC_Group Life 22 2" xfId="6298"/>
    <cellStyle name="B_BotRC_Group Life 22 3" xfId="26732"/>
    <cellStyle name="B_BotRC_Group Life 23" xfId="6299"/>
    <cellStyle name="B_BotRC_Group Life 23 2" xfId="6300"/>
    <cellStyle name="B_BotRC_Group Life 23 3" xfId="26733"/>
    <cellStyle name="B_BotRC_Group Life 24" xfId="6301"/>
    <cellStyle name="B_BotRC_Group Life 25" xfId="26734"/>
    <cellStyle name="B_BotRC_Group Life 3" xfId="6302"/>
    <cellStyle name="B_BotRC_Group Life 3 2" xfId="6303"/>
    <cellStyle name="B_BotRC_Group Life 3 3" xfId="26735"/>
    <cellStyle name="B_BotRC_Group Life 4" xfId="6304"/>
    <cellStyle name="B_BotRC_Group Life 4 2" xfId="6305"/>
    <cellStyle name="B_BotRC_Group Life 4 3" xfId="26736"/>
    <cellStyle name="B_BotRC_Group Life 5" xfId="6306"/>
    <cellStyle name="B_BotRC_Group Life 5 2" xfId="6307"/>
    <cellStyle name="B_BotRC_Group Life 5 3" xfId="26737"/>
    <cellStyle name="B_BotRC_Group Life 6" xfId="6308"/>
    <cellStyle name="B_BotRC_Group Life 6 2" xfId="6309"/>
    <cellStyle name="B_BotRC_Group Life 6 3" xfId="26738"/>
    <cellStyle name="B_BotRC_Group Life 7" xfId="6310"/>
    <cellStyle name="B_BotRC_Group Life 7 2" xfId="6311"/>
    <cellStyle name="B_BotRC_Group Life 7 3" xfId="26739"/>
    <cellStyle name="B_BotRC_Group Life 8" xfId="6312"/>
    <cellStyle name="B_BotRC_Group Life 8 2" xfId="6313"/>
    <cellStyle name="B_BotRC_Group Life 8 3" xfId="26740"/>
    <cellStyle name="B_BotRC_Group Life 9" xfId="6314"/>
    <cellStyle name="B_BotRC_Group Life 9 2" xfId="6315"/>
    <cellStyle name="B_BotRC_Group Life 9 3" xfId="26741"/>
    <cellStyle name="B_BotRC_Group Life_PROD_DETAILS" xfId="6316"/>
    <cellStyle name="B_BotRC_Group Life_PROD_DETAILS 2" xfId="6317"/>
    <cellStyle name="B_BotRC_Group Life_PROD_DETAILS 3" xfId="26742"/>
    <cellStyle name="B_BotRC_Group Life_SOLVENCY POSITION " xfId="6318"/>
    <cellStyle name="B_BotRC_Group Life_SOLVENCY POSITION  2" xfId="6319"/>
    <cellStyle name="B_BotRC_Group Life_SOLVENCY POSITION  3" xfId="26743"/>
    <cellStyle name="B_BotRC_HK P &amp; L (To Finance to compute tax)" xfId="6320"/>
    <cellStyle name="B_BotRC_HK P &amp; L (To Finance to compute tax) 10" xfId="6321"/>
    <cellStyle name="B_BotRC_HK P &amp; L (To Finance to compute tax) 10 2" xfId="6322"/>
    <cellStyle name="B_BotRC_HK P &amp; L (To Finance to compute tax) 10 3" xfId="26744"/>
    <cellStyle name="B_BotRC_HK P &amp; L (To Finance to compute tax) 11" xfId="6323"/>
    <cellStyle name="B_BotRC_HK P &amp; L (To Finance to compute tax) 11 2" xfId="6324"/>
    <cellStyle name="B_BotRC_HK P &amp; L (To Finance to compute tax) 11 3" xfId="26745"/>
    <cellStyle name="B_BotRC_HK P &amp; L (To Finance to compute tax) 12" xfId="6325"/>
    <cellStyle name="B_BotRC_HK P &amp; L (To Finance to compute tax) 12 2" xfId="6326"/>
    <cellStyle name="B_BotRC_HK P &amp; L (To Finance to compute tax) 12 3" xfId="26746"/>
    <cellStyle name="B_BotRC_HK P &amp; L (To Finance to compute tax) 13" xfId="6327"/>
    <cellStyle name="B_BotRC_HK P &amp; L (To Finance to compute tax) 13 2" xfId="6328"/>
    <cellStyle name="B_BotRC_HK P &amp; L (To Finance to compute tax) 13 3" xfId="26747"/>
    <cellStyle name="B_BotRC_HK P &amp; L (To Finance to compute tax) 14" xfId="6329"/>
    <cellStyle name="B_BotRC_HK P &amp; L (To Finance to compute tax) 14 2" xfId="6330"/>
    <cellStyle name="B_BotRC_HK P &amp; L (To Finance to compute tax) 14 3" xfId="26748"/>
    <cellStyle name="B_BotRC_HK P &amp; L (To Finance to compute tax) 15" xfId="6331"/>
    <cellStyle name="B_BotRC_HK P &amp; L (To Finance to compute tax) 15 2" xfId="6332"/>
    <cellStyle name="B_BotRC_HK P &amp; L (To Finance to compute tax) 15 3" xfId="26749"/>
    <cellStyle name="B_BotRC_HK P &amp; L (To Finance to compute tax) 16" xfId="6333"/>
    <cellStyle name="B_BotRC_HK P &amp; L (To Finance to compute tax) 16 2" xfId="6334"/>
    <cellStyle name="B_BotRC_HK P &amp; L (To Finance to compute tax) 16 3" xfId="26750"/>
    <cellStyle name="B_BotRC_HK P &amp; L (To Finance to compute tax) 17" xfId="6335"/>
    <cellStyle name="B_BotRC_HK P &amp; L (To Finance to compute tax) 17 2" xfId="6336"/>
    <cellStyle name="B_BotRC_HK P &amp; L (To Finance to compute tax) 17 3" xfId="26751"/>
    <cellStyle name="B_BotRC_HK P &amp; L (To Finance to compute tax) 18" xfId="6337"/>
    <cellStyle name="B_BotRC_HK P &amp; L (To Finance to compute tax) 18 2" xfId="6338"/>
    <cellStyle name="B_BotRC_HK P &amp; L (To Finance to compute tax) 18 3" xfId="26752"/>
    <cellStyle name="B_BotRC_HK P &amp; L (To Finance to compute tax) 19" xfId="6339"/>
    <cellStyle name="B_BotRC_HK P &amp; L (To Finance to compute tax) 19 2" xfId="6340"/>
    <cellStyle name="B_BotRC_HK P &amp; L (To Finance to compute tax) 19 3" xfId="26753"/>
    <cellStyle name="B_BotRC_HK P &amp; L (To Finance to compute tax) 2" xfId="6341"/>
    <cellStyle name="B_BotRC_HK P &amp; L (To Finance to compute tax) 2 2" xfId="6342"/>
    <cellStyle name="B_BotRC_HK P &amp; L (To Finance to compute tax) 2 3" xfId="26754"/>
    <cellStyle name="B_BotRC_HK P &amp; L (To Finance to compute tax) 20" xfId="6343"/>
    <cellStyle name="B_BotRC_HK P &amp; L (To Finance to compute tax) 20 2" xfId="6344"/>
    <cellStyle name="B_BotRC_HK P &amp; L (To Finance to compute tax) 20 3" xfId="26755"/>
    <cellStyle name="B_BotRC_HK P &amp; L (To Finance to compute tax) 21" xfId="6345"/>
    <cellStyle name="B_BotRC_HK P &amp; L (To Finance to compute tax) 21 2" xfId="6346"/>
    <cellStyle name="B_BotRC_HK P &amp; L (To Finance to compute tax) 21 3" xfId="26756"/>
    <cellStyle name="B_BotRC_HK P &amp; L (To Finance to compute tax) 22" xfId="6347"/>
    <cellStyle name="B_BotRC_HK P &amp; L (To Finance to compute tax) 22 2" xfId="6348"/>
    <cellStyle name="B_BotRC_HK P &amp; L (To Finance to compute tax) 22 3" xfId="26757"/>
    <cellStyle name="B_BotRC_HK P &amp; L (To Finance to compute tax) 23" xfId="6349"/>
    <cellStyle name="B_BotRC_HK P &amp; L (To Finance to compute tax) 23 2" xfId="6350"/>
    <cellStyle name="B_BotRC_HK P &amp; L (To Finance to compute tax) 23 3" xfId="26758"/>
    <cellStyle name="B_BotRC_HK P &amp; L (To Finance to compute tax) 24" xfId="6351"/>
    <cellStyle name="B_BotRC_HK P &amp; L (To Finance to compute tax) 25" xfId="26759"/>
    <cellStyle name="B_BotRC_HK P &amp; L (To Finance to compute tax) 3" xfId="6352"/>
    <cellStyle name="B_BotRC_HK P &amp; L (To Finance to compute tax) 3 2" xfId="6353"/>
    <cellStyle name="B_BotRC_HK P &amp; L (To Finance to compute tax) 3 3" xfId="26760"/>
    <cellStyle name="B_BotRC_HK P &amp; L (To Finance to compute tax) 4" xfId="6354"/>
    <cellStyle name="B_BotRC_HK P &amp; L (To Finance to compute tax) 4 2" xfId="6355"/>
    <cellStyle name="B_BotRC_HK P &amp; L (To Finance to compute tax) 4 3" xfId="26761"/>
    <cellStyle name="B_BotRC_HK P &amp; L (To Finance to compute tax) 5" xfId="6356"/>
    <cellStyle name="B_BotRC_HK P &amp; L (To Finance to compute tax) 5 2" xfId="6357"/>
    <cellStyle name="B_BotRC_HK P &amp; L (To Finance to compute tax) 5 3" xfId="26762"/>
    <cellStyle name="B_BotRC_HK P &amp; L (To Finance to compute tax) 6" xfId="6358"/>
    <cellStyle name="B_BotRC_HK P &amp; L (To Finance to compute tax) 6 2" xfId="6359"/>
    <cellStyle name="B_BotRC_HK P &amp; L (To Finance to compute tax) 6 3" xfId="26763"/>
    <cellStyle name="B_BotRC_HK P &amp; L (To Finance to compute tax) 7" xfId="6360"/>
    <cellStyle name="B_BotRC_HK P &amp; L (To Finance to compute tax) 7 2" xfId="6361"/>
    <cellStyle name="B_BotRC_HK P &amp; L (To Finance to compute tax) 7 3" xfId="26764"/>
    <cellStyle name="B_BotRC_HK P &amp; L (To Finance to compute tax) 8" xfId="6362"/>
    <cellStyle name="B_BotRC_HK P &amp; L (To Finance to compute tax) 8 2" xfId="6363"/>
    <cellStyle name="B_BotRC_HK P &amp; L (To Finance to compute tax) 8 3" xfId="26765"/>
    <cellStyle name="B_BotRC_HK P &amp; L (To Finance to compute tax) 9" xfId="6364"/>
    <cellStyle name="B_BotRC_HK P &amp; L (To Finance to compute tax) 9 2" xfId="6365"/>
    <cellStyle name="B_BotRC_HK P &amp; L (To Finance to compute tax) 9 3" xfId="26766"/>
    <cellStyle name="B_BotRC_HK P &amp; L (To Finance to compute tax)_PROD_DETAILS" xfId="6366"/>
    <cellStyle name="B_BotRC_HK P &amp; L (To Finance to compute tax)_PROD_DETAILS 2" xfId="6367"/>
    <cellStyle name="B_BotRC_HK P &amp; L (To Finance to compute tax)_PROD_DETAILS 3" xfId="26767"/>
    <cellStyle name="B_BotRC_HK P &amp; L (To Finance to compute tax)_SOLVENCY POSITION " xfId="6368"/>
    <cellStyle name="B_BotRC_HK P &amp; L (To Finance to compute tax)_SOLVENCY POSITION  2" xfId="6369"/>
    <cellStyle name="B_BotRC_HK P &amp; L (To Finance to compute tax)_SOLVENCY POSITION  3" xfId="26768"/>
    <cellStyle name="B_BotRC_HK.EEV-Apr06v2" xfId="6370"/>
    <cellStyle name="B_BotRC_HK.EEV-Apr06v2 10" xfId="6371"/>
    <cellStyle name="B_BotRC_HK.EEV-Apr06v2 10 2" xfId="6372"/>
    <cellStyle name="B_BotRC_HK.EEV-Apr06v2 10 3" xfId="26769"/>
    <cellStyle name="B_BotRC_HK.EEV-Apr06v2 11" xfId="6373"/>
    <cellStyle name="B_BotRC_HK.EEV-Apr06v2 11 2" xfId="6374"/>
    <cellStyle name="B_BotRC_HK.EEV-Apr06v2 11 3" xfId="26770"/>
    <cellStyle name="B_BotRC_HK.EEV-Apr06v2 12" xfId="6375"/>
    <cellStyle name="B_BotRC_HK.EEV-Apr06v2 12 2" xfId="6376"/>
    <cellStyle name="B_BotRC_HK.EEV-Apr06v2 12 3" xfId="26771"/>
    <cellStyle name="B_BotRC_HK.EEV-Apr06v2 13" xfId="6377"/>
    <cellStyle name="B_BotRC_HK.EEV-Apr06v2 13 2" xfId="6378"/>
    <cellStyle name="B_BotRC_HK.EEV-Apr06v2 13 3" xfId="26772"/>
    <cellStyle name="B_BotRC_HK.EEV-Apr06v2 14" xfId="6379"/>
    <cellStyle name="B_BotRC_HK.EEV-Apr06v2 14 2" xfId="6380"/>
    <cellStyle name="B_BotRC_HK.EEV-Apr06v2 14 3" xfId="26773"/>
    <cellStyle name="B_BotRC_HK.EEV-Apr06v2 15" xfId="6381"/>
    <cellStyle name="B_BotRC_HK.EEV-Apr06v2 15 2" xfId="6382"/>
    <cellStyle name="B_BotRC_HK.EEV-Apr06v2 15 3" xfId="26774"/>
    <cellStyle name="B_BotRC_HK.EEV-Apr06v2 16" xfId="6383"/>
    <cellStyle name="B_BotRC_HK.EEV-Apr06v2 16 2" xfId="6384"/>
    <cellStyle name="B_BotRC_HK.EEV-Apr06v2 16 3" xfId="26775"/>
    <cellStyle name="B_BotRC_HK.EEV-Apr06v2 17" xfId="6385"/>
    <cellStyle name="B_BotRC_HK.EEV-Apr06v2 17 2" xfId="6386"/>
    <cellStyle name="B_BotRC_HK.EEV-Apr06v2 17 3" xfId="26776"/>
    <cellStyle name="B_BotRC_HK.EEV-Apr06v2 18" xfId="6387"/>
    <cellStyle name="B_BotRC_HK.EEV-Apr06v2 18 2" xfId="6388"/>
    <cellStyle name="B_BotRC_HK.EEV-Apr06v2 18 3" xfId="26777"/>
    <cellStyle name="B_BotRC_HK.EEV-Apr06v2 19" xfId="6389"/>
    <cellStyle name="B_BotRC_HK.EEV-Apr06v2 19 2" xfId="6390"/>
    <cellStyle name="B_BotRC_HK.EEV-Apr06v2 19 3" xfId="26778"/>
    <cellStyle name="B_BotRC_HK.EEV-Apr06v2 2" xfId="6391"/>
    <cellStyle name="B_BotRC_HK.EEV-Apr06v2 2 2" xfId="6392"/>
    <cellStyle name="B_BotRC_HK.EEV-Apr06v2 2 3" xfId="26779"/>
    <cellStyle name="B_BotRC_HK.EEV-Apr06v2 20" xfId="6393"/>
    <cellStyle name="B_BotRC_HK.EEV-Apr06v2 20 2" xfId="6394"/>
    <cellStyle name="B_BotRC_HK.EEV-Apr06v2 20 3" xfId="26780"/>
    <cellStyle name="B_BotRC_HK.EEV-Apr06v2 21" xfId="6395"/>
    <cellStyle name="B_BotRC_HK.EEV-Apr06v2 21 2" xfId="6396"/>
    <cellStyle name="B_BotRC_HK.EEV-Apr06v2 21 3" xfId="26781"/>
    <cellStyle name="B_BotRC_HK.EEV-Apr06v2 22" xfId="6397"/>
    <cellStyle name="B_BotRC_HK.EEV-Apr06v2 22 2" xfId="6398"/>
    <cellStyle name="B_BotRC_HK.EEV-Apr06v2 22 3" xfId="26782"/>
    <cellStyle name="B_BotRC_HK.EEV-Apr06v2 23" xfId="6399"/>
    <cellStyle name="B_BotRC_HK.EEV-Apr06v2 23 2" xfId="6400"/>
    <cellStyle name="B_BotRC_HK.EEV-Apr06v2 23 3" xfId="26783"/>
    <cellStyle name="B_BotRC_HK.EEV-Apr06v2 24" xfId="6401"/>
    <cellStyle name="B_BotRC_HK.EEV-Apr06v2 25" xfId="26784"/>
    <cellStyle name="B_BotRC_HK.EEV-Apr06v2 3" xfId="6402"/>
    <cellStyle name="B_BotRC_HK.EEV-Apr06v2 3 2" xfId="6403"/>
    <cellStyle name="B_BotRC_HK.EEV-Apr06v2 3 3" xfId="26785"/>
    <cellStyle name="B_BotRC_HK.EEV-Apr06v2 4" xfId="6404"/>
    <cellStyle name="B_BotRC_HK.EEV-Apr06v2 4 2" xfId="6405"/>
    <cellStyle name="B_BotRC_HK.EEV-Apr06v2 4 3" xfId="26786"/>
    <cellStyle name="B_BotRC_HK.EEV-Apr06v2 5" xfId="6406"/>
    <cellStyle name="B_BotRC_HK.EEV-Apr06v2 5 2" xfId="6407"/>
    <cellStyle name="B_BotRC_HK.EEV-Apr06v2 5 3" xfId="26787"/>
    <cellStyle name="B_BotRC_HK.EEV-Apr06v2 6" xfId="6408"/>
    <cellStyle name="B_BotRC_HK.EEV-Apr06v2 6 2" xfId="6409"/>
    <cellStyle name="B_BotRC_HK.EEV-Apr06v2 6 3" xfId="26788"/>
    <cellStyle name="B_BotRC_HK.EEV-Apr06v2 7" xfId="6410"/>
    <cellStyle name="B_BotRC_HK.EEV-Apr06v2 7 2" xfId="6411"/>
    <cellStyle name="B_BotRC_HK.EEV-Apr06v2 7 3" xfId="26789"/>
    <cellStyle name="B_BotRC_HK.EEV-Apr06v2 8" xfId="6412"/>
    <cellStyle name="B_BotRC_HK.EEV-Apr06v2 8 2" xfId="6413"/>
    <cellStyle name="B_BotRC_HK.EEV-Apr06v2 8 3" xfId="26790"/>
    <cellStyle name="B_BotRC_HK.EEV-Apr06v2 9" xfId="6414"/>
    <cellStyle name="B_BotRC_HK.EEV-Apr06v2 9 2" xfId="6415"/>
    <cellStyle name="B_BotRC_HK.EEV-Apr06v2 9 3" xfId="26791"/>
    <cellStyle name="B_BotRC_HK.EEV-Apr06v2_HK.EEV-May06 4+2 kkh" xfId="6416"/>
    <cellStyle name="B_BotRC_HK.EEV-Apr06v2_HK.EEV-May06 4+2 kkh 10" xfId="6417"/>
    <cellStyle name="B_BotRC_HK.EEV-Apr06v2_HK.EEV-May06 4+2 kkh 10 2" xfId="6418"/>
    <cellStyle name="B_BotRC_HK.EEV-Apr06v2_HK.EEV-May06 4+2 kkh 10 3" xfId="26792"/>
    <cellStyle name="B_BotRC_HK.EEV-Apr06v2_HK.EEV-May06 4+2 kkh 11" xfId="6419"/>
    <cellStyle name="B_BotRC_HK.EEV-Apr06v2_HK.EEV-May06 4+2 kkh 11 2" xfId="6420"/>
    <cellStyle name="B_BotRC_HK.EEV-Apr06v2_HK.EEV-May06 4+2 kkh 11 3" xfId="26793"/>
    <cellStyle name="B_BotRC_HK.EEV-Apr06v2_HK.EEV-May06 4+2 kkh 12" xfId="6421"/>
    <cellStyle name="B_BotRC_HK.EEV-Apr06v2_HK.EEV-May06 4+2 kkh 12 2" xfId="6422"/>
    <cellStyle name="B_BotRC_HK.EEV-Apr06v2_HK.EEV-May06 4+2 kkh 12 3" xfId="26794"/>
    <cellStyle name="B_BotRC_HK.EEV-Apr06v2_HK.EEV-May06 4+2 kkh 13" xfId="6423"/>
    <cellStyle name="B_BotRC_HK.EEV-Apr06v2_HK.EEV-May06 4+2 kkh 13 2" xfId="6424"/>
    <cellStyle name="B_BotRC_HK.EEV-Apr06v2_HK.EEV-May06 4+2 kkh 13 3" xfId="26795"/>
    <cellStyle name="B_BotRC_HK.EEV-Apr06v2_HK.EEV-May06 4+2 kkh 14" xfId="6425"/>
    <cellStyle name="B_BotRC_HK.EEV-Apr06v2_HK.EEV-May06 4+2 kkh 14 2" xfId="6426"/>
    <cellStyle name="B_BotRC_HK.EEV-Apr06v2_HK.EEV-May06 4+2 kkh 14 3" xfId="26796"/>
    <cellStyle name="B_BotRC_HK.EEV-Apr06v2_HK.EEV-May06 4+2 kkh 15" xfId="6427"/>
    <cellStyle name="B_BotRC_HK.EEV-Apr06v2_HK.EEV-May06 4+2 kkh 15 2" xfId="6428"/>
    <cellStyle name="B_BotRC_HK.EEV-Apr06v2_HK.EEV-May06 4+2 kkh 15 3" xfId="26797"/>
    <cellStyle name="B_BotRC_HK.EEV-Apr06v2_HK.EEV-May06 4+2 kkh 16" xfId="6429"/>
    <cellStyle name="B_BotRC_HK.EEV-Apr06v2_HK.EEV-May06 4+2 kkh 16 2" xfId="6430"/>
    <cellStyle name="B_BotRC_HK.EEV-Apr06v2_HK.EEV-May06 4+2 kkh 16 3" xfId="26798"/>
    <cellStyle name="B_BotRC_HK.EEV-Apr06v2_HK.EEV-May06 4+2 kkh 17" xfId="6431"/>
    <cellStyle name="B_BotRC_HK.EEV-Apr06v2_HK.EEV-May06 4+2 kkh 17 2" xfId="6432"/>
    <cellStyle name="B_BotRC_HK.EEV-Apr06v2_HK.EEV-May06 4+2 kkh 17 3" xfId="26799"/>
    <cellStyle name="B_BotRC_HK.EEV-Apr06v2_HK.EEV-May06 4+2 kkh 18" xfId="6433"/>
    <cellStyle name="B_BotRC_HK.EEV-Apr06v2_HK.EEV-May06 4+2 kkh 18 2" xfId="6434"/>
    <cellStyle name="B_BotRC_HK.EEV-Apr06v2_HK.EEV-May06 4+2 kkh 18 3" xfId="26800"/>
    <cellStyle name="B_BotRC_HK.EEV-Apr06v2_HK.EEV-May06 4+2 kkh 19" xfId="6435"/>
    <cellStyle name="B_BotRC_HK.EEV-Apr06v2_HK.EEV-May06 4+2 kkh 19 2" xfId="6436"/>
    <cellStyle name="B_BotRC_HK.EEV-Apr06v2_HK.EEV-May06 4+2 kkh 19 3" xfId="26801"/>
    <cellStyle name="B_BotRC_HK.EEV-Apr06v2_HK.EEV-May06 4+2 kkh 2" xfId="6437"/>
    <cellStyle name="B_BotRC_HK.EEV-Apr06v2_HK.EEV-May06 4+2 kkh 2 2" xfId="6438"/>
    <cellStyle name="B_BotRC_HK.EEV-Apr06v2_HK.EEV-May06 4+2 kkh 2 3" xfId="26802"/>
    <cellStyle name="B_BotRC_HK.EEV-Apr06v2_HK.EEV-May06 4+2 kkh 20" xfId="6439"/>
    <cellStyle name="B_BotRC_HK.EEV-Apr06v2_HK.EEV-May06 4+2 kkh 20 2" xfId="6440"/>
    <cellStyle name="B_BotRC_HK.EEV-Apr06v2_HK.EEV-May06 4+2 kkh 20 3" xfId="26803"/>
    <cellStyle name="B_BotRC_HK.EEV-Apr06v2_HK.EEV-May06 4+2 kkh 21" xfId="6441"/>
    <cellStyle name="B_BotRC_HK.EEV-Apr06v2_HK.EEV-May06 4+2 kkh 21 2" xfId="6442"/>
    <cellStyle name="B_BotRC_HK.EEV-Apr06v2_HK.EEV-May06 4+2 kkh 21 3" xfId="26804"/>
    <cellStyle name="B_BotRC_HK.EEV-Apr06v2_HK.EEV-May06 4+2 kkh 22" xfId="6443"/>
    <cellStyle name="B_BotRC_HK.EEV-Apr06v2_HK.EEV-May06 4+2 kkh 22 2" xfId="6444"/>
    <cellStyle name="B_BotRC_HK.EEV-Apr06v2_HK.EEV-May06 4+2 kkh 22 3" xfId="26805"/>
    <cellStyle name="B_BotRC_HK.EEV-Apr06v2_HK.EEV-May06 4+2 kkh 23" xfId="6445"/>
    <cellStyle name="B_BotRC_HK.EEV-Apr06v2_HK.EEV-May06 4+2 kkh 23 2" xfId="6446"/>
    <cellStyle name="B_BotRC_HK.EEV-Apr06v2_HK.EEV-May06 4+2 kkh 23 3" xfId="26806"/>
    <cellStyle name="B_BotRC_HK.EEV-Apr06v2_HK.EEV-May06 4+2 kkh 24" xfId="6447"/>
    <cellStyle name="B_BotRC_HK.EEV-Apr06v2_HK.EEV-May06 4+2 kkh 25" xfId="26807"/>
    <cellStyle name="B_BotRC_HK.EEV-Apr06v2_HK.EEV-May06 4+2 kkh 3" xfId="6448"/>
    <cellStyle name="B_BotRC_HK.EEV-Apr06v2_HK.EEV-May06 4+2 kkh 3 2" xfId="6449"/>
    <cellStyle name="B_BotRC_HK.EEV-Apr06v2_HK.EEV-May06 4+2 kkh 3 3" xfId="26808"/>
    <cellStyle name="B_BotRC_HK.EEV-Apr06v2_HK.EEV-May06 4+2 kkh 4" xfId="6450"/>
    <cellStyle name="B_BotRC_HK.EEV-Apr06v2_HK.EEV-May06 4+2 kkh 4 2" xfId="6451"/>
    <cellStyle name="B_BotRC_HK.EEV-Apr06v2_HK.EEV-May06 4+2 kkh 4 3" xfId="26809"/>
    <cellStyle name="B_BotRC_HK.EEV-Apr06v2_HK.EEV-May06 4+2 kkh 5" xfId="6452"/>
    <cellStyle name="B_BotRC_HK.EEV-Apr06v2_HK.EEV-May06 4+2 kkh 5 2" xfId="6453"/>
    <cellStyle name="B_BotRC_HK.EEV-Apr06v2_HK.EEV-May06 4+2 kkh 5 3" xfId="26810"/>
    <cellStyle name="B_BotRC_HK.EEV-Apr06v2_HK.EEV-May06 4+2 kkh 6" xfId="6454"/>
    <cellStyle name="B_BotRC_HK.EEV-Apr06v2_HK.EEV-May06 4+2 kkh 6 2" xfId="6455"/>
    <cellStyle name="B_BotRC_HK.EEV-Apr06v2_HK.EEV-May06 4+2 kkh 6 3" xfId="26811"/>
    <cellStyle name="B_BotRC_HK.EEV-Apr06v2_HK.EEV-May06 4+2 kkh 7" xfId="6456"/>
    <cellStyle name="B_BotRC_HK.EEV-Apr06v2_HK.EEV-May06 4+2 kkh 7 2" xfId="6457"/>
    <cellStyle name="B_BotRC_HK.EEV-Apr06v2_HK.EEV-May06 4+2 kkh 7 3" xfId="26812"/>
    <cellStyle name="B_BotRC_HK.EEV-Apr06v2_HK.EEV-May06 4+2 kkh 8" xfId="6458"/>
    <cellStyle name="B_BotRC_HK.EEV-Apr06v2_HK.EEV-May06 4+2 kkh 8 2" xfId="6459"/>
    <cellStyle name="B_BotRC_HK.EEV-Apr06v2_HK.EEV-May06 4+2 kkh 8 3" xfId="26813"/>
    <cellStyle name="B_BotRC_HK.EEV-Apr06v2_HK.EEV-May06 4+2 kkh 9" xfId="6460"/>
    <cellStyle name="B_BotRC_HK.EEV-Apr06v2_HK.EEV-May06 4+2 kkh 9 2" xfId="6461"/>
    <cellStyle name="B_BotRC_HK.EEV-Apr06v2_HK.EEV-May06 4+2 kkh 9 3" xfId="26814"/>
    <cellStyle name="B_BotRC_HK.EEV-Apr06v2_HK.EEV-May06 4+2 kkh_PROD_DETAILS" xfId="6462"/>
    <cellStyle name="B_BotRC_HK.EEV-Apr06v2_HK.EEV-May06 4+2 kkh_PROD_DETAILS 2" xfId="6463"/>
    <cellStyle name="B_BotRC_HK.EEV-Apr06v2_HK.EEV-May06 4+2 kkh_PROD_DETAILS 3" xfId="26815"/>
    <cellStyle name="B_BotRC_HK.EEV-Apr06v2_HK.EEV-May06 4+2 kkh_SOLVENCY POSITION " xfId="6464"/>
    <cellStyle name="B_BotRC_HK.EEV-Apr06v2_HK.EEV-May06 4+2 kkh_SOLVENCY POSITION  2" xfId="6465"/>
    <cellStyle name="B_BotRC_HK.EEV-Apr06v2_HK.EEV-May06 4+2 kkh_SOLVENCY POSITION  3" xfId="26816"/>
    <cellStyle name="B_BotRC_HK.EEV-Apr06v2_PROD_DETAILS" xfId="6466"/>
    <cellStyle name="B_BotRC_HK.EEV-Apr06v2_PROD_DETAILS 2" xfId="6467"/>
    <cellStyle name="B_BotRC_HK.EEV-Apr06v2_PROD_DETAILS 3" xfId="26817"/>
    <cellStyle name="B_BotRC_HK.EEV-Apr06v2_SOLVENCY POSITION " xfId="6468"/>
    <cellStyle name="B_BotRC_HK.EEV-Apr06v2_SOLVENCY POSITION  2" xfId="6469"/>
    <cellStyle name="B_BotRC_HK.EEV-Apr06v2_SOLVENCY POSITION  3" xfId="26818"/>
    <cellStyle name="B_BotRC_HK.EEV-Jun06 07-09 2006 (QF3)" xfId="6470"/>
    <cellStyle name="B_BotRC_HK.EEV-Jun06 07-09 2006 (QF3) 10" xfId="6471"/>
    <cellStyle name="B_BotRC_HK.EEV-Jun06 07-09 2006 (QF3) 10 2" xfId="6472"/>
    <cellStyle name="B_BotRC_HK.EEV-Jun06 07-09 2006 (QF3) 10 3" xfId="26819"/>
    <cellStyle name="B_BotRC_HK.EEV-Jun06 07-09 2006 (QF3) 11" xfId="6473"/>
    <cellStyle name="B_BotRC_HK.EEV-Jun06 07-09 2006 (QF3) 11 2" xfId="6474"/>
    <cellStyle name="B_BotRC_HK.EEV-Jun06 07-09 2006 (QF3) 11 3" xfId="26820"/>
    <cellStyle name="B_BotRC_HK.EEV-Jun06 07-09 2006 (QF3) 12" xfId="6475"/>
    <cellStyle name="B_BotRC_HK.EEV-Jun06 07-09 2006 (QF3) 12 2" xfId="6476"/>
    <cellStyle name="B_BotRC_HK.EEV-Jun06 07-09 2006 (QF3) 12 3" xfId="26821"/>
    <cellStyle name="B_BotRC_HK.EEV-Jun06 07-09 2006 (QF3) 13" xfId="6477"/>
    <cellStyle name="B_BotRC_HK.EEV-Jun06 07-09 2006 (QF3) 13 2" xfId="6478"/>
    <cellStyle name="B_BotRC_HK.EEV-Jun06 07-09 2006 (QF3) 13 3" xfId="26822"/>
    <cellStyle name="B_BotRC_HK.EEV-Jun06 07-09 2006 (QF3) 14" xfId="6479"/>
    <cellStyle name="B_BotRC_HK.EEV-Jun06 07-09 2006 (QF3) 14 2" xfId="6480"/>
    <cellStyle name="B_BotRC_HK.EEV-Jun06 07-09 2006 (QF3) 14 3" xfId="26823"/>
    <cellStyle name="B_BotRC_HK.EEV-Jun06 07-09 2006 (QF3) 15" xfId="6481"/>
    <cellStyle name="B_BotRC_HK.EEV-Jun06 07-09 2006 (QF3) 15 2" xfId="6482"/>
    <cellStyle name="B_BotRC_HK.EEV-Jun06 07-09 2006 (QF3) 15 3" xfId="26824"/>
    <cellStyle name="B_BotRC_HK.EEV-Jun06 07-09 2006 (QF3) 16" xfId="6483"/>
    <cellStyle name="B_BotRC_HK.EEV-Jun06 07-09 2006 (QF3) 16 2" xfId="6484"/>
    <cellStyle name="B_BotRC_HK.EEV-Jun06 07-09 2006 (QF3) 16 3" xfId="26825"/>
    <cellStyle name="B_BotRC_HK.EEV-Jun06 07-09 2006 (QF3) 17" xfId="6485"/>
    <cellStyle name="B_BotRC_HK.EEV-Jun06 07-09 2006 (QF3) 17 2" xfId="6486"/>
    <cellStyle name="B_BotRC_HK.EEV-Jun06 07-09 2006 (QF3) 17 3" xfId="26826"/>
    <cellStyle name="B_BotRC_HK.EEV-Jun06 07-09 2006 (QF3) 18" xfId="6487"/>
    <cellStyle name="B_BotRC_HK.EEV-Jun06 07-09 2006 (QF3) 18 2" xfId="6488"/>
    <cellStyle name="B_BotRC_HK.EEV-Jun06 07-09 2006 (QF3) 18 3" xfId="26827"/>
    <cellStyle name="B_BotRC_HK.EEV-Jun06 07-09 2006 (QF3) 19" xfId="6489"/>
    <cellStyle name="B_BotRC_HK.EEV-Jun06 07-09 2006 (QF3) 19 2" xfId="6490"/>
    <cellStyle name="B_BotRC_HK.EEV-Jun06 07-09 2006 (QF3) 19 3" xfId="26828"/>
    <cellStyle name="B_BotRC_HK.EEV-Jun06 07-09 2006 (QF3) 2" xfId="6491"/>
    <cellStyle name="B_BotRC_HK.EEV-Jun06 07-09 2006 (QF3) 2 2" xfId="6492"/>
    <cellStyle name="B_BotRC_HK.EEV-Jun06 07-09 2006 (QF3) 2 3" xfId="26829"/>
    <cellStyle name="B_BotRC_HK.EEV-Jun06 07-09 2006 (QF3) 20" xfId="6493"/>
    <cellStyle name="B_BotRC_HK.EEV-Jun06 07-09 2006 (QF3) 20 2" xfId="6494"/>
    <cellStyle name="B_BotRC_HK.EEV-Jun06 07-09 2006 (QF3) 20 3" xfId="26830"/>
    <cellStyle name="B_BotRC_HK.EEV-Jun06 07-09 2006 (QF3) 21" xfId="6495"/>
    <cellStyle name="B_BotRC_HK.EEV-Jun06 07-09 2006 (QF3) 21 2" xfId="6496"/>
    <cellStyle name="B_BotRC_HK.EEV-Jun06 07-09 2006 (QF3) 21 3" xfId="26831"/>
    <cellStyle name="B_BotRC_HK.EEV-Jun06 07-09 2006 (QF3) 22" xfId="6497"/>
    <cellStyle name="B_BotRC_HK.EEV-Jun06 07-09 2006 (QF3) 22 2" xfId="6498"/>
    <cellStyle name="B_BotRC_HK.EEV-Jun06 07-09 2006 (QF3) 22 3" xfId="26832"/>
    <cellStyle name="B_BotRC_HK.EEV-Jun06 07-09 2006 (QF3) 23" xfId="6499"/>
    <cellStyle name="B_BotRC_HK.EEV-Jun06 07-09 2006 (QF3) 23 2" xfId="6500"/>
    <cellStyle name="B_BotRC_HK.EEV-Jun06 07-09 2006 (QF3) 23 3" xfId="26833"/>
    <cellStyle name="B_BotRC_HK.EEV-Jun06 07-09 2006 (QF3) 24" xfId="6501"/>
    <cellStyle name="B_BotRC_HK.EEV-Jun06 07-09 2006 (QF3) 25" xfId="26834"/>
    <cellStyle name="B_BotRC_HK.EEV-Jun06 07-09 2006 (QF3) 3" xfId="6502"/>
    <cellStyle name="B_BotRC_HK.EEV-Jun06 07-09 2006 (QF3) 3 2" xfId="6503"/>
    <cellStyle name="B_BotRC_HK.EEV-Jun06 07-09 2006 (QF3) 3 3" xfId="26835"/>
    <cellStyle name="B_BotRC_HK.EEV-Jun06 07-09 2006 (QF3) 4" xfId="6504"/>
    <cellStyle name="B_BotRC_HK.EEV-Jun06 07-09 2006 (QF3) 4 2" xfId="6505"/>
    <cellStyle name="B_BotRC_HK.EEV-Jun06 07-09 2006 (QF3) 4 3" xfId="26836"/>
    <cellStyle name="B_BotRC_HK.EEV-Jun06 07-09 2006 (QF3) 5" xfId="6506"/>
    <cellStyle name="B_BotRC_HK.EEV-Jun06 07-09 2006 (QF3) 5 2" xfId="6507"/>
    <cellStyle name="B_BotRC_HK.EEV-Jun06 07-09 2006 (QF3) 5 3" xfId="26837"/>
    <cellStyle name="B_BotRC_HK.EEV-Jun06 07-09 2006 (QF3) 6" xfId="6508"/>
    <cellStyle name="B_BotRC_HK.EEV-Jun06 07-09 2006 (QF3) 6 2" xfId="6509"/>
    <cellStyle name="B_BotRC_HK.EEV-Jun06 07-09 2006 (QF3) 6 3" xfId="26838"/>
    <cellStyle name="B_BotRC_HK.EEV-Jun06 07-09 2006 (QF3) 7" xfId="6510"/>
    <cellStyle name="B_BotRC_HK.EEV-Jun06 07-09 2006 (QF3) 7 2" xfId="6511"/>
    <cellStyle name="B_BotRC_HK.EEV-Jun06 07-09 2006 (QF3) 7 3" xfId="26839"/>
    <cellStyle name="B_BotRC_HK.EEV-Jun06 07-09 2006 (QF3) 8" xfId="6512"/>
    <cellStyle name="B_BotRC_HK.EEV-Jun06 07-09 2006 (QF3) 8 2" xfId="6513"/>
    <cellStyle name="B_BotRC_HK.EEV-Jun06 07-09 2006 (QF3) 8 3" xfId="26840"/>
    <cellStyle name="B_BotRC_HK.EEV-Jun06 07-09 2006 (QF3) 9" xfId="6514"/>
    <cellStyle name="B_BotRC_HK.EEV-Jun06 07-09 2006 (QF3) 9 2" xfId="6515"/>
    <cellStyle name="B_BotRC_HK.EEV-Jun06 07-09 2006 (QF3) 9 3" xfId="26841"/>
    <cellStyle name="B_BotRC_HK.EEV-Jun06 07-09 2006 (QF3)_PROD_DETAILS" xfId="6516"/>
    <cellStyle name="B_BotRC_HK.EEV-Jun06 07-09 2006 (QF3)_PROD_DETAILS 2" xfId="6517"/>
    <cellStyle name="B_BotRC_HK.EEV-Jun06 07-09 2006 (QF3)_PROD_DETAILS 3" xfId="26842"/>
    <cellStyle name="B_BotRC_HK.EEV-Jun06 07-09 2006 (QF3)_SOLVENCY POSITION " xfId="6518"/>
    <cellStyle name="B_BotRC_HK.EEV-Jun06 07-09 2006 (QF3)_SOLVENCY POSITION  2" xfId="6519"/>
    <cellStyle name="B_BotRC_HK.EEV-Jun06 07-09 2006 (QF3)_SOLVENCY POSITION  3" xfId="26843"/>
    <cellStyle name="B_BotRC_HK.EEV-May06 4+2" xfId="6520"/>
    <cellStyle name="B_BotRC_HK.EEV-May06 4+2 10" xfId="6521"/>
    <cellStyle name="B_BotRC_HK.EEV-May06 4+2 10 2" xfId="6522"/>
    <cellStyle name="B_BotRC_HK.EEV-May06 4+2 10 3" xfId="26844"/>
    <cellStyle name="B_BotRC_HK.EEV-May06 4+2 11" xfId="6523"/>
    <cellStyle name="B_BotRC_HK.EEV-May06 4+2 11 2" xfId="6524"/>
    <cellStyle name="B_BotRC_HK.EEV-May06 4+2 11 3" xfId="26845"/>
    <cellStyle name="B_BotRC_HK.EEV-May06 4+2 12" xfId="6525"/>
    <cellStyle name="B_BotRC_HK.EEV-May06 4+2 12 2" xfId="6526"/>
    <cellStyle name="B_BotRC_HK.EEV-May06 4+2 12 3" xfId="26846"/>
    <cellStyle name="B_BotRC_HK.EEV-May06 4+2 13" xfId="6527"/>
    <cellStyle name="B_BotRC_HK.EEV-May06 4+2 13 2" xfId="6528"/>
    <cellStyle name="B_BotRC_HK.EEV-May06 4+2 13 3" xfId="26847"/>
    <cellStyle name="B_BotRC_HK.EEV-May06 4+2 14" xfId="6529"/>
    <cellStyle name="B_BotRC_HK.EEV-May06 4+2 14 2" xfId="6530"/>
    <cellStyle name="B_BotRC_HK.EEV-May06 4+2 14 3" xfId="26848"/>
    <cellStyle name="B_BotRC_HK.EEV-May06 4+2 15" xfId="6531"/>
    <cellStyle name="B_BotRC_HK.EEV-May06 4+2 15 2" xfId="6532"/>
    <cellStyle name="B_BotRC_HK.EEV-May06 4+2 15 3" xfId="26849"/>
    <cellStyle name="B_BotRC_HK.EEV-May06 4+2 16" xfId="6533"/>
    <cellStyle name="B_BotRC_HK.EEV-May06 4+2 16 2" xfId="6534"/>
    <cellStyle name="B_BotRC_HK.EEV-May06 4+2 16 3" xfId="26850"/>
    <cellStyle name="B_BotRC_HK.EEV-May06 4+2 17" xfId="6535"/>
    <cellStyle name="B_BotRC_HK.EEV-May06 4+2 17 2" xfId="6536"/>
    <cellStyle name="B_BotRC_HK.EEV-May06 4+2 17 3" xfId="26851"/>
    <cellStyle name="B_BotRC_HK.EEV-May06 4+2 18" xfId="6537"/>
    <cellStyle name="B_BotRC_HK.EEV-May06 4+2 18 2" xfId="6538"/>
    <cellStyle name="B_BotRC_HK.EEV-May06 4+2 18 3" xfId="26852"/>
    <cellStyle name="B_BotRC_HK.EEV-May06 4+2 19" xfId="6539"/>
    <cellStyle name="B_BotRC_HK.EEV-May06 4+2 19 2" xfId="6540"/>
    <cellStyle name="B_BotRC_HK.EEV-May06 4+2 19 3" xfId="26853"/>
    <cellStyle name="B_BotRC_HK.EEV-May06 4+2 2" xfId="6541"/>
    <cellStyle name="B_BotRC_HK.EEV-May06 4+2 2 2" xfId="6542"/>
    <cellStyle name="B_BotRC_HK.EEV-May06 4+2 2 3" xfId="26854"/>
    <cellStyle name="B_BotRC_HK.EEV-May06 4+2 20" xfId="6543"/>
    <cellStyle name="B_BotRC_HK.EEV-May06 4+2 20 2" xfId="6544"/>
    <cellStyle name="B_BotRC_HK.EEV-May06 4+2 20 3" xfId="26855"/>
    <cellStyle name="B_BotRC_HK.EEV-May06 4+2 21" xfId="6545"/>
    <cellStyle name="B_BotRC_HK.EEV-May06 4+2 21 2" xfId="6546"/>
    <cellStyle name="B_BotRC_HK.EEV-May06 4+2 21 3" xfId="26856"/>
    <cellStyle name="B_BotRC_HK.EEV-May06 4+2 22" xfId="6547"/>
    <cellStyle name="B_BotRC_HK.EEV-May06 4+2 22 2" xfId="6548"/>
    <cellStyle name="B_BotRC_HK.EEV-May06 4+2 22 3" xfId="26857"/>
    <cellStyle name="B_BotRC_HK.EEV-May06 4+2 23" xfId="6549"/>
    <cellStyle name="B_BotRC_HK.EEV-May06 4+2 23 2" xfId="6550"/>
    <cellStyle name="B_BotRC_HK.EEV-May06 4+2 23 3" xfId="26858"/>
    <cellStyle name="B_BotRC_HK.EEV-May06 4+2 24" xfId="6551"/>
    <cellStyle name="B_BotRC_HK.EEV-May06 4+2 25" xfId="26859"/>
    <cellStyle name="B_BotRC_HK.EEV-May06 4+2 3" xfId="6552"/>
    <cellStyle name="B_BotRC_HK.EEV-May06 4+2 3 2" xfId="6553"/>
    <cellStyle name="B_BotRC_HK.EEV-May06 4+2 3 3" xfId="26860"/>
    <cellStyle name="B_BotRC_HK.EEV-May06 4+2 4" xfId="6554"/>
    <cellStyle name="B_BotRC_HK.EEV-May06 4+2 4 2" xfId="6555"/>
    <cellStyle name="B_BotRC_HK.EEV-May06 4+2 4 3" xfId="26861"/>
    <cellStyle name="B_BotRC_HK.EEV-May06 4+2 5" xfId="6556"/>
    <cellStyle name="B_BotRC_HK.EEV-May06 4+2 5 2" xfId="6557"/>
    <cellStyle name="B_BotRC_HK.EEV-May06 4+2 5 3" xfId="26862"/>
    <cellStyle name="B_BotRC_HK.EEV-May06 4+2 6" xfId="6558"/>
    <cellStyle name="B_BotRC_HK.EEV-May06 4+2 6 2" xfId="6559"/>
    <cellStyle name="B_BotRC_HK.EEV-May06 4+2 6 3" xfId="26863"/>
    <cellStyle name="B_BotRC_HK.EEV-May06 4+2 7" xfId="6560"/>
    <cellStyle name="B_BotRC_HK.EEV-May06 4+2 7 2" xfId="6561"/>
    <cellStyle name="B_BotRC_HK.EEV-May06 4+2 7 3" xfId="26864"/>
    <cellStyle name="B_BotRC_HK.EEV-May06 4+2 8" xfId="6562"/>
    <cellStyle name="B_BotRC_HK.EEV-May06 4+2 8 2" xfId="6563"/>
    <cellStyle name="B_BotRC_HK.EEV-May06 4+2 8 3" xfId="26865"/>
    <cellStyle name="B_BotRC_HK.EEV-May06 4+2 9" xfId="6564"/>
    <cellStyle name="B_BotRC_HK.EEV-May06 4+2 9 2" xfId="6565"/>
    <cellStyle name="B_BotRC_HK.EEV-May06 4+2 9 3" xfId="26866"/>
    <cellStyle name="B_BotRC_HK.EEV-May06 4+2_HK.EEV-May06 4+2 kkh" xfId="6566"/>
    <cellStyle name="B_BotRC_HK.EEV-May06 4+2_HK.EEV-May06 4+2 kkh 10" xfId="6567"/>
    <cellStyle name="B_BotRC_HK.EEV-May06 4+2_HK.EEV-May06 4+2 kkh 10 2" xfId="6568"/>
    <cellStyle name="B_BotRC_HK.EEV-May06 4+2_HK.EEV-May06 4+2 kkh 10 3" xfId="26867"/>
    <cellStyle name="B_BotRC_HK.EEV-May06 4+2_HK.EEV-May06 4+2 kkh 11" xfId="6569"/>
    <cellStyle name="B_BotRC_HK.EEV-May06 4+2_HK.EEV-May06 4+2 kkh 11 2" xfId="6570"/>
    <cellStyle name="B_BotRC_HK.EEV-May06 4+2_HK.EEV-May06 4+2 kkh 11 3" xfId="26868"/>
    <cellStyle name="B_BotRC_HK.EEV-May06 4+2_HK.EEV-May06 4+2 kkh 12" xfId="6571"/>
    <cellStyle name="B_BotRC_HK.EEV-May06 4+2_HK.EEV-May06 4+2 kkh 12 2" xfId="6572"/>
    <cellStyle name="B_BotRC_HK.EEV-May06 4+2_HK.EEV-May06 4+2 kkh 12 3" xfId="26869"/>
    <cellStyle name="B_BotRC_HK.EEV-May06 4+2_HK.EEV-May06 4+2 kkh 13" xfId="6573"/>
    <cellStyle name="B_BotRC_HK.EEV-May06 4+2_HK.EEV-May06 4+2 kkh 13 2" xfId="6574"/>
    <cellStyle name="B_BotRC_HK.EEV-May06 4+2_HK.EEV-May06 4+2 kkh 13 3" xfId="26870"/>
    <cellStyle name="B_BotRC_HK.EEV-May06 4+2_HK.EEV-May06 4+2 kkh 14" xfId="6575"/>
    <cellStyle name="B_BotRC_HK.EEV-May06 4+2_HK.EEV-May06 4+2 kkh 14 2" xfId="6576"/>
    <cellStyle name="B_BotRC_HK.EEV-May06 4+2_HK.EEV-May06 4+2 kkh 14 3" xfId="26871"/>
    <cellStyle name="B_BotRC_HK.EEV-May06 4+2_HK.EEV-May06 4+2 kkh 15" xfId="6577"/>
    <cellStyle name="B_BotRC_HK.EEV-May06 4+2_HK.EEV-May06 4+2 kkh 15 2" xfId="6578"/>
    <cellStyle name="B_BotRC_HK.EEV-May06 4+2_HK.EEV-May06 4+2 kkh 15 3" xfId="26872"/>
    <cellStyle name="B_BotRC_HK.EEV-May06 4+2_HK.EEV-May06 4+2 kkh 16" xfId="6579"/>
    <cellStyle name="B_BotRC_HK.EEV-May06 4+2_HK.EEV-May06 4+2 kkh 16 2" xfId="6580"/>
    <cellStyle name="B_BotRC_HK.EEV-May06 4+2_HK.EEV-May06 4+2 kkh 16 3" xfId="26873"/>
    <cellStyle name="B_BotRC_HK.EEV-May06 4+2_HK.EEV-May06 4+2 kkh 17" xfId="6581"/>
    <cellStyle name="B_BotRC_HK.EEV-May06 4+2_HK.EEV-May06 4+2 kkh 17 2" xfId="6582"/>
    <cellStyle name="B_BotRC_HK.EEV-May06 4+2_HK.EEV-May06 4+2 kkh 17 3" xfId="26874"/>
    <cellStyle name="B_BotRC_HK.EEV-May06 4+2_HK.EEV-May06 4+2 kkh 18" xfId="6583"/>
    <cellStyle name="B_BotRC_HK.EEV-May06 4+2_HK.EEV-May06 4+2 kkh 18 2" xfId="6584"/>
    <cellStyle name="B_BotRC_HK.EEV-May06 4+2_HK.EEV-May06 4+2 kkh 18 3" xfId="26875"/>
    <cellStyle name="B_BotRC_HK.EEV-May06 4+2_HK.EEV-May06 4+2 kkh 19" xfId="6585"/>
    <cellStyle name="B_BotRC_HK.EEV-May06 4+2_HK.EEV-May06 4+2 kkh 19 2" xfId="6586"/>
    <cellStyle name="B_BotRC_HK.EEV-May06 4+2_HK.EEV-May06 4+2 kkh 19 3" xfId="26876"/>
    <cellStyle name="B_BotRC_HK.EEV-May06 4+2_HK.EEV-May06 4+2 kkh 2" xfId="6587"/>
    <cellStyle name="B_BotRC_HK.EEV-May06 4+2_HK.EEV-May06 4+2 kkh 2 2" xfId="6588"/>
    <cellStyle name="B_BotRC_HK.EEV-May06 4+2_HK.EEV-May06 4+2 kkh 2 3" xfId="26877"/>
    <cellStyle name="B_BotRC_HK.EEV-May06 4+2_HK.EEV-May06 4+2 kkh 20" xfId="6589"/>
    <cellStyle name="B_BotRC_HK.EEV-May06 4+2_HK.EEV-May06 4+2 kkh 20 2" xfId="6590"/>
    <cellStyle name="B_BotRC_HK.EEV-May06 4+2_HK.EEV-May06 4+2 kkh 20 3" xfId="26878"/>
    <cellStyle name="B_BotRC_HK.EEV-May06 4+2_HK.EEV-May06 4+2 kkh 21" xfId="6591"/>
    <cellStyle name="B_BotRC_HK.EEV-May06 4+2_HK.EEV-May06 4+2 kkh 21 2" xfId="6592"/>
    <cellStyle name="B_BotRC_HK.EEV-May06 4+2_HK.EEV-May06 4+2 kkh 21 3" xfId="26879"/>
    <cellStyle name="B_BotRC_HK.EEV-May06 4+2_HK.EEV-May06 4+2 kkh 22" xfId="6593"/>
    <cellStyle name="B_BotRC_HK.EEV-May06 4+2_HK.EEV-May06 4+2 kkh 22 2" xfId="6594"/>
    <cellStyle name="B_BotRC_HK.EEV-May06 4+2_HK.EEV-May06 4+2 kkh 22 3" xfId="26880"/>
    <cellStyle name="B_BotRC_HK.EEV-May06 4+2_HK.EEV-May06 4+2 kkh 23" xfId="6595"/>
    <cellStyle name="B_BotRC_HK.EEV-May06 4+2_HK.EEV-May06 4+2 kkh 23 2" xfId="6596"/>
    <cellStyle name="B_BotRC_HK.EEV-May06 4+2_HK.EEV-May06 4+2 kkh 23 3" xfId="26881"/>
    <cellStyle name="B_BotRC_HK.EEV-May06 4+2_HK.EEV-May06 4+2 kkh 24" xfId="6597"/>
    <cellStyle name="B_BotRC_HK.EEV-May06 4+2_HK.EEV-May06 4+2 kkh 25" xfId="26882"/>
    <cellStyle name="B_BotRC_HK.EEV-May06 4+2_HK.EEV-May06 4+2 kkh 3" xfId="6598"/>
    <cellStyle name="B_BotRC_HK.EEV-May06 4+2_HK.EEV-May06 4+2 kkh 3 2" xfId="6599"/>
    <cellStyle name="B_BotRC_HK.EEV-May06 4+2_HK.EEV-May06 4+2 kkh 3 3" xfId="26883"/>
    <cellStyle name="B_BotRC_HK.EEV-May06 4+2_HK.EEV-May06 4+2 kkh 4" xfId="6600"/>
    <cellStyle name="B_BotRC_HK.EEV-May06 4+2_HK.EEV-May06 4+2 kkh 4 2" xfId="6601"/>
    <cellStyle name="B_BotRC_HK.EEV-May06 4+2_HK.EEV-May06 4+2 kkh 4 3" xfId="26884"/>
    <cellStyle name="B_BotRC_HK.EEV-May06 4+2_HK.EEV-May06 4+2 kkh 5" xfId="6602"/>
    <cellStyle name="B_BotRC_HK.EEV-May06 4+2_HK.EEV-May06 4+2 kkh 5 2" xfId="6603"/>
    <cellStyle name="B_BotRC_HK.EEV-May06 4+2_HK.EEV-May06 4+2 kkh 5 3" xfId="26885"/>
    <cellStyle name="B_BotRC_HK.EEV-May06 4+2_HK.EEV-May06 4+2 kkh 6" xfId="6604"/>
    <cellStyle name="B_BotRC_HK.EEV-May06 4+2_HK.EEV-May06 4+2 kkh 6 2" xfId="6605"/>
    <cellStyle name="B_BotRC_HK.EEV-May06 4+2_HK.EEV-May06 4+2 kkh 6 3" xfId="26886"/>
    <cellStyle name="B_BotRC_HK.EEV-May06 4+2_HK.EEV-May06 4+2 kkh 7" xfId="6606"/>
    <cellStyle name="B_BotRC_HK.EEV-May06 4+2_HK.EEV-May06 4+2 kkh 7 2" xfId="6607"/>
    <cellStyle name="B_BotRC_HK.EEV-May06 4+2_HK.EEV-May06 4+2 kkh 7 3" xfId="26887"/>
    <cellStyle name="B_BotRC_HK.EEV-May06 4+2_HK.EEV-May06 4+2 kkh 8" xfId="6608"/>
    <cellStyle name="B_BotRC_HK.EEV-May06 4+2_HK.EEV-May06 4+2 kkh 8 2" xfId="6609"/>
    <cellStyle name="B_BotRC_HK.EEV-May06 4+2_HK.EEV-May06 4+2 kkh 8 3" xfId="26888"/>
    <cellStyle name="B_BotRC_HK.EEV-May06 4+2_HK.EEV-May06 4+2 kkh 9" xfId="6610"/>
    <cellStyle name="B_BotRC_HK.EEV-May06 4+2_HK.EEV-May06 4+2 kkh 9 2" xfId="6611"/>
    <cellStyle name="B_BotRC_HK.EEV-May06 4+2_HK.EEV-May06 4+2 kkh 9 3" xfId="26889"/>
    <cellStyle name="B_BotRC_HK.EEV-May06 4+2_HK.EEV-May06 4+2 kkh_PROD_DETAILS" xfId="6612"/>
    <cellStyle name="B_BotRC_HK.EEV-May06 4+2_HK.EEV-May06 4+2 kkh_PROD_DETAILS 2" xfId="6613"/>
    <cellStyle name="B_BotRC_HK.EEV-May06 4+2_HK.EEV-May06 4+2 kkh_PROD_DETAILS 3" xfId="26890"/>
    <cellStyle name="B_BotRC_HK.EEV-May06 4+2_HK.EEV-May06 4+2 kkh_SOLVENCY POSITION " xfId="6614"/>
    <cellStyle name="B_BotRC_HK.EEV-May06 4+2_HK.EEV-May06 4+2 kkh_SOLVENCY POSITION  2" xfId="6615"/>
    <cellStyle name="B_BotRC_HK.EEV-May06 4+2_HK.EEV-May06 4+2 kkh_SOLVENCY POSITION  3" xfId="26891"/>
    <cellStyle name="B_BotRC_HK.EEV-May06 4+2_PROD_DETAILS" xfId="6616"/>
    <cellStyle name="B_BotRC_HK.EEV-May06 4+2_PROD_DETAILS 2" xfId="6617"/>
    <cellStyle name="B_BotRC_HK.EEV-May06 4+2_PROD_DETAILS 3" xfId="26892"/>
    <cellStyle name="B_BotRC_HK.EEV-May06 4+2_SOLVENCY POSITION " xfId="6618"/>
    <cellStyle name="B_BotRC_HK.EEV-May06 4+2_SOLVENCY POSITION  2" xfId="6619"/>
    <cellStyle name="B_BotRC_HK.EEV-May06 4+2_SOLVENCY POSITION  3" xfId="26893"/>
    <cellStyle name="B_BotRC_HK.NBC@Mar2006" xfId="6620"/>
    <cellStyle name="B_BotRC_HK.NBC@Mar2006 10" xfId="6621"/>
    <cellStyle name="B_BotRC_HK.NBC@Mar2006 10 2" xfId="6622"/>
    <cellStyle name="B_BotRC_HK.NBC@Mar2006 10 3" xfId="26894"/>
    <cellStyle name="B_BotRC_HK.NBC@Mar2006 11" xfId="6623"/>
    <cellStyle name="B_BotRC_HK.NBC@Mar2006 11 2" xfId="6624"/>
    <cellStyle name="B_BotRC_HK.NBC@Mar2006 11 3" xfId="26895"/>
    <cellStyle name="B_BotRC_HK.NBC@Mar2006 12" xfId="6625"/>
    <cellStyle name="B_BotRC_HK.NBC@Mar2006 12 2" xfId="6626"/>
    <cellStyle name="B_BotRC_HK.NBC@Mar2006 12 3" xfId="26896"/>
    <cellStyle name="B_BotRC_HK.NBC@Mar2006 13" xfId="6627"/>
    <cellStyle name="B_BotRC_HK.NBC@Mar2006 13 2" xfId="6628"/>
    <cellStyle name="B_BotRC_HK.NBC@Mar2006 13 3" xfId="26897"/>
    <cellStyle name="B_BotRC_HK.NBC@Mar2006 14" xfId="6629"/>
    <cellStyle name="B_BotRC_HK.NBC@Mar2006 14 2" xfId="6630"/>
    <cellStyle name="B_BotRC_HK.NBC@Mar2006 14 3" xfId="26898"/>
    <cellStyle name="B_BotRC_HK.NBC@Mar2006 15" xfId="6631"/>
    <cellStyle name="B_BotRC_HK.NBC@Mar2006 15 2" xfId="6632"/>
    <cellStyle name="B_BotRC_HK.NBC@Mar2006 15 3" xfId="26899"/>
    <cellStyle name="B_BotRC_HK.NBC@Mar2006 16" xfId="6633"/>
    <cellStyle name="B_BotRC_HK.NBC@Mar2006 16 2" xfId="6634"/>
    <cellStyle name="B_BotRC_HK.NBC@Mar2006 16 3" xfId="26900"/>
    <cellStyle name="B_BotRC_HK.NBC@Mar2006 17" xfId="6635"/>
    <cellStyle name="B_BotRC_HK.NBC@Mar2006 17 2" xfId="6636"/>
    <cellStyle name="B_BotRC_HK.NBC@Mar2006 17 3" xfId="26901"/>
    <cellStyle name="B_BotRC_HK.NBC@Mar2006 18" xfId="6637"/>
    <cellStyle name="B_BotRC_HK.NBC@Mar2006 18 2" xfId="6638"/>
    <cellStyle name="B_BotRC_HK.NBC@Mar2006 18 3" xfId="26902"/>
    <cellStyle name="B_BotRC_HK.NBC@Mar2006 19" xfId="6639"/>
    <cellStyle name="B_BotRC_HK.NBC@Mar2006 19 2" xfId="6640"/>
    <cellStyle name="B_BotRC_HK.NBC@Mar2006 19 3" xfId="26903"/>
    <cellStyle name="B_BotRC_HK.NBC@Mar2006 2" xfId="6641"/>
    <cellStyle name="B_BotRC_HK.NBC@Mar2006 2 2" xfId="6642"/>
    <cellStyle name="B_BotRC_HK.NBC@Mar2006 2 3" xfId="26904"/>
    <cellStyle name="B_BotRC_HK.NBC@Mar2006 20" xfId="6643"/>
    <cellStyle name="B_BotRC_HK.NBC@Mar2006 20 2" xfId="6644"/>
    <cellStyle name="B_BotRC_HK.NBC@Mar2006 20 3" xfId="26905"/>
    <cellStyle name="B_BotRC_HK.NBC@Mar2006 21" xfId="6645"/>
    <cellStyle name="B_BotRC_HK.NBC@Mar2006 21 2" xfId="6646"/>
    <cellStyle name="B_BotRC_HK.NBC@Mar2006 21 3" xfId="26906"/>
    <cellStyle name="B_BotRC_HK.NBC@Mar2006 22" xfId="6647"/>
    <cellStyle name="B_BotRC_HK.NBC@Mar2006 22 2" xfId="6648"/>
    <cellStyle name="B_BotRC_HK.NBC@Mar2006 22 3" xfId="26907"/>
    <cellStyle name="B_BotRC_HK.NBC@Mar2006 23" xfId="6649"/>
    <cellStyle name="B_BotRC_HK.NBC@Mar2006 23 2" xfId="6650"/>
    <cellStyle name="B_BotRC_HK.NBC@Mar2006 23 3" xfId="26908"/>
    <cellStyle name="B_BotRC_HK.NBC@Mar2006 24" xfId="6651"/>
    <cellStyle name="B_BotRC_HK.NBC@Mar2006 25" xfId="26909"/>
    <cellStyle name="B_BotRC_HK.NBC@Mar2006 3" xfId="6652"/>
    <cellStyle name="B_BotRC_HK.NBC@Mar2006 3 2" xfId="6653"/>
    <cellStyle name="B_BotRC_HK.NBC@Mar2006 3 3" xfId="26910"/>
    <cellStyle name="B_BotRC_HK.NBC@Mar2006 4" xfId="6654"/>
    <cellStyle name="B_BotRC_HK.NBC@Mar2006 4 2" xfId="6655"/>
    <cellStyle name="B_BotRC_HK.NBC@Mar2006 4 3" xfId="26911"/>
    <cellStyle name="B_BotRC_HK.NBC@Mar2006 5" xfId="6656"/>
    <cellStyle name="B_BotRC_HK.NBC@Mar2006 5 2" xfId="6657"/>
    <cellStyle name="B_BotRC_HK.NBC@Mar2006 5 3" xfId="26912"/>
    <cellStyle name="B_BotRC_HK.NBC@Mar2006 6" xfId="6658"/>
    <cellStyle name="B_BotRC_HK.NBC@Mar2006 6 2" xfId="6659"/>
    <cellStyle name="B_BotRC_HK.NBC@Mar2006 6 3" xfId="26913"/>
    <cellStyle name="B_BotRC_HK.NBC@Mar2006 7" xfId="6660"/>
    <cellStyle name="B_BotRC_HK.NBC@Mar2006 7 2" xfId="6661"/>
    <cellStyle name="B_BotRC_HK.NBC@Mar2006 7 3" xfId="26914"/>
    <cellStyle name="B_BotRC_HK.NBC@Mar2006 8" xfId="6662"/>
    <cellStyle name="B_BotRC_HK.NBC@Mar2006 8 2" xfId="6663"/>
    <cellStyle name="B_BotRC_HK.NBC@Mar2006 8 3" xfId="26915"/>
    <cellStyle name="B_BotRC_HK.NBC@Mar2006 9" xfId="6664"/>
    <cellStyle name="B_BotRC_HK.NBC@Mar2006 9 2" xfId="6665"/>
    <cellStyle name="B_BotRC_HK.NBC@Mar2006 9 3" xfId="26916"/>
    <cellStyle name="B_BotRC_HK.NBC@Mar2006_HK.EEV-May06 4+2 kkh" xfId="6666"/>
    <cellStyle name="B_BotRC_HK.NBC@Mar2006_HK.EEV-May06 4+2 kkh 10" xfId="6667"/>
    <cellStyle name="B_BotRC_HK.NBC@Mar2006_HK.EEV-May06 4+2 kkh 10 2" xfId="6668"/>
    <cellStyle name="B_BotRC_HK.NBC@Mar2006_HK.EEV-May06 4+2 kkh 10 3" xfId="26917"/>
    <cellStyle name="B_BotRC_HK.NBC@Mar2006_HK.EEV-May06 4+2 kkh 11" xfId="6669"/>
    <cellStyle name="B_BotRC_HK.NBC@Mar2006_HK.EEV-May06 4+2 kkh 11 2" xfId="6670"/>
    <cellStyle name="B_BotRC_HK.NBC@Mar2006_HK.EEV-May06 4+2 kkh 11 3" xfId="26918"/>
    <cellStyle name="B_BotRC_HK.NBC@Mar2006_HK.EEV-May06 4+2 kkh 12" xfId="6671"/>
    <cellStyle name="B_BotRC_HK.NBC@Mar2006_HK.EEV-May06 4+2 kkh 12 2" xfId="6672"/>
    <cellStyle name="B_BotRC_HK.NBC@Mar2006_HK.EEV-May06 4+2 kkh 12 3" xfId="26919"/>
    <cellStyle name="B_BotRC_HK.NBC@Mar2006_HK.EEV-May06 4+2 kkh 13" xfId="6673"/>
    <cellStyle name="B_BotRC_HK.NBC@Mar2006_HK.EEV-May06 4+2 kkh 13 2" xfId="6674"/>
    <cellStyle name="B_BotRC_HK.NBC@Mar2006_HK.EEV-May06 4+2 kkh 13 3" xfId="26920"/>
    <cellStyle name="B_BotRC_HK.NBC@Mar2006_HK.EEV-May06 4+2 kkh 14" xfId="6675"/>
    <cellStyle name="B_BotRC_HK.NBC@Mar2006_HK.EEV-May06 4+2 kkh 14 2" xfId="6676"/>
    <cellStyle name="B_BotRC_HK.NBC@Mar2006_HK.EEV-May06 4+2 kkh 14 3" xfId="26921"/>
    <cellStyle name="B_BotRC_HK.NBC@Mar2006_HK.EEV-May06 4+2 kkh 15" xfId="6677"/>
    <cellStyle name="B_BotRC_HK.NBC@Mar2006_HK.EEV-May06 4+2 kkh 15 2" xfId="6678"/>
    <cellStyle name="B_BotRC_HK.NBC@Mar2006_HK.EEV-May06 4+2 kkh 15 3" xfId="26922"/>
    <cellStyle name="B_BotRC_HK.NBC@Mar2006_HK.EEV-May06 4+2 kkh 16" xfId="6679"/>
    <cellStyle name="B_BotRC_HK.NBC@Mar2006_HK.EEV-May06 4+2 kkh 16 2" xfId="6680"/>
    <cellStyle name="B_BotRC_HK.NBC@Mar2006_HK.EEV-May06 4+2 kkh 16 3" xfId="26923"/>
    <cellStyle name="B_BotRC_HK.NBC@Mar2006_HK.EEV-May06 4+2 kkh 17" xfId="6681"/>
    <cellStyle name="B_BotRC_HK.NBC@Mar2006_HK.EEV-May06 4+2 kkh 17 2" xfId="6682"/>
    <cellStyle name="B_BotRC_HK.NBC@Mar2006_HK.EEV-May06 4+2 kkh 17 3" xfId="26924"/>
    <cellStyle name="B_BotRC_HK.NBC@Mar2006_HK.EEV-May06 4+2 kkh 18" xfId="6683"/>
    <cellStyle name="B_BotRC_HK.NBC@Mar2006_HK.EEV-May06 4+2 kkh 18 2" xfId="6684"/>
    <cellStyle name="B_BotRC_HK.NBC@Mar2006_HK.EEV-May06 4+2 kkh 18 3" xfId="26925"/>
    <cellStyle name="B_BotRC_HK.NBC@Mar2006_HK.EEV-May06 4+2 kkh 19" xfId="6685"/>
    <cellStyle name="B_BotRC_HK.NBC@Mar2006_HK.EEV-May06 4+2 kkh 19 2" xfId="6686"/>
    <cellStyle name="B_BotRC_HK.NBC@Mar2006_HK.EEV-May06 4+2 kkh 19 3" xfId="26926"/>
    <cellStyle name="B_BotRC_HK.NBC@Mar2006_HK.EEV-May06 4+2 kkh 2" xfId="6687"/>
    <cellStyle name="B_BotRC_HK.NBC@Mar2006_HK.EEV-May06 4+2 kkh 2 2" xfId="6688"/>
    <cellStyle name="B_BotRC_HK.NBC@Mar2006_HK.EEV-May06 4+2 kkh 2 3" xfId="26927"/>
    <cellStyle name="B_BotRC_HK.NBC@Mar2006_HK.EEV-May06 4+2 kkh 20" xfId="6689"/>
    <cellStyle name="B_BotRC_HK.NBC@Mar2006_HK.EEV-May06 4+2 kkh 20 2" xfId="6690"/>
    <cellStyle name="B_BotRC_HK.NBC@Mar2006_HK.EEV-May06 4+2 kkh 20 3" xfId="26928"/>
    <cellStyle name="B_BotRC_HK.NBC@Mar2006_HK.EEV-May06 4+2 kkh 21" xfId="6691"/>
    <cellStyle name="B_BotRC_HK.NBC@Mar2006_HK.EEV-May06 4+2 kkh 21 2" xfId="6692"/>
    <cellStyle name="B_BotRC_HK.NBC@Mar2006_HK.EEV-May06 4+2 kkh 21 3" xfId="26929"/>
    <cellStyle name="B_BotRC_HK.NBC@Mar2006_HK.EEV-May06 4+2 kkh 22" xfId="6693"/>
    <cellStyle name="B_BotRC_HK.NBC@Mar2006_HK.EEV-May06 4+2 kkh 22 2" xfId="6694"/>
    <cellStyle name="B_BotRC_HK.NBC@Mar2006_HK.EEV-May06 4+2 kkh 22 3" xfId="26930"/>
    <cellStyle name="B_BotRC_HK.NBC@Mar2006_HK.EEV-May06 4+2 kkh 23" xfId="6695"/>
    <cellStyle name="B_BotRC_HK.NBC@Mar2006_HK.EEV-May06 4+2 kkh 23 2" xfId="6696"/>
    <cellStyle name="B_BotRC_HK.NBC@Mar2006_HK.EEV-May06 4+2 kkh 23 3" xfId="26931"/>
    <cellStyle name="B_BotRC_HK.NBC@Mar2006_HK.EEV-May06 4+2 kkh 24" xfId="6697"/>
    <cellStyle name="B_BotRC_HK.NBC@Mar2006_HK.EEV-May06 4+2 kkh 25" xfId="26932"/>
    <cellStyle name="B_BotRC_HK.NBC@Mar2006_HK.EEV-May06 4+2 kkh 3" xfId="6698"/>
    <cellStyle name="B_BotRC_HK.NBC@Mar2006_HK.EEV-May06 4+2 kkh 3 2" xfId="6699"/>
    <cellStyle name="B_BotRC_HK.NBC@Mar2006_HK.EEV-May06 4+2 kkh 3 3" xfId="26933"/>
    <cellStyle name="B_BotRC_HK.NBC@Mar2006_HK.EEV-May06 4+2 kkh 4" xfId="6700"/>
    <cellStyle name="B_BotRC_HK.NBC@Mar2006_HK.EEV-May06 4+2 kkh 4 2" xfId="6701"/>
    <cellStyle name="B_BotRC_HK.NBC@Mar2006_HK.EEV-May06 4+2 kkh 4 3" xfId="26934"/>
    <cellStyle name="B_BotRC_HK.NBC@Mar2006_HK.EEV-May06 4+2 kkh 5" xfId="6702"/>
    <cellStyle name="B_BotRC_HK.NBC@Mar2006_HK.EEV-May06 4+2 kkh 5 2" xfId="6703"/>
    <cellStyle name="B_BotRC_HK.NBC@Mar2006_HK.EEV-May06 4+2 kkh 5 3" xfId="26935"/>
    <cellStyle name="B_BotRC_HK.NBC@Mar2006_HK.EEV-May06 4+2 kkh 6" xfId="6704"/>
    <cellStyle name="B_BotRC_HK.NBC@Mar2006_HK.EEV-May06 4+2 kkh 6 2" xfId="6705"/>
    <cellStyle name="B_BotRC_HK.NBC@Mar2006_HK.EEV-May06 4+2 kkh 6 3" xfId="26936"/>
    <cellStyle name="B_BotRC_HK.NBC@Mar2006_HK.EEV-May06 4+2 kkh 7" xfId="6706"/>
    <cellStyle name="B_BotRC_HK.NBC@Mar2006_HK.EEV-May06 4+2 kkh 7 2" xfId="6707"/>
    <cellStyle name="B_BotRC_HK.NBC@Mar2006_HK.EEV-May06 4+2 kkh 7 3" xfId="26937"/>
    <cellStyle name="B_BotRC_HK.NBC@Mar2006_HK.EEV-May06 4+2 kkh 8" xfId="6708"/>
    <cellStyle name="B_BotRC_HK.NBC@Mar2006_HK.EEV-May06 4+2 kkh 8 2" xfId="6709"/>
    <cellStyle name="B_BotRC_HK.NBC@Mar2006_HK.EEV-May06 4+2 kkh 8 3" xfId="26938"/>
    <cellStyle name="B_BotRC_HK.NBC@Mar2006_HK.EEV-May06 4+2 kkh 9" xfId="6710"/>
    <cellStyle name="B_BotRC_HK.NBC@Mar2006_HK.EEV-May06 4+2 kkh 9 2" xfId="6711"/>
    <cellStyle name="B_BotRC_HK.NBC@Mar2006_HK.EEV-May06 4+2 kkh 9 3" xfId="26939"/>
    <cellStyle name="B_BotRC_HK.NBC@Mar2006_HK.EEV-May06 4+2 kkh_PROD_DETAILS" xfId="6712"/>
    <cellStyle name="B_BotRC_HK.NBC@Mar2006_HK.EEV-May06 4+2 kkh_PROD_DETAILS 2" xfId="6713"/>
    <cellStyle name="B_BotRC_HK.NBC@Mar2006_HK.EEV-May06 4+2 kkh_PROD_DETAILS 3" xfId="26940"/>
    <cellStyle name="B_BotRC_HK.NBC@Mar2006_HK.EEV-May06 4+2 kkh_SOLVENCY POSITION " xfId="6714"/>
    <cellStyle name="B_BotRC_HK.NBC@Mar2006_HK.EEV-May06 4+2 kkh_SOLVENCY POSITION  2" xfId="6715"/>
    <cellStyle name="B_BotRC_HK.NBC@Mar2006_HK.EEV-May06 4+2 kkh_SOLVENCY POSITION  3" xfId="26941"/>
    <cellStyle name="B_BotRC_HK.NBC@Mar2006_PROD_DETAILS" xfId="6716"/>
    <cellStyle name="B_BotRC_HK.NBC@Mar2006_PROD_DETAILS 2" xfId="6717"/>
    <cellStyle name="B_BotRC_HK.NBC@Mar2006_PROD_DETAILS 3" xfId="26942"/>
    <cellStyle name="B_BotRC_HK.NBC@Mar2006_SOLVENCY POSITION " xfId="6718"/>
    <cellStyle name="B_BotRC_HK.NBC@Mar2006_SOLVENCY POSITION  2" xfId="6719"/>
    <cellStyle name="B_BotRC_HK.NBC@Mar2006_SOLVENCY POSITION  3" xfId="26943"/>
    <cellStyle name="B_BotRC_HK_NBC@Dec2007(New Lapse)Final" xfId="6720"/>
    <cellStyle name="B_BotRC_HK_NBC@Dec2007(New Lapse)Final 10" xfId="6721"/>
    <cellStyle name="B_BotRC_HK_NBC@Dec2007(New Lapse)Final 10 2" xfId="6722"/>
    <cellStyle name="B_BotRC_HK_NBC@Dec2007(New Lapse)Final 10 3" xfId="26944"/>
    <cellStyle name="B_BotRC_HK_NBC@Dec2007(New Lapse)Final 11" xfId="6723"/>
    <cellStyle name="B_BotRC_HK_NBC@Dec2007(New Lapse)Final 11 2" xfId="6724"/>
    <cellStyle name="B_BotRC_HK_NBC@Dec2007(New Lapse)Final 11 3" xfId="26945"/>
    <cellStyle name="B_BotRC_HK_NBC@Dec2007(New Lapse)Final 12" xfId="6725"/>
    <cellStyle name="B_BotRC_HK_NBC@Dec2007(New Lapse)Final 12 2" xfId="6726"/>
    <cellStyle name="B_BotRC_HK_NBC@Dec2007(New Lapse)Final 12 3" xfId="26946"/>
    <cellStyle name="B_BotRC_HK_NBC@Dec2007(New Lapse)Final 13" xfId="6727"/>
    <cellStyle name="B_BotRC_HK_NBC@Dec2007(New Lapse)Final 13 2" xfId="6728"/>
    <cellStyle name="B_BotRC_HK_NBC@Dec2007(New Lapse)Final 13 3" xfId="26947"/>
    <cellStyle name="B_BotRC_HK_NBC@Dec2007(New Lapse)Final 14" xfId="6729"/>
    <cellStyle name="B_BotRC_HK_NBC@Dec2007(New Lapse)Final 14 2" xfId="6730"/>
    <cellStyle name="B_BotRC_HK_NBC@Dec2007(New Lapse)Final 14 3" xfId="26948"/>
    <cellStyle name="B_BotRC_HK_NBC@Dec2007(New Lapse)Final 15" xfId="6731"/>
    <cellStyle name="B_BotRC_HK_NBC@Dec2007(New Lapse)Final 15 2" xfId="6732"/>
    <cellStyle name="B_BotRC_HK_NBC@Dec2007(New Lapse)Final 15 3" xfId="26949"/>
    <cellStyle name="B_BotRC_HK_NBC@Dec2007(New Lapse)Final 16" xfId="6733"/>
    <cellStyle name="B_BotRC_HK_NBC@Dec2007(New Lapse)Final 16 2" xfId="6734"/>
    <cellStyle name="B_BotRC_HK_NBC@Dec2007(New Lapse)Final 16 3" xfId="26950"/>
    <cellStyle name="B_BotRC_HK_NBC@Dec2007(New Lapse)Final 17" xfId="6735"/>
    <cellStyle name="B_BotRC_HK_NBC@Dec2007(New Lapse)Final 17 2" xfId="6736"/>
    <cellStyle name="B_BotRC_HK_NBC@Dec2007(New Lapse)Final 17 3" xfId="26951"/>
    <cellStyle name="B_BotRC_HK_NBC@Dec2007(New Lapse)Final 18" xfId="6737"/>
    <cellStyle name="B_BotRC_HK_NBC@Dec2007(New Lapse)Final 18 2" xfId="6738"/>
    <cellStyle name="B_BotRC_HK_NBC@Dec2007(New Lapse)Final 18 3" xfId="26952"/>
    <cellStyle name="B_BotRC_HK_NBC@Dec2007(New Lapse)Final 19" xfId="6739"/>
    <cellStyle name="B_BotRC_HK_NBC@Dec2007(New Lapse)Final 19 2" xfId="6740"/>
    <cellStyle name="B_BotRC_HK_NBC@Dec2007(New Lapse)Final 19 3" xfId="26953"/>
    <cellStyle name="B_BotRC_HK_NBC@Dec2007(New Lapse)Final 2" xfId="6741"/>
    <cellStyle name="B_BotRC_HK_NBC@Dec2007(New Lapse)Final 2 2" xfId="6742"/>
    <cellStyle name="B_BotRC_HK_NBC@Dec2007(New Lapse)Final 2 3" xfId="26954"/>
    <cellStyle name="B_BotRC_HK_NBC@Dec2007(New Lapse)Final 20" xfId="6743"/>
    <cellStyle name="B_BotRC_HK_NBC@Dec2007(New Lapse)Final 20 2" xfId="6744"/>
    <cellStyle name="B_BotRC_HK_NBC@Dec2007(New Lapse)Final 20 3" xfId="26955"/>
    <cellStyle name="B_BotRC_HK_NBC@Dec2007(New Lapse)Final 21" xfId="6745"/>
    <cellStyle name="B_BotRC_HK_NBC@Dec2007(New Lapse)Final 21 2" xfId="6746"/>
    <cellStyle name="B_BotRC_HK_NBC@Dec2007(New Lapse)Final 21 3" xfId="26956"/>
    <cellStyle name="B_BotRC_HK_NBC@Dec2007(New Lapse)Final 22" xfId="6747"/>
    <cellStyle name="B_BotRC_HK_NBC@Dec2007(New Lapse)Final 22 2" xfId="6748"/>
    <cellStyle name="B_BotRC_HK_NBC@Dec2007(New Lapse)Final 22 3" xfId="26957"/>
    <cellStyle name="B_BotRC_HK_NBC@Dec2007(New Lapse)Final 23" xfId="6749"/>
    <cellStyle name="B_BotRC_HK_NBC@Dec2007(New Lapse)Final 23 2" xfId="6750"/>
    <cellStyle name="B_BotRC_HK_NBC@Dec2007(New Lapse)Final 23 3" xfId="26958"/>
    <cellStyle name="B_BotRC_HK_NBC@Dec2007(New Lapse)Final 24" xfId="6751"/>
    <cellStyle name="B_BotRC_HK_NBC@Dec2007(New Lapse)Final 25" xfId="26959"/>
    <cellStyle name="B_BotRC_HK_NBC@Dec2007(New Lapse)Final 3" xfId="6752"/>
    <cellStyle name="B_BotRC_HK_NBC@Dec2007(New Lapse)Final 3 2" xfId="6753"/>
    <cellStyle name="B_BotRC_HK_NBC@Dec2007(New Lapse)Final 3 3" xfId="26960"/>
    <cellStyle name="B_BotRC_HK_NBC@Dec2007(New Lapse)Final 4" xfId="6754"/>
    <cellStyle name="B_BotRC_HK_NBC@Dec2007(New Lapse)Final 4 2" xfId="6755"/>
    <cellStyle name="B_BotRC_HK_NBC@Dec2007(New Lapse)Final 4 3" xfId="26961"/>
    <cellStyle name="B_BotRC_HK_NBC@Dec2007(New Lapse)Final 5" xfId="6756"/>
    <cellStyle name="B_BotRC_HK_NBC@Dec2007(New Lapse)Final 5 2" xfId="6757"/>
    <cellStyle name="B_BotRC_HK_NBC@Dec2007(New Lapse)Final 5 3" xfId="26962"/>
    <cellStyle name="B_BotRC_HK_NBC@Dec2007(New Lapse)Final 6" xfId="6758"/>
    <cellStyle name="B_BotRC_HK_NBC@Dec2007(New Lapse)Final 6 2" xfId="6759"/>
    <cellStyle name="B_BotRC_HK_NBC@Dec2007(New Lapse)Final 6 3" xfId="26963"/>
    <cellStyle name="B_BotRC_HK_NBC@Dec2007(New Lapse)Final 7" xfId="6760"/>
    <cellStyle name="B_BotRC_HK_NBC@Dec2007(New Lapse)Final 7 2" xfId="6761"/>
    <cellStyle name="B_BotRC_HK_NBC@Dec2007(New Lapse)Final 7 3" xfId="26964"/>
    <cellStyle name="B_BotRC_HK_NBC@Dec2007(New Lapse)Final 8" xfId="6762"/>
    <cellStyle name="B_BotRC_HK_NBC@Dec2007(New Lapse)Final 8 2" xfId="6763"/>
    <cellStyle name="B_BotRC_HK_NBC@Dec2007(New Lapse)Final 8 3" xfId="26965"/>
    <cellStyle name="B_BotRC_HK_NBC@Dec2007(New Lapse)Final 9" xfId="6764"/>
    <cellStyle name="B_BotRC_HK_NBC@Dec2007(New Lapse)Final 9 2" xfId="6765"/>
    <cellStyle name="B_BotRC_HK_NBC@Dec2007(New Lapse)Final 9 3" xfId="26966"/>
    <cellStyle name="B_BotRC_HK_NBC@Dec2007(New Lapse)Final_PROD_DETAILS" xfId="6766"/>
    <cellStyle name="B_BotRC_HK_NBC@Dec2007(New Lapse)Final_PROD_DETAILS 2" xfId="6767"/>
    <cellStyle name="B_BotRC_HK_NBC@Dec2007(New Lapse)Final_PROD_DETAILS 3" xfId="26967"/>
    <cellStyle name="B_BotRC_HK_NBC@Dec2007(New Lapse)Final_SOLVENCY POSITION " xfId="6768"/>
    <cellStyle name="B_BotRC_HK_NBC@Dec2007(New Lapse)Final_SOLVENCY POSITION  2" xfId="6769"/>
    <cellStyle name="B_BotRC_HK_NBC@Dec2007(New Lapse)Final_SOLVENCY POSITION  3" xfId="26968"/>
    <cellStyle name="B_BotRC_KPI's" xfId="6770"/>
    <cellStyle name="B_BotRC_KPI's 10" xfId="6771"/>
    <cellStyle name="B_BotRC_KPI's 10 2" xfId="6772"/>
    <cellStyle name="B_BotRC_KPI's 10 3" xfId="26969"/>
    <cellStyle name="B_BotRC_KPI's 11" xfId="6773"/>
    <cellStyle name="B_BotRC_KPI's 11 2" xfId="6774"/>
    <cellStyle name="B_BotRC_KPI's 11 3" xfId="26970"/>
    <cellStyle name="B_BotRC_KPI's 12" xfId="6775"/>
    <cellStyle name="B_BotRC_KPI's 12 2" xfId="6776"/>
    <cellStyle name="B_BotRC_KPI's 12 3" xfId="26971"/>
    <cellStyle name="B_BotRC_KPI's 13" xfId="6777"/>
    <cellStyle name="B_BotRC_KPI's 13 2" xfId="6778"/>
    <cellStyle name="B_BotRC_KPI's 13 3" xfId="26972"/>
    <cellStyle name="B_BotRC_KPI's 14" xfId="6779"/>
    <cellStyle name="B_BotRC_KPI's 14 2" xfId="6780"/>
    <cellStyle name="B_BotRC_KPI's 14 3" xfId="26973"/>
    <cellStyle name="B_BotRC_KPI's 15" xfId="6781"/>
    <cellStyle name="B_BotRC_KPI's 15 2" xfId="6782"/>
    <cellStyle name="B_BotRC_KPI's 15 3" xfId="26974"/>
    <cellStyle name="B_BotRC_KPI's 16" xfId="6783"/>
    <cellStyle name="B_BotRC_KPI's 16 2" xfId="6784"/>
    <cellStyle name="B_BotRC_KPI's 16 3" xfId="26975"/>
    <cellStyle name="B_BotRC_KPI's 17" xfId="6785"/>
    <cellStyle name="B_BotRC_KPI's 17 2" xfId="6786"/>
    <cellStyle name="B_BotRC_KPI's 17 3" xfId="26976"/>
    <cellStyle name="B_BotRC_KPI's 18" xfId="6787"/>
    <cellStyle name="B_BotRC_KPI's 18 2" xfId="6788"/>
    <cellStyle name="B_BotRC_KPI's 18 3" xfId="26977"/>
    <cellStyle name="B_BotRC_KPI's 19" xfId="6789"/>
    <cellStyle name="B_BotRC_KPI's 19 2" xfId="6790"/>
    <cellStyle name="B_BotRC_KPI's 19 3" xfId="26978"/>
    <cellStyle name="B_BotRC_KPI's 2" xfId="6791"/>
    <cellStyle name="B_BotRC_KPI's 2 2" xfId="6792"/>
    <cellStyle name="B_BotRC_KPI's 2 3" xfId="26979"/>
    <cellStyle name="B_BotRC_KPI's 20" xfId="6793"/>
    <cellStyle name="B_BotRC_KPI's 20 2" xfId="6794"/>
    <cellStyle name="B_BotRC_KPI's 20 3" xfId="26980"/>
    <cellStyle name="B_BotRC_KPI's 21" xfId="6795"/>
    <cellStyle name="B_BotRC_KPI's 21 2" xfId="6796"/>
    <cellStyle name="B_BotRC_KPI's 21 3" xfId="26981"/>
    <cellStyle name="B_BotRC_KPI's 22" xfId="6797"/>
    <cellStyle name="B_BotRC_KPI's 22 2" xfId="6798"/>
    <cellStyle name="B_BotRC_KPI's 22 3" xfId="26982"/>
    <cellStyle name="B_BotRC_KPI's 23" xfId="6799"/>
    <cellStyle name="B_BotRC_KPI's 23 2" xfId="6800"/>
    <cellStyle name="B_BotRC_KPI's 23 3" xfId="26983"/>
    <cellStyle name="B_BotRC_KPI's 24" xfId="6801"/>
    <cellStyle name="B_BotRC_KPI's 25" xfId="26984"/>
    <cellStyle name="B_BotRC_KPI's 3" xfId="6802"/>
    <cellStyle name="B_BotRC_KPI's 3 2" xfId="6803"/>
    <cellStyle name="B_BotRC_KPI's 3 3" xfId="26985"/>
    <cellStyle name="B_BotRC_KPI's 4" xfId="6804"/>
    <cellStyle name="B_BotRC_KPI's 4 2" xfId="6805"/>
    <cellStyle name="B_BotRC_KPI's 4 3" xfId="26986"/>
    <cellStyle name="B_BotRC_KPI's 5" xfId="6806"/>
    <cellStyle name="B_BotRC_KPI's 5 2" xfId="6807"/>
    <cellStyle name="B_BotRC_KPI's 5 3" xfId="26987"/>
    <cellStyle name="B_BotRC_KPI's 6" xfId="6808"/>
    <cellStyle name="B_BotRC_KPI's 6 2" xfId="6809"/>
    <cellStyle name="B_BotRC_KPI's 6 3" xfId="26988"/>
    <cellStyle name="B_BotRC_KPI's 7" xfId="6810"/>
    <cellStyle name="B_BotRC_KPI's 7 2" xfId="6811"/>
    <cellStyle name="B_BotRC_KPI's 7 3" xfId="26989"/>
    <cellStyle name="B_BotRC_KPI's 8" xfId="6812"/>
    <cellStyle name="B_BotRC_KPI's 8 2" xfId="6813"/>
    <cellStyle name="B_BotRC_KPI's 8 3" xfId="26990"/>
    <cellStyle name="B_BotRC_KPI's 9" xfId="6814"/>
    <cellStyle name="B_BotRC_KPI's 9 2" xfId="6815"/>
    <cellStyle name="B_BotRC_KPI's 9 3" xfId="26991"/>
    <cellStyle name="B_BotRC_KPI's_PROD_DETAILS" xfId="6816"/>
    <cellStyle name="B_BotRC_KPI's_PROD_DETAILS 2" xfId="6817"/>
    <cellStyle name="B_BotRC_KPI's_PROD_DETAILS 3" xfId="26992"/>
    <cellStyle name="B_BotRC_KPI's_SOLVENCY POSITION " xfId="6818"/>
    <cellStyle name="B_BotRC_KPI's_SOLVENCY POSITION  2" xfId="6819"/>
    <cellStyle name="B_BotRC_KPI's_SOLVENCY POSITION  3" xfId="26993"/>
    <cellStyle name="B_BotRC_p&amp;l wkgs" xfId="6820"/>
    <cellStyle name="B_BotRC_p&amp;l wkgs 10" xfId="6821"/>
    <cellStyle name="B_BotRC_p&amp;l wkgs 10 2" xfId="6822"/>
    <cellStyle name="B_BotRC_p&amp;l wkgs 10 3" xfId="26994"/>
    <cellStyle name="B_BotRC_p&amp;l wkgs 11" xfId="6823"/>
    <cellStyle name="B_BotRC_p&amp;l wkgs 11 2" xfId="6824"/>
    <cellStyle name="B_BotRC_p&amp;l wkgs 11 3" xfId="26995"/>
    <cellStyle name="B_BotRC_p&amp;l wkgs 12" xfId="6825"/>
    <cellStyle name="B_BotRC_p&amp;l wkgs 12 2" xfId="6826"/>
    <cellStyle name="B_BotRC_p&amp;l wkgs 12 3" xfId="26996"/>
    <cellStyle name="B_BotRC_p&amp;l wkgs 13" xfId="6827"/>
    <cellStyle name="B_BotRC_p&amp;l wkgs 13 2" xfId="6828"/>
    <cellStyle name="B_BotRC_p&amp;l wkgs 13 3" xfId="26997"/>
    <cellStyle name="B_BotRC_p&amp;l wkgs 14" xfId="6829"/>
    <cellStyle name="B_BotRC_p&amp;l wkgs 14 2" xfId="6830"/>
    <cellStyle name="B_BotRC_p&amp;l wkgs 14 3" xfId="26998"/>
    <cellStyle name="B_BotRC_p&amp;l wkgs 15" xfId="6831"/>
    <cellStyle name="B_BotRC_p&amp;l wkgs 15 2" xfId="6832"/>
    <cellStyle name="B_BotRC_p&amp;l wkgs 15 3" xfId="26999"/>
    <cellStyle name="B_BotRC_p&amp;l wkgs 16" xfId="6833"/>
    <cellStyle name="B_BotRC_p&amp;l wkgs 16 2" xfId="6834"/>
    <cellStyle name="B_BotRC_p&amp;l wkgs 16 3" xfId="27000"/>
    <cellStyle name="B_BotRC_p&amp;l wkgs 17" xfId="6835"/>
    <cellStyle name="B_BotRC_p&amp;l wkgs 17 2" xfId="6836"/>
    <cellStyle name="B_BotRC_p&amp;l wkgs 17 3" xfId="27001"/>
    <cellStyle name="B_BotRC_p&amp;l wkgs 18" xfId="6837"/>
    <cellStyle name="B_BotRC_p&amp;l wkgs 18 2" xfId="6838"/>
    <cellStyle name="B_BotRC_p&amp;l wkgs 18 3" xfId="27002"/>
    <cellStyle name="B_BotRC_p&amp;l wkgs 19" xfId="6839"/>
    <cellStyle name="B_BotRC_p&amp;l wkgs 19 2" xfId="6840"/>
    <cellStyle name="B_BotRC_p&amp;l wkgs 19 3" xfId="27003"/>
    <cellStyle name="B_BotRC_p&amp;l wkgs 2" xfId="6841"/>
    <cellStyle name="B_BotRC_p&amp;l wkgs 2 2" xfId="6842"/>
    <cellStyle name="B_BotRC_p&amp;l wkgs 2 3" xfId="27004"/>
    <cellStyle name="B_BotRC_p&amp;l wkgs 20" xfId="6843"/>
    <cellStyle name="B_BotRC_p&amp;l wkgs 20 2" xfId="6844"/>
    <cellStyle name="B_BotRC_p&amp;l wkgs 20 3" xfId="27005"/>
    <cellStyle name="B_BotRC_p&amp;l wkgs 21" xfId="6845"/>
    <cellStyle name="B_BotRC_p&amp;l wkgs 21 2" xfId="6846"/>
    <cellStyle name="B_BotRC_p&amp;l wkgs 21 3" xfId="27006"/>
    <cellStyle name="B_BotRC_p&amp;l wkgs 22" xfId="6847"/>
    <cellStyle name="B_BotRC_p&amp;l wkgs 22 2" xfId="6848"/>
    <cellStyle name="B_BotRC_p&amp;l wkgs 22 3" xfId="27007"/>
    <cellStyle name="B_BotRC_p&amp;l wkgs 23" xfId="6849"/>
    <cellStyle name="B_BotRC_p&amp;l wkgs 23 2" xfId="6850"/>
    <cellStyle name="B_BotRC_p&amp;l wkgs 23 3" xfId="27008"/>
    <cellStyle name="B_BotRC_p&amp;l wkgs 24" xfId="6851"/>
    <cellStyle name="B_BotRC_p&amp;l wkgs 25" xfId="27009"/>
    <cellStyle name="B_BotRC_p&amp;l wkgs 3" xfId="6852"/>
    <cellStyle name="B_BotRC_p&amp;l wkgs 3 2" xfId="6853"/>
    <cellStyle name="B_BotRC_p&amp;l wkgs 3 3" xfId="27010"/>
    <cellStyle name="B_BotRC_p&amp;l wkgs 4" xfId="6854"/>
    <cellStyle name="B_BotRC_p&amp;l wkgs 4 2" xfId="6855"/>
    <cellStyle name="B_BotRC_p&amp;l wkgs 4 3" xfId="27011"/>
    <cellStyle name="B_BotRC_p&amp;l wkgs 5" xfId="6856"/>
    <cellStyle name="B_BotRC_p&amp;l wkgs 5 2" xfId="6857"/>
    <cellStyle name="B_BotRC_p&amp;l wkgs 5 3" xfId="27012"/>
    <cellStyle name="B_BotRC_p&amp;l wkgs 6" xfId="6858"/>
    <cellStyle name="B_BotRC_p&amp;l wkgs 6 2" xfId="6859"/>
    <cellStyle name="B_BotRC_p&amp;l wkgs 6 3" xfId="27013"/>
    <cellStyle name="B_BotRC_p&amp;l wkgs 7" xfId="6860"/>
    <cellStyle name="B_BotRC_p&amp;l wkgs 7 2" xfId="6861"/>
    <cellStyle name="B_BotRC_p&amp;l wkgs 7 3" xfId="27014"/>
    <cellStyle name="B_BotRC_p&amp;l wkgs 8" xfId="6862"/>
    <cellStyle name="B_BotRC_p&amp;l wkgs 8 2" xfId="6863"/>
    <cellStyle name="B_BotRC_p&amp;l wkgs 8 3" xfId="27015"/>
    <cellStyle name="B_BotRC_p&amp;l wkgs 9" xfId="6864"/>
    <cellStyle name="B_BotRC_p&amp;l wkgs 9 2" xfId="6865"/>
    <cellStyle name="B_BotRC_p&amp;l wkgs 9 3" xfId="27016"/>
    <cellStyle name="B_BotRC_p&amp;l wkgs_PROD_DETAILS" xfId="6866"/>
    <cellStyle name="B_BotRC_p&amp;l wkgs_PROD_DETAILS 2" xfId="6867"/>
    <cellStyle name="B_BotRC_p&amp;l wkgs_PROD_DETAILS 3" xfId="27017"/>
    <cellStyle name="B_BotRC_p&amp;l wkgs_SOLVENCY POSITION " xfId="6868"/>
    <cellStyle name="B_BotRC_p&amp;l wkgs_SOLVENCY POSITION  2" xfId="6869"/>
    <cellStyle name="B_BotRC_p&amp;l wkgs_SOLVENCY POSITION  3" xfId="27018"/>
    <cellStyle name="B_BotRC_PROD_DETAILS" xfId="6870"/>
    <cellStyle name="B_BotRC_PROD_DETAILS 2" xfId="6871"/>
    <cellStyle name="B_BotRC_PROD_DETAILS 3" xfId="27019"/>
    <cellStyle name="B_BotRC_Prophet Roll" xfId="6872"/>
    <cellStyle name="B_BotRC_Prophet Roll 10" xfId="6873"/>
    <cellStyle name="B_BotRC_Prophet Roll 10 2" xfId="6874"/>
    <cellStyle name="B_BotRC_Prophet Roll 10 3" xfId="27020"/>
    <cellStyle name="B_BotRC_Prophet Roll 11" xfId="6875"/>
    <cellStyle name="B_BotRC_Prophet Roll 11 2" xfId="6876"/>
    <cellStyle name="B_BotRC_Prophet Roll 11 3" xfId="27021"/>
    <cellStyle name="B_BotRC_Prophet Roll 12" xfId="6877"/>
    <cellStyle name="B_BotRC_Prophet Roll 12 2" xfId="6878"/>
    <cellStyle name="B_BotRC_Prophet Roll 12 3" xfId="27022"/>
    <cellStyle name="B_BotRC_Prophet Roll 13" xfId="6879"/>
    <cellStyle name="B_BotRC_Prophet Roll 13 2" xfId="6880"/>
    <cellStyle name="B_BotRC_Prophet Roll 13 3" xfId="27023"/>
    <cellStyle name="B_BotRC_Prophet Roll 14" xfId="6881"/>
    <cellStyle name="B_BotRC_Prophet Roll 14 2" xfId="6882"/>
    <cellStyle name="B_BotRC_Prophet Roll 14 3" xfId="27024"/>
    <cellStyle name="B_BotRC_Prophet Roll 15" xfId="6883"/>
    <cellStyle name="B_BotRC_Prophet Roll 15 2" xfId="6884"/>
    <cellStyle name="B_BotRC_Prophet Roll 15 3" xfId="27025"/>
    <cellStyle name="B_BotRC_Prophet Roll 16" xfId="6885"/>
    <cellStyle name="B_BotRC_Prophet Roll 16 2" xfId="6886"/>
    <cellStyle name="B_BotRC_Prophet Roll 16 3" xfId="27026"/>
    <cellStyle name="B_BotRC_Prophet Roll 17" xfId="6887"/>
    <cellStyle name="B_BotRC_Prophet Roll 17 2" xfId="6888"/>
    <cellStyle name="B_BotRC_Prophet Roll 17 3" xfId="27027"/>
    <cellStyle name="B_BotRC_Prophet Roll 18" xfId="6889"/>
    <cellStyle name="B_BotRC_Prophet Roll 18 2" xfId="6890"/>
    <cellStyle name="B_BotRC_Prophet Roll 18 3" xfId="27028"/>
    <cellStyle name="B_BotRC_Prophet Roll 19" xfId="6891"/>
    <cellStyle name="B_BotRC_Prophet Roll 19 2" xfId="6892"/>
    <cellStyle name="B_BotRC_Prophet Roll 19 3" xfId="27029"/>
    <cellStyle name="B_BotRC_Prophet Roll 2" xfId="6893"/>
    <cellStyle name="B_BotRC_Prophet Roll 2 2" xfId="6894"/>
    <cellStyle name="B_BotRC_Prophet Roll 2 3" xfId="27030"/>
    <cellStyle name="B_BotRC_Prophet Roll 20" xfId="6895"/>
    <cellStyle name="B_BotRC_Prophet Roll 20 2" xfId="6896"/>
    <cellStyle name="B_BotRC_Prophet Roll 20 3" xfId="27031"/>
    <cellStyle name="B_BotRC_Prophet Roll 21" xfId="6897"/>
    <cellStyle name="B_BotRC_Prophet Roll 21 2" xfId="6898"/>
    <cellStyle name="B_BotRC_Prophet Roll 21 3" xfId="27032"/>
    <cellStyle name="B_BotRC_Prophet Roll 22" xfId="6899"/>
    <cellStyle name="B_BotRC_Prophet Roll 22 2" xfId="6900"/>
    <cellStyle name="B_BotRC_Prophet Roll 22 3" xfId="27033"/>
    <cellStyle name="B_BotRC_Prophet Roll 23" xfId="6901"/>
    <cellStyle name="B_BotRC_Prophet Roll 23 2" xfId="6902"/>
    <cellStyle name="B_BotRC_Prophet Roll 23 3" xfId="27034"/>
    <cellStyle name="B_BotRC_Prophet Roll 24" xfId="6903"/>
    <cellStyle name="B_BotRC_Prophet Roll 25" xfId="27035"/>
    <cellStyle name="B_BotRC_Prophet Roll 3" xfId="6904"/>
    <cellStyle name="B_BotRC_Prophet Roll 3 2" xfId="6905"/>
    <cellStyle name="B_BotRC_Prophet Roll 3 3" xfId="27036"/>
    <cellStyle name="B_BotRC_Prophet Roll 4" xfId="6906"/>
    <cellStyle name="B_BotRC_Prophet Roll 4 2" xfId="6907"/>
    <cellStyle name="B_BotRC_Prophet Roll 4 3" xfId="27037"/>
    <cellStyle name="B_BotRC_Prophet Roll 5" xfId="6908"/>
    <cellStyle name="B_BotRC_Prophet Roll 5 2" xfId="6909"/>
    <cellStyle name="B_BotRC_Prophet Roll 5 3" xfId="27038"/>
    <cellStyle name="B_BotRC_Prophet Roll 6" xfId="6910"/>
    <cellStyle name="B_BotRC_Prophet Roll 6 2" xfId="6911"/>
    <cellStyle name="B_BotRC_Prophet Roll 6 3" xfId="27039"/>
    <cellStyle name="B_BotRC_Prophet Roll 7" xfId="6912"/>
    <cellStyle name="B_BotRC_Prophet Roll 7 2" xfId="6913"/>
    <cellStyle name="B_BotRC_Prophet Roll 7 3" xfId="27040"/>
    <cellStyle name="B_BotRC_Prophet Roll 8" xfId="6914"/>
    <cellStyle name="B_BotRC_Prophet Roll 8 2" xfId="6915"/>
    <cellStyle name="B_BotRC_Prophet Roll 8 3" xfId="27041"/>
    <cellStyle name="B_BotRC_Prophet Roll 9" xfId="6916"/>
    <cellStyle name="B_BotRC_Prophet Roll 9 2" xfId="6917"/>
    <cellStyle name="B_BotRC_Prophet Roll 9 3" xfId="27042"/>
    <cellStyle name="B_BotRC_Prophet Roll_PROD_DETAILS" xfId="6918"/>
    <cellStyle name="B_BotRC_Prophet Roll_PROD_DETAILS 2" xfId="6919"/>
    <cellStyle name="B_BotRC_Prophet Roll_PROD_DETAILS 3" xfId="27043"/>
    <cellStyle name="B_BotRC_Prophet Roll_SOLVENCY POSITION " xfId="6920"/>
    <cellStyle name="B_BotRC_Prophet Roll_SOLVENCY POSITION  2" xfId="6921"/>
    <cellStyle name="B_BotRC_Prophet Roll_SOLVENCY POSITION  3" xfId="27044"/>
    <cellStyle name="B_BotRC_Prophet SalesProj Roll" xfId="6922"/>
    <cellStyle name="B_BotRC_Prophet SalesProj Roll 10" xfId="6923"/>
    <cellStyle name="B_BotRC_Prophet SalesProj Roll 10 2" xfId="6924"/>
    <cellStyle name="B_BotRC_Prophet SalesProj Roll 10 3" xfId="27045"/>
    <cellStyle name="B_BotRC_Prophet SalesProj Roll 11" xfId="6925"/>
    <cellStyle name="B_BotRC_Prophet SalesProj Roll 11 2" xfId="6926"/>
    <cellStyle name="B_BotRC_Prophet SalesProj Roll 11 3" xfId="27046"/>
    <cellStyle name="B_BotRC_Prophet SalesProj Roll 12" xfId="6927"/>
    <cellStyle name="B_BotRC_Prophet SalesProj Roll 12 2" xfId="6928"/>
    <cellStyle name="B_BotRC_Prophet SalesProj Roll 12 3" xfId="27047"/>
    <cellStyle name="B_BotRC_Prophet SalesProj Roll 13" xfId="6929"/>
    <cellStyle name="B_BotRC_Prophet SalesProj Roll 13 2" xfId="6930"/>
    <cellStyle name="B_BotRC_Prophet SalesProj Roll 13 3" xfId="27048"/>
    <cellStyle name="B_BotRC_Prophet SalesProj Roll 14" xfId="6931"/>
    <cellStyle name="B_BotRC_Prophet SalesProj Roll 14 2" xfId="6932"/>
    <cellStyle name="B_BotRC_Prophet SalesProj Roll 14 3" xfId="27049"/>
    <cellStyle name="B_BotRC_Prophet SalesProj Roll 15" xfId="6933"/>
    <cellStyle name="B_BotRC_Prophet SalesProj Roll 15 2" xfId="6934"/>
    <cellStyle name="B_BotRC_Prophet SalesProj Roll 15 3" xfId="27050"/>
    <cellStyle name="B_BotRC_Prophet SalesProj Roll 16" xfId="6935"/>
    <cellStyle name="B_BotRC_Prophet SalesProj Roll 16 2" xfId="6936"/>
    <cellStyle name="B_BotRC_Prophet SalesProj Roll 16 3" xfId="27051"/>
    <cellStyle name="B_BotRC_Prophet SalesProj Roll 17" xfId="6937"/>
    <cellStyle name="B_BotRC_Prophet SalesProj Roll 17 2" xfId="6938"/>
    <cellStyle name="B_BotRC_Prophet SalesProj Roll 17 3" xfId="27052"/>
    <cellStyle name="B_BotRC_Prophet SalesProj Roll 18" xfId="6939"/>
    <cellStyle name="B_BotRC_Prophet SalesProj Roll 18 2" xfId="6940"/>
    <cellStyle name="B_BotRC_Prophet SalesProj Roll 18 3" xfId="27053"/>
    <cellStyle name="B_BotRC_Prophet SalesProj Roll 19" xfId="6941"/>
    <cellStyle name="B_BotRC_Prophet SalesProj Roll 19 2" xfId="6942"/>
    <cellStyle name="B_BotRC_Prophet SalesProj Roll 19 3" xfId="27054"/>
    <cellStyle name="B_BotRC_Prophet SalesProj Roll 2" xfId="6943"/>
    <cellStyle name="B_BotRC_Prophet SalesProj Roll 2 2" xfId="6944"/>
    <cellStyle name="B_BotRC_Prophet SalesProj Roll 2 3" xfId="27055"/>
    <cellStyle name="B_BotRC_Prophet SalesProj Roll 20" xfId="6945"/>
    <cellStyle name="B_BotRC_Prophet SalesProj Roll 20 2" xfId="6946"/>
    <cellStyle name="B_BotRC_Prophet SalesProj Roll 20 3" xfId="27056"/>
    <cellStyle name="B_BotRC_Prophet SalesProj Roll 21" xfId="6947"/>
    <cellStyle name="B_BotRC_Prophet SalesProj Roll 21 2" xfId="6948"/>
    <cellStyle name="B_BotRC_Prophet SalesProj Roll 21 3" xfId="27057"/>
    <cellStyle name="B_BotRC_Prophet SalesProj Roll 22" xfId="6949"/>
    <cellStyle name="B_BotRC_Prophet SalesProj Roll 22 2" xfId="6950"/>
    <cellStyle name="B_BotRC_Prophet SalesProj Roll 22 3" xfId="27058"/>
    <cellStyle name="B_BotRC_Prophet SalesProj Roll 23" xfId="6951"/>
    <cellStyle name="B_BotRC_Prophet SalesProj Roll 23 2" xfId="6952"/>
    <cellStyle name="B_BotRC_Prophet SalesProj Roll 23 3" xfId="27059"/>
    <cellStyle name="B_BotRC_Prophet SalesProj Roll 24" xfId="6953"/>
    <cellStyle name="B_BotRC_Prophet SalesProj Roll 25" xfId="27060"/>
    <cellStyle name="B_BotRC_Prophet SalesProj Roll 3" xfId="6954"/>
    <cellStyle name="B_BotRC_Prophet SalesProj Roll 3 2" xfId="6955"/>
    <cellStyle name="B_BotRC_Prophet SalesProj Roll 3 3" xfId="27061"/>
    <cellStyle name="B_BotRC_Prophet SalesProj Roll 4" xfId="6956"/>
    <cellStyle name="B_BotRC_Prophet SalesProj Roll 4 2" xfId="6957"/>
    <cellStyle name="B_BotRC_Prophet SalesProj Roll 4 3" xfId="27062"/>
    <cellStyle name="B_BotRC_Prophet SalesProj Roll 5" xfId="6958"/>
    <cellStyle name="B_BotRC_Prophet SalesProj Roll 5 2" xfId="6959"/>
    <cellStyle name="B_BotRC_Prophet SalesProj Roll 5 3" xfId="27063"/>
    <cellStyle name="B_BotRC_Prophet SalesProj Roll 6" xfId="6960"/>
    <cellStyle name="B_BotRC_Prophet SalesProj Roll 6 2" xfId="6961"/>
    <cellStyle name="B_BotRC_Prophet SalesProj Roll 6 3" xfId="27064"/>
    <cellStyle name="B_BotRC_Prophet SalesProj Roll 7" xfId="6962"/>
    <cellStyle name="B_BotRC_Prophet SalesProj Roll 7 2" xfId="6963"/>
    <cellStyle name="B_BotRC_Prophet SalesProj Roll 7 3" xfId="27065"/>
    <cellStyle name="B_BotRC_Prophet SalesProj Roll 8" xfId="6964"/>
    <cellStyle name="B_BotRC_Prophet SalesProj Roll 8 2" xfId="6965"/>
    <cellStyle name="B_BotRC_Prophet SalesProj Roll 8 3" xfId="27066"/>
    <cellStyle name="B_BotRC_Prophet SalesProj Roll 9" xfId="6966"/>
    <cellStyle name="B_BotRC_Prophet SalesProj Roll 9 2" xfId="6967"/>
    <cellStyle name="B_BotRC_Prophet SalesProj Roll 9 3" xfId="27067"/>
    <cellStyle name="B_BotRC_Prophet SalesProj Roll_PROD_DETAILS" xfId="6968"/>
    <cellStyle name="B_BotRC_Prophet SalesProj Roll_PROD_DETAILS 2" xfId="6969"/>
    <cellStyle name="B_BotRC_Prophet SalesProj Roll_PROD_DETAILS 3" xfId="27068"/>
    <cellStyle name="B_BotRC_Prophet SalesProj Roll_SOLVENCY POSITION " xfId="6970"/>
    <cellStyle name="B_BotRC_Prophet SalesProj Roll_SOLVENCY POSITION  2" xfId="6971"/>
    <cellStyle name="B_BotRC_Prophet SalesProj Roll_SOLVENCY POSITION  3" xfId="27069"/>
    <cellStyle name="B_BotRC_Prophet-EEV ReportingFinal301205-Apr06" xfId="6972"/>
    <cellStyle name="B_BotRC_Prophet-EEV ReportingFinal301205-Apr06 10" xfId="6973"/>
    <cellStyle name="B_BotRC_Prophet-EEV ReportingFinal301205-Apr06 10 2" xfId="6974"/>
    <cellStyle name="B_BotRC_Prophet-EEV ReportingFinal301205-Apr06 10 3" xfId="27070"/>
    <cellStyle name="B_BotRC_Prophet-EEV ReportingFinal301205-Apr06 11" xfId="6975"/>
    <cellStyle name="B_BotRC_Prophet-EEV ReportingFinal301205-Apr06 11 2" xfId="6976"/>
    <cellStyle name="B_BotRC_Prophet-EEV ReportingFinal301205-Apr06 11 3" xfId="27071"/>
    <cellStyle name="B_BotRC_Prophet-EEV ReportingFinal301205-Apr06 12" xfId="6977"/>
    <cellStyle name="B_BotRC_Prophet-EEV ReportingFinal301205-Apr06 12 2" xfId="6978"/>
    <cellStyle name="B_BotRC_Prophet-EEV ReportingFinal301205-Apr06 12 3" xfId="27072"/>
    <cellStyle name="B_BotRC_Prophet-EEV ReportingFinal301205-Apr06 13" xfId="6979"/>
    <cellStyle name="B_BotRC_Prophet-EEV ReportingFinal301205-Apr06 13 2" xfId="6980"/>
    <cellStyle name="B_BotRC_Prophet-EEV ReportingFinal301205-Apr06 13 3" xfId="27073"/>
    <cellStyle name="B_BotRC_Prophet-EEV ReportingFinal301205-Apr06 14" xfId="6981"/>
    <cellStyle name="B_BotRC_Prophet-EEV ReportingFinal301205-Apr06 14 2" xfId="6982"/>
    <cellStyle name="B_BotRC_Prophet-EEV ReportingFinal301205-Apr06 14 3" xfId="27074"/>
    <cellStyle name="B_BotRC_Prophet-EEV ReportingFinal301205-Apr06 15" xfId="6983"/>
    <cellStyle name="B_BotRC_Prophet-EEV ReportingFinal301205-Apr06 15 2" xfId="6984"/>
    <cellStyle name="B_BotRC_Prophet-EEV ReportingFinal301205-Apr06 15 3" xfId="27075"/>
    <cellStyle name="B_BotRC_Prophet-EEV ReportingFinal301205-Apr06 16" xfId="6985"/>
    <cellStyle name="B_BotRC_Prophet-EEV ReportingFinal301205-Apr06 16 2" xfId="6986"/>
    <cellStyle name="B_BotRC_Prophet-EEV ReportingFinal301205-Apr06 16 3" xfId="27076"/>
    <cellStyle name="B_BotRC_Prophet-EEV ReportingFinal301205-Apr06 17" xfId="6987"/>
    <cellStyle name="B_BotRC_Prophet-EEV ReportingFinal301205-Apr06 17 2" xfId="6988"/>
    <cellStyle name="B_BotRC_Prophet-EEV ReportingFinal301205-Apr06 17 3" xfId="27077"/>
    <cellStyle name="B_BotRC_Prophet-EEV ReportingFinal301205-Apr06 18" xfId="6989"/>
    <cellStyle name="B_BotRC_Prophet-EEV ReportingFinal301205-Apr06 18 2" xfId="6990"/>
    <cellStyle name="B_BotRC_Prophet-EEV ReportingFinal301205-Apr06 18 3" xfId="27078"/>
    <cellStyle name="B_BotRC_Prophet-EEV ReportingFinal301205-Apr06 19" xfId="6991"/>
    <cellStyle name="B_BotRC_Prophet-EEV ReportingFinal301205-Apr06 19 2" xfId="6992"/>
    <cellStyle name="B_BotRC_Prophet-EEV ReportingFinal301205-Apr06 19 3" xfId="27079"/>
    <cellStyle name="B_BotRC_Prophet-EEV ReportingFinal301205-Apr06 2" xfId="6993"/>
    <cellStyle name="B_BotRC_Prophet-EEV ReportingFinal301205-Apr06 2 2" xfId="6994"/>
    <cellStyle name="B_BotRC_Prophet-EEV ReportingFinal301205-Apr06 2 3" xfId="27080"/>
    <cellStyle name="B_BotRC_Prophet-EEV ReportingFinal301205-Apr06 20" xfId="6995"/>
    <cellStyle name="B_BotRC_Prophet-EEV ReportingFinal301205-Apr06 20 2" xfId="6996"/>
    <cellStyle name="B_BotRC_Prophet-EEV ReportingFinal301205-Apr06 20 3" xfId="27081"/>
    <cellStyle name="B_BotRC_Prophet-EEV ReportingFinal301205-Apr06 21" xfId="6997"/>
    <cellStyle name="B_BotRC_Prophet-EEV ReportingFinal301205-Apr06 21 2" xfId="6998"/>
    <cellStyle name="B_BotRC_Prophet-EEV ReportingFinal301205-Apr06 21 3" xfId="27082"/>
    <cellStyle name="B_BotRC_Prophet-EEV ReportingFinal301205-Apr06 22" xfId="6999"/>
    <cellStyle name="B_BotRC_Prophet-EEV ReportingFinal301205-Apr06 22 2" xfId="7000"/>
    <cellStyle name="B_BotRC_Prophet-EEV ReportingFinal301205-Apr06 22 3" xfId="27083"/>
    <cellStyle name="B_BotRC_Prophet-EEV ReportingFinal301205-Apr06 23" xfId="7001"/>
    <cellStyle name="B_BotRC_Prophet-EEV ReportingFinal301205-Apr06 23 2" xfId="7002"/>
    <cellStyle name="B_BotRC_Prophet-EEV ReportingFinal301205-Apr06 23 3" xfId="27084"/>
    <cellStyle name="B_BotRC_Prophet-EEV ReportingFinal301205-Apr06 24" xfId="7003"/>
    <cellStyle name="B_BotRC_Prophet-EEV ReportingFinal301205-Apr06 25" xfId="27085"/>
    <cellStyle name="B_BotRC_Prophet-EEV ReportingFinal301205-Apr06 3" xfId="7004"/>
    <cellStyle name="B_BotRC_Prophet-EEV ReportingFinal301205-Apr06 3 2" xfId="7005"/>
    <cellStyle name="B_BotRC_Prophet-EEV ReportingFinal301205-Apr06 3 3" xfId="27086"/>
    <cellStyle name="B_BotRC_Prophet-EEV ReportingFinal301205-Apr06 4" xfId="7006"/>
    <cellStyle name="B_BotRC_Prophet-EEV ReportingFinal301205-Apr06 4 2" xfId="7007"/>
    <cellStyle name="B_BotRC_Prophet-EEV ReportingFinal301205-Apr06 4 3" xfId="27087"/>
    <cellStyle name="B_BotRC_Prophet-EEV ReportingFinal301205-Apr06 5" xfId="7008"/>
    <cellStyle name="B_BotRC_Prophet-EEV ReportingFinal301205-Apr06 5 2" xfId="7009"/>
    <cellStyle name="B_BotRC_Prophet-EEV ReportingFinal301205-Apr06 5 3" xfId="27088"/>
    <cellStyle name="B_BotRC_Prophet-EEV ReportingFinal301205-Apr06 6" xfId="7010"/>
    <cellStyle name="B_BotRC_Prophet-EEV ReportingFinal301205-Apr06 6 2" xfId="7011"/>
    <cellStyle name="B_BotRC_Prophet-EEV ReportingFinal301205-Apr06 6 3" xfId="27089"/>
    <cellStyle name="B_BotRC_Prophet-EEV ReportingFinal301205-Apr06 7" xfId="7012"/>
    <cellStyle name="B_BotRC_Prophet-EEV ReportingFinal301205-Apr06 7 2" xfId="7013"/>
    <cellStyle name="B_BotRC_Prophet-EEV ReportingFinal301205-Apr06 7 3" xfId="27090"/>
    <cellStyle name="B_BotRC_Prophet-EEV ReportingFinal301205-Apr06 8" xfId="7014"/>
    <cellStyle name="B_BotRC_Prophet-EEV ReportingFinal301205-Apr06 8 2" xfId="7015"/>
    <cellStyle name="B_BotRC_Prophet-EEV ReportingFinal301205-Apr06 8 3" xfId="27091"/>
    <cellStyle name="B_BotRC_Prophet-EEV ReportingFinal301205-Apr06 9" xfId="7016"/>
    <cellStyle name="B_BotRC_Prophet-EEV ReportingFinal301205-Apr06 9 2" xfId="7017"/>
    <cellStyle name="B_BotRC_Prophet-EEV ReportingFinal301205-Apr06 9 3" xfId="27092"/>
    <cellStyle name="B_BotRC_Prophet-EEV ReportingFinal301205-Apr06_HK.EEV-May06 4+2 kkh" xfId="7018"/>
    <cellStyle name="B_BotRC_Prophet-EEV ReportingFinal301205-Apr06_HK.EEV-May06 4+2 kkh 10" xfId="7019"/>
    <cellStyle name="B_BotRC_Prophet-EEV ReportingFinal301205-Apr06_HK.EEV-May06 4+2 kkh 10 2" xfId="7020"/>
    <cellStyle name="B_BotRC_Prophet-EEV ReportingFinal301205-Apr06_HK.EEV-May06 4+2 kkh 10 3" xfId="27093"/>
    <cellStyle name="B_BotRC_Prophet-EEV ReportingFinal301205-Apr06_HK.EEV-May06 4+2 kkh 11" xfId="7021"/>
    <cellStyle name="B_BotRC_Prophet-EEV ReportingFinal301205-Apr06_HK.EEV-May06 4+2 kkh 11 2" xfId="7022"/>
    <cellStyle name="B_BotRC_Prophet-EEV ReportingFinal301205-Apr06_HK.EEV-May06 4+2 kkh 11 3" xfId="27094"/>
    <cellStyle name="B_BotRC_Prophet-EEV ReportingFinal301205-Apr06_HK.EEV-May06 4+2 kkh 12" xfId="7023"/>
    <cellStyle name="B_BotRC_Prophet-EEV ReportingFinal301205-Apr06_HK.EEV-May06 4+2 kkh 12 2" xfId="7024"/>
    <cellStyle name="B_BotRC_Prophet-EEV ReportingFinal301205-Apr06_HK.EEV-May06 4+2 kkh 12 3" xfId="27095"/>
    <cellStyle name="B_BotRC_Prophet-EEV ReportingFinal301205-Apr06_HK.EEV-May06 4+2 kkh 13" xfId="7025"/>
    <cellStyle name="B_BotRC_Prophet-EEV ReportingFinal301205-Apr06_HK.EEV-May06 4+2 kkh 13 2" xfId="7026"/>
    <cellStyle name="B_BotRC_Prophet-EEV ReportingFinal301205-Apr06_HK.EEV-May06 4+2 kkh 13 3" xfId="27096"/>
    <cellStyle name="B_BotRC_Prophet-EEV ReportingFinal301205-Apr06_HK.EEV-May06 4+2 kkh 14" xfId="7027"/>
    <cellStyle name="B_BotRC_Prophet-EEV ReportingFinal301205-Apr06_HK.EEV-May06 4+2 kkh 14 2" xfId="7028"/>
    <cellStyle name="B_BotRC_Prophet-EEV ReportingFinal301205-Apr06_HK.EEV-May06 4+2 kkh 14 3" xfId="27097"/>
    <cellStyle name="B_BotRC_Prophet-EEV ReportingFinal301205-Apr06_HK.EEV-May06 4+2 kkh 15" xfId="7029"/>
    <cellStyle name="B_BotRC_Prophet-EEV ReportingFinal301205-Apr06_HK.EEV-May06 4+2 kkh 15 2" xfId="7030"/>
    <cellStyle name="B_BotRC_Prophet-EEV ReportingFinal301205-Apr06_HK.EEV-May06 4+2 kkh 15 3" xfId="27098"/>
    <cellStyle name="B_BotRC_Prophet-EEV ReportingFinal301205-Apr06_HK.EEV-May06 4+2 kkh 16" xfId="7031"/>
    <cellStyle name="B_BotRC_Prophet-EEV ReportingFinal301205-Apr06_HK.EEV-May06 4+2 kkh 16 2" xfId="7032"/>
    <cellStyle name="B_BotRC_Prophet-EEV ReportingFinal301205-Apr06_HK.EEV-May06 4+2 kkh 16 3" xfId="27099"/>
    <cellStyle name="B_BotRC_Prophet-EEV ReportingFinal301205-Apr06_HK.EEV-May06 4+2 kkh 17" xfId="7033"/>
    <cellStyle name="B_BotRC_Prophet-EEV ReportingFinal301205-Apr06_HK.EEV-May06 4+2 kkh 17 2" xfId="7034"/>
    <cellStyle name="B_BotRC_Prophet-EEV ReportingFinal301205-Apr06_HK.EEV-May06 4+2 kkh 17 3" xfId="27100"/>
    <cellStyle name="B_BotRC_Prophet-EEV ReportingFinal301205-Apr06_HK.EEV-May06 4+2 kkh 18" xfId="7035"/>
    <cellStyle name="B_BotRC_Prophet-EEV ReportingFinal301205-Apr06_HK.EEV-May06 4+2 kkh 18 2" xfId="7036"/>
    <cellStyle name="B_BotRC_Prophet-EEV ReportingFinal301205-Apr06_HK.EEV-May06 4+2 kkh 18 3" xfId="27101"/>
    <cellStyle name="B_BotRC_Prophet-EEV ReportingFinal301205-Apr06_HK.EEV-May06 4+2 kkh 19" xfId="7037"/>
    <cellStyle name="B_BotRC_Prophet-EEV ReportingFinal301205-Apr06_HK.EEV-May06 4+2 kkh 19 2" xfId="7038"/>
    <cellStyle name="B_BotRC_Prophet-EEV ReportingFinal301205-Apr06_HK.EEV-May06 4+2 kkh 19 3" xfId="27102"/>
    <cellStyle name="B_BotRC_Prophet-EEV ReportingFinal301205-Apr06_HK.EEV-May06 4+2 kkh 2" xfId="7039"/>
    <cellStyle name="B_BotRC_Prophet-EEV ReportingFinal301205-Apr06_HK.EEV-May06 4+2 kkh 2 2" xfId="7040"/>
    <cellStyle name="B_BotRC_Prophet-EEV ReportingFinal301205-Apr06_HK.EEV-May06 4+2 kkh 2 3" xfId="27103"/>
    <cellStyle name="B_BotRC_Prophet-EEV ReportingFinal301205-Apr06_HK.EEV-May06 4+2 kkh 20" xfId="7041"/>
    <cellStyle name="B_BotRC_Prophet-EEV ReportingFinal301205-Apr06_HK.EEV-May06 4+2 kkh 20 2" xfId="7042"/>
    <cellStyle name="B_BotRC_Prophet-EEV ReportingFinal301205-Apr06_HK.EEV-May06 4+2 kkh 20 3" xfId="27104"/>
    <cellStyle name="B_BotRC_Prophet-EEV ReportingFinal301205-Apr06_HK.EEV-May06 4+2 kkh 21" xfId="7043"/>
    <cellStyle name="B_BotRC_Prophet-EEV ReportingFinal301205-Apr06_HK.EEV-May06 4+2 kkh 21 2" xfId="7044"/>
    <cellStyle name="B_BotRC_Prophet-EEV ReportingFinal301205-Apr06_HK.EEV-May06 4+2 kkh 21 3" xfId="27105"/>
    <cellStyle name="B_BotRC_Prophet-EEV ReportingFinal301205-Apr06_HK.EEV-May06 4+2 kkh 22" xfId="7045"/>
    <cellStyle name="B_BotRC_Prophet-EEV ReportingFinal301205-Apr06_HK.EEV-May06 4+2 kkh 22 2" xfId="7046"/>
    <cellStyle name="B_BotRC_Prophet-EEV ReportingFinal301205-Apr06_HK.EEV-May06 4+2 kkh 22 3" xfId="27106"/>
    <cellStyle name="B_BotRC_Prophet-EEV ReportingFinal301205-Apr06_HK.EEV-May06 4+2 kkh 23" xfId="7047"/>
    <cellStyle name="B_BotRC_Prophet-EEV ReportingFinal301205-Apr06_HK.EEV-May06 4+2 kkh 23 2" xfId="7048"/>
    <cellStyle name="B_BotRC_Prophet-EEV ReportingFinal301205-Apr06_HK.EEV-May06 4+2 kkh 23 3" xfId="27107"/>
    <cellStyle name="B_BotRC_Prophet-EEV ReportingFinal301205-Apr06_HK.EEV-May06 4+2 kkh 24" xfId="7049"/>
    <cellStyle name="B_BotRC_Prophet-EEV ReportingFinal301205-Apr06_HK.EEV-May06 4+2 kkh 25" xfId="27108"/>
    <cellStyle name="B_BotRC_Prophet-EEV ReportingFinal301205-Apr06_HK.EEV-May06 4+2 kkh 3" xfId="7050"/>
    <cellStyle name="B_BotRC_Prophet-EEV ReportingFinal301205-Apr06_HK.EEV-May06 4+2 kkh 3 2" xfId="7051"/>
    <cellStyle name="B_BotRC_Prophet-EEV ReportingFinal301205-Apr06_HK.EEV-May06 4+2 kkh 3 3" xfId="27109"/>
    <cellStyle name="B_BotRC_Prophet-EEV ReportingFinal301205-Apr06_HK.EEV-May06 4+2 kkh 4" xfId="7052"/>
    <cellStyle name="B_BotRC_Prophet-EEV ReportingFinal301205-Apr06_HK.EEV-May06 4+2 kkh 4 2" xfId="7053"/>
    <cellStyle name="B_BotRC_Prophet-EEV ReportingFinal301205-Apr06_HK.EEV-May06 4+2 kkh 4 3" xfId="27110"/>
    <cellStyle name="B_BotRC_Prophet-EEV ReportingFinal301205-Apr06_HK.EEV-May06 4+2 kkh 5" xfId="7054"/>
    <cellStyle name="B_BotRC_Prophet-EEV ReportingFinal301205-Apr06_HK.EEV-May06 4+2 kkh 5 2" xfId="7055"/>
    <cellStyle name="B_BotRC_Prophet-EEV ReportingFinal301205-Apr06_HK.EEV-May06 4+2 kkh 5 3" xfId="27111"/>
    <cellStyle name="B_BotRC_Prophet-EEV ReportingFinal301205-Apr06_HK.EEV-May06 4+2 kkh 6" xfId="7056"/>
    <cellStyle name="B_BotRC_Prophet-EEV ReportingFinal301205-Apr06_HK.EEV-May06 4+2 kkh 6 2" xfId="7057"/>
    <cellStyle name="B_BotRC_Prophet-EEV ReportingFinal301205-Apr06_HK.EEV-May06 4+2 kkh 6 3" xfId="27112"/>
    <cellStyle name="B_BotRC_Prophet-EEV ReportingFinal301205-Apr06_HK.EEV-May06 4+2 kkh 7" xfId="7058"/>
    <cellStyle name="B_BotRC_Prophet-EEV ReportingFinal301205-Apr06_HK.EEV-May06 4+2 kkh 7 2" xfId="7059"/>
    <cellStyle name="B_BotRC_Prophet-EEV ReportingFinal301205-Apr06_HK.EEV-May06 4+2 kkh 7 3" xfId="27113"/>
    <cellStyle name="B_BotRC_Prophet-EEV ReportingFinal301205-Apr06_HK.EEV-May06 4+2 kkh 8" xfId="7060"/>
    <cellStyle name="B_BotRC_Prophet-EEV ReportingFinal301205-Apr06_HK.EEV-May06 4+2 kkh 8 2" xfId="7061"/>
    <cellStyle name="B_BotRC_Prophet-EEV ReportingFinal301205-Apr06_HK.EEV-May06 4+2 kkh 8 3" xfId="27114"/>
    <cellStyle name="B_BotRC_Prophet-EEV ReportingFinal301205-Apr06_HK.EEV-May06 4+2 kkh 9" xfId="7062"/>
    <cellStyle name="B_BotRC_Prophet-EEV ReportingFinal301205-Apr06_HK.EEV-May06 4+2 kkh 9 2" xfId="7063"/>
    <cellStyle name="B_BotRC_Prophet-EEV ReportingFinal301205-Apr06_HK.EEV-May06 4+2 kkh 9 3" xfId="27115"/>
    <cellStyle name="B_BotRC_Prophet-EEV ReportingFinal301205-Apr06_HK.EEV-May06 4+2 kkh_PROD_DETAILS" xfId="7064"/>
    <cellStyle name="B_BotRC_Prophet-EEV ReportingFinal301205-Apr06_HK.EEV-May06 4+2 kkh_PROD_DETAILS 2" xfId="7065"/>
    <cellStyle name="B_BotRC_Prophet-EEV ReportingFinal301205-Apr06_HK.EEV-May06 4+2 kkh_PROD_DETAILS 3" xfId="27116"/>
    <cellStyle name="B_BotRC_Prophet-EEV ReportingFinal301205-Apr06_HK.EEV-May06 4+2 kkh_SOLVENCY POSITION " xfId="7066"/>
    <cellStyle name="B_BotRC_Prophet-EEV ReportingFinal301205-Apr06_HK.EEV-May06 4+2 kkh_SOLVENCY POSITION  2" xfId="7067"/>
    <cellStyle name="B_BotRC_Prophet-EEV ReportingFinal301205-Apr06_HK.EEV-May06 4+2 kkh_SOLVENCY POSITION  3" xfId="27117"/>
    <cellStyle name="B_BotRC_Prophet-EEV ReportingFinal301205-Apr06_PROD_DETAILS" xfId="7068"/>
    <cellStyle name="B_BotRC_Prophet-EEV ReportingFinal301205-Apr06_PROD_DETAILS 2" xfId="7069"/>
    <cellStyle name="B_BotRC_Prophet-EEV ReportingFinal301205-Apr06_PROD_DETAILS 3" xfId="27118"/>
    <cellStyle name="B_BotRC_Prophet-EEV ReportingFinal301205-Apr06_SOLVENCY POSITION " xfId="7070"/>
    <cellStyle name="B_BotRC_Prophet-EEV ReportingFinal301205-Apr06_SOLVENCY POSITION  2" xfId="7071"/>
    <cellStyle name="B_BotRC_Prophet-EEV ReportingFinal301205-Apr06_SOLVENCY POSITION  3" xfId="27119"/>
    <cellStyle name="B_BotRC_SG.EEV-Apr06" xfId="7072"/>
    <cellStyle name="B_BotRC_SG.EEV-Apr06 10" xfId="7073"/>
    <cellStyle name="B_BotRC_SG.EEV-Apr06 10 2" xfId="7074"/>
    <cellStyle name="B_BotRC_SG.EEV-Apr06 10 3" xfId="27120"/>
    <cellStyle name="B_BotRC_SG.EEV-Apr06 11" xfId="7075"/>
    <cellStyle name="B_BotRC_SG.EEV-Apr06 11 2" xfId="7076"/>
    <cellStyle name="B_BotRC_SG.EEV-Apr06 11 3" xfId="27121"/>
    <cellStyle name="B_BotRC_SG.EEV-Apr06 12" xfId="7077"/>
    <cellStyle name="B_BotRC_SG.EEV-Apr06 12 2" xfId="7078"/>
    <cellStyle name="B_BotRC_SG.EEV-Apr06 12 3" xfId="27122"/>
    <cellStyle name="B_BotRC_SG.EEV-Apr06 13" xfId="7079"/>
    <cellStyle name="B_BotRC_SG.EEV-Apr06 13 2" xfId="7080"/>
    <cellStyle name="B_BotRC_SG.EEV-Apr06 13 3" xfId="27123"/>
    <cellStyle name="B_BotRC_SG.EEV-Apr06 14" xfId="7081"/>
    <cellStyle name="B_BotRC_SG.EEV-Apr06 14 2" xfId="7082"/>
    <cellStyle name="B_BotRC_SG.EEV-Apr06 14 3" xfId="27124"/>
    <cellStyle name="B_BotRC_SG.EEV-Apr06 15" xfId="7083"/>
    <cellStyle name="B_BotRC_SG.EEV-Apr06 15 2" xfId="7084"/>
    <cellStyle name="B_BotRC_SG.EEV-Apr06 15 3" xfId="27125"/>
    <cellStyle name="B_BotRC_SG.EEV-Apr06 16" xfId="7085"/>
    <cellStyle name="B_BotRC_SG.EEV-Apr06 16 2" xfId="7086"/>
    <cellStyle name="B_BotRC_SG.EEV-Apr06 16 3" xfId="27126"/>
    <cellStyle name="B_BotRC_SG.EEV-Apr06 17" xfId="7087"/>
    <cellStyle name="B_BotRC_SG.EEV-Apr06 17 2" xfId="7088"/>
    <cellStyle name="B_BotRC_SG.EEV-Apr06 17 3" xfId="27127"/>
    <cellStyle name="B_BotRC_SG.EEV-Apr06 18" xfId="7089"/>
    <cellStyle name="B_BotRC_SG.EEV-Apr06 18 2" xfId="7090"/>
    <cellStyle name="B_BotRC_SG.EEV-Apr06 18 3" xfId="27128"/>
    <cellStyle name="B_BotRC_SG.EEV-Apr06 19" xfId="7091"/>
    <cellStyle name="B_BotRC_SG.EEV-Apr06 19 2" xfId="7092"/>
    <cellStyle name="B_BotRC_SG.EEV-Apr06 19 3" xfId="27129"/>
    <cellStyle name="B_BotRC_SG.EEV-Apr06 2" xfId="7093"/>
    <cellStyle name="B_BotRC_SG.EEV-Apr06 2 2" xfId="7094"/>
    <cellStyle name="B_BotRC_SG.EEV-Apr06 2 3" xfId="27130"/>
    <cellStyle name="B_BotRC_SG.EEV-Apr06 20" xfId="7095"/>
    <cellStyle name="B_BotRC_SG.EEV-Apr06 20 2" xfId="7096"/>
    <cellStyle name="B_BotRC_SG.EEV-Apr06 20 3" xfId="27131"/>
    <cellStyle name="B_BotRC_SG.EEV-Apr06 21" xfId="7097"/>
    <cellStyle name="B_BotRC_SG.EEV-Apr06 21 2" xfId="7098"/>
    <cellStyle name="B_BotRC_SG.EEV-Apr06 21 3" xfId="27132"/>
    <cellStyle name="B_BotRC_SG.EEV-Apr06 22" xfId="7099"/>
    <cellStyle name="B_BotRC_SG.EEV-Apr06 22 2" xfId="7100"/>
    <cellStyle name="B_BotRC_SG.EEV-Apr06 22 3" xfId="27133"/>
    <cellStyle name="B_BotRC_SG.EEV-Apr06 23" xfId="7101"/>
    <cellStyle name="B_BotRC_SG.EEV-Apr06 23 2" xfId="7102"/>
    <cellStyle name="B_BotRC_SG.EEV-Apr06 23 3" xfId="27134"/>
    <cellStyle name="B_BotRC_SG.EEV-Apr06 24" xfId="7103"/>
    <cellStyle name="B_BotRC_SG.EEV-Apr06 25" xfId="27135"/>
    <cellStyle name="B_BotRC_SG.EEV-Apr06 3" xfId="7104"/>
    <cellStyle name="B_BotRC_SG.EEV-Apr06 3 2" xfId="7105"/>
    <cellStyle name="B_BotRC_SG.EEV-Apr06 3 3" xfId="27136"/>
    <cellStyle name="B_BotRC_SG.EEV-Apr06 4" xfId="7106"/>
    <cellStyle name="B_BotRC_SG.EEV-Apr06 4 2" xfId="7107"/>
    <cellStyle name="B_BotRC_SG.EEV-Apr06 4 3" xfId="27137"/>
    <cellStyle name="B_BotRC_SG.EEV-Apr06 5" xfId="7108"/>
    <cellStyle name="B_BotRC_SG.EEV-Apr06 5 2" xfId="7109"/>
    <cellStyle name="B_BotRC_SG.EEV-Apr06 5 3" xfId="27138"/>
    <cellStyle name="B_BotRC_SG.EEV-Apr06 6" xfId="7110"/>
    <cellStyle name="B_BotRC_SG.EEV-Apr06 6 2" xfId="7111"/>
    <cellStyle name="B_BotRC_SG.EEV-Apr06 6 3" xfId="27139"/>
    <cellStyle name="B_BotRC_SG.EEV-Apr06 7" xfId="7112"/>
    <cellStyle name="B_BotRC_SG.EEV-Apr06 7 2" xfId="7113"/>
    <cellStyle name="B_BotRC_SG.EEV-Apr06 7 3" xfId="27140"/>
    <cellStyle name="B_BotRC_SG.EEV-Apr06 8" xfId="7114"/>
    <cellStyle name="B_BotRC_SG.EEV-Apr06 8 2" xfId="7115"/>
    <cellStyle name="B_BotRC_SG.EEV-Apr06 8 3" xfId="27141"/>
    <cellStyle name="B_BotRC_SG.EEV-Apr06 9" xfId="7116"/>
    <cellStyle name="B_BotRC_SG.EEV-Apr06 9 2" xfId="7117"/>
    <cellStyle name="B_BotRC_SG.EEV-Apr06 9 3" xfId="27142"/>
    <cellStyle name="B_BotRC_SG.EEV-Apr06_HK.EEV-May06 4+2 kkh" xfId="7118"/>
    <cellStyle name="B_BotRC_SG.EEV-Apr06_HK.EEV-May06 4+2 kkh 10" xfId="7119"/>
    <cellStyle name="B_BotRC_SG.EEV-Apr06_HK.EEV-May06 4+2 kkh 10 2" xfId="7120"/>
    <cellStyle name="B_BotRC_SG.EEV-Apr06_HK.EEV-May06 4+2 kkh 10 3" xfId="27143"/>
    <cellStyle name="B_BotRC_SG.EEV-Apr06_HK.EEV-May06 4+2 kkh 11" xfId="7121"/>
    <cellStyle name="B_BotRC_SG.EEV-Apr06_HK.EEV-May06 4+2 kkh 11 2" xfId="7122"/>
    <cellStyle name="B_BotRC_SG.EEV-Apr06_HK.EEV-May06 4+2 kkh 11 3" xfId="27144"/>
    <cellStyle name="B_BotRC_SG.EEV-Apr06_HK.EEV-May06 4+2 kkh 12" xfId="7123"/>
    <cellStyle name="B_BotRC_SG.EEV-Apr06_HK.EEV-May06 4+2 kkh 12 2" xfId="7124"/>
    <cellStyle name="B_BotRC_SG.EEV-Apr06_HK.EEV-May06 4+2 kkh 12 3" xfId="27145"/>
    <cellStyle name="B_BotRC_SG.EEV-Apr06_HK.EEV-May06 4+2 kkh 13" xfId="7125"/>
    <cellStyle name="B_BotRC_SG.EEV-Apr06_HK.EEV-May06 4+2 kkh 13 2" xfId="7126"/>
    <cellStyle name="B_BotRC_SG.EEV-Apr06_HK.EEV-May06 4+2 kkh 13 3" xfId="27146"/>
    <cellStyle name="B_BotRC_SG.EEV-Apr06_HK.EEV-May06 4+2 kkh 14" xfId="7127"/>
    <cellStyle name="B_BotRC_SG.EEV-Apr06_HK.EEV-May06 4+2 kkh 14 2" xfId="7128"/>
    <cellStyle name="B_BotRC_SG.EEV-Apr06_HK.EEV-May06 4+2 kkh 14 3" xfId="27147"/>
    <cellStyle name="B_BotRC_SG.EEV-Apr06_HK.EEV-May06 4+2 kkh 15" xfId="7129"/>
    <cellStyle name="B_BotRC_SG.EEV-Apr06_HK.EEV-May06 4+2 kkh 15 2" xfId="7130"/>
    <cellStyle name="B_BotRC_SG.EEV-Apr06_HK.EEV-May06 4+2 kkh 15 3" xfId="27148"/>
    <cellStyle name="B_BotRC_SG.EEV-Apr06_HK.EEV-May06 4+2 kkh 16" xfId="7131"/>
    <cellStyle name="B_BotRC_SG.EEV-Apr06_HK.EEV-May06 4+2 kkh 16 2" xfId="7132"/>
    <cellStyle name="B_BotRC_SG.EEV-Apr06_HK.EEV-May06 4+2 kkh 16 3" xfId="27149"/>
    <cellStyle name="B_BotRC_SG.EEV-Apr06_HK.EEV-May06 4+2 kkh 17" xfId="7133"/>
    <cellStyle name="B_BotRC_SG.EEV-Apr06_HK.EEV-May06 4+2 kkh 17 2" xfId="7134"/>
    <cellStyle name="B_BotRC_SG.EEV-Apr06_HK.EEV-May06 4+2 kkh 17 3" xfId="27150"/>
    <cellStyle name="B_BotRC_SG.EEV-Apr06_HK.EEV-May06 4+2 kkh 18" xfId="7135"/>
    <cellStyle name="B_BotRC_SG.EEV-Apr06_HK.EEV-May06 4+2 kkh 18 2" xfId="7136"/>
    <cellStyle name="B_BotRC_SG.EEV-Apr06_HK.EEV-May06 4+2 kkh 18 3" xfId="27151"/>
    <cellStyle name="B_BotRC_SG.EEV-Apr06_HK.EEV-May06 4+2 kkh 19" xfId="7137"/>
    <cellStyle name="B_BotRC_SG.EEV-Apr06_HK.EEV-May06 4+2 kkh 19 2" xfId="7138"/>
    <cellStyle name="B_BotRC_SG.EEV-Apr06_HK.EEV-May06 4+2 kkh 19 3" xfId="27152"/>
    <cellStyle name="B_BotRC_SG.EEV-Apr06_HK.EEV-May06 4+2 kkh 2" xfId="7139"/>
    <cellStyle name="B_BotRC_SG.EEV-Apr06_HK.EEV-May06 4+2 kkh 2 2" xfId="7140"/>
    <cellStyle name="B_BotRC_SG.EEV-Apr06_HK.EEV-May06 4+2 kkh 2 3" xfId="27153"/>
    <cellStyle name="B_BotRC_SG.EEV-Apr06_HK.EEV-May06 4+2 kkh 20" xfId="7141"/>
    <cellStyle name="B_BotRC_SG.EEV-Apr06_HK.EEV-May06 4+2 kkh 20 2" xfId="7142"/>
    <cellStyle name="B_BotRC_SG.EEV-Apr06_HK.EEV-May06 4+2 kkh 20 3" xfId="27154"/>
    <cellStyle name="B_BotRC_SG.EEV-Apr06_HK.EEV-May06 4+2 kkh 21" xfId="7143"/>
    <cellStyle name="B_BotRC_SG.EEV-Apr06_HK.EEV-May06 4+2 kkh 21 2" xfId="7144"/>
    <cellStyle name="B_BotRC_SG.EEV-Apr06_HK.EEV-May06 4+2 kkh 21 3" xfId="27155"/>
    <cellStyle name="B_BotRC_SG.EEV-Apr06_HK.EEV-May06 4+2 kkh 22" xfId="7145"/>
    <cellStyle name="B_BotRC_SG.EEV-Apr06_HK.EEV-May06 4+2 kkh 22 2" xfId="7146"/>
    <cellStyle name="B_BotRC_SG.EEV-Apr06_HK.EEV-May06 4+2 kkh 22 3" xfId="27156"/>
    <cellStyle name="B_BotRC_SG.EEV-Apr06_HK.EEV-May06 4+2 kkh 23" xfId="7147"/>
    <cellStyle name="B_BotRC_SG.EEV-Apr06_HK.EEV-May06 4+2 kkh 23 2" xfId="7148"/>
    <cellStyle name="B_BotRC_SG.EEV-Apr06_HK.EEV-May06 4+2 kkh 23 3" xfId="27157"/>
    <cellStyle name="B_BotRC_SG.EEV-Apr06_HK.EEV-May06 4+2 kkh 24" xfId="7149"/>
    <cellStyle name="B_BotRC_SG.EEV-Apr06_HK.EEV-May06 4+2 kkh 25" xfId="27158"/>
    <cellStyle name="B_BotRC_SG.EEV-Apr06_HK.EEV-May06 4+2 kkh 3" xfId="7150"/>
    <cellStyle name="B_BotRC_SG.EEV-Apr06_HK.EEV-May06 4+2 kkh 3 2" xfId="7151"/>
    <cellStyle name="B_BotRC_SG.EEV-Apr06_HK.EEV-May06 4+2 kkh 3 3" xfId="27159"/>
    <cellStyle name="B_BotRC_SG.EEV-Apr06_HK.EEV-May06 4+2 kkh 4" xfId="7152"/>
    <cellStyle name="B_BotRC_SG.EEV-Apr06_HK.EEV-May06 4+2 kkh 4 2" xfId="7153"/>
    <cellStyle name="B_BotRC_SG.EEV-Apr06_HK.EEV-May06 4+2 kkh 4 3" xfId="27160"/>
    <cellStyle name="B_BotRC_SG.EEV-Apr06_HK.EEV-May06 4+2 kkh 5" xfId="7154"/>
    <cellStyle name="B_BotRC_SG.EEV-Apr06_HK.EEV-May06 4+2 kkh 5 2" xfId="7155"/>
    <cellStyle name="B_BotRC_SG.EEV-Apr06_HK.EEV-May06 4+2 kkh 5 3" xfId="27161"/>
    <cellStyle name="B_BotRC_SG.EEV-Apr06_HK.EEV-May06 4+2 kkh 6" xfId="7156"/>
    <cellStyle name="B_BotRC_SG.EEV-Apr06_HK.EEV-May06 4+2 kkh 6 2" xfId="7157"/>
    <cellStyle name="B_BotRC_SG.EEV-Apr06_HK.EEV-May06 4+2 kkh 6 3" xfId="27162"/>
    <cellStyle name="B_BotRC_SG.EEV-Apr06_HK.EEV-May06 4+2 kkh 7" xfId="7158"/>
    <cellStyle name="B_BotRC_SG.EEV-Apr06_HK.EEV-May06 4+2 kkh 7 2" xfId="7159"/>
    <cellStyle name="B_BotRC_SG.EEV-Apr06_HK.EEV-May06 4+2 kkh 7 3" xfId="27163"/>
    <cellStyle name="B_BotRC_SG.EEV-Apr06_HK.EEV-May06 4+2 kkh 8" xfId="7160"/>
    <cellStyle name="B_BotRC_SG.EEV-Apr06_HK.EEV-May06 4+2 kkh 8 2" xfId="7161"/>
    <cellStyle name="B_BotRC_SG.EEV-Apr06_HK.EEV-May06 4+2 kkh 8 3" xfId="27164"/>
    <cellStyle name="B_BotRC_SG.EEV-Apr06_HK.EEV-May06 4+2 kkh 9" xfId="7162"/>
    <cellStyle name="B_BotRC_SG.EEV-Apr06_HK.EEV-May06 4+2 kkh 9 2" xfId="7163"/>
    <cellStyle name="B_BotRC_SG.EEV-Apr06_HK.EEV-May06 4+2 kkh 9 3" xfId="27165"/>
    <cellStyle name="B_BotRC_SG.EEV-Apr06_HK.EEV-May06 4+2 kkh_PROD_DETAILS" xfId="7164"/>
    <cellStyle name="B_BotRC_SG.EEV-Apr06_HK.EEV-May06 4+2 kkh_PROD_DETAILS 2" xfId="7165"/>
    <cellStyle name="B_BotRC_SG.EEV-Apr06_HK.EEV-May06 4+2 kkh_PROD_DETAILS 3" xfId="27166"/>
    <cellStyle name="B_BotRC_SG.EEV-Apr06_HK.EEV-May06 4+2 kkh_SOLVENCY POSITION " xfId="7166"/>
    <cellStyle name="B_BotRC_SG.EEV-Apr06_HK.EEV-May06 4+2 kkh_SOLVENCY POSITION  2" xfId="7167"/>
    <cellStyle name="B_BotRC_SG.EEV-Apr06_HK.EEV-May06 4+2 kkh_SOLVENCY POSITION  3" xfId="27167"/>
    <cellStyle name="B_BotRC_SG.EEV-Apr06_PROD_DETAILS" xfId="7168"/>
    <cellStyle name="B_BotRC_SG.EEV-Apr06_PROD_DETAILS 2" xfId="7169"/>
    <cellStyle name="B_BotRC_SG.EEV-Apr06_PROD_DETAILS 3" xfId="27168"/>
    <cellStyle name="B_BotRC_SG.EEV-Apr06_SOLVENCY POSITION " xfId="7170"/>
    <cellStyle name="B_BotRC_SG.EEV-Apr06_SOLVENCY POSITION  2" xfId="7171"/>
    <cellStyle name="B_BotRC_SG.EEV-Apr06_SOLVENCY POSITION  3" xfId="27169"/>
    <cellStyle name="B_BotRC_SG.EEV-June06 6+6" xfId="7172"/>
    <cellStyle name="B_BotRC_SG.EEV-June06 6+6 10" xfId="7173"/>
    <cellStyle name="B_BotRC_SG.EEV-June06 6+6 10 2" xfId="7174"/>
    <cellStyle name="B_BotRC_SG.EEV-June06 6+6 10 3" xfId="27170"/>
    <cellStyle name="B_BotRC_SG.EEV-June06 6+6 11" xfId="7175"/>
    <cellStyle name="B_BotRC_SG.EEV-June06 6+6 11 2" xfId="7176"/>
    <cellStyle name="B_BotRC_SG.EEV-June06 6+6 11 3" xfId="27171"/>
    <cellStyle name="B_BotRC_SG.EEV-June06 6+6 12" xfId="7177"/>
    <cellStyle name="B_BotRC_SG.EEV-June06 6+6 12 2" xfId="7178"/>
    <cellStyle name="B_BotRC_SG.EEV-June06 6+6 12 3" xfId="27172"/>
    <cellStyle name="B_BotRC_SG.EEV-June06 6+6 13" xfId="7179"/>
    <cellStyle name="B_BotRC_SG.EEV-June06 6+6 13 2" xfId="7180"/>
    <cellStyle name="B_BotRC_SG.EEV-June06 6+6 13 3" xfId="27173"/>
    <cellStyle name="B_BotRC_SG.EEV-June06 6+6 14" xfId="7181"/>
    <cellStyle name="B_BotRC_SG.EEV-June06 6+6 14 2" xfId="7182"/>
    <cellStyle name="B_BotRC_SG.EEV-June06 6+6 14 3" xfId="27174"/>
    <cellStyle name="B_BotRC_SG.EEV-June06 6+6 15" xfId="7183"/>
    <cellStyle name="B_BotRC_SG.EEV-June06 6+6 15 2" xfId="7184"/>
    <cellStyle name="B_BotRC_SG.EEV-June06 6+6 15 3" xfId="27175"/>
    <cellStyle name="B_BotRC_SG.EEV-June06 6+6 16" xfId="7185"/>
    <cellStyle name="B_BotRC_SG.EEV-June06 6+6 16 2" xfId="7186"/>
    <cellStyle name="B_BotRC_SG.EEV-June06 6+6 16 3" xfId="27176"/>
    <cellStyle name="B_BotRC_SG.EEV-June06 6+6 17" xfId="7187"/>
    <cellStyle name="B_BotRC_SG.EEV-June06 6+6 17 2" xfId="7188"/>
    <cellStyle name="B_BotRC_SG.EEV-June06 6+6 17 3" xfId="27177"/>
    <cellStyle name="B_BotRC_SG.EEV-June06 6+6 18" xfId="7189"/>
    <cellStyle name="B_BotRC_SG.EEV-June06 6+6 18 2" xfId="7190"/>
    <cellStyle name="B_BotRC_SG.EEV-June06 6+6 18 3" xfId="27178"/>
    <cellStyle name="B_BotRC_SG.EEV-June06 6+6 19" xfId="7191"/>
    <cellStyle name="B_BotRC_SG.EEV-June06 6+6 19 2" xfId="7192"/>
    <cellStyle name="B_BotRC_SG.EEV-June06 6+6 19 3" xfId="27179"/>
    <cellStyle name="B_BotRC_SG.EEV-June06 6+6 2" xfId="7193"/>
    <cellStyle name="B_BotRC_SG.EEV-June06 6+6 2 2" xfId="7194"/>
    <cellStyle name="B_BotRC_SG.EEV-June06 6+6 2 3" xfId="27180"/>
    <cellStyle name="B_BotRC_SG.EEV-June06 6+6 20" xfId="7195"/>
    <cellStyle name="B_BotRC_SG.EEV-June06 6+6 20 2" xfId="7196"/>
    <cellStyle name="B_BotRC_SG.EEV-June06 6+6 20 3" xfId="27181"/>
    <cellStyle name="B_BotRC_SG.EEV-June06 6+6 21" xfId="7197"/>
    <cellStyle name="B_BotRC_SG.EEV-June06 6+6 21 2" xfId="7198"/>
    <cellStyle name="B_BotRC_SG.EEV-June06 6+6 21 3" xfId="27182"/>
    <cellStyle name="B_BotRC_SG.EEV-June06 6+6 22" xfId="7199"/>
    <cellStyle name="B_BotRC_SG.EEV-June06 6+6 22 2" xfId="7200"/>
    <cellStyle name="B_BotRC_SG.EEV-June06 6+6 22 3" xfId="27183"/>
    <cellStyle name="B_BotRC_SG.EEV-June06 6+6 23" xfId="7201"/>
    <cellStyle name="B_BotRC_SG.EEV-June06 6+6 23 2" xfId="7202"/>
    <cellStyle name="B_BotRC_SG.EEV-June06 6+6 23 3" xfId="27184"/>
    <cellStyle name="B_BotRC_SG.EEV-June06 6+6 24" xfId="7203"/>
    <cellStyle name="B_BotRC_SG.EEV-June06 6+6 25" xfId="27185"/>
    <cellStyle name="B_BotRC_SG.EEV-June06 6+6 3" xfId="7204"/>
    <cellStyle name="B_BotRC_SG.EEV-June06 6+6 3 2" xfId="7205"/>
    <cellStyle name="B_BotRC_SG.EEV-June06 6+6 3 3" xfId="27186"/>
    <cellStyle name="B_BotRC_SG.EEV-June06 6+6 4" xfId="7206"/>
    <cellStyle name="B_BotRC_SG.EEV-June06 6+6 4 2" xfId="7207"/>
    <cellStyle name="B_BotRC_SG.EEV-June06 6+6 4 3" xfId="27187"/>
    <cellStyle name="B_BotRC_SG.EEV-June06 6+6 5" xfId="7208"/>
    <cellStyle name="B_BotRC_SG.EEV-June06 6+6 5 2" xfId="7209"/>
    <cellStyle name="B_BotRC_SG.EEV-June06 6+6 5 3" xfId="27188"/>
    <cellStyle name="B_BotRC_SG.EEV-June06 6+6 6" xfId="7210"/>
    <cellStyle name="B_BotRC_SG.EEV-June06 6+6 6 2" xfId="7211"/>
    <cellStyle name="B_BotRC_SG.EEV-June06 6+6 6 3" xfId="27189"/>
    <cellStyle name="B_BotRC_SG.EEV-June06 6+6 7" xfId="7212"/>
    <cellStyle name="B_BotRC_SG.EEV-June06 6+6 7 2" xfId="7213"/>
    <cellStyle name="B_BotRC_SG.EEV-June06 6+6 7 3" xfId="27190"/>
    <cellStyle name="B_BotRC_SG.EEV-June06 6+6 8" xfId="7214"/>
    <cellStyle name="B_BotRC_SG.EEV-June06 6+6 8 2" xfId="7215"/>
    <cellStyle name="B_BotRC_SG.EEV-June06 6+6 8 3" xfId="27191"/>
    <cellStyle name="B_BotRC_SG.EEV-June06 6+6 9" xfId="7216"/>
    <cellStyle name="B_BotRC_SG.EEV-June06 6+6 9 2" xfId="7217"/>
    <cellStyle name="B_BotRC_SG.EEV-June06 6+6 9 3" xfId="27192"/>
    <cellStyle name="B_BotRC_SG.EEV-June06 6+6_PROD_DETAILS" xfId="7218"/>
    <cellStyle name="B_BotRC_SG.EEV-June06 6+6_PROD_DETAILS 2" xfId="7219"/>
    <cellStyle name="B_BotRC_SG.EEV-June06 6+6_PROD_DETAILS 3" xfId="27193"/>
    <cellStyle name="B_BotRC_SG.EEV-June06 6+6_SOLVENCY POSITION " xfId="7220"/>
    <cellStyle name="B_BotRC_SG.EEV-June06 6+6_SOLVENCY POSITION  2" xfId="7221"/>
    <cellStyle name="B_BotRC_SG.EEV-June06 6+6_SOLVENCY POSITION  3" xfId="27194"/>
    <cellStyle name="B_BotRC_SG.EEV-May06 4+2" xfId="7222"/>
    <cellStyle name="B_BotRC_SG.EEV-May06 4+2 10" xfId="7223"/>
    <cellStyle name="B_BotRC_SG.EEV-May06 4+2 10 2" xfId="7224"/>
    <cellStyle name="B_BotRC_SG.EEV-May06 4+2 10 3" xfId="27195"/>
    <cellStyle name="B_BotRC_SG.EEV-May06 4+2 11" xfId="7225"/>
    <cellStyle name="B_BotRC_SG.EEV-May06 4+2 11 2" xfId="7226"/>
    <cellStyle name="B_BotRC_SG.EEV-May06 4+2 11 3" xfId="27196"/>
    <cellStyle name="B_BotRC_SG.EEV-May06 4+2 12" xfId="7227"/>
    <cellStyle name="B_BotRC_SG.EEV-May06 4+2 12 2" xfId="7228"/>
    <cellStyle name="B_BotRC_SG.EEV-May06 4+2 12 3" xfId="27197"/>
    <cellStyle name="B_BotRC_SG.EEV-May06 4+2 13" xfId="7229"/>
    <cellStyle name="B_BotRC_SG.EEV-May06 4+2 13 2" xfId="7230"/>
    <cellStyle name="B_BotRC_SG.EEV-May06 4+2 13 3" xfId="27198"/>
    <cellStyle name="B_BotRC_SG.EEV-May06 4+2 14" xfId="7231"/>
    <cellStyle name="B_BotRC_SG.EEV-May06 4+2 14 2" xfId="7232"/>
    <cellStyle name="B_BotRC_SG.EEV-May06 4+2 14 3" xfId="27199"/>
    <cellStyle name="B_BotRC_SG.EEV-May06 4+2 15" xfId="7233"/>
    <cellStyle name="B_BotRC_SG.EEV-May06 4+2 15 2" xfId="7234"/>
    <cellStyle name="B_BotRC_SG.EEV-May06 4+2 15 3" xfId="27200"/>
    <cellStyle name="B_BotRC_SG.EEV-May06 4+2 16" xfId="7235"/>
    <cellStyle name="B_BotRC_SG.EEV-May06 4+2 16 2" xfId="7236"/>
    <cellStyle name="B_BotRC_SG.EEV-May06 4+2 16 3" xfId="27201"/>
    <cellStyle name="B_BotRC_SG.EEV-May06 4+2 17" xfId="7237"/>
    <cellStyle name="B_BotRC_SG.EEV-May06 4+2 17 2" xfId="7238"/>
    <cellStyle name="B_BotRC_SG.EEV-May06 4+2 17 3" xfId="27202"/>
    <cellStyle name="B_BotRC_SG.EEV-May06 4+2 18" xfId="7239"/>
    <cellStyle name="B_BotRC_SG.EEV-May06 4+2 18 2" xfId="7240"/>
    <cellStyle name="B_BotRC_SG.EEV-May06 4+2 18 3" xfId="27203"/>
    <cellStyle name="B_BotRC_SG.EEV-May06 4+2 19" xfId="7241"/>
    <cellStyle name="B_BotRC_SG.EEV-May06 4+2 19 2" xfId="7242"/>
    <cellStyle name="B_BotRC_SG.EEV-May06 4+2 19 3" xfId="27204"/>
    <cellStyle name="B_BotRC_SG.EEV-May06 4+2 2" xfId="7243"/>
    <cellStyle name="B_BotRC_SG.EEV-May06 4+2 2 2" xfId="7244"/>
    <cellStyle name="B_BotRC_SG.EEV-May06 4+2 2 3" xfId="27205"/>
    <cellStyle name="B_BotRC_SG.EEV-May06 4+2 20" xfId="7245"/>
    <cellStyle name="B_BotRC_SG.EEV-May06 4+2 20 2" xfId="7246"/>
    <cellStyle name="B_BotRC_SG.EEV-May06 4+2 20 3" xfId="27206"/>
    <cellStyle name="B_BotRC_SG.EEV-May06 4+2 21" xfId="7247"/>
    <cellStyle name="B_BotRC_SG.EEV-May06 4+2 21 2" xfId="7248"/>
    <cellStyle name="B_BotRC_SG.EEV-May06 4+2 21 3" xfId="27207"/>
    <cellStyle name="B_BotRC_SG.EEV-May06 4+2 22" xfId="7249"/>
    <cellStyle name="B_BotRC_SG.EEV-May06 4+2 22 2" xfId="7250"/>
    <cellStyle name="B_BotRC_SG.EEV-May06 4+2 22 3" xfId="27208"/>
    <cellStyle name="B_BotRC_SG.EEV-May06 4+2 23" xfId="7251"/>
    <cellStyle name="B_BotRC_SG.EEV-May06 4+2 23 2" xfId="7252"/>
    <cellStyle name="B_BotRC_SG.EEV-May06 4+2 23 3" xfId="27209"/>
    <cellStyle name="B_BotRC_SG.EEV-May06 4+2 24" xfId="7253"/>
    <cellStyle name="B_BotRC_SG.EEV-May06 4+2 25" xfId="27210"/>
    <cellStyle name="B_BotRC_SG.EEV-May06 4+2 3" xfId="7254"/>
    <cellStyle name="B_BotRC_SG.EEV-May06 4+2 3 2" xfId="7255"/>
    <cellStyle name="B_BotRC_SG.EEV-May06 4+2 3 3" xfId="27211"/>
    <cellStyle name="B_BotRC_SG.EEV-May06 4+2 4" xfId="7256"/>
    <cellStyle name="B_BotRC_SG.EEV-May06 4+2 4 2" xfId="7257"/>
    <cellStyle name="B_BotRC_SG.EEV-May06 4+2 4 3" xfId="27212"/>
    <cellStyle name="B_BotRC_SG.EEV-May06 4+2 5" xfId="7258"/>
    <cellStyle name="B_BotRC_SG.EEV-May06 4+2 5 2" xfId="7259"/>
    <cellStyle name="B_BotRC_SG.EEV-May06 4+2 5 3" xfId="27213"/>
    <cellStyle name="B_BotRC_SG.EEV-May06 4+2 6" xfId="7260"/>
    <cellStyle name="B_BotRC_SG.EEV-May06 4+2 6 2" xfId="7261"/>
    <cellStyle name="B_BotRC_SG.EEV-May06 4+2 6 3" xfId="27214"/>
    <cellStyle name="B_BotRC_SG.EEV-May06 4+2 7" xfId="7262"/>
    <cellStyle name="B_BotRC_SG.EEV-May06 4+2 7 2" xfId="7263"/>
    <cellStyle name="B_BotRC_SG.EEV-May06 4+2 7 3" xfId="27215"/>
    <cellStyle name="B_BotRC_SG.EEV-May06 4+2 8" xfId="7264"/>
    <cellStyle name="B_BotRC_SG.EEV-May06 4+2 8 2" xfId="7265"/>
    <cellStyle name="B_BotRC_SG.EEV-May06 4+2 8 3" xfId="27216"/>
    <cellStyle name="B_BotRC_SG.EEV-May06 4+2 9" xfId="7266"/>
    <cellStyle name="B_BotRC_SG.EEV-May06 4+2 9 2" xfId="7267"/>
    <cellStyle name="B_BotRC_SG.EEV-May06 4+2 9 3" xfId="27217"/>
    <cellStyle name="B_BotRC_SG.EEV-May06 4+2_PROD_DETAILS" xfId="7268"/>
    <cellStyle name="B_BotRC_SG.EEV-May06 4+2_PROD_DETAILS 2" xfId="7269"/>
    <cellStyle name="B_BotRC_SG.EEV-May06 4+2_PROD_DETAILS 3" xfId="27218"/>
    <cellStyle name="B_BotRC_SG.EEV-May06 4+2_SOLVENCY POSITION " xfId="7270"/>
    <cellStyle name="B_BotRC_SG.EEV-May06 4+2_SOLVENCY POSITION  2" xfId="7271"/>
    <cellStyle name="B_BotRC_SG.EEV-May06 4+2_SOLVENCY POSITION  3" xfId="27219"/>
    <cellStyle name="B_BotRC_SOLVENCY POSITION " xfId="7272"/>
    <cellStyle name="B_BotRC_SOLVENCY POSITION  2" xfId="7273"/>
    <cellStyle name="B_BotRC_SOLVENCY POSITION  3" xfId="27220"/>
    <cellStyle name="B_BotRC_SUMM" xfId="7274"/>
    <cellStyle name="B_BotRC_SUMM 10" xfId="7275"/>
    <cellStyle name="B_BotRC_SUMM 10 2" xfId="7276"/>
    <cellStyle name="B_BotRC_SUMM 10 3" xfId="27221"/>
    <cellStyle name="B_BotRC_SUMM 11" xfId="7277"/>
    <cellStyle name="B_BotRC_SUMM 11 2" xfId="7278"/>
    <cellStyle name="B_BotRC_SUMM 11 3" xfId="27222"/>
    <cellStyle name="B_BotRC_SUMM 12" xfId="7279"/>
    <cellStyle name="B_BotRC_SUMM 12 2" xfId="7280"/>
    <cellStyle name="B_BotRC_SUMM 12 3" xfId="27223"/>
    <cellStyle name="B_BotRC_SUMM 13" xfId="7281"/>
    <cellStyle name="B_BotRC_SUMM 13 2" xfId="7282"/>
    <cellStyle name="B_BotRC_SUMM 13 3" xfId="27224"/>
    <cellStyle name="B_BotRC_SUMM 14" xfId="7283"/>
    <cellStyle name="B_BotRC_SUMM 14 2" xfId="7284"/>
    <cellStyle name="B_BotRC_SUMM 14 3" xfId="27225"/>
    <cellStyle name="B_BotRC_SUMM 15" xfId="7285"/>
    <cellStyle name="B_BotRC_SUMM 15 2" xfId="7286"/>
    <cellStyle name="B_BotRC_SUMM 15 3" xfId="27226"/>
    <cellStyle name="B_BotRC_SUMM 16" xfId="7287"/>
    <cellStyle name="B_BotRC_SUMM 16 2" xfId="7288"/>
    <cellStyle name="B_BotRC_SUMM 16 3" xfId="27227"/>
    <cellStyle name="B_BotRC_SUMM 17" xfId="7289"/>
    <cellStyle name="B_BotRC_SUMM 17 2" xfId="7290"/>
    <cellStyle name="B_BotRC_SUMM 17 3" xfId="27228"/>
    <cellStyle name="B_BotRC_SUMM 18" xfId="7291"/>
    <cellStyle name="B_BotRC_SUMM 18 2" xfId="7292"/>
    <cellStyle name="B_BotRC_SUMM 18 3" xfId="27229"/>
    <cellStyle name="B_BotRC_SUMM 19" xfId="7293"/>
    <cellStyle name="B_BotRC_SUMM 19 2" xfId="7294"/>
    <cellStyle name="B_BotRC_SUMM 19 3" xfId="27230"/>
    <cellStyle name="B_BotRC_SUMM 2" xfId="7295"/>
    <cellStyle name="B_BotRC_SUMM 2 2" xfId="7296"/>
    <cellStyle name="B_BotRC_SUMM 2 3" xfId="27231"/>
    <cellStyle name="B_BotRC_SUMM 20" xfId="7297"/>
    <cellStyle name="B_BotRC_SUMM 20 2" xfId="7298"/>
    <cellStyle name="B_BotRC_SUMM 20 3" xfId="27232"/>
    <cellStyle name="B_BotRC_SUMM 21" xfId="7299"/>
    <cellStyle name="B_BotRC_SUMM 21 2" xfId="7300"/>
    <cellStyle name="B_BotRC_SUMM 21 3" xfId="27233"/>
    <cellStyle name="B_BotRC_SUMM 22" xfId="7301"/>
    <cellStyle name="B_BotRC_SUMM 22 2" xfId="7302"/>
    <cellStyle name="B_BotRC_SUMM 22 3" xfId="27234"/>
    <cellStyle name="B_BotRC_SUMM 23" xfId="7303"/>
    <cellStyle name="B_BotRC_SUMM 23 2" xfId="7304"/>
    <cellStyle name="B_BotRC_SUMM 23 3" xfId="27235"/>
    <cellStyle name="B_BotRC_SUMM 24" xfId="7305"/>
    <cellStyle name="B_BotRC_SUMM 25" xfId="27236"/>
    <cellStyle name="B_BotRC_SUMM 3" xfId="7306"/>
    <cellStyle name="B_BotRC_SUMM 3 2" xfId="7307"/>
    <cellStyle name="B_BotRC_SUMM 3 3" xfId="27237"/>
    <cellStyle name="B_BotRC_SUMM 4" xfId="7308"/>
    <cellStyle name="B_BotRC_SUMM 4 2" xfId="7309"/>
    <cellStyle name="B_BotRC_SUMM 4 3" xfId="27238"/>
    <cellStyle name="B_BotRC_SUMM 5" xfId="7310"/>
    <cellStyle name="B_BotRC_SUMM 5 2" xfId="7311"/>
    <cellStyle name="B_BotRC_SUMM 5 3" xfId="27239"/>
    <cellStyle name="B_BotRC_SUMM 6" xfId="7312"/>
    <cellStyle name="B_BotRC_SUMM 6 2" xfId="7313"/>
    <cellStyle name="B_BotRC_SUMM 6 3" xfId="27240"/>
    <cellStyle name="B_BotRC_SUMM 7" xfId="7314"/>
    <cellStyle name="B_BotRC_SUMM 7 2" xfId="7315"/>
    <cellStyle name="B_BotRC_SUMM 7 3" xfId="27241"/>
    <cellStyle name="B_BotRC_SUMM 8" xfId="7316"/>
    <cellStyle name="B_BotRC_SUMM 8 2" xfId="7317"/>
    <cellStyle name="B_BotRC_SUMM 8 3" xfId="27242"/>
    <cellStyle name="B_BotRC_SUMM 9" xfId="7318"/>
    <cellStyle name="B_BotRC_SUMM 9 2" xfId="7319"/>
    <cellStyle name="B_BotRC_SUMM 9 3" xfId="27243"/>
    <cellStyle name="B_BotRC_SUMM_PROD_DETAILS" xfId="7320"/>
    <cellStyle name="B_BotRC_SUMM_PROD_DETAILS 2" xfId="7321"/>
    <cellStyle name="B_BotRC_SUMM_PROD_DETAILS 3" xfId="27244"/>
    <cellStyle name="B_BotRC_SUMM_SOLVENCY POSITION " xfId="7322"/>
    <cellStyle name="B_BotRC_SUMM_SOLVENCY POSITION  2" xfId="7323"/>
    <cellStyle name="B_BotRC_SUMM_SOLVENCY POSITION  3" xfId="27245"/>
    <cellStyle name="B_BotRC_Template" xfId="7324"/>
    <cellStyle name="B_BotRC_Template 10" xfId="7325"/>
    <cellStyle name="B_BotRC_Template 10 2" xfId="7326"/>
    <cellStyle name="B_BotRC_Template 10 3" xfId="27246"/>
    <cellStyle name="B_BotRC_Template 11" xfId="7327"/>
    <cellStyle name="B_BotRC_Template 11 2" xfId="7328"/>
    <cellStyle name="B_BotRC_Template 11 3" xfId="27247"/>
    <cellStyle name="B_BotRC_Template 12" xfId="7329"/>
    <cellStyle name="B_BotRC_Template 12 2" xfId="7330"/>
    <cellStyle name="B_BotRC_Template 12 3" xfId="27248"/>
    <cellStyle name="B_BotRC_Template 13" xfId="7331"/>
    <cellStyle name="B_BotRC_Template 13 2" xfId="7332"/>
    <cellStyle name="B_BotRC_Template 13 3" xfId="27249"/>
    <cellStyle name="B_BotRC_Template 14" xfId="7333"/>
    <cellStyle name="B_BotRC_Template 14 2" xfId="7334"/>
    <cellStyle name="B_BotRC_Template 14 3" xfId="27250"/>
    <cellStyle name="B_BotRC_Template 15" xfId="7335"/>
    <cellStyle name="B_BotRC_Template 15 2" xfId="7336"/>
    <cellStyle name="B_BotRC_Template 15 3" xfId="27251"/>
    <cellStyle name="B_BotRC_Template 16" xfId="7337"/>
    <cellStyle name="B_BotRC_Template 16 2" xfId="7338"/>
    <cellStyle name="B_BotRC_Template 16 3" xfId="27252"/>
    <cellStyle name="B_BotRC_Template 17" xfId="7339"/>
    <cellStyle name="B_BotRC_Template 17 2" xfId="7340"/>
    <cellStyle name="B_BotRC_Template 17 3" xfId="27253"/>
    <cellStyle name="B_BotRC_Template 18" xfId="7341"/>
    <cellStyle name="B_BotRC_Template 18 2" xfId="7342"/>
    <cellStyle name="B_BotRC_Template 18 3" xfId="27254"/>
    <cellStyle name="B_BotRC_Template 19" xfId="7343"/>
    <cellStyle name="B_BotRC_Template 19 2" xfId="7344"/>
    <cellStyle name="B_BotRC_Template 19 3" xfId="27255"/>
    <cellStyle name="B_BotRC_Template 2" xfId="7345"/>
    <cellStyle name="B_BotRC_Template 2 2" xfId="7346"/>
    <cellStyle name="B_BotRC_Template 2 3" xfId="27256"/>
    <cellStyle name="B_BotRC_Template 20" xfId="7347"/>
    <cellStyle name="B_BotRC_Template 20 2" xfId="7348"/>
    <cellStyle name="B_BotRC_Template 20 3" xfId="27257"/>
    <cellStyle name="B_BotRC_Template 21" xfId="7349"/>
    <cellStyle name="B_BotRC_Template 21 2" xfId="7350"/>
    <cellStyle name="B_BotRC_Template 21 3" xfId="27258"/>
    <cellStyle name="B_BotRC_Template 22" xfId="7351"/>
    <cellStyle name="B_BotRC_Template 22 2" xfId="7352"/>
    <cellStyle name="B_BotRC_Template 22 3" xfId="27259"/>
    <cellStyle name="B_BotRC_Template 23" xfId="7353"/>
    <cellStyle name="B_BotRC_Template 23 2" xfId="7354"/>
    <cellStyle name="B_BotRC_Template 23 3" xfId="27260"/>
    <cellStyle name="B_BotRC_Template 24" xfId="7355"/>
    <cellStyle name="B_BotRC_Template 25" xfId="27261"/>
    <cellStyle name="B_BotRC_Template 3" xfId="7356"/>
    <cellStyle name="B_BotRC_Template 3 2" xfId="7357"/>
    <cellStyle name="B_BotRC_Template 3 3" xfId="27262"/>
    <cellStyle name="B_BotRC_Template 4" xfId="7358"/>
    <cellStyle name="B_BotRC_Template 4 2" xfId="7359"/>
    <cellStyle name="B_BotRC_Template 4 3" xfId="27263"/>
    <cellStyle name="B_BotRC_Template 5" xfId="7360"/>
    <cellStyle name="B_BotRC_Template 5 2" xfId="7361"/>
    <cellStyle name="B_BotRC_Template 5 3" xfId="27264"/>
    <cellStyle name="B_BotRC_Template 6" xfId="7362"/>
    <cellStyle name="B_BotRC_Template 6 2" xfId="7363"/>
    <cellStyle name="B_BotRC_Template 6 3" xfId="27265"/>
    <cellStyle name="B_BotRC_Template 7" xfId="7364"/>
    <cellStyle name="B_BotRC_Template 7 2" xfId="7365"/>
    <cellStyle name="B_BotRC_Template 7 3" xfId="27266"/>
    <cellStyle name="B_BotRC_Template 8" xfId="7366"/>
    <cellStyle name="B_BotRC_Template 8 2" xfId="7367"/>
    <cellStyle name="B_BotRC_Template 8 3" xfId="27267"/>
    <cellStyle name="B_BotRC_Template 9" xfId="7368"/>
    <cellStyle name="B_BotRC_Template 9 2" xfId="7369"/>
    <cellStyle name="B_BotRC_Template 9 3" xfId="27268"/>
    <cellStyle name="B_BotRC_Template_PROD_DETAILS" xfId="7370"/>
    <cellStyle name="B_BotRC_Template_PROD_DETAILS 2" xfId="7371"/>
    <cellStyle name="B_BotRC_Template_PROD_DETAILS 3" xfId="27269"/>
    <cellStyle name="B_BotRC_Template_SOLVENCY POSITION " xfId="7372"/>
    <cellStyle name="B_BotRC_Template_SOLVENCY POSITION  2" xfId="7373"/>
    <cellStyle name="B_BotRC_Template_SOLVENCY POSITION  3" xfId="27270"/>
    <cellStyle name="B_Left" xfId="7374"/>
    <cellStyle name="B_Left 10" xfId="7375"/>
    <cellStyle name="B_Left 10 2" xfId="7376"/>
    <cellStyle name="B_Left 11" xfId="7377"/>
    <cellStyle name="B_Left 11 2" xfId="7378"/>
    <cellStyle name="B_Left 12" xfId="7379"/>
    <cellStyle name="B_Left 12 2" xfId="7380"/>
    <cellStyle name="B_Left 13" xfId="7381"/>
    <cellStyle name="B_Left 13 2" xfId="7382"/>
    <cellStyle name="B_Left 14" xfId="7383"/>
    <cellStyle name="B_Left 14 2" xfId="7384"/>
    <cellStyle name="B_Left 15" xfId="7385"/>
    <cellStyle name="B_Left 15 2" xfId="7386"/>
    <cellStyle name="B_Left 16" xfId="7387"/>
    <cellStyle name="B_Left 16 2" xfId="7388"/>
    <cellStyle name="B_Left 17" xfId="7389"/>
    <cellStyle name="B_Left 17 2" xfId="7390"/>
    <cellStyle name="B_Left 18" xfId="7391"/>
    <cellStyle name="B_Left 18 2" xfId="7392"/>
    <cellStyle name="B_Left 19" xfId="7393"/>
    <cellStyle name="B_Left 19 2" xfId="7394"/>
    <cellStyle name="B_Left 2" xfId="7395"/>
    <cellStyle name="B_Left 2 2" xfId="7396"/>
    <cellStyle name="B_Left 20" xfId="7397"/>
    <cellStyle name="B_Left 20 2" xfId="7398"/>
    <cellStyle name="B_Left 21" xfId="7399"/>
    <cellStyle name="B_Left 21 2" xfId="7400"/>
    <cellStyle name="B_Left 22" xfId="7401"/>
    <cellStyle name="B_Left 22 2" xfId="7402"/>
    <cellStyle name="B_Left 23" xfId="7403"/>
    <cellStyle name="B_Left 23 2" xfId="7404"/>
    <cellStyle name="B_Left 24" xfId="7405"/>
    <cellStyle name="B_Left 3" xfId="7406"/>
    <cellStyle name="B_Left 3 2" xfId="7407"/>
    <cellStyle name="B_Left 4" xfId="7408"/>
    <cellStyle name="B_Left 4 2" xfId="7409"/>
    <cellStyle name="B_Left 5" xfId="7410"/>
    <cellStyle name="B_Left 5 2" xfId="7411"/>
    <cellStyle name="B_Left 6" xfId="7412"/>
    <cellStyle name="B_Left 6 2" xfId="7413"/>
    <cellStyle name="B_Left 7" xfId="7414"/>
    <cellStyle name="B_Left 7 2" xfId="7415"/>
    <cellStyle name="B_Left 8" xfId="7416"/>
    <cellStyle name="B_Left 8 2" xfId="7417"/>
    <cellStyle name="B_Left 9" xfId="7418"/>
    <cellStyle name="B_Left 9 2" xfId="7419"/>
    <cellStyle name="B_Left_ASSUMP" xfId="7420"/>
    <cellStyle name="B_Left_ASSUMP 10" xfId="7421"/>
    <cellStyle name="B_Left_ASSUMP 10 2" xfId="7422"/>
    <cellStyle name="B_Left_ASSUMP 11" xfId="7423"/>
    <cellStyle name="B_Left_ASSUMP 11 2" xfId="7424"/>
    <cellStyle name="B_Left_ASSUMP 12" xfId="7425"/>
    <cellStyle name="B_Left_ASSUMP 12 2" xfId="7426"/>
    <cellStyle name="B_Left_ASSUMP 13" xfId="7427"/>
    <cellStyle name="B_Left_ASSUMP 13 2" xfId="7428"/>
    <cellStyle name="B_Left_ASSUMP 14" xfId="7429"/>
    <cellStyle name="B_Left_ASSUMP 14 2" xfId="7430"/>
    <cellStyle name="B_Left_ASSUMP 15" xfId="7431"/>
    <cellStyle name="B_Left_ASSUMP 15 2" xfId="7432"/>
    <cellStyle name="B_Left_ASSUMP 16" xfId="7433"/>
    <cellStyle name="B_Left_ASSUMP 16 2" xfId="7434"/>
    <cellStyle name="B_Left_ASSUMP 17" xfId="7435"/>
    <cellStyle name="B_Left_ASSUMP 17 2" xfId="7436"/>
    <cellStyle name="B_Left_ASSUMP 18" xfId="7437"/>
    <cellStyle name="B_Left_ASSUMP 18 2" xfId="7438"/>
    <cellStyle name="B_Left_ASSUMP 19" xfId="7439"/>
    <cellStyle name="B_Left_ASSUMP 19 2" xfId="7440"/>
    <cellStyle name="B_Left_ASSUMP 2" xfId="7441"/>
    <cellStyle name="B_Left_ASSUMP 2 2" xfId="7442"/>
    <cellStyle name="B_Left_ASSUMP 20" xfId="7443"/>
    <cellStyle name="B_Left_ASSUMP 20 2" xfId="7444"/>
    <cellStyle name="B_Left_ASSUMP 21" xfId="7445"/>
    <cellStyle name="B_Left_ASSUMP 21 2" xfId="7446"/>
    <cellStyle name="B_Left_ASSUMP 22" xfId="7447"/>
    <cellStyle name="B_Left_ASSUMP 22 2" xfId="7448"/>
    <cellStyle name="B_Left_ASSUMP 23" xfId="7449"/>
    <cellStyle name="B_Left_ASSUMP 23 2" xfId="7450"/>
    <cellStyle name="B_Left_ASSUMP 24" xfId="7451"/>
    <cellStyle name="B_Left_ASSUMP 3" xfId="7452"/>
    <cellStyle name="B_Left_ASSUMP 3 2" xfId="7453"/>
    <cellStyle name="B_Left_ASSUMP 4" xfId="7454"/>
    <cellStyle name="B_Left_ASSUMP 4 2" xfId="7455"/>
    <cellStyle name="B_Left_ASSUMP 5" xfId="7456"/>
    <cellStyle name="B_Left_ASSUMP 5 2" xfId="7457"/>
    <cellStyle name="B_Left_ASSUMP 6" xfId="7458"/>
    <cellStyle name="B_Left_ASSUMP 6 2" xfId="7459"/>
    <cellStyle name="B_Left_ASSUMP 7" xfId="7460"/>
    <cellStyle name="B_Left_ASSUMP 7 2" xfId="7461"/>
    <cellStyle name="B_Left_ASSUMP 8" xfId="7462"/>
    <cellStyle name="B_Left_ASSUMP 8 2" xfId="7463"/>
    <cellStyle name="B_Left_ASSUMP 9" xfId="7464"/>
    <cellStyle name="B_Left_ASSUMP 9 2" xfId="7465"/>
    <cellStyle name="B_Left_ASSUMP_PROD_DETAILS" xfId="7466"/>
    <cellStyle name="B_Left_ASSUMP_PROD_DETAILS 2" xfId="7467"/>
    <cellStyle name="B_Left_ASSUMP_SOLVENCY POSITION " xfId="7468"/>
    <cellStyle name="B_Left_ASSUMP_SOLVENCY POSITION  2" xfId="7469"/>
    <cellStyle name="B_Left_Checks" xfId="7470"/>
    <cellStyle name="B_Left_Checks 10" xfId="7471"/>
    <cellStyle name="B_Left_Checks 10 2" xfId="7472"/>
    <cellStyle name="B_Left_Checks 11" xfId="7473"/>
    <cellStyle name="B_Left_Checks 11 2" xfId="7474"/>
    <cellStyle name="B_Left_Checks 12" xfId="7475"/>
    <cellStyle name="B_Left_Checks 12 2" xfId="7476"/>
    <cellStyle name="B_Left_Checks 13" xfId="7477"/>
    <cellStyle name="B_Left_Checks 13 2" xfId="7478"/>
    <cellStyle name="B_Left_Checks 14" xfId="7479"/>
    <cellStyle name="B_Left_Checks 14 2" xfId="7480"/>
    <cellStyle name="B_Left_Checks 15" xfId="7481"/>
    <cellStyle name="B_Left_Checks 15 2" xfId="7482"/>
    <cellStyle name="B_Left_Checks 16" xfId="7483"/>
    <cellStyle name="B_Left_Checks 16 2" xfId="7484"/>
    <cellStyle name="B_Left_Checks 17" xfId="7485"/>
    <cellStyle name="B_Left_Checks 17 2" xfId="7486"/>
    <cellStyle name="B_Left_Checks 18" xfId="7487"/>
    <cellStyle name="B_Left_Checks 18 2" xfId="7488"/>
    <cellStyle name="B_Left_Checks 19" xfId="7489"/>
    <cellStyle name="B_Left_Checks 19 2" xfId="7490"/>
    <cellStyle name="B_Left_Checks 2" xfId="7491"/>
    <cellStyle name="B_Left_Checks 2 2" xfId="7492"/>
    <cellStyle name="B_Left_Checks 20" xfId="7493"/>
    <cellStyle name="B_Left_Checks 20 2" xfId="7494"/>
    <cellStyle name="B_Left_Checks 21" xfId="7495"/>
    <cellStyle name="B_Left_Checks 21 2" xfId="7496"/>
    <cellStyle name="B_Left_Checks 22" xfId="7497"/>
    <cellStyle name="B_Left_Checks 22 2" xfId="7498"/>
    <cellStyle name="B_Left_Checks 23" xfId="7499"/>
    <cellStyle name="B_Left_Checks 23 2" xfId="7500"/>
    <cellStyle name="B_Left_Checks 24" xfId="7501"/>
    <cellStyle name="B_Left_Checks 3" xfId="7502"/>
    <cellStyle name="B_Left_Checks 3 2" xfId="7503"/>
    <cellStyle name="B_Left_Checks 4" xfId="7504"/>
    <cellStyle name="B_Left_Checks 4 2" xfId="7505"/>
    <cellStyle name="B_Left_Checks 5" xfId="7506"/>
    <cellStyle name="B_Left_Checks 5 2" xfId="7507"/>
    <cellStyle name="B_Left_Checks 6" xfId="7508"/>
    <cellStyle name="B_Left_Checks 6 2" xfId="7509"/>
    <cellStyle name="B_Left_Checks 7" xfId="7510"/>
    <cellStyle name="B_Left_Checks 7 2" xfId="7511"/>
    <cellStyle name="B_Left_Checks 8" xfId="7512"/>
    <cellStyle name="B_Left_Checks 8 2" xfId="7513"/>
    <cellStyle name="B_Left_Checks 9" xfId="7514"/>
    <cellStyle name="B_Left_Checks 9 2" xfId="7515"/>
    <cellStyle name="B_Left_Checks_PROD_DETAILS" xfId="7516"/>
    <cellStyle name="B_Left_Checks_PROD_DETAILS 2" xfId="7517"/>
    <cellStyle name="B_Left_Checks_SOLVENCY POSITION " xfId="7518"/>
    <cellStyle name="B_Left_Checks_SOLVENCY POSITION  2" xfId="7519"/>
    <cellStyle name="B_Left_Group Life" xfId="7520"/>
    <cellStyle name="B_Left_Group Life 10" xfId="7521"/>
    <cellStyle name="B_Left_Group Life 10 2" xfId="7522"/>
    <cellStyle name="B_Left_Group Life 11" xfId="7523"/>
    <cellStyle name="B_Left_Group Life 11 2" xfId="7524"/>
    <cellStyle name="B_Left_Group Life 12" xfId="7525"/>
    <cellStyle name="B_Left_Group Life 12 2" xfId="7526"/>
    <cellStyle name="B_Left_Group Life 13" xfId="7527"/>
    <cellStyle name="B_Left_Group Life 13 2" xfId="7528"/>
    <cellStyle name="B_Left_Group Life 14" xfId="7529"/>
    <cellStyle name="B_Left_Group Life 14 2" xfId="7530"/>
    <cellStyle name="B_Left_Group Life 15" xfId="7531"/>
    <cellStyle name="B_Left_Group Life 15 2" xfId="7532"/>
    <cellStyle name="B_Left_Group Life 16" xfId="7533"/>
    <cellStyle name="B_Left_Group Life 16 2" xfId="7534"/>
    <cellStyle name="B_Left_Group Life 17" xfId="7535"/>
    <cellStyle name="B_Left_Group Life 17 2" xfId="7536"/>
    <cellStyle name="B_Left_Group Life 18" xfId="7537"/>
    <cellStyle name="B_Left_Group Life 18 2" xfId="7538"/>
    <cellStyle name="B_Left_Group Life 19" xfId="7539"/>
    <cellStyle name="B_Left_Group Life 19 2" xfId="7540"/>
    <cellStyle name="B_Left_Group Life 2" xfId="7541"/>
    <cellStyle name="B_Left_Group Life 2 2" xfId="7542"/>
    <cellStyle name="B_Left_Group Life 20" xfId="7543"/>
    <cellStyle name="B_Left_Group Life 20 2" xfId="7544"/>
    <cellStyle name="B_Left_Group Life 21" xfId="7545"/>
    <cellStyle name="B_Left_Group Life 21 2" xfId="7546"/>
    <cellStyle name="B_Left_Group Life 22" xfId="7547"/>
    <cellStyle name="B_Left_Group Life 22 2" xfId="7548"/>
    <cellStyle name="B_Left_Group Life 23" xfId="7549"/>
    <cellStyle name="B_Left_Group Life 23 2" xfId="7550"/>
    <cellStyle name="B_Left_Group Life 24" xfId="7551"/>
    <cellStyle name="B_Left_Group Life 3" xfId="7552"/>
    <cellStyle name="B_Left_Group Life 3 2" xfId="7553"/>
    <cellStyle name="B_Left_Group Life 4" xfId="7554"/>
    <cellStyle name="B_Left_Group Life 4 2" xfId="7555"/>
    <cellStyle name="B_Left_Group Life 5" xfId="7556"/>
    <cellStyle name="B_Left_Group Life 5 2" xfId="7557"/>
    <cellStyle name="B_Left_Group Life 6" xfId="7558"/>
    <cellStyle name="B_Left_Group Life 6 2" xfId="7559"/>
    <cellStyle name="B_Left_Group Life 7" xfId="7560"/>
    <cellStyle name="B_Left_Group Life 7 2" xfId="7561"/>
    <cellStyle name="B_Left_Group Life 8" xfId="7562"/>
    <cellStyle name="B_Left_Group Life 8 2" xfId="7563"/>
    <cellStyle name="B_Left_Group Life 9" xfId="7564"/>
    <cellStyle name="B_Left_Group Life 9 2" xfId="7565"/>
    <cellStyle name="B_Left_Group Life_PROD_DETAILS" xfId="7566"/>
    <cellStyle name="B_Left_Group Life_PROD_DETAILS 2" xfId="7567"/>
    <cellStyle name="B_Left_Group Life_SOLVENCY POSITION " xfId="7568"/>
    <cellStyle name="B_Left_Group Life_SOLVENCY POSITION  2" xfId="7569"/>
    <cellStyle name="B_Left_HK P &amp; L (To Finance to compute tax)" xfId="7570"/>
    <cellStyle name="B_Left_HK P &amp; L (To Finance to compute tax) 10" xfId="7571"/>
    <cellStyle name="B_Left_HK P &amp; L (To Finance to compute tax) 10 2" xfId="7572"/>
    <cellStyle name="B_Left_HK P &amp; L (To Finance to compute tax) 11" xfId="7573"/>
    <cellStyle name="B_Left_HK P &amp; L (To Finance to compute tax) 11 2" xfId="7574"/>
    <cellStyle name="B_Left_HK P &amp; L (To Finance to compute tax) 12" xfId="7575"/>
    <cellStyle name="B_Left_HK P &amp; L (To Finance to compute tax) 12 2" xfId="7576"/>
    <cellStyle name="B_Left_HK P &amp; L (To Finance to compute tax) 13" xfId="7577"/>
    <cellStyle name="B_Left_HK P &amp; L (To Finance to compute tax) 13 2" xfId="7578"/>
    <cellStyle name="B_Left_HK P &amp; L (To Finance to compute tax) 14" xfId="7579"/>
    <cellStyle name="B_Left_HK P &amp; L (To Finance to compute tax) 14 2" xfId="7580"/>
    <cellStyle name="B_Left_HK P &amp; L (To Finance to compute tax) 15" xfId="7581"/>
    <cellStyle name="B_Left_HK P &amp; L (To Finance to compute tax) 15 2" xfId="7582"/>
    <cellStyle name="B_Left_HK P &amp; L (To Finance to compute tax) 16" xfId="7583"/>
    <cellStyle name="B_Left_HK P &amp; L (To Finance to compute tax) 16 2" xfId="7584"/>
    <cellStyle name="B_Left_HK P &amp; L (To Finance to compute tax) 17" xfId="7585"/>
    <cellStyle name="B_Left_HK P &amp; L (To Finance to compute tax) 17 2" xfId="7586"/>
    <cellStyle name="B_Left_HK P &amp; L (To Finance to compute tax) 18" xfId="7587"/>
    <cellStyle name="B_Left_HK P &amp; L (To Finance to compute tax) 18 2" xfId="7588"/>
    <cellStyle name="B_Left_HK P &amp; L (To Finance to compute tax) 19" xfId="7589"/>
    <cellStyle name="B_Left_HK P &amp; L (To Finance to compute tax) 19 2" xfId="7590"/>
    <cellStyle name="B_Left_HK P &amp; L (To Finance to compute tax) 2" xfId="7591"/>
    <cellStyle name="B_Left_HK P &amp; L (To Finance to compute tax) 2 2" xfId="7592"/>
    <cellStyle name="B_Left_HK P &amp; L (To Finance to compute tax) 20" xfId="7593"/>
    <cellStyle name="B_Left_HK P &amp; L (To Finance to compute tax) 20 2" xfId="7594"/>
    <cellStyle name="B_Left_HK P &amp; L (To Finance to compute tax) 21" xfId="7595"/>
    <cellStyle name="B_Left_HK P &amp; L (To Finance to compute tax) 21 2" xfId="7596"/>
    <cellStyle name="B_Left_HK P &amp; L (To Finance to compute tax) 22" xfId="7597"/>
    <cellStyle name="B_Left_HK P &amp; L (To Finance to compute tax) 22 2" xfId="7598"/>
    <cellStyle name="B_Left_HK P &amp; L (To Finance to compute tax) 23" xfId="7599"/>
    <cellStyle name="B_Left_HK P &amp; L (To Finance to compute tax) 23 2" xfId="7600"/>
    <cellStyle name="B_Left_HK P &amp; L (To Finance to compute tax) 24" xfId="7601"/>
    <cellStyle name="B_Left_HK P &amp; L (To Finance to compute tax) 3" xfId="7602"/>
    <cellStyle name="B_Left_HK P &amp; L (To Finance to compute tax) 3 2" xfId="7603"/>
    <cellStyle name="B_Left_HK P &amp; L (To Finance to compute tax) 4" xfId="7604"/>
    <cellStyle name="B_Left_HK P &amp; L (To Finance to compute tax) 4 2" xfId="7605"/>
    <cellStyle name="B_Left_HK P &amp; L (To Finance to compute tax) 5" xfId="7606"/>
    <cellStyle name="B_Left_HK P &amp; L (To Finance to compute tax) 5 2" xfId="7607"/>
    <cellStyle name="B_Left_HK P &amp; L (To Finance to compute tax) 6" xfId="7608"/>
    <cellStyle name="B_Left_HK P &amp; L (To Finance to compute tax) 6 2" xfId="7609"/>
    <cellStyle name="B_Left_HK P &amp; L (To Finance to compute tax) 7" xfId="7610"/>
    <cellStyle name="B_Left_HK P &amp; L (To Finance to compute tax) 7 2" xfId="7611"/>
    <cellStyle name="B_Left_HK P &amp; L (To Finance to compute tax) 8" xfId="7612"/>
    <cellStyle name="B_Left_HK P &amp; L (To Finance to compute tax) 8 2" xfId="7613"/>
    <cellStyle name="B_Left_HK P &amp; L (To Finance to compute tax) 9" xfId="7614"/>
    <cellStyle name="B_Left_HK P &amp; L (To Finance to compute tax) 9 2" xfId="7615"/>
    <cellStyle name="B_Left_HK P &amp; L (To Finance to compute tax)_PROD_DETAILS" xfId="7616"/>
    <cellStyle name="B_Left_HK P &amp; L (To Finance to compute tax)_PROD_DETAILS 2" xfId="7617"/>
    <cellStyle name="B_Left_HK P &amp; L (To Finance to compute tax)_SOLVENCY POSITION " xfId="7618"/>
    <cellStyle name="B_Left_HK P &amp; L (To Finance to compute tax)_SOLVENCY POSITION  2" xfId="7619"/>
    <cellStyle name="B_Left_HK.EEV-Apr06v2" xfId="7620"/>
    <cellStyle name="B_Left_HK.EEV-Apr06v2 10" xfId="7621"/>
    <cellStyle name="B_Left_HK.EEV-Apr06v2 10 2" xfId="7622"/>
    <cellStyle name="B_Left_HK.EEV-Apr06v2 11" xfId="7623"/>
    <cellStyle name="B_Left_HK.EEV-Apr06v2 11 2" xfId="7624"/>
    <cellStyle name="B_Left_HK.EEV-Apr06v2 12" xfId="7625"/>
    <cellStyle name="B_Left_HK.EEV-Apr06v2 12 2" xfId="7626"/>
    <cellStyle name="B_Left_HK.EEV-Apr06v2 13" xfId="7627"/>
    <cellStyle name="B_Left_HK.EEV-Apr06v2 13 2" xfId="7628"/>
    <cellStyle name="B_Left_HK.EEV-Apr06v2 14" xfId="7629"/>
    <cellStyle name="B_Left_HK.EEV-Apr06v2 14 2" xfId="7630"/>
    <cellStyle name="B_Left_HK.EEV-Apr06v2 15" xfId="7631"/>
    <cellStyle name="B_Left_HK.EEV-Apr06v2 15 2" xfId="7632"/>
    <cellStyle name="B_Left_HK.EEV-Apr06v2 16" xfId="7633"/>
    <cellStyle name="B_Left_HK.EEV-Apr06v2 16 2" xfId="7634"/>
    <cellStyle name="B_Left_HK.EEV-Apr06v2 17" xfId="7635"/>
    <cellStyle name="B_Left_HK.EEV-Apr06v2 17 2" xfId="7636"/>
    <cellStyle name="B_Left_HK.EEV-Apr06v2 18" xfId="7637"/>
    <cellStyle name="B_Left_HK.EEV-Apr06v2 18 2" xfId="7638"/>
    <cellStyle name="B_Left_HK.EEV-Apr06v2 19" xfId="7639"/>
    <cellStyle name="B_Left_HK.EEV-Apr06v2 19 2" xfId="7640"/>
    <cellStyle name="B_Left_HK.EEV-Apr06v2 2" xfId="7641"/>
    <cellStyle name="B_Left_HK.EEV-Apr06v2 2 2" xfId="7642"/>
    <cellStyle name="B_Left_HK.EEV-Apr06v2 20" xfId="7643"/>
    <cellStyle name="B_Left_HK.EEV-Apr06v2 20 2" xfId="7644"/>
    <cellStyle name="B_Left_HK.EEV-Apr06v2 21" xfId="7645"/>
    <cellStyle name="B_Left_HK.EEV-Apr06v2 21 2" xfId="7646"/>
    <cellStyle name="B_Left_HK.EEV-Apr06v2 22" xfId="7647"/>
    <cellStyle name="B_Left_HK.EEV-Apr06v2 22 2" xfId="7648"/>
    <cellStyle name="B_Left_HK.EEV-Apr06v2 23" xfId="7649"/>
    <cellStyle name="B_Left_HK.EEV-Apr06v2 23 2" xfId="7650"/>
    <cellStyle name="B_Left_HK.EEV-Apr06v2 24" xfId="7651"/>
    <cellStyle name="B_Left_HK.EEV-Apr06v2 3" xfId="7652"/>
    <cellStyle name="B_Left_HK.EEV-Apr06v2 3 2" xfId="7653"/>
    <cellStyle name="B_Left_HK.EEV-Apr06v2 4" xfId="7654"/>
    <cellStyle name="B_Left_HK.EEV-Apr06v2 4 2" xfId="7655"/>
    <cellStyle name="B_Left_HK.EEV-Apr06v2 5" xfId="7656"/>
    <cellStyle name="B_Left_HK.EEV-Apr06v2 5 2" xfId="7657"/>
    <cellStyle name="B_Left_HK.EEV-Apr06v2 6" xfId="7658"/>
    <cellStyle name="B_Left_HK.EEV-Apr06v2 6 2" xfId="7659"/>
    <cellStyle name="B_Left_HK.EEV-Apr06v2 7" xfId="7660"/>
    <cellStyle name="B_Left_HK.EEV-Apr06v2 7 2" xfId="7661"/>
    <cellStyle name="B_Left_HK.EEV-Apr06v2 8" xfId="7662"/>
    <cellStyle name="B_Left_HK.EEV-Apr06v2 8 2" xfId="7663"/>
    <cellStyle name="B_Left_HK.EEV-Apr06v2 9" xfId="7664"/>
    <cellStyle name="B_Left_HK.EEV-Apr06v2 9 2" xfId="7665"/>
    <cellStyle name="B_Left_HK.EEV-Apr06v2_HK.EEV-May06 4+2 kkh" xfId="7666"/>
    <cellStyle name="B_Left_HK.EEV-Apr06v2_HK.EEV-May06 4+2 kkh 10" xfId="7667"/>
    <cellStyle name="B_Left_HK.EEV-Apr06v2_HK.EEV-May06 4+2 kkh 10 2" xfId="7668"/>
    <cellStyle name="B_Left_HK.EEV-Apr06v2_HK.EEV-May06 4+2 kkh 11" xfId="7669"/>
    <cellStyle name="B_Left_HK.EEV-Apr06v2_HK.EEV-May06 4+2 kkh 11 2" xfId="7670"/>
    <cellStyle name="B_Left_HK.EEV-Apr06v2_HK.EEV-May06 4+2 kkh 12" xfId="7671"/>
    <cellStyle name="B_Left_HK.EEV-Apr06v2_HK.EEV-May06 4+2 kkh 12 2" xfId="7672"/>
    <cellStyle name="B_Left_HK.EEV-Apr06v2_HK.EEV-May06 4+2 kkh 13" xfId="7673"/>
    <cellStyle name="B_Left_HK.EEV-Apr06v2_HK.EEV-May06 4+2 kkh 13 2" xfId="7674"/>
    <cellStyle name="B_Left_HK.EEV-Apr06v2_HK.EEV-May06 4+2 kkh 14" xfId="7675"/>
    <cellStyle name="B_Left_HK.EEV-Apr06v2_HK.EEV-May06 4+2 kkh 14 2" xfId="7676"/>
    <cellStyle name="B_Left_HK.EEV-Apr06v2_HK.EEV-May06 4+2 kkh 15" xfId="7677"/>
    <cellStyle name="B_Left_HK.EEV-Apr06v2_HK.EEV-May06 4+2 kkh 15 2" xfId="7678"/>
    <cellStyle name="B_Left_HK.EEV-Apr06v2_HK.EEV-May06 4+2 kkh 16" xfId="7679"/>
    <cellStyle name="B_Left_HK.EEV-Apr06v2_HK.EEV-May06 4+2 kkh 16 2" xfId="7680"/>
    <cellStyle name="B_Left_HK.EEV-Apr06v2_HK.EEV-May06 4+2 kkh 17" xfId="7681"/>
    <cellStyle name="B_Left_HK.EEV-Apr06v2_HK.EEV-May06 4+2 kkh 17 2" xfId="7682"/>
    <cellStyle name="B_Left_HK.EEV-Apr06v2_HK.EEV-May06 4+2 kkh 18" xfId="7683"/>
    <cellStyle name="B_Left_HK.EEV-Apr06v2_HK.EEV-May06 4+2 kkh 18 2" xfId="7684"/>
    <cellStyle name="B_Left_HK.EEV-Apr06v2_HK.EEV-May06 4+2 kkh 19" xfId="7685"/>
    <cellStyle name="B_Left_HK.EEV-Apr06v2_HK.EEV-May06 4+2 kkh 19 2" xfId="7686"/>
    <cellStyle name="B_Left_HK.EEV-Apr06v2_HK.EEV-May06 4+2 kkh 2" xfId="7687"/>
    <cellStyle name="B_Left_HK.EEV-Apr06v2_HK.EEV-May06 4+2 kkh 2 2" xfId="7688"/>
    <cellStyle name="B_Left_HK.EEV-Apr06v2_HK.EEV-May06 4+2 kkh 20" xfId="7689"/>
    <cellStyle name="B_Left_HK.EEV-Apr06v2_HK.EEV-May06 4+2 kkh 20 2" xfId="7690"/>
    <cellStyle name="B_Left_HK.EEV-Apr06v2_HK.EEV-May06 4+2 kkh 21" xfId="7691"/>
    <cellStyle name="B_Left_HK.EEV-Apr06v2_HK.EEV-May06 4+2 kkh 21 2" xfId="7692"/>
    <cellStyle name="B_Left_HK.EEV-Apr06v2_HK.EEV-May06 4+2 kkh 22" xfId="7693"/>
    <cellStyle name="B_Left_HK.EEV-Apr06v2_HK.EEV-May06 4+2 kkh 22 2" xfId="7694"/>
    <cellStyle name="B_Left_HK.EEV-Apr06v2_HK.EEV-May06 4+2 kkh 23" xfId="7695"/>
    <cellStyle name="B_Left_HK.EEV-Apr06v2_HK.EEV-May06 4+2 kkh 23 2" xfId="7696"/>
    <cellStyle name="B_Left_HK.EEV-Apr06v2_HK.EEV-May06 4+2 kkh 24" xfId="7697"/>
    <cellStyle name="B_Left_HK.EEV-Apr06v2_HK.EEV-May06 4+2 kkh 3" xfId="7698"/>
    <cellStyle name="B_Left_HK.EEV-Apr06v2_HK.EEV-May06 4+2 kkh 3 2" xfId="7699"/>
    <cellStyle name="B_Left_HK.EEV-Apr06v2_HK.EEV-May06 4+2 kkh 4" xfId="7700"/>
    <cellStyle name="B_Left_HK.EEV-Apr06v2_HK.EEV-May06 4+2 kkh 4 2" xfId="7701"/>
    <cellStyle name="B_Left_HK.EEV-Apr06v2_HK.EEV-May06 4+2 kkh 5" xfId="7702"/>
    <cellStyle name="B_Left_HK.EEV-Apr06v2_HK.EEV-May06 4+2 kkh 5 2" xfId="7703"/>
    <cellStyle name="B_Left_HK.EEV-Apr06v2_HK.EEV-May06 4+2 kkh 6" xfId="7704"/>
    <cellStyle name="B_Left_HK.EEV-Apr06v2_HK.EEV-May06 4+2 kkh 6 2" xfId="7705"/>
    <cellStyle name="B_Left_HK.EEV-Apr06v2_HK.EEV-May06 4+2 kkh 7" xfId="7706"/>
    <cellStyle name="B_Left_HK.EEV-Apr06v2_HK.EEV-May06 4+2 kkh 7 2" xfId="7707"/>
    <cellStyle name="B_Left_HK.EEV-Apr06v2_HK.EEV-May06 4+2 kkh 8" xfId="7708"/>
    <cellStyle name="B_Left_HK.EEV-Apr06v2_HK.EEV-May06 4+2 kkh 8 2" xfId="7709"/>
    <cellStyle name="B_Left_HK.EEV-Apr06v2_HK.EEV-May06 4+2 kkh 9" xfId="7710"/>
    <cellStyle name="B_Left_HK.EEV-Apr06v2_HK.EEV-May06 4+2 kkh 9 2" xfId="7711"/>
    <cellStyle name="B_Left_HK.EEV-Apr06v2_HK.EEV-May06 4+2 kkh_PROD_DETAILS" xfId="7712"/>
    <cellStyle name="B_Left_HK.EEV-Apr06v2_HK.EEV-May06 4+2 kkh_PROD_DETAILS 2" xfId="7713"/>
    <cellStyle name="B_Left_HK.EEV-Apr06v2_HK.EEV-May06 4+2 kkh_SOLVENCY POSITION " xfId="7714"/>
    <cellStyle name="B_Left_HK.EEV-Apr06v2_HK.EEV-May06 4+2 kkh_SOLVENCY POSITION  2" xfId="7715"/>
    <cellStyle name="B_Left_HK.EEV-Apr06v2_PROD_DETAILS" xfId="7716"/>
    <cellStyle name="B_Left_HK.EEV-Apr06v2_PROD_DETAILS 2" xfId="7717"/>
    <cellStyle name="B_Left_HK.EEV-Apr06v2_SOLVENCY POSITION " xfId="7718"/>
    <cellStyle name="B_Left_HK.EEV-Apr06v2_SOLVENCY POSITION  2" xfId="7719"/>
    <cellStyle name="B_Left_HK.EEV-Jun06 07-09 2006 (QF3)" xfId="7720"/>
    <cellStyle name="B_Left_HK.EEV-Jun06 07-09 2006 (QF3) 10" xfId="7721"/>
    <cellStyle name="B_Left_HK.EEV-Jun06 07-09 2006 (QF3) 10 2" xfId="7722"/>
    <cellStyle name="B_Left_HK.EEV-Jun06 07-09 2006 (QF3) 11" xfId="7723"/>
    <cellStyle name="B_Left_HK.EEV-Jun06 07-09 2006 (QF3) 11 2" xfId="7724"/>
    <cellStyle name="B_Left_HK.EEV-Jun06 07-09 2006 (QF3) 12" xfId="7725"/>
    <cellStyle name="B_Left_HK.EEV-Jun06 07-09 2006 (QF3) 12 2" xfId="7726"/>
    <cellStyle name="B_Left_HK.EEV-Jun06 07-09 2006 (QF3) 13" xfId="7727"/>
    <cellStyle name="B_Left_HK.EEV-Jun06 07-09 2006 (QF3) 13 2" xfId="7728"/>
    <cellStyle name="B_Left_HK.EEV-Jun06 07-09 2006 (QF3) 14" xfId="7729"/>
    <cellStyle name="B_Left_HK.EEV-Jun06 07-09 2006 (QF3) 14 2" xfId="7730"/>
    <cellStyle name="B_Left_HK.EEV-Jun06 07-09 2006 (QF3) 15" xfId="7731"/>
    <cellStyle name="B_Left_HK.EEV-Jun06 07-09 2006 (QF3) 15 2" xfId="7732"/>
    <cellStyle name="B_Left_HK.EEV-Jun06 07-09 2006 (QF3) 16" xfId="7733"/>
    <cellStyle name="B_Left_HK.EEV-Jun06 07-09 2006 (QF3) 16 2" xfId="7734"/>
    <cellStyle name="B_Left_HK.EEV-Jun06 07-09 2006 (QF3) 17" xfId="7735"/>
    <cellStyle name="B_Left_HK.EEV-Jun06 07-09 2006 (QF3) 17 2" xfId="7736"/>
    <cellStyle name="B_Left_HK.EEV-Jun06 07-09 2006 (QF3) 18" xfId="7737"/>
    <cellStyle name="B_Left_HK.EEV-Jun06 07-09 2006 (QF3) 18 2" xfId="7738"/>
    <cellStyle name="B_Left_HK.EEV-Jun06 07-09 2006 (QF3) 19" xfId="7739"/>
    <cellStyle name="B_Left_HK.EEV-Jun06 07-09 2006 (QF3) 19 2" xfId="7740"/>
    <cellStyle name="B_Left_HK.EEV-Jun06 07-09 2006 (QF3) 2" xfId="7741"/>
    <cellStyle name="B_Left_HK.EEV-Jun06 07-09 2006 (QF3) 2 2" xfId="7742"/>
    <cellStyle name="B_Left_HK.EEV-Jun06 07-09 2006 (QF3) 20" xfId="7743"/>
    <cellStyle name="B_Left_HK.EEV-Jun06 07-09 2006 (QF3) 20 2" xfId="7744"/>
    <cellStyle name="B_Left_HK.EEV-Jun06 07-09 2006 (QF3) 21" xfId="7745"/>
    <cellStyle name="B_Left_HK.EEV-Jun06 07-09 2006 (QF3) 21 2" xfId="7746"/>
    <cellStyle name="B_Left_HK.EEV-Jun06 07-09 2006 (QF3) 22" xfId="7747"/>
    <cellStyle name="B_Left_HK.EEV-Jun06 07-09 2006 (QF3) 22 2" xfId="7748"/>
    <cellStyle name="B_Left_HK.EEV-Jun06 07-09 2006 (QF3) 23" xfId="7749"/>
    <cellStyle name="B_Left_HK.EEV-Jun06 07-09 2006 (QF3) 23 2" xfId="7750"/>
    <cellStyle name="B_Left_HK.EEV-Jun06 07-09 2006 (QF3) 24" xfId="7751"/>
    <cellStyle name="B_Left_HK.EEV-Jun06 07-09 2006 (QF3) 3" xfId="7752"/>
    <cellStyle name="B_Left_HK.EEV-Jun06 07-09 2006 (QF3) 3 2" xfId="7753"/>
    <cellStyle name="B_Left_HK.EEV-Jun06 07-09 2006 (QF3) 4" xfId="7754"/>
    <cellStyle name="B_Left_HK.EEV-Jun06 07-09 2006 (QF3) 4 2" xfId="7755"/>
    <cellStyle name="B_Left_HK.EEV-Jun06 07-09 2006 (QF3) 5" xfId="7756"/>
    <cellStyle name="B_Left_HK.EEV-Jun06 07-09 2006 (QF3) 5 2" xfId="7757"/>
    <cellStyle name="B_Left_HK.EEV-Jun06 07-09 2006 (QF3) 6" xfId="7758"/>
    <cellStyle name="B_Left_HK.EEV-Jun06 07-09 2006 (QF3) 6 2" xfId="7759"/>
    <cellStyle name="B_Left_HK.EEV-Jun06 07-09 2006 (QF3) 7" xfId="7760"/>
    <cellStyle name="B_Left_HK.EEV-Jun06 07-09 2006 (QF3) 7 2" xfId="7761"/>
    <cellStyle name="B_Left_HK.EEV-Jun06 07-09 2006 (QF3) 8" xfId="7762"/>
    <cellStyle name="B_Left_HK.EEV-Jun06 07-09 2006 (QF3) 8 2" xfId="7763"/>
    <cellStyle name="B_Left_HK.EEV-Jun06 07-09 2006 (QF3) 9" xfId="7764"/>
    <cellStyle name="B_Left_HK.EEV-Jun06 07-09 2006 (QF3) 9 2" xfId="7765"/>
    <cellStyle name="B_Left_HK.EEV-Jun06 07-09 2006 (QF3)_PROD_DETAILS" xfId="7766"/>
    <cellStyle name="B_Left_HK.EEV-Jun06 07-09 2006 (QF3)_PROD_DETAILS 2" xfId="7767"/>
    <cellStyle name="B_Left_HK.EEV-Jun06 07-09 2006 (QF3)_SOLVENCY POSITION " xfId="7768"/>
    <cellStyle name="B_Left_HK.EEV-Jun06 07-09 2006 (QF3)_SOLVENCY POSITION  2" xfId="7769"/>
    <cellStyle name="B_Left_HK.EEV-May06 4+2" xfId="7770"/>
    <cellStyle name="B_Left_HK.EEV-May06 4+2 10" xfId="7771"/>
    <cellStyle name="B_Left_HK.EEV-May06 4+2 10 2" xfId="7772"/>
    <cellStyle name="B_Left_HK.EEV-May06 4+2 11" xfId="7773"/>
    <cellStyle name="B_Left_HK.EEV-May06 4+2 11 2" xfId="7774"/>
    <cellStyle name="B_Left_HK.EEV-May06 4+2 12" xfId="7775"/>
    <cellStyle name="B_Left_HK.EEV-May06 4+2 12 2" xfId="7776"/>
    <cellStyle name="B_Left_HK.EEV-May06 4+2 13" xfId="7777"/>
    <cellStyle name="B_Left_HK.EEV-May06 4+2 13 2" xfId="7778"/>
    <cellStyle name="B_Left_HK.EEV-May06 4+2 14" xfId="7779"/>
    <cellStyle name="B_Left_HK.EEV-May06 4+2 14 2" xfId="7780"/>
    <cellStyle name="B_Left_HK.EEV-May06 4+2 15" xfId="7781"/>
    <cellStyle name="B_Left_HK.EEV-May06 4+2 15 2" xfId="7782"/>
    <cellStyle name="B_Left_HK.EEV-May06 4+2 16" xfId="7783"/>
    <cellStyle name="B_Left_HK.EEV-May06 4+2 16 2" xfId="7784"/>
    <cellStyle name="B_Left_HK.EEV-May06 4+2 17" xfId="7785"/>
    <cellStyle name="B_Left_HK.EEV-May06 4+2 17 2" xfId="7786"/>
    <cellStyle name="B_Left_HK.EEV-May06 4+2 18" xfId="7787"/>
    <cellStyle name="B_Left_HK.EEV-May06 4+2 18 2" xfId="7788"/>
    <cellStyle name="B_Left_HK.EEV-May06 4+2 19" xfId="7789"/>
    <cellStyle name="B_Left_HK.EEV-May06 4+2 19 2" xfId="7790"/>
    <cellStyle name="B_Left_HK.EEV-May06 4+2 2" xfId="7791"/>
    <cellStyle name="B_Left_HK.EEV-May06 4+2 2 2" xfId="7792"/>
    <cellStyle name="B_Left_HK.EEV-May06 4+2 20" xfId="7793"/>
    <cellStyle name="B_Left_HK.EEV-May06 4+2 20 2" xfId="7794"/>
    <cellStyle name="B_Left_HK.EEV-May06 4+2 21" xfId="7795"/>
    <cellStyle name="B_Left_HK.EEV-May06 4+2 21 2" xfId="7796"/>
    <cellStyle name="B_Left_HK.EEV-May06 4+2 22" xfId="7797"/>
    <cellStyle name="B_Left_HK.EEV-May06 4+2 22 2" xfId="7798"/>
    <cellStyle name="B_Left_HK.EEV-May06 4+2 23" xfId="7799"/>
    <cellStyle name="B_Left_HK.EEV-May06 4+2 23 2" xfId="7800"/>
    <cellStyle name="B_Left_HK.EEV-May06 4+2 24" xfId="7801"/>
    <cellStyle name="B_Left_HK.EEV-May06 4+2 3" xfId="7802"/>
    <cellStyle name="B_Left_HK.EEV-May06 4+2 3 2" xfId="7803"/>
    <cellStyle name="B_Left_HK.EEV-May06 4+2 4" xfId="7804"/>
    <cellStyle name="B_Left_HK.EEV-May06 4+2 4 2" xfId="7805"/>
    <cellStyle name="B_Left_HK.EEV-May06 4+2 5" xfId="7806"/>
    <cellStyle name="B_Left_HK.EEV-May06 4+2 5 2" xfId="7807"/>
    <cellStyle name="B_Left_HK.EEV-May06 4+2 6" xfId="7808"/>
    <cellStyle name="B_Left_HK.EEV-May06 4+2 6 2" xfId="7809"/>
    <cellStyle name="B_Left_HK.EEV-May06 4+2 7" xfId="7810"/>
    <cellStyle name="B_Left_HK.EEV-May06 4+2 7 2" xfId="7811"/>
    <cellStyle name="B_Left_HK.EEV-May06 4+2 8" xfId="7812"/>
    <cellStyle name="B_Left_HK.EEV-May06 4+2 8 2" xfId="7813"/>
    <cellStyle name="B_Left_HK.EEV-May06 4+2 9" xfId="7814"/>
    <cellStyle name="B_Left_HK.EEV-May06 4+2 9 2" xfId="7815"/>
    <cellStyle name="B_Left_HK.EEV-May06 4+2_HK.EEV-May06 4+2 kkh" xfId="7816"/>
    <cellStyle name="B_Left_HK.EEV-May06 4+2_HK.EEV-May06 4+2 kkh 10" xfId="7817"/>
    <cellStyle name="B_Left_HK.EEV-May06 4+2_HK.EEV-May06 4+2 kkh 10 2" xfId="7818"/>
    <cellStyle name="B_Left_HK.EEV-May06 4+2_HK.EEV-May06 4+2 kkh 11" xfId="7819"/>
    <cellStyle name="B_Left_HK.EEV-May06 4+2_HK.EEV-May06 4+2 kkh 11 2" xfId="7820"/>
    <cellStyle name="B_Left_HK.EEV-May06 4+2_HK.EEV-May06 4+2 kkh 12" xfId="7821"/>
    <cellStyle name="B_Left_HK.EEV-May06 4+2_HK.EEV-May06 4+2 kkh 12 2" xfId="7822"/>
    <cellStyle name="B_Left_HK.EEV-May06 4+2_HK.EEV-May06 4+2 kkh 13" xfId="7823"/>
    <cellStyle name="B_Left_HK.EEV-May06 4+2_HK.EEV-May06 4+2 kkh 13 2" xfId="7824"/>
    <cellStyle name="B_Left_HK.EEV-May06 4+2_HK.EEV-May06 4+2 kkh 14" xfId="7825"/>
    <cellStyle name="B_Left_HK.EEV-May06 4+2_HK.EEV-May06 4+2 kkh 14 2" xfId="7826"/>
    <cellStyle name="B_Left_HK.EEV-May06 4+2_HK.EEV-May06 4+2 kkh 15" xfId="7827"/>
    <cellStyle name="B_Left_HK.EEV-May06 4+2_HK.EEV-May06 4+2 kkh 15 2" xfId="7828"/>
    <cellStyle name="B_Left_HK.EEV-May06 4+2_HK.EEV-May06 4+2 kkh 16" xfId="7829"/>
    <cellStyle name="B_Left_HK.EEV-May06 4+2_HK.EEV-May06 4+2 kkh 16 2" xfId="7830"/>
    <cellStyle name="B_Left_HK.EEV-May06 4+2_HK.EEV-May06 4+2 kkh 17" xfId="7831"/>
    <cellStyle name="B_Left_HK.EEV-May06 4+2_HK.EEV-May06 4+2 kkh 17 2" xfId="7832"/>
    <cellStyle name="B_Left_HK.EEV-May06 4+2_HK.EEV-May06 4+2 kkh 18" xfId="7833"/>
    <cellStyle name="B_Left_HK.EEV-May06 4+2_HK.EEV-May06 4+2 kkh 18 2" xfId="7834"/>
    <cellStyle name="B_Left_HK.EEV-May06 4+2_HK.EEV-May06 4+2 kkh 19" xfId="7835"/>
    <cellStyle name="B_Left_HK.EEV-May06 4+2_HK.EEV-May06 4+2 kkh 19 2" xfId="7836"/>
    <cellStyle name="B_Left_HK.EEV-May06 4+2_HK.EEV-May06 4+2 kkh 2" xfId="7837"/>
    <cellStyle name="B_Left_HK.EEV-May06 4+2_HK.EEV-May06 4+2 kkh 2 2" xfId="7838"/>
    <cellStyle name="B_Left_HK.EEV-May06 4+2_HK.EEV-May06 4+2 kkh 20" xfId="7839"/>
    <cellStyle name="B_Left_HK.EEV-May06 4+2_HK.EEV-May06 4+2 kkh 20 2" xfId="7840"/>
    <cellStyle name="B_Left_HK.EEV-May06 4+2_HK.EEV-May06 4+2 kkh 21" xfId="7841"/>
    <cellStyle name="B_Left_HK.EEV-May06 4+2_HK.EEV-May06 4+2 kkh 21 2" xfId="7842"/>
    <cellStyle name="B_Left_HK.EEV-May06 4+2_HK.EEV-May06 4+2 kkh 22" xfId="7843"/>
    <cellStyle name="B_Left_HK.EEV-May06 4+2_HK.EEV-May06 4+2 kkh 22 2" xfId="7844"/>
    <cellStyle name="B_Left_HK.EEV-May06 4+2_HK.EEV-May06 4+2 kkh 23" xfId="7845"/>
    <cellStyle name="B_Left_HK.EEV-May06 4+2_HK.EEV-May06 4+2 kkh 23 2" xfId="7846"/>
    <cellStyle name="B_Left_HK.EEV-May06 4+2_HK.EEV-May06 4+2 kkh 24" xfId="7847"/>
    <cellStyle name="B_Left_HK.EEV-May06 4+2_HK.EEV-May06 4+2 kkh 3" xfId="7848"/>
    <cellStyle name="B_Left_HK.EEV-May06 4+2_HK.EEV-May06 4+2 kkh 3 2" xfId="7849"/>
    <cellStyle name="B_Left_HK.EEV-May06 4+2_HK.EEV-May06 4+2 kkh 4" xfId="7850"/>
    <cellStyle name="B_Left_HK.EEV-May06 4+2_HK.EEV-May06 4+2 kkh 4 2" xfId="7851"/>
    <cellStyle name="B_Left_HK.EEV-May06 4+2_HK.EEV-May06 4+2 kkh 5" xfId="7852"/>
    <cellStyle name="B_Left_HK.EEV-May06 4+2_HK.EEV-May06 4+2 kkh 5 2" xfId="7853"/>
    <cellStyle name="B_Left_HK.EEV-May06 4+2_HK.EEV-May06 4+2 kkh 6" xfId="7854"/>
    <cellStyle name="B_Left_HK.EEV-May06 4+2_HK.EEV-May06 4+2 kkh 6 2" xfId="7855"/>
    <cellStyle name="B_Left_HK.EEV-May06 4+2_HK.EEV-May06 4+2 kkh 7" xfId="7856"/>
    <cellStyle name="B_Left_HK.EEV-May06 4+2_HK.EEV-May06 4+2 kkh 7 2" xfId="7857"/>
    <cellStyle name="B_Left_HK.EEV-May06 4+2_HK.EEV-May06 4+2 kkh 8" xfId="7858"/>
    <cellStyle name="B_Left_HK.EEV-May06 4+2_HK.EEV-May06 4+2 kkh 8 2" xfId="7859"/>
    <cellStyle name="B_Left_HK.EEV-May06 4+2_HK.EEV-May06 4+2 kkh 9" xfId="7860"/>
    <cellStyle name="B_Left_HK.EEV-May06 4+2_HK.EEV-May06 4+2 kkh 9 2" xfId="7861"/>
    <cellStyle name="B_Left_HK.EEV-May06 4+2_HK.EEV-May06 4+2 kkh_PROD_DETAILS" xfId="7862"/>
    <cellStyle name="B_Left_HK.EEV-May06 4+2_HK.EEV-May06 4+2 kkh_PROD_DETAILS 2" xfId="7863"/>
    <cellStyle name="B_Left_HK.EEV-May06 4+2_HK.EEV-May06 4+2 kkh_SOLVENCY POSITION " xfId="7864"/>
    <cellStyle name="B_Left_HK.EEV-May06 4+2_HK.EEV-May06 4+2 kkh_SOLVENCY POSITION  2" xfId="7865"/>
    <cellStyle name="B_Left_HK.EEV-May06 4+2_PROD_DETAILS" xfId="7866"/>
    <cellStyle name="B_Left_HK.EEV-May06 4+2_PROD_DETAILS 2" xfId="7867"/>
    <cellStyle name="B_Left_HK.EEV-May06 4+2_SOLVENCY POSITION " xfId="7868"/>
    <cellStyle name="B_Left_HK.EEV-May06 4+2_SOLVENCY POSITION  2" xfId="7869"/>
    <cellStyle name="B_Left_HK.NBC@Mar2006" xfId="7870"/>
    <cellStyle name="B_Left_HK.NBC@Mar2006 10" xfId="7871"/>
    <cellStyle name="B_Left_HK.NBC@Mar2006 10 2" xfId="7872"/>
    <cellStyle name="B_Left_HK.NBC@Mar2006 11" xfId="7873"/>
    <cellStyle name="B_Left_HK.NBC@Mar2006 11 2" xfId="7874"/>
    <cellStyle name="B_Left_HK.NBC@Mar2006 12" xfId="7875"/>
    <cellStyle name="B_Left_HK.NBC@Mar2006 12 2" xfId="7876"/>
    <cellStyle name="B_Left_HK.NBC@Mar2006 13" xfId="7877"/>
    <cellStyle name="B_Left_HK.NBC@Mar2006 13 2" xfId="7878"/>
    <cellStyle name="B_Left_HK.NBC@Mar2006 14" xfId="7879"/>
    <cellStyle name="B_Left_HK.NBC@Mar2006 14 2" xfId="7880"/>
    <cellStyle name="B_Left_HK.NBC@Mar2006 15" xfId="7881"/>
    <cellStyle name="B_Left_HK.NBC@Mar2006 15 2" xfId="7882"/>
    <cellStyle name="B_Left_HK.NBC@Mar2006 16" xfId="7883"/>
    <cellStyle name="B_Left_HK.NBC@Mar2006 16 2" xfId="7884"/>
    <cellStyle name="B_Left_HK.NBC@Mar2006 17" xfId="7885"/>
    <cellStyle name="B_Left_HK.NBC@Mar2006 17 2" xfId="7886"/>
    <cellStyle name="B_Left_HK.NBC@Mar2006 18" xfId="7887"/>
    <cellStyle name="B_Left_HK.NBC@Mar2006 18 2" xfId="7888"/>
    <cellStyle name="B_Left_HK.NBC@Mar2006 19" xfId="7889"/>
    <cellStyle name="B_Left_HK.NBC@Mar2006 19 2" xfId="7890"/>
    <cellStyle name="B_Left_HK.NBC@Mar2006 2" xfId="7891"/>
    <cellStyle name="B_Left_HK.NBC@Mar2006 2 2" xfId="7892"/>
    <cellStyle name="B_Left_HK.NBC@Mar2006 20" xfId="7893"/>
    <cellStyle name="B_Left_HK.NBC@Mar2006 20 2" xfId="7894"/>
    <cellStyle name="B_Left_HK.NBC@Mar2006 21" xfId="7895"/>
    <cellStyle name="B_Left_HK.NBC@Mar2006 21 2" xfId="7896"/>
    <cellStyle name="B_Left_HK.NBC@Mar2006 22" xfId="7897"/>
    <cellStyle name="B_Left_HK.NBC@Mar2006 22 2" xfId="7898"/>
    <cellStyle name="B_Left_HK.NBC@Mar2006 23" xfId="7899"/>
    <cellStyle name="B_Left_HK.NBC@Mar2006 23 2" xfId="7900"/>
    <cellStyle name="B_Left_HK.NBC@Mar2006 24" xfId="7901"/>
    <cellStyle name="B_Left_HK.NBC@Mar2006 3" xfId="7902"/>
    <cellStyle name="B_Left_HK.NBC@Mar2006 3 2" xfId="7903"/>
    <cellStyle name="B_Left_HK.NBC@Mar2006 4" xfId="7904"/>
    <cellStyle name="B_Left_HK.NBC@Mar2006 4 2" xfId="7905"/>
    <cellStyle name="B_Left_HK.NBC@Mar2006 5" xfId="7906"/>
    <cellStyle name="B_Left_HK.NBC@Mar2006 5 2" xfId="7907"/>
    <cellStyle name="B_Left_HK.NBC@Mar2006 6" xfId="7908"/>
    <cellStyle name="B_Left_HK.NBC@Mar2006 6 2" xfId="7909"/>
    <cellStyle name="B_Left_HK.NBC@Mar2006 7" xfId="7910"/>
    <cellStyle name="B_Left_HK.NBC@Mar2006 7 2" xfId="7911"/>
    <cellStyle name="B_Left_HK.NBC@Mar2006 8" xfId="7912"/>
    <cellStyle name="B_Left_HK.NBC@Mar2006 8 2" xfId="7913"/>
    <cellStyle name="B_Left_HK.NBC@Mar2006 9" xfId="7914"/>
    <cellStyle name="B_Left_HK.NBC@Mar2006 9 2" xfId="7915"/>
    <cellStyle name="B_Left_HK.NBC@Mar2006_HK.EEV-May06 4+2 kkh" xfId="7916"/>
    <cellStyle name="B_Left_HK.NBC@Mar2006_HK.EEV-May06 4+2 kkh 10" xfId="7917"/>
    <cellStyle name="B_Left_HK.NBC@Mar2006_HK.EEV-May06 4+2 kkh 10 2" xfId="7918"/>
    <cellStyle name="B_Left_HK.NBC@Mar2006_HK.EEV-May06 4+2 kkh 11" xfId="7919"/>
    <cellStyle name="B_Left_HK.NBC@Mar2006_HK.EEV-May06 4+2 kkh 11 2" xfId="7920"/>
    <cellStyle name="B_Left_HK.NBC@Mar2006_HK.EEV-May06 4+2 kkh 12" xfId="7921"/>
    <cellStyle name="B_Left_HK.NBC@Mar2006_HK.EEV-May06 4+2 kkh 12 2" xfId="7922"/>
    <cellStyle name="B_Left_HK.NBC@Mar2006_HK.EEV-May06 4+2 kkh 13" xfId="7923"/>
    <cellStyle name="B_Left_HK.NBC@Mar2006_HK.EEV-May06 4+2 kkh 13 2" xfId="7924"/>
    <cellStyle name="B_Left_HK.NBC@Mar2006_HK.EEV-May06 4+2 kkh 14" xfId="7925"/>
    <cellStyle name="B_Left_HK.NBC@Mar2006_HK.EEV-May06 4+2 kkh 14 2" xfId="7926"/>
    <cellStyle name="B_Left_HK.NBC@Mar2006_HK.EEV-May06 4+2 kkh 15" xfId="7927"/>
    <cellStyle name="B_Left_HK.NBC@Mar2006_HK.EEV-May06 4+2 kkh 15 2" xfId="7928"/>
    <cellStyle name="B_Left_HK.NBC@Mar2006_HK.EEV-May06 4+2 kkh 16" xfId="7929"/>
    <cellStyle name="B_Left_HK.NBC@Mar2006_HK.EEV-May06 4+2 kkh 16 2" xfId="7930"/>
    <cellStyle name="B_Left_HK.NBC@Mar2006_HK.EEV-May06 4+2 kkh 17" xfId="7931"/>
    <cellStyle name="B_Left_HK.NBC@Mar2006_HK.EEV-May06 4+2 kkh 17 2" xfId="7932"/>
    <cellStyle name="B_Left_HK.NBC@Mar2006_HK.EEV-May06 4+2 kkh 18" xfId="7933"/>
    <cellStyle name="B_Left_HK.NBC@Mar2006_HK.EEV-May06 4+2 kkh 18 2" xfId="7934"/>
    <cellStyle name="B_Left_HK.NBC@Mar2006_HK.EEV-May06 4+2 kkh 19" xfId="7935"/>
    <cellStyle name="B_Left_HK.NBC@Mar2006_HK.EEV-May06 4+2 kkh 19 2" xfId="7936"/>
    <cellStyle name="B_Left_HK.NBC@Mar2006_HK.EEV-May06 4+2 kkh 2" xfId="7937"/>
    <cellStyle name="B_Left_HK.NBC@Mar2006_HK.EEV-May06 4+2 kkh 2 2" xfId="7938"/>
    <cellStyle name="B_Left_HK.NBC@Mar2006_HK.EEV-May06 4+2 kkh 20" xfId="7939"/>
    <cellStyle name="B_Left_HK.NBC@Mar2006_HK.EEV-May06 4+2 kkh 20 2" xfId="7940"/>
    <cellStyle name="B_Left_HK.NBC@Mar2006_HK.EEV-May06 4+2 kkh 21" xfId="7941"/>
    <cellStyle name="B_Left_HK.NBC@Mar2006_HK.EEV-May06 4+2 kkh 21 2" xfId="7942"/>
    <cellStyle name="B_Left_HK.NBC@Mar2006_HK.EEV-May06 4+2 kkh 22" xfId="7943"/>
    <cellStyle name="B_Left_HK.NBC@Mar2006_HK.EEV-May06 4+2 kkh 22 2" xfId="7944"/>
    <cellStyle name="B_Left_HK.NBC@Mar2006_HK.EEV-May06 4+2 kkh 23" xfId="7945"/>
    <cellStyle name="B_Left_HK.NBC@Mar2006_HK.EEV-May06 4+2 kkh 23 2" xfId="7946"/>
    <cellStyle name="B_Left_HK.NBC@Mar2006_HK.EEV-May06 4+2 kkh 24" xfId="7947"/>
    <cellStyle name="B_Left_HK.NBC@Mar2006_HK.EEV-May06 4+2 kkh 3" xfId="7948"/>
    <cellStyle name="B_Left_HK.NBC@Mar2006_HK.EEV-May06 4+2 kkh 3 2" xfId="7949"/>
    <cellStyle name="B_Left_HK.NBC@Mar2006_HK.EEV-May06 4+2 kkh 4" xfId="7950"/>
    <cellStyle name="B_Left_HK.NBC@Mar2006_HK.EEV-May06 4+2 kkh 4 2" xfId="7951"/>
    <cellStyle name="B_Left_HK.NBC@Mar2006_HK.EEV-May06 4+2 kkh 5" xfId="7952"/>
    <cellStyle name="B_Left_HK.NBC@Mar2006_HK.EEV-May06 4+2 kkh 5 2" xfId="7953"/>
    <cellStyle name="B_Left_HK.NBC@Mar2006_HK.EEV-May06 4+2 kkh 6" xfId="7954"/>
    <cellStyle name="B_Left_HK.NBC@Mar2006_HK.EEV-May06 4+2 kkh 6 2" xfId="7955"/>
    <cellStyle name="B_Left_HK.NBC@Mar2006_HK.EEV-May06 4+2 kkh 7" xfId="7956"/>
    <cellStyle name="B_Left_HK.NBC@Mar2006_HK.EEV-May06 4+2 kkh 7 2" xfId="7957"/>
    <cellStyle name="B_Left_HK.NBC@Mar2006_HK.EEV-May06 4+2 kkh 8" xfId="7958"/>
    <cellStyle name="B_Left_HK.NBC@Mar2006_HK.EEV-May06 4+2 kkh 8 2" xfId="7959"/>
    <cellStyle name="B_Left_HK.NBC@Mar2006_HK.EEV-May06 4+2 kkh 9" xfId="7960"/>
    <cellStyle name="B_Left_HK.NBC@Mar2006_HK.EEV-May06 4+2 kkh 9 2" xfId="7961"/>
    <cellStyle name="B_Left_HK.NBC@Mar2006_HK.EEV-May06 4+2 kkh_PROD_DETAILS" xfId="7962"/>
    <cellStyle name="B_Left_HK.NBC@Mar2006_HK.EEV-May06 4+2 kkh_PROD_DETAILS 2" xfId="7963"/>
    <cellStyle name="B_Left_HK.NBC@Mar2006_HK.EEV-May06 4+2 kkh_SOLVENCY POSITION " xfId="7964"/>
    <cellStyle name="B_Left_HK.NBC@Mar2006_HK.EEV-May06 4+2 kkh_SOLVENCY POSITION  2" xfId="7965"/>
    <cellStyle name="B_Left_HK.NBC@Mar2006_PROD_DETAILS" xfId="7966"/>
    <cellStyle name="B_Left_HK.NBC@Mar2006_PROD_DETAILS 2" xfId="7967"/>
    <cellStyle name="B_Left_HK.NBC@Mar2006_SOLVENCY POSITION " xfId="7968"/>
    <cellStyle name="B_Left_HK.NBC@Mar2006_SOLVENCY POSITION  2" xfId="7969"/>
    <cellStyle name="B_Left_HK_NBC@Dec2007(New Lapse)Final" xfId="7970"/>
    <cellStyle name="B_Left_HK_NBC@Dec2007(New Lapse)Final 10" xfId="7971"/>
    <cellStyle name="B_Left_HK_NBC@Dec2007(New Lapse)Final 10 2" xfId="7972"/>
    <cellStyle name="B_Left_HK_NBC@Dec2007(New Lapse)Final 11" xfId="7973"/>
    <cellStyle name="B_Left_HK_NBC@Dec2007(New Lapse)Final 11 2" xfId="7974"/>
    <cellStyle name="B_Left_HK_NBC@Dec2007(New Lapse)Final 12" xfId="7975"/>
    <cellStyle name="B_Left_HK_NBC@Dec2007(New Lapse)Final 12 2" xfId="7976"/>
    <cellStyle name="B_Left_HK_NBC@Dec2007(New Lapse)Final 13" xfId="7977"/>
    <cellStyle name="B_Left_HK_NBC@Dec2007(New Lapse)Final 13 2" xfId="7978"/>
    <cellStyle name="B_Left_HK_NBC@Dec2007(New Lapse)Final 14" xfId="7979"/>
    <cellStyle name="B_Left_HK_NBC@Dec2007(New Lapse)Final 14 2" xfId="7980"/>
    <cellStyle name="B_Left_HK_NBC@Dec2007(New Lapse)Final 15" xfId="7981"/>
    <cellStyle name="B_Left_HK_NBC@Dec2007(New Lapse)Final 15 2" xfId="7982"/>
    <cellStyle name="B_Left_HK_NBC@Dec2007(New Lapse)Final 16" xfId="7983"/>
    <cellStyle name="B_Left_HK_NBC@Dec2007(New Lapse)Final 16 2" xfId="7984"/>
    <cellStyle name="B_Left_HK_NBC@Dec2007(New Lapse)Final 17" xfId="7985"/>
    <cellStyle name="B_Left_HK_NBC@Dec2007(New Lapse)Final 17 2" xfId="7986"/>
    <cellStyle name="B_Left_HK_NBC@Dec2007(New Lapse)Final 18" xfId="7987"/>
    <cellStyle name="B_Left_HK_NBC@Dec2007(New Lapse)Final 18 2" xfId="7988"/>
    <cellStyle name="B_Left_HK_NBC@Dec2007(New Lapse)Final 19" xfId="7989"/>
    <cellStyle name="B_Left_HK_NBC@Dec2007(New Lapse)Final 19 2" xfId="7990"/>
    <cellStyle name="B_Left_HK_NBC@Dec2007(New Lapse)Final 2" xfId="7991"/>
    <cellStyle name="B_Left_HK_NBC@Dec2007(New Lapse)Final 2 2" xfId="7992"/>
    <cellStyle name="B_Left_HK_NBC@Dec2007(New Lapse)Final 20" xfId="7993"/>
    <cellStyle name="B_Left_HK_NBC@Dec2007(New Lapse)Final 20 2" xfId="7994"/>
    <cellStyle name="B_Left_HK_NBC@Dec2007(New Lapse)Final 21" xfId="7995"/>
    <cellStyle name="B_Left_HK_NBC@Dec2007(New Lapse)Final 21 2" xfId="7996"/>
    <cellStyle name="B_Left_HK_NBC@Dec2007(New Lapse)Final 22" xfId="7997"/>
    <cellStyle name="B_Left_HK_NBC@Dec2007(New Lapse)Final 22 2" xfId="7998"/>
    <cellStyle name="B_Left_HK_NBC@Dec2007(New Lapse)Final 23" xfId="7999"/>
    <cellStyle name="B_Left_HK_NBC@Dec2007(New Lapse)Final 23 2" xfId="8000"/>
    <cellStyle name="B_Left_HK_NBC@Dec2007(New Lapse)Final 24" xfId="8001"/>
    <cellStyle name="B_Left_HK_NBC@Dec2007(New Lapse)Final 3" xfId="8002"/>
    <cellStyle name="B_Left_HK_NBC@Dec2007(New Lapse)Final 3 2" xfId="8003"/>
    <cellStyle name="B_Left_HK_NBC@Dec2007(New Lapse)Final 4" xfId="8004"/>
    <cellStyle name="B_Left_HK_NBC@Dec2007(New Lapse)Final 4 2" xfId="8005"/>
    <cellStyle name="B_Left_HK_NBC@Dec2007(New Lapse)Final 5" xfId="8006"/>
    <cellStyle name="B_Left_HK_NBC@Dec2007(New Lapse)Final 5 2" xfId="8007"/>
    <cellStyle name="B_Left_HK_NBC@Dec2007(New Lapse)Final 6" xfId="8008"/>
    <cellStyle name="B_Left_HK_NBC@Dec2007(New Lapse)Final 6 2" xfId="8009"/>
    <cellStyle name="B_Left_HK_NBC@Dec2007(New Lapse)Final 7" xfId="8010"/>
    <cellStyle name="B_Left_HK_NBC@Dec2007(New Lapse)Final 7 2" xfId="8011"/>
    <cellStyle name="B_Left_HK_NBC@Dec2007(New Lapse)Final 8" xfId="8012"/>
    <cellStyle name="B_Left_HK_NBC@Dec2007(New Lapse)Final 8 2" xfId="8013"/>
    <cellStyle name="B_Left_HK_NBC@Dec2007(New Lapse)Final 9" xfId="8014"/>
    <cellStyle name="B_Left_HK_NBC@Dec2007(New Lapse)Final 9 2" xfId="8015"/>
    <cellStyle name="B_Left_HK_NBC@Dec2007(New Lapse)Final_PROD_DETAILS" xfId="8016"/>
    <cellStyle name="B_Left_HK_NBC@Dec2007(New Lapse)Final_PROD_DETAILS 2" xfId="8017"/>
    <cellStyle name="B_Left_HK_NBC@Dec2007(New Lapse)Final_SOLVENCY POSITION " xfId="8018"/>
    <cellStyle name="B_Left_HK_NBC@Dec2007(New Lapse)Final_SOLVENCY POSITION  2" xfId="8019"/>
    <cellStyle name="B_Left_KPI's" xfId="8020"/>
    <cellStyle name="B_Left_KPI's 10" xfId="8021"/>
    <cellStyle name="B_Left_KPI's 10 2" xfId="8022"/>
    <cellStyle name="B_Left_KPI's 11" xfId="8023"/>
    <cellStyle name="B_Left_KPI's 11 2" xfId="8024"/>
    <cellStyle name="B_Left_KPI's 12" xfId="8025"/>
    <cellStyle name="B_Left_KPI's 12 2" xfId="8026"/>
    <cellStyle name="B_Left_KPI's 13" xfId="8027"/>
    <cellStyle name="B_Left_KPI's 13 2" xfId="8028"/>
    <cellStyle name="B_Left_KPI's 14" xfId="8029"/>
    <cellStyle name="B_Left_KPI's 14 2" xfId="8030"/>
    <cellStyle name="B_Left_KPI's 15" xfId="8031"/>
    <cellStyle name="B_Left_KPI's 15 2" xfId="8032"/>
    <cellStyle name="B_Left_KPI's 16" xfId="8033"/>
    <cellStyle name="B_Left_KPI's 16 2" xfId="8034"/>
    <cellStyle name="B_Left_KPI's 17" xfId="8035"/>
    <cellStyle name="B_Left_KPI's 17 2" xfId="8036"/>
    <cellStyle name="B_Left_KPI's 18" xfId="8037"/>
    <cellStyle name="B_Left_KPI's 18 2" xfId="8038"/>
    <cellStyle name="B_Left_KPI's 19" xfId="8039"/>
    <cellStyle name="B_Left_KPI's 19 2" xfId="8040"/>
    <cellStyle name="B_Left_KPI's 2" xfId="8041"/>
    <cellStyle name="B_Left_KPI's 2 2" xfId="8042"/>
    <cellStyle name="B_Left_KPI's 20" xfId="8043"/>
    <cellStyle name="B_Left_KPI's 20 2" xfId="8044"/>
    <cellStyle name="B_Left_KPI's 21" xfId="8045"/>
    <cellStyle name="B_Left_KPI's 21 2" xfId="8046"/>
    <cellStyle name="B_Left_KPI's 22" xfId="8047"/>
    <cellStyle name="B_Left_KPI's 22 2" xfId="8048"/>
    <cellStyle name="B_Left_KPI's 23" xfId="8049"/>
    <cellStyle name="B_Left_KPI's 23 2" xfId="8050"/>
    <cellStyle name="B_Left_KPI's 24" xfId="8051"/>
    <cellStyle name="B_Left_KPI's 3" xfId="8052"/>
    <cellStyle name="B_Left_KPI's 3 2" xfId="8053"/>
    <cellStyle name="B_Left_KPI's 4" xfId="8054"/>
    <cellStyle name="B_Left_KPI's 4 2" xfId="8055"/>
    <cellStyle name="B_Left_KPI's 5" xfId="8056"/>
    <cellStyle name="B_Left_KPI's 5 2" xfId="8057"/>
    <cellStyle name="B_Left_KPI's 6" xfId="8058"/>
    <cellStyle name="B_Left_KPI's 6 2" xfId="8059"/>
    <cellStyle name="B_Left_KPI's 7" xfId="8060"/>
    <cellStyle name="B_Left_KPI's 7 2" xfId="8061"/>
    <cellStyle name="B_Left_KPI's 8" xfId="8062"/>
    <cellStyle name="B_Left_KPI's 8 2" xfId="8063"/>
    <cellStyle name="B_Left_KPI's 9" xfId="8064"/>
    <cellStyle name="B_Left_KPI's 9 2" xfId="8065"/>
    <cellStyle name="B_Left_KPI's_PROD_DETAILS" xfId="8066"/>
    <cellStyle name="B_Left_KPI's_PROD_DETAILS 2" xfId="8067"/>
    <cellStyle name="B_Left_KPI's_SOLVENCY POSITION " xfId="8068"/>
    <cellStyle name="B_Left_KPI's_SOLVENCY POSITION  2" xfId="8069"/>
    <cellStyle name="B_Left_p&amp;l wkgs" xfId="8070"/>
    <cellStyle name="B_Left_p&amp;l wkgs 10" xfId="8071"/>
    <cellStyle name="B_Left_p&amp;l wkgs 10 2" xfId="8072"/>
    <cellStyle name="B_Left_p&amp;l wkgs 11" xfId="8073"/>
    <cellStyle name="B_Left_p&amp;l wkgs 11 2" xfId="8074"/>
    <cellStyle name="B_Left_p&amp;l wkgs 12" xfId="8075"/>
    <cellStyle name="B_Left_p&amp;l wkgs 12 2" xfId="8076"/>
    <cellStyle name="B_Left_p&amp;l wkgs 13" xfId="8077"/>
    <cellStyle name="B_Left_p&amp;l wkgs 13 2" xfId="8078"/>
    <cellStyle name="B_Left_p&amp;l wkgs 14" xfId="8079"/>
    <cellStyle name="B_Left_p&amp;l wkgs 14 2" xfId="8080"/>
    <cellStyle name="B_Left_p&amp;l wkgs 15" xfId="8081"/>
    <cellStyle name="B_Left_p&amp;l wkgs 15 2" xfId="8082"/>
    <cellStyle name="B_Left_p&amp;l wkgs 16" xfId="8083"/>
    <cellStyle name="B_Left_p&amp;l wkgs 16 2" xfId="8084"/>
    <cellStyle name="B_Left_p&amp;l wkgs 17" xfId="8085"/>
    <cellStyle name="B_Left_p&amp;l wkgs 17 2" xfId="8086"/>
    <cellStyle name="B_Left_p&amp;l wkgs 18" xfId="8087"/>
    <cellStyle name="B_Left_p&amp;l wkgs 18 2" xfId="8088"/>
    <cellStyle name="B_Left_p&amp;l wkgs 19" xfId="8089"/>
    <cellStyle name="B_Left_p&amp;l wkgs 19 2" xfId="8090"/>
    <cellStyle name="B_Left_p&amp;l wkgs 2" xfId="8091"/>
    <cellStyle name="B_Left_p&amp;l wkgs 2 2" xfId="8092"/>
    <cellStyle name="B_Left_p&amp;l wkgs 20" xfId="8093"/>
    <cellStyle name="B_Left_p&amp;l wkgs 20 2" xfId="8094"/>
    <cellStyle name="B_Left_p&amp;l wkgs 21" xfId="8095"/>
    <cellStyle name="B_Left_p&amp;l wkgs 21 2" xfId="8096"/>
    <cellStyle name="B_Left_p&amp;l wkgs 22" xfId="8097"/>
    <cellStyle name="B_Left_p&amp;l wkgs 22 2" xfId="8098"/>
    <cellStyle name="B_Left_p&amp;l wkgs 23" xfId="8099"/>
    <cellStyle name="B_Left_p&amp;l wkgs 23 2" xfId="8100"/>
    <cellStyle name="B_Left_p&amp;l wkgs 24" xfId="8101"/>
    <cellStyle name="B_Left_p&amp;l wkgs 3" xfId="8102"/>
    <cellStyle name="B_Left_p&amp;l wkgs 3 2" xfId="8103"/>
    <cellStyle name="B_Left_p&amp;l wkgs 4" xfId="8104"/>
    <cellStyle name="B_Left_p&amp;l wkgs 4 2" xfId="8105"/>
    <cellStyle name="B_Left_p&amp;l wkgs 5" xfId="8106"/>
    <cellStyle name="B_Left_p&amp;l wkgs 5 2" xfId="8107"/>
    <cellStyle name="B_Left_p&amp;l wkgs 6" xfId="8108"/>
    <cellStyle name="B_Left_p&amp;l wkgs 6 2" xfId="8109"/>
    <cellStyle name="B_Left_p&amp;l wkgs 7" xfId="8110"/>
    <cellStyle name="B_Left_p&amp;l wkgs 7 2" xfId="8111"/>
    <cellStyle name="B_Left_p&amp;l wkgs 8" xfId="8112"/>
    <cellStyle name="B_Left_p&amp;l wkgs 8 2" xfId="8113"/>
    <cellStyle name="B_Left_p&amp;l wkgs 9" xfId="8114"/>
    <cellStyle name="B_Left_p&amp;l wkgs 9 2" xfId="8115"/>
    <cellStyle name="B_Left_p&amp;l wkgs_PROD_DETAILS" xfId="8116"/>
    <cellStyle name="B_Left_p&amp;l wkgs_PROD_DETAILS 2" xfId="8117"/>
    <cellStyle name="B_Left_p&amp;l wkgs_SOLVENCY POSITION " xfId="8118"/>
    <cellStyle name="B_Left_p&amp;l wkgs_SOLVENCY POSITION  2" xfId="8119"/>
    <cellStyle name="B_Left_PROD_DETAILS" xfId="8120"/>
    <cellStyle name="B_Left_PROD_DETAILS 2" xfId="8121"/>
    <cellStyle name="B_Left_Prophet Roll" xfId="8122"/>
    <cellStyle name="B_Left_Prophet Roll 10" xfId="8123"/>
    <cellStyle name="B_Left_Prophet Roll 10 2" xfId="8124"/>
    <cellStyle name="B_Left_Prophet Roll 11" xfId="8125"/>
    <cellStyle name="B_Left_Prophet Roll 11 2" xfId="8126"/>
    <cellStyle name="B_Left_Prophet Roll 12" xfId="8127"/>
    <cellStyle name="B_Left_Prophet Roll 12 2" xfId="8128"/>
    <cellStyle name="B_Left_Prophet Roll 13" xfId="8129"/>
    <cellStyle name="B_Left_Prophet Roll 13 2" xfId="8130"/>
    <cellStyle name="B_Left_Prophet Roll 14" xfId="8131"/>
    <cellStyle name="B_Left_Prophet Roll 14 2" xfId="8132"/>
    <cellStyle name="B_Left_Prophet Roll 15" xfId="8133"/>
    <cellStyle name="B_Left_Prophet Roll 15 2" xfId="8134"/>
    <cellStyle name="B_Left_Prophet Roll 16" xfId="8135"/>
    <cellStyle name="B_Left_Prophet Roll 16 2" xfId="8136"/>
    <cellStyle name="B_Left_Prophet Roll 17" xfId="8137"/>
    <cellStyle name="B_Left_Prophet Roll 17 2" xfId="8138"/>
    <cellStyle name="B_Left_Prophet Roll 18" xfId="8139"/>
    <cellStyle name="B_Left_Prophet Roll 18 2" xfId="8140"/>
    <cellStyle name="B_Left_Prophet Roll 19" xfId="8141"/>
    <cellStyle name="B_Left_Prophet Roll 19 2" xfId="8142"/>
    <cellStyle name="B_Left_Prophet Roll 2" xfId="8143"/>
    <cellStyle name="B_Left_Prophet Roll 2 2" xfId="8144"/>
    <cellStyle name="B_Left_Prophet Roll 20" xfId="8145"/>
    <cellStyle name="B_Left_Prophet Roll 20 2" xfId="8146"/>
    <cellStyle name="B_Left_Prophet Roll 21" xfId="8147"/>
    <cellStyle name="B_Left_Prophet Roll 21 2" xfId="8148"/>
    <cellStyle name="B_Left_Prophet Roll 22" xfId="8149"/>
    <cellStyle name="B_Left_Prophet Roll 22 2" xfId="8150"/>
    <cellStyle name="B_Left_Prophet Roll 23" xfId="8151"/>
    <cellStyle name="B_Left_Prophet Roll 23 2" xfId="8152"/>
    <cellStyle name="B_Left_Prophet Roll 24" xfId="8153"/>
    <cellStyle name="B_Left_Prophet Roll 3" xfId="8154"/>
    <cellStyle name="B_Left_Prophet Roll 3 2" xfId="8155"/>
    <cellStyle name="B_Left_Prophet Roll 4" xfId="8156"/>
    <cellStyle name="B_Left_Prophet Roll 4 2" xfId="8157"/>
    <cellStyle name="B_Left_Prophet Roll 5" xfId="8158"/>
    <cellStyle name="B_Left_Prophet Roll 5 2" xfId="8159"/>
    <cellStyle name="B_Left_Prophet Roll 6" xfId="8160"/>
    <cellStyle name="B_Left_Prophet Roll 6 2" xfId="8161"/>
    <cellStyle name="B_Left_Prophet Roll 7" xfId="8162"/>
    <cellStyle name="B_Left_Prophet Roll 7 2" xfId="8163"/>
    <cellStyle name="B_Left_Prophet Roll 8" xfId="8164"/>
    <cellStyle name="B_Left_Prophet Roll 8 2" xfId="8165"/>
    <cellStyle name="B_Left_Prophet Roll 9" xfId="8166"/>
    <cellStyle name="B_Left_Prophet Roll 9 2" xfId="8167"/>
    <cellStyle name="B_Left_Prophet Roll_PROD_DETAILS" xfId="8168"/>
    <cellStyle name="B_Left_Prophet Roll_PROD_DETAILS 2" xfId="8169"/>
    <cellStyle name="B_Left_Prophet Roll_SOLVENCY POSITION " xfId="8170"/>
    <cellStyle name="B_Left_Prophet Roll_SOLVENCY POSITION  2" xfId="8171"/>
    <cellStyle name="B_Left_Prophet SalesProj Roll" xfId="8172"/>
    <cellStyle name="B_Left_Prophet SalesProj Roll 10" xfId="8173"/>
    <cellStyle name="B_Left_Prophet SalesProj Roll 10 2" xfId="8174"/>
    <cellStyle name="B_Left_Prophet SalesProj Roll 11" xfId="8175"/>
    <cellStyle name="B_Left_Prophet SalesProj Roll 11 2" xfId="8176"/>
    <cellStyle name="B_Left_Prophet SalesProj Roll 12" xfId="8177"/>
    <cellStyle name="B_Left_Prophet SalesProj Roll 12 2" xfId="8178"/>
    <cellStyle name="B_Left_Prophet SalesProj Roll 13" xfId="8179"/>
    <cellStyle name="B_Left_Prophet SalesProj Roll 13 2" xfId="8180"/>
    <cellStyle name="B_Left_Prophet SalesProj Roll 14" xfId="8181"/>
    <cellStyle name="B_Left_Prophet SalesProj Roll 14 2" xfId="8182"/>
    <cellStyle name="B_Left_Prophet SalesProj Roll 15" xfId="8183"/>
    <cellStyle name="B_Left_Prophet SalesProj Roll 15 2" xfId="8184"/>
    <cellStyle name="B_Left_Prophet SalesProj Roll 16" xfId="8185"/>
    <cellStyle name="B_Left_Prophet SalesProj Roll 16 2" xfId="8186"/>
    <cellStyle name="B_Left_Prophet SalesProj Roll 17" xfId="8187"/>
    <cellStyle name="B_Left_Prophet SalesProj Roll 17 2" xfId="8188"/>
    <cellStyle name="B_Left_Prophet SalesProj Roll 18" xfId="8189"/>
    <cellStyle name="B_Left_Prophet SalesProj Roll 18 2" xfId="8190"/>
    <cellStyle name="B_Left_Prophet SalesProj Roll 19" xfId="8191"/>
    <cellStyle name="B_Left_Prophet SalesProj Roll 19 2" xfId="8192"/>
    <cellStyle name="B_Left_Prophet SalesProj Roll 2" xfId="8193"/>
    <cellStyle name="B_Left_Prophet SalesProj Roll 2 2" xfId="8194"/>
    <cellStyle name="B_Left_Prophet SalesProj Roll 20" xfId="8195"/>
    <cellStyle name="B_Left_Prophet SalesProj Roll 20 2" xfId="8196"/>
    <cellStyle name="B_Left_Prophet SalesProj Roll 21" xfId="8197"/>
    <cellStyle name="B_Left_Prophet SalesProj Roll 21 2" xfId="8198"/>
    <cellStyle name="B_Left_Prophet SalesProj Roll 22" xfId="8199"/>
    <cellStyle name="B_Left_Prophet SalesProj Roll 22 2" xfId="8200"/>
    <cellStyle name="B_Left_Prophet SalesProj Roll 23" xfId="8201"/>
    <cellStyle name="B_Left_Prophet SalesProj Roll 23 2" xfId="8202"/>
    <cellStyle name="B_Left_Prophet SalesProj Roll 24" xfId="8203"/>
    <cellStyle name="B_Left_Prophet SalesProj Roll 3" xfId="8204"/>
    <cellStyle name="B_Left_Prophet SalesProj Roll 3 2" xfId="8205"/>
    <cellStyle name="B_Left_Prophet SalesProj Roll 4" xfId="8206"/>
    <cellStyle name="B_Left_Prophet SalesProj Roll 4 2" xfId="8207"/>
    <cellStyle name="B_Left_Prophet SalesProj Roll 5" xfId="8208"/>
    <cellStyle name="B_Left_Prophet SalesProj Roll 5 2" xfId="8209"/>
    <cellStyle name="B_Left_Prophet SalesProj Roll 6" xfId="8210"/>
    <cellStyle name="B_Left_Prophet SalesProj Roll 6 2" xfId="8211"/>
    <cellStyle name="B_Left_Prophet SalesProj Roll 7" xfId="8212"/>
    <cellStyle name="B_Left_Prophet SalesProj Roll 7 2" xfId="8213"/>
    <cellStyle name="B_Left_Prophet SalesProj Roll 8" xfId="8214"/>
    <cellStyle name="B_Left_Prophet SalesProj Roll 8 2" xfId="8215"/>
    <cellStyle name="B_Left_Prophet SalesProj Roll 9" xfId="8216"/>
    <cellStyle name="B_Left_Prophet SalesProj Roll 9 2" xfId="8217"/>
    <cellStyle name="B_Left_Prophet SalesProj Roll_PROD_DETAILS" xfId="8218"/>
    <cellStyle name="B_Left_Prophet SalesProj Roll_PROD_DETAILS 2" xfId="8219"/>
    <cellStyle name="B_Left_Prophet SalesProj Roll_SOLVENCY POSITION " xfId="8220"/>
    <cellStyle name="B_Left_Prophet SalesProj Roll_SOLVENCY POSITION  2" xfId="8221"/>
    <cellStyle name="B_Left_Prophet-EEV ReportingFinal301205-Apr06" xfId="8222"/>
    <cellStyle name="B_Left_Prophet-EEV ReportingFinal301205-Apr06 10" xfId="8223"/>
    <cellStyle name="B_Left_Prophet-EEV ReportingFinal301205-Apr06 10 2" xfId="8224"/>
    <cellStyle name="B_Left_Prophet-EEV ReportingFinal301205-Apr06 11" xfId="8225"/>
    <cellStyle name="B_Left_Prophet-EEV ReportingFinal301205-Apr06 11 2" xfId="8226"/>
    <cellStyle name="B_Left_Prophet-EEV ReportingFinal301205-Apr06 12" xfId="8227"/>
    <cellStyle name="B_Left_Prophet-EEV ReportingFinal301205-Apr06 12 2" xfId="8228"/>
    <cellStyle name="B_Left_Prophet-EEV ReportingFinal301205-Apr06 13" xfId="8229"/>
    <cellStyle name="B_Left_Prophet-EEV ReportingFinal301205-Apr06 13 2" xfId="8230"/>
    <cellStyle name="B_Left_Prophet-EEV ReportingFinal301205-Apr06 14" xfId="8231"/>
    <cellStyle name="B_Left_Prophet-EEV ReportingFinal301205-Apr06 14 2" xfId="8232"/>
    <cellStyle name="B_Left_Prophet-EEV ReportingFinal301205-Apr06 15" xfId="8233"/>
    <cellStyle name="B_Left_Prophet-EEV ReportingFinal301205-Apr06 15 2" xfId="8234"/>
    <cellStyle name="B_Left_Prophet-EEV ReportingFinal301205-Apr06 16" xfId="8235"/>
    <cellStyle name="B_Left_Prophet-EEV ReportingFinal301205-Apr06 16 2" xfId="8236"/>
    <cellStyle name="B_Left_Prophet-EEV ReportingFinal301205-Apr06 17" xfId="8237"/>
    <cellStyle name="B_Left_Prophet-EEV ReportingFinal301205-Apr06 17 2" xfId="8238"/>
    <cellStyle name="B_Left_Prophet-EEV ReportingFinal301205-Apr06 18" xfId="8239"/>
    <cellStyle name="B_Left_Prophet-EEV ReportingFinal301205-Apr06 18 2" xfId="8240"/>
    <cellStyle name="B_Left_Prophet-EEV ReportingFinal301205-Apr06 19" xfId="8241"/>
    <cellStyle name="B_Left_Prophet-EEV ReportingFinal301205-Apr06 19 2" xfId="8242"/>
    <cellStyle name="B_Left_Prophet-EEV ReportingFinal301205-Apr06 2" xfId="8243"/>
    <cellStyle name="B_Left_Prophet-EEV ReportingFinal301205-Apr06 2 2" xfId="8244"/>
    <cellStyle name="B_Left_Prophet-EEV ReportingFinal301205-Apr06 20" xfId="8245"/>
    <cellStyle name="B_Left_Prophet-EEV ReportingFinal301205-Apr06 20 2" xfId="8246"/>
    <cellStyle name="B_Left_Prophet-EEV ReportingFinal301205-Apr06 21" xfId="8247"/>
    <cellStyle name="B_Left_Prophet-EEV ReportingFinal301205-Apr06 21 2" xfId="8248"/>
    <cellStyle name="B_Left_Prophet-EEV ReportingFinal301205-Apr06 22" xfId="8249"/>
    <cellStyle name="B_Left_Prophet-EEV ReportingFinal301205-Apr06 22 2" xfId="8250"/>
    <cellStyle name="B_Left_Prophet-EEV ReportingFinal301205-Apr06 23" xfId="8251"/>
    <cellStyle name="B_Left_Prophet-EEV ReportingFinal301205-Apr06 23 2" xfId="8252"/>
    <cellStyle name="B_Left_Prophet-EEV ReportingFinal301205-Apr06 24" xfId="8253"/>
    <cellStyle name="B_Left_Prophet-EEV ReportingFinal301205-Apr06 3" xfId="8254"/>
    <cellStyle name="B_Left_Prophet-EEV ReportingFinal301205-Apr06 3 2" xfId="8255"/>
    <cellStyle name="B_Left_Prophet-EEV ReportingFinal301205-Apr06 4" xfId="8256"/>
    <cellStyle name="B_Left_Prophet-EEV ReportingFinal301205-Apr06 4 2" xfId="8257"/>
    <cellStyle name="B_Left_Prophet-EEV ReportingFinal301205-Apr06 5" xfId="8258"/>
    <cellStyle name="B_Left_Prophet-EEV ReportingFinal301205-Apr06 5 2" xfId="8259"/>
    <cellStyle name="B_Left_Prophet-EEV ReportingFinal301205-Apr06 6" xfId="8260"/>
    <cellStyle name="B_Left_Prophet-EEV ReportingFinal301205-Apr06 6 2" xfId="8261"/>
    <cellStyle name="B_Left_Prophet-EEV ReportingFinal301205-Apr06 7" xfId="8262"/>
    <cellStyle name="B_Left_Prophet-EEV ReportingFinal301205-Apr06 7 2" xfId="8263"/>
    <cellStyle name="B_Left_Prophet-EEV ReportingFinal301205-Apr06 8" xfId="8264"/>
    <cellStyle name="B_Left_Prophet-EEV ReportingFinal301205-Apr06 8 2" xfId="8265"/>
    <cellStyle name="B_Left_Prophet-EEV ReportingFinal301205-Apr06 9" xfId="8266"/>
    <cellStyle name="B_Left_Prophet-EEV ReportingFinal301205-Apr06 9 2" xfId="8267"/>
    <cellStyle name="B_Left_Prophet-EEV ReportingFinal301205-Apr06_HK.EEV-May06 4+2 kkh" xfId="8268"/>
    <cellStyle name="B_Left_Prophet-EEV ReportingFinal301205-Apr06_HK.EEV-May06 4+2 kkh 10" xfId="8269"/>
    <cellStyle name="B_Left_Prophet-EEV ReportingFinal301205-Apr06_HK.EEV-May06 4+2 kkh 10 2" xfId="8270"/>
    <cellStyle name="B_Left_Prophet-EEV ReportingFinal301205-Apr06_HK.EEV-May06 4+2 kkh 11" xfId="8271"/>
    <cellStyle name="B_Left_Prophet-EEV ReportingFinal301205-Apr06_HK.EEV-May06 4+2 kkh 11 2" xfId="8272"/>
    <cellStyle name="B_Left_Prophet-EEV ReportingFinal301205-Apr06_HK.EEV-May06 4+2 kkh 12" xfId="8273"/>
    <cellStyle name="B_Left_Prophet-EEV ReportingFinal301205-Apr06_HK.EEV-May06 4+2 kkh 12 2" xfId="8274"/>
    <cellStyle name="B_Left_Prophet-EEV ReportingFinal301205-Apr06_HK.EEV-May06 4+2 kkh 13" xfId="8275"/>
    <cellStyle name="B_Left_Prophet-EEV ReportingFinal301205-Apr06_HK.EEV-May06 4+2 kkh 13 2" xfId="8276"/>
    <cellStyle name="B_Left_Prophet-EEV ReportingFinal301205-Apr06_HK.EEV-May06 4+2 kkh 14" xfId="8277"/>
    <cellStyle name="B_Left_Prophet-EEV ReportingFinal301205-Apr06_HK.EEV-May06 4+2 kkh 14 2" xfId="8278"/>
    <cellStyle name="B_Left_Prophet-EEV ReportingFinal301205-Apr06_HK.EEV-May06 4+2 kkh 15" xfId="8279"/>
    <cellStyle name="B_Left_Prophet-EEV ReportingFinal301205-Apr06_HK.EEV-May06 4+2 kkh 15 2" xfId="8280"/>
    <cellStyle name="B_Left_Prophet-EEV ReportingFinal301205-Apr06_HK.EEV-May06 4+2 kkh 16" xfId="8281"/>
    <cellStyle name="B_Left_Prophet-EEV ReportingFinal301205-Apr06_HK.EEV-May06 4+2 kkh 16 2" xfId="8282"/>
    <cellStyle name="B_Left_Prophet-EEV ReportingFinal301205-Apr06_HK.EEV-May06 4+2 kkh 17" xfId="8283"/>
    <cellStyle name="B_Left_Prophet-EEV ReportingFinal301205-Apr06_HK.EEV-May06 4+2 kkh 17 2" xfId="8284"/>
    <cellStyle name="B_Left_Prophet-EEV ReportingFinal301205-Apr06_HK.EEV-May06 4+2 kkh 18" xfId="8285"/>
    <cellStyle name="B_Left_Prophet-EEV ReportingFinal301205-Apr06_HK.EEV-May06 4+2 kkh 18 2" xfId="8286"/>
    <cellStyle name="B_Left_Prophet-EEV ReportingFinal301205-Apr06_HK.EEV-May06 4+2 kkh 19" xfId="8287"/>
    <cellStyle name="B_Left_Prophet-EEV ReportingFinal301205-Apr06_HK.EEV-May06 4+2 kkh 19 2" xfId="8288"/>
    <cellStyle name="B_Left_Prophet-EEV ReportingFinal301205-Apr06_HK.EEV-May06 4+2 kkh 2" xfId="8289"/>
    <cellStyle name="B_Left_Prophet-EEV ReportingFinal301205-Apr06_HK.EEV-May06 4+2 kkh 2 2" xfId="8290"/>
    <cellStyle name="B_Left_Prophet-EEV ReportingFinal301205-Apr06_HK.EEV-May06 4+2 kkh 20" xfId="8291"/>
    <cellStyle name="B_Left_Prophet-EEV ReportingFinal301205-Apr06_HK.EEV-May06 4+2 kkh 20 2" xfId="8292"/>
    <cellStyle name="B_Left_Prophet-EEV ReportingFinal301205-Apr06_HK.EEV-May06 4+2 kkh 21" xfId="8293"/>
    <cellStyle name="B_Left_Prophet-EEV ReportingFinal301205-Apr06_HK.EEV-May06 4+2 kkh 21 2" xfId="8294"/>
    <cellStyle name="B_Left_Prophet-EEV ReportingFinal301205-Apr06_HK.EEV-May06 4+2 kkh 22" xfId="8295"/>
    <cellStyle name="B_Left_Prophet-EEV ReportingFinal301205-Apr06_HK.EEV-May06 4+2 kkh 22 2" xfId="8296"/>
    <cellStyle name="B_Left_Prophet-EEV ReportingFinal301205-Apr06_HK.EEV-May06 4+2 kkh 23" xfId="8297"/>
    <cellStyle name="B_Left_Prophet-EEV ReportingFinal301205-Apr06_HK.EEV-May06 4+2 kkh 23 2" xfId="8298"/>
    <cellStyle name="B_Left_Prophet-EEV ReportingFinal301205-Apr06_HK.EEV-May06 4+2 kkh 24" xfId="8299"/>
    <cellStyle name="B_Left_Prophet-EEV ReportingFinal301205-Apr06_HK.EEV-May06 4+2 kkh 3" xfId="8300"/>
    <cellStyle name="B_Left_Prophet-EEV ReportingFinal301205-Apr06_HK.EEV-May06 4+2 kkh 3 2" xfId="8301"/>
    <cellStyle name="B_Left_Prophet-EEV ReportingFinal301205-Apr06_HK.EEV-May06 4+2 kkh 4" xfId="8302"/>
    <cellStyle name="B_Left_Prophet-EEV ReportingFinal301205-Apr06_HK.EEV-May06 4+2 kkh 4 2" xfId="8303"/>
    <cellStyle name="B_Left_Prophet-EEV ReportingFinal301205-Apr06_HK.EEV-May06 4+2 kkh 5" xfId="8304"/>
    <cellStyle name="B_Left_Prophet-EEV ReportingFinal301205-Apr06_HK.EEV-May06 4+2 kkh 5 2" xfId="8305"/>
    <cellStyle name="B_Left_Prophet-EEV ReportingFinal301205-Apr06_HK.EEV-May06 4+2 kkh 6" xfId="8306"/>
    <cellStyle name="B_Left_Prophet-EEV ReportingFinal301205-Apr06_HK.EEV-May06 4+2 kkh 6 2" xfId="8307"/>
    <cellStyle name="B_Left_Prophet-EEV ReportingFinal301205-Apr06_HK.EEV-May06 4+2 kkh 7" xfId="8308"/>
    <cellStyle name="B_Left_Prophet-EEV ReportingFinal301205-Apr06_HK.EEV-May06 4+2 kkh 7 2" xfId="8309"/>
    <cellStyle name="B_Left_Prophet-EEV ReportingFinal301205-Apr06_HK.EEV-May06 4+2 kkh 8" xfId="8310"/>
    <cellStyle name="B_Left_Prophet-EEV ReportingFinal301205-Apr06_HK.EEV-May06 4+2 kkh 8 2" xfId="8311"/>
    <cellStyle name="B_Left_Prophet-EEV ReportingFinal301205-Apr06_HK.EEV-May06 4+2 kkh 9" xfId="8312"/>
    <cellStyle name="B_Left_Prophet-EEV ReportingFinal301205-Apr06_HK.EEV-May06 4+2 kkh 9 2" xfId="8313"/>
    <cellStyle name="B_Left_Prophet-EEV ReportingFinal301205-Apr06_HK.EEV-May06 4+2 kkh_PROD_DETAILS" xfId="8314"/>
    <cellStyle name="B_Left_Prophet-EEV ReportingFinal301205-Apr06_HK.EEV-May06 4+2 kkh_PROD_DETAILS 2" xfId="8315"/>
    <cellStyle name="B_Left_Prophet-EEV ReportingFinal301205-Apr06_HK.EEV-May06 4+2 kkh_SOLVENCY POSITION " xfId="8316"/>
    <cellStyle name="B_Left_Prophet-EEV ReportingFinal301205-Apr06_HK.EEV-May06 4+2 kkh_SOLVENCY POSITION  2" xfId="8317"/>
    <cellStyle name="B_Left_Prophet-EEV ReportingFinal301205-Apr06_PROD_DETAILS" xfId="8318"/>
    <cellStyle name="B_Left_Prophet-EEV ReportingFinal301205-Apr06_PROD_DETAILS 2" xfId="8319"/>
    <cellStyle name="B_Left_Prophet-EEV ReportingFinal301205-Apr06_SOLVENCY POSITION " xfId="8320"/>
    <cellStyle name="B_Left_Prophet-EEV ReportingFinal301205-Apr06_SOLVENCY POSITION  2" xfId="8321"/>
    <cellStyle name="B_Left_SG.EEV-Apr06" xfId="8322"/>
    <cellStyle name="B_Left_SG.EEV-Apr06 10" xfId="8323"/>
    <cellStyle name="B_Left_SG.EEV-Apr06 10 2" xfId="8324"/>
    <cellStyle name="B_Left_SG.EEV-Apr06 11" xfId="8325"/>
    <cellStyle name="B_Left_SG.EEV-Apr06 11 2" xfId="8326"/>
    <cellStyle name="B_Left_SG.EEV-Apr06 12" xfId="8327"/>
    <cellStyle name="B_Left_SG.EEV-Apr06 12 2" xfId="8328"/>
    <cellStyle name="B_Left_SG.EEV-Apr06 13" xfId="8329"/>
    <cellStyle name="B_Left_SG.EEV-Apr06 13 2" xfId="8330"/>
    <cellStyle name="B_Left_SG.EEV-Apr06 14" xfId="8331"/>
    <cellStyle name="B_Left_SG.EEV-Apr06 14 2" xfId="8332"/>
    <cellStyle name="B_Left_SG.EEV-Apr06 15" xfId="8333"/>
    <cellStyle name="B_Left_SG.EEV-Apr06 15 2" xfId="8334"/>
    <cellStyle name="B_Left_SG.EEV-Apr06 16" xfId="8335"/>
    <cellStyle name="B_Left_SG.EEV-Apr06 16 2" xfId="8336"/>
    <cellStyle name="B_Left_SG.EEV-Apr06 17" xfId="8337"/>
    <cellStyle name="B_Left_SG.EEV-Apr06 17 2" xfId="8338"/>
    <cellStyle name="B_Left_SG.EEV-Apr06 18" xfId="8339"/>
    <cellStyle name="B_Left_SG.EEV-Apr06 18 2" xfId="8340"/>
    <cellStyle name="B_Left_SG.EEV-Apr06 19" xfId="8341"/>
    <cellStyle name="B_Left_SG.EEV-Apr06 19 2" xfId="8342"/>
    <cellStyle name="B_Left_SG.EEV-Apr06 2" xfId="8343"/>
    <cellStyle name="B_Left_SG.EEV-Apr06 2 2" xfId="8344"/>
    <cellStyle name="B_Left_SG.EEV-Apr06 20" xfId="8345"/>
    <cellStyle name="B_Left_SG.EEV-Apr06 20 2" xfId="8346"/>
    <cellStyle name="B_Left_SG.EEV-Apr06 21" xfId="8347"/>
    <cellStyle name="B_Left_SG.EEV-Apr06 21 2" xfId="8348"/>
    <cellStyle name="B_Left_SG.EEV-Apr06 22" xfId="8349"/>
    <cellStyle name="B_Left_SG.EEV-Apr06 22 2" xfId="8350"/>
    <cellStyle name="B_Left_SG.EEV-Apr06 23" xfId="8351"/>
    <cellStyle name="B_Left_SG.EEV-Apr06 23 2" xfId="8352"/>
    <cellStyle name="B_Left_SG.EEV-Apr06 24" xfId="8353"/>
    <cellStyle name="B_Left_SG.EEV-Apr06 3" xfId="8354"/>
    <cellStyle name="B_Left_SG.EEV-Apr06 3 2" xfId="8355"/>
    <cellStyle name="B_Left_SG.EEV-Apr06 4" xfId="8356"/>
    <cellStyle name="B_Left_SG.EEV-Apr06 4 2" xfId="8357"/>
    <cellStyle name="B_Left_SG.EEV-Apr06 5" xfId="8358"/>
    <cellStyle name="B_Left_SG.EEV-Apr06 5 2" xfId="8359"/>
    <cellStyle name="B_Left_SG.EEV-Apr06 6" xfId="8360"/>
    <cellStyle name="B_Left_SG.EEV-Apr06 6 2" xfId="8361"/>
    <cellStyle name="B_Left_SG.EEV-Apr06 7" xfId="8362"/>
    <cellStyle name="B_Left_SG.EEV-Apr06 7 2" xfId="8363"/>
    <cellStyle name="B_Left_SG.EEV-Apr06 8" xfId="8364"/>
    <cellStyle name="B_Left_SG.EEV-Apr06 8 2" xfId="8365"/>
    <cellStyle name="B_Left_SG.EEV-Apr06 9" xfId="8366"/>
    <cellStyle name="B_Left_SG.EEV-Apr06 9 2" xfId="8367"/>
    <cellStyle name="B_Left_SG.EEV-Apr06_HK.EEV-May06 4+2 kkh" xfId="8368"/>
    <cellStyle name="B_Left_SG.EEV-Apr06_HK.EEV-May06 4+2 kkh 10" xfId="8369"/>
    <cellStyle name="B_Left_SG.EEV-Apr06_HK.EEV-May06 4+2 kkh 10 2" xfId="8370"/>
    <cellStyle name="B_Left_SG.EEV-Apr06_HK.EEV-May06 4+2 kkh 11" xfId="8371"/>
    <cellStyle name="B_Left_SG.EEV-Apr06_HK.EEV-May06 4+2 kkh 11 2" xfId="8372"/>
    <cellStyle name="B_Left_SG.EEV-Apr06_HK.EEV-May06 4+2 kkh 12" xfId="8373"/>
    <cellStyle name="B_Left_SG.EEV-Apr06_HK.EEV-May06 4+2 kkh 12 2" xfId="8374"/>
    <cellStyle name="B_Left_SG.EEV-Apr06_HK.EEV-May06 4+2 kkh 13" xfId="8375"/>
    <cellStyle name="B_Left_SG.EEV-Apr06_HK.EEV-May06 4+2 kkh 13 2" xfId="8376"/>
    <cellStyle name="B_Left_SG.EEV-Apr06_HK.EEV-May06 4+2 kkh 14" xfId="8377"/>
    <cellStyle name="B_Left_SG.EEV-Apr06_HK.EEV-May06 4+2 kkh 14 2" xfId="8378"/>
    <cellStyle name="B_Left_SG.EEV-Apr06_HK.EEV-May06 4+2 kkh 15" xfId="8379"/>
    <cellStyle name="B_Left_SG.EEV-Apr06_HK.EEV-May06 4+2 kkh 15 2" xfId="8380"/>
    <cellStyle name="B_Left_SG.EEV-Apr06_HK.EEV-May06 4+2 kkh 16" xfId="8381"/>
    <cellStyle name="B_Left_SG.EEV-Apr06_HK.EEV-May06 4+2 kkh 16 2" xfId="8382"/>
    <cellStyle name="B_Left_SG.EEV-Apr06_HK.EEV-May06 4+2 kkh 17" xfId="8383"/>
    <cellStyle name="B_Left_SG.EEV-Apr06_HK.EEV-May06 4+2 kkh 17 2" xfId="8384"/>
    <cellStyle name="B_Left_SG.EEV-Apr06_HK.EEV-May06 4+2 kkh 18" xfId="8385"/>
    <cellStyle name="B_Left_SG.EEV-Apr06_HK.EEV-May06 4+2 kkh 18 2" xfId="8386"/>
    <cellStyle name="B_Left_SG.EEV-Apr06_HK.EEV-May06 4+2 kkh 19" xfId="8387"/>
    <cellStyle name="B_Left_SG.EEV-Apr06_HK.EEV-May06 4+2 kkh 19 2" xfId="8388"/>
    <cellStyle name="B_Left_SG.EEV-Apr06_HK.EEV-May06 4+2 kkh 2" xfId="8389"/>
    <cellStyle name="B_Left_SG.EEV-Apr06_HK.EEV-May06 4+2 kkh 2 2" xfId="8390"/>
    <cellStyle name="B_Left_SG.EEV-Apr06_HK.EEV-May06 4+2 kkh 20" xfId="8391"/>
    <cellStyle name="B_Left_SG.EEV-Apr06_HK.EEV-May06 4+2 kkh 20 2" xfId="8392"/>
    <cellStyle name="B_Left_SG.EEV-Apr06_HK.EEV-May06 4+2 kkh 21" xfId="8393"/>
    <cellStyle name="B_Left_SG.EEV-Apr06_HK.EEV-May06 4+2 kkh 21 2" xfId="8394"/>
    <cellStyle name="B_Left_SG.EEV-Apr06_HK.EEV-May06 4+2 kkh 22" xfId="8395"/>
    <cellStyle name="B_Left_SG.EEV-Apr06_HK.EEV-May06 4+2 kkh 22 2" xfId="8396"/>
    <cellStyle name="B_Left_SG.EEV-Apr06_HK.EEV-May06 4+2 kkh 23" xfId="8397"/>
    <cellStyle name="B_Left_SG.EEV-Apr06_HK.EEV-May06 4+2 kkh 23 2" xfId="8398"/>
    <cellStyle name="B_Left_SG.EEV-Apr06_HK.EEV-May06 4+2 kkh 24" xfId="8399"/>
    <cellStyle name="B_Left_SG.EEV-Apr06_HK.EEV-May06 4+2 kkh 3" xfId="8400"/>
    <cellStyle name="B_Left_SG.EEV-Apr06_HK.EEV-May06 4+2 kkh 3 2" xfId="8401"/>
    <cellStyle name="B_Left_SG.EEV-Apr06_HK.EEV-May06 4+2 kkh 4" xfId="8402"/>
    <cellStyle name="B_Left_SG.EEV-Apr06_HK.EEV-May06 4+2 kkh 4 2" xfId="8403"/>
    <cellStyle name="B_Left_SG.EEV-Apr06_HK.EEV-May06 4+2 kkh 5" xfId="8404"/>
    <cellStyle name="B_Left_SG.EEV-Apr06_HK.EEV-May06 4+2 kkh 5 2" xfId="8405"/>
    <cellStyle name="B_Left_SG.EEV-Apr06_HK.EEV-May06 4+2 kkh 6" xfId="8406"/>
    <cellStyle name="B_Left_SG.EEV-Apr06_HK.EEV-May06 4+2 kkh 6 2" xfId="8407"/>
    <cellStyle name="B_Left_SG.EEV-Apr06_HK.EEV-May06 4+2 kkh 7" xfId="8408"/>
    <cellStyle name="B_Left_SG.EEV-Apr06_HK.EEV-May06 4+2 kkh 7 2" xfId="8409"/>
    <cellStyle name="B_Left_SG.EEV-Apr06_HK.EEV-May06 4+2 kkh 8" xfId="8410"/>
    <cellStyle name="B_Left_SG.EEV-Apr06_HK.EEV-May06 4+2 kkh 8 2" xfId="8411"/>
    <cellStyle name="B_Left_SG.EEV-Apr06_HK.EEV-May06 4+2 kkh 9" xfId="8412"/>
    <cellStyle name="B_Left_SG.EEV-Apr06_HK.EEV-May06 4+2 kkh 9 2" xfId="8413"/>
    <cellStyle name="B_Left_SG.EEV-Apr06_HK.EEV-May06 4+2 kkh_PROD_DETAILS" xfId="8414"/>
    <cellStyle name="B_Left_SG.EEV-Apr06_HK.EEV-May06 4+2 kkh_PROD_DETAILS 2" xfId="8415"/>
    <cellStyle name="B_Left_SG.EEV-Apr06_HK.EEV-May06 4+2 kkh_SOLVENCY POSITION " xfId="8416"/>
    <cellStyle name="B_Left_SG.EEV-Apr06_HK.EEV-May06 4+2 kkh_SOLVENCY POSITION  2" xfId="8417"/>
    <cellStyle name="B_Left_SG.EEV-Apr06_PROD_DETAILS" xfId="8418"/>
    <cellStyle name="B_Left_SG.EEV-Apr06_PROD_DETAILS 2" xfId="8419"/>
    <cellStyle name="B_Left_SG.EEV-Apr06_SOLVENCY POSITION " xfId="8420"/>
    <cellStyle name="B_Left_SG.EEV-Apr06_SOLVENCY POSITION  2" xfId="8421"/>
    <cellStyle name="B_Left_SG.EEV-June06 6+6" xfId="8422"/>
    <cellStyle name="B_Left_SG.EEV-June06 6+6 10" xfId="8423"/>
    <cellStyle name="B_Left_SG.EEV-June06 6+6 10 2" xfId="8424"/>
    <cellStyle name="B_Left_SG.EEV-June06 6+6 11" xfId="8425"/>
    <cellStyle name="B_Left_SG.EEV-June06 6+6 11 2" xfId="8426"/>
    <cellStyle name="B_Left_SG.EEV-June06 6+6 12" xfId="8427"/>
    <cellStyle name="B_Left_SG.EEV-June06 6+6 12 2" xfId="8428"/>
    <cellStyle name="B_Left_SG.EEV-June06 6+6 13" xfId="8429"/>
    <cellStyle name="B_Left_SG.EEV-June06 6+6 13 2" xfId="8430"/>
    <cellStyle name="B_Left_SG.EEV-June06 6+6 14" xfId="8431"/>
    <cellStyle name="B_Left_SG.EEV-June06 6+6 14 2" xfId="8432"/>
    <cellStyle name="B_Left_SG.EEV-June06 6+6 15" xfId="8433"/>
    <cellStyle name="B_Left_SG.EEV-June06 6+6 15 2" xfId="8434"/>
    <cellStyle name="B_Left_SG.EEV-June06 6+6 16" xfId="8435"/>
    <cellStyle name="B_Left_SG.EEV-June06 6+6 16 2" xfId="8436"/>
    <cellStyle name="B_Left_SG.EEV-June06 6+6 17" xfId="8437"/>
    <cellStyle name="B_Left_SG.EEV-June06 6+6 17 2" xfId="8438"/>
    <cellStyle name="B_Left_SG.EEV-June06 6+6 18" xfId="8439"/>
    <cellStyle name="B_Left_SG.EEV-June06 6+6 18 2" xfId="8440"/>
    <cellStyle name="B_Left_SG.EEV-June06 6+6 19" xfId="8441"/>
    <cellStyle name="B_Left_SG.EEV-June06 6+6 19 2" xfId="8442"/>
    <cellStyle name="B_Left_SG.EEV-June06 6+6 2" xfId="8443"/>
    <cellStyle name="B_Left_SG.EEV-June06 6+6 2 2" xfId="8444"/>
    <cellStyle name="B_Left_SG.EEV-June06 6+6 20" xfId="8445"/>
    <cellStyle name="B_Left_SG.EEV-June06 6+6 20 2" xfId="8446"/>
    <cellStyle name="B_Left_SG.EEV-June06 6+6 21" xfId="8447"/>
    <cellStyle name="B_Left_SG.EEV-June06 6+6 21 2" xfId="8448"/>
    <cellStyle name="B_Left_SG.EEV-June06 6+6 22" xfId="8449"/>
    <cellStyle name="B_Left_SG.EEV-June06 6+6 22 2" xfId="8450"/>
    <cellStyle name="B_Left_SG.EEV-June06 6+6 23" xfId="8451"/>
    <cellStyle name="B_Left_SG.EEV-June06 6+6 23 2" xfId="8452"/>
    <cellStyle name="B_Left_SG.EEV-June06 6+6 24" xfId="8453"/>
    <cellStyle name="B_Left_SG.EEV-June06 6+6 3" xfId="8454"/>
    <cellStyle name="B_Left_SG.EEV-June06 6+6 3 2" xfId="8455"/>
    <cellStyle name="B_Left_SG.EEV-June06 6+6 4" xfId="8456"/>
    <cellStyle name="B_Left_SG.EEV-June06 6+6 4 2" xfId="8457"/>
    <cellStyle name="B_Left_SG.EEV-June06 6+6 5" xfId="8458"/>
    <cellStyle name="B_Left_SG.EEV-June06 6+6 5 2" xfId="8459"/>
    <cellStyle name="B_Left_SG.EEV-June06 6+6 6" xfId="8460"/>
    <cellStyle name="B_Left_SG.EEV-June06 6+6 6 2" xfId="8461"/>
    <cellStyle name="B_Left_SG.EEV-June06 6+6 7" xfId="8462"/>
    <cellStyle name="B_Left_SG.EEV-June06 6+6 7 2" xfId="8463"/>
    <cellStyle name="B_Left_SG.EEV-June06 6+6 8" xfId="8464"/>
    <cellStyle name="B_Left_SG.EEV-June06 6+6 8 2" xfId="8465"/>
    <cellStyle name="B_Left_SG.EEV-June06 6+6 9" xfId="8466"/>
    <cellStyle name="B_Left_SG.EEV-June06 6+6 9 2" xfId="8467"/>
    <cellStyle name="B_Left_SG.EEV-June06 6+6_PROD_DETAILS" xfId="8468"/>
    <cellStyle name="B_Left_SG.EEV-June06 6+6_PROD_DETAILS 2" xfId="8469"/>
    <cellStyle name="B_Left_SG.EEV-June06 6+6_SOLVENCY POSITION " xfId="8470"/>
    <cellStyle name="B_Left_SG.EEV-June06 6+6_SOLVENCY POSITION  2" xfId="8471"/>
    <cellStyle name="B_Left_SG.EEV-May06 4+2" xfId="8472"/>
    <cellStyle name="B_Left_SG.EEV-May06 4+2 10" xfId="8473"/>
    <cellStyle name="B_Left_SG.EEV-May06 4+2 10 2" xfId="8474"/>
    <cellStyle name="B_Left_SG.EEV-May06 4+2 11" xfId="8475"/>
    <cellStyle name="B_Left_SG.EEV-May06 4+2 11 2" xfId="8476"/>
    <cellStyle name="B_Left_SG.EEV-May06 4+2 12" xfId="8477"/>
    <cellStyle name="B_Left_SG.EEV-May06 4+2 12 2" xfId="8478"/>
    <cellStyle name="B_Left_SG.EEV-May06 4+2 13" xfId="8479"/>
    <cellStyle name="B_Left_SG.EEV-May06 4+2 13 2" xfId="8480"/>
    <cellStyle name="B_Left_SG.EEV-May06 4+2 14" xfId="8481"/>
    <cellStyle name="B_Left_SG.EEV-May06 4+2 14 2" xfId="8482"/>
    <cellStyle name="B_Left_SG.EEV-May06 4+2 15" xfId="8483"/>
    <cellStyle name="B_Left_SG.EEV-May06 4+2 15 2" xfId="8484"/>
    <cellStyle name="B_Left_SG.EEV-May06 4+2 16" xfId="8485"/>
    <cellStyle name="B_Left_SG.EEV-May06 4+2 16 2" xfId="8486"/>
    <cellStyle name="B_Left_SG.EEV-May06 4+2 17" xfId="8487"/>
    <cellStyle name="B_Left_SG.EEV-May06 4+2 17 2" xfId="8488"/>
    <cellStyle name="B_Left_SG.EEV-May06 4+2 18" xfId="8489"/>
    <cellStyle name="B_Left_SG.EEV-May06 4+2 18 2" xfId="8490"/>
    <cellStyle name="B_Left_SG.EEV-May06 4+2 19" xfId="8491"/>
    <cellStyle name="B_Left_SG.EEV-May06 4+2 19 2" xfId="8492"/>
    <cellStyle name="B_Left_SG.EEV-May06 4+2 2" xfId="8493"/>
    <cellStyle name="B_Left_SG.EEV-May06 4+2 2 2" xfId="8494"/>
    <cellStyle name="B_Left_SG.EEV-May06 4+2 20" xfId="8495"/>
    <cellStyle name="B_Left_SG.EEV-May06 4+2 20 2" xfId="8496"/>
    <cellStyle name="B_Left_SG.EEV-May06 4+2 21" xfId="8497"/>
    <cellStyle name="B_Left_SG.EEV-May06 4+2 21 2" xfId="8498"/>
    <cellStyle name="B_Left_SG.EEV-May06 4+2 22" xfId="8499"/>
    <cellStyle name="B_Left_SG.EEV-May06 4+2 22 2" xfId="8500"/>
    <cellStyle name="B_Left_SG.EEV-May06 4+2 23" xfId="8501"/>
    <cellStyle name="B_Left_SG.EEV-May06 4+2 23 2" xfId="8502"/>
    <cellStyle name="B_Left_SG.EEV-May06 4+2 24" xfId="8503"/>
    <cellStyle name="B_Left_SG.EEV-May06 4+2 3" xfId="8504"/>
    <cellStyle name="B_Left_SG.EEV-May06 4+2 3 2" xfId="8505"/>
    <cellStyle name="B_Left_SG.EEV-May06 4+2 4" xfId="8506"/>
    <cellStyle name="B_Left_SG.EEV-May06 4+2 4 2" xfId="8507"/>
    <cellStyle name="B_Left_SG.EEV-May06 4+2 5" xfId="8508"/>
    <cellStyle name="B_Left_SG.EEV-May06 4+2 5 2" xfId="8509"/>
    <cellStyle name="B_Left_SG.EEV-May06 4+2 6" xfId="8510"/>
    <cellStyle name="B_Left_SG.EEV-May06 4+2 6 2" xfId="8511"/>
    <cellStyle name="B_Left_SG.EEV-May06 4+2 7" xfId="8512"/>
    <cellStyle name="B_Left_SG.EEV-May06 4+2 7 2" xfId="8513"/>
    <cellStyle name="B_Left_SG.EEV-May06 4+2 8" xfId="8514"/>
    <cellStyle name="B_Left_SG.EEV-May06 4+2 8 2" xfId="8515"/>
    <cellStyle name="B_Left_SG.EEV-May06 4+2 9" xfId="8516"/>
    <cellStyle name="B_Left_SG.EEV-May06 4+2 9 2" xfId="8517"/>
    <cellStyle name="B_Left_SG.EEV-May06 4+2_PROD_DETAILS" xfId="8518"/>
    <cellStyle name="B_Left_SG.EEV-May06 4+2_PROD_DETAILS 2" xfId="8519"/>
    <cellStyle name="B_Left_SG.EEV-May06 4+2_SOLVENCY POSITION " xfId="8520"/>
    <cellStyle name="B_Left_SG.EEV-May06 4+2_SOLVENCY POSITION  2" xfId="8521"/>
    <cellStyle name="B_Left_SOLVENCY POSITION " xfId="8522"/>
    <cellStyle name="B_Left_SOLVENCY POSITION  2" xfId="8523"/>
    <cellStyle name="B_Left_SUMM" xfId="8524"/>
    <cellStyle name="B_Left_SUMM 10" xfId="8525"/>
    <cellStyle name="B_Left_SUMM 10 2" xfId="8526"/>
    <cellStyle name="B_Left_SUMM 11" xfId="8527"/>
    <cellStyle name="B_Left_SUMM 11 2" xfId="8528"/>
    <cellStyle name="B_Left_SUMM 12" xfId="8529"/>
    <cellStyle name="B_Left_SUMM 12 2" xfId="8530"/>
    <cellStyle name="B_Left_SUMM 13" xfId="8531"/>
    <cellStyle name="B_Left_SUMM 13 2" xfId="8532"/>
    <cellStyle name="B_Left_SUMM 14" xfId="8533"/>
    <cellStyle name="B_Left_SUMM 14 2" xfId="8534"/>
    <cellStyle name="B_Left_SUMM 15" xfId="8535"/>
    <cellStyle name="B_Left_SUMM 15 2" xfId="8536"/>
    <cellStyle name="B_Left_SUMM 16" xfId="8537"/>
    <cellStyle name="B_Left_SUMM 16 2" xfId="8538"/>
    <cellStyle name="B_Left_SUMM 17" xfId="8539"/>
    <cellStyle name="B_Left_SUMM 17 2" xfId="8540"/>
    <cellStyle name="B_Left_SUMM 18" xfId="8541"/>
    <cellStyle name="B_Left_SUMM 18 2" xfId="8542"/>
    <cellStyle name="B_Left_SUMM 19" xfId="8543"/>
    <cellStyle name="B_Left_SUMM 19 2" xfId="8544"/>
    <cellStyle name="B_Left_SUMM 2" xfId="8545"/>
    <cellStyle name="B_Left_SUMM 2 2" xfId="8546"/>
    <cellStyle name="B_Left_SUMM 20" xfId="8547"/>
    <cellStyle name="B_Left_SUMM 20 2" xfId="8548"/>
    <cellStyle name="B_Left_SUMM 21" xfId="8549"/>
    <cellStyle name="B_Left_SUMM 21 2" xfId="8550"/>
    <cellStyle name="B_Left_SUMM 22" xfId="8551"/>
    <cellStyle name="B_Left_SUMM 22 2" xfId="8552"/>
    <cellStyle name="B_Left_SUMM 23" xfId="8553"/>
    <cellStyle name="B_Left_SUMM 23 2" xfId="8554"/>
    <cellStyle name="B_Left_SUMM 24" xfId="8555"/>
    <cellStyle name="B_Left_SUMM 3" xfId="8556"/>
    <cellStyle name="B_Left_SUMM 3 2" xfId="8557"/>
    <cellStyle name="B_Left_SUMM 4" xfId="8558"/>
    <cellStyle name="B_Left_SUMM 4 2" xfId="8559"/>
    <cellStyle name="B_Left_SUMM 5" xfId="8560"/>
    <cellStyle name="B_Left_SUMM 5 2" xfId="8561"/>
    <cellStyle name="B_Left_SUMM 6" xfId="8562"/>
    <cellStyle name="B_Left_SUMM 6 2" xfId="8563"/>
    <cellStyle name="B_Left_SUMM 7" xfId="8564"/>
    <cellStyle name="B_Left_SUMM 7 2" xfId="8565"/>
    <cellStyle name="B_Left_SUMM 8" xfId="8566"/>
    <cellStyle name="B_Left_SUMM 8 2" xfId="8567"/>
    <cellStyle name="B_Left_SUMM 9" xfId="8568"/>
    <cellStyle name="B_Left_SUMM 9 2" xfId="8569"/>
    <cellStyle name="B_Left_SUMM_PROD_DETAILS" xfId="8570"/>
    <cellStyle name="B_Left_SUMM_PROD_DETAILS 2" xfId="8571"/>
    <cellStyle name="B_Left_SUMM_SOLVENCY POSITION " xfId="8572"/>
    <cellStyle name="B_Left_SUMM_SOLVENCY POSITION  2" xfId="8573"/>
    <cellStyle name="B_Left_Template" xfId="8574"/>
    <cellStyle name="B_Left_Template 10" xfId="8575"/>
    <cellStyle name="B_Left_Template 10 2" xfId="8576"/>
    <cellStyle name="B_Left_Template 11" xfId="8577"/>
    <cellStyle name="B_Left_Template 11 2" xfId="8578"/>
    <cellStyle name="B_Left_Template 12" xfId="8579"/>
    <cellStyle name="B_Left_Template 12 2" xfId="8580"/>
    <cellStyle name="B_Left_Template 13" xfId="8581"/>
    <cellStyle name="B_Left_Template 13 2" xfId="8582"/>
    <cellStyle name="B_Left_Template 14" xfId="8583"/>
    <cellStyle name="B_Left_Template 14 2" xfId="8584"/>
    <cellStyle name="B_Left_Template 15" xfId="8585"/>
    <cellStyle name="B_Left_Template 15 2" xfId="8586"/>
    <cellStyle name="B_Left_Template 16" xfId="8587"/>
    <cellStyle name="B_Left_Template 16 2" xfId="8588"/>
    <cellStyle name="B_Left_Template 17" xfId="8589"/>
    <cellStyle name="B_Left_Template 17 2" xfId="8590"/>
    <cellStyle name="B_Left_Template 18" xfId="8591"/>
    <cellStyle name="B_Left_Template 18 2" xfId="8592"/>
    <cellStyle name="B_Left_Template 19" xfId="8593"/>
    <cellStyle name="B_Left_Template 19 2" xfId="8594"/>
    <cellStyle name="B_Left_Template 2" xfId="8595"/>
    <cellStyle name="B_Left_Template 2 2" xfId="8596"/>
    <cellStyle name="B_Left_Template 20" xfId="8597"/>
    <cellStyle name="B_Left_Template 20 2" xfId="8598"/>
    <cellStyle name="B_Left_Template 21" xfId="8599"/>
    <cellStyle name="B_Left_Template 21 2" xfId="8600"/>
    <cellStyle name="B_Left_Template 22" xfId="8601"/>
    <cellStyle name="B_Left_Template 22 2" xfId="8602"/>
    <cellStyle name="B_Left_Template 23" xfId="8603"/>
    <cellStyle name="B_Left_Template 23 2" xfId="8604"/>
    <cellStyle name="B_Left_Template 24" xfId="8605"/>
    <cellStyle name="B_Left_Template 3" xfId="8606"/>
    <cellStyle name="B_Left_Template 3 2" xfId="8607"/>
    <cellStyle name="B_Left_Template 4" xfId="8608"/>
    <cellStyle name="B_Left_Template 4 2" xfId="8609"/>
    <cellStyle name="B_Left_Template 5" xfId="8610"/>
    <cellStyle name="B_Left_Template 5 2" xfId="8611"/>
    <cellStyle name="B_Left_Template 6" xfId="8612"/>
    <cellStyle name="B_Left_Template 6 2" xfId="8613"/>
    <cellStyle name="B_Left_Template 7" xfId="8614"/>
    <cellStyle name="B_Left_Template 7 2" xfId="8615"/>
    <cellStyle name="B_Left_Template 8" xfId="8616"/>
    <cellStyle name="B_Left_Template 8 2" xfId="8617"/>
    <cellStyle name="B_Left_Template 9" xfId="8618"/>
    <cellStyle name="B_Left_Template 9 2" xfId="8619"/>
    <cellStyle name="B_Left_Template_PROD_DETAILS" xfId="8620"/>
    <cellStyle name="B_Left_Template_PROD_DETAILS 2" xfId="8621"/>
    <cellStyle name="B_Left_Template_SOLVENCY POSITION " xfId="8622"/>
    <cellStyle name="B_Left_Template_SOLVENCY POSITION  2" xfId="8623"/>
    <cellStyle name="B_Right" xfId="8624"/>
    <cellStyle name="B_Right 10" xfId="8625"/>
    <cellStyle name="B_Right 11" xfId="8626"/>
    <cellStyle name="B_Right 12" xfId="8627"/>
    <cellStyle name="B_Right 13" xfId="8628"/>
    <cellStyle name="B_Right 14" xfId="8629"/>
    <cellStyle name="B_Right 15" xfId="8630"/>
    <cellStyle name="B_Right 16" xfId="8631"/>
    <cellStyle name="B_Right 17" xfId="8632"/>
    <cellStyle name="B_Right 18" xfId="8633"/>
    <cellStyle name="B_Right 19" xfId="8634"/>
    <cellStyle name="B_Right 2" xfId="8635"/>
    <cellStyle name="B_Right 20" xfId="8636"/>
    <cellStyle name="B_Right 21" xfId="8637"/>
    <cellStyle name="B_Right 22" xfId="8638"/>
    <cellStyle name="B_Right 23" xfId="8639"/>
    <cellStyle name="B_Right 3" xfId="8640"/>
    <cellStyle name="B_Right 4" xfId="8641"/>
    <cellStyle name="B_Right 5" xfId="8642"/>
    <cellStyle name="B_Right 6" xfId="8643"/>
    <cellStyle name="B_Right 7" xfId="8644"/>
    <cellStyle name="B_Right 8" xfId="8645"/>
    <cellStyle name="B_Right 9" xfId="8646"/>
    <cellStyle name="B_Right_ASSUMP" xfId="8647"/>
    <cellStyle name="B_Right_ASSUMP 10" xfId="8648"/>
    <cellStyle name="B_Right_ASSUMP 11" xfId="8649"/>
    <cellStyle name="B_Right_ASSUMP 12" xfId="8650"/>
    <cellStyle name="B_Right_ASSUMP 13" xfId="8651"/>
    <cellStyle name="B_Right_ASSUMP 14" xfId="8652"/>
    <cellStyle name="B_Right_ASSUMP 15" xfId="8653"/>
    <cellStyle name="B_Right_ASSUMP 16" xfId="8654"/>
    <cellStyle name="B_Right_ASSUMP 17" xfId="8655"/>
    <cellStyle name="B_Right_ASSUMP 18" xfId="8656"/>
    <cellStyle name="B_Right_ASSUMP 19" xfId="8657"/>
    <cellStyle name="B_Right_ASSUMP 2" xfId="8658"/>
    <cellStyle name="B_Right_ASSUMP 20" xfId="8659"/>
    <cellStyle name="B_Right_ASSUMP 21" xfId="8660"/>
    <cellStyle name="B_Right_ASSUMP 22" xfId="8661"/>
    <cellStyle name="B_Right_ASSUMP 23" xfId="8662"/>
    <cellStyle name="B_Right_ASSUMP 3" xfId="8663"/>
    <cellStyle name="B_Right_ASSUMP 4" xfId="8664"/>
    <cellStyle name="B_Right_ASSUMP 5" xfId="8665"/>
    <cellStyle name="B_Right_ASSUMP 6" xfId="8666"/>
    <cellStyle name="B_Right_ASSUMP 7" xfId="8667"/>
    <cellStyle name="B_Right_ASSUMP 8" xfId="8668"/>
    <cellStyle name="B_Right_ASSUMP 9" xfId="8669"/>
    <cellStyle name="B_Right_ASSUMP_PROD_DETAILS" xfId="8670"/>
    <cellStyle name="B_Right_ASSUMP_SOLVENCY POSITION " xfId="8671"/>
    <cellStyle name="B_Right_Checks" xfId="8672"/>
    <cellStyle name="B_Right_Checks 10" xfId="8673"/>
    <cellStyle name="B_Right_Checks 11" xfId="8674"/>
    <cellStyle name="B_Right_Checks 12" xfId="8675"/>
    <cellStyle name="B_Right_Checks 13" xfId="8676"/>
    <cellStyle name="B_Right_Checks 14" xfId="8677"/>
    <cellStyle name="B_Right_Checks 15" xfId="8678"/>
    <cellStyle name="B_Right_Checks 16" xfId="8679"/>
    <cellStyle name="B_Right_Checks 17" xfId="8680"/>
    <cellStyle name="B_Right_Checks 18" xfId="8681"/>
    <cellStyle name="B_Right_Checks 19" xfId="8682"/>
    <cellStyle name="B_Right_Checks 2" xfId="8683"/>
    <cellStyle name="B_Right_Checks 20" xfId="8684"/>
    <cellStyle name="B_Right_Checks 21" xfId="8685"/>
    <cellStyle name="B_Right_Checks 22" xfId="8686"/>
    <cellStyle name="B_Right_Checks 23" xfId="8687"/>
    <cellStyle name="B_Right_Checks 3" xfId="8688"/>
    <cellStyle name="B_Right_Checks 4" xfId="8689"/>
    <cellStyle name="B_Right_Checks 5" xfId="8690"/>
    <cellStyle name="B_Right_Checks 6" xfId="8691"/>
    <cellStyle name="B_Right_Checks 7" xfId="8692"/>
    <cellStyle name="B_Right_Checks 8" xfId="8693"/>
    <cellStyle name="B_Right_Checks 9" xfId="8694"/>
    <cellStyle name="B_Right_Checks_PROD_DETAILS" xfId="8695"/>
    <cellStyle name="B_Right_Checks_SOLVENCY POSITION " xfId="8696"/>
    <cellStyle name="B_Right_Group Life" xfId="8697"/>
    <cellStyle name="B_Right_Group Life 10" xfId="8698"/>
    <cellStyle name="B_Right_Group Life 11" xfId="8699"/>
    <cellStyle name="B_Right_Group Life 12" xfId="8700"/>
    <cellStyle name="B_Right_Group Life 13" xfId="8701"/>
    <cellStyle name="B_Right_Group Life 14" xfId="8702"/>
    <cellStyle name="B_Right_Group Life 15" xfId="8703"/>
    <cellStyle name="B_Right_Group Life 16" xfId="8704"/>
    <cellStyle name="B_Right_Group Life 17" xfId="8705"/>
    <cellStyle name="B_Right_Group Life 18" xfId="8706"/>
    <cellStyle name="B_Right_Group Life 19" xfId="8707"/>
    <cellStyle name="B_Right_Group Life 2" xfId="8708"/>
    <cellStyle name="B_Right_Group Life 20" xfId="8709"/>
    <cellStyle name="B_Right_Group Life 21" xfId="8710"/>
    <cellStyle name="B_Right_Group Life 22" xfId="8711"/>
    <cellStyle name="B_Right_Group Life 23" xfId="8712"/>
    <cellStyle name="B_Right_Group Life 3" xfId="8713"/>
    <cellStyle name="B_Right_Group Life 4" xfId="8714"/>
    <cellStyle name="B_Right_Group Life 5" xfId="8715"/>
    <cellStyle name="B_Right_Group Life 6" xfId="8716"/>
    <cellStyle name="B_Right_Group Life 7" xfId="8717"/>
    <cellStyle name="B_Right_Group Life 8" xfId="8718"/>
    <cellStyle name="B_Right_Group Life 9" xfId="8719"/>
    <cellStyle name="B_Right_Group Life_PROD_DETAILS" xfId="8720"/>
    <cellStyle name="B_Right_Group Life_SOLVENCY POSITION " xfId="8721"/>
    <cellStyle name="B_Right_HK P &amp; L (To Finance to compute tax)" xfId="8722"/>
    <cellStyle name="B_Right_HK P &amp; L (To Finance to compute tax) 10" xfId="8723"/>
    <cellStyle name="B_Right_HK P &amp; L (To Finance to compute tax) 11" xfId="8724"/>
    <cellStyle name="B_Right_HK P &amp; L (To Finance to compute tax) 12" xfId="8725"/>
    <cellStyle name="B_Right_HK P &amp; L (To Finance to compute tax) 13" xfId="8726"/>
    <cellStyle name="B_Right_HK P &amp; L (To Finance to compute tax) 14" xfId="8727"/>
    <cellStyle name="B_Right_HK P &amp; L (To Finance to compute tax) 15" xfId="8728"/>
    <cellStyle name="B_Right_HK P &amp; L (To Finance to compute tax) 16" xfId="8729"/>
    <cellStyle name="B_Right_HK P &amp; L (To Finance to compute tax) 17" xfId="8730"/>
    <cellStyle name="B_Right_HK P &amp; L (To Finance to compute tax) 18" xfId="8731"/>
    <cellStyle name="B_Right_HK P &amp; L (To Finance to compute tax) 19" xfId="8732"/>
    <cellStyle name="B_Right_HK P &amp; L (To Finance to compute tax) 2" xfId="8733"/>
    <cellStyle name="B_Right_HK P &amp; L (To Finance to compute tax) 20" xfId="8734"/>
    <cellStyle name="B_Right_HK P &amp; L (To Finance to compute tax) 21" xfId="8735"/>
    <cellStyle name="B_Right_HK P &amp; L (To Finance to compute tax) 22" xfId="8736"/>
    <cellStyle name="B_Right_HK P &amp; L (To Finance to compute tax) 23" xfId="8737"/>
    <cellStyle name="B_Right_HK P &amp; L (To Finance to compute tax) 3" xfId="8738"/>
    <cellStyle name="B_Right_HK P &amp; L (To Finance to compute tax) 4" xfId="8739"/>
    <cellStyle name="B_Right_HK P &amp; L (To Finance to compute tax) 5" xfId="8740"/>
    <cellStyle name="B_Right_HK P &amp; L (To Finance to compute tax) 6" xfId="8741"/>
    <cellStyle name="B_Right_HK P &amp; L (To Finance to compute tax) 7" xfId="8742"/>
    <cellStyle name="B_Right_HK P &amp; L (To Finance to compute tax) 8" xfId="8743"/>
    <cellStyle name="B_Right_HK P &amp; L (To Finance to compute tax) 9" xfId="8744"/>
    <cellStyle name="B_Right_HK P &amp; L (To Finance to compute tax)_PROD_DETAILS" xfId="8745"/>
    <cellStyle name="B_Right_HK P &amp; L (To Finance to compute tax)_SOLVENCY POSITION " xfId="8746"/>
    <cellStyle name="B_Right_HK.EEV-Apr06v2" xfId="8747"/>
    <cellStyle name="B_Right_HK.EEV-Apr06v2 10" xfId="8748"/>
    <cellStyle name="B_Right_HK.EEV-Apr06v2 11" xfId="8749"/>
    <cellStyle name="B_Right_HK.EEV-Apr06v2 12" xfId="8750"/>
    <cellStyle name="B_Right_HK.EEV-Apr06v2 13" xfId="8751"/>
    <cellStyle name="B_Right_HK.EEV-Apr06v2 14" xfId="8752"/>
    <cellStyle name="B_Right_HK.EEV-Apr06v2 15" xfId="8753"/>
    <cellStyle name="B_Right_HK.EEV-Apr06v2 16" xfId="8754"/>
    <cellStyle name="B_Right_HK.EEV-Apr06v2 17" xfId="8755"/>
    <cellStyle name="B_Right_HK.EEV-Apr06v2 18" xfId="8756"/>
    <cellStyle name="B_Right_HK.EEV-Apr06v2 19" xfId="8757"/>
    <cellStyle name="B_Right_HK.EEV-Apr06v2 2" xfId="8758"/>
    <cellStyle name="B_Right_HK.EEV-Apr06v2 20" xfId="8759"/>
    <cellStyle name="B_Right_HK.EEV-Apr06v2 21" xfId="8760"/>
    <cellStyle name="B_Right_HK.EEV-Apr06v2 22" xfId="8761"/>
    <cellStyle name="B_Right_HK.EEV-Apr06v2 23" xfId="8762"/>
    <cellStyle name="B_Right_HK.EEV-Apr06v2 3" xfId="8763"/>
    <cellStyle name="B_Right_HK.EEV-Apr06v2 4" xfId="8764"/>
    <cellStyle name="B_Right_HK.EEV-Apr06v2 5" xfId="8765"/>
    <cellStyle name="B_Right_HK.EEV-Apr06v2 6" xfId="8766"/>
    <cellStyle name="B_Right_HK.EEV-Apr06v2 7" xfId="8767"/>
    <cellStyle name="B_Right_HK.EEV-Apr06v2 8" xfId="8768"/>
    <cellStyle name="B_Right_HK.EEV-Apr06v2 9" xfId="8769"/>
    <cellStyle name="B_Right_HK.EEV-Apr06v2_HK.EEV-May06 4+2 kkh" xfId="8770"/>
    <cellStyle name="B_Right_HK.EEV-Apr06v2_HK.EEV-May06 4+2 kkh 10" xfId="8771"/>
    <cellStyle name="B_Right_HK.EEV-Apr06v2_HK.EEV-May06 4+2 kkh 11" xfId="8772"/>
    <cellStyle name="B_Right_HK.EEV-Apr06v2_HK.EEV-May06 4+2 kkh 12" xfId="8773"/>
    <cellStyle name="B_Right_HK.EEV-Apr06v2_HK.EEV-May06 4+2 kkh 13" xfId="8774"/>
    <cellStyle name="B_Right_HK.EEV-Apr06v2_HK.EEV-May06 4+2 kkh 14" xfId="8775"/>
    <cellStyle name="B_Right_HK.EEV-Apr06v2_HK.EEV-May06 4+2 kkh 15" xfId="8776"/>
    <cellStyle name="B_Right_HK.EEV-Apr06v2_HK.EEV-May06 4+2 kkh 16" xfId="8777"/>
    <cellStyle name="B_Right_HK.EEV-Apr06v2_HK.EEV-May06 4+2 kkh 17" xfId="8778"/>
    <cellStyle name="B_Right_HK.EEV-Apr06v2_HK.EEV-May06 4+2 kkh 18" xfId="8779"/>
    <cellStyle name="B_Right_HK.EEV-Apr06v2_HK.EEV-May06 4+2 kkh 19" xfId="8780"/>
    <cellStyle name="B_Right_HK.EEV-Apr06v2_HK.EEV-May06 4+2 kkh 2" xfId="8781"/>
    <cellStyle name="B_Right_HK.EEV-Apr06v2_HK.EEV-May06 4+2 kkh 20" xfId="8782"/>
    <cellStyle name="B_Right_HK.EEV-Apr06v2_HK.EEV-May06 4+2 kkh 21" xfId="8783"/>
    <cellStyle name="B_Right_HK.EEV-Apr06v2_HK.EEV-May06 4+2 kkh 22" xfId="8784"/>
    <cellStyle name="B_Right_HK.EEV-Apr06v2_HK.EEV-May06 4+2 kkh 23" xfId="8785"/>
    <cellStyle name="B_Right_HK.EEV-Apr06v2_HK.EEV-May06 4+2 kkh 3" xfId="8786"/>
    <cellStyle name="B_Right_HK.EEV-Apr06v2_HK.EEV-May06 4+2 kkh 4" xfId="8787"/>
    <cellStyle name="B_Right_HK.EEV-Apr06v2_HK.EEV-May06 4+2 kkh 5" xfId="8788"/>
    <cellStyle name="B_Right_HK.EEV-Apr06v2_HK.EEV-May06 4+2 kkh 6" xfId="8789"/>
    <cellStyle name="B_Right_HK.EEV-Apr06v2_HK.EEV-May06 4+2 kkh 7" xfId="8790"/>
    <cellStyle name="B_Right_HK.EEV-Apr06v2_HK.EEV-May06 4+2 kkh 8" xfId="8791"/>
    <cellStyle name="B_Right_HK.EEV-Apr06v2_HK.EEV-May06 4+2 kkh 9" xfId="8792"/>
    <cellStyle name="B_Right_HK.EEV-Apr06v2_HK.EEV-May06 4+2 kkh_PROD_DETAILS" xfId="8793"/>
    <cellStyle name="B_Right_HK.EEV-Apr06v2_HK.EEV-May06 4+2 kkh_SOLVENCY POSITION " xfId="8794"/>
    <cellStyle name="B_Right_HK.EEV-Apr06v2_PROD_DETAILS" xfId="8795"/>
    <cellStyle name="B_Right_HK.EEV-Apr06v2_SOLVENCY POSITION " xfId="8796"/>
    <cellStyle name="B_Right_HK.EEV-Jun06 07-09 2006 (QF3)" xfId="8797"/>
    <cellStyle name="B_Right_HK.EEV-Jun06 07-09 2006 (QF3) 10" xfId="8798"/>
    <cellStyle name="B_Right_HK.EEV-Jun06 07-09 2006 (QF3) 11" xfId="8799"/>
    <cellStyle name="B_Right_HK.EEV-Jun06 07-09 2006 (QF3) 12" xfId="8800"/>
    <cellStyle name="B_Right_HK.EEV-Jun06 07-09 2006 (QF3) 13" xfId="8801"/>
    <cellStyle name="B_Right_HK.EEV-Jun06 07-09 2006 (QF3) 14" xfId="8802"/>
    <cellStyle name="B_Right_HK.EEV-Jun06 07-09 2006 (QF3) 15" xfId="8803"/>
    <cellStyle name="B_Right_HK.EEV-Jun06 07-09 2006 (QF3) 16" xfId="8804"/>
    <cellStyle name="B_Right_HK.EEV-Jun06 07-09 2006 (QF3) 17" xfId="8805"/>
    <cellStyle name="B_Right_HK.EEV-Jun06 07-09 2006 (QF3) 18" xfId="8806"/>
    <cellStyle name="B_Right_HK.EEV-Jun06 07-09 2006 (QF3) 19" xfId="8807"/>
    <cellStyle name="B_Right_HK.EEV-Jun06 07-09 2006 (QF3) 2" xfId="8808"/>
    <cellStyle name="B_Right_HK.EEV-Jun06 07-09 2006 (QF3) 20" xfId="8809"/>
    <cellStyle name="B_Right_HK.EEV-Jun06 07-09 2006 (QF3) 21" xfId="8810"/>
    <cellStyle name="B_Right_HK.EEV-Jun06 07-09 2006 (QF3) 22" xfId="8811"/>
    <cellStyle name="B_Right_HK.EEV-Jun06 07-09 2006 (QF3) 23" xfId="8812"/>
    <cellStyle name="B_Right_HK.EEV-Jun06 07-09 2006 (QF3) 3" xfId="8813"/>
    <cellStyle name="B_Right_HK.EEV-Jun06 07-09 2006 (QF3) 4" xfId="8814"/>
    <cellStyle name="B_Right_HK.EEV-Jun06 07-09 2006 (QF3) 5" xfId="8815"/>
    <cellStyle name="B_Right_HK.EEV-Jun06 07-09 2006 (QF3) 6" xfId="8816"/>
    <cellStyle name="B_Right_HK.EEV-Jun06 07-09 2006 (QF3) 7" xfId="8817"/>
    <cellStyle name="B_Right_HK.EEV-Jun06 07-09 2006 (QF3) 8" xfId="8818"/>
    <cellStyle name="B_Right_HK.EEV-Jun06 07-09 2006 (QF3) 9" xfId="8819"/>
    <cellStyle name="B_Right_HK.EEV-Jun06 07-09 2006 (QF3)_PROD_DETAILS" xfId="8820"/>
    <cellStyle name="B_Right_HK.EEV-Jun06 07-09 2006 (QF3)_SOLVENCY POSITION " xfId="8821"/>
    <cellStyle name="B_Right_HK.EEV-May06 4+2" xfId="8822"/>
    <cellStyle name="B_Right_HK.EEV-May06 4+2 10" xfId="8823"/>
    <cellStyle name="B_Right_HK.EEV-May06 4+2 11" xfId="8824"/>
    <cellStyle name="B_Right_HK.EEV-May06 4+2 12" xfId="8825"/>
    <cellStyle name="B_Right_HK.EEV-May06 4+2 13" xfId="8826"/>
    <cellStyle name="B_Right_HK.EEV-May06 4+2 14" xfId="8827"/>
    <cellStyle name="B_Right_HK.EEV-May06 4+2 15" xfId="8828"/>
    <cellStyle name="B_Right_HK.EEV-May06 4+2 16" xfId="8829"/>
    <cellStyle name="B_Right_HK.EEV-May06 4+2 17" xfId="8830"/>
    <cellStyle name="B_Right_HK.EEV-May06 4+2 18" xfId="8831"/>
    <cellStyle name="B_Right_HK.EEV-May06 4+2 19" xfId="8832"/>
    <cellStyle name="B_Right_HK.EEV-May06 4+2 2" xfId="8833"/>
    <cellStyle name="B_Right_HK.EEV-May06 4+2 20" xfId="8834"/>
    <cellStyle name="B_Right_HK.EEV-May06 4+2 21" xfId="8835"/>
    <cellStyle name="B_Right_HK.EEV-May06 4+2 22" xfId="8836"/>
    <cellStyle name="B_Right_HK.EEV-May06 4+2 23" xfId="8837"/>
    <cellStyle name="B_Right_HK.EEV-May06 4+2 3" xfId="8838"/>
    <cellStyle name="B_Right_HK.EEV-May06 4+2 4" xfId="8839"/>
    <cellStyle name="B_Right_HK.EEV-May06 4+2 5" xfId="8840"/>
    <cellStyle name="B_Right_HK.EEV-May06 4+2 6" xfId="8841"/>
    <cellStyle name="B_Right_HK.EEV-May06 4+2 7" xfId="8842"/>
    <cellStyle name="B_Right_HK.EEV-May06 4+2 8" xfId="8843"/>
    <cellStyle name="B_Right_HK.EEV-May06 4+2 9" xfId="8844"/>
    <cellStyle name="B_Right_HK.EEV-May06 4+2_HK.EEV-May06 4+2 kkh" xfId="8845"/>
    <cellStyle name="B_Right_HK.EEV-May06 4+2_HK.EEV-May06 4+2 kkh 10" xfId="8846"/>
    <cellStyle name="B_Right_HK.EEV-May06 4+2_HK.EEV-May06 4+2 kkh 11" xfId="8847"/>
    <cellStyle name="B_Right_HK.EEV-May06 4+2_HK.EEV-May06 4+2 kkh 12" xfId="8848"/>
    <cellStyle name="B_Right_HK.EEV-May06 4+2_HK.EEV-May06 4+2 kkh 13" xfId="8849"/>
    <cellStyle name="B_Right_HK.EEV-May06 4+2_HK.EEV-May06 4+2 kkh 14" xfId="8850"/>
    <cellStyle name="B_Right_HK.EEV-May06 4+2_HK.EEV-May06 4+2 kkh 15" xfId="8851"/>
    <cellStyle name="B_Right_HK.EEV-May06 4+2_HK.EEV-May06 4+2 kkh 16" xfId="8852"/>
    <cellStyle name="B_Right_HK.EEV-May06 4+2_HK.EEV-May06 4+2 kkh 17" xfId="8853"/>
    <cellStyle name="B_Right_HK.EEV-May06 4+2_HK.EEV-May06 4+2 kkh 18" xfId="8854"/>
    <cellStyle name="B_Right_HK.EEV-May06 4+2_HK.EEV-May06 4+2 kkh 19" xfId="8855"/>
    <cellStyle name="B_Right_HK.EEV-May06 4+2_HK.EEV-May06 4+2 kkh 2" xfId="8856"/>
    <cellStyle name="B_Right_HK.EEV-May06 4+2_HK.EEV-May06 4+2 kkh 20" xfId="8857"/>
    <cellStyle name="B_Right_HK.EEV-May06 4+2_HK.EEV-May06 4+2 kkh 21" xfId="8858"/>
    <cellStyle name="B_Right_HK.EEV-May06 4+2_HK.EEV-May06 4+2 kkh 22" xfId="8859"/>
    <cellStyle name="B_Right_HK.EEV-May06 4+2_HK.EEV-May06 4+2 kkh 23" xfId="8860"/>
    <cellStyle name="B_Right_HK.EEV-May06 4+2_HK.EEV-May06 4+2 kkh 3" xfId="8861"/>
    <cellStyle name="B_Right_HK.EEV-May06 4+2_HK.EEV-May06 4+2 kkh 4" xfId="8862"/>
    <cellStyle name="B_Right_HK.EEV-May06 4+2_HK.EEV-May06 4+2 kkh 5" xfId="8863"/>
    <cellStyle name="B_Right_HK.EEV-May06 4+2_HK.EEV-May06 4+2 kkh 6" xfId="8864"/>
    <cellStyle name="B_Right_HK.EEV-May06 4+2_HK.EEV-May06 4+2 kkh 7" xfId="8865"/>
    <cellStyle name="B_Right_HK.EEV-May06 4+2_HK.EEV-May06 4+2 kkh 8" xfId="8866"/>
    <cellStyle name="B_Right_HK.EEV-May06 4+2_HK.EEV-May06 4+2 kkh 9" xfId="8867"/>
    <cellStyle name="B_Right_HK.EEV-May06 4+2_HK.EEV-May06 4+2 kkh_PROD_DETAILS" xfId="8868"/>
    <cellStyle name="B_Right_HK.EEV-May06 4+2_HK.EEV-May06 4+2 kkh_SOLVENCY POSITION " xfId="8869"/>
    <cellStyle name="B_Right_HK.EEV-May06 4+2_PROD_DETAILS" xfId="8870"/>
    <cellStyle name="B_Right_HK.EEV-May06 4+2_SOLVENCY POSITION " xfId="8871"/>
    <cellStyle name="B_Right_HK.NBC@Mar2006" xfId="8872"/>
    <cellStyle name="B_Right_HK.NBC@Mar2006 10" xfId="8873"/>
    <cellStyle name="B_Right_HK.NBC@Mar2006 11" xfId="8874"/>
    <cellStyle name="B_Right_HK.NBC@Mar2006 12" xfId="8875"/>
    <cellStyle name="B_Right_HK.NBC@Mar2006 13" xfId="8876"/>
    <cellStyle name="B_Right_HK.NBC@Mar2006 14" xfId="8877"/>
    <cellStyle name="B_Right_HK.NBC@Mar2006 15" xfId="8878"/>
    <cellStyle name="B_Right_HK.NBC@Mar2006 16" xfId="8879"/>
    <cellStyle name="B_Right_HK.NBC@Mar2006 17" xfId="8880"/>
    <cellStyle name="B_Right_HK.NBC@Mar2006 18" xfId="8881"/>
    <cellStyle name="B_Right_HK.NBC@Mar2006 19" xfId="8882"/>
    <cellStyle name="B_Right_HK.NBC@Mar2006 2" xfId="8883"/>
    <cellStyle name="B_Right_HK.NBC@Mar2006 20" xfId="8884"/>
    <cellStyle name="B_Right_HK.NBC@Mar2006 21" xfId="8885"/>
    <cellStyle name="B_Right_HK.NBC@Mar2006 22" xfId="8886"/>
    <cellStyle name="B_Right_HK.NBC@Mar2006 23" xfId="8887"/>
    <cellStyle name="B_Right_HK.NBC@Mar2006 3" xfId="8888"/>
    <cellStyle name="B_Right_HK.NBC@Mar2006 4" xfId="8889"/>
    <cellStyle name="B_Right_HK.NBC@Mar2006 5" xfId="8890"/>
    <cellStyle name="B_Right_HK.NBC@Mar2006 6" xfId="8891"/>
    <cellStyle name="B_Right_HK.NBC@Mar2006 7" xfId="8892"/>
    <cellStyle name="B_Right_HK.NBC@Mar2006 8" xfId="8893"/>
    <cellStyle name="B_Right_HK.NBC@Mar2006 9" xfId="8894"/>
    <cellStyle name="B_Right_HK.NBC@Mar2006_HK.EEV-May06 4+2 kkh" xfId="8895"/>
    <cellStyle name="B_Right_HK.NBC@Mar2006_HK.EEV-May06 4+2 kkh 10" xfId="8896"/>
    <cellStyle name="B_Right_HK.NBC@Mar2006_HK.EEV-May06 4+2 kkh 11" xfId="8897"/>
    <cellStyle name="B_Right_HK.NBC@Mar2006_HK.EEV-May06 4+2 kkh 12" xfId="8898"/>
    <cellStyle name="B_Right_HK.NBC@Mar2006_HK.EEV-May06 4+2 kkh 13" xfId="8899"/>
    <cellStyle name="B_Right_HK.NBC@Mar2006_HK.EEV-May06 4+2 kkh 14" xfId="8900"/>
    <cellStyle name="B_Right_HK.NBC@Mar2006_HK.EEV-May06 4+2 kkh 15" xfId="8901"/>
    <cellStyle name="B_Right_HK.NBC@Mar2006_HK.EEV-May06 4+2 kkh 16" xfId="8902"/>
    <cellStyle name="B_Right_HK.NBC@Mar2006_HK.EEV-May06 4+2 kkh 17" xfId="8903"/>
    <cellStyle name="B_Right_HK.NBC@Mar2006_HK.EEV-May06 4+2 kkh 18" xfId="8904"/>
    <cellStyle name="B_Right_HK.NBC@Mar2006_HK.EEV-May06 4+2 kkh 19" xfId="8905"/>
    <cellStyle name="B_Right_HK.NBC@Mar2006_HK.EEV-May06 4+2 kkh 2" xfId="8906"/>
    <cellStyle name="B_Right_HK.NBC@Mar2006_HK.EEV-May06 4+2 kkh 20" xfId="8907"/>
    <cellStyle name="B_Right_HK.NBC@Mar2006_HK.EEV-May06 4+2 kkh 21" xfId="8908"/>
    <cellStyle name="B_Right_HK.NBC@Mar2006_HK.EEV-May06 4+2 kkh 22" xfId="8909"/>
    <cellStyle name="B_Right_HK.NBC@Mar2006_HK.EEV-May06 4+2 kkh 23" xfId="8910"/>
    <cellStyle name="B_Right_HK.NBC@Mar2006_HK.EEV-May06 4+2 kkh 3" xfId="8911"/>
    <cellStyle name="B_Right_HK.NBC@Mar2006_HK.EEV-May06 4+2 kkh 4" xfId="8912"/>
    <cellStyle name="B_Right_HK.NBC@Mar2006_HK.EEV-May06 4+2 kkh 5" xfId="8913"/>
    <cellStyle name="B_Right_HK.NBC@Mar2006_HK.EEV-May06 4+2 kkh 6" xfId="8914"/>
    <cellStyle name="B_Right_HK.NBC@Mar2006_HK.EEV-May06 4+2 kkh 7" xfId="8915"/>
    <cellStyle name="B_Right_HK.NBC@Mar2006_HK.EEV-May06 4+2 kkh 8" xfId="8916"/>
    <cellStyle name="B_Right_HK.NBC@Mar2006_HK.EEV-May06 4+2 kkh 9" xfId="8917"/>
    <cellStyle name="B_Right_HK.NBC@Mar2006_HK.EEV-May06 4+2 kkh_PROD_DETAILS" xfId="8918"/>
    <cellStyle name="B_Right_HK.NBC@Mar2006_HK.EEV-May06 4+2 kkh_SOLVENCY POSITION " xfId="8919"/>
    <cellStyle name="B_Right_HK.NBC@Mar2006_PROD_DETAILS" xfId="8920"/>
    <cellStyle name="B_Right_HK.NBC@Mar2006_SOLVENCY POSITION " xfId="8921"/>
    <cellStyle name="B_Right_HK_NBC@Dec2007(New Lapse)Final" xfId="8922"/>
    <cellStyle name="B_Right_HK_NBC@Dec2007(New Lapse)Final 10" xfId="8923"/>
    <cellStyle name="B_Right_HK_NBC@Dec2007(New Lapse)Final 11" xfId="8924"/>
    <cellStyle name="B_Right_HK_NBC@Dec2007(New Lapse)Final 12" xfId="8925"/>
    <cellStyle name="B_Right_HK_NBC@Dec2007(New Lapse)Final 13" xfId="8926"/>
    <cellStyle name="B_Right_HK_NBC@Dec2007(New Lapse)Final 14" xfId="8927"/>
    <cellStyle name="B_Right_HK_NBC@Dec2007(New Lapse)Final 15" xfId="8928"/>
    <cellStyle name="B_Right_HK_NBC@Dec2007(New Lapse)Final 16" xfId="8929"/>
    <cellStyle name="B_Right_HK_NBC@Dec2007(New Lapse)Final 17" xfId="8930"/>
    <cellStyle name="B_Right_HK_NBC@Dec2007(New Lapse)Final 18" xfId="8931"/>
    <cellStyle name="B_Right_HK_NBC@Dec2007(New Lapse)Final 19" xfId="8932"/>
    <cellStyle name="B_Right_HK_NBC@Dec2007(New Lapse)Final 2" xfId="8933"/>
    <cellStyle name="B_Right_HK_NBC@Dec2007(New Lapse)Final 20" xfId="8934"/>
    <cellStyle name="B_Right_HK_NBC@Dec2007(New Lapse)Final 21" xfId="8935"/>
    <cellStyle name="B_Right_HK_NBC@Dec2007(New Lapse)Final 22" xfId="8936"/>
    <cellStyle name="B_Right_HK_NBC@Dec2007(New Lapse)Final 23" xfId="8937"/>
    <cellStyle name="B_Right_HK_NBC@Dec2007(New Lapse)Final 3" xfId="8938"/>
    <cellStyle name="B_Right_HK_NBC@Dec2007(New Lapse)Final 4" xfId="8939"/>
    <cellStyle name="B_Right_HK_NBC@Dec2007(New Lapse)Final 5" xfId="8940"/>
    <cellStyle name="B_Right_HK_NBC@Dec2007(New Lapse)Final 6" xfId="8941"/>
    <cellStyle name="B_Right_HK_NBC@Dec2007(New Lapse)Final 7" xfId="8942"/>
    <cellStyle name="B_Right_HK_NBC@Dec2007(New Lapse)Final 8" xfId="8943"/>
    <cellStyle name="B_Right_HK_NBC@Dec2007(New Lapse)Final 9" xfId="8944"/>
    <cellStyle name="B_Right_HK_NBC@Dec2007(New Lapse)Final_PROD_DETAILS" xfId="8945"/>
    <cellStyle name="B_Right_HK_NBC@Dec2007(New Lapse)Final_SOLVENCY POSITION " xfId="8946"/>
    <cellStyle name="B_Right_PROD_DETAILS" xfId="8947"/>
    <cellStyle name="B_Right_SOLVENCY POSITION " xfId="8948"/>
    <cellStyle name="Bad 10" xfId="8949"/>
    <cellStyle name="Bad 11" xfId="8950"/>
    <cellStyle name="Bad 12" xfId="8951"/>
    <cellStyle name="Bad 13" xfId="8952"/>
    <cellStyle name="Bad 14" xfId="8953"/>
    <cellStyle name="Bad 15" xfId="8954"/>
    <cellStyle name="Bad 16" xfId="8955"/>
    <cellStyle name="Bad 17" xfId="8956"/>
    <cellStyle name="Bad 17 2" xfId="8957"/>
    <cellStyle name="Bad 17 3" xfId="8958"/>
    <cellStyle name="Bad 17 4" xfId="8959"/>
    <cellStyle name="Bad 17 5" xfId="8960"/>
    <cellStyle name="Bad 18" xfId="8961"/>
    <cellStyle name="Bad 18 2" xfId="8962"/>
    <cellStyle name="Bad 18 3" xfId="8963"/>
    <cellStyle name="Bad 18 4" xfId="8964"/>
    <cellStyle name="Bad 18 5" xfId="8965"/>
    <cellStyle name="Bad 19" xfId="8966"/>
    <cellStyle name="Bad 19 2" xfId="8967"/>
    <cellStyle name="Bad 19 3" xfId="8968"/>
    <cellStyle name="Bad 19 4" xfId="8969"/>
    <cellStyle name="Bad 19 5" xfId="8970"/>
    <cellStyle name="Bad 2" xfId="8971"/>
    <cellStyle name="Bad 2 2" xfId="8972"/>
    <cellStyle name="Bad 2 3" xfId="27271"/>
    <cellStyle name="Bad 20" xfId="8973"/>
    <cellStyle name="Bad 20 2" xfId="8974"/>
    <cellStyle name="Bad 20 3" xfId="8975"/>
    <cellStyle name="Bad 20 4" xfId="8976"/>
    <cellStyle name="Bad 20 5" xfId="8977"/>
    <cellStyle name="Bad 21" xfId="8978"/>
    <cellStyle name="Bad 21 2" xfId="8979"/>
    <cellStyle name="Bad 21 3" xfId="8980"/>
    <cellStyle name="Bad 21 4" xfId="8981"/>
    <cellStyle name="Bad 21 5" xfId="8982"/>
    <cellStyle name="Bad 22" xfId="8983"/>
    <cellStyle name="Bad 22 2" xfId="8984"/>
    <cellStyle name="Bad 22 3" xfId="8985"/>
    <cellStyle name="Bad 22 4" xfId="8986"/>
    <cellStyle name="Bad 22 5" xfId="8987"/>
    <cellStyle name="Bad 23" xfId="8988"/>
    <cellStyle name="Bad 24" xfId="8989"/>
    <cellStyle name="Bad 25" xfId="8990"/>
    <cellStyle name="Bad 26" xfId="8991"/>
    <cellStyle name="Bad 3" xfId="8992"/>
    <cellStyle name="Bad 4" xfId="8993"/>
    <cellStyle name="Bad 5" xfId="8994"/>
    <cellStyle name="Bad 6" xfId="8995"/>
    <cellStyle name="Bad 7" xfId="8996"/>
    <cellStyle name="Bad 8" xfId="8997"/>
    <cellStyle name="Bad 9" xfId="8998"/>
    <cellStyle name="Calculation 10" xfId="8999"/>
    <cellStyle name="Calculation 10 10" xfId="9000"/>
    <cellStyle name="Calculation 10 10 2" xfId="9001"/>
    <cellStyle name="Calculation 10 10 3" xfId="27272"/>
    <cellStyle name="Calculation 10 10 4" xfId="27273"/>
    <cellStyle name="Calculation 10 11" xfId="9002"/>
    <cellStyle name="Calculation 10 11 2" xfId="9003"/>
    <cellStyle name="Calculation 10 11 3" xfId="27274"/>
    <cellStyle name="Calculation 10 11 4" xfId="27275"/>
    <cellStyle name="Calculation 10 12" xfId="9004"/>
    <cellStyle name="Calculation 10 13" xfId="27276"/>
    <cellStyle name="Calculation 10 14" xfId="27277"/>
    <cellStyle name="Calculation 10 2" xfId="9005"/>
    <cellStyle name="Calculation 10 2 10" xfId="27278"/>
    <cellStyle name="Calculation 10 2 2" xfId="9006"/>
    <cellStyle name="Calculation 10 2 2 2" xfId="9007"/>
    <cellStyle name="Calculation 10 2 2 3" xfId="27279"/>
    <cellStyle name="Calculation 10 2 2 4" xfId="27280"/>
    <cellStyle name="Calculation 10 2 3" xfId="9008"/>
    <cellStyle name="Calculation 10 2 3 2" xfId="9009"/>
    <cellStyle name="Calculation 10 2 3 3" xfId="27281"/>
    <cellStyle name="Calculation 10 2 3 4" xfId="27282"/>
    <cellStyle name="Calculation 10 2 4" xfId="9010"/>
    <cellStyle name="Calculation 10 2 4 2" xfId="9011"/>
    <cellStyle name="Calculation 10 2 4 3" xfId="27283"/>
    <cellStyle name="Calculation 10 2 4 4" xfId="27284"/>
    <cellStyle name="Calculation 10 2 5" xfId="9012"/>
    <cellStyle name="Calculation 10 2 5 2" xfId="9013"/>
    <cellStyle name="Calculation 10 2 5 3" xfId="27285"/>
    <cellStyle name="Calculation 10 2 5 4" xfId="27286"/>
    <cellStyle name="Calculation 10 2 6" xfId="9014"/>
    <cellStyle name="Calculation 10 2 6 2" xfId="9015"/>
    <cellStyle name="Calculation 10 2 6 3" xfId="27287"/>
    <cellStyle name="Calculation 10 2 6 4" xfId="27288"/>
    <cellStyle name="Calculation 10 2 7" xfId="9016"/>
    <cellStyle name="Calculation 10 2 7 2" xfId="9017"/>
    <cellStyle name="Calculation 10 2 7 3" xfId="27289"/>
    <cellStyle name="Calculation 10 2 7 4" xfId="27290"/>
    <cellStyle name="Calculation 10 2 8" xfId="9018"/>
    <cellStyle name="Calculation 10 2 9" xfId="27291"/>
    <cellStyle name="Calculation 10 3" xfId="9019"/>
    <cellStyle name="Calculation 10 3 10" xfId="27292"/>
    <cellStyle name="Calculation 10 3 2" xfId="9020"/>
    <cellStyle name="Calculation 10 3 2 2" xfId="9021"/>
    <cellStyle name="Calculation 10 3 2 3" xfId="27293"/>
    <cellStyle name="Calculation 10 3 2 4" xfId="27294"/>
    <cellStyle name="Calculation 10 3 3" xfId="9022"/>
    <cellStyle name="Calculation 10 3 3 2" xfId="9023"/>
    <cellStyle name="Calculation 10 3 3 3" xfId="27295"/>
    <cellStyle name="Calculation 10 3 3 4" xfId="27296"/>
    <cellStyle name="Calculation 10 3 4" xfId="9024"/>
    <cellStyle name="Calculation 10 3 4 2" xfId="9025"/>
    <cellStyle name="Calculation 10 3 4 3" xfId="27297"/>
    <cellStyle name="Calculation 10 3 4 4" xfId="27298"/>
    <cellStyle name="Calculation 10 3 5" xfId="9026"/>
    <cellStyle name="Calculation 10 3 5 2" xfId="9027"/>
    <cellStyle name="Calculation 10 3 5 3" xfId="27299"/>
    <cellStyle name="Calculation 10 3 5 4" xfId="27300"/>
    <cellStyle name="Calculation 10 3 6" xfId="9028"/>
    <cellStyle name="Calculation 10 3 6 2" xfId="9029"/>
    <cellStyle name="Calculation 10 3 6 3" xfId="27301"/>
    <cellStyle name="Calculation 10 3 6 4" xfId="27302"/>
    <cellStyle name="Calculation 10 3 7" xfId="9030"/>
    <cellStyle name="Calculation 10 3 7 2" xfId="9031"/>
    <cellStyle name="Calculation 10 3 7 3" xfId="27303"/>
    <cellStyle name="Calculation 10 3 7 4" xfId="27304"/>
    <cellStyle name="Calculation 10 3 8" xfId="9032"/>
    <cellStyle name="Calculation 10 3 9" xfId="27305"/>
    <cellStyle name="Calculation 10 4" xfId="9033"/>
    <cellStyle name="Calculation 10 4 10" xfId="27306"/>
    <cellStyle name="Calculation 10 4 2" xfId="9034"/>
    <cellStyle name="Calculation 10 4 2 2" xfId="9035"/>
    <cellStyle name="Calculation 10 4 2 3" xfId="27307"/>
    <cellStyle name="Calculation 10 4 2 4" xfId="27308"/>
    <cellStyle name="Calculation 10 4 3" xfId="9036"/>
    <cellStyle name="Calculation 10 4 3 2" xfId="9037"/>
    <cellStyle name="Calculation 10 4 3 3" xfId="27309"/>
    <cellStyle name="Calculation 10 4 3 4" xfId="27310"/>
    <cellStyle name="Calculation 10 4 4" xfId="9038"/>
    <cellStyle name="Calculation 10 4 4 2" xfId="9039"/>
    <cellStyle name="Calculation 10 4 4 3" xfId="27311"/>
    <cellStyle name="Calculation 10 4 4 4" xfId="27312"/>
    <cellStyle name="Calculation 10 4 5" xfId="9040"/>
    <cellStyle name="Calculation 10 4 5 2" xfId="9041"/>
    <cellStyle name="Calculation 10 4 5 3" xfId="27313"/>
    <cellStyle name="Calculation 10 4 5 4" xfId="27314"/>
    <cellStyle name="Calculation 10 4 6" xfId="9042"/>
    <cellStyle name="Calculation 10 4 6 2" xfId="9043"/>
    <cellStyle name="Calculation 10 4 6 3" xfId="27315"/>
    <cellStyle name="Calculation 10 4 6 4" xfId="27316"/>
    <cellStyle name="Calculation 10 4 7" xfId="9044"/>
    <cellStyle name="Calculation 10 4 7 2" xfId="9045"/>
    <cellStyle name="Calculation 10 4 7 3" xfId="27317"/>
    <cellStyle name="Calculation 10 4 7 4" xfId="27318"/>
    <cellStyle name="Calculation 10 4 8" xfId="9046"/>
    <cellStyle name="Calculation 10 4 9" xfId="27319"/>
    <cellStyle name="Calculation 10 5" xfId="9047"/>
    <cellStyle name="Calculation 10 5 10" xfId="27320"/>
    <cellStyle name="Calculation 10 5 2" xfId="9048"/>
    <cellStyle name="Calculation 10 5 2 2" xfId="9049"/>
    <cellStyle name="Calculation 10 5 2 3" xfId="27321"/>
    <cellStyle name="Calculation 10 5 2 4" xfId="27322"/>
    <cellStyle name="Calculation 10 5 3" xfId="9050"/>
    <cellStyle name="Calculation 10 5 3 2" xfId="9051"/>
    <cellStyle name="Calculation 10 5 3 3" xfId="27323"/>
    <cellStyle name="Calculation 10 5 3 4" xfId="27324"/>
    <cellStyle name="Calculation 10 5 4" xfId="9052"/>
    <cellStyle name="Calculation 10 5 4 2" xfId="9053"/>
    <cellStyle name="Calculation 10 5 4 3" xfId="27325"/>
    <cellStyle name="Calculation 10 5 4 4" xfId="27326"/>
    <cellStyle name="Calculation 10 5 5" xfId="9054"/>
    <cellStyle name="Calculation 10 5 5 2" xfId="9055"/>
    <cellStyle name="Calculation 10 5 5 3" xfId="27327"/>
    <cellStyle name="Calculation 10 5 5 4" xfId="27328"/>
    <cellStyle name="Calculation 10 5 6" xfId="9056"/>
    <cellStyle name="Calculation 10 5 6 2" xfId="9057"/>
    <cellStyle name="Calculation 10 5 6 3" xfId="27329"/>
    <cellStyle name="Calculation 10 5 6 4" xfId="27330"/>
    <cellStyle name="Calculation 10 5 7" xfId="9058"/>
    <cellStyle name="Calculation 10 5 7 2" xfId="9059"/>
    <cellStyle name="Calculation 10 5 7 3" xfId="27331"/>
    <cellStyle name="Calculation 10 5 7 4" xfId="27332"/>
    <cellStyle name="Calculation 10 5 8" xfId="9060"/>
    <cellStyle name="Calculation 10 5 9" xfId="27333"/>
    <cellStyle name="Calculation 10 6" xfId="9061"/>
    <cellStyle name="Calculation 10 6 2" xfId="9062"/>
    <cellStyle name="Calculation 10 6 3" xfId="27334"/>
    <cellStyle name="Calculation 10 6 4" xfId="27335"/>
    <cellStyle name="Calculation 10 7" xfId="9063"/>
    <cellStyle name="Calculation 10 7 2" xfId="9064"/>
    <cellStyle name="Calculation 10 7 3" xfId="27336"/>
    <cellStyle name="Calculation 10 7 4" xfId="27337"/>
    <cellStyle name="Calculation 10 8" xfId="9065"/>
    <cellStyle name="Calculation 10 8 2" xfId="9066"/>
    <cellStyle name="Calculation 10 8 3" xfId="27338"/>
    <cellStyle name="Calculation 10 8 4" xfId="27339"/>
    <cellStyle name="Calculation 10 9" xfId="9067"/>
    <cellStyle name="Calculation 10 9 2" xfId="9068"/>
    <cellStyle name="Calculation 10 9 3" xfId="27340"/>
    <cellStyle name="Calculation 10 9 4" xfId="27341"/>
    <cellStyle name="Calculation 11" xfId="9069"/>
    <cellStyle name="Calculation 11 10" xfId="9070"/>
    <cellStyle name="Calculation 11 10 2" xfId="9071"/>
    <cellStyle name="Calculation 11 10 3" xfId="27342"/>
    <cellStyle name="Calculation 11 10 4" xfId="27343"/>
    <cellStyle name="Calculation 11 11" xfId="9072"/>
    <cellStyle name="Calculation 11 11 2" xfId="9073"/>
    <cellStyle name="Calculation 11 11 3" xfId="27344"/>
    <cellStyle name="Calculation 11 11 4" xfId="27345"/>
    <cellStyle name="Calculation 11 12" xfId="9074"/>
    <cellStyle name="Calculation 11 13" xfId="27346"/>
    <cellStyle name="Calculation 11 14" xfId="27347"/>
    <cellStyle name="Calculation 11 2" xfId="9075"/>
    <cellStyle name="Calculation 11 2 10" xfId="27348"/>
    <cellStyle name="Calculation 11 2 2" xfId="9076"/>
    <cellStyle name="Calculation 11 2 2 2" xfId="9077"/>
    <cellStyle name="Calculation 11 2 2 3" xfId="27349"/>
    <cellStyle name="Calculation 11 2 2 4" xfId="27350"/>
    <cellStyle name="Calculation 11 2 3" xfId="9078"/>
    <cellStyle name="Calculation 11 2 3 2" xfId="9079"/>
    <cellStyle name="Calculation 11 2 3 3" xfId="27351"/>
    <cellStyle name="Calculation 11 2 3 4" xfId="27352"/>
    <cellStyle name="Calculation 11 2 4" xfId="9080"/>
    <cellStyle name="Calculation 11 2 4 2" xfId="9081"/>
    <cellStyle name="Calculation 11 2 4 3" xfId="27353"/>
    <cellStyle name="Calculation 11 2 4 4" xfId="27354"/>
    <cellStyle name="Calculation 11 2 5" xfId="9082"/>
    <cellStyle name="Calculation 11 2 5 2" xfId="9083"/>
    <cellStyle name="Calculation 11 2 5 3" xfId="27355"/>
    <cellStyle name="Calculation 11 2 5 4" xfId="27356"/>
    <cellStyle name="Calculation 11 2 6" xfId="9084"/>
    <cellStyle name="Calculation 11 2 6 2" xfId="9085"/>
    <cellStyle name="Calculation 11 2 6 3" xfId="27357"/>
    <cellStyle name="Calculation 11 2 6 4" xfId="27358"/>
    <cellStyle name="Calculation 11 2 7" xfId="9086"/>
    <cellStyle name="Calculation 11 2 7 2" xfId="9087"/>
    <cellStyle name="Calculation 11 2 7 3" xfId="27359"/>
    <cellStyle name="Calculation 11 2 7 4" xfId="27360"/>
    <cellStyle name="Calculation 11 2 8" xfId="9088"/>
    <cellStyle name="Calculation 11 2 9" xfId="27361"/>
    <cellStyle name="Calculation 11 3" xfId="9089"/>
    <cellStyle name="Calculation 11 3 10" xfId="27362"/>
    <cellStyle name="Calculation 11 3 2" xfId="9090"/>
    <cellStyle name="Calculation 11 3 2 2" xfId="9091"/>
    <cellStyle name="Calculation 11 3 2 3" xfId="27363"/>
    <cellStyle name="Calculation 11 3 2 4" xfId="27364"/>
    <cellStyle name="Calculation 11 3 3" xfId="9092"/>
    <cellStyle name="Calculation 11 3 3 2" xfId="9093"/>
    <cellStyle name="Calculation 11 3 3 3" xfId="27365"/>
    <cellStyle name="Calculation 11 3 3 4" xfId="27366"/>
    <cellStyle name="Calculation 11 3 4" xfId="9094"/>
    <cellStyle name="Calculation 11 3 4 2" xfId="9095"/>
    <cellStyle name="Calculation 11 3 4 3" xfId="27367"/>
    <cellStyle name="Calculation 11 3 4 4" xfId="27368"/>
    <cellStyle name="Calculation 11 3 5" xfId="9096"/>
    <cellStyle name="Calculation 11 3 5 2" xfId="9097"/>
    <cellStyle name="Calculation 11 3 5 3" xfId="27369"/>
    <cellStyle name="Calculation 11 3 5 4" xfId="27370"/>
    <cellStyle name="Calculation 11 3 6" xfId="9098"/>
    <cellStyle name="Calculation 11 3 6 2" xfId="9099"/>
    <cellStyle name="Calculation 11 3 6 3" xfId="27371"/>
    <cellStyle name="Calculation 11 3 6 4" xfId="27372"/>
    <cellStyle name="Calculation 11 3 7" xfId="9100"/>
    <cellStyle name="Calculation 11 3 7 2" xfId="9101"/>
    <cellStyle name="Calculation 11 3 7 3" xfId="27373"/>
    <cellStyle name="Calculation 11 3 7 4" xfId="27374"/>
    <cellStyle name="Calculation 11 3 8" xfId="9102"/>
    <cellStyle name="Calculation 11 3 9" xfId="27375"/>
    <cellStyle name="Calculation 11 4" xfId="9103"/>
    <cellStyle name="Calculation 11 4 10" xfId="27376"/>
    <cellStyle name="Calculation 11 4 2" xfId="9104"/>
    <cellStyle name="Calculation 11 4 2 2" xfId="9105"/>
    <cellStyle name="Calculation 11 4 2 3" xfId="27377"/>
    <cellStyle name="Calculation 11 4 2 4" xfId="27378"/>
    <cellStyle name="Calculation 11 4 3" xfId="9106"/>
    <cellStyle name="Calculation 11 4 3 2" xfId="9107"/>
    <cellStyle name="Calculation 11 4 3 3" xfId="27379"/>
    <cellStyle name="Calculation 11 4 3 4" xfId="27380"/>
    <cellStyle name="Calculation 11 4 4" xfId="9108"/>
    <cellStyle name="Calculation 11 4 4 2" xfId="9109"/>
    <cellStyle name="Calculation 11 4 4 3" xfId="27381"/>
    <cellStyle name="Calculation 11 4 4 4" xfId="27382"/>
    <cellStyle name="Calculation 11 4 5" xfId="9110"/>
    <cellStyle name="Calculation 11 4 5 2" xfId="9111"/>
    <cellStyle name="Calculation 11 4 5 3" xfId="27383"/>
    <cellStyle name="Calculation 11 4 5 4" xfId="27384"/>
    <cellStyle name="Calculation 11 4 6" xfId="9112"/>
    <cellStyle name="Calculation 11 4 6 2" xfId="9113"/>
    <cellStyle name="Calculation 11 4 6 3" xfId="27385"/>
    <cellStyle name="Calculation 11 4 6 4" xfId="27386"/>
    <cellStyle name="Calculation 11 4 7" xfId="9114"/>
    <cellStyle name="Calculation 11 4 7 2" xfId="9115"/>
    <cellStyle name="Calculation 11 4 7 3" xfId="27387"/>
    <cellStyle name="Calculation 11 4 7 4" xfId="27388"/>
    <cellStyle name="Calculation 11 4 8" xfId="9116"/>
    <cellStyle name="Calculation 11 4 9" xfId="27389"/>
    <cellStyle name="Calculation 11 5" xfId="9117"/>
    <cellStyle name="Calculation 11 5 10" xfId="27390"/>
    <cellStyle name="Calculation 11 5 2" xfId="9118"/>
    <cellStyle name="Calculation 11 5 2 2" xfId="9119"/>
    <cellStyle name="Calculation 11 5 2 3" xfId="27391"/>
    <cellStyle name="Calculation 11 5 2 4" xfId="27392"/>
    <cellStyle name="Calculation 11 5 3" xfId="9120"/>
    <cellStyle name="Calculation 11 5 3 2" xfId="9121"/>
    <cellStyle name="Calculation 11 5 3 3" xfId="27393"/>
    <cellStyle name="Calculation 11 5 3 4" xfId="27394"/>
    <cellStyle name="Calculation 11 5 4" xfId="9122"/>
    <cellStyle name="Calculation 11 5 4 2" xfId="9123"/>
    <cellStyle name="Calculation 11 5 4 3" xfId="27395"/>
    <cellStyle name="Calculation 11 5 4 4" xfId="27396"/>
    <cellStyle name="Calculation 11 5 5" xfId="9124"/>
    <cellStyle name="Calculation 11 5 5 2" xfId="9125"/>
    <cellStyle name="Calculation 11 5 5 3" xfId="27397"/>
    <cellStyle name="Calculation 11 5 5 4" xfId="27398"/>
    <cellStyle name="Calculation 11 5 6" xfId="9126"/>
    <cellStyle name="Calculation 11 5 6 2" xfId="9127"/>
    <cellStyle name="Calculation 11 5 6 3" xfId="27399"/>
    <cellStyle name="Calculation 11 5 6 4" xfId="27400"/>
    <cellStyle name="Calculation 11 5 7" xfId="9128"/>
    <cellStyle name="Calculation 11 5 7 2" xfId="9129"/>
    <cellStyle name="Calculation 11 5 7 3" xfId="27401"/>
    <cellStyle name="Calculation 11 5 7 4" xfId="27402"/>
    <cellStyle name="Calculation 11 5 8" xfId="9130"/>
    <cellStyle name="Calculation 11 5 9" xfId="27403"/>
    <cellStyle name="Calculation 11 6" xfId="9131"/>
    <cellStyle name="Calculation 11 6 2" xfId="9132"/>
    <cellStyle name="Calculation 11 6 3" xfId="27404"/>
    <cellStyle name="Calculation 11 6 4" xfId="27405"/>
    <cellStyle name="Calculation 11 7" xfId="9133"/>
    <cellStyle name="Calculation 11 7 2" xfId="9134"/>
    <cellStyle name="Calculation 11 7 3" xfId="27406"/>
    <cellStyle name="Calculation 11 7 4" xfId="27407"/>
    <cellStyle name="Calculation 11 8" xfId="9135"/>
    <cellStyle name="Calculation 11 8 2" xfId="9136"/>
    <cellStyle name="Calculation 11 8 3" xfId="27408"/>
    <cellStyle name="Calculation 11 8 4" xfId="27409"/>
    <cellStyle name="Calculation 11 9" xfId="9137"/>
    <cellStyle name="Calculation 11 9 2" xfId="9138"/>
    <cellStyle name="Calculation 11 9 3" xfId="27410"/>
    <cellStyle name="Calculation 11 9 4" xfId="27411"/>
    <cellStyle name="Calculation 12" xfId="9139"/>
    <cellStyle name="Calculation 12 10" xfId="9140"/>
    <cellStyle name="Calculation 12 10 2" xfId="9141"/>
    <cellStyle name="Calculation 12 10 3" xfId="27412"/>
    <cellStyle name="Calculation 12 10 4" xfId="27413"/>
    <cellStyle name="Calculation 12 11" xfId="9142"/>
    <cellStyle name="Calculation 12 11 2" xfId="9143"/>
    <cellStyle name="Calculation 12 11 3" xfId="27414"/>
    <cellStyle name="Calculation 12 11 4" xfId="27415"/>
    <cellStyle name="Calculation 12 12" xfId="9144"/>
    <cellStyle name="Calculation 12 13" xfId="27416"/>
    <cellStyle name="Calculation 12 14" xfId="27417"/>
    <cellStyle name="Calculation 12 2" xfId="9145"/>
    <cellStyle name="Calculation 12 2 10" xfId="27418"/>
    <cellStyle name="Calculation 12 2 2" xfId="9146"/>
    <cellStyle name="Calculation 12 2 2 2" xfId="9147"/>
    <cellStyle name="Calculation 12 2 2 3" xfId="27419"/>
    <cellStyle name="Calculation 12 2 2 4" xfId="27420"/>
    <cellStyle name="Calculation 12 2 3" xfId="9148"/>
    <cellStyle name="Calculation 12 2 3 2" xfId="9149"/>
    <cellStyle name="Calculation 12 2 3 3" xfId="27421"/>
    <cellStyle name="Calculation 12 2 3 4" xfId="27422"/>
    <cellStyle name="Calculation 12 2 4" xfId="9150"/>
    <cellStyle name="Calculation 12 2 4 2" xfId="9151"/>
    <cellStyle name="Calculation 12 2 4 3" xfId="27423"/>
    <cellStyle name="Calculation 12 2 4 4" xfId="27424"/>
    <cellStyle name="Calculation 12 2 5" xfId="9152"/>
    <cellStyle name="Calculation 12 2 5 2" xfId="9153"/>
    <cellStyle name="Calculation 12 2 5 3" xfId="27425"/>
    <cellStyle name="Calculation 12 2 5 4" xfId="27426"/>
    <cellStyle name="Calculation 12 2 6" xfId="9154"/>
    <cellStyle name="Calculation 12 2 6 2" xfId="9155"/>
    <cellStyle name="Calculation 12 2 6 3" xfId="27427"/>
    <cellStyle name="Calculation 12 2 6 4" xfId="27428"/>
    <cellStyle name="Calculation 12 2 7" xfId="9156"/>
    <cellStyle name="Calculation 12 2 7 2" xfId="9157"/>
    <cellStyle name="Calculation 12 2 7 3" xfId="27429"/>
    <cellStyle name="Calculation 12 2 7 4" xfId="27430"/>
    <cellStyle name="Calculation 12 2 8" xfId="9158"/>
    <cellStyle name="Calculation 12 2 9" xfId="27431"/>
    <cellStyle name="Calculation 12 3" xfId="9159"/>
    <cellStyle name="Calculation 12 3 10" xfId="27432"/>
    <cellStyle name="Calculation 12 3 2" xfId="9160"/>
    <cellStyle name="Calculation 12 3 2 2" xfId="9161"/>
    <cellStyle name="Calculation 12 3 2 3" xfId="27433"/>
    <cellStyle name="Calculation 12 3 2 4" xfId="27434"/>
    <cellStyle name="Calculation 12 3 3" xfId="9162"/>
    <cellStyle name="Calculation 12 3 3 2" xfId="9163"/>
    <cellStyle name="Calculation 12 3 3 3" xfId="27435"/>
    <cellStyle name="Calculation 12 3 3 4" xfId="27436"/>
    <cellStyle name="Calculation 12 3 4" xfId="9164"/>
    <cellStyle name="Calculation 12 3 4 2" xfId="9165"/>
    <cellStyle name="Calculation 12 3 4 3" xfId="27437"/>
    <cellStyle name="Calculation 12 3 4 4" xfId="27438"/>
    <cellStyle name="Calculation 12 3 5" xfId="9166"/>
    <cellStyle name="Calculation 12 3 5 2" xfId="9167"/>
    <cellStyle name="Calculation 12 3 5 3" xfId="27439"/>
    <cellStyle name="Calculation 12 3 5 4" xfId="27440"/>
    <cellStyle name="Calculation 12 3 6" xfId="9168"/>
    <cellStyle name="Calculation 12 3 6 2" xfId="9169"/>
    <cellStyle name="Calculation 12 3 6 3" xfId="27441"/>
    <cellStyle name="Calculation 12 3 6 4" xfId="27442"/>
    <cellStyle name="Calculation 12 3 7" xfId="9170"/>
    <cellStyle name="Calculation 12 3 7 2" xfId="9171"/>
    <cellStyle name="Calculation 12 3 7 3" xfId="27443"/>
    <cellStyle name="Calculation 12 3 7 4" xfId="27444"/>
    <cellStyle name="Calculation 12 3 8" xfId="9172"/>
    <cellStyle name="Calculation 12 3 9" xfId="27445"/>
    <cellStyle name="Calculation 12 4" xfId="9173"/>
    <cellStyle name="Calculation 12 4 10" xfId="27446"/>
    <cellStyle name="Calculation 12 4 2" xfId="9174"/>
    <cellStyle name="Calculation 12 4 2 2" xfId="9175"/>
    <cellStyle name="Calculation 12 4 2 3" xfId="27447"/>
    <cellStyle name="Calculation 12 4 2 4" xfId="27448"/>
    <cellStyle name="Calculation 12 4 3" xfId="9176"/>
    <cellStyle name="Calculation 12 4 3 2" xfId="9177"/>
    <cellStyle name="Calculation 12 4 3 3" xfId="27449"/>
    <cellStyle name="Calculation 12 4 3 4" xfId="27450"/>
    <cellStyle name="Calculation 12 4 4" xfId="9178"/>
    <cellStyle name="Calculation 12 4 4 2" xfId="9179"/>
    <cellStyle name="Calculation 12 4 4 3" xfId="27451"/>
    <cellStyle name="Calculation 12 4 4 4" xfId="27452"/>
    <cellStyle name="Calculation 12 4 5" xfId="9180"/>
    <cellStyle name="Calculation 12 4 5 2" xfId="9181"/>
    <cellStyle name="Calculation 12 4 5 3" xfId="27453"/>
    <cellStyle name="Calculation 12 4 5 4" xfId="27454"/>
    <cellStyle name="Calculation 12 4 6" xfId="9182"/>
    <cellStyle name="Calculation 12 4 6 2" xfId="9183"/>
    <cellStyle name="Calculation 12 4 6 3" xfId="27455"/>
    <cellStyle name="Calculation 12 4 6 4" xfId="27456"/>
    <cellStyle name="Calculation 12 4 7" xfId="9184"/>
    <cellStyle name="Calculation 12 4 7 2" xfId="9185"/>
    <cellStyle name="Calculation 12 4 7 3" xfId="27457"/>
    <cellStyle name="Calculation 12 4 7 4" xfId="27458"/>
    <cellStyle name="Calculation 12 4 8" xfId="9186"/>
    <cellStyle name="Calculation 12 4 9" xfId="27459"/>
    <cellStyle name="Calculation 12 5" xfId="9187"/>
    <cellStyle name="Calculation 12 5 10" xfId="27460"/>
    <cellStyle name="Calculation 12 5 2" xfId="9188"/>
    <cellStyle name="Calculation 12 5 2 2" xfId="9189"/>
    <cellStyle name="Calculation 12 5 2 3" xfId="27461"/>
    <cellStyle name="Calculation 12 5 2 4" xfId="27462"/>
    <cellStyle name="Calculation 12 5 3" xfId="9190"/>
    <cellStyle name="Calculation 12 5 3 2" xfId="9191"/>
    <cellStyle name="Calculation 12 5 3 3" xfId="27463"/>
    <cellStyle name="Calculation 12 5 3 4" xfId="27464"/>
    <cellStyle name="Calculation 12 5 4" xfId="9192"/>
    <cellStyle name="Calculation 12 5 4 2" xfId="9193"/>
    <cellStyle name="Calculation 12 5 4 3" xfId="27465"/>
    <cellStyle name="Calculation 12 5 4 4" xfId="27466"/>
    <cellStyle name="Calculation 12 5 5" xfId="9194"/>
    <cellStyle name="Calculation 12 5 5 2" xfId="9195"/>
    <cellStyle name="Calculation 12 5 5 3" xfId="27467"/>
    <cellStyle name="Calculation 12 5 5 4" xfId="27468"/>
    <cellStyle name="Calculation 12 5 6" xfId="9196"/>
    <cellStyle name="Calculation 12 5 6 2" xfId="9197"/>
    <cellStyle name="Calculation 12 5 6 3" xfId="27469"/>
    <cellStyle name="Calculation 12 5 6 4" xfId="27470"/>
    <cellStyle name="Calculation 12 5 7" xfId="9198"/>
    <cellStyle name="Calculation 12 5 7 2" xfId="9199"/>
    <cellStyle name="Calculation 12 5 7 3" xfId="27471"/>
    <cellStyle name="Calculation 12 5 7 4" xfId="27472"/>
    <cellStyle name="Calculation 12 5 8" xfId="9200"/>
    <cellStyle name="Calculation 12 5 9" xfId="27473"/>
    <cellStyle name="Calculation 12 6" xfId="9201"/>
    <cellStyle name="Calculation 12 6 2" xfId="9202"/>
    <cellStyle name="Calculation 12 6 3" xfId="27474"/>
    <cellStyle name="Calculation 12 6 4" xfId="27475"/>
    <cellStyle name="Calculation 12 7" xfId="9203"/>
    <cellStyle name="Calculation 12 7 2" xfId="9204"/>
    <cellStyle name="Calculation 12 7 3" xfId="27476"/>
    <cellStyle name="Calculation 12 7 4" xfId="27477"/>
    <cellStyle name="Calculation 12 8" xfId="9205"/>
    <cellStyle name="Calculation 12 8 2" xfId="9206"/>
    <cellStyle name="Calculation 12 8 3" xfId="27478"/>
    <cellStyle name="Calculation 12 8 4" xfId="27479"/>
    <cellStyle name="Calculation 12 9" xfId="9207"/>
    <cellStyle name="Calculation 12 9 2" xfId="9208"/>
    <cellStyle name="Calculation 12 9 3" xfId="27480"/>
    <cellStyle name="Calculation 12 9 4" xfId="27481"/>
    <cellStyle name="Calculation 13" xfId="9209"/>
    <cellStyle name="Calculation 13 10" xfId="9210"/>
    <cellStyle name="Calculation 13 10 2" xfId="9211"/>
    <cellStyle name="Calculation 13 10 3" xfId="27482"/>
    <cellStyle name="Calculation 13 10 4" xfId="27483"/>
    <cellStyle name="Calculation 13 11" xfId="9212"/>
    <cellStyle name="Calculation 13 11 2" xfId="9213"/>
    <cellStyle name="Calculation 13 11 3" xfId="27484"/>
    <cellStyle name="Calculation 13 11 4" xfId="27485"/>
    <cellStyle name="Calculation 13 12" xfId="9214"/>
    <cellStyle name="Calculation 13 13" xfId="27486"/>
    <cellStyle name="Calculation 13 14" xfId="27487"/>
    <cellStyle name="Calculation 13 2" xfId="9215"/>
    <cellStyle name="Calculation 13 2 10" xfId="27488"/>
    <cellStyle name="Calculation 13 2 2" xfId="9216"/>
    <cellStyle name="Calculation 13 2 2 2" xfId="9217"/>
    <cellStyle name="Calculation 13 2 2 3" xfId="27489"/>
    <cellStyle name="Calculation 13 2 2 4" xfId="27490"/>
    <cellStyle name="Calculation 13 2 3" xfId="9218"/>
    <cellStyle name="Calculation 13 2 3 2" xfId="9219"/>
    <cellStyle name="Calculation 13 2 3 3" xfId="27491"/>
    <cellStyle name="Calculation 13 2 3 4" xfId="27492"/>
    <cellStyle name="Calculation 13 2 4" xfId="9220"/>
    <cellStyle name="Calculation 13 2 4 2" xfId="9221"/>
    <cellStyle name="Calculation 13 2 4 3" xfId="27493"/>
    <cellStyle name="Calculation 13 2 4 4" xfId="27494"/>
    <cellStyle name="Calculation 13 2 5" xfId="9222"/>
    <cellStyle name="Calculation 13 2 5 2" xfId="9223"/>
    <cellStyle name="Calculation 13 2 5 3" xfId="27495"/>
    <cellStyle name="Calculation 13 2 5 4" xfId="27496"/>
    <cellStyle name="Calculation 13 2 6" xfId="9224"/>
    <cellStyle name="Calculation 13 2 6 2" xfId="9225"/>
    <cellStyle name="Calculation 13 2 6 3" xfId="27497"/>
    <cellStyle name="Calculation 13 2 6 4" xfId="27498"/>
    <cellStyle name="Calculation 13 2 7" xfId="9226"/>
    <cellStyle name="Calculation 13 2 7 2" xfId="9227"/>
    <cellStyle name="Calculation 13 2 7 3" xfId="27499"/>
    <cellStyle name="Calculation 13 2 7 4" xfId="27500"/>
    <cellStyle name="Calculation 13 2 8" xfId="9228"/>
    <cellStyle name="Calculation 13 2 9" xfId="27501"/>
    <cellStyle name="Calculation 13 3" xfId="9229"/>
    <cellStyle name="Calculation 13 3 10" xfId="27502"/>
    <cellStyle name="Calculation 13 3 2" xfId="9230"/>
    <cellStyle name="Calculation 13 3 2 2" xfId="9231"/>
    <cellStyle name="Calculation 13 3 2 3" xfId="27503"/>
    <cellStyle name="Calculation 13 3 2 4" xfId="27504"/>
    <cellStyle name="Calculation 13 3 3" xfId="9232"/>
    <cellStyle name="Calculation 13 3 3 2" xfId="9233"/>
    <cellStyle name="Calculation 13 3 3 3" xfId="27505"/>
    <cellStyle name="Calculation 13 3 3 4" xfId="27506"/>
    <cellStyle name="Calculation 13 3 4" xfId="9234"/>
    <cellStyle name="Calculation 13 3 4 2" xfId="9235"/>
    <cellStyle name="Calculation 13 3 4 3" xfId="27507"/>
    <cellStyle name="Calculation 13 3 4 4" xfId="27508"/>
    <cellStyle name="Calculation 13 3 5" xfId="9236"/>
    <cellStyle name="Calculation 13 3 5 2" xfId="9237"/>
    <cellStyle name="Calculation 13 3 5 3" xfId="27509"/>
    <cellStyle name="Calculation 13 3 5 4" xfId="27510"/>
    <cellStyle name="Calculation 13 3 6" xfId="9238"/>
    <cellStyle name="Calculation 13 3 6 2" xfId="9239"/>
    <cellStyle name="Calculation 13 3 6 3" xfId="27511"/>
    <cellStyle name="Calculation 13 3 6 4" xfId="27512"/>
    <cellStyle name="Calculation 13 3 7" xfId="9240"/>
    <cellStyle name="Calculation 13 3 7 2" xfId="9241"/>
    <cellStyle name="Calculation 13 3 7 3" xfId="27513"/>
    <cellStyle name="Calculation 13 3 7 4" xfId="27514"/>
    <cellStyle name="Calculation 13 3 8" xfId="9242"/>
    <cellStyle name="Calculation 13 3 9" xfId="27515"/>
    <cellStyle name="Calculation 13 4" xfId="9243"/>
    <cellStyle name="Calculation 13 4 10" xfId="27516"/>
    <cellStyle name="Calculation 13 4 2" xfId="9244"/>
    <cellStyle name="Calculation 13 4 2 2" xfId="9245"/>
    <cellStyle name="Calculation 13 4 2 3" xfId="27517"/>
    <cellStyle name="Calculation 13 4 2 4" xfId="27518"/>
    <cellStyle name="Calculation 13 4 3" xfId="9246"/>
    <cellStyle name="Calculation 13 4 3 2" xfId="9247"/>
    <cellStyle name="Calculation 13 4 3 3" xfId="27519"/>
    <cellStyle name="Calculation 13 4 3 4" xfId="27520"/>
    <cellStyle name="Calculation 13 4 4" xfId="9248"/>
    <cellStyle name="Calculation 13 4 4 2" xfId="9249"/>
    <cellStyle name="Calculation 13 4 4 3" xfId="27521"/>
    <cellStyle name="Calculation 13 4 4 4" xfId="27522"/>
    <cellStyle name="Calculation 13 4 5" xfId="9250"/>
    <cellStyle name="Calculation 13 4 5 2" xfId="9251"/>
    <cellStyle name="Calculation 13 4 5 3" xfId="27523"/>
    <cellStyle name="Calculation 13 4 5 4" xfId="27524"/>
    <cellStyle name="Calculation 13 4 6" xfId="9252"/>
    <cellStyle name="Calculation 13 4 6 2" xfId="9253"/>
    <cellStyle name="Calculation 13 4 6 3" xfId="27525"/>
    <cellStyle name="Calculation 13 4 6 4" xfId="27526"/>
    <cellStyle name="Calculation 13 4 7" xfId="9254"/>
    <cellStyle name="Calculation 13 4 7 2" xfId="9255"/>
    <cellStyle name="Calculation 13 4 7 3" xfId="27527"/>
    <cellStyle name="Calculation 13 4 7 4" xfId="27528"/>
    <cellStyle name="Calculation 13 4 8" xfId="9256"/>
    <cellStyle name="Calculation 13 4 9" xfId="27529"/>
    <cellStyle name="Calculation 13 5" xfId="9257"/>
    <cellStyle name="Calculation 13 5 10" xfId="27530"/>
    <cellStyle name="Calculation 13 5 2" xfId="9258"/>
    <cellStyle name="Calculation 13 5 2 2" xfId="9259"/>
    <cellStyle name="Calculation 13 5 2 3" xfId="27531"/>
    <cellStyle name="Calculation 13 5 2 4" xfId="27532"/>
    <cellStyle name="Calculation 13 5 3" xfId="9260"/>
    <cellStyle name="Calculation 13 5 3 2" xfId="9261"/>
    <cellStyle name="Calculation 13 5 3 3" xfId="27533"/>
    <cellStyle name="Calculation 13 5 3 4" xfId="27534"/>
    <cellStyle name="Calculation 13 5 4" xfId="9262"/>
    <cellStyle name="Calculation 13 5 4 2" xfId="9263"/>
    <cellStyle name="Calculation 13 5 4 3" xfId="27535"/>
    <cellStyle name="Calculation 13 5 4 4" xfId="27536"/>
    <cellStyle name="Calculation 13 5 5" xfId="9264"/>
    <cellStyle name="Calculation 13 5 5 2" xfId="9265"/>
    <cellStyle name="Calculation 13 5 5 3" xfId="27537"/>
    <cellStyle name="Calculation 13 5 5 4" xfId="27538"/>
    <cellStyle name="Calculation 13 5 6" xfId="9266"/>
    <cellStyle name="Calculation 13 5 6 2" xfId="9267"/>
    <cellStyle name="Calculation 13 5 6 3" xfId="27539"/>
    <cellStyle name="Calculation 13 5 6 4" xfId="27540"/>
    <cellStyle name="Calculation 13 5 7" xfId="9268"/>
    <cellStyle name="Calculation 13 5 7 2" xfId="9269"/>
    <cellStyle name="Calculation 13 5 7 3" xfId="27541"/>
    <cellStyle name="Calculation 13 5 7 4" xfId="27542"/>
    <cellStyle name="Calculation 13 5 8" xfId="9270"/>
    <cellStyle name="Calculation 13 5 9" xfId="27543"/>
    <cellStyle name="Calculation 13 6" xfId="9271"/>
    <cellStyle name="Calculation 13 6 2" xfId="9272"/>
    <cellStyle name="Calculation 13 6 3" xfId="27544"/>
    <cellStyle name="Calculation 13 6 4" xfId="27545"/>
    <cellStyle name="Calculation 13 7" xfId="9273"/>
    <cellStyle name="Calculation 13 7 2" xfId="9274"/>
    <cellStyle name="Calculation 13 7 3" xfId="27546"/>
    <cellStyle name="Calculation 13 7 4" xfId="27547"/>
    <cellStyle name="Calculation 13 8" xfId="9275"/>
    <cellStyle name="Calculation 13 8 2" xfId="9276"/>
    <cellStyle name="Calculation 13 8 3" xfId="27548"/>
    <cellStyle name="Calculation 13 8 4" xfId="27549"/>
    <cellStyle name="Calculation 13 9" xfId="9277"/>
    <cellStyle name="Calculation 13 9 2" xfId="9278"/>
    <cellStyle name="Calculation 13 9 3" xfId="27550"/>
    <cellStyle name="Calculation 13 9 4" xfId="27551"/>
    <cellStyle name="Calculation 14" xfId="9279"/>
    <cellStyle name="Calculation 14 10" xfId="9280"/>
    <cellStyle name="Calculation 14 10 2" xfId="9281"/>
    <cellStyle name="Calculation 14 10 3" xfId="27552"/>
    <cellStyle name="Calculation 14 10 4" xfId="27553"/>
    <cellStyle name="Calculation 14 11" xfId="9282"/>
    <cellStyle name="Calculation 14 11 2" xfId="9283"/>
    <cellStyle name="Calculation 14 11 3" xfId="27554"/>
    <cellStyle name="Calculation 14 11 4" xfId="27555"/>
    <cellStyle name="Calculation 14 12" xfId="9284"/>
    <cellStyle name="Calculation 14 13" xfId="27556"/>
    <cellStyle name="Calculation 14 14" xfId="27557"/>
    <cellStyle name="Calculation 14 2" xfId="9285"/>
    <cellStyle name="Calculation 14 2 10" xfId="27558"/>
    <cellStyle name="Calculation 14 2 2" xfId="9286"/>
    <cellStyle name="Calculation 14 2 2 2" xfId="9287"/>
    <cellStyle name="Calculation 14 2 2 3" xfId="27559"/>
    <cellStyle name="Calculation 14 2 2 4" xfId="27560"/>
    <cellStyle name="Calculation 14 2 3" xfId="9288"/>
    <cellStyle name="Calculation 14 2 3 2" xfId="9289"/>
    <cellStyle name="Calculation 14 2 3 3" xfId="27561"/>
    <cellStyle name="Calculation 14 2 3 4" xfId="27562"/>
    <cellStyle name="Calculation 14 2 4" xfId="9290"/>
    <cellStyle name="Calculation 14 2 4 2" xfId="9291"/>
    <cellStyle name="Calculation 14 2 4 3" xfId="27563"/>
    <cellStyle name="Calculation 14 2 4 4" xfId="27564"/>
    <cellStyle name="Calculation 14 2 5" xfId="9292"/>
    <cellStyle name="Calculation 14 2 5 2" xfId="9293"/>
    <cellStyle name="Calculation 14 2 5 3" xfId="27565"/>
    <cellStyle name="Calculation 14 2 5 4" xfId="27566"/>
    <cellStyle name="Calculation 14 2 6" xfId="9294"/>
    <cellStyle name="Calculation 14 2 6 2" xfId="9295"/>
    <cellStyle name="Calculation 14 2 6 3" xfId="27567"/>
    <cellStyle name="Calculation 14 2 6 4" xfId="27568"/>
    <cellStyle name="Calculation 14 2 7" xfId="9296"/>
    <cellStyle name="Calculation 14 2 7 2" xfId="9297"/>
    <cellStyle name="Calculation 14 2 7 3" xfId="27569"/>
    <cellStyle name="Calculation 14 2 7 4" xfId="27570"/>
    <cellStyle name="Calculation 14 2 8" xfId="9298"/>
    <cellStyle name="Calculation 14 2 9" xfId="27571"/>
    <cellStyle name="Calculation 14 3" xfId="9299"/>
    <cellStyle name="Calculation 14 3 10" xfId="27572"/>
    <cellStyle name="Calculation 14 3 2" xfId="9300"/>
    <cellStyle name="Calculation 14 3 2 2" xfId="9301"/>
    <cellStyle name="Calculation 14 3 2 3" xfId="27573"/>
    <cellStyle name="Calculation 14 3 2 4" xfId="27574"/>
    <cellStyle name="Calculation 14 3 3" xfId="9302"/>
    <cellStyle name="Calculation 14 3 3 2" xfId="9303"/>
    <cellStyle name="Calculation 14 3 3 3" xfId="27575"/>
    <cellStyle name="Calculation 14 3 3 4" xfId="27576"/>
    <cellStyle name="Calculation 14 3 4" xfId="9304"/>
    <cellStyle name="Calculation 14 3 4 2" xfId="9305"/>
    <cellStyle name="Calculation 14 3 4 3" xfId="27577"/>
    <cellStyle name="Calculation 14 3 4 4" xfId="27578"/>
    <cellStyle name="Calculation 14 3 5" xfId="9306"/>
    <cellStyle name="Calculation 14 3 5 2" xfId="9307"/>
    <cellStyle name="Calculation 14 3 5 3" xfId="27579"/>
    <cellStyle name="Calculation 14 3 5 4" xfId="27580"/>
    <cellStyle name="Calculation 14 3 6" xfId="9308"/>
    <cellStyle name="Calculation 14 3 6 2" xfId="9309"/>
    <cellStyle name="Calculation 14 3 6 3" xfId="27581"/>
    <cellStyle name="Calculation 14 3 6 4" xfId="27582"/>
    <cellStyle name="Calculation 14 3 7" xfId="9310"/>
    <cellStyle name="Calculation 14 3 7 2" xfId="9311"/>
    <cellStyle name="Calculation 14 3 7 3" xfId="27583"/>
    <cellStyle name="Calculation 14 3 7 4" xfId="27584"/>
    <cellStyle name="Calculation 14 3 8" xfId="9312"/>
    <cellStyle name="Calculation 14 3 9" xfId="27585"/>
    <cellStyle name="Calculation 14 4" xfId="9313"/>
    <cellStyle name="Calculation 14 4 10" xfId="27586"/>
    <cellStyle name="Calculation 14 4 2" xfId="9314"/>
    <cellStyle name="Calculation 14 4 2 2" xfId="9315"/>
    <cellStyle name="Calculation 14 4 2 3" xfId="27587"/>
    <cellStyle name="Calculation 14 4 2 4" xfId="27588"/>
    <cellStyle name="Calculation 14 4 3" xfId="9316"/>
    <cellStyle name="Calculation 14 4 3 2" xfId="9317"/>
    <cellStyle name="Calculation 14 4 3 3" xfId="27589"/>
    <cellStyle name="Calculation 14 4 3 4" xfId="27590"/>
    <cellStyle name="Calculation 14 4 4" xfId="9318"/>
    <cellStyle name="Calculation 14 4 4 2" xfId="9319"/>
    <cellStyle name="Calculation 14 4 4 3" xfId="27591"/>
    <cellStyle name="Calculation 14 4 4 4" xfId="27592"/>
    <cellStyle name="Calculation 14 4 5" xfId="9320"/>
    <cellStyle name="Calculation 14 4 5 2" xfId="9321"/>
    <cellStyle name="Calculation 14 4 5 3" xfId="27593"/>
    <cellStyle name="Calculation 14 4 5 4" xfId="27594"/>
    <cellStyle name="Calculation 14 4 6" xfId="9322"/>
    <cellStyle name="Calculation 14 4 6 2" xfId="9323"/>
    <cellStyle name="Calculation 14 4 6 3" xfId="27595"/>
    <cellStyle name="Calculation 14 4 6 4" xfId="27596"/>
    <cellStyle name="Calculation 14 4 7" xfId="9324"/>
    <cellStyle name="Calculation 14 4 7 2" xfId="9325"/>
    <cellStyle name="Calculation 14 4 7 3" xfId="27597"/>
    <cellStyle name="Calculation 14 4 7 4" xfId="27598"/>
    <cellStyle name="Calculation 14 4 8" xfId="9326"/>
    <cellStyle name="Calculation 14 4 9" xfId="27599"/>
    <cellStyle name="Calculation 14 5" xfId="9327"/>
    <cellStyle name="Calculation 14 5 10" xfId="27600"/>
    <cellStyle name="Calculation 14 5 2" xfId="9328"/>
    <cellStyle name="Calculation 14 5 2 2" xfId="9329"/>
    <cellStyle name="Calculation 14 5 2 3" xfId="27601"/>
    <cellStyle name="Calculation 14 5 2 4" xfId="27602"/>
    <cellStyle name="Calculation 14 5 3" xfId="9330"/>
    <cellStyle name="Calculation 14 5 3 2" xfId="9331"/>
    <cellStyle name="Calculation 14 5 3 3" xfId="27603"/>
    <cellStyle name="Calculation 14 5 3 4" xfId="27604"/>
    <cellStyle name="Calculation 14 5 4" xfId="9332"/>
    <cellStyle name="Calculation 14 5 4 2" xfId="9333"/>
    <cellStyle name="Calculation 14 5 4 3" xfId="27605"/>
    <cellStyle name="Calculation 14 5 4 4" xfId="27606"/>
    <cellStyle name="Calculation 14 5 5" xfId="9334"/>
    <cellStyle name="Calculation 14 5 5 2" xfId="9335"/>
    <cellStyle name="Calculation 14 5 5 3" xfId="27607"/>
    <cellStyle name="Calculation 14 5 5 4" xfId="27608"/>
    <cellStyle name="Calculation 14 5 6" xfId="9336"/>
    <cellStyle name="Calculation 14 5 6 2" xfId="9337"/>
    <cellStyle name="Calculation 14 5 6 3" xfId="27609"/>
    <cellStyle name="Calculation 14 5 6 4" xfId="27610"/>
    <cellStyle name="Calculation 14 5 7" xfId="9338"/>
    <cellStyle name="Calculation 14 5 7 2" xfId="9339"/>
    <cellStyle name="Calculation 14 5 7 3" xfId="27611"/>
    <cellStyle name="Calculation 14 5 7 4" xfId="27612"/>
    <cellStyle name="Calculation 14 5 8" xfId="9340"/>
    <cellStyle name="Calculation 14 5 9" xfId="27613"/>
    <cellStyle name="Calculation 14 6" xfId="9341"/>
    <cellStyle name="Calculation 14 6 2" xfId="9342"/>
    <cellStyle name="Calculation 14 6 3" xfId="27614"/>
    <cellStyle name="Calculation 14 6 4" xfId="27615"/>
    <cellStyle name="Calculation 14 7" xfId="9343"/>
    <cellStyle name="Calculation 14 7 2" xfId="9344"/>
    <cellStyle name="Calculation 14 7 3" xfId="27616"/>
    <cellStyle name="Calculation 14 7 4" xfId="27617"/>
    <cellStyle name="Calculation 14 8" xfId="9345"/>
    <cellStyle name="Calculation 14 8 2" xfId="9346"/>
    <cellStyle name="Calculation 14 8 3" xfId="27618"/>
    <cellStyle name="Calculation 14 8 4" xfId="27619"/>
    <cellStyle name="Calculation 14 9" xfId="9347"/>
    <cellStyle name="Calculation 14 9 2" xfId="9348"/>
    <cellStyle name="Calculation 14 9 3" xfId="27620"/>
    <cellStyle name="Calculation 14 9 4" xfId="27621"/>
    <cellStyle name="Calculation 15" xfId="9349"/>
    <cellStyle name="Calculation 15 10" xfId="9350"/>
    <cellStyle name="Calculation 15 10 2" xfId="9351"/>
    <cellStyle name="Calculation 15 10 3" xfId="27622"/>
    <cellStyle name="Calculation 15 10 4" xfId="27623"/>
    <cellStyle name="Calculation 15 11" xfId="9352"/>
    <cellStyle name="Calculation 15 11 2" xfId="9353"/>
    <cellStyle name="Calculation 15 11 3" xfId="27624"/>
    <cellStyle name="Calculation 15 11 4" xfId="27625"/>
    <cellStyle name="Calculation 15 12" xfId="9354"/>
    <cellStyle name="Calculation 15 13" xfId="27626"/>
    <cellStyle name="Calculation 15 14" xfId="27627"/>
    <cellStyle name="Calculation 15 2" xfId="9355"/>
    <cellStyle name="Calculation 15 2 10" xfId="27628"/>
    <cellStyle name="Calculation 15 2 2" xfId="9356"/>
    <cellStyle name="Calculation 15 2 2 2" xfId="9357"/>
    <cellStyle name="Calculation 15 2 2 3" xfId="27629"/>
    <cellStyle name="Calculation 15 2 2 4" xfId="27630"/>
    <cellStyle name="Calculation 15 2 3" xfId="9358"/>
    <cellStyle name="Calculation 15 2 3 2" xfId="9359"/>
    <cellStyle name="Calculation 15 2 3 3" xfId="27631"/>
    <cellStyle name="Calculation 15 2 3 4" xfId="27632"/>
    <cellStyle name="Calculation 15 2 4" xfId="9360"/>
    <cellStyle name="Calculation 15 2 4 2" xfId="9361"/>
    <cellStyle name="Calculation 15 2 4 3" xfId="27633"/>
    <cellStyle name="Calculation 15 2 4 4" xfId="27634"/>
    <cellStyle name="Calculation 15 2 5" xfId="9362"/>
    <cellStyle name="Calculation 15 2 5 2" xfId="9363"/>
    <cellStyle name="Calculation 15 2 5 3" xfId="27635"/>
    <cellStyle name="Calculation 15 2 5 4" xfId="27636"/>
    <cellStyle name="Calculation 15 2 6" xfId="9364"/>
    <cellStyle name="Calculation 15 2 6 2" xfId="9365"/>
    <cellStyle name="Calculation 15 2 6 3" xfId="27637"/>
    <cellStyle name="Calculation 15 2 6 4" xfId="27638"/>
    <cellStyle name="Calculation 15 2 7" xfId="9366"/>
    <cellStyle name="Calculation 15 2 7 2" xfId="9367"/>
    <cellStyle name="Calculation 15 2 7 3" xfId="27639"/>
    <cellStyle name="Calculation 15 2 7 4" xfId="27640"/>
    <cellStyle name="Calculation 15 2 8" xfId="9368"/>
    <cellStyle name="Calculation 15 2 9" xfId="27641"/>
    <cellStyle name="Calculation 15 3" xfId="9369"/>
    <cellStyle name="Calculation 15 3 10" xfId="27642"/>
    <cellStyle name="Calculation 15 3 2" xfId="9370"/>
    <cellStyle name="Calculation 15 3 2 2" xfId="9371"/>
    <cellStyle name="Calculation 15 3 2 3" xfId="27643"/>
    <cellStyle name="Calculation 15 3 2 4" xfId="27644"/>
    <cellStyle name="Calculation 15 3 3" xfId="9372"/>
    <cellStyle name="Calculation 15 3 3 2" xfId="9373"/>
    <cellStyle name="Calculation 15 3 3 3" xfId="27645"/>
    <cellStyle name="Calculation 15 3 3 4" xfId="27646"/>
    <cellStyle name="Calculation 15 3 4" xfId="9374"/>
    <cellStyle name="Calculation 15 3 4 2" xfId="9375"/>
    <cellStyle name="Calculation 15 3 4 3" xfId="27647"/>
    <cellStyle name="Calculation 15 3 4 4" xfId="27648"/>
    <cellStyle name="Calculation 15 3 5" xfId="9376"/>
    <cellStyle name="Calculation 15 3 5 2" xfId="9377"/>
    <cellStyle name="Calculation 15 3 5 3" xfId="27649"/>
    <cellStyle name="Calculation 15 3 5 4" xfId="27650"/>
    <cellStyle name="Calculation 15 3 6" xfId="9378"/>
    <cellStyle name="Calculation 15 3 6 2" xfId="9379"/>
    <cellStyle name="Calculation 15 3 6 3" xfId="27651"/>
    <cellStyle name="Calculation 15 3 6 4" xfId="27652"/>
    <cellStyle name="Calculation 15 3 7" xfId="9380"/>
    <cellStyle name="Calculation 15 3 7 2" xfId="9381"/>
    <cellStyle name="Calculation 15 3 7 3" xfId="27653"/>
    <cellStyle name="Calculation 15 3 7 4" xfId="27654"/>
    <cellStyle name="Calculation 15 3 8" xfId="9382"/>
    <cellStyle name="Calculation 15 3 9" xfId="27655"/>
    <cellStyle name="Calculation 15 4" xfId="9383"/>
    <cellStyle name="Calculation 15 4 10" xfId="27656"/>
    <cellStyle name="Calculation 15 4 2" xfId="9384"/>
    <cellStyle name="Calculation 15 4 2 2" xfId="9385"/>
    <cellStyle name="Calculation 15 4 2 3" xfId="27657"/>
    <cellStyle name="Calculation 15 4 2 4" xfId="27658"/>
    <cellStyle name="Calculation 15 4 3" xfId="9386"/>
    <cellStyle name="Calculation 15 4 3 2" xfId="9387"/>
    <cellStyle name="Calculation 15 4 3 3" xfId="27659"/>
    <cellStyle name="Calculation 15 4 3 4" xfId="27660"/>
    <cellStyle name="Calculation 15 4 4" xfId="9388"/>
    <cellStyle name="Calculation 15 4 4 2" xfId="9389"/>
    <cellStyle name="Calculation 15 4 4 3" xfId="27661"/>
    <cellStyle name="Calculation 15 4 4 4" xfId="27662"/>
    <cellStyle name="Calculation 15 4 5" xfId="9390"/>
    <cellStyle name="Calculation 15 4 5 2" xfId="9391"/>
    <cellStyle name="Calculation 15 4 5 3" xfId="27663"/>
    <cellStyle name="Calculation 15 4 5 4" xfId="27664"/>
    <cellStyle name="Calculation 15 4 6" xfId="9392"/>
    <cellStyle name="Calculation 15 4 6 2" xfId="9393"/>
    <cellStyle name="Calculation 15 4 6 3" xfId="27665"/>
    <cellStyle name="Calculation 15 4 6 4" xfId="27666"/>
    <cellStyle name="Calculation 15 4 7" xfId="9394"/>
    <cellStyle name="Calculation 15 4 7 2" xfId="9395"/>
    <cellStyle name="Calculation 15 4 7 3" xfId="27667"/>
    <cellStyle name="Calculation 15 4 7 4" xfId="27668"/>
    <cellStyle name="Calculation 15 4 8" xfId="9396"/>
    <cellStyle name="Calculation 15 4 9" xfId="27669"/>
    <cellStyle name="Calculation 15 5" xfId="9397"/>
    <cellStyle name="Calculation 15 5 10" xfId="27670"/>
    <cellStyle name="Calculation 15 5 2" xfId="9398"/>
    <cellStyle name="Calculation 15 5 2 2" xfId="9399"/>
    <cellStyle name="Calculation 15 5 2 3" xfId="27671"/>
    <cellStyle name="Calculation 15 5 2 4" xfId="27672"/>
    <cellStyle name="Calculation 15 5 3" xfId="9400"/>
    <cellStyle name="Calculation 15 5 3 2" xfId="9401"/>
    <cellStyle name="Calculation 15 5 3 3" xfId="27673"/>
    <cellStyle name="Calculation 15 5 3 4" xfId="27674"/>
    <cellStyle name="Calculation 15 5 4" xfId="9402"/>
    <cellStyle name="Calculation 15 5 4 2" xfId="9403"/>
    <cellStyle name="Calculation 15 5 4 3" xfId="27675"/>
    <cellStyle name="Calculation 15 5 4 4" xfId="27676"/>
    <cellStyle name="Calculation 15 5 5" xfId="9404"/>
    <cellStyle name="Calculation 15 5 5 2" xfId="9405"/>
    <cellStyle name="Calculation 15 5 5 3" xfId="27677"/>
    <cellStyle name="Calculation 15 5 5 4" xfId="27678"/>
    <cellStyle name="Calculation 15 5 6" xfId="9406"/>
    <cellStyle name="Calculation 15 5 6 2" xfId="9407"/>
    <cellStyle name="Calculation 15 5 6 3" xfId="27679"/>
    <cellStyle name="Calculation 15 5 6 4" xfId="27680"/>
    <cellStyle name="Calculation 15 5 7" xfId="9408"/>
    <cellStyle name="Calculation 15 5 7 2" xfId="9409"/>
    <cellStyle name="Calculation 15 5 7 3" xfId="27681"/>
    <cellStyle name="Calculation 15 5 7 4" xfId="27682"/>
    <cellStyle name="Calculation 15 5 8" xfId="9410"/>
    <cellStyle name="Calculation 15 5 9" xfId="27683"/>
    <cellStyle name="Calculation 15 6" xfId="9411"/>
    <cellStyle name="Calculation 15 6 2" xfId="9412"/>
    <cellStyle name="Calculation 15 6 3" xfId="27684"/>
    <cellStyle name="Calculation 15 6 4" xfId="27685"/>
    <cellStyle name="Calculation 15 7" xfId="9413"/>
    <cellStyle name="Calculation 15 7 2" xfId="9414"/>
    <cellStyle name="Calculation 15 7 3" xfId="27686"/>
    <cellStyle name="Calculation 15 7 4" xfId="27687"/>
    <cellStyle name="Calculation 15 8" xfId="9415"/>
    <cellStyle name="Calculation 15 8 2" xfId="9416"/>
    <cellStyle name="Calculation 15 8 3" xfId="27688"/>
    <cellStyle name="Calculation 15 8 4" xfId="27689"/>
    <cellStyle name="Calculation 15 9" xfId="9417"/>
    <cellStyle name="Calculation 15 9 2" xfId="9418"/>
    <cellStyle name="Calculation 15 9 3" xfId="27690"/>
    <cellStyle name="Calculation 15 9 4" xfId="27691"/>
    <cellStyle name="Calculation 16" xfId="9419"/>
    <cellStyle name="Calculation 16 10" xfId="9420"/>
    <cellStyle name="Calculation 16 10 2" xfId="9421"/>
    <cellStyle name="Calculation 16 10 3" xfId="27692"/>
    <cellStyle name="Calculation 16 10 4" xfId="27693"/>
    <cellStyle name="Calculation 16 11" xfId="9422"/>
    <cellStyle name="Calculation 16 11 2" xfId="9423"/>
    <cellStyle name="Calculation 16 11 3" xfId="27694"/>
    <cellStyle name="Calculation 16 11 4" xfId="27695"/>
    <cellStyle name="Calculation 16 12" xfId="9424"/>
    <cellStyle name="Calculation 16 13" xfId="27696"/>
    <cellStyle name="Calculation 16 14" xfId="27697"/>
    <cellStyle name="Calculation 16 2" xfId="9425"/>
    <cellStyle name="Calculation 16 2 10" xfId="27698"/>
    <cellStyle name="Calculation 16 2 2" xfId="9426"/>
    <cellStyle name="Calculation 16 2 2 2" xfId="9427"/>
    <cellStyle name="Calculation 16 2 2 3" xfId="27699"/>
    <cellStyle name="Calculation 16 2 2 4" xfId="27700"/>
    <cellStyle name="Calculation 16 2 3" xfId="9428"/>
    <cellStyle name="Calculation 16 2 3 2" xfId="9429"/>
    <cellStyle name="Calculation 16 2 3 3" xfId="27701"/>
    <cellStyle name="Calculation 16 2 3 4" xfId="27702"/>
    <cellStyle name="Calculation 16 2 4" xfId="9430"/>
    <cellStyle name="Calculation 16 2 4 2" xfId="9431"/>
    <cellStyle name="Calculation 16 2 4 3" xfId="27703"/>
    <cellStyle name="Calculation 16 2 4 4" xfId="27704"/>
    <cellStyle name="Calculation 16 2 5" xfId="9432"/>
    <cellStyle name="Calculation 16 2 5 2" xfId="9433"/>
    <cellStyle name="Calculation 16 2 5 3" xfId="27705"/>
    <cellStyle name="Calculation 16 2 5 4" xfId="27706"/>
    <cellStyle name="Calculation 16 2 6" xfId="9434"/>
    <cellStyle name="Calculation 16 2 6 2" xfId="9435"/>
    <cellStyle name="Calculation 16 2 6 3" xfId="27707"/>
    <cellStyle name="Calculation 16 2 6 4" xfId="27708"/>
    <cellStyle name="Calculation 16 2 7" xfId="9436"/>
    <cellStyle name="Calculation 16 2 7 2" xfId="9437"/>
    <cellStyle name="Calculation 16 2 7 3" xfId="27709"/>
    <cellStyle name="Calculation 16 2 7 4" xfId="27710"/>
    <cellStyle name="Calculation 16 2 8" xfId="9438"/>
    <cellStyle name="Calculation 16 2 9" xfId="27711"/>
    <cellStyle name="Calculation 16 3" xfId="9439"/>
    <cellStyle name="Calculation 16 3 10" xfId="27712"/>
    <cellStyle name="Calculation 16 3 2" xfId="9440"/>
    <cellStyle name="Calculation 16 3 2 2" xfId="9441"/>
    <cellStyle name="Calculation 16 3 2 3" xfId="27713"/>
    <cellStyle name="Calculation 16 3 2 4" xfId="27714"/>
    <cellStyle name="Calculation 16 3 3" xfId="9442"/>
    <cellStyle name="Calculation 16 3 3 2" xfId="9443"/>
    <cellStyle name="Calculation 16 3 3 3" xfId="27715"/>
    <cellStyle name="Calculation 16 3 3 4" xfId="27716"/>
    <cellStyle name="Calculation 16 3 4" xfId="9444"/>
    <cellStyle name="Calculation 16 3 4 2" xfId="9445"/>
    <cellStyle name="Calculation 16 3 4 3" xfId="27717"/>
    <cellStyle name="Calculation 16 3 4 4" xfId="27718"/>
    <cellStyle name="Calculation 16 3 5" xfId="9446"/>
    <cellStyle name="Calculation 16 3 5 2" xfId="9447"/>
    <cellStyle name="Calculation 16 3 5 3" xfId="27719"/>
    <cellStyle name="Calculation 16 3 5 4" xfId="27720"/>
    <cellStyle name="Calculation 16 3 6" xfId="9448"/>
    <cellStyle name="Calculation 16 3 6 2" xfId="9449"/>
    <cellStyle name="Calculation 16 3 6 3" xfId="27721"/>
    <cellStyle name="Calculation 16 3 6 4" xfId="27722"/>
    <cellStyle name="Calculation 16 3 7" xfId="9450"/>
    <cellStyle name="Calculation 16 3 7 2" xfId="9451"/>
    <cellStyle name="Calculation 16 3 7 3" xfId="27723"/>
    <cellStyle name="Calculation 16 3 7 4" xfId="27724"/>
    <cellStyle name="Calculation 16 3 8" xfId="9452"/>
    <cellStyle name="Calculation 16 3 9" xfId="27725"/>
    <cellStyle name="Calculation 16 4" xfId="9453"/>
    <cellStyle name="Calculation 16 4 10" xfId="27726"/>
    <cellStyle name="Calculation 16 4 2" xfId="9454"/>
    <cellStyle name="Calculation 16 4 2 2" xfId="9455"/>
    <cellStyle name="Calculation 16 4 2 3" xfId="27727"/>
    <cellStyle name="Calculation 16 4 2 4" xfId="27728"/>
    <cellStyle name="Calculation 16 4 3" xfId="9456"/>
    <cellStyle name="Calculation 16 4 3 2" xfId="9457"/>
    <cellStyle name="Calculation 16 4 3 3" xfId="27729"/>
    <cellStyle name="Calculation 16 4 3 4" xfId="27730"/>
    <cellStyle name="Calculation 16 4 4" xfId="9458"/>
    <cellStyle name="Calculation 16 4 4 2" xfId="9459"/>
    <cellStyle name="Calculation 16 4 4 3" xfId="27731"/>
    <cellStyle name="Calculation 16 4 4 4" xfId="27732"/>
    <cellStyle name="Calculation 16 4 5" xfId="9460"/>
    <cellStyle name="Calculation 16 4 5 2" xfId="9461"/>
    <cellStyle name="Calculation 16 4 5 3" xfId="27733"/>
    <cellStyle name="Calculation 16 4 5 4" xfId="27734"/>
    <cellStyle name="Calculation 16 4 6" xfId="9462"/>
    <cellStyle name="Calculation 16 4 6 2" xfId="9463"/>
    <cellStyle name="Calculation 16 4 6 3" xfId="27735"/>
    <cellStyle name="Calculation 16 4 6 4" xfId="27736"/>
    <cellStyle name="Calculation 16 4 7" xfId="9464"/>
    <cellStyle name="Calculation 16 4 7 2" xfId="9465"/>
    <cellStyle name="Calculation 16 4 7 3" xfId="27737"/>
    <cellStyle name="Calculation 16 4 7 4" xfId="27738"/>
    <cellStyle name="Calculation 16 4 8" xfId="9466"/>
    <cellStyle name="Calculation 16 4 9" xfId="27739"/>
    <cellStyle name="Calculation 16 5" xfId="9467"/>
    <cellStyle name="Calculation 16 5 10" xfId="27740"/>
    <cellStyle name="Calculation 16 5 2" xfId="9468"/>
    <cellStyle name="Calculation 16 5 2 2" xfId="9469"/>
    <cellStyle name="Calculation 16 5 2 3" xfId="27741"/>
    <cellStyle name="Calculation 16 5 2 4" xfId="27742"/>
    <cellStyle name="Calculation 16 5 3" xfId="9470"/>
    <cellStyle name="Calculation 16 5 3 2" xfId="9471"/>
    <cellStyle name="Calculation 16 5 3 3" xfId="27743"/>
    <cellStyle name="Calculation 16 5 3 4" xfId="27744"/>
    <cellStyle name="Calculation 16 5 4" xfId="9472"/>
    <cellStyle name="Calculation 16 5 4 2" xfId="9473"/>
    <cellStyle name="Calculation 16 5 4 3" xfId="27745"/>
    <cellStyle name="Calculation 16 5 4 4" xfId="27746"/>
    <cellStyle name="Calculation 16 5 5" xfId="9474"/>
    <cellStyle name="Calculation 16 5 5 2" xfId="9475"/>
    <cellStyle name="Calculation 16 5 5 3" xfId="27747"/>
    <cellStyle name="Calculation 16 5 5 4" xfId="27748"/>
    <cellStyle name="Calculation 16 5 6" xfId="9476"/>
    <cellStyle name="Calculation 16 5 6 2" xfId="9477"/>
    <cellStyle name="Calculation 16 5 6 3" xfId="27749"/>
    <cellStyle name="Calculation 16 5 6 4" xfId="27750"/>
    <cellStyle name="Calculation 16 5 7" xfId="9478"/>
    <cellStyle name="Calculation 16 5 7 2" xfId="9479"/>
    <cellStyle name="Calculation 16 5 7 3" xfId="27751"/>
    <cellStyle name="Calculation 16 5 7 4" xfId="27752"/>
    <cellStyle name="Calculation 16 5 8" xfId="9480"/>
    <cellStyle name="Calculation 16 5 9" xfId="27753"/>
    <cellStyle name="Calculation 16 6" xfId="9481"/>
    <cellStyle name="Calculation 16 6 2" xfId="9482"/>
    <cellStyle name="Calculation 16 6 3" xfId="27754"/>
    <cellStyle name="Calculation 16 6 4" xfId="27755"/>
    <cellStyle name="Calculation 16 7" xfId="9483"/>
    <cellStyle name="Calculation 16 7 2" xfId="9484"/>
    <cellStyle name="Calculation 16 7 3" xfId="27756"/>
    <cellStyle name="Calculation 16 7 4" xfId="27757"/>
    <cellStyle name="Calculation 16 8" xfId="9485"/>
    <cellStyle name="Calculation 16 8 2" xfId="9486"/>
    <cellStyle name="Calculation 16 8 3" xfId="27758"/>
    <cellStyle name="Calculation 16 8 4" xfId="27759"/>
    <cellStyle name="Calculation 16 9" xfId="9487"/>
    <cellStyle name="Calculation 16 9 2" xfId="9488"/>
    <cellStyle name="Calculation 16 9 3" xfId="27760"/>
    <cellStyle name="Calculation 16 9 4" xfId="27761"/>
    <cellStyle name="Calculation 17" xfId="9489"/>
    <cellStyle name="Calculation 17 10" xfId="9490"/>
    <cellStyle name="Calculation 17 10 2" xfId="9491"/>
    <cellStyle name="Calculation 17 10 3" xfId="27762"/>
    <cellStyle name="Calculation 17 10 4" xfId="27763"/>
    <cellStyle name="Calculation 17 11" xfId="9492"/>
    <cellStyle name="Calculation 17 11 2" xfId="9493"/>
    <cellStyle name="Calculation 17 11 3" xfId="27764"/>
    <cellStyle name="Calculation 17 11 4" xfId="27765"/>
    <cellStyle name="Calculation 17 12" xfId="9494"/>
    <cellStyle name="Calculation 17 13" xfId="27766"/>
    <cellStyle name="Calculation 17 14" xfId="27767"/>
    <cellStyle name="Calculation 17 2" xfId="9495"/>
    <cellStyle name="Calculation 17 2 10" xfId="27768"/>
    <cellStyle name="Calculation 17 2 2" xfId="9496"/>
    <cellStyle name="Calculation 17 2 2 2" xfId="9497"/>
    <cellStyle name="Calculation 17 2 2 3" xfId="27769"/>
    <cellStyle name="Calculation 17 2 2 4" xfId="27770"/>
    <cellStyle name="Calculation 17 2 3" xfId="9498"/>
    <cellStyle name="Calculation 17 2 3 2" xfId="9499"/>
    <cellStyle name="Calculation 17 2 3 3" xfId="27771"/>
    <cellStyle name="Calculation 17 2 3 4" xfId="27772"/>
    <cellStyle name="Calculation 17 2 4" xfId="9500"/>
    <cellStyle name="Calculation 17 2 4 2" xfId="9501"/>
    <cellStyle name="Calculation 17 2 4 3" xfId="27773"/>
    <cellStyle name="Calculation 17 2 4 4" xfId="27774"/>
    <cellStyle name="Calculation 17 2 5" xfId="9502"/>
    <cellStyle name="Calculation 17 2 5 2" xfId="9503"/>
    <cellStyle name="Calculation 17 2 5 3" xfId="27775"/>
    <cellStyle name="Calculation 17 2 5 4" xfId="27776"/>
    <cellStyle name="Calculation 17 2 6" xfId="9504"/>
    <cellStyle name="Calculation 17 2 6 2" xfId="9505"/>
    <cellStyle name="Calculation 17 2 6 3" xfId="27777"/>
    <cellStyle name="Calculation 17 2 6 4" xfId="27778"/>
    <cellStyle name="Calculation 17 2 7" xfId="9506"/>
    <cellStyle name="Calculation 17 2 7 2" xfId="9507"/>
    <cellStyle name="Calculation 17 2 7 3" xfId="27779"/>
    <cellStyle name="Calculation 17 2 7 4" xfId="27780"/>
    <cellStyle name="Calculation 17 2 8" xfId="9508"/>
    <cellStyle name="Calculation 17 2 9" xfId="27781"/>
    <cellStyle name="Calculation 17 3" xfId="9509"/>
    <cellStyle name="Calculation 17 3 10" xfId="27782"/>
    <cellStyle name="Calculation 17 3 2" xfId="9510"/>
    <cellStyle name="Calculation 17 3 2 2" xfId="9511"/>
    <cellStyle name="Calculation 17 3 2 3" xfId="27783"/>
    <cellStyle name="Calculation 17 3 2 4" xfId="27784"/>
    <cellStyle name="Calculation 17 3 3" xfId="9512"/>
    <cellStyle name="Calculation 17 3 3 2" xfId="9513"/>
    <cellStyle name="Calculation 17 3 3 3" xfId="27785"/>
    <cellStyle name="Calculation 17 3 3 4" xfId="27786"/>
    <cellStyle name="Calculation 17 3 4" xfId="9514"/>
    <cellStyle name="Calculation 17 3 4 2" xfId="9515"/>
    <cellStyle name="Calculation 17 3 4 3" xfId="27787"/>
    <cellStyle name="Calculation 17 3 4 4" xfId="27788"/>
    <cellStyle name="Calculation 17 3 5" xfId="9516"/>
    <cellStyle name="Calculation 17 3 5 2" xfId="9517"/>
    <cellStyle name="Calculation 17 3 5 3" xfId="27789"/>
    <cellStyle name="Calculation 17 3 5 4" xfId="27790"/>
    <cellStyle name="Calculation 17 3 6" xfId="9518"/>
    <cellStyle name="Calculation 17 3 6 2" xfId="9519"/>
    <cellStyle name="Calculation 17 3 6 3" xfId="27791"/>
    <cellStyle name="Calculation 17 3 6 4" xfId="27792"/>
    <cellStyle name="Calculation 17 3 7" xfId="9520"/>
    <cellStyle name="Calculation 17 3 7 2" xfId="9521"/>
    <cellStyle name="Calculation 17 3 7 3" xfId="27793"/>
    <cellStyle name="Calculation 17 3 7 4" xfId="27794"/>
    <cellStyle name="Calculation 17 3 8" xfId="9522"/>
    <cellStyle name="Calculation 17 3 9" xfId="27795"/>
    <cellStyle name="Calculation 17 4" xfId="9523"/>
    <cellStyle name="Calculation 17 4 10" xfId="27796"/>
    <cellStyle name="Calculation 17 4 2" xfId="9524"/>
    <cellStyle name="Calculation 17 4 2 2" xfId="9525"/>
    <cellStyle name="Calculation 17 4 2 3" xfId="27797"/>
    <cellStyle name="Calculation 17 4 2 4" xfId="27798"/>
    <cellStyle name="Calculation 17 4 3" xfId="9526"/>
    <cellStyle name="Calculation 17 4 3 2" xfId="9527"/>
    <cellStyle name="Calculation 17 4 3 3" xfId="27799"/>
    <cellStyle name="Calculation 17 4 3 4" xfId="27800"/>
    <cellStyle name="Calculation 17 4 4" xfId="9528"/>
    <cellStyle name="Calculation 17 4 4 2" xfId="9529"/>
    <cellStyle name="Calculation 17 4 4 3" xfId="27801"/>
    <cellStyle name="Calculation 17 4 4 4" xfId="27802"/>
    <cellStyle name="Calculation 17 4 5" xfId="9530"/>
    <cellStyle name="Calculation 17 4 5 2" xfId="9531"/>
    <cellStyle name="Calculation 17 4 5 3" xfId="27803"/>
    <cellStyle name="Calculation 17 4 5 4" xfId="27804"/>
    <cellStyle name="Calculation 17 4 6" xfId="9532"/>
    <cellStyle name="Calculation 17 4 6 2" xfId="9533"/>
    <cellStyle name="Calculation 17 4 6 3" xfId="27805"/>
    <cellStyle name="Calculation 17 4 6 4" xfId="27806"/>
    <cellStyle name="Calculation 17 4 7" xfId="9534"/>
    <cellStyle name="Calculation 17 4 7 2" xfId="9535"/>
    <cellStyle name="Calculation 17 4 7 3" xfId="27807"/>
    <cellStyle name="Calculation 17 4 7 4" xfId="27808"/>
    <cellStyle name="Calculation 17 4 8" xfId="9536"/>
    <cellStyle name="Calculation 17 4 9" xfId="27809"/>
    <cellStyle name="Calculation 17 5" xfId="9537"/>
    <cellStyle name="Calculation 17 5 10" xfId="27810"/>
    <cellStyle name="Calculation 17 5 2" xfId="9538"/>
    <cellStyle name="Calculation 17 5 2 2" xfId="9539"/>
    <cellStyle name="Calculation 17 5 2 3" xfId="27811"/>
    <cellStyle name="Calculation 17 5 2 4" xfId="27812"/>
    <cellStyle name="Calculation 17 5 3" xfId="9540"/>
    <cellStyle name="Calculation 17 5 3 2" xfId="9541"/>
    <cellStyle name="Calculation 17 5 3 3" xfId="27813"/>
    <cellStyle name="Calculation 17 5 3 4" xfId="27814"/>
    <cellStyle name="Calculation 17 5 4" xfId="9542"/>
    <cellStyle name="Calculation 17 5 4 2" xfId="9543"/>
    <cellStyle name="Calculation 17 5 4 3" xfId="27815"/>
    <cellStyle name="Calculation 17 5 4 4" xfId="27816"/>
    <cellStyle name="Calculation 17 5 5" xfId="9544"/>
    <cellStyle name="Calculation 17 5 5 2" xfId="9545"/>
    <cellStyle name="Calculation 17 5 5 3" xfId="27817"/>
    <cellStyle name="Calculation 17 5 5 4" xfId="27818"/>
    <cellStyle name="Calculation 17 5 6" xfId="9546"/>
    <cellStyle name="Calculation 17 5 6 2" xfId="9547"/>
    <cellStyle name="Calculation 17 5 6 3" xfId="27819"/>
    <cellStyle name="Calculation 17 5 6 4" xfId="27820"/>
    <cellStyle name="Calculation 17 5 7" xfId="9548"/>
    <cellStyle name="Calculation 17 5 7 2" xfId="9549"/>
    <cellStyle name="Calculation 17 5 7 3" xfId="27821"/>
    <cellStyle name="Calculation 17 5 7 4" xfId="27822"/>
    <cellStyle name="Calculation 17 5 8" xfId="9550"/>
    <cellStyle name="Calculation 17 5 9" xfId="27823"/>
    <cellStyle name="Calculation 17 6" xfId="9551"/>
    <cellStyle name="Calculation 17 6 2" xfId="9552"/>
    <cellStyle name="Calculation 17 6 3" xfId="27824"/>
    <cellStyle name="Calculation 17 6 4" xfId="27825"/>
    <cellStyle name="Calculation 17 7" xfId="9553"/>
    <cellStyle name="Calculation 17 7 2" xfId="9554"/>
    <cellStyle name="Calculation 17 7 3" xfId="27826"/>
    <cellStyle name="Calculation 17 7 4" xfId="27827"/>
    <cellStyle name="Calculation 17 8" xfId="9555"/>
    <cellStyle name="Calculation 17 8 2" xfId="9556"/>
    <cellStyle name="Calculation 17 8 3" xfId="27828"/>
    <cellStyle name="Calculation 17 8 4" xfId="27829"/>
    <cellStyle name="Calculation 17 9" xfId="9557"/>
    <cellStyle name="Calculation 17 9 2" xfId="9558"/>
    <cellStyle name="Calculation 17 9 3" xfId="27830"/>
    <cellStyle name="Calculation 17 9 4" xfId="27831"/>
    <cellStyle name="Calculation 18" xfId="9559"/>
    <cellStyle name="Calculation 18 10" xfId="9560"/>
    <cellStyle name="Calculation 18 10 2" xfId="9561"/>
    <cellStyle name="Calculation 18 10 3" xfId="27832"/>
    <cellStyle name="Calculation 18 10 4" xfId="27833"/>
    <cellStyle name="Calculation 18 11" xfId="9562"/>
    <cellStyle name="Calculation 18 11 2" xfId="9563"/>
    <cellStyle name="Calculation 18 11 3" xfId="27834"/>
    <cellStyle name="Calculation 18 11 4" xfId="27835"/>
    <cellStyle name="Calculation 18 12" xfId="9564"/>
    <cellStyle name="Calculation 18 13" xfId="27836"/>
    <cellStyle name="Calculation 18 14" xfId="27837"/>
    <cellStyle name="Calculation 18 2" xfId="9565"/>
    <cellStyle name="Calculation 18 2 10" xfId="27838"/>
    <cellStyle name="Calculation 18 2 2" xfId="9566"/>
    <cellStyle name="Calculation 18 2 2 2" xfId="9567"/>
    <cellStyle name="Calculation 18 2 2 3" xfId="27839"/>
    <cellStyle name="Calculation 18 2 2 4" xfId="27840"/>
    <cellStyle name="Calculation 18 2 3" xfId="9568"/>
    <cellStyle name="Calculation 18 2 3 2" xfId="9569"/>
    <cellStyle name="Calculation 18 2 3 3" xfId="27841"/>
    <cellStyle name="Calculation 18 2 3 4" xfId="27842"/>
    <cellStyle name="Calculation 18 2 4" xfId="9570"/>
    <cellStyle name="Calculation 18 2 4 2" xfId="9571"/>
    <cellStyle name="Calculation 18 2 4 3" xfId="27843"/>
    <cellStyle name="Calculation 18 2 4 4" xfId="27844"/>
    <cellStyle name="Calculation 18 2 5" xfId="9572"/>
    <cellStyle name="Calculation 18 2 5 2" xfId="9573"/>
    <cellStyle name="Calculation 18 2 5 3" xfId="27845"/>
    <cellStyle name="Calculation 18 2 5 4" xfId="27846"/>
    <cellStyle name="Calculation 18 2 6" xfId="9574"/>
    <cellStyle name="Calculation 18 2 6 2" xfId="9575"/>
    <cellStyle name="Calculation 18 2 6 3" xfId="27847"/>
    <cellStyle name="Calculation 18 2 6 4" xfId="27848"/>
    <cellStyle name="Calculation 18 2 7" xfId="9576"/>
    <cellStyle name="Calculation 18 2 7 2" xfId="9577"/>
    <cellStyle name="Calculation 18 2 7 3" xfId="27849"/>
    <cellStyle name="Calculation 18 2 7 4" xfId="27850"/>
    <cellStyle name="Calculation 18 2 8" xfId="9578"/>
    <cellStyle name="Calculation 18 2 9" xfId="27851"/>
    <cellStyle name="Calculation 18 3" xfId="9579"/>
    <cellStyle name="Calculation 18 3 10" xfId="27852"/>
    <cellStyle name="Calculation 18 3 2" xfId="9580"/>
    <cellStyle name="Calculation 18 3 2 2" xfId="9581"/>
    <cellStyle name="Calculation 18 3 2 3" xfId="27853"/>
    <cellStyle name="Calculation 18 3 2 4" xfId="27854"/>
    <cellStyle name="Calculation 18 3 3" xfId="9582"/>
    <cellStyle name="Calculation 18 3 3 2" xfId="9583"/>
    <cellStyle name="Calculation 18 3 3 3" xfId="27855"/>
    <cellStyle name="Calculation 18 3 3 4" xfId="27856"/>
    <cellStyle name="Calculation 18 3 4" xfId="9584"/>
    <cellStyle name="Calculation 18 3 4 2" xfId="9585"/>
    <cellStyle name="Calculation 18 3 4 3" xfId="27857"/>
    <cellStyle name="Calculation 18 3 4 4" xfId="27858"/>
    <cellStyle name="Calculation 18 3 5" xfId="9586"/>
    <cellStyle name="Calculation 18 3 5 2" xfId="9587"/>
    <cellStyle name="Calculation 18 3 5 3" xfId="27859"/>
    <cellStyle name="Calculation 18 3 5 4" xfId="27860"/>
    <cellStyle name="Calculation 18 3 6" xfId="9588"/>
    <cellStyle name="Calculation 18 3 6 2" xfId="9589"/>
    <cellStyle name="Calculation 18 3 6 3" xfId="27861"/>
    <cellStyle name="Calculation 18 3 6 4" xfId="27862"/>
    <cellStyle name="Calculation 18 3 7" xfId="9590"/>
    <cellStyle name="Calculation 18 3 7 2" xfId="9591"/>
    <cellStyle name="Calculation 18 3 7 3" xfId="27863"/>
    <cellStyle name="Calculation 18 3 7 4" xfId="27864"/>
    <cellStyle name="Calculation 18 3 8" xfId="9592"/>
    <cellStyle name="Calculation 18 3 9" xfId="27865"/>
    <cellStyle name="Calculation 18 4" xfId="9593"/>
    <cellStyle name="Calculation 18 4 10" xfId="27866"/>
    <cellStyle name="Calculation 18 4 2" xfId="9594"/>
    <cellStyle name="Calculation 18 4 2 2" xfId="9595"/>
    <cellStyle name="Calculation 18 4 2 3" xfId="27867"/>
    <cellStyle name="Calculation 18 4 2 4" xfId="27868"/>
    <cellStyle name="Calculation 18 4 3" xfId="9596"/>
    <cellStyle name="Calculation 18 4 3 2" xfId="9597"/>
    <cellStyle name="Calculation 18 4 3 3" xfId="27869"/>
    <cellStyle name="Calculation 18 4 3 4" xfId="27870"/>
    <cellStyle name="Calculation 18 4 4" xfId="9598"/>
    <cellStyle name="Calculation 18 4 4 2" xfId="9599"/>
    <cellStyle name="Calculation 18 4 4 3" xfId="27871"/>
    <cellStyle name="Calculation 18 4 4 4" xfId="27872"/>
    <cellStyle name="Calculation 18 4 5" xfId="9600"/>
    <cellStyle name="Calculation 18 4 5 2" xfId="9601"/>
    <cellStyle name="Calculation 18 4 5 3" xfId="27873"/>
    <cellStyle name="Calculation 18 4 5 4" xfId="27874"/>
    <cellStyle name="Calculation 18 4 6" xfId="9602"/>
    <cellStyle name="Calculation 18 4 6 2" xfId="9603"/>
    <cellStyle name="Calculation 18 4 6 3" xfId="27875"/>
    <cellStyle name="Calculation 18 4 6 4" xfId="27876"/>
    <cellStyle name="Calculation 18 4 7" xfId="9604"/>
    <cellStyle name="Calculation 18 4 7 2" xfId="9605"/>
    <cellStyle name="Calculation 18 4 7 3" xfId="27877"/>
    <cellStyle name="Calculation 18 4 7 4" xfId="27878"/>
    <cellStyle name="Calculation 18 4 8" xfId="9606"/>
    <cellStyle name="Calculation 18 4 9" xfId="27879"/>
    <cellStyle name="Calculation 18 5" xfId="9607"/>
    <cellStyle name="Calculation 18 5 10" xfId="27880"/>
    <cellStyle name="Calculation 18 5 2" xfId="9608"/>
    <cellStyle name="Calculation 18 5 2 2" xfId="9609"/>
    <cellStyle name="Calculation 18 5 2 3" xfId="27881"/>
    <cellStyle name="Calculation 18 5 2 4" xfId="27882"/>
    <cellStyle name="Calculation 18 5 3" xfId="9610"/>
    <cellStyle name="Calculation 18 5 3 2" xfId="9611"/>
    <cellStyle name="Calculation 18 5 3 3" xfId="27883"/>
    <cellStyle name="Calculation 18 5 3 4" xfId="27884"/>
    <cellStyle name="Calculation 18 5 4" xfId="9612"/>
    <cellStyle name="Calculation 18 5 4 2" xfId="9613"/>
    <cellStyle name="Calculation 18 5 4 3" xfId="27885"/>
    <cellStyle name="Calculation 18 5 4 4" xfId="27886"/>
    <cellStyle name="Calculation 18 5 5" xfId="9614"/>
    <cellStyle name="Calculation 18 5 5 2" xfId="9615"/>
    <cellStyle name="Calculation 18 5 5 3" xfId="27887"/>
    <cellStyle name="Calculation 18 5 5 4" xfId="27888"/>
    <cellStyle name="Calculation 18 5 6" xfId="9616"/>
    <cellStyle name="Calculation 18 5 6 2" xfId="9617"/>
    <cellStyle name="Calculation 18 5 6 3" xfId="27889"/>
    <cellStyle name="Calculation 18 5 6 4" xfId="27890"/>
    <cellStyle name="Calculation 18 5 7" xfId="9618"/>
    <cellStyle name="Calculation 18 5 7 2" xfId="9619"/>
    <cellStyle name="Calculation 18 5 7 3" xfId="27891"/>
    <cellStyle name="Calculation 18 5 7 4" xfId="27892"/>
    <cellStyle name="Calculation 18 5 8" xfId="9620"/>
    <cellStyle name="Calculation 18 5 9" xfId="27893"/>
    <cellStyle name="Calculation 18 6" xfId="9621"/>
    <cellStyle name="Calculation 18 6 2" xfId="9622"/>
    <cellStyle name="Calculation 18 6 3" xfId="27894"/>
    <cellStyle name="Calculation 18 6 4" xfId="27895"/>
    <cellStyle name="Calculation 18 7" xfId="9623"/>
    <cellStyle name="Calculation 18 7 2" xfId="9624"/>
    <cellStyle name="Calculation 18 7 3" xfId="27896"/>
    <cellStyle name="Calculation 18 7 4" xfId="27897"/>
    <cellStyle name="Calculation 18 8" xfId="9625"/>
    <cellStyle name="Calculation 18 8 2" xfId="9626"/>
    <cellStyle name="Calculation 18 8 3" xfId="27898"/>
    <cellStyle name="Calculation 18 8 4" xfId="27899"/>
    <cellStyle name="Calculation 18 9" xfId="9627"/>
    <cellStyle name="Calculation 18 9 2" xfId="9628"/>
    <cellStyle name="Calculation 18 9 3" xfId="27900"/>
    <cellStyle name="Calculation 18 9 4" xfId="27901"/>
    <cellStyle name="Calculation 19" xfId="9629"/>
    <cellStyle name="Calculation 19 10" xfId="9630"/>
    <cellStyle name="Calculation 19 10 2" xfId="9631"/>
    <cellStyle name="Calculation 19 10 3" xfId="27902"/>
    <cellStyle name="Calculation 19 10 4" xfId="27903"/>
    <cellStyle name="Calculation 19 11" xfId="9632"/>
    <cellStyle name="Calculation 19 11 2" xfId="9633"/>
    <cellStyle name="Calculation 19 11 3" xfId="27904"/>
    <cellStyle name="Calculation 19 11 4" xfId="27905"/>
    <cellStyle name="Calculation 19 12" xfId="9634"/>
    <cellStyle name="Calculation 19 13" xfId="27906"/>
    <cellStyle name="Calculation 19 14" xfId="27907"/>
    <cellStyle name="Calculation 19 2" xfId="9635"/>
    <cellStyle name="Calculation 19 2 10" xfId="27908"/>
    <cellStyle name="Calculation 19 2 2" xfId="9636"/>
    <cellStyle name="Calculation 19 2 2 2" xfId="9637"/>
    <cellStyle name="Calculation 19 2 2 3" xfId="27909"/>
    <cellStyle name="Calculation 19 2 2 4" xfId="27910"/>
    <cellStyle name="Calculation 19 2 3" xfId="9638"/>
    <cellStyle name="Calculation 19 2 3 2" xfId="9639"/>
    <cellStyle name="Calculation 19 2 3 3" xfId="27911"/>
    <cellStyle name="Calculation 19 2 3 4" xfId="27912"/>
    <cellStyle name="Calculation 19 2 4" xfId="9640"/>
    <cellStyle name="Calculation 19 2 4 2" xfId="9641"/>
    <cellStyle name="Calculation 19 2 4 3" xfId="27913"/>
    <cellStyle name="Calculation 19 2 4 4" xfId="27914"/>
    <cellStyle name="Calculation 19 2 5" xfId="9642"/>
    <cellStyle name="Calculation 19 2 5 2" xfId="9643"/>
    <cellStyle name="Calculation 19 2 5 3" xfId="27915"/>
    <cellStyle name="Calculation 19 2 5 4" xfId="27916"/>
    <cellStyle name="Calculation 19 2 6" xfId="9644"/>
    <cellStyle name="Calculation 19 2 6 2" xfId="9645"/>
    <cellStyle name="Calculation 19 2 6 3" xfId="27917"/>
    <cellStyle name="Calculation 19 2 6 4" xfId="27918"/>
    <cellStyle name="Calculation 19 2 7" xfId="9646"/>
    <cellStyle name="Calculation 19 2 7 2" xfId="9647"/>
    <cellStyle name="Calculation 19 2 7 3" xfId="27919"/>
    <cellStyle name="Calculation 19 2 7 4" xfId="27920"/>
    <cellStyle name="Calculation 19 2 8" xfId="9648"/>
    <cellStyle name="Calculation 19 2 9" xfId="27921"/>
    <cellStyle name="Calculation 19 3" xfId="9649"/>
    <cellStyle name="Calculation 19 3 10" xfId="27922"/>
    <cellStyle name="Calculation 19 3 2" xfId="9650"/>
    <cellStyle name="Calculation 19 3 2 2" xfId="9651"/>
    <cellStyle name="Calculation 19 3 2 3" xfId="27923"/>
    <cellStyle name="Calculation 19 3 2 4" xfId="27924"/>
    <cellStyle name="Calculation 19 3 3" xfId="9652"/>
    <cellStyle name="Calculation 19 3 3 2" xfId="9653"/>
    <cellStyle name="Calculation 19 3 3 3" xfId="27925"/>
    <cellStyle name="Calculation 19 3 3 4" xfId="27926"/>
    <cellStyle name="Calculation 19 3 4" xfId="9654"/>
    <cellStyle name="Calculation 19 3 4 2" xfId="9655"/>
    <cellStyle name="Calculation 19 3 4 3" xfId="27927"/>
    <cellStyle name="Calculation 19 3 4 4" xfId="27928"/>
    <cellStyle name="Calculation 19 3 5" xfId="9656"/>
    <cellStyle name="Calculation 19 3 5 2" xfId="9657"/>
    <cellStyle name="Calculation 19 3 5 3" xfId="27929"/>
    <cellStyle name="Calculation 19 3 5 4" xfId="27930"/>
    <cellStyle name="Calculation 19 3 6" xfId="9658"/>
    <cellStyle name="Calculation 19 3 6 2" xfId="9659"/>
    <cellStyle name="Calculation 19 3 6 3" xfId="27931"/>
    <cellStyle name="Calculation 19 3 6 4" xfId="27932"/>
    <cellStyle name="Calculation 19 3 7" xfId="9660"/>
    <cellStyle name="Calculation 19 3 7 2" xfId="9661"/>
    <cellStyle name="Calculation 19 3 7 3" xfId="27933"/>
    <cellStyle name="Calculation 19 3 7 4" xfId="27934"/>
    <cellStyle name="Calculation 19 3 8" xfId="9662"/>
    <cellStyle name="Calculation 19 3 9" xfId="27935"/>
    <cellStyle name="Calculation 19 4" xfId="9663"/>
    <cellStyle name="Calculation 19 4 10" xfId="27936"/>
    <cellStyle name="Calculation 19 4 2" xfId="9664"/>
    <cellStyle name="Calculation 19 4 2 2" xfId="9665"/>
    <cellStyle name="Calculation 19 4 2 3" xfId="27937"/>
    <cellStyle name="Calculation 19 4 2 4" xfId="27938"/>
    <cellStyle name="Calculation 19 4 3" xfId="9666"/>
    <cellStyle name="Calculation 19 4 3 2" xfId="9667"/>
    <cellStyle name="Calculation 19 4 3 3" xfId="27939"/>
    <cellStyle name="Calculation 19 4 3 4" xfId="27940"/>
    <cellStyle name="Calculation 19 4 4" xfId="9668"/>
    <cellStyle name="Calculation 19 4 4 2" xfId="9669"/>
    <cellStyle name="Calculation 19 4 4 3" xfId="27941"/>
    <cellStyle name="Calculation 19 4 4 4" xfId="27942"/>
    <cellStyle name="Calculation 19 4 5" xfId="9670"/>
    <cellStyle name="Calculation 19 4 5 2" xfId="9671"/>
    <cellStyle name="Calculation 19 4 5 3" xfId="27943"/>
    <cellStyle name="Calculation 19 4 5 4" xfId="27944"/>
    <cellStyle name="Calculation 19 4 6" xfId="9672"/>
    <cellStyle name="Calculation 19 4 6 2" xfId="9673"/>
    <cellStyle name="Calculation 19 4 6 3" xfId="27945"/>
    <cellStyle name="Calculation 19 4 6 4" xfId="27946"/>
    <cellStyle name="Calculation 19 4 7" xfId="9674"/>
    <cellStyle name="Calculation 19 4 7 2" xfId="9675"/>
    <cellStyle name="Calculation 19 4 7 3" xfId="27947"/>
    <cellStyle name="Calculation 19 4 7 4" xfId="27948"/>
    <cellStyle name="Calculation 19 4 8" xfId="9676"/>
    <cellStyle name="Calculation 19 4 9" xfId="27949"/>
    <cellStyle name="Calculation 19 5" xfId="9677"/>
    <cellStyle name="Calculation 19 5 10" xfId="27950"/>
    <cellStyle name="Calculation 19 5 2" xfId="9678"/>
    <cellStyle name="Calculation 19 5 2 2" xfId="9679"/>
    <cellStyle name="Calculation 19 5 2 3" xfId="27951"/>
    <cellStyle name="Calculation 19 5 2 4" xfId="27952"/>
    <cellStyle name="Calculation 19 5 3" xfId="9680"/>
    <cellStyle name="Calculation 19 5 3 2" xfId="9681"/>
    <cellStyle name="Calculation 19 5 3 3" xfId="27953"/>
    <cellStyle name="Calculation 19 5 3 4" xfId="27954"/>
    <cellStyle name="Calculation 19 5 4" xfId="9682"/>
    <cellStyle name="Calculation 19 5 4 2" xfId="9683"/>
    <cellStyle name="Calculation 19 5 4 3" xfId="27955"/>
    <cellStyle name="Calculation 19 5 4 4" xfId="27956"/>
    <cellStyle name="Calculation 19 5 5" xfId="9684"/>
    <cellStyle name="Calculation 19 5 5 2" xfId="9685"/>
    <cellStyle name="Calculation 19 5 5 3" xfId="27957"/>
    <cellStyle name="Calculation 19 5 5 4" xfId="27958"/>
    <cellStyle name="Calculation 19 5 6" xfId="9686"/>
    <cellStyle name="Calculation 19 5 6 2" xfId="9687"/>
    <cellStyle name="Calculation 19 5 6 3" xfId="27959"/>
    <cellStyle name="Calculation 19 5 6 4" xfId="27960"/>
    <cellStyle name="Calculation 19 5 7" xfId="9688"/>
    <cellStyle name="Calculation 19 5 7 2" xfId="9689"/>
    <cellStyle name="Calculation 19 5 7 3" xfId="27961"/>
    <cellStyle name="Calculation 19 5 7 4" xfId="27962"/>
    <cellStyle name="Calculation 19 5 8" xfId="9690"/>
    <cellStyle name="Calculation 19 5 9" xfId="27963"/>
    <cellStyle name="Calculation 19 6" xfId="9691"/>
    <cellStyle name="Calculation 19 6 2" xfId="9692"/>
    <cellStyle name="Calculation 19 6 3" xfId="27964"/>
    <cellStyle name="Calculation 19 6 4" xfId="27965"/>
    <cellStyle name="Calculation 19 7" xfId="9693"/>
    <cellStyle name="Calculation 19 7 2" xfId="9694"/>
    <cellStyle name="Calculation 19 7 3" xfId="27966"/>
    <cellStyle name="Calculation 19 7 4" xfId="27967"/>
    <cellStyle name="Calculation 19 8" xfId="9695"/>
    <cellStyle name="Calculation 19 8 2" xfId="9696"/>
    <cellStyle name="Calculation 19 8 3" xfId="27968"/>
    <cellStyle name="Calculation 19 8 4" xfId="27969"/>
    <cellStyle name="Calculation 19 9" xfId="9697"/>
    <cellStyle name="Calculation 19 9 2" xfId="9698"/>
    <cellStyle name="Calculation 19 9 3" xfId="27970"/>
    <cellStyle name="Calculation 19 9 4" xfId="27971"/>
    <cellStyle name="Calculation 2" xfId="9699"/>
    <cellStyle name="Calculation 2 10" xfId="9700"/>
    <cellStyle name="Calculation 2 10 2" xfId="9701"/>
    <cellStyle name="Calculation 2 10 3" xfId="27972"/>
    <cellStyle name="Calculation 2 10 4" xfId="27973"/>
    <cellStyle name="Calculation 2 11" xfId="9702"/>
    <cellStyle name="Calculation 2 11 2" xfId="9703"/>
    <cellStyle name="Calculation 2 11 3" xfId="27974"/>
    <cellStyle name="Calculation 2 11 4" xfId="27975"/>
    <cellStyle name="Calculation 2 12" xfId="9704"/>
    <cellStyle name="Calculation 2 12 2" xfId="9705"/>
    <cellStyle name="Calculation 2 12 3" xfId="27976"/>
    <cellStyle name="Calculation 2 13" xfId="9706"/>
    <cellStyle name="Calculation 2 14" xfId="27977"/>
    <cellStyle name="Calculation 2 15" xfId="27978"/>
    <cellStyle name="Calculation 2 16" xfId="27979"/>
    <cellStyle name="Calculation 2 2" xfId="9707"/>
    <cellStyle name="Calculation 2 2 10" xfId="27980"/>
    <cellStyle name="Calculation 2 2 2" xfId="9708"/>
    <cellStyle name="Calculation 2 2 2 2" xfId="9709"/>
    <cellStyle name="Calculation 2 2 2 3" xfId="27981"/>
    <cellStyle name="Calculation 2 2 2 4" xfId="27982"/>
    <cellStyle name="Calculation 2 2 3" xfId="9710"/>
    <cellStyle name="Calculation 2 2 3 2" xfId="9711"/>
    <cellStyle name="Calculation 2 2 3 3" xfId="27983"/>
    <cellStyle name="Calculation 2 2 3 4" xfId="27984"/>
    <cellStyle name="Calculation 2 2 4" xfId="9712"/>
    <cellStyle name="Calculation 2 2 4 2" xfId="9713"/>
    <cellStyle name="Calculation 2 2 4 3" xfId="27985"/>
    <cellStyle name="Calculation 2 2 4 4" xfId="27986"/>
    <cellStyle name="Calculation 2 2 5" xfId="9714"/>
    <cellStyle name="Calculation 2 2 5 2" xfId="9715"/>
    <cellStyle name="Calculation 2 2 5 3" xfId="27987"/>
    <cellStyle name="Calculation 2 2 5 4" xfId="27988"/>
    <cellStyle name="Calculation 2 2 6" xfId="9716"/>
    <cellStyle name="Calculation 2 2 6 2" xfId="9717"/>
    <cellStyle name="Calculation 2 2 6 3" xfId="27989"/>
    <cellStyle name="Calculation 2 2 6 4" xfId="27990"/>
    <cellStyle name="Calculation 2 2 7" xfId="9718"/>
    <cellStyle name="Calculation 2 2 7 2" xfId="9719"/>
    <cellStyle name="Calculation 2 2 7 3" xfId="27991"/>
    <cellStyle name="Calculation 2 2 7 4" xfId="27992"/>
    <cellStyle name="Calculation 2 2 8" xfId="9720"/>
    <cellStyle name="Calculation 2 2 9" xfId="27993"/>
    <cellStyle name="Calculation 2 3" xfId="9721"/>
    <cellStyle name="Calculation 2 3 10" xfId="27994"/>
    <cellStyle name="Calculation 2 3 2" xfId="9722"/>
    <cellStyle name="Calculation 2 3 2 2" xfId="9723"/>
    <cellStyle name="Calculation 2 3 2 3" xfId="27995"/>
    <cellStyle name="Calculation 2 3 2 4" xfId="27996"/>
    <cellStyle name="Calculation 2 3 3" xfId="9724"/>
    <cellStyle name="Calculation 2 3 3 2" xfId="9725"/>
    <cellStyle name="Calculation 2 3 3 3" xfId="27997"/>
    <cellStyle name="Calculation 2 3 3 4" xfId="27998"/>
    <cellStyle name="Calculation 2 3 4" xfId="9726"/>
    <cellStyle name="Calculation 2 3 4 2" xfId="9727"/>
    <cellStyle name="Calculation 2 3 4 3" xfId="27999"/>
    <cellStyle name="Calculation 2 3 4 4" xfId="28000"/>
    <cellStyle name="Calculation 2 3 5" xfId="9728"/>
    <cellStyle name="Calculation 2 3 5 2" xfId="9729"/>
    <cellStyle name="Calculation 2 3 5 3" xfId="28001"/>
    <cellStyle name="Calculation 2 3 5 4" xfId="28002"/>
    <cellStyle name="Calculation 2 3 6" xfId="9730"/>
    <cellStyle name="Calculation 2 3 6 2" xfId="9731"/>
    <cellStyle name="Calculation 2 3 6 3" xfId="28003"/>
    <cellStyle name="Calculation 2 3 6 4" xfId="28004"/>
    <cellStyle name="Calculation 2 3 7" xfId="9732"/>
    <cellStyle name="Calculation 2 3 7 2" xfId="9733"/>
    <cellStyle name="Calculation 2 3 7 3" xfId="28005"/>
    <cellStyle name="Calculation 2 3 7 4" xfId="28006"/>
    <cellStyle name="Calculation 2 3 8" xfId="9734"/>
    <cellStyle name="Calculation 2 3 9" xfId="28007"/>
    <cellStyle name="Calculation 2 4" xfId="9735"/>
    <cellStyle name="Calculation 2 4 10" xfId="28008"/>
    <cellStyle name="Calculation 2 4 2" xfId="9736"/>
    <cellStyle name="Calculation 2 4 2 2" xfId="9737"/>
    <cellStyle name="Calculation 2 4 2 3" xfId="28009"/>
    <cellStyle name="Calculation 2 4 2 4" xfId="28010"/>
    <cellStyle name="Calculation 2 4 3" xfId="9738"/>
    <cellStyle name="Calculation 2 4 3 2" xfId="9739"/>
    <cellStyle name="Calculation 2 4 3 3" xfId="28011"/>
    <cellStyle name="Calculation 2 4 3 4" xfId="28012"/>
    <cellStyle name="Calculation 2 4 4" xfId="9740"/>
    <cellStyle name="Calculation 2 4 4 2" xfId="9741"/>
    <cellStyle name="Calculation 2 4 4 3" xfId="28013"/>
    <cellStyle name="Calculation 2 4 4 4" xfId="28014"/>
    <cellStyle name="Calculation 2 4 5" xfId="9742"/>
    <cellStyle name="Calculation 2 4 5 2" xfId="9743"/>
    <cellStyle name="Calculation 2 4 5 3" xfId="28015"/>
    <cellStyle name="Calculation 2 4 5 4" xfId="28016"/>
    <cellStyle name="Calculation 2 4 6" xfId="9744"/>
    <cellStyle name="Calculation 2 4 6 2" xfId="9745"/>
    <cellStyle name="Calculation 2 4 6 3" xfId="28017"/>
    <cellStyle name="Calculation 2 4 6 4" xfId="28018"/>
    <cellStyle name="Calculation 2 4 7" xfId="9746"/>
    <cellStyle name="Calculation 2 4 7 2" xfId="9747"/>
    <cellStyle name="Calculation 2 4 7 3" xfId="28019"/>
    <cellStyle name="Calculation 2 4 7 4" xfId="28020"/>
    <cellStyle name="Calculation 2 4 8" xfId="9748"/>
    <cellStyle name="Calculation 2 4 9" xfId="28021"/>
    <cellStyle name="Calculation 2 5" xfId="9749"/>
    <cellStyle name="Calculation 2 5 10" xfId="28022"/>
    <cellStyle name="Calculation 2 5 2" xfId="9750"/>
    <cellStyle name="Calculation 2 5 2 2" xfId="9751"/>
    <cellStyle name="Calculation 2 5 2 3" xfId="28023"/>
    <cellStyle name="Calculation 2 5 2 4" xfId="28024"/>
    <cellStyle name="Calculation 2 5 3" xfId="9752"/>
    <cellStyle name="Calculation 2 5 3 2" xfId="9753"/>
    <cellStyle name="Calculation 2 5 3 3" xfId="28025"/>
    <cellStyle name="Calculation 2 5 3 4" xfId="28026"/>
    <cellStyle name="Calculation 2 5 4" xfId="9754"/>
    <cellStyle name="Calculation 2 5 4 2" xfId="9755"/>
    <cellStyle name="Calculation 2 5 4 3" xfId="28027"/>
    <cellStyle name="Calculation 2 5 4 4" xfId="28028"/>
    <cellStyle name="Calculation 2 5 5" xfId="9756"/>
    <cellStyle name="Calculation 2 5 5 2" xfId="9757"/>
    <cellStyle name="Calculation 2 5 5 3" xfId="28029"/>
    <cellStyle name="Calculation 2 5 5 4" xfId="28030"/>
    <cellStyle name="Calculation 2 5 6" xfId="9758"/>
    <cellStyle name="Calculation 2 5 6 2" xfId="9759"/>
    <cellStyle name="Calculation 2 5 6 3" xfId="28031"/>
    <cellStyle name="Calculation 2 5 6 4" xfId="28032"/>
    <cellStyle name="Calculation 2 5 7" xfId="9760"/>
    <cellStyle name="Calculation 2 5 7 2" xfId="9761"/>
    <cellStyle name="Calculation 2 5 7 3" xfId="28033"/>
    <cellStyle name="Calculation 2 5 7 4" xfId="28034"/>
    <cellStyle name="Calculation 2 5 8" xfId="9762"/>
    <cellStyle name="Calculation 2 5 9" xfId="28035"/>
    <cellStyle name="Calculation 2 6" xfId="9763"/>
    <cellStyle name="Calculation 2 6 2" xfId="9764"/>
    <cellStyle name="Calculation 2 6 3" xfId="28036"/>
    <cellStyle name="Calculation 2 6 4" xfId="28037"/>
    <cellStyle name="Calculation 2 7" xfId="9765"/>
    <cellStyle name="Calculation 2 7 2" xfId="9766"/>
    <cellStyle name="Calculation 2 7 3" xfId="28038"/>
    <cellStyle name="Calculation 2 7 4" xfId="28039"/>
    <cellStyle name="Calculation 2 8" xfId="9767"/>
    <cellStyle name="Calculation 2 8 2" xfId="9768"/>
    <cellStyle name="Calculation 2 8 3" xfId="28040"/>
    <cellStyle name="Calculation 2 8 4" xfId="28041"/>
    <cellStyle name="Calculation 2 9" xfId="9769"/>
    <cellStyle name="Calculation 2 9 2" xfId="9770"/>
    <cellStyle name="Calculation 2 9 3" xfId="28042"/>
    <cellStyle name="Calculation 2 9 4" xfId="28043"/>
    <cellStyle name="Calculation 20" xfId="9771"/>
    <cellStyle name="Calculation 20 10" xfId="9772"/>
    <cellStyle name="Calculation 20 10 2" xfId="9773"/>
    <cellStyle name="Calculation 20 10 3" xfId="28044"/>
    <cellStyle name="Calculation 20 10 4" xfId="28045"/>
    <cellStyle name="Calculation 20 11" xfId="9774"/>
    <cellStyle name="Calculation 20 11 2" xfId="9775"/>
    <cellStyle name="Calculation 20 11 3" xfId="28046"/>
    <cellStyle name="Calculation 20 11 4" xfId="28047"/>
    <cellStyle name="Calculation 20 12" xfId="9776"/>
    <cellStyle name="Calculation 20 13" xfId="28048"/>
    <cellStyle name="Calculation 20 14" xfId="28049"/>
    <cellStyle name="Calculation 20 2" xfId="9777"/>
    <cellStyle name="Calculation 20 2 10" xfId="28050"/>
    <cellStyle name="Calculation 20 2 2" xfId="9778"/>
    <cellStyle name="Calculation 20 2 2 2" xfId="9779"/>
    <cellStyle name="Calculation 20 2 2 3" xfId="28051"/>
    <cellStyle name="Calculation 20 2 2 4" xfId="28052"/>
    <cellStyle name="Calculation 20 2 3" xfId="9780"/>
    <cellStyle name="Calculation 20 2 3 2" xfId="9781"/>
    <cellStyle name="Calculation 20 2 3 3" xfId="28053"/>
    <cellStyle name="Calculation 20 2 3 4" xfId="28054"/>
    <cellStyle name="Calculation 20 2 4" xfId="9782"/>
    <cellStyle name="Calculation 20 2 4 2" xfId="9783"/>
    <cellStyle name="Calculation 20 2 4 3" xfId="28055"/>
    <cellStyle name="Calculation 20 2 4 4" xfId="28056"/>
    <cellStyle name="Calculation 20 2 5" xfId="9784"/>
    <cellStyle name="Calculation 20 2 5 2" xfId="9785"/>
    <cellStyle name="Calculation 20 2 5 3" xfId="28057"/>
    <cellStyle name="Calculation 20 2 5 4" xfId="28058"/>
    <cellStyle name="Calculation 20 2 6" xfId="9786"/>
    <cellStyle name="Calculation 20 2 6 2" xfId="9787"/>
    <cellStyle name="Calculation 20 2 6 3" xfId="28059"/>
    <cellStyle name="Calculation 20 2 6 4" xfId="28060"/>
    <cellStyle name="Calculation 20 2 7" xfId="9788"/>
    <cellStyle name="Calculation 20 2 7 2" xfId="9789"/>
    <cellStyle name="Calculation 20 2 7 3" xfId="28061"/>
    <cellStyle name="Calculation 20 2 7 4" xfId="28062"/>
    <cellStyle name="Calculation 20 2 8" xfId="9790"/>
    <cellStyle name="Calculation 20 2 9" xfId="28063"/>
    <cellStyle name="Calculation 20 3" xfId="9791"/>
    <cellStyle name="Calculation 20 3 10" xfId="28064"/>
    <cellStyle name="Calculation 20 3 2" xfId="9792"/>
    <cellStyle name="Calculation 20 3 2 2" xfId="9793"/>
    <cellStyle name="Calculation 20 3 2 3" xfId="28065"/>
    <cellStyle name="Calculation 20 3 2 4" xfId="28066"/>
    <cellStyle name="Calculation 20 3 3" xfId="9794"/>
    <cellStyle name="Calculation 20 3 3 2" xfId="9795"/>
    <cellStyle name="Calculation 20 3 3 3" xfId="28067"/>
    <cellStyle name="Calculation 20 3 3 4" xfId="28068"/>
    <cellStyle name="Calculation 20 3 4" xfId="9796"/>
    <cellStyle name="Calculation 20 3 4 2" xfId="9797"/>
    <cellStyle name="Calculation 20 3 4 3" xfId="28069"/>
    <cellStyle name="Calculation 20 3 4 4" xfId="28070"/>
    <cellStyle name="Calculation 20 3 5" xfId="9798"/>
    <cellStyle name="Calculation 20 3 5 2" xfId="9799"/>
    <cellStyle name="Calculation 20 3 5 3" xfId="28071"/>
    <cellStyle name="Calculation 20 3 5 4" xfId="28072"/>
    <cellStyle name="Calculation 20 3 6" xfId="9800"/>
    <cellStyle name="Calculation 20 3 6 2" xfId="9801"/>
    <cellStyle name="Calculation 20 3 6 3" xfId="28073"/>
    <cellStyle name="Calculation 20 3 6 4" xfId="28074"/>
    <cellStyle name="Calculation 20 3 7" xfId="9802"/>
    <cellStyle name="Calculation 20 3 7 2" xfId="9803"/>
    <cellStyle name="Calculation 20 3 7 3" xfId="28075"/>
    <cellStyle name="Calculation 20 3 7 4" xfId="28076"/>
    <cellStyle name="Calculation 20 3 8" xfId="9804"/>
    <cellStyle name="Calculation 20 3 9" xfId="28077"/>
    <cellStyle name="Calculation 20 4" xfId="9805"/>
    <cellStyle name="Calculation 20 4 10" xfId="28078"/>
    <cellStyle name="Calculation 20 4 2" xfId="9806"/>
    <cellStyle name="Calculation 20 4 2 2" xfId="9807"/>
    <cellStyle name="Calculation 20 4 2 3" xfId="28079"/>
    <cellStyle name="Calculation 20 4 2 4" xfId="28080"/>
    <cellStyle name="Calculation 20 4 3" xfId="9808"/>
    <cellStyle name="Calculation 20 4 3 2" xfId="9809"/>
    <cellStyle name="Calculation 20 4 3 3" xfId="28081"/>
    <cellStyle name="Calculation 20 4 3 4" xfId="28082"/>
    <cellStyle name="Calculation 20 4 4" xfId="9810"/>
    <cellStyle name="Calculation 20 4 4 2" xfId="9811"/>
    <cellStyle name="Calculation 20 4 4 3" xfId="28083"/>
    <cellStyle name="Calculation 20 4 4 4" xfId="28084"/>
    <cellStyle name="Calculation 20 4 5" xfId="9812"/>
    <cellStyle name="Calculation 20 4 5 2" xfId="9813"/>
    <cellStyle name="Calculation 20 4 5 3" xfId="28085"/>
    <cellStyle name="Calculation 20 4 5 4" xfId="28086"/>
    <cellStyle name="Calculation 20 4 6" xfId="9814"/>
    <cellStyle name="Calculation 20 4 6 2" xfId="9815"/>
    <cellStyle name="Calculation 20 4 6 3" xfId="28087"/>
    <cellStyle name="Calculation 20 4 6 4" xfId="28088"/>
    <cellStyle name="Calculation 20 4 7" xfId="9816"/>
    <cellStyle name="Calculation 20 4 7 2" xfId="9817"/>
    <cellStyle name="Calculation 20 4 7 3" xfId="28089"/>
    <cellStyle name="Calculation 20 4 7 4" xfId="28090"/>
    <cellStyle name="Calculation 20 4 8" xfId="9818"/>
    <cellStyle name="Calculation 20 4 9" xfId="28091"/>
    <cellStyle name="Calculation 20 5" xfId="9819"/>
    <cellStyle name="Calculation 20 5 10" xfId="28092"/>
    <cellStyle name="Calculation 20 5 2" xfId="9820"/>
    <cellStyle name="Calculation 20 5 2 2" xfId="9821"/>
    <cellStyle name="Calculation 20 5 2 3" xfId="28093"/>
    <cellStyle name="Calculation 20 5 2 4" xfId="28094"/>
    <cellStyle name="Calculation 20 5 3" xfId="9822"/>
    <cellStyle name="Calculation 20 5 3 2" xfId="9823"/>
    <cellStyle name="Calculation 20 5 3 3" xfId="28095"/>
    <cellStyle name="Calculation 20 5 3 4" xfId="28096"/>
    <cellStyle name="Calculation 20 5 4" xfId="9824"/>
    <cellStyle name="Calculation 20 5 4 2" xfId="9825"/>
    <cellStyle name="Calculation 20 5 4 3" xfId="28097"/>
    <cellStyle name="Calculation 20 5 4 4" xfId="28098"/>
    <cellStyle name="Calculation 20 5 5" xfId="9826"/>
    <cellStyle name="Calculation 20 5 5 2" xfId="9827"/>
    <cellStyle name="Calculation 20 5 5 3" xfId="28099"/>
    <cellStyle name="Calculation 20 5 5 4" xfId="28100"/>
    <cellStyle name="Calculation 20 5 6" xfId="9828"/>
    <cellStyle name="Calculation 20 5 6 2" xfId="9829"/>
    <cellStyle name="Calculation 20 5 6 3" xfId="28101"/>
    <cellStyle name="Calculation 20 5 6 4" xfId="28102"/>
    <cellStyle name="Calculation 20 5 7" xfId="9830"/>
    <cellStyle name="Calculation 20 5 7 2" xfId="9831"/>
    <cellStyle name="Calculation 20 5 7 3" xfId="28103"/>
    <cellStyle name="Calculation 20 5 7 4" xfId="28104"/>
    <cellStyle name="Calculation 20 5 8" xfId="9832"/>
    <cellStyle name="Calculation 20 5 9" xfId="28105"/>
    <cellStyle name="Calculation 20 6" xfId="9833"/>
    <cellStyle name="Calculation 20 6 2" xfId="9834"/>
    <cellStyle name="Calculation 20 6 3" xfId="28106"/>
    <cellStyle name="Calculation 20 6 4" xfId="28107"/>
    <cellStyle name="Calculation 20 7" xfId="9835"/>
    <cellStyle name="Calculation 20 7 2" xfId="9836"/>
    <cellStyle name="Calculation 20 7 3" xfId="28108"/>
    <cellStyle name="Calculation 20 7 4" xfId="28109"/>
    <cellStyle name="Calculation 20 8" xfId="9837"/>
    <cellStyle name="Calculation 20 8 2" xfId="9838"/>
    <cellStyle name="Calculation 20 8 3" xfId="28110"/>
    <cellStyle name="Calculation 20 8 4" xfId="28111"/>
    <cellStyle name="Calculation 20 9" xfId="9839"/>
    <cellStyle name="Calculation 20 9 2" xfId="9840"/>
    <cellStyle name="Calculation 20 9 3" xfId="28112"/>
    <cellStyle name="Calculation 20 9 4" xfId="28113"/>
    <cellStyle name="Calculation 21" xfId="9841"/>
    <cellStyle name="Calculation 21 10" xfId="9842"/>
    <cellStyle name="Calculation 21 10 2" xfId="9843"/>
    <cellStyle name="Calculation 21 10 3" xfId="28114"/>
    <cellStyle name="Calculation 21 10 4" xfId="28115"/>
    <cellStyle name="Calculation 21 11" xfId="9844"/>
    <cellStyle name="Calculation 21 11 2" xfId="9845"/>
    <cellStyle name="Calculation 21 11 3" xfId="28116"/>
    <cellStyle name="Calculation 21 11 4" xfId="28117"/>
    <cellStyle name="Calculation 21 12" xfId="9846"/>
    <cellStyle name="Calculation 21 13" xfId="28118"/>
    <cellStyle name="Calculation 21 14" xfId="28119"/>
    <cellStyle name="Calculation 21 2" xfId="9847"/>
    <cellStyle name="Calculation 21 2 10" xfId="28120"/>
    <cellStyle name="Calculation 21 2 2" xfId="9848"/>
    <cellStyle name="Calculation 21 2 2 2" xfId="9849"/>
    <cellStyle name="Calculation 21 2 2 3" xfId="28121"/>
    <cellStyle name="Calculation 21 2 2 4" xfId="28122"/>
    <cellStyle name="Calculation 21 2 3" xfId="9850"/>
    <cellStyle name="Calculation 21 2 3 2" xfId="9851"/>
    <cellStyle name="Calculation 21 2 3 3" xfId="28123"/>
    <cellStyle name="Calculation 21 2 3 4" xfId="28124"/>
    <cellStyle name="Calculation 21 2 4" xfId="9852"/>
    <cellStyle name="Calculation 21 2 4 2" xfId="9853"/>
    <cellStyle name="Calculation 21 2 4 3" xfId="28125"/>
    <cellStyle name="Calculation 21 2 4 4" xfId="28126"/>
    <cellStyle name="Calculation 21 2 5" xfId="9854"/>
    <cellStyle name="Calculation 21 2 5 2" xfId="9855"/>
    <cellStyle name="Calculation 21 2 5 3" xfId="28127"/>
    <cellStyle name="Calculation 21 2 5 4" xfId="28128"/>
    <cellStyle name="Calculation 21 2 6" xfId="9856"/>
    <cellStyle name="Calculation 21 2 6 2" xfId="9857"/>
    <cellStyle name="Calculation 21 2 6 3" xfId="28129"/>
    <cellStyle name="Calculation 21 2 6 4" xfId="28130"/>
    <cellStyle name="Calculation 21 2 7" xfId="9858"/>
    <cellStyle name="Calculation 21 2 7 2" xfId="9859"/>
    <cellStyle name="Calculation 21 2 7 3" xfId="28131"/>
    <cellStyle name="Calculation 21 2 7 4" xfId="28132"/>
    <cellStyle name="Calculation 21 2 8" xfId="9860"/>
    <cellStyle name="Calculation 21 2 9" xfId="28133"/>
    <cellStyle name="Calculation 21 3" xfId="9861"/>
    <cellStyle name="Calculation 21 3 10" xfId="28134"/>
    <cellStyle name="Calculation 21 3 2" xfId="9862"/>
    <cellStyle name="Calculation 21 3 2 2" xfId="9863"/>
    <cellStyle name="Calculation 21 3 2 3" xfId="28135"/>
    <cellStyle name="Calculation 21 3 2 4" xfId="28136"/>
    <cellStyle name="Calculation 21 3 3" xfId="9864"/>
    <cellStyle name="Calculation 21 3 3 2" xfId="9865"/>
    <cellStyle name="Calculation 21 3 3 3" xfId="28137"/>
    <cellStyle name="Calculation 21 3 3 4" xfId="28138"/>
    <cellStyle name="Calculation 21 3 4" xfId="9866"/>
    <cellStyle name="Calculation 21 3 4 2" xfId="9867"/>
    <cellStyle name="Calculation 21 3 4 3" xfId="28139"/>
    <cellStyle name="Calculation 21 3 4 4" xfId="28140"/>
    <cellStyle name="Calculation 21 3 5" xfId="9868"/>
    <cellStyle name="Calculation 21 3 5 2" xfId="9869"/>
    <cellStyle name="Calculation 21 3 5 3" xfId="28141"/>
    <cellStyle name="Calculation 21 3 5 4" xfId="28142"/>
    <cellStyle name="Calculation 21 3 6" xfId="9870"/>
    <cellStyle name="Calculation 21 3 6 2" xfId="9871"/>
    <cellStyle name="Calculation 21 3 6 3" xfId="28143"/>
    <cellStyle name="Calculation 21 3 6 4" xfId="28144"/>
    <cellStyle name="Calculation 21 3 7" xfId="9872"/>
    <cellStyle name="Calculation 21 3 7 2" xfId="9873"/>
    <cellStyle name="Calculation 21 3 7 3" xfId="28145"/>
    <cellStyle name="Calculation 21 3 7 4" xfId="28146"/>
    <cellStyle name="Calculation 21 3 8" xfId="9874"/>
    <cellStyle name="Calculation 21 3 9" xfId="28147"/>
    <cellStyle name="Calculation 21 4" xfId="9875"/>
    <cellStyle name="Calculation 21 4 10" xfId="28148"/>
    <cellStyle name="Calculation 21 4 2" xfId="9876"/>
    <cellStyle name="Calculation 21 4 2 2" xfId="9877"/>
    <cellStyle name="Calculation 21 4 2 3" xfId="28149"/>
    <cellStyle name="Calculation 21 4 2 4" xfId="28150"/>
    <cellStyle name="Calculation 21 4 3" xfId="9878"/>
    <cellStyle name="Calculation 21 4 3 2" xfId="9879"/>
    <cellStyle name="Calculation 21 4 3 3" xfId="28151"/>
    <cellStyle name="Calculation 21 4 3 4" xfId="28152"/>
    <cellStyle name="Calculation 21 4 4" xfId="9880"/>
    <cellStyle name="Calculation 21 4 4 2" xfId="9881"/>
    <cellStyle name="Calculation 21 4 4 3" xfId="28153"/>
    <cellStyle name="Calculation 21 4 4 4" xfId="28154"/>
    <cellStyle name="Calculation 21 4 5" xfId="9882"/>
    <cellStyle name="Calculation 21 4 5 2" xfId="9883"/>
    <cellStyle name="Calculation 21 4 5 3" xfId="28155"/>
    <cellStyle name="Calculation 21 4 5 4" xfId="28156"/>
    <cellStyle name="Calculation 21 4 6" xfId="9884"/>
    <cellStyle name="Calculation 21 4 6 2" xfId="9885"/>
    <cellStyle name="Calculation 21 4 6 3" xfId="28157"/>
    <cellStyle name="Calculation 21 4 6 4" xfId="28158"/>
    <cellStyle name="Calculation 21 4 7" xfId="9886"/>
    <cellStyle name="Calculation 21 4 7 2" xfId="9887"/>
    <cellStyle name="Calculation 21 4 7 3" xfId="28159"/>
    <cellStyle name="Calculation 21 4 7 4" xfId="28160"/>
    <cellStyle name="Calculation 21 4 8" xfId="9888"/>
    <cellStyle name="Calculation 21 4 9" xfId="28161"/>
    <cellStyle name="Calculation 21 5" xfId="9889"/>
    <cellStyle name="Calculation 21 5 10" xfId="28162"/>
    <cellStyle name="Calculation 21 5 2" xfId="9890"/>
    <cellStyle name="Calculation 21 5 2 2" xfId="9891"/>
    <cellStyle name="Calculation 21 5 2 3" xfId="28163"/>
    <cellStyle name="Calculation 21 5 2 4" xfId="28164"/>
    <cellStyle name="Calculation 21 5 3" xfId="9892"/>
    <cellStyle name="Calculation 21 5 3 2" xfId="9893"/>
    <cellStyle name="Calculation 21 5 3 3" xfId="28165"/>
    <cellStyle name="Calculation 21 5 3 4" xfId="28166"/>
    <cellStyle name="Calculation 21 5 4" xfId="9894"/>
    <cellStyle name="Calculation 21 5 4 2" xfId="9895"/>
    <cellStyle name="Calculation 21 5 4 3" xfId="28167"/>
    <cellStyle name="Calculation 21 5 4 4" xfId="28168"/>
    <cellStyle name="Calculation 21 5 5" xfId="9896"/>
    <cellStyle name="Calculation 21 5 5 2" xfId="9897"/>
    <cellStyle name="Calculation 21 5 5 3" xfId="28169"/>
    <cellStyle name="Calculation 21 5 5 4" xfId="28170"/>
    <cellStyle name="Calculation 21 5 6" xfId="9898"/>
    <cellStyle name="Calculation 21 5 6 2" xfId="9899"/>
    <cellStyle name="Calculation 21 5 6 3" xfId="28171"/>
    <cellStyle name="Calculation 21 5 6 4" xfId="28172"/>
    <cellStyle name="Calculation 21 5 7" xfId="9900"/>
    <cellStyle name="Calculation 21 5 7 2" xfId="9901"/>
    <cellStyle name="Calculation 21 5 7 3" xfId="28173"/>
    <cellStyle name="Calculation 21 5 7 4" xfId="28174"/>
    <cellStyle name="Calculation 21 5 8" xfId="9902"/>
    <cellStyle name="Calculation 21 5 9" xfId="28175"/>
    <cellStyle name="Calculation 21 6" xfId="9903"/>
    <cellStyle name="Calculation 21 6 2" xfId="9904"/>
    <cellStyle name="Calculation 21 6 3" xfId="28176"/>
    <cellStyle name="Calculation 21 6 4" xfId="28177"/>
    <cellStyle name="Calculation 21 7" xfId="9905"/>
    <cellStyle name="Calculation 21 7 2" xfId="9906"/>
    <cellStyle name="Calculation 21 7 3" xfId="28178"/>
    <cellStyle name="Calculation 21 7 4" xfId="28179"/>
    <cellStyle name="Calculation 21 8" xfId="9907"/>
    <cellStyle name="Calculation 21 8 2" xfId="9908"/>
    <cellStyle name="Calculation 21 8 3" xfId="28180"/>
    <cellStyle name="Calculation 21 8 4" xfId="28181"/>
    <cellStyle name="Calculation 21 9" xfId="9909"/>
    <cellStyle name="Calculation 21 9 2" xfId="9910"/>
    <cellStyle name="Calculation 21 9 3" xfId="28182"/>
    <cellStyle name="Calculation 21 9 4" xfId="28183"/>
    <cellStyle name="Calculation 22" xfId="9911"/>
    <cellStyle name="Calculation 22 10" xfId="9912"/>
    <cellStyle name="Calculation 22 10 2" xfId="9913"/>
    <cellStyle name="Calculation 22 10 3" xfId="28184"/>
    <cellStyle name="Calculation 22 10 4" xfId="28185"/>
    <cellStyle name="Calculation 22 11" xfId="9914"/>
    <cellStyle name="Calculation 22 11 2" xfId="9915"/>
    <cellStyle name="Calculation 22 11 3" xfId="28186"/>
    <cellStyle name="Calculation 22 11 4" xfId="28187"/>
    <cellStyle name="Calculation 22 12" xfId="9916"/>
    <cellStyle name="Calculation 22 13" xfId="28188"/>
    <cellStyle name="Calculation 22 14" xfId="28189"/>
    <cellStyle name="Calculation 22 2" xfId="9917"/>
    <cellStyle name="Calculation 22 2 10" xfId="28190"/>
    <cellStyle name="Calculation 22 2 2" xfId="9918"/>
    <cellStyle name="Calculation 22 2 2 2" xfId="9919"/>
    <cellStyle name="Calculation 22 2 2 3" xfId="28191"/>
    <cellStyle name="Calculation 22 2 2 4" xfId="28192"/>
    <cellStyle name="Calculation 22 2 3" xfId="9920"/>
    <cellStyle name="Calculation 22 2 3 2" xfId="9921"/>
    <cellStyle name="Calculation 22 2 3 3" xfId="28193"/>
    <cellStyle name="Calculation 22 2 3 4" xfId="28194"/>
    <cellStyle name="Calculation 22 2 4" xfId="9922"/>
    <cellStyle name="Calculation 22 2 4 2" xfId="9923"/>
    <cellStyle name="Calculation 22 2 4 3" xfId="28195"/>
    <cellStyle name="Calculation 22 2 4 4" xfId="28196"/>
    <cellStyle name="Calculation 22 2 5" xfId="9924"/>
    <cellStyle name="Calculation 22 2 5 2" xfId="9925"/>
    <cellStyle name="Calculation 22 2 5 3" xfId="28197"/>
    <cellStyle name="Calculation 22 2 5 4" xfId="28198"/>
    <cellStyle name="Calculation 22 2 6" xfId="9926"/>
    <cellStyle name="Calculation 22 2 6 2" xfId="9927"/>
    <cellStyle name="Calculation 22 2 6 3" xfId="28199"/>
    <cellStyle name="Calculation 22 2 6 4" xfId="28200"/>
    <cellStyle name="Calculation 22 2 7" xfId="9928"/>
    <cellStyle name="Calculation 22 2 7 2" xfId="9929"/>
    <cellStyle name="Calculation 22 2 7 3" xfId="28201"/>
    <cellStyle name="Calculation 22 2 7 4" xfId="28202"/>
    <cellStyle name="Calculation 22 2 8" xfId="9930"/>
    <cellStyle name="Calculation 22 2 9" xfId="28203"/>
    <cellStyle name="Calculation 22 3" xfId="9931"/>
    <cellStyle name="Calculation 22 3 10" xfId="28204"/>
    <cellStyle name="Calculation 22 3 2" xfId="9932"/>
    <cellStyle name="Calculation 22 3 2 2" xfId="9933"/>
    <cellStyle name="Calculation 22 3 2 3" xfId="28205"/>
    <cellStyle name="Calculation 22 3 2 4" xfId="28206"/>
    <cellStyle name="Calculation 22 3 3" xfId="9934"/>
    <cellStyle name="Calculation 22 3 3 2" xfId="9935"/>
    <cellStyle name="Calculation 22 3 3 3" xfId="28207"/>
    <cellStyle name="Calculation 22 3 3 4" xfId="28208"/>
    <cellStyle name="Calculation 22 3 4" xfId="9936"/>
    <cellStyle name="Calculation 22 3 4 2" xfId="9937"/>
    <cellStyle name="Calculation 22 3 4 3" xfId="28209"/>
    <cellStyle name="Calculation 22 3 4 4" xfId="28210"/>
    <cellStyle name="Calculation 22 3 5" xfId="9938"/>
    <cellStyle name="Calculation 22 3 5 2" xfId="9939"/>
    <cellStyle name="Calculation 22 3 5 3" xfId="28211"/>
    <cellStyle name="Calculation 22 3 5 4" xfId="28212"/>
    <cellStyle name="Calculation 22 3 6" xfId="9940"/>
    <cellStyle name="Calculation 22 3 6 2" xfId="9941"/>
    <cellStyle name="Calculation 22 3 6 3" xfId="28213"/>
    <cellStyle name="Calculation 22 3 6 4" xfId="28214"/>
    <cellStyle name="Calculation 22 3 7" xfId="9942"/>
    <cellStyle name="Calculation 22 3 7 2" xfId="9943"/>
    <cellStyle name="Calculation 22 3 7 3" xfId="28215"/>
    <cellStyle name="Calculation 22 3 7 4" xfId="28216"/>
    <cellStyle name="Calculation 22 3 8" xfId="9944"/>
    <cellStyle name="Calculation 22 3 9" xfId="28217"/>
    <cellStyle name="Calculation 22 4" xfId="9945"/>
    <cellStyle name="Calculation 22 4 10" xfId="28218"/>
    <cellStyle name="Calculation 22 4 2" xfId="9946"/>
    <cellStyle name="Calculation 22 4 2 2" xfId="9947"/>
    <cellStyle name="Calculation 22 4 2 3" xfId="28219"/>
    <cellStyle name="Calculation 22 4 2 4" xfId="28220"/>
    <cellStyle name="Calculation 22 4 3" xfId="9948"/>
    <cellStyle name="Calculation 22 4 3 2" xfId="9949"/>
    <cellStyle name="Calculation 22 4 3 3" xfId="28221"/>
    <cellStyle name="Calculation 22 4 3 4" xfId="28222"/>
    <cellStyle name="Calculation 22 4 4" xfId="9950"/>
    <cellStyle name="Calculation 22 4 4 2" xfId="9951"/>
    <cellStyle name="Calculation 22 4 4 3" xfId="28223"/>
    <cellStyle name="Calculation 22 4 4 4" xfId="28224"/>
    <cellStyle name="Calculation 22 4 5" xfId="9952"/>
    <cellStyle name="Calculation 22 4 5 2" xfId="9953"/>
    <cellStyle name="Calculation 22 4 5 3" xfId="28225"/>
    <cellStyle name="Calculation 22 4 5 4" xfId="28226"/>
    <cellStyle name="Calculation 22 4 6" xfId="9954"/>
    <cellStyle name="Calculation 22 4 6 2" xfId="9955"/>
    <cellStyle name="Calculation 22 4 6 3" xfId="28227"/>
    <cellStyle name="Calculation 22 4 6 4" xfId="28228"/>
    <cellStyle name="Calculation 22 4 7" xfId="9956"/>
    <cellStyle name="Calculation 22 4 7 2" xfId="9957"/>
    <cellStyle name="Calculation 22 4 7 3" xfId="28229"/>
    <cellStyle name="Calculation 22 4 7 4" xfId="28230"/>
    <cellStyle name="Calculation 22 4 8" xfId="9958"/>
    <cellStyle name="Calculation 22 4 9" xfId="28231"/>
    <cellStyle name="Calculation 22 5" xfId="9959"/>
    <cellStyle name="Calculation 22 5 10" xfId="28232"/>
    <cellStyle name="Calculation 22 5 2" xfId="9960"/>
    <cellStyle name="Calculation 22 5 2 2" xfId="9961"/>
    <cellStyle name="Calculation 22 5 2 3" xfId="28233"/>
    <cellStyle name="Calculation 22 5 2 4" xfId="28234"/>
    <cellStyle name="Calculation 22 5 3" xfId="9962"/>
    <cellStyle name="Calculation 22 5 3 2" xfId="9963"/>
    <cellStyle name="Calculation 22 5 3 3" xfId="28235"/>
    <cellStyle name="Calculation 22 5 3 4" xfId="28236"/>
    <cellStyle name="Calculation 22 5 4" xfId="9964"/>
    <cellStyle name="Calculation 22 5 4 2" xfId="9965"/>
    <cellStyle name="Calculation 22 5 4 3" xfId="28237"/>
    <cellStyle name="Calculation 22 5 4 4" xfId="28238"/>
    <cellStyle name="Calculation 22 5 5" xfId="9966"/>
    <cellStyle name="Calculation 22 5 5 2" xfId="9967"/>
    <cellStyle name="Calculation 22 5 5 3" xfId="28239"/>
    <cellStyle name="Calculation 22 5 5 4" xfId="28240"/>
    <cellStyle name="Calculation 22 5 6" xfId="9968"/>
    <cellStyle name="Calculation 22 5 6 2" xfId="9969"/>
    <cellStyle name="Calculation 22 5 6 3" xfId="28241"/>
    <cellStyle name="Calculation 22 5 6 4" xfId="28242"/>
    <cellStyle name="Calculation 22 5 7" xfId="9970"/>
    <cellStyle name="Calculation 22 5 7 2" xfId="9971"/>
    <cellStyle name="Calculation 22 5 7 3" xfId="28243"/>
    <cellStyle name="Calculation 22 5 7 4" xfId="28244"/>
    <cellStyle name="Calculation 22 5 8" xfId="9972"/>
    <cellStyle name="Calculation 22 5 9" xfId="28245"/>
    <cellStyle name="Calculation 22 6" xfId="9973"/>
    <cellStyle name="Calculation 22 6 2" xfId="9974"/>
    <cellStyle name="Calculation 22 6 3" xfId="28246"/>
    <cellStyle name="Calculation 22 6 4" xfId="28247"/>
    <cellStyle name="Calculation 22 7" xfId="9975"/>
    <cellStyle name="Calculation 22 7 2" xfId="9976"/>
    <cellStyle name="Calculation 22 7 3" xfId="28248"/>
    <cellStyle name="Calculation 22 7 4" xfId="28249"/>
    <cellStyle name="Calculation 22 8" xfId="9977"/>
    <cellStyle name="Calculation 22 8 2" xfId="9978"/>
    <cellStyle name="Calculation 22 8 3" xfId="28250"/>
    <cellStyle name="Calculation 22 8 4" xfId="28251"/>
    <cellStyle name="Calculation 22 9" xfId="9979"/>
    <cellStyle name="Calculation 22 9 2" xfId="9980"/>
    <cellStyle name="Calculation 22 9 3" xfId="28252"/>
    <cellStyle name="Calculation 22 9 4" xfId="28253"/>
    <cellStyle name="Calculation 23" xfId="9981"/>
    <cellStyle name="Calculation 23 10" xfId="28254"/>
    <cellStyle name="Calculation 23 2" xfId="9982"/>
    <cellStyle name="Calculation 23 2 2" xfId="9983"/>
    <cellStyle name="Calculation 23 2 3" xfId="28255"/>
    <cellStyle name="Calculation 23 2 4" xfId="28256"/>
    <cellStyle name="Calculation 23 3" xfId="9984"/>
    <cellStyle name="Calculation 23 3 2" xfId="9985"/>
    <cellStyle name="Calculation 23 3 3" xfId="28257"/>
    <cellStyle name="Calculation 23 3 4" xfId="28258"/>
    <cellStyle name="Calculation 23 4" xfId="9986"/>
    <cellStyle name="Calculation 23 4 2" xfId="9987"/>
    <cellStyle name="Calculation 23 4 3" xfId="28259"/>
    <cellStyle name="Calculation 23 4 4" xfId="28260"/>
    <cellStyle name="Calculation 23 5" xfId="9988"/>
    <cellStyle name="Calculation 23 5 2" xfId="9989"/>
    <cellStyle name="Calculation 23 5 3" xfId="28261"/>
    <cellStyle name="Calculation 23 5 4" xfId="28262"/>
    <cellStyle name="Calculation 23 6" xfId="9990"/>
    <cellStyle name="Calculation 23 6 2" xfId="9991"/>
    <cellStyle name="Calculation 23 6 3" xfId="28263"/>
    <cellStyle name="Calculation 23 6 4" xfId="28264"/>
    <cellStyle name="Calculation 23 7" xfId="9992"/>
    <cellStyle name="Calculation 23 7 2" xfId="9993"/>
    <cellStyle name="Calculation 23 7 3" xfId="28265"/>
    <cellStyle name="Calculation 23 7 4" xfId="28266"/>
    <cellStyle name="Calculation 23 8" xfId="9994"/>
    <cellStyle name="Calculation 23 9" xfId="28267"/>
    <cellStyle name="Calculation 24" xfId="9995"/>
    <cellStyle name="Calculation 24 10" xfId="28268"/>
    <cellStyle name="Calculation 24 2" xfId="9996"/>
    <cellStyle name="Calculation 24 2 2" xfId="9997"/>
    <cellStyle name="Calculation 24 2 3" xfId="28269"/>
    <cellStyle name="Calculation 24 2 4" xfId="28270"/>
    <cellStyle name="Calculation 24 3" xfId="9998"/>
    <cellStyle name="Calculation 24 3 2" xfId="9999"/>
    <cellStyle name="Calculation 24 3 3" xfId="28271"/>
    <cellStyle name="Calculation 24 3 4" xfId="28272"/>
    <cellStyle name="Calculation 24 4" xfId="10000"/>
    <cellStyle name="Calculation 24 4 2" xfId="10001"/>
    <cellStyle name="Calculation 24 4 3" xfId="28273"/>
    <cellStyle name="Calculation 24 4 4" xfId="28274"/>
    <cellStyle name="Calculation 24 5" xfId="10002"/>
    <cellStyle name="Calculation 24 5 2" xfId="10003"/>
    <cellStyle name="Calculation 24 5 3" xfId="28275"/>
    <cellStyle name="Calculation 24 5 4" xfId="28276"/>
    <cellStyle name="Calculation 24 6" xfId="10004"/>
    <cellStyle name="Calculation 24 6 2" xfId="10005"/>
    <cellStyle name="Calculation 24 6 3" xfId="28277"/>
    <cellStyle name="Calculation 24 6 4" xfId="28278"/>
    <cellStyle name="Calculation 24 7" xfId="10006"/>
    <cellStyle name="Calculation 24 7 2" xfId="10007"/>
    <cellStyle name="Calculation 24 7 3" xfId="28279"/>
    <cellStyle name="Calculation 24 7 4" xfId="28280"/>
    <cellStyle name="Calculation 24 8" xfId="10008"/>
    <cellStyle name="Calculation 24 9" xfId="28281"/>
    <cellStyle name="Calculation 25" xfId="10009"/>
    <cellStyle name="Calculation 25 10" xfId="28282"/>
    <cellStyle name="Calculation 25 2" xfId="10010"/>
    <cellStyle name="Calculation 25 2 2" xfId="10011"/>
    <cellStyle name="Calculation 25 2 3" xfId="28283"/>
    <cellStyle name="Calculation 25 2 4" xfId="28284"/>
    <cellStyle name="Calculation 25 3" xfId="10012"/>
    <cellStyle name="Calculation 25 3 2" xfId="10013"/>
    <cellStyle name="Calculation 25 3 3" xfId="28285"/>
    <cellStyle name="Calculation 25 3 4" xfId="28286"/>
    <cellStyle name="Calculation 25 4" xfId="10014"/>
    <cellStyle name="Calculation 25 4 2" xfId="10015"/>
    <cellStyle name="Calculation 25 4 3" xfId="28287"/>
    <cellStyle name="Calculation 25 4 4" xfId="28288"/>
    <cellStyle name="Calculation 25 5" xfId="10016"/>
    <cellStyle name="Calculation 25 5 2" xfId="10017"/>
    <cellStyle name="Calculation 25 5 3" xfId="28289"/>
    <cellStyle name="Calculation 25 5 4" xfId="28290"/>
    <cellStyle name="Calculation 25 6" xfId="10018"/>
    <cellStyle name="Calculation 25 6 2" xfId="10019"/>
    <cellStyle name="Calculation 25 6 3" xfId="28291"/>
    <cellStyle name="Calculation 25 6 4" xfId="28292"/>
    <cellStyle name="Calculation 25 7" xfId="10020"/>
    <cellStyle name="Calculation 25 7 2" xfId="10021"/>
    <cellStyle name="Calculation 25 7 3" xfId="28293"/>
    <cellStyle name="Calculation 25 7 4" xfId="28294"/>
    <cellStyle name="Calculation 25 8" xfId="10022"/>
    <cellStyle name="Calculation 25 9" xfId="28295"/>
    <cellStyle name="Calculation 26" xfId="10023"/>
    <cellStyle name="Calculation 26 10" xfId="28296"/>
    <cellStyle name="Calculation 26 2" xfId="10024"/>
    <cellStyle name="Calculation 26 2 2" xfId="10025"/>
    <cellStyle name="Calculation 26 2 3" xfId="28297"/>
    <cellStyle name="Calculation 26 2 4" xfId="28298"/>
    <cellStyle name="Calculation 26 3" xfId="10026"/>
    <cellStyle name="Calculation 26 3 2" xfId="10027"/>
    <cellStyle name="Calculation 26 3 3" xfId="28299"/>
    <cellStyle name="Calculation 26 3 4" xfId="28300"/>
    <cellStyle name="Calculation 26 4" xfId="10028"/>
    <cellStyle name="Calculation 26 4 2" xfId="10029"/>
    <cellStyle name="Calculation 26 4 3" xfId="28301"/>
    <cellStyle name="Calculation 26 4 4" xfId="28302"/>
    <cellStyle name="Calculation 26 5" xfId="10030"/>
    <cellStyle name="Calculation 26 5 2" xfId="10031"/>
    <cellStyle name="Calculation 26 5 3" xfId="28303"/>
    <cellStyle name="Calculation 26 5 4" xfId="28304"/>
    <cellStyle name="Calculation 26 6" xfId="10032"/>
    <cellStyle name="Calculation 26 6 2" xfId="10033"/>
    <cellStyle name="Calculation 26 6 3" xfId="28305"/>
    <cellStyle name="Calculation 26 6 4" xfId="28306"/>
    <cellStyle name="Calculation 26 7" xfId="10034"/>
    <cellStyle name="Calculation 26 7 2" xfId="10035"/>
    <cellStyle name="Calculation 26 7 3" xfId="28307"/>
    <cellStyle name="Calculation 26 7 4" xfId="28308"/>
    <cellStyle name="Calculation 26 8" xfId="10036"/>
    <cellStyle name="Calculation 26 9" xfId="28309"/>
    <cellStyle name="Calculation 3" xfId="10037"/>
    <cellStyle name="Calculation 3 10" xfId="10038"/>
    <cellStyle name="Calculation 3 10 2" xfId="10039"/>
    <cellStyle name="Calculation 3 10 3" xfId="28310"/>
    <cellStyle name="Calculation 3 10 4" xfId="28311"/>
    <cellStyle name="Calculation 3 11" xfId="10040"/>
    <cellStyle name="Calculation 3 11 2" xfId="10041"/>
    <cellStyle name="Calculation 3 11 3" xfId="28312"/>
    <cellStyle name="Calculation 3 11 4" xfId="28313"/>
    <cellStyle name="Calculation 3 12" xfId="10042"/>
    <cellStyle name="Calculation 3 13" xfId="28314"/>
    <cellStyle name="Calculation 3 14" xfId="28315"/>
    <cellStyle name="Calculation 3 2" xfId="10043"/>
    <cellStyle name="Calculation 3 2 10" xfId="28316"/>
    <cellStyle name="Calculation 3 2 2" xfId="10044"/>
    <cellStyle name="Calculation 3 2 2 2" xfId="10045"/>
    <cellStyle name="Calculation 3 2 2 3" xfId="28317"/>
    <cellStyle name="Calculation 3 2 2 4" xfId="28318"/>
    <cellStyle name="Calculation 3 2 3" xfId="10046"/>
    <cellStyle name="Calculation 3 2 3 2" xfId="10047"/>
    <cellStyle name="Calculation 3 2 3 3" xfId="28319"/>
    <cellStyle name="Calculation 3 2 3 4" xfId="28320"/>
    <cellStyle name="Calculation 3 2 4" xfId="10048"/>
    <cellStyle name="Calculation 3 2 4 2" xfId="10049"/>
    <cellStyle name="Calculation 3 2 4 3" xfId="28321"/>
    <cellStyle name="Calculation 3 2 4 4" xfId="28322"/>
    <cellStyle name="Calculation 3 2 5" xfId="10050"/>
    <cellStyle name="Calculation 3 2 5 2" xfId="10051"/>
    <cellStyle name="Calculation 3 2 5 3" xfId="28323"/>
    <cellStyle name="Calculation 3 2 5 4" xfId="28324"/>
    <cellStyle name="Calculation 3 2 6" xfId="10052"/>
    <cellStyle name="Calculation 3 2 6 2" xfId="10053"/>
    <cellStyle name="Calculation 3 2 6 3" xfId="28325"/>
    <cellStyle name="Calculation 3 2 6 4" xfId="28326"/>
    <cellStyle name="Calculation 3 2 7" xfId="10054"/>
    <cellStyle name="Calculation 3 2 7 2" xfId="10055"/>
    <cellStyle name="Calculation 3 2 7 3" xfId="28327"/>
    <cellStyle name="Calculation 3 2 7 4" xfId="28328"/>
    <cellStyle name="Calculation 3 2 8" xfId="10056"/>
    <cellStyle name="Calculation 3 2 9" xfId="28329"/>
    <cellStyle name="Calculation 3 3" xfId="10057"/>
    <cellStyle name="Calculation 3 3 10" xfId="28330"/>
    <cellStyle name="Calculation 3 3 2" xfId="10058"/>
    <cellStyle name="Calculation 3 3 2 2" xfId="10059"/>
    <cellStyle name="Calculation 3 3 2 3" xfId="28331"/>
    <cellStyle name="Calculation 3 3 2 4" xfId="28332"/>
    <cellStyle name="Calculation 3 3 3" xfId="10060"/>
    <cellStyle name="Calculation 3 3 3 2" xfId="10061"/>
    <cellStyle name="Calculation 3 3 3 3" xfId="28333"/>
    <cellStyle name="Calculation 3 3 3 4" xfId="28334"/>
    <cellStyle name="Calculation 3 3 4" xfId="10062"/>
    <cellStyle name="Calculation 3 3 4 2" xfId="10063"/>
    <cellStyle name="Calculation 3 3 4 3" xfId="28335"/>
    <cellStyle name="Calculation 3 3 4 4" xfId="28336"/>
    <cellStyle name="Calculation 3 3 5" xfId="10064"/>
    <cellStyle name="Calculation 3 3 5 2" xfId="10065"/>
    <cellStyle name="Calculation 3 3 5 3" xfId="28337"/>
    <cellStyle name="Calculation 3 3 5 4" xfId="28338"/>
    <cellStyle name="Calculation 3 3 6" xfId="10066"/>
    <cellStyle name="Calculation 3 3 6 2" xfId="10067"/>
    <cellStyle name="Calculation 3 3 6 3" xfId="28339"/>
    <cellStyle name="Calculation 3 3 6 4" xfId="28340"/>
    <cellStyle name="Calculation 3 3 7" xfId="10068"/>
    <cellStyle name="Calculation 3 3 7 2" xfId="10069"/>
    <cellStyle name="Calculation 3 3 7 3" xfId="28341"/>
    <cellStyle name="Calculation 3 3 7 4" xfId="28342"/>
    <cellStyle name="Calculation 3 3 8" xfId="10070"/>
    <cellStyle name="Calculation 3 3 9" xfId="28343"/>
    <cellStyle name="Calculation 3 4" xfId="10071"/>
    <cellStyle name="Calculation 3 4 10" xfId="28344"/>
    <cellStyle name="Calculation 3 4 2" xfId="10072"/>
    <cellStyle name="Calculation 3 4 2 2" xfId="10073"/>
    <cellStyle name="Calculation 3 4 2 3" xfId="28345"/>
    <cellStyle name="Calculation 3 4 2 4" xfId="28346"/>
    <cellStyle name="Calculation 3 4 3" xfId="10074"/>
    <cellStyle name="Calculation 3 4 3 2" xfId="10075"/>
    <cellStyle name="Calculation 3 4 3 3" xfId="28347"/>
    <cellStyle name="Calculation 3 4 3 4" xfId="28348"/>
    <cellStyle name="Calculation 3 4 4" xfId="10076"/>
    <cellStyle name="Calculation 3 4 4 2" xfId="10077"/>
    <cellStyle name="Calculation 3 4 4 3" xfId="28349"/>
    <cellStyle name="Calculation 3 4 4 4" xfId="28350"/>
    <cellStyle name="Calculation 3 4 5" xfId="10078"/>
    <cellStyle name="Calculation 3 4 5 2" xfId="10079"/>
    <cellStyle name="Calculation 3 4 5 3" xfId="28351"/>
    <cellStyle name="Calculation 3 4 5 4" xfId="28352"/>
    <cellStyle name="Calculation 3 4 6" xfId="10080"/>
    <cellStyle name="Calculation 3 4 6 2" xfId="10081"/>
    <cellStyle name="Calculation 3 4 6 3" xfId="28353"/>
    <cellStyle name="Calculation 3 4 6 4" xfId="28354"/>
    <cellStyle name="Calculation 3 4 7" xfId="10082"/>
    <cellStyle name="Calculation 3 4 7 2" xfId="10083"/>
    <cellStyle name="Calculation 3 4 7 3" xfId="28355"/>
    <cellStyle name="Calculation 3 4 7 4" xfId="28356"/>
    <cellStyle name="Calculation 3 4 8" xfId="10084"/>
    <cellStyle name="Calculation 3 4 9" xfId="28357"/>
    <cellStyle name="Calculation 3 5" xfId="10085"/>
    <cellStyle name="Calculation 3 5 10" xfId="28358"/>
    <cellStyle name="Calculation 3 5 2" xfId="10086"/>
    <cellStyle name="Calculation 3 5 2 2" xfId="10087"/>
    <cellStyle name="Calculation 3 5 2 3" xfId="28359"/>
    <cellStyle name="Calculation 3 5 2 4" xfId="28360"/>
    <cellStyle name="Calculation 3 5 3" xfId="10088"/>
    <cellStyle name="Calculation 3 5 3 2" xfId="10089"/>
    <cellStyle name="Calculation 3 5 3 3" xfId="28361"/>
    <cellStyle name="Calculation 3 5 3 4" xfId="28362"/>
    <cellStyle name="Calculation 3 5 4" xfId="10090"/>
    <cellStyle name="Calculation 3 5 4 2" xfId="10091"/>
    <cellStyle name="Calculation 3 5 4 3" xfId="28363"/>
    <cellStyle name="Calculation 3 5 4 4" xfId="28364"/>
    <cellStyle name="Calculation 3 5 5" xfId="10092"/>
    <cellStyle name="Calculation 3 5 5 2" xfId="10093"/>
    <cellStyle name="Calculation 3 5 5 3" xfId="28365"/>
    <cellStyle name="Calculation 3 5 5 4" xfId="28366"/>
    <cellStyle name="Calculation 3 5 6" xfId="10094"/>
    <cellStyle name="Calculation 3 5 6 2" xfId="10095"/>
    <cellStyle name="Calculation 3 5 6 3" xfId="28367"/>
    <cellStyle name="Calculation 3 5 6 4" xfId="28368"/>
    <cellStyle name="Calculation 3 5 7" xfId="10096"/>
    <cellStyle name="Calculation 3 5 7 2" xfId="10097"/>
    <cellStyle name="Calculation 3 5 7 3" xfId="28369"/>
    <cellStyle name="Calculation 3 5 7 4" xfId="28370"/>
    <cellStyle name="Calculation 3 5 8" xfId="10098"/>
    <cellStyle name="Calculation 3 5 9" xfId="28371"/>
    <cellStyle name="Calculation 3 6" xfId="10099"/>
    <cellStyle name="Calculation 3 6 2" xfId="10100"/>
    <cellStyle name="Calculation 3 6 3" xfId="28372"/>
    <cellStyle name="Calculation 3 6 4" xfId="28373"/>
    <cellStyle name="Calculation 3 7" xfId="10101"/>
    <cellStyle name="Calculation 3 7 2" xfId="10102"/>
    <cellStyle name="Calculation 3 7 3" xfId="28374"/>
    <cellStyle name="Calculation 3 7 4" xfId="28375"/>
    <cellStyle name="Calculation 3 8" xfId="10103"/>
    <cellStyle name="Calculation 3 8 2" xfId="10104"/>
    <cellStyle name="Calculation 3 8 3" xfId="28376"/>
    <cellStyle name="Calculation 3 8 4" xfId="28377"/>
    <cellStyle name="Calculation 3 9" xfId="10105"/>
    <cellStyle name="Calculation 3 9 2" xfId="10106"/>
    <cellStyle name="Calculation 3 9 3" xfId="28378"/>
    <cellStyle name="Calculation 3 9 4" xfId="28379"/>
    <cellStyle name="Calculation 4" xfId="10107"/>
    <cellStyle name="Calculation 4 10" xfId="10108"/>
    <cellStyle name="Calculation 4 10 2" xfId="10109"/>
    <cellStyle name="Calculation 4 10 3" xfId="28380"/>
    <cellStyle name="Calculation 4 10 4" xfId="28381"/>
    <cellStyle name="Calculation 4 11" xfId="10110"/>
    <cellStyle name="Calculation 4 11 2" xfId="10111"/>
    <cellStyle name="Calculation 4 11 3" xfId="28382"/>
    <cellStyle name="Calculation 4 11 4" xfId="28383"/>
    <cellStyle name="Calculation 4 12" xfId="10112"/>
    <cellStyle name="Calculation 4 13" xfId="28384"/>
    <cellStyle name="Calculation 4 14" xfId="28385"/>
    <cellStyle name="Calculation 4 2" xfId="10113"/>
    <cellStyle name="Calculation 4 2 10" xfId="28386"/>
    <cellStyle name="Calculation 4 2 2" xfId="10114"/>
    <cellStyle name="Calculation 4 2 2 2" xfId="10115"/>
    <cellStyle name="Calculation 4 2 2 3" xfId="28387"/>
    <cellStyle name="Calculation 4 2 2 4" xfId="28388"/>
    <cellStyle name="Calculation 4 2 3" xfId="10116"/>
    <cellStyle name="Calculation 4 2 3 2" xfId="10117"/>
    <cellStyle name="Calculation 4 2 3 3" xfId="28389"/>
    <cellStyle name="Calculation 4 2 3 4" xfId="28390"/>
    <cellStyle name="Calculation 4 2 4" xfId="10118"/>
    <cellStyle name="Calculation 4 2 4 2" xfId="10119"/>
    <cellStyle name="Calculation 4 2 4 3" xfId="28391"/>
    <cellStyle name="Calculation 4 2 4 4" xfId="28392"/>
    <cellStyle name="Calculation 4 2 5" xfId="10120"/>
    <cellStyle name="Calculation 4 2 5 2" xfId="10121"/>
    <cellStyle name="Calculation 4 2 5 3" xfId="28393"/>
    <cellStyle name="Calculation 4 2 5 4" xfId="28394"/>
    <cellStyle name="Calculation 4 2 6" xfId="10122"/>
    <cellStyle name="Calculation 4 2 6 2" xfId="10123"/>
    <cellStyle name="Calculation 4 2 6 3" xfId="28395"/>
    <cellStyle name="Calculation 4 2 6 4" xfId="28396"/>
    <cellStyle name="Calculation 4 2 7" xfId="10124"/>
    <cellStyle name="Calculation 4 2 7 2" xfId="10125"/>
    <cellStyle name="Calculation 4 2 7 3" xfId="28397"/>
    <cellStyle name="Calculation 4 2 7 4" xfId="28398"/>
    <cellStyle name="Calculation 4 2 8" xfId="10126"/>
    <cellStyle name="Calculation 4 2 9" xfId="28399"/>
    <cellStyle name="Calculation 4 3" xfId="10127"/>
    <cellStyle name="Calculation 4 3 10" xfId="28400"/>
    <cellStyle name="Calculation 4 3 2" xfId="10128"/>
    <cellStyle name="Calculation 4 3 2 2" xfId="10129"/>
    <cellStyle name="Calculation 4 3 2 3" xfId="28401"/>
    <cellStyle name="Calculation 4 3 2 4" xfId="28402"/>
    <cellStyle name="Calculation 4 3 3" xfId="10130"/>
    <cellStyle name="Calculation 4 3 3 2" xfId="10131"/>
    <cellStyle name="Calculation 4 3 3 3" xfId="28403"/>
    <cellStyle name="Calculation 4 3 3 4" xfId="28404"/>
    <cellStyle name="Calculation 4 3 4" xfId="10132"/>
    <cellStyle name="Calculation 4 3 4 2" xfId="10133"/>
    <cellStyle name="Calculation 4 3 4 3" xfId="28405"/>
    <cellStyle name="Calculation 4 3 4 4" xfId="28406"/>
    <cellStyle name="Calculation 4 3 5" xfId="10134"/>
    <cellStyle name="Calculation 4 3 5 2" xfId="10135"/>
    <cellStyle name="Calculation 4 3 5 3" xfId="28407"/>
    <cellStyle name="Calculation 4 3 5 4" xfId="28408"/>
    <cellStyle name="Calculation 4 3 6" xfId="10136"/>
    <cellStyle name="Calculation 4 3 6 2" xfId="10137"/>
    <cellStyle name="Calculation 4 3 6 3" xfId="28409"/>
    <cellStyle name="Calculation 4 3 6 4" xfId="28410"/>
    <cellStyle name="Calculation 4 3 7" xfId="10138"/>
    <cellStyle name="Calculation 4 3 7 2" xfId="10139"/>
    <cellStyle name="Calculation 4 3 7 3" xfId="28411"/>
    <cellStyle name="Calculation 4 3 7 4" xfId="28412"/>
    <cellStyle name="Calculation 4 3 8" xfId="10140"/>
    <cellStyle name="Calculation 4 3 9" xfId="28413"/>
    <cellStyle name="Calculation 4 4" xfId="10141"/>
    <cellStyle name="Calculation 4 4 10" xfId="28414"/>
    <cellStyle name="Calculation 4 4 2" xfId="10142"/>
    <cellStyle name="Calculation 4 4 2 2" xfId="10143"/>
    <cellStyle name="Calculation 4 4 2 3" xfId="28415"/>
    <cellStyle name="Calculation 4 4 2 4" xfId="28416"/>
    <cellStyle name="Calculation 4 4 3" xfId="10144"/>
    <cellStyle name="Calculation 4 4 3 2" xfId="10145"/>
    <cellStyle name="Calculation 4 4 3 3" xfId="28417"/>
    <cellStyle name="Calculation 4 4 3 4" xfId="28418"/>
    <cellStyle name="Calculation 4 4 4" xfId="10146"/>
    <cellStyle name="Calculation 4 4 4 2" xfId="10147"/>
    <cellStyle name="Calculation 4 4 4 3" xfId="28419"/>
    <cellStyle name="Calculation 4 4 4 4" xfId="28420"/>
    <cellStyle name="Calculation 4 4 5" xfId="10148"/>
    <cellStyle name="Calculation 4 4 5 2" xfId="10149"/>
    <cellStyle name="Calculation 4 4 5 3" xfId="28421"/>
    <cellStyle name="Calculation 4 4 5 4" xfId="28422"/>
    <cellStyle name="Calculation 4 4 6" xfId="10150"/>
    <cellStyle name="Calculation 4 4 6 2" xfId="10151"/>
    <cellStyle name="Calculation 4 4 6 3" xfId="28423"/>
    <cellStyle name="Calculation 4 4 6 4" xfId="28424"/>
    <cellStyle name="Calculation 4 4 7" xfId="10152"/>
    <cellStyle name="Calculation 4 4 7 2" xfId="10153"/>
    <cellStyle name="Calculation 4 4 7 3" xfId="28425"/>
    <cellStyle name="Calculation 4 4 7 4" xfId="28426"/>
    <cellStyle name="Calculation 4 4 8" xfId="10154"/>
    <cellStyle name="Calculation 4 4 9" xfId="28427"/>
    <cellStyle name="Calculation 4 5" xfId="10155"/>
    <cellStyle name="Calculation 4 5 10" xfId="28428"/>
    <cellStyle name="Calculation 4 5 2" xfId="10156"/>
    <cellStyle name="Calculation 4 5 2 2" xfId="10157"/>
    <cellStyle name="Calculation 4 5 2 3" xfId="28429"/>
    <cellStyle name="Calculation 4 5 2 4" xfId="28430"/>
    <cellStyle name="Calculation 4 5 3" xfId="10158"/>
    <cellStyle name="Calculation 4 5 3 2" xfId="10159"/>
    <cellStyle name="Calculation 4 5 3 3" xfId="28431"/>
    <cellStyle name="Calculation 4 5 3 4" xfId="28432"/>
    <cellStyle name="Calculation 4 5 4" xfId="10160"/>
    <cellStyle name="Calculation 4 5 4 2" xfId="10161"/>
    <cellStyle name="Calculation 4 5 4 3" xfId="28433"/>
    <cellStyle name="Calculation 4 5 4 4" xfId="28434"/>
    <cellStyle name="Calculation 4 5 5" xfId="10162"/>
    <cellStyle name="Calculation 4 5 5 2" xfId="10163"/>
    <cellStyle name="Calculation 4 5 5 3" xfId="28435"/>
    <cellStyle name="Calculation 4 5 5 4" xfId="28436"/>
    <cellStyle name="Calculation 4 5 6" xfId="10164"/>
    <cellStyle name="Calculation 4 5 6 2" xfId="10165"/>
    <cellStyle name="Calculation 4 5 6 3" xfId="28437"/>
    <cellStyle name="Calculation 4 5 6 4" xfId="28438"/>
    <cellStyle name="Calculation 4 5 7" xfId="10166"/>
    <cellStyle name="Calculation 4 5 7 2" xfId="10167"/>
    <cellStyle name="Calculation 4 5 7 3" xfId="28439"/>
    <cellStyle name="Calculation 4 5 7 4" xfId="28440"/>
    <cellStyle name="Calculation 4 5 8" xfId="10168"/>
    <cellStyle name="Calculation 4 5 9" xfId="28441"/>
    <cellStyle name="Calculation 4 6" xfId="10169"/>
    <cellStyle name="Calculation 4 6 2" xfId="10170"/>
    <cellStyle name="Calculation 4 6 3" xfId="28442"/>
    <cellStyle name="Calculation 4 6 4" xfId="28443"/>
    <cellStyle name="Calculation 4 7" xfId="10171"/>
    <cellStyle name="Calculation 4 7 2" xfId="10172"/>
    <cellStyle name="Calculation 4 7 3" xfId="28444"/>
    <cellStyle name="Calculation 4 7 4" xfId="28445"/>
    <cellStyle name="Calculation 4 8" xfId="10173"/>
    <cellStyle name="Calculation 4 8 2" xfId="10174"/>
    <cellStyle name="Calculation 4 8 3" xfId="28446"/>
    <cellStyle name="Calculation 4 8 4" xfId="28447"/>
    <cellStyle name="Calculation 4 9" xfId="10175"/>
    <cellStyle name="Calculation 4 9 2" xfId="10176"/>
    <cellStyle name="Calculation 4 9 3" xfId="28448"/>
    <cellStyle name="Calculation 4 9 4" xfId="28449"/>
    <cellStyle name="Calculation 5" xfId="10177"/>
    <cellStyle name="Calculation 5 10" xfId="10178"/>
    <cellStyle name="Calculation 5 10 2" xfId="10179"/>
    <cellStyle name="Calculation 5 10 3" xfId="28450"/>
    <cellStyle name="Calculation 5 10 4" xfId="28451"/>
    <cellStyle name="Calculation 5 11" xfId="10180"/>
    <cellStyle name="Calculation 5 11 2" xfId="10181"/>
    <cellStyle name="Calculation 5 11 3" xfId="28452"/>
    <cellStyle name="Calculation 5 11 4" xfId="28453"/>
    <cellStyle name="Calculation 5 12" xfId="10182"/>
    <cellStyle name="Calculation 5 13" xfId="28454"/>
    <cellStyle name="Calculation 5 14" xfId="28455"/>
    <cellStyle name="Calculation 5 2" xfId="10183"/>
    <cellStyle name="Calculation 5 2 10" xfId="28456"/>
    <cellStyle name="Calculation 5 2 2" xfId="10184"/>
    <cellStyle name="Calculation 5 2 2 2" xfId="10185"/>
    <cellStyle name="Calculation 5 2 2 3" xfId="28457"/>
    <cellStyle name="Calculation 5 2 2 4" xfId="28458"/>
    <cellStyle name="Calculation 5 2 3" xfId="10186"/>
    <cellStyle name="Calculation 5 2 3 2" xfId="10187"/>
    <cellStyle name="Calculation 5 2 3 3" xfId="28459"/>
    <cellStyle name="Calculation 5 2 3 4" xfId="28460"/>
    <cellStyle name="Calculation 5 2 4" xfId="10188"/>
    <cellStyle name="Calculation 5 2 4 2" xfId="10189"/>
    <cellStyle name="Calculation 5 2 4 3" xfId="28461"/>
    <cellStyle name="Calculation 5 2 4 4" xfId="28462"/>
    <cellStyle name="Calculation 5 2 5" xfId="10190"/>
    <cellStyle name="Calculation 5 2 5 2" xfId="10191"/>
    <cellStyle name="Calculation 5 2 5 3" xfId="28463"/>
    <cellStyle name="Calculation 5 2 5 4" xfId="28464"/>
    <cellStyle name="Calculation 5 2 6" xfId="10192"/>
    <cellStyle name="Calculation 5 2 6 2" xfId="10193"/>
    <cellStyle name="Calculation 5 2 6 3" xfId="28465"/>
    <cellStyle name="Calculation 5 2 6 4" xfId="28466"/>
    <cellStyle name="Calculation 5 2 7" xfId="10194"/>
    <cellStyle name="Calculation 5 2 7 2" xfId="10195"/>
    <cellStyle name="Calculation 5 2 7 3" xfId="28467"/>
    <cellStyle name="Calculation 5 2 7 4" xfId="28468"/>
    <cellStyle name="Calculation 5 2 8" xfId="10196"/>
    <cellStyle name="Calculation 5 2 9" xfId="28469"/>
    <cellStyle name="Calculation 5 3" xfId="10197"/>
    <cellStyle name="Calculation 5 3 10" xfId="28470"/>
    <cellStyle name="Calculation 5 3 2" xfId="10198"/>
    <cellStyle name="Calculation 5 3 2 2" xfId="10199"/>
    <cellStyle name="Calculation 5 3 2 3" xfId="28471"/>
    <cellStyle name="Calculation 5 3 2 4" xfId="28472"/>
    <cellStyle name="Calculation 5 3 3" xfId="10200"/>
    <cellStyle name="Calculation 5 3 3 2" xfId="10201"/>
    <cellStyle name="Calculation 5 3 3 3" xfId="28473"/>
    <cellStyle name="Calculation 5 3 3 4" xfId="28474"/>
    <cellStyle name="Calculation 5 3 4" xfId="10202"/>
    <cellStyle name="Calculation 5 3 4 2" xfId="10203"/>
    <cellStyle name="Calculation 5 3 4 3" xfId="28475"/>
    <cellStyle name="Calculation 5 3 4 4" xfId="28476"/>
    <cellStyle name="Calculation 5 3 5" xfId="10204"/>
    <cellStyle name="Calculation 5 3 5 2" xfId="10205"/>
    <cellStyle name="Calculation 5 3 5 3" xfId="28477"/>
    <cellStyle name="Calculation 5 3 5 4" xfId="28478"/>
    <cellStyle name="Calculation 5 3 6" xfId="10206"/>
    <cellStyle name="Calculation 5 3 6 2" xfId="10207"/>
    <cellStyle name="Calculation 5 3 6 3" xfId="28479"/>
    <cellStyle name="Calculation 5 3 6 4" xfId="28480"/>
    <cellStyle name="Calculation 5 3 7" xfId="10208"/>
    <cellStyle name="Calculation 5 3 7 2" xfId="10209"/>
    <cellStyle name="Calculation 5 3 7 3" xfId="28481"/>
    <cellStyle name="Calculation 5 3 7 4" xfId="28482"/>
    <cellStyle name="Calculation 5 3 8" xfId="10210"/>
    <cellStyle name="Calculation 5 3 9" xfId="28483"/>
    <cellStyle name="Calculation 5 4" xfId="10211"/>
    <cellStyle name="Calculation 5 4 10" xfId="28484"/>
    <cellStyle name="Calculation 5 4 2" xfId="10212"/>
    <cellStyle name="Calculation 5 4 2 2" xfId="10213"/>
    <cellStyle name="Calculation 5 4 2 3" xfId="28485"/>
    <cellStyle name="Calculation 5 4 2 4" xfId="28486"/>
    <cellStyle name="Calculation 5 4 3" xfId="10214"/>
    <cellStyle name="Calculation 5 4 3 2" xfId="10215"/>
    <cellStyle name="Calculation 5 4 3 3" xfId="28487"/>
    <cellStyle name="Calculation 5 4 3 4" xfId="28488"/>
    <cellStyle name="Calculation 5 4 4" xfId="10216"/>
    <cellStyle name="Calculation 5 4 4 2" xfId="10217"/>
    <cellStyle name="Calculation 5 4 4 3" xfId="28489"/>
    <cellStyle name="Calculation 5 4 4 4" xfId="28490"/>
    <cellStyle name="Calculation 5 4 5" xfId="10218"/>
    <cellStyle name="Calculation 5 4 5 2" xfId="10219"/>
    <cellStyle name="Calculation 5 4 5 3" xfId="28491"/>
    <cellStyle name="Calculation 5 4 5 4" xfId="28492"/>
    <cellStyle name="Calculation 5 4 6" xfId="10220"/>
    <cellStyle name="Calculation 5 4 6 2" xfId="10221"/>
    <cellStyle name="Calculation 5 4 6 3" xfId="28493"/>
    <cellStyle name="Calculation 5 4 6 4" xfId="28494"/>
    <cellStyle name="Calculation 5 4 7" xfId="10222"/>
    <cellStyle name="Calculation 5 4 7 2" xfId="10223"/>
    <cellStyle name="Calculation 5 4 7 3" xfId="28495"/>
    <cellStyle name="Calculation 5 4 7 4" xfId="28496"/>
    <cellStyle name="Calculation 5 4 8" xfId="10224"/>
    <cellStyle name="Calculation 5 4 9" xfId="28497"/>
    <cellStyle name="Calculation 5 5" xfId="10225"/>
    <cellStyle name="Calculation 5 5 10" xfId="28498"/>
    <cellStyle name="Calculation 5 5 2" xfId="10226"/>
    <cellStyle name="Calculation 5 5 2 2" xfId="10227"/>
    <cellStyle name="Calculation 5 5 2 3" xfId="28499"/>
    <cellStyle name="Calculation 5 5 2 4" xfId="28500"/>
    <cellStyle name="Calculation 5 5 3" xfId="10228"/>
    <cellStyle name="Calculation 5 5 3 2" xfId="10229"/>
    <cellStyle name="Calculation 5 5 3 3" xfId="28501"/>
    <cellStyle name="Calculation 5 5 3 4" xfId="28502"/>
    <cellStyle name="Calculation 5 5 4" xfId="10230"/>
    <cellStyle name="Calculation 5 5 4 2" xfId="10231"/>
    <cellStyle name="Calculation 5 5 4 3" xfId="28503"/>
    <cellStyle name="Calculation 5 5 4 4" xfId="28504"/>
    <cellStyle name="Calculation 5 5 5" xfId="10232"/>
    <cellStyle name="Calculation 5 5 5 2" xfId="10233"/>
    <cellStyle name="Calculation 5 5 5 3" xfId="28505"/>
    <cellStyle name="Calculation 5 5 5 4" xfId="28506"/>
    <cellStyle name="Calculation 5 5 6" xfId="10234"/>
    <cellStyle name="Calculation 5 5 6 2" xfId="10235"/>
    <cellStyle name="Calculation 5 5 6 3" xfId="28507"/>
    <cellStyle name="Calculation 5 5 6 4" xfId="28508"/>
    <cellStyle name="Calculation 5 5 7" xfId="10236"/>
    <cellStyle name="Calculation 5 5 7 2" xfId="10237"/>
    <cellStyle name="Calculation 5 5 7 3" xfId="28509"/>
    <cellStyle name="Calculation 5 5 7 4" xfId="28510"/>
    <cellStyle name="Calculation 5 5 8" xfId="10238"/>
    <cellStyle name="Calculation 5 5 9" xfId="28511"/>
    <cellStyle name="Calculation 5 6" xfId="10239"/>
    <cellStyle name="Calculation 5 6 2" xfId="10240"/>
    <cellStyle name="Calculation 5 6 3" xfId="28512"/>
    <cellStyle name="Calculation 5 6 4" xfId="28513"/>
    <cellStyle name="Calculation 5 7" xfId="10241"/>
    <cellStyle name="Calculation 5 7 2" xfId="10242"/>
    <cellStyle name="Calculation 5 7 3" xfId="28514"/>
    <cellStyle name="Calculation 5 7 4" xfId="28515"/>
    <cellStyle name="Calculation 5 8" xfId="10243"/>
    <cellStyle name="Calculation 5 8 2" xfId="10244"/>
    <cellStyle name="Calculation 5 8 3" xfId="28516"/>
    <cellStyle name="Calculation 5 8 4" xfId="28517"/>
    <cellStyle name="Calculation 5 9" xfId="10245"/>
    <cellStyle name="Calculation 5 9 2" xfId="10246"/>
    <cellStyle name="Calculation 5 9 3" xfId="28518"/>
    <cellStyle name="Calculation 5 9 4" xfId="28519"/>
    <cellStyle name="Calculation 6" xfId="10247"/>
    <cellStyle name="Calculation 6 10" xfId="10248"/>
    <cellStyle name="Calculation 6 10 2" xfId="10249"/>
    <cellStyle name="Calculation 6 10 3" xfId="28520"/>
    <cellStyle name="Calculation 6 10 4" xfId="28521"/>
    <cellStyle name="Calculation 6 11" xfId="10250"/>
    <cellStyle name="Calculation 6 11 2" xfId="10251"/>
    <cellStyle name="Calculation 6 11 3" xfId="28522"/>
    <cellStyle name="Calculation 6 11 4" xfId="28523"/>
    <cellStyle name="Calculation 6 12" xfId="10252"/>
    <cellStyle name="Calculation 6 13" xfId="28524"/>
    <cellStyle name="Calculation 6 14" xfId="28525"/>
    <cellStyle name="Calculation 6 2" xfId="10253"/>
    <cellStyle name="Calculation 6 2 10" xfId="28526"/>
    <cellStyle name="Calculation 6 2 2" xfId="10254"/>
    <cellStyle name="Calculation 6 2 2 2" xfId="10255"/>
    <cellStyle name="Calculation 6 2 2 3" xfId="28527"/>
    <cellStyle name="Calculation 6 2 2 4" xfId="28528"/>
    <cellStyle name="Calculation 6 2 3" xfId="10256"/>
    <cellStyle name="Calculation 6 2 3 2" xfId="10257"/>
    <cellStyle name="Calculation 6 2 3 3" xfId="28529"/>
    <cellStyle name="Calculation 6 2 3 4" xfId="28530"/>
    <cellStyle name="Calculation 6 2 4" xfId="10258"/>
    <cellStyle name="Calculation 6 2 4 2" xfId="10259"/>
    <cellStyle name="Calculation 6 2 4 3" xfId="28531"/>
    <cellStyle name="Calculation 6 2 4 4" xfId="28532"/>
    <cellStyle name="Calculation 6 2 5" xfId="10260"/>
    <cellStyle name="Calculation 6 2 5 2" xfId="10261"/>
    <cellStyle name="Calculation 6 2 5 3" xfId="28533"/>
    <cellStyle name="Calculation 6 2 5 4" xfId="28534"/>
    <cellStyle name="Calculation 6 2 6" xfId="10262"/>
    <cellStyle name="Calculation 6 2 6 2" xfId="10263"/>
    <cellStyle name="Calculation 6 2 6 3" xfId="28535"/>
    <cellStyle name="Calculation 6 2 6 4" xfId="28536"/>
    <cellStyle name="Calculation 6 2 7" xfId="10264"/>
    <cellStyle name="Calculation 6 2 7 2" xfId="10265"/>
    <cellStyle name="Calculation 6 2 7 3" xfId="28537"/>
    <cellStyle name="Calculation 6 2 7 4" xfId="28538"/>
    <cellStyle name="Calculation 6 2 8" xfId="10266"/>
    <cellStyle name="Calculation 6 2 9" xfId="28539"/>
    <cellStyle name="Calculation 6 3" xfId="10267"/>
    <cellStyle name="Calculation 6 3 10" xfId="28540"/>
    <cellStyle name="Calculation 6 3 2" xfId="10268"/>
    <cellStyle name="Calculation 6 3 2 2" xfId="10269"/>
    <cellStyle name="Calculation 6 3 2 3" xfId="28541"/>
    <cellStyle name="Calculation 6 3 2 4" xfId="28542"/>
    <cellStyle name="Calculation 6 3 3" xfId="10270"/>
    <cellStyle name="Calculation 6 3 3 2" xfId="10271"/>
    <cellStyle name="Calculation 6 3 3 3" xfId="28543"/>
    <cellStyle name="Calculation 6 3 3 4" xfId="28544"/>
    <cellStyle name="Calculation 6 3 4" xfId="10272"/>
    <cellStyle name="Calculation 6 3 4 2" xfId="10273"/>
    <cellStyle name="Calculation 6 3 4 3" xfId="28545"/>
    <cellStyle name="Calculation 6 3 4 4" xfId="28546"/>
    <cellStyle name="Calculation 6 3 5" xfId="10274"/>
    <cellStyle name="Calculation 6 3 5 2" xfId="10275"/>
    <cellStyle name="Calculation 6 3 5 3" xfId="28547"/>
    <cellStyle name="Calculation 6 3 5 4" xfId="28548"/>
    <cellStyle name="Calculation 6 3 6" xfId="10276"/>
    <cellStyle name="Calculation 6 3 6 2" xfId="10277"/>
    <cellStyle name="Calculation 6 3 6 3" xfId="28549"/>
    <cellStyle name="Calculation 6 3 6 4" xfId="28550"/>
    <cellStyle name="Calculation 6 3 7" xfId="10278"/>
    <cellStyle name="Calculation 6 3 7 2" xfId="10279"/>
    <cellStyle name="Calculation 6 3 7 3" xfId="28551"/>
    <cellStyle name="Calculation 6 3 7 4" xfId="28552"/>
    <cellStyle name="Calculation 6 3 8" xfId="10280"/>
    <cellStyle name="Calculation 6 3 9" xfId="28553"/>
    <cellStyle name="Calculation 6 4" xfId="10281"/>
    <cellStyle name="Calculation 6 4 10" xfId="28554"/>
    <cellStyle name="Calculation 6 4 2" xfId="10282"/>
    <cellStyle name="Calculation 6 4 2 2" xfId="10283"/>
    <cellStyle name="Calculation 6 4 2 3" xfId="28555"/>
    <cellStyle name="Calculation 6 4 2 4" xfId="28556"/>
    <cellStyle name="Calculation 6 4 3" xfId="10284"/>
    <cellStyle name="Calculation 6 4 3 2" xfId="10285"/>
    <cellStyle name="Calculation 6 4 3 3" xfId="28557"/>
    <cellStyle name="Calculation 6 4 3 4" xfId="28558"/>
    <cellStyle name="Calculation 6 4 4" xfId="10286"/>
    <cellStyle name="Calculation 6 4 4 2" xfId="10287"/>
    <cellStyle name="Calculation 6 4 4 3" xfId="28559"/>
    <cellStyle name="Calculation 6 4 4 4" xfId="28560"/>
    <cellStyle name="Calculation 6 4 5" xfId="10288"/>
    <cellStyle name="Calculation 6 4 5 2" xfId="10289"/>
    <cellStyle name="Calculation 6 4 5 3" xfId="28561"/>
    <cellStyle name="Calculation 6 4 5 4" xfId="28562"/>
    <cellStyle name="Calculation 6 4 6" xfId="10290"/>
    <cellStyle name="Calculation 6 4 6 2" xfId="10291"/>
    <cellStyle name="Calculation 6 4 6 3" xfId="28563"/>
    <cellStyle name="Calculation 6 4 6 4" xfId="28564"/>
    <cellStyle name="Calculation 6 4 7" xfId="10292"/>
    <cellStyle name="Calculation 6 4 7 2" xfId="10293"/>
    <cellStyle name="Calculation 6 4 7 3" xfId="28565"/>
    <cellStyle name="Calculation 6 4 7 4" xfId="28566"/>
    <cellStyle name="Calculation 6 4 8" xfId="10294"/>
    <cellStyle name="Calculation 6 4 9" xfId="28567"/>
    <cellStyle name="Calculation 6 5" xfId="10295"/>
    <cellStyle name="Calculation 6 5 10" xfId="28568"/>
    <cellStyle name="Calculation 6 5 2" xfId="10296"/>
    <cellStyle name="Calculation 6 5 2 2" xfId="10297"/>
    <cellStyle name="Calculation 6 5 2 3" xfId="28569"/>
    <cellStyle name="Calculation 6 5 2 4" xfId="28570"/>
    <cellStyle name="Calculation 6 5 3" xfId="10298"/>
    <cellStyle name="Calculation 6 5 3 2" xfId="10299"/>
    <cellStyle name="Calculation 6 5 3 3" xfId="28571"/>
    <cellStyle name="Calculation 6 5 3 4" xfId="28572"/>
    <cellStyle name="Calculation 6 5 4" xfId="10300"/>
    <cellStyle name="Calculation 6 5 4 2" xfId="10301"/>
    <cellStyle name="Calculation 6 5 4 3" xfId="28573"/>
    <cellStyle name="Calculation 6 5 4 4" xfId="28574"/>
    <cellStyle name="Calculation 6 5 5" xfId="10302"/>
    <cellStyle name="Calculation 6 5 5 2" xfId="10303"/>
    <cellStyle name="Calculation 6 5 5 3" xfId="28575"/>
    <cellStyle name="Calculation 6 5 5 4" xfId="28576"/>
    <cellStyle name="Calculation 6 5 6" xfId="10304"/>
    <cellStyle name="Calculation 6 5 6 2" xfId="10305"/>
    <cellStyle name="Calculation 6 5 6 3" xfId="28577"/>
    <cellStyle name="Calculation 6 5 6 4" xfId="28578"/>
    <cellStyle name="Calculation 6 5 7" xfId="10306"/>
    <cellStyle name="Calculation 6 5 7 2" xfId="10307"/>
    <cellStyle name="Calculation 6 5 7 3" xfId="28579"/>
    <cellStyle name="Calculation 6 5 7 4" xfId="28580"/>
    <cellStyle name="Calculation 6 5 8" xfId="10308"/>
    <cellStyle name="Calculation 6 5 9" xfId="28581"/>
    <cellStyle name="Calculation 6 6" xfId="10309"/>
    <cellStyle name="Calculation 6 6 2" xfId="10310"/>
    <cellStyle name="Calculation 6 6 3" xfId="28582"/>
    <cellStyle name="Calculation 6 6 4" xfId="28583"/>
    <cellStyle name="Calculation 6 7" xfId="10311"/>
    <cellStyle name="Calculation 6 7 2" xfId="10312"/>
    <cellStyle name="Calculation 6 7 3" xfId="28584"/>
    <cellStyle name="Calculation 6 7 4" xfId="28585"/>
    <cellStyle name="Calculation 6 8" xfId="10313"/>
    <cellStyle name="Calculation 6 8 2" xfId="10314"/>
    <cellStyle name="Calculation 6 8 3" xfId="28586"/>
    <cellStyle name="Calculation 6 8 4" xfId="28587"/>
    <cellStyle name="Calculation 6 9" xfId="10315"/>
    <cellStyle name="Calculation 6 9 2" xfId="10316"/>
    <cellStyle name="Calculation 6 9 3" xfId="28588"/>
    <cellStyle name="Calculation 6 9 4" xfId="28589"/>
    <cellStyle name="Calculation 7" xfId="10317"/>
    <cellStyle name="Calculation 7 10" xfId="10318"/>
    <cellStyle name="Calculation 7 10 2" xfId="10319"/>
    <cellStyle name="Calculation 7 10 3" xfId="28590"/>
    <cellStyle name="Calculation 7 10 4" xfId="28591"/>
    <cellStyle name="Calculation 7 11" xfId="10320"/>
    <cellStyle name="Calculation 7 11 2" xfId="10321"/>
    <cellStyle name="Calculation 7 11 3" xfId="28592"/>
    <cellStyle name="Calculation 7 11 4" xfId="28593"/>
    <cellStyle name="Calculation 7 12" xfId="10322"/>
    <cellStyle name="Calculation 7 13" xfId="28594"/>
    <cellStyle name="Calculation 7 14" xfId="28595"/>
    <cellStyle name="Calculation 7 2" xfId="10323"/>
    <cellStyle name="Calculation 7 2 10" xfId="28596"/>
    <cellStyle name="Calculation 7 2 2" xfId="10324"/>
    <cellStyle name="Calculation 7 2 2 2" xfId="10325"/>
    <cellStyle name="Calculation 7 2 2 3" xfId="28597"/>
    <cellStyle name="Calculation 7 2 2 4" xfId="28598"/>
    <cellStyle name="Calculation 7 2 3" xfId="10326"/>
    <cellStyle name="Calculation 7 2 3 2" xfId="10327"/>
    <cellStyle name="Calculation 7 2 3 3" xfId="28599"/>
    <cellStyle name="Calculation 7 2 3 4" xfId="28600"/>
    <cellStyle name="Calculation 7 2 4" xfId="10328"/>
    <cellStyle name="Calculation 7 2 4 2" xfId="10329"/>
    <cellStyle name="Calculation 7 2 4 3" xfId="28601"/>
    <cellStyle name="Calculation 7 2 4 4" xfId="28602"/>
    <cellStyle name="Calculation 7 2 5" xfId="10330"/>
    <cellStyle name="Calculation 7 2 5 2" xfId="10331"/>
    <cellStyle name="Calculation 7 2 5 3" xfId="28603"/>
    <cellStyle name="Calculation 7 2 5 4" xfId="28604"/>
    <cellStyle name="Calculation 7 2 6" xfId="10332"/>
    <cellStyle name="Calculation 7 2 6 2" xfId="10333"/>
    <cellStyle name="Calculation 7 2 6 3" xfId="28605"/>
    <cellStyle name="Calculation 7 2 6 4" xfId="28606"/>
    <cellStyle name="Calculation 7 2 7" xfId="10334"/>
    <cellStyle name="Calculation 7 2 7 2" xfId="10335"/>
    <cellStyle name="Calculation 7 2 7 3" xfId="28607"/>
    <cellStyle name="Calculation 7 2 7 4" xfId="28608"/>
    <cellStyle name="Calculation 7 2 8" xfId="10336"/>
    <cellStyle name="Calculation 7 2 9" xfId="28609"/>
    <cellStyle name="Calculation 7 3" xfId="10337"/>
    <cellStyle name="Calculation 7 3 10" xfId="28610"/>
    <cellStyle name="Calculation 7 3 2" xfId="10338"/>
    <cellStyle name="Calculation 7 3 2 2" xfId="10339"/>
    <cellStyle name="Calculation 7 3 2 3" xfId="28611"/>
    <cellStyle name="Calculation 7 3 2 4" xfId="28612"/>
    <cellStyle name="Calculation 7 3 3" xfId="10340"/>
    <cellStyle name="Calculation 7 3 3 2" xfId="10341"/>
    <cellStyle name="Calculation 7 3 3 3" xfId="28613"/>
    <cellStyle name="Calculation 7 3 3 4" xfId="28614"/>
    <cellStyle name="Calculation 7 3 4" xfId="10342"/>
    <cellStyle name="Calculation 7 3 4 2" xfId="10343"/>
    <cellStyle name="Calculation 7 3 4 3" xfId="28615"/>
    <cellStyle name="Calculation 7 3 4 4" xfId="28616"/>
    <cellStyle name="Calculation 7 3 5" xfId="10344"/>
    <cellStyle name="Calculation 7 3 5 2" xfId="10345"/>
    <cellStyle name="Calculation 7 3 5 3" xfId="28617"/>
    <cellStyle name="Calculation 7 3 5 4" xfId="28618"/>
    <cellStyle name="Calculation 7 3 6" xfId="10346"/>
    <cellStyle name="Calculation 7 3 6 2" xfId="10347"/>
    <cellStyle name="Calculation 7 3 6 3" xfId="28619"/>
    <cellStyle name="Calculation 7 3 6 4" xfId="28620"/>
    <cellStyle name="Calculation 7 3 7" xfId="10348"/>
    <cellStyle name="Calculation 7 3 7 2" xfId="10349"/>
    <cellStyle name="Calculation 7 3 7 3" xfId="28621"/>
    <cellStyle name="Calculation 7 3 7 4" xfId="28622"/>
    <cellStyle name="Calculation 7 3 8" xfId="10350"/>
    <cellStyle name="Calculation 7 3 9" xfId="28623"/>
    <cellStyle name="Calculation 7 4" xfId="10351"/>
    <cellStyle name="Calculation 7 4 10" xfId="28624"/>
    <cellStyle name="Calculation 7 4 2" xfId="10352"/>
    <cellStyle name="Calculation 7 4 2 2" xfId="10353"/>
    <cellStyle name="Calculation 7 4 2 3" xfId="28625"/>
    <cellStyle name="Calculation 7 4 2 4" xfId="28626"/>
    <cellStyle name="Calculation 7 4 3" xfId="10354"/>
    <cellStyle name="Calculation 7 4 3 2" xfId="10355"/>
    <cellStyle name="Calculation 7 4 3 3" xfId="28627"/>
    <cellStyle name="Calculation 7 4 3 4" xfId="28628"/>
    <cellStyle name="Calculation 7 4 4" xfId="10356"/>
    <cellStyle name="Calculation 7 4 4 2" xfId="10357"/>
    <cellStyle name="Calculation 7 4 4 3" xfId="28629"/>
    <cellStyle name="Calculation 7 4 4 4" xfId="28630"/>
    <cellStyle name="Calculation 7 4 5" xfId="10358"/>
    <cellStyle name="Calculation 7 4 5 2" xfId="10359"/>
    <cellStyle name="Calculation 7 4 5 3" xfId="28631"/>
    <cellStyle name="Calculation 7 4 5 4" xfId="28632"/>
    <cellStyle name="Calculation 7 4 6" xfId="10360"/>
    <cellStyle name="Calculation 7 4 6 2" xfId="10361"/>
    <cellStyle name="Calculation 7 4 6 3" xfId="28633"/>
    <cellStyle name="Calculation 7 4 6 4" xfId="28634"/>
    <cellStyle name="Calculation 7 4 7" xfId="10362"/>
    <cellStyle name="Calculation 7 4 7 2" xfId="10363"/>
    <cellStyle name="Calculation 7 4 7 3" xfId="28635"/>
    <cellStyle name="Calculation 7 4 7 4" xfId="28636"/>
    <cellStyle name="Calculation 7 4 8" xfId="10364"/>
    <cellStyle name="Calculation 7 4 9" xfId="28637"/>
    <cellStyle name="Calculation 7 5" xfId="10365"/>
    <cellStyle name="Calculation 7 5 10" xfId="28638"/>
    <cellStyle name="Calculation 7 5 2" xfId="10366"/>
    <cellStyle name="Calculation 7 5 2 2" xfId="10367"/>
    <cellStyle name="Calculation 7 5 2 3" xfId="28639"/>
    <cellStyle name="Calculation 7 5 2 4" xfId="28640"/>
    <cellStyle name="Calculation 7 5 3" xfId="10368"/>
    <cellStyle name="Calculation 7 5 3 2" xfId="10369"/>
    <cellStyle name="Calculation 7 5 3 3" xfId="28641"/>
    <cellStyle name="Calculation 7 5 3 4" xfId="28642"/>
    <cellStyle name="Calculation 7 5 4" xfId="10370"/>
    <cellStyle name="Calculation 7 5 4 2" xfId="10371"/>
    <cellStyle name="Calculation 7 5 4 3" xfId="28643"/>
    <cellStyle name="Calculation 7 5 4 4" xfId="28644"/>
    <cellStyle name="Calculation 7 5 5" xfId="10372"/>
    <cellStyle name="Calculation 7 5 5 2" xfId="10373"/>
    <cellStyle name="Calculation 7 5 5 3" xfId="28645"/>
    <cellStyle name="Calculation 7 5 5 4" xfId="28646"/>
    <cellStyle name="Calculation 7 5 6" xfId="10374"/>
    <cellStyle name="Calculation 7 5 6 2" xfId="10375"/>
    <cellStyle name="Calculation 7 5 6 3" xfId="28647"/>
    <cellStyle name="Calculation 7 5 6 4" xfId="28648"/>
    <cellStyle name="Calculation 7 5 7" xfId="10376"/>
    <cellStyle name="Calculation 7 5 7 2" xfId="10377"/>
    <cellStyle name="Calculation 7 5 7 3" xfId="28649"/>
    <cellStyle name="Calculation 7 5 7 4" xfId="28650"/>
    <cellStyle name="Calculation 7 5 8" xfId="10378"/>
    <cellStyle name="Calculation 7 5 9" xfId="28651"/>
    <cellStyle name="Calculation 7 6" xfId="10379"/>
    <cellStyle name="Calculation 7 6 2" xfId="10380"/>
    <cellStyle name="Calculation 7 6 3" xfId="28652"/>
    <cellStyle name="Calculation 7 6 4" xfId="28653"/>
    <cellStyle name="Calculation 7 7" xfId="10381"/>
    <cellStyle name="Calculation 7 7 2" xfId="10382"/>
    <cellStyle name="Calculation 7 7 3" xfId="28654"/>
    <cellStyle name="Calculation 7 7 4" xfId="28655"/>
    <cellStyle name="Calculation 7 8" xfId="10383"/>
    <cellStyle name="Calculation 7 8 2" xfId="10384"/>
    <cellStyle name="Calculation 7 8 3" xfId="28656"/>
    <cellStyle name="Calculation 7 8 4" xfId="28657"/>
    <cellStyle name="Calculation 7 9" xfId="10385"/>
    <cellStyle name="Calculation 7 9 2" xfId="10386"/>
    <cellStyle name="Calculation 7 9 3" xfId="28658"/>
    <cellStyle name="Calculation 7 9 4" xfId="28659"/>
    <cellStyle name="Calculation 8" xfId="10387"/>
    <cellStyle name="Calculation 8 10" xfId="10388"/>
    <cellStyle name="Calculation 8 10 2" xfId="10389"/>
    <cellStyle name="Calculation 8 10 3" xfId="28660"/>
    <cellStyle name="Calculation 8 10 4" xfId="28661"/>
    <cellStyle name="Calculation 8 11" xfId="10390"/>
    <cellStyle name="Calculation 8 11 2" xfId="10391"/>
    <cellStyle name="Calculation 8 11 3" xfId="28662"/>
    <cellStyle name="Calculation 8 11 4" xfId="28663"/>
    <cellStyle name="Calculation 8 12" xfId="10392"/>
    <cellStyle name="Calculation 8 13" xfId="28664"/>
    <cellStyle name="Calculation 8 14" xfId="28665"/>
    <cellStyle name="Calculation 8 2" xfId="10393"/>
    <cellStyle name="Calculation 8 2 10" xfId="28666"/>
    <cellStyle name="Calculation 8 2 2" xfId="10394"/>
    <cellStyle name="Calculation 8 2 2 2" xfId="10395"/>
    <cellStyle name="Calculation 8 2 2 3" xfId="28667"/>
    <cellStyle name="Calculation 8 2 2 4" xfId="28668"/>
    <cellStyle name="Calculation 8 2 3" xfId="10396"/>
    <cellStyle name="Calculation 8 2 3 2" xfId="10397"/>
    <cellStyle name="Calculation 8 2 3 3" xfId="28669"/>
    <cellStyle name="Calculation 8 2 3 4" xfId="28670"/>
    <cellStyle name="Calculation 8 2 4" xfId="10398"/>
    <cellStyle name="Calculation 8 2 4 2" xfId="10399"/>
    <cellStyle name="Calculation 8 2 4 3" xfId="28671"/>
    <cellStyle name="Calculation 8 2 4 4" xfId="28672"/>
    <cellStyle name="Calculation 8 2 5" xfId="10400"/>
    <cellStyle name="Calculation 8 2 5 2" xfId="10401"/>
    <cellStyle name="Calculation 8 2 5 3" xfId="28673"/>
    <cellStyle name="Calculation 8 2 5 4" xfId="28674"/>
    <cellStyle name="Calculation 8 2 6" xfId="10402"/>
    <cellStyle name="Calculation 8 2 6 2" xfId="10403"/>
    <cellStyle name="Calculation 8 2 6 3" xfId="28675"/>
    <cellStyle name="Calculation 8 2 6 4" xfId="28676"/>
    <cellStyle name="Calculation 8 2 7" xfId="10404"/>
    <cellStyle name="Calculation 8 2 7 2" xfId="10405"/>
    <cellStyle name="Calculation 8 2 7 3" xfId="28677"/>
    <cellStyle name="Calculation 8 2 7 4" xfId="28678"/>
    <cellStyle name="Calculation 8 2 8" xfId="10406"/>
    <cellStyle name="Calculation 8 2 9" xfId="28679"/>
    <cellStyle name="Calculation 8 3" xfId="10407"/>
    <cellStyle name="Calculation 8 3 10" xfId="28680"/>
    <cellStyle name="Calculation 8 3 2" xfId="10408"/>
    <cellStyle name="Calculation 8 3 2 2" xfId="10409"/>
    <cellStyle name="Calculation 8 3 2 3" xfId="28681"/>
    <cellStyle name="Calculation 8 3 2 4" xfId="28682"/>
    <cellStyle name="Calculation 8 3 3" xfId="10410"/>
    <cellStyle name="Calculation 8 3 3 2" xfId="10411"/>
    <cellStyle name="Calculation 8 3 3 3" xfId="28683"/>
    <cellStyle name="Calculation 8 3 3 4" xfId="28684"/>
    <cellStyle name="Calculation 8 3 4" xfId="10412"/>
    <cellStyle name="Calculation 8 3 4 2" xfId="10413"/>
    <cellStyle name="Calculation 8 3 4 3" xfId="28685"/>
    <cellStyle name="Calculation 8 3 4 4" xfId="28686"/>
    <cellStyle name="Calculation 8 3 5" xfId="10414"/>
    <cellStyle name="Calculation 8 3 5 2" xfId="10415"/>
    <cellStyle name="Calculation 8 3 5 3" xfId="28687"/>
    <cellStyle name="Calculation 8 3 5 4" xfId="28688"/>
    <cellStyle name="Calculation 8 3 6" xfId="10416"/>
    <cellStyle name="Calculation 8 3 6 2" xfId="10417"/>
    <cellStyle name="Calculation 8 3 6 3" xfId="28689"/>
    <cellStyle name="Calculation 8 3 6 4" xfId="28690"/>
    <cellStyle name="Calculation 8 3 7" xfId="10418"/>
    <cellStyle name="Calculation 8 3 7 2" xfId="10419"/>
    <cellStyle name="Calculation 8 3 7 3" xfId="28691"/>
    <cellStyle name="Calculation 8 3 7 4" xfId="28692"/>
    <cellStyle name="Calculation 8 3 8" xfId="10420"/>
    <cellStyle name="Calculation 8 3 9" xfId="28693"/>
    <cellStyle name="Calculation 8 4" xfId="10421"/>
    <cellStyle name="Calculation 8 4 10" xfId="28694"/>
    <cellStyle name="Calculation 8 4 2" xfId="10422"/>
    <cellStyle name="Calculation 8 4 2 2" xfId="10423"/>
    <cellStyle name="Calculation 8 4 2 3" xfId="28695"/>
    <cellStyle name="Calculation 8 4 2 4" xfId="28696"/>
    <cellStyle name="Calculation 8 4 3" xfId="10424"/>
    <cellStyle name="Calculation 8 4 3 2" xfId="10425"/>
    <cellStyle name="Calculation 8 4 3 3" xfId="28697"/>
    <cellStyle name="Calculation 8 4 3 4" xfId="28698"/>
    <cellStyle name="Calculation 8 4 4" xfId="10426"/>
    <cellStyle name="Calculation 8 4 4 2" xfId="10427"/>
    <cellStyle name="Calculation 8 4 4 3" xfId="28699"/>
    <cellStyle name="Calculation 8 4 4 4" xfId="28700"/>
    <cellStyle name="Calculation 8 4 5" xfId="10428"/>
    <cellStyle name="Calculation 8 4 5 2" xfId="10429"/>
    <cellStyle name="Calculation 8 4 5 3" xfId="28701"/>
    <cellStyle name="Calculation 8 4 5 4" xfId="28702"/>
    <cellStyle name="Calculation 8 4 6" xfId="10430"/>
    <cellStyle name="Calculation 8 4 6 2" xfId="10431"/>
    <cellStyle name="Calculation 8 4 6 3" xfId="28703"/>
    <cellStyle name="Calculation 8 4 6 4" xfId="28704"/>
    <cellStyle name="Calculation 8 4 7" xfId="10432"/>
    <cellStyle name="Calculation 8 4 7 2" xfId="10433"/>
    <cellStyle name="Calculation 8 4 7 3" xfId="28705"/>
    <cellStyle name="Calculation 8 4 7 4" xfId="28706"/>
    <cellStyle name="Calculation 8 4 8" xfId="10434"/>
    <cellStyle name="Calculation 8 4 9" xfId="28707"/>
    <cellStyle name="Calculation 8 5" xfId="10435"/>
    <cellStyle name="Calculation 8 5 10" xfId="28708"/>
    <cellStyle name="Calculation 8 5 2" xfId="10436"/>
    <cellStyle name="Calculation 8 5 2 2" xfId="10437"/>
    <cellStyle name="Calculation 8 5 2 3" xfId="28709"/>
    <cellStyle name="Calculation 8 5 2 4" xfId="28710"/>
    <cellStyle name="Calculation 8 5 3" xfId="10438"/>
    <cellStyle name="Calculation 8 5 3 2" xfId="10439"/>
    <cellStyle name="Calculation 8 5 3 3" xfId="28711"/>
    <cellStyle name="Calculation 8 5 3 4" xfId="28712"/>
    <cellStyle name="Calculation 8 5 4" xfId="10440"/>
    <cellStyle name="Calculation 8 5 4 2" xfId="10441"/>
    <cellStyle name="Calculation 8 5 4 3" xfId="28713"/>
    <cellStyle name="Calculation 8 5 4 4" xfId="28714"/>
    <cellStyle name="Calculation 8 5 5" xfId="10442"/>
    <cellStyle name="Calculation 8 5 5 2" xfId="10443"/>
    <cellStyle name="Calculation 8 5 5 3" xfId="28715"/>
    <cellStyle name="Calculation 8 5 5 4" xfId="28716"/>
    <cellStyle name="Calculation 8 5 6" xfId="10444"/>
    <cellStyle name="Calculation 8 5 6 2" xfId="10445"/>
    <cellStyle name="Calculation 8 5 6 3" xfId="28717"/>
    <cellStyle name="Calculation 8 5 6 4" xfId="28718"/>
    <cellStyle name="Calculation 8 5 7" xfId="10446"/>
    <cellStyle name="Calculation 8 5 7 2" xfId="10447"/>
    <cellStyle name="Calculation 8 5 7 3" xfId="28719"/>
    <cellStyle name="Calculation 8 5 7 4" xfId="28720"/>
    <cellStyle name="Calculation 8 5 8" xfId="10448"/>
    <cellStyle name="Calculation 8 5 9" xfId="28721"/>
    <cellStyle name="Calculation 8 6" xfId="10449"/>
    <cellStyle name="Calculation 8 6 2" xfId="10450"/>
    <cellStyle name="Calculation 8 6 3" xfId="28722"/>
    <cellStyle name="Calculation 8 6 4" xfId="28723"/>
    <cellStyle name="Calculation 8 7" xfId="10451"/>
    <cellStyle name="Calculation 8 7 2" xfId="10452"/>
    <cellStyle name="Calculation 8 7 3" xfId="28724"/>
    <cellStyle name="Calculation 8 7 4" xfId="28725"/>
    <cellStyle name="Calculation 8 8" xfId="10453"/>
    <cellStyle name="Calculation 8 8 2" xfId="10454"/>
    <cellStyle name="Calculation 8 8 3" xfId="28726"/>
    <cellStyle name="Calculation 8 8 4" xfId="28727"/>
    <cellStyle name="Calculation 8 9" xfId="10455"/>
    <cellStyle name="Calculation 8 9 2" xfId="10456"/>
    <cellStyle name="Calculation 8 9 3" xfId="28728"/>
    <cellStyle name="Calculation 8 9 4" xfId="28729"/>
    <cellStyle name="Calculation 9" xfId="10457"/>
    <cellStyle name="Calculation 9 10" xfId="10458"/>
    <cellStyle name="Calculation 9 10 2" xfId="10459"/>
    <cellStyle name="Calculation 9 10 3" xfId="28730"/>
    <cellStyle name="Calculation 9 10 4" xfId="28731"/>
    <cellStyle name="Calculation 9 11" xfId="10460"/>
    <cellStyle name="Calculation 9 11 2" xfId="10461"/>
    <cellStyle name="Calculation 9 11 3" xfId="28732"/>
    <cellStyle name="Calculation 9 11 4" xfId="28733"/>
    <cellStyle name="Calculation 9 12" xfId="10462"/>
    <cellStyle name="Calculation 9 13" xfId="28734"/>
    <cellStyle name="Calculation 9 14" xfId="28735"/>
    <cellStyle name="Calculation 9 2" xfId="10463"/>
    <cellStyle name="Calculation 9 2 10" xfId="28736"/>
    <cellStyle name="Calculation 9 2 2" xfId="10464"/>
    <cellStyle name="Calculation 9 2 2 2" xfId="10465"/>
    <cellStyle name="Calculation 9 2 2 3" xfId="28737"/>
    <cellStyle name="Calculation 9 2 2 4" xfId="28738"/>
    <cellStyle name="Calculation 9 2 3" xfId="10466"/>
    <cellStyle name="Calculation 9 2 3 2" xfId="10467"/>
    <cellStyle name="Calculation 9 2 3 3" xfId="28739"/>
    <cellStyle name="Calculation 9 2 3 4" xfId="28740"/>
    <cellStyle name="Calculation 9 2 4" xfId="10468"/>
    <cellStyle name="Calculation 9 2 4 2" xfId="10469"/>
    <cellStyle name="Calculation 9 2 4 3" xfId="28741"/>
    <cellStyle name="Calculation 9 2 4 4" xfId="28742"/>
    <cellStyle name="Calculation 9 2 5" xfId="10470"/>
    <cellStyle name="Calculation 9 2 5 2" xfId="10471"/>
    <cellStyle name="Calculation 9 2 5 3" xfId="28743"/>
    <cellStyle name="Calculation 9 2 5 4" xfId="28744"/>
    <cellStyle name="Calculation 9 2 6" xfId="10472"/>
    <cellStyle name="Calculation 9 2 6 2" xfId="10473"/>
    <cellStyle name="Calculation 9 2 6 3" xfId="28745"/>
    <cellStyle name="Calculation 9 2 6 4" xfId="28746"/>
    <cellStyle name="Calculation 9 2 7" xfId="10474"/>
    <cellStyle name="Calculation 9 2 7 2" xfId="10475"/>
    <cellStyle name="Calculation 9 2 7 3" xfId="28747"/>
    <cellStyle name="Calculation 9 2 7 4" xfId="28748"/>
    <cellStyle name="Calculation 9 2 8" xfId="10476"/>
    <cellStyle name="Calculation 9 2 9" xfId="28749"/>
    <cellStyle name="Calculation 9 3" xfId="10477"/>
    <cellStyle name="Calculation 9 3 10" xfId="28750"/>
    <cellStyle name="Calculation 9 3 2" xfId="10478"/>
    <cellStyle name="Calculation 9 3 2 2" xfId="10479"/>
    <cellStyle name="Calculation 9 3 2 3" xfId="28751"/>
    <cellStyle name="Calculation 9 3 2 4" xfId="28752"/>
    <cellStyle name="Calculation 9 3 3" xfId="10480"/>
    <cellStyle name="Calculation 9 3 3 2" xfId="10481"/>
    <cellStyle name="Calculation 9 3 3 3" xfId="28753"/>
    <cellStyle name="Calculation 9 3 3 4" xfId="28754"/>
    <cellStyle name="Calculation 9 3 4" xfId="10482"/>
    <cellStyle name="Calculation 9 3 4 2" xfId="10483"/>
    <cellStyle name="Calculation 9 3 4 3" xfId="28755"/>
    <cellStyle name="Calculation 9 3 4 4" xfId="28756"/>
    <cellStyle name="Calculation 9 3 5" xfId="10484"/>
    <cellStyle name="Calculation 9 3 5 2" xfId="10485"/>
    <cellStyle name="Calculation 9 3 5 3" xfId="28757"/>
    <cellStyle name="Calculation 9 3 5 4" xfId="28758"/>
    <cellStyle name="Calculation 9 3 6" xfId="10486"/>
    <cellStyle name="Calculation 9 3 6 2" xfId="10487"/>
    <cellStyle name="Calculation 9 3 6 3" xfId="28759"/>
    <cellStyle name="Calculation 9 3 6 4" xfId="28760"/>
    <cellStyle name="Calculation 9 3 7" xfId="10488"/>
    <cellStyle name="Calculation 9 3 7 2" xfId="10489"/>
    <cellStyle name="Calculation 9 3 7 3" xfId="28761"/>
    <cellStyle name="Calculation 9 3 7 4" xfId="28762"/>
    <cellStyle name="Calculation 9 3 8" xfId="10490"/>
    <cellStyle name="Calculation 9 3 9" xfId="28763"/>
    <cellStyle name="Calculation 9 4" xfId="10491"/>
    <cellStyle name="Calculation 9 4 10" xfId="28764"/>
    <cellStyle name="Calculation 9 4 2" xfId="10492"/>
    <cellStyle name="Calculation 9 4 2 2" xfId="10493"/>
    <cellStyle name="Calculation 9 4 2 3" xfId="28765"/>
    <cellStyle name="Calculation 9 4 2 4" xfId="28766"/>
    <cellStyle name="Calculation 9 4 3" xfId="10494"/>
    <cellStyle name="Calculation 9 4 3 2" xfId="10495"/>
    <cellStyle name="Calculation 9 4 3 3" xfId="28767"/>
    <cellStyle name="Calculation 9 4 3 4" xfId="28768"/>
    <cellStyle name="Calculation 9 4 4" xfId="10496"/>
    <cellStyle name="Calculation 9 4 4 2" xfId="10497"/>
    <cellStyle name="Calculation 9 4 4 3" xfId="28769"/>
    <cellStyle name="Calculation 9 4 4 4" xfId="28770"/>
    <cellStyle name="Calculation 9 4 5" xfId="10498"/>
    <cellStyle name="Calculation 9 4 5 2" xfId="10499"/>
    <cellStyle name="Calculation 9 4 5 3" xfId="28771"/>
    <cellStyle name="Calculation 9 4 5 4" xfId="28772"/>
    <cellStyle name="Calculation 9 4 6" xfId="10500"/>
    <cellStyle name="Calculation 9 4 6 2" xfId="10501"/>
    <cellStyle name="Calculation 9 4 6 3" xfId="28773"/>
    <cellStyle name="Calculation 9 4 6 4" xfId="28774"/>
    <cellStyle name="Calculation 9 4 7" xfId="10502"/>
    <cellStyle name="Calculation 9 4 7 2" xfId="10503"/>
    <cellStyle name="Calculation 9 4 7 3" xfId="28775"/>
    <cellStyle name="Calculation 9 4 7 4" xfId="28776"/>
    <cellStyle name="Calculation 9 4 8" xfId="10504"/>
    <cellStyle name="Calculation 9 4 9" xfId="28777"/>
    <cellStyle name="Calculation 9 5" xfId="10505"/>
    <cellStyle name="Calculation 9 5 10" xfId="28778"/>
    <cellStyle name="Calculation 9 5 2" xfId="10506"/>
    <cellStyle name="Calculation 9 5 2 2" xfId="10507"/>
    <cellStyle name="Calculation 9 5 2 3" xfId="28779"/>
    <cellStyle name="Calculation 9 5 2 4" xfId="28780"/>
    <cellStyle name="Calculation 9 5 3" xfId="10508"/>
    <cellStyle name="Calculation 9 5 3 2" xfId="10509"/>
    <cellStyle name="Calculation 9 5 3 3" xfId="28781"/>
    <cellStyle name="Calculation 9 5 3 4" xfId="28782"/>
    <cellStyle name="Calculation 9 5 4" xfId="10510"/>
    <cellStyle name="Calculation 9 5 4 2" xfId="10511"/>
    <cellStyle name="Calculation 9 5 4 3" xfId="28783"/>
    <cellStyle name="Calculation 9 5 4 4" xfId="28784"/>
    <cellStyle name="Calculation 9 5 5" xfId="10512"/>
    <cellStyle name="Calculation 9 5 5 2" xfId="10513"/>
    <cellStyle name="Calculation 9 5 5 3" xfId="28785"/>
    <cellStyle name="Calculation 9 5 5 4" xfId="28786"/>
    <cellStyle name="Calculation 9 5 6" xfId="10514"/>
    <cellStyle name="Calculation 9 5 6 2" xfId="10515"/>
    <cellStyle name="Calculation 9 5 6 3" xfId="28787"/>
    <cellStyle name="Calculation 9 5 6 4" xfId="28788"/>
    <cellStyle name="Calculation 9 5 7" xfId="10516"/>
    <cellStyle name="Calculation 9 5 7 2" xfId="10517"/>
    <cellStyle name="Calculation 9 5 7 3" xfId="28789"/>
    <cellStyle name="Calculation 9 5 7 4" xfId="28790"/>
    <cellStyle name="Calculation 9 5 8" xfId="10518"/>
    <cellStyle name="Calculation 9 5 9" xfId="28791"/>
    <cellStyle name="Calculation 9 6" xfId="10519"/>
    <cellStyle name="Calculation 9 6 2" xfId="10520"/>
    <cellStyle name="Calculation 9 6 3" xfId="28792"/>
    <cellStyle name="Calculation 9 6 4" xfId="28793"/>
    <cellStyle name="Calculation 9 7" xfId="10521"/>
    <cellStyle name="Calculation 9 7 2" xfId="10522"/>
    <cellStyle name="Calculation 9 7 3" xfId="28794"/>
    <cellStyle name="Calculation 9 7 4" xfId="28795"/>
    <cellStyle name="Calculation 9 8" xfId="10523"/>
    <cellStyle name="Calculation 9 8 2" xfId="10524"/>
    <cellStyle name="Calculation 9 8 3" xfId="28796"/>
    <cellStyle name="Calculation 9 8 4" xfId="28797"/>
    <cellStyle name="Calculation 9 9" xfId="10525"/>
    <cellStyle name="Calculation 9 9 2" xfId="10526"/>
    <cellStyle name="Calculation 9 9 3" xfId="28798"/>
    <cellStyle name="Calculation 9 9 4" xfId="28799"/>
    <cellStyle name="Check Cell 10" xfId="10527"/>
    <cellStyle name="Check Cell 11" xfId="10528"/>
    <cellStyle name="Check Cell 12" xfId="10529"/>
    <cellStyle name="Check Cell 13" xfId="10530"/>
    <cellStyle name="Check Cell 14" xfId="10531"/>
    <cellStyle name="Check Cell 15" xfId="10532"/>
    <cellStyle name="Check Cell 16" xfId="10533"/>
    <cellStyle name="Check Cell 17" xfId="10534"/>
    <cellStyle name="Check Cell 17 2" xfId="10535"/>
    <cellStyle name="Check Cell 17 3" xfId="10536"/>
    <cellStyle name="Check Cell 17 4" xfId="10537"/>
    <cellStyle name="Check Cell 17 5" xfId="10538"/>
    <cellStyle name="Check Cell 18" xfId="10539"/>
    <cellStyle name="Check Cell 18 2" xfId="10540"/>
    <cellStyle name="Check Cell 18 3" xfId="10541"/>
    <cellStyle name="Check Cell 18 4" xfId="10542"/>
    <cellStyle name="Check Cell 18 5" xfId="10543"/>
    <cellStyle name="Check Cell 19" xfId="10544"/>
    <cellStyle name="Check Cell 19 2" xfId="10545"/>
    <cellStyle name="Check Cell 19 3" xfId="10546"/>
    <cellStyle name="Check Cell 19 4" xfId="10547"/>
    <cellStyle name="Check Cell 19 5" xfId="10548"/>
    <cellStyle name="Check Cell 2" xfId="10549"/>
    <cellStyle name="Check Cell 2 2" xfId="10550"/>
    <cellStyle name="Check Cell 2 3" xfId="28800"/>
    <cellStyle name="Check Cell 20" xfId="10551"/>
    <cellStyle name="Check Cell 20 2" xfId="10552"/>
    <cellStyle name="Check Cell 20 3" xfId="10553"/>
    <cellStyle name="Check Cell 20 4" xfId="10554"/>
    <cellStyle name="Check Cell 20 5" xfId="10555"/>
    <cellStyle name="Check Cell 21" xfId="10556"/>
    <cellStyle name="Check Cell 21 2" xfId="10557"/>
    <cellStyle name="Check Cell 21 3" xfId="10558"/>
    <cellStyle name="Check Cell 21 4" xfId="10559"/>
    <cellStyle name="Check Cell 21 5" xfId="10560"/>
    <cellStyle name="Check Cell 22" xfId="10561"/>
    <cellStyle name="Check Cell 22 2" xfId="10562"/>
    <cellStyle name="Check Cell 22 3" xfId="10563"/>
    <cellStyle name="Check Cell 22 4" xfId="10564"/>
    <cellStyle name="Check Cell 22 5" xfId="10565"/>
    <cellStyle name="Check Cell 23" xfId="10566"/>
    <cellStyle name="Check Cell 24" xfId="10567"/>
    <cellStyle name="Check Cell 25" xfId="10568"/>
    <cellStyle name="Check Cell 26" xfId="10569"/>
    <cellStyle name="Check Cell 3" xfId="10570"/>
    <cellStyle name="Check Cell 4" xfId="10571"/>
    <cellStyle name="Check Cell 5" xfId="10572"/>
    <cellStyle name="Check Cell 6" xfId="10573"/>
    <cellStyle name="Check Cell 7" xfId="10574"/>
    <cellStyle name="Check Cell 8" xfId="10575"/>
    <cellStyle name="Check Cell 9" xfId="10576"/>
    <cellStyle name="Comma" xfId="1" builtinId="3"/>
    <cellStyle name="Comma [0] 2" xfId="10577"/>
    <cellStyle name="Comma 10" xfId="2"/>
    <cellStyle name="Comma 10 10" xfId="10578"/>
    <cellStyle name="Comma 10 10 2" xfId="10579"/>
    <cellStyle name="Comma 10 11" xfId="10580"/>
    <cellStyle name="Comma 10 12" xfId="10581"/>
    <cellStyle name="Comma 10 13" xfId="10582"/>
    <cellStyle name="Comma 10 14" xfId="10583"/>
    <cellStyle name="Comma 10 15" xfId="10584"/>
    <cellStyle name="Comma 10 16" xfId="10585"/>
    <cellStyle name="Comma 10 17" xfId="10586"/>
    <cellStyle name="Comma 10 18" xfId="10587"/>
    <cellStyle name="Comma 10 19" xfId="10588"/>
    <cellStyle name="Comma 10 2" xfId="31"/>
    <cellStyle name="Comma 10 2 10" xfId="10589"/>
    <cellStyle name="Comma 10 2 11" xfId="10590"/>
    <cellStyle name="Comma 10 2 2" xfId="10591"/>
    <cellStyle name="Comma 10 2 2 2" xfId="10592"/>
    <cellStyle name="Comma 10 2 2 2 2" xfId="10593"/>
    <cellStyle name="Comma 10 2 2 2 3" xfId="10594"/>
    <cellStyle name="Comma 10 2 2 3" xfId="10595"/>
    <cellStyle name="Comma 10 2 2 4" xfId="10596"/>
    <cellStyle name="Comma 10 2 3" xfId="10597"/>
    <cellStyle name="Comma 10 2 4" xfId="10598"/>
    <cellStyle name="Comma 10 2 5" xfId="10599"/>
    <cellStyle name="Comma 10 2 5 2" xfId="10600"/>
    <cellStyle name="Comma 10 2 5 3" xfId="10601"/>
    <cellStyle name="Comma 10 2 6" xfId="10602"/>
    <cellStyle name="Comma 10 2 7" xfId="10603"/>
    <cellStyle name="Comma 10 2 8" xfId="10604"/>
    <cellStyle name="Comma 10 2 9" xfId="10605"/>
    <cellStyle name="Comma 10 20" xfId="10606"/>
    <cellStyle name="Comma 10 21" xfId="10607"/>
    <cellStyle name="Comma 10 22" xfId="10608"/>
    <cellStyle name="Comma 10 23" xfId="10609"/>
    <cellStyle name="Comma 10 24" xfId="10610"/>
    <cellStyle name="Comma 10 25" xfId="10611"/>
    <cellStyle name="Comma 10 26" xfId="10612"/>
    <cellStyle name="Comma 10 27" xfId="10613"/>
    <cellStyle name="Comma 10 27 2" xfId="10614"/>
    <cellStyle name="Comma 10 27 3" xfId="10615"/>
    <cellStyle name="Comma 10 28" xfId="10616"/>
    <cellStyle name="Comma 10 29" xfId="10617"/>
    <cellStyle name="Comma 10 3" xfId="10618"/>
    <cellStyle name="Comma 10 3 10" xfId="10619"/>
    <cellStyle name="Comma 10 3 11" xfId="10620"/>
    <cellStyle name="Comma 10 3 2" xfId="10621"/>
    <cellStyle name="Comma 10 3 3" xfId="10622"/>
    <cellStyle name="Comma 10 3 4" xfId="10623"/>
    <cellStyle name="Comma 10 3 5" xfId="10624"/>
    <cellStyle name="Comma 10 3 6" xfId="10625"/>
    <cellStyle name="Comma 10 3 7" xfId="10626"/>
    <cellStyle name="Comma 10 3 8" xfId="10627"/>
    <cellStyle name="Comma 10 3 9" xfId="10628"/>
    <cellStyle name="Comma 10 30" xfId="10629"/>
    <cellStyle name="Comma 10 4" xfId="10630"/>
    <cellStyle name="Comma 10 4 10" xfId="10631"/>
    <cellStyle name="Comma 10 4 11" xfId="10632"/>
    <cellStyle name="Comma 10 4 2" xfId="10633"/>
    <cellStyle name="Comma 10 4 3" xfId="10634"/>
    <cellStyle name="Comma 10 4 4" xfId="10635"/>
    <cellStyle name="Comma 10 4 5" xfId="10636"/>
    <cellStyle name="Comma 10 4 6" xfId="10637"/>
    <cellStyle name="Comma 10 4 7" xfId="10638"/>
    <cellStyle name="Comma 10 4 8" xfId="10639"/>
    <cellStyle name="Comma 10 4 9" xfId="10640"/>
    <cellStyle name="Comma 10 5" xfId="10641"/>
    <cellStyle name="Comma 10 5 10" xfId="10642"/>
    <cellStyle name="Comma 10 5 11" xfId="10643"/>
    <cellStyle name="Comma 10 5 2" xfId="10644"/>
    <cellStyle name="Comma 10 5 3" xfId="10645"/>
    <cellStyle name="Comma 10 5 4" xfId="10646"/>
    <cellStyle name="Comma 10 5 5" xfId="10647"/>
    <cellStyle name="Comma 10 5 6" xfId="10648"/>
    <cellStyle name="Comma 10 5 7" xfId="10649"/>
    <cellStyle name="Comma 10 5 8" xfId="10650"/>
    <cellStyle name="Comma 10 5 9" xfId="10651"/>
    <cellStyle name="Comma 10 6" xfId="10652"/>
    <cellStyle name="Comma 10 6 10" xfId="10653"/>
    <cellStyle name="Comma 10 6 11" xfId="10654"/>
    <cellStyle name="Comma 10 6 2" xfId="10655"/>
    <cellStyle name="Comma 10 6 3" xfId="10656"/>
    <cellStyle name="Comma 10 6 4" xfId="10657"/>
    <cellStyle name="Comma 10 6 5" xfId="10658"/>
    <cellStyle name="Comma 10 6 6" xfId="10659"/>
    <cellStyle name="Comma 10 6 7" xfId="10660"/>
    <cellStyle name="Comma 10 6 8" xfId="10661"/>
    <cellStyle name="Comma 10 6 9" xfId="10662"/>
    <cellStyle name="Comma 10 7" xfId="10663"/>
    <cellStyle name="Comma 10 7 10" xfId="10664"/>
    <cellStyle name="Comma 10 7 11" xfId="10665"/>
    <cellStyle name="Comma 10 7 12" xfId="28801"/>
    <cellStyle name="Comma 10 7 2" xfId="10666"/>
    <cellStyle name="Comma 10 7 3" xfId="10667"/>
    <cellStyle name="Comma 10 7 4" xfId="10668"/>
    <cellStyle name="Comma 10 7 5" xfId="10669"/>
    <cellStyle name="Comma 10 7 6" xfId="10670"/>
    <cellStyle name="Comma 10 7 7" xfId="10671"/>
    <cellStyle name="Comma 10 7 8" xfId="10672"/>
    <cellStyle name="Comma 10 7 9" xfId="10673"/>
    <cellStyle name="Comma 10 8" xfId="10674"/>
    <cellStyle name="Comma 10 8 10" xfId="10675"/>
    <cellStyle name="Comma 10 8 11" xfId="10676"/>
    <cellStyle name="Comma 10 8 2" xfId="10677"/>
    <cellStyle name="Comma 10 8 3" xfId="10678"/>
    <cellStyle name="Comma 10 8 4" xfId="10679"/>
    <cellStyle name="Comma 10 8 5" xfId="10680"/>
    <cellStyle name="Comma 10 8 6" xfId="10681"/>
    <cellStyle name="Comma 10 8 7" xfId="10682"/>
    <cellStyle name="Comma 10 8 8" xfId="10683"/>
    <cellStyle name="Comma 10 8 9" xfId="10684"/>
    <cellStyle name="Comma 10 9" xfId="10685"/>
    <cellStyle name="Comma 10 9 10" xfId="10686"/>
    <cellStyle name="Comma 10 9 11" xfId="10687"/>
    <cellStyle name="Comma 10 9 2" xfId="10688"/>
    <cellStyle name="Comma 10 9 3" xfId="10689"/>
    <cellStyle name="Comma 10 9 4" xfId="10690"/>
    <cellStyle name="Comma 10 9 5" xfId="10691"/>
    <cellStyle name="Comma 10 9 6" xfId="10692"/>
    <cellStyle name="Comma 10 9 7" xfId="10693"/>
    <cellStyle name="Comma 10 9 8" xfId="10694"/>
    <cellStyle name="Comma 10 9 9" xfId="10695"/>
    <cellStyle name="Comma 100" xfId="10696"/>
    <cellStyle name="Comma 101" xfId="10697"/>
    <cellStyle name="Comma 102" xfId="10698"/>
    <cellStyle name="Comma 103" xfId="10699"/>
    <cellStyle name="Comma 104" xfId="10700"/>
    <cellStyle name="Comma 105" xfId="10701"/>
    <cellStyle name="Comma 106" xfId="10702"/>
    <cellStyle name="Comma 107" xfId="10703"/>
    <cellStyle name="Comma 108" xfId="10704"/>
    <cellStyle name="Comma 109" xfId="10705"/>
    <cellStyle name="Comma 11" xfId="10706"/>
    <cellStyle name="Comma 11 10" xfId="10707"/>
    <cellStyle name="Comma 11 10 10" xfId="10708"/>
    <cellStyle name="Comma 11 10 11" xfId="10709"/>
    <cellStyle name="Comma 11 10 2" xfId="10710"/>
    <cellStyle name="Comma 11 10 3" xfId="10711"/>
    <cellStyle name="Comma 11 10 4" xfId="10712"/>
    <cellStyle name="Comma 11 10 5" xfId="10713"/>
    <cellStyle name="Comma 11 10 6" xfId="10714"/>
    <cellStyle name="Comma 11 10 7" xfId="10715"/>
    <cellStyle name="Comma 11 10 8" xfId="10716"/>
    <cellStyle name="Comma 11 10 9" xfId="10717"/>
    <cellStyle name="Comma 11 11" xfId="10718"/>
    <cellStyle name="Comma 11 12" xfId="10719"/>
    <cellStyle name="Comma 11 13" xfId="10720"/>
    <cellStyle name="Comma 11 14" xfId="10721"/>
    <cellStyle name="Comma 11 15" xfId="10722"/>
    <cellStyle name="Comma 11 2" xfId="10723"/>
    <cellStyle name="Comma 11 2 10" xfId="10724"/>
    <cellStyle name="Comma 11 2 11" xfId="10725"/>
    <cellStyle name="Comma 11 2 12" xfId="10726"/>
    <cellStyle name="Comma 11 2 2" xfId="10727"/>
    <cellStyle name="Comma 11 2 3" xfId="10728"/>
    <cellStyle name="Comma 11 2 4" xfId="10729"/>
    <cellStyle name="Comma 11 2 5" xfId="10730"/>
    <cellStyle name="Comma 11 2 6" xfId="10731"/>
    <cellStyle name="Comma 11 2 7" xfId="10732"/>
    <cellStyle name="Comma 11 2 8" xfId="10733"/>
    <cellStyle name="Comma 11 2 9" xfId="10734"/>
    <cellStyle name="Comma 11 3" xfId="10735"/>
    <cellStyle name="Comma 11 3 10" xfId="10736"/>
    <cellStyle name="Comma 11 3 11" xfId="10737"/>
    <cellStyle name="Comma 11 3 2" xfId="10738"/>
    <cellStyle name="Comma 11 3 3" xfId="10739"/>
    <cellStyle name="Comma 11 3 4" xfId="10740"/>
    <cellStyle name="Comma 11 3 5" xfId="10741"/>
    <cellStyle name="Comma 11 3 6" xfId="10742"/>
    <cellStyle name="Comma 11 3 7" xfId="10743"/>
    <cellStyle name="Comma 11 3 8" xfId="10744"/>
    <cellStyle name="Comma 11 3 9" xfId="10745"/>
    <cellStyle name="Comma 11 4" xfId="10746"/>
    <cellStyle name="Comma 11 4 10" xfId="10747"/>
    <cellStyle name="Comma 11 4 11" xfId="10748"/>
    <cellStyle name="Comma 11 4 2" xfId="10749"/>
    <cellStyle name="Comma 11 4 3" xfId="10750"/>
    <cellStyle name="Comma 11 4 4" xfId="10751"/>
    <cellStyle name="Comma 11 4 5" xfId="10752"/>
    <cellStyle name="Comma 11 4 6" xfId="10753"/>
    <cellStyle name="Comma 11 4 7" xfId="10754"/>
    <cellStyle name="Comma 11 4 8" xfId="10755"/>
    <cellStyle name="Comma 11 4 9" xfId="10756"/>
    <cellStyle name="Comma 11 5" xfId="10757"/>
    <cellStyle name="Comma 11 5 10" xfId="10758"/>
    <cellStyle name="Comma 11 5 11" xfId="10759"/>
    <cellStyle name="Comma 11 5 2" xfId="10760"/>
    <cellStyle name="Comma 11 5 3" xfId="10761"/>
    <cellStyle name="Comma 11 5 4" xfId="10762"/>
    <cellStyle name="Comma 11 5 5" xfId="10763"/>
    <cellStyle name="Comma 11 5 6" xfId="10764"/>
    <cellStyle name="Comma 11 5 7" xfId="10765"/>
    <cellStyle name="Comma 11 5 8" xfId="10766"/>
    <cellStyle name="Comma 11 5 9" xfId="10767"/>
    <cellStyle name="Comma 11 6" xfId="10768"/>
    <cellStyle name="Comma 11 6 10" xfId="10769"/>
    <cellStyle name="Comma 11 6 11" xfId="10770"/>
    <cellStyle name="Comma 11 6 2" xfId="10771"/>
    <cellStyle name="Comma 11 6 3" xfId="10772"/>
    <cellStyle name="Comma 11 6 4" xfId="10773"/>
    <cellStyle name="Comma 11 6 5" xfId="10774"/>
    <cellStyle name="Comma 11 6 6" xfId="10775"/>
    <cellStyle name="Comma 11 6 7" xfId="10776"/>
    <cellStyle name="Comma 11 6 8" xfId="10777"/>
    <cellStyle name="Comma 11 6 9" xfId="10778"/>
    <cellStyle name="Comma 11 7" xfId="10779"/>
    <cellStyle name="Comma 11 7 10" xfId="10780"/>
    <cellStyle name="Comma 11 7 11" xfId="10781"/>
    <cellStyle name="Comma 11 7 2" xfId="10782"/>
    <cellStyle name="Comma 11 7 3" xfId="10783"/>
    <cellStyle name="Comma 11 7 4" xfId="10784"/>
    <cellStyle name="Comma 11 7 5" xfId="10785"/>
    <cellStyle name="Comma 11 7 6" xfId="10786"/>
    <cellStyle name="Comma 11 7 7" xfId="10787"/>
    <cellStyle name="Comma 11 7 8" xfId="10788"/>
    <cellStyle name="Comma 11 7 9" xfId="10789"/>
    <cellStyle name="Comma 11 8" xfId="10790"/>
    <cellStyle name="Comma 11 8 10" xfId="10791"/>
    <cellStyle name="Comma 11 8 11" xfId="10792"/>
    <cellStyle name="Comma 11 8 2" xfId="10793"/>
    <cellStyle name="Comma 11 8 3" xfId="10794"/>
    <cellStyle name="Comma 11 8 4" xfId="10795"/>
    <cellStyle name="Comma 11 8 5" xfId="10796"/>
    <cellStyle name="Comma 11 8 6" xfId="10797"/>
    <cellStyle name="Comma 11 8 7" xfId="10798"/>
    <cellStyle name="Comma 11 8 8" xfId="10799"/>
    <cellStyle name="Comma 11 8 9" xfId="10800"/>
    <cellStyle name="Comma 11 9" xfId="10801"/>
    <cellStyle name="Comma 110" xfId="10802"/>
    <cellStyle name="Comma 111" xfId="10803"/>
    <cellStyle name="Comma 112" xfId="10804"/>
    <cellStyle name="Comma 113" xfId="10805"/>
    <cellStyle name="Comma 114" xfId="10806"/>
    <cellStyle name="Comma 115" xfId="10807"/>
    <cellStyle name="Comma 116" xfId="10808"/>
    <cellStyle name="Comma 117" xfId="10809"/>
    <cellStyle name="Comma 118" xfId="10810"/>
    <cellStyle name="Comma 119" xfId="10811"/>
    <cellStyle name="Comma 12" xfId="11"/>
    <cellStyle name="Comma 12 10" xfId="10812"/>
    <cellStyle name="Comma 12 11" xfId="10813"/>
    <cellStyle name="Comma 12 2" xfId="38"/>
    <cellStyle name="Comma 12 2 10" xfId="10814"/>
    <cellStyle name="Comma 12 2 11" xfId="10815"/>
    <cellStyle name="Comma 12 2 2" xfId="10816"/>
    <cellStyle name="Comma 12 2 3" xfId="10817"/>
    <cellStyle name="Comma 12 2 4" xfId="10818"/>
    <cellStyle name="Comma 12 2 5" xfId="10819"/>
    <cellStyle name="Comma 12 2 6" xfId="10820"/>
    <cellStyle name="Comma 12 2 7" xfId="10821"/>
    <cellStyle name="Comma 12 2 8" xfId="10822"/>
    <cellStyle name="Comma 12 2 9" xfId="10823"/>
    <cellStyle name="Comma 12 3" xfId="10824"/>
    <cellStyle name="Comma 12 3 10" xfId="10825"/>
    <cellStyle name="Comma 12 3 11" xfId="10826"/>
    <cellStyle name="Comma 12 3 2" xfId="10827"/>
    <cellStyle name="Comma 12 3 3" xfId="10828"/>
    <cellStyle name="Comma 12 3 4" xfId="10829"/>
    <cellStyle name="Comma 12 3 5" xfId="10830"/>
    <cellStyle name="Comma 12 3 6" xfId="10831"/>
    <cellStyle name="Comma 12 3 7" xfId="10832"/>
    <cellStyle name="Comma 12 3 8" xfId="10833"/>
    <cellStyle name="Comma 12 3 9" xfId="10834"/>
    <cellStyle name="Comma 12 4" xfId="10835"/>
    <cellStyle name="Comma 12 4 10" xfId="10836"/>
    <cellStyle name="Comma 12 4 11" xfId="10837"/>
    <cellStyle name="Comma 12 4 2" xfId="10838"/>
    <cellStyle name="Comma 12 4 3" xfId="10839"/>
    <cellStyle name="Comma 12 4 4" xfId="10840"/>
    <cellStyle name="Comma 12 4 5" xfId="10841"/>
    <cellStyle name="Comma 12 4 6" xfId="10842"/>
    <cellStyle name="Comma 12 4 7" xfId="10843"/>
    <cellStyle name="Comma 12 4 8" xfId="10844"/>
    <cellStyle name="Comma 12 4 9" xfId="10845"/>
    <cellStyle name="Comma 12 5" xfId="10846"/>
    <cellStyle name="Comma 12 5 10" xfId="10847"/>
    <cellStyle name="Comma 12 5 11" xfId="10848"/>
    <cellStyle name="Comma 12 5 2" xfId="10849"/>
    <cellStyle name="Comma 12 5 3" xfId="10850"/>
    <cellStyle name="Comma 12 5 4" xfId="10851"/>
    <cellStyle name="Comma 12 5 5" xfId="10852"/>
    <cellStyle name="Comma 12 5 6" xfId="10853"/>
    <cellStyle name="Comma 12 5 7" xfId="10854"/>
    <cellStyle name="Comma 12 5 8" xfId="10855"/>
    <cellStyle name="Comma 12 5 9" xfId="10856"/>
    <cellStyle name="Comma 12 6" xfId="10857"/>
    <cellStyle name="Comma 12 6 10" xfId="10858"/>
    <cellStyle name="Comma 12 6 11" xfId="10859"/>
    <cellStyle name="Comma 12 6 2" xfId="10860"/>
    <cellStyle name="Comma 12 6 3" xfId="10861"/>
    <cellStyle name="Comma 12 6 4" xfId="10862"/>
    <cellStyle name="Comma 12 6 5" xfId="10863"/>
    <cellStyle name="Comma 12 6 6" xfId="10864"/>
    <cellStyle name="Comma 12 6 7" xfId="10865"/>
    <cellStyle name="Comma 12 6 8" xfId="10866"/>
    <cellStyle name="Comma 12 6 9" xfId="10867"/>
    <cellStyle name="Comma 12 7" xfId="10868"/>
    <cellStyle name="Comma 12 7 10" xfId="10869"/>
    <cellStyle name="Comma 12 7 11" xfId="10870"/>
    <cellStyle name="Comma 12 7 2" xfId="10871"/>
    <cellStyle name="Comma 12 7 3" xfId="10872"/>
    <cellStyle name="Comma 12 7 4" xfId="10873"/>
    <cellStyle name="Comma 12 7 5" xfId="10874"/>
    <cellStyle name="Comma 12 7 6" xfId="10875"/>
    <cellStyle name="Comma 12 7 7" xfId="10876"/>
    <cellStyle name="Comma 12 7 8" xfId="10877"/>
    <cellStyle name="Comma 12 7 9" xfId="10878"/>
    <cellStyle name="Comma 12 8" xfId="10879"/>
    <cellStyle name="Comma 12 8 10" xfId="10880"/>
    <cellStyle name="Comma 12 8 11" xfId="10881"/>
    <cellStyle name="Comma 12 8 2" xfId="10882"/>
    <cellStyle name="Comma 12 8 3" xfId="10883"/>
    <cellStyle name="Comma 12 8 4" xfId="10884"/>
    <cellStyle name="Comma 12 8 5" xfId="10885"/>
    <cellStyle name="Comma 12 8 6" xfId="10886"/>
    <cellStyle name="Comma 12 8 7" xfId="10887"/>
    <cellStyle name="Comma 12 8 8" xfId="10888"/>
    <cellStyle name="Comma 12 8 9" xfId="10889"/>
    <cellStyle name="Comma 12 9" xfId="10890"/>
    <cellStyle name="Comma 12 9 10" xfId="10891"/>
    <cellStyle name="Comma 12 9 11" xfId="10892"/>
    <cellStyle name="Comma 12 9 2" xfId="10893"/>
    <cellStyle name="Comma 12 9 3" xfId="10894"/>
    <cellStyle name="Comma 12 9 4" xfId="10895"/>
    <cellStyle name="Comma 12 9 5" xfId="10896"/>
    <cellStyle name="Comma 12 9 6" xfId="10897"/>
    <cellStyle name="Comma 12 9 7" xfId="10898"/>
    <cellStyle name="Comma 12 9 8" xfId="10899"/>
    <cellStyle name="Comma 12 9 9" xfId="10900"/>
    <cellStyle name="Comma 120" xfId="10901"/>
    <cellStyle name="Comma 121" xfId="10902"/>
    <cellStyle name="Comma 122" xfId="10903"/>
    <cellStyle name="Comma 123" xfId="10904"/>
    <cellStyle name="Comma 124" xfId="10905"/>
    <cellStyle name="Comma 125" xfId="28802"/>
    <cellStyle name="Comma 126" xfId="28803"/>
    <cellStyle name="Comma 127" xfId="28804"/>
    <cellStyle name="Comma 128" xfId="28805"/>
    <cellStyle name="Comma 129" xfId="28806"/>
    <cellStyle name="Comma 13" xfId="10906"/>
    <cellStyle name="Comma 13 2" xfId="10907"/>
    <cellStyle name="Comma 13 2 10" xfId="10908"/>
    <cellStyle name="Comma 13 2 11" xfId="10909"/>
    <cellStyle name="Comma 13 2 2" xfId="10910"/>
    <cellStyle name="Comma 13 2 3" xfId="10911"/>
    <cellStyle name="Comma 13 2 4" xfId="10912"/>
    <cellStyle name="Comma 13 2 5" xfId="10913"/>
    <cellStyle name="Comma 13 2 6" xfId="10914"/>
    <cellStyle name="Comma 13 2 7" xfId="10915"/>
    <cellStyle name="Comma 13 2 8" xfId="10916"/>
    <cellStyle name="Comma 13 2 9" xfId="10917"/>
    <cellStyle name="Comma 13 3" xfId="10918"/>
    <cellStyle name="Comma 13 3 10" xfId="10919"/>
    <cellStyle name="Comma 13 3 11" xfId="10920"/>
    <cellStyle name="Comma 13 3 2" xfId="10921"/>
    <cellStyle name="Comma 13 3 3" xfId="10922"/>
    <cellStyle name="Comma 13 3 4" xfId="10923"/>
    <cellStyle name="Comma 13 3 5" xfId="10924"/>
    <cellStyle name="Comma 13 3 6" xfId="10925"/>
    <cellStyle name="Comma 13 3 7" xfId="10926"/>
    <cellStyle name="Comma 13 3 8" xfId="10927"/>
    <cellStyle name="Comma 13 3 9" xfId="10928"/>
    <cellStyle name="Comma 13 4" xfId="10929"/>
    <cellStyle name="Comma 13 4 10" xfId="10930"/>
    <cellStyle name="Comma 13 4 11" xfId="10931"/>
    <cellStyle name="Comma 13 4 2" xfId="10932"/>
    <cellStyle name="Comma 13 4 3" xfId="10933"/>
    <cellStyle name="Comma 13 4 4" xfId="10934"/>
    <cellStyle name="Comma 13 4 5" xfId="10935"/>
    <cellStyle name="Comma 13 4 6" xfId="10936"/>
    <cellStyle name="Comma 13 4 7" xfId="10937"/>
    <cellStyle name="Comma 13 4 8" xfId="10938"/>
    <cellStyle name="Comma 13 4 9" xfId="10939"/>
    <cellStyle name="Comma 13 5" xfId="10940"/>
    <cellStyle name="Comma 13 5 10" xfId="10941"/>
    <cellStyle name="Comma 13 5 11" xfId="10942"/>
    <cellStyle name="Comma 13 5 2" xfId="10943"/>
    <cellStyle name="Comma 13 5 3" xfId="10944"/>
    <cellStyle name="Comma 13 5 4" xfId="10945"/>
    <cellStyle name="Comma 13 5 5" xfId="10946"/>
    <cellStyle name="Comma 13 5 6" xfId="10947"/>
    <cellStyle name="Comma 13 5 7" xfId="10948"/>
    <cellStyle name="Comma 13 5 8" xfId="10949"/>
    <cellStyle name="Comma 13 5 9" xfId="10950"/>
    <cellStyle name="Comma 13 6" xfId="10951"/>
    <cellStyle name="Comma 13 6 10" xfId="10952"/>
    <cellStyle name="Comma 13 6 11" xfId="10953"/>
    <cellStyle name="Comma 13 6 2" xfId="10954"/>
    <cellStyle name="Comma 13 6 3" xfId="10955"/>
    <cellStyle name="Comma 13 6 4" xfId="10956"/>
    <cellStyle name="Comma 13 6 5" xfId="10957"/>
    <cellStyle name="Comma 13 6 6" xfId="10958"/>
    <cellStyle name="Comma 13 6 7" xfId="10959"/>
    <cellStyle name="Comma 13 6 8" xfId="10960"/>
    <cellStyle name="Comma 13 6 9" xfId="10961"/>
    <cellStyle name="Comma 13 7" xfId="10962"/>
    <cellStyle name="Comma 13 7 10" xfId="10963"/>
    <cellStyle name="Comma 13 7 11" xfId="10964"/>
    <cellStyle name="Comma 13 7 2" xfId="10965"/>
    <cellStyle name="Comma 13 7 3" xfId="10966"/>
    <cellStyle name="Comma 13 7 4" xfId="10967"/>
    <cellStyle name="Comma 13 7 5" xfId="10968"/>
    <cellStyle name="Comma 13 7 6" xfId="10969"/>
    <cellStyle name="Comma 13 7 7" xfId="10970"/>
    <cellStyle name="Comma 13 7 8" xfId="10971"/>
    <cellStyle name="Comma 13 7 9" xfId="10972"/>
    <cellStyle name="Comma 13 8" xfId="10973"/>
    <cellStyle name="Comma 13 8 10" xfId="10974"/>
    <cellStyle name="Comma 13 8 11" xfId="10975"/>
    <cellStyle name="Comma 13 8 2" xfId="10976"/>
    <cellStyle name="Comma 13 8 3" xfId="10977"/>
    <cellStyle name="Comma 13 8 4" xfId="10978"/>
    <cellStyle name="Comma 13 8 5" xfId="10979"/>
    <cellStyle name="Comma 13 8 6" xfId="10980"/>
    <cellStyle name="Comma 13 8 7" xfId="10981"/>
    <cellStyle name="Comma 13 8 8" xfId="10982"/>
    <cellStyle name="Comma 13 8 9" xfId="10983"/>
    <cellStyle name="Comma 13 9" xfId="10984"/>
    <cellStyle name="Comma 13 9 10" xfId="10985"/>
    <cellStyle name="Comma 13 9 11" xfId="10986"/>
    <cellStyle name="Comma 13 9 2" xfId="10987"/>
    <cellStyle name="Comma 13 9 3" xfId="10988"/>
    <cellStyle name="Comma 13 9 4" xfId="10989"/>
    <cellStyle name="Comma 13 9 5" xfId="10990"/>
    <cellStyle name="Comma 13 9 6" xfId="10991"/>
    <cellStyle name="Comma 13 9 7" xfId="10992"/>
    <cellStyle name="Comma 13 9 8" xfId="10993"/>
    <cellStyle name="Comma 13 9 9" xfId="10994"/>
    <cellStyle name="Comma 130" xfId="37545"/>
    <cellStyle name="Comma 131" xfId="37549"/>
    <cellStyle name="Comma 132" xfId="37547"/>
    <cellStyle name="Comma 133" xfId="37550"/>
    <cellStyle name="Comma 134" xfId="37542"/>
    <cellStyle name="Comma 135" xfId="37551"/>
    <cellStyle name="Comma 136" xfId="37548"/>
    <cellStyle name="Comma 137" xfId="37552"/>
    <cellStyle name="Comma 138" xfId="37546"/>
    <cellStyle name="Comma 139" xfId="37560"/>
    <cellStyle name="Comma 14" xfId="10995"/>
    <cellStyle name="Comma 14 10" xfId="10996"/>
    <cellStyle name="Comma 14 11" xfId="10997"/>
    <cellStyle name="Comma 14 12" xfId="10998"/>
    <cellStyle name="Comma 14 13" xfId="10999"/>
    <cellStyle name="Comma 14 14" xfId="11000"/>
    <cellStyle name="Comma 14 15" xfId="11001"/>
    <cellStyle name="Comma 14 16" xfId="11002"/>
    <cellStyle name="Comma 14 17" xfId="11003"/>
    <cellStyle name="Comma 14 18" xfId="11004"/>
    <cellStyle name="Comma 14 19" xfId="11005"/>
    <cellStyle name="Comma 14 2" xfId="11006"/>
    <cellStyle name="Comma 14 20" xfId="11007"/>
    <cellStyle name="Comma 14 21" xfId="11008"/>
    <cellStyle name="Comma 14 22" xfId="11009"/>
    <cellStyle name="Comma 14 23" xfId="11010"/>
    <cellStyle name="Comma 14 3" xfId="11011"/>
    <cellStyle name="Comma 14 4" xfId="11012"/>
    <cellStyle name="Comma 14 5" xfId="11013"/>
    <cellStyle name="Comma 14 6" xfId="11014"/>
    <cellStyle name="Comma 14 7" xfId="11015"/>
    <cellStyle name="Comma 14 8" xfId="11016"/>
    <cellStyle name="Comma 14 9" xfId="11017"/>
    <cellStyle name="Comma 140" xfId="37564"/>
    <cellStyle name="Comma 141" xfId="37566"/>
    <cellStyle name="Comma 142" xfId="37568"/>
    <cellStyle name="Comma 143" xfId="37543"/>
    <cellStyle name="Comma 144" xfId="37570"/>
    <cellStyle name="Comma 145" xfId="37571"/>
    <cellStyle name="Comma 15" xfId="11018"/>
    <cellStyle name="Comma 15 10" xfId="11019"/>
    <cellStyle name="Comma 15 11" xfId="11020"/>
    <cellStyle name="Comma 15 12" xfId="11021"/>
    <cellStyle name="Comma 15 13" xfId="11022"/>
    <cellStyle name="Comma 15 14" xfId="11023"/>
    <cellStyle name="Comma 15 15" xfId="11024"/>
    <cellStyle name="Comma 15 16" xfId="11025"/>
    <cellStyle name="Comma 15 17" xfId="11026"/>
    <cellStyle name="Comma 15 18" xfId="11027"/>
    <cellStyle name="Comma 15 19" xfId="11028"/>
    <cellStyle name="Comma 15 2" xfId="11029"/>
    <cellStyle name="Comma 15 20" xfId="11030"/>
    <cellStyle name="Comma 15 21" xfId="11031"/>
    <cellStyle name="Comma 15 22" xfId="11032"/>
    <cellStyle name="Comma 15 23" xfId="11033"/>
    <cellStyle name="Comma 15 3" xfId="11034"/>
    <cellStyle name="Comma 15 4" xfId="11035"/>
    <cellStyle name="Comma 15 5" xfId="11036"/>
    <cellStyle name="Comma 15 5 2" xfId="11037"/>
    <cellStyle name="Comma 15 6" xfId="11038"/>
    <cellStyle name="Comma 15 7" xfId="11039"/>
    <cellStyle name="Comma 15 8" xfId="11040"/>
    <cellStyle name="Comma 15 9" xfId="11041"/>
    <cellStyle name="Comma 16" xfId="20"/>
    <cellStyle name="Comma 16 10" xfId="11042"/>
    <cellStyle name="Comma 16 11" xfId="11043"/>
    <cellStyle name="Comma 16 12" xfId="11044"/>
    <cellStyle name="Comma 16 13" xfId="11045"/>
    <cellStyle name="Comma 16 14" xfId="11046"/>
    <cellStyle name="Comma 16 15" xfId="11047"/>
    <cellStyle name="Comma 16 16" xfId="11048"/>
    <cellStyle name="Comma 16 17" xfId="11049"/>
    <cellStyle name="Comma 16 18" xfId="11050"/>
    <cellStyle name="Comma 16 19" xfId="11051"/>
    <cellStyle name="Comma 16 2" xfId="41"/>
    <cellStyle name="Comma 16 20" xfId="11052"/>
    <cellStyle name="Comma 16 21" xfId="11053"/>
    <cellStyle name="Comma 16 22" xfId="11054"/>
    <cellStyle name="Comma 16 23" xfId="11055"/>
    <cellStyle name="Comma 16 24" xfId="11056"/>
    <cellStyle name="Comma 16 25" xfId="11057"/>
    <cellStyle name="Comma 16 3" xfId="11058"/>
    <cellStyle name="Comma 16 4" xfId="11059"/>
    <cellStyle name="Comma 16 5" xfId="11060"/>
    <cellStyle name="Comma 16 6" xfId="11061"/>
    <cellStyle name="Comma 16 7" xfId="11062"/>
    <cellStyle name="Comma 16 8" xfId="11063"/>
    <cellStyle name="Comma 16 9" xfId="11064"/>
    <cellStyle name="Comma 17" xfId="11065"/>
    <cellStyle name="Comma 17 10" xfId="11066"/>
    <cellStyle name="Comma 17 11" xfId="11067"/>
    <cellStyle name="Comma 17 12" xfId="11068"/>
    <cellStyle name="Comma 17 13" xfId="11069"/>
    <cellStyle name="Comma 17 14" xfId="11070"/>
    <cellStyle name="Comma 17 15" xfId="11071"/>
    <cellStyle name="Comma 17 16" xfId="11072"/>
    <cellStyle name="Comma 17 17" xfId="11073"/>
    <cellStyle name="Comma 17 18" xfId="11074"/>
    <cellStyle name="Comma 17 19" xfId="11075"/>
    <cellStyle name="Comma 17 2" xfId="11076"/>
    <cellStyle name="Comma 17 20" xfId="11077"/>
    <cellStyle name="Comma 17 21" xfId="11078"/>
    <cellStyle name="Comma 17 22" xfId="11079"/>
    <cellStyle name="Comma 17 23" xfId="11080"/>
    <cellStyle name="Comma 17 24" xfId="11081"/>
    <cellStyle name="Comma 17 25" xfId="11082"/>
    <cellStyle name="Comma 17 26" xfId="11083"/>
    <cellStyle name="Comma 17 27" xfId="11084"/>
    <cellStyle name="Comma 17 28" xfId="11085"/>
    <cellStyle name="Comma 17 29" xfId="11086"/>
    <cellStyle name="Comma 17 3" xfId="11087"/>
    <cellStyle name="Comma 17 30" xfId="11088"/>
    <cellStyle name="Comma 17 31" xfId="11089"/>
    <cellStyle name="Comma 17 32" xfId="11090"/>
    <cellStyle name="Comma 17 33" xfId="11091"/>
    <cellStyle name="Comma 17 34" xfId="11092"/>
    <cellStyle name="Comma 17 35" xfId="11093"/>
    <cellStyle name="Comma 17 36" xfId="11094"/>
    <cellStyle name="Comma 17 37" xfId="11095"/>
    <cellStyle name="Comma 17 38" xfId="11096"/>
    <cellStyle name="Comma 17 39" xfId="11097"/>
    <cellStyle name="Comma 17 4" xfId="11098"/>
    <cellStyle name="Comma 17 40" xfId="11099"/>
    <cellStyle name="Comma 17 41" xfId="11100"/>
    <cellStyle name="Comma 17 42" xfId="11101"/>
    <cellStyle name="Comma 17 43" xfId="11102"/>
    <cellStyle name="Comma 17 44" xfId="11103"/>
    <cellStyle name="Comma 17 45" xfId="11104"/>
    <cellStyle name="Comma 17 46" xfId="11105"/>
    <cellStyle name="Comma 17 47" xfId="11106"/>
    <cellStyle name="Comma 17 48" xfId="11107"/>
    <cellStyle name="Comma 17 49" xfId="11108"/>
    <cellStyle name="Comma 17 5" xfId="11109"/>
    <cellStyle name="Comma 17 50" xfId="11110"/>
    <cellStyle name="Comma 17 51" xfId="11111"/>
    <cellStyle name="Comma 17 52" xfId="11112"/>
    <cellStyle name="Comma 17 53" xfId="11113"/>
    <cellStyle name="Comma 17 54" xfId="11114"/>
    <cellStyle name="Comma 17 55" xfId="11115"/>
    <cellStyle name="Comma 17 56" xfId="11116"/>
    <cellStyle name="Comma 17 57" xfId="11117"/>
    <cellStyle name="Comma 17 58" xfId="11118"/>
    <cellStyle name="Comma 17 59" xfId="11119"/>
    <cellStyle name="Comma 17 6" xfId="11120"/>
    <cellStyle name="Comma 17 60" xfId="11121"/>
    <cellStyle name="Comma 17 61" xfId="11122"/>
    <cellStyle name="Comma 17 62" xfId="11123"/>
    <cellStyle name="Comma 17 63" xfId="11124"/>
    <cellStyle name="Comma 17 64" xfId="11125"/>
    <cellStyle name="Comma 17 65" xfId="11126"/>
    <cellStyle name="Comma 17 66" xfId="11127"/>
    <cellStyle name="Comma 17 67" xfId="11128"/>
    <cellStyle name="Comma 17 68" xfId="11129"/>
    <cellStyle name="Comma 17 69" xfId="11130"/>
    <cellStyle name="Comma 17 7" xfId="11131"/>
    <cellStyle name="Comma 17 70" xfId="11132"/>
    <cellStyle name="Comma 17 71" xfId="11133"/>
    <cellStyle name="Comma 17 72" xfId="11134"/>
    <cellStyle name="Comma 17 73" xfId="11135"/>
    <cellStyle name="Comma 17 74" xfId="11136"/>
    <cellStyle name="Comma 17 8" xfId="11137"/>
    <cellStyle name="Comma 17 9" xfId="11138"/>
    <cellStyle name="Comma 18" xfId="11139"/>
    <cellStyle name="Comma 18 2" xfId="11140"/>
    <cellStyle name="Comma 18 2 2" xfId="11141"/>
    <cellStyle name="Comma 18 2 3" xfId="11142"/>
    <cellStyle name="Comma 19" xfId="11143"/>
    <cellStyle name="Comma 19 2" xfId="11144"/>
    <cellStyle name="Comma 2" xfId="3"/>
    <cellStyle name="Comma 2 10" xfId="11145"/>
    <cellStyle name="Comma 2 10 10" xfId="11146"/>
    <cellStyle name="Comma 2 10 11" xfId="11147"/>
    <cellStyle name="Comma 2 10 12" xfId="11148"/>
    <cellStyle name="Comma 2 10 2" xfId="23"/>
    <cellStyle name="Comma 2 10 2 2" xfId="43"/>
    <cellStyle name="Comma 2 10 2 3" xfId="11149"/>
    <cellStyle name="Comma 2 10 3" xfId="11150"/>
    <cellStyle name="Comma 2 10 4" xfId="11151"/>
    <cellStyle name="Comma 2 10 5" xfId="11152"/>
    <cellStyle name="Comma 2 10 6" xfId="11153"/>
    <cellStyle name="Comma 2 10 7" xfId="11154"/>
    <cellStyle name="Comma 2 10 8" xfId="11155"/>
    <cellStyle name="Comma 2 10 9" xfId="11156"/>
    <cellStyle name="Comma 2 11" xfId="11157"/>
    <cellStyle name="Comma 2 12" xfId="11158"/>
    <cellStyle name="Comma 2 13" xfId="11159"/>
    <cellStyle name="Comma 2 14" xfId="11160"/>
    <cellStyle name="Comma 2 15" xfId="11161"/>
    <cellStyle name="Comma 2 16" xfId="11162"/>
    <cellStyle name="Comma 2 17" xfId="11163"/>
    <cellStyle name="Comma 2 18" xfId="11164"/>
    <cellStyle name="Comma 2 19" xfId="11165"/>
    <cellStyle name="Comma 2 2" xfId="22"/>
    <cellStyle name="Comma 2 2 10" xfId="11166"/>
    <cellStyle name="Comma 2 2 11" xfId="11167"/>
    <cellStyle name="Comma 2 2 12" xfId="11168"/>
    <cellStyle name="Comma 2 2 13" xfId="11169"/>
    <cellStyle name="Comma 2 2 13 2" xfId="11170"/>
    <cellStyle name="Comma 2 2 13 3" xfId="11171"/>
    <cellStyle name="Comma 2 2 13 4" xfId="11172"/>
    <cellStyle name="Comma 2 2 13 5" xfId="11173"/>
    <cellStyle name="Comma 2 2 13 6" xfId="11174"/>
    <cellStyle name="Comma 2 2 13 7" xfId="11175"/>
    <cellStyle name="Comma 2 2 14" xfId="11176"/>
    <cellStyle name="Comma 2 2 15" xfId="11177"/>
    <cellStyle name="Comma 2 2 16" xfId="11178"/>
    <cellStyle name="Comma 2 2 17" xfId="11179"/>
    <cellStyle name="Comma 2 2 18" xfId="11180"/>
    <cellStyle name="Comma 2 2 19" xfId="11181"/>
    <cellStyle name="Comma 2 2 19 2" xfId="11182"/>
    <cellStyle name="Comma 2 2 19 3" xfId="11183"/>
    <cellStyle name="Comma 2 2 2" xfId="14"/>
    <cellStyle name="Comma 2 2 2 10" xfId="11184"/>
    <cellStyle name="Comma 2 2 2 11" xfId="11185"/>
    <cellStyle name="Comma 2 2 2 12" xfId="11186"/>
    <cellStyle name="Comma 2 2 2 13" xfId="11187"/>
    <cellStyle name="Comma 2 2 2 14" xfId="11188"/>
    <cellStyle name="Comma 2 2 2 15" xfId="11189"/>
    <cellStyle name="Comma 2 2 2 16" xfId="11190"/>
    <cellStyle name="Comma 2 2 2 17" xfId="11191"/>
    <cellStyle name="Comma 2 2 2 18" xfId="11192"/>
    <cellStyle name="Comma 2 2 2 18 2" xfId="11193"/>
    <cellStyle name="Comma 2 2 2 18 3" xfId="11194"/>
    <cellStyle name="Comma 2 2 2 19" xfId="11195"/>
    <cellStyle name="Comma 2 2 2 2" xfId="39"/>
    <cellStyle name="Comma 2 2 2 2 10" xfId="11196"/>
    <cellStyle name="Comma 2 2 2 2 2" xfId="11197"/>
    <cellStyle name="Comma 2 2 2 2 2 10" xfId="11198"/>
    <cellStyle name="Comma 2 2 2 2 2 10 2" xfId="11199"/>
    <cellStyle name="Comma 2 2 2 2 2 2" xfId="11200"/>
    <cellStyle name="Comma 2 2 2 2 2 2 2" xfId="11201"/>
    <cellStyle name="Comma 2 2 2 2 2 2 2 2" xfId="11202"/>
    <cellStyle name="Comma 2 2 2 2 2 2 2 3" xfId="11203"/>
    <cellStyle name="Comma 2 2 2 2 2 2 3" xfId="11204"/>
    <cellStyle name="Comma 2 2 2 2 2 2 4" xfId="11205"/>
    <cellStyle name="Comma 2 2 2 2 2 3" xfId="11206"/>
    <cellStyle name="Comma 2 2 2 2 2 4" xfId="11207"/>
    <cellStyle name="Comma 2 2 2 2 2 5" xfId="11208"/>
    <cellStyle name="Comma 2 2 2 2 2 6" xfId="11209"/>
    <cellStyle name="Comma 2 2 2 2 2 7" xfId="11210"/>
    <cellStyle name="Comma 2 2 2 2 2 8" xfId="11211"/>
    <cellStyle name="Comma 2 2 2 2 2 8 2" xfId="11212"/>
    <cellStyle name="Comma 2 2 2 2 2 8 3" xfId="11213"/>
    <cellStyle name="Comma 2 2 2 2 2 9" xfId="11214"/>
    <cellStyle name="Comma 2 2 2 2 3" xfId="11215"/>
    <cellStyle name="Comma 2 2 2 2 4" xfId="11216"/>
    <cellStyle name="Comma 2 2 2 2 5" xfId="11217"/>
    <cellStyle name="Comma 2 2 2 2 6" xfId="11218"/>
    <cellStyle name="Comma 2 2 2 2 7" xfId="11219"/>
    <cellStyle name="Comma 2 2 2 2 8" xfId="11220"/>
    <cellStyle name="Comma 2 2 2 2 8 2" xfId="11221"/>
    <cellStyle name="Comma 2 2 2 2 8 3" xfId="11222"/>
    <cellStyle name="Comma 2 2 2 2 9" xfId="11223"/>
    <cellStyle name="Comma 2 2 2 20" xfId="11224"/>
    <cellStyle name="Comma 2 2 2 21" xfId="11225"/>
    <cellStyle name="Comma 2 2 2 22" xfId="11226"/>
    <cellStyle name="Comma 2 2 2 23" xfId="11227"/>
    <cellStyle name="Comma 2 2 2 24" xfId="11228"/>
    <cellStyle name="Comma 2 2 2 25" xfId="11229"/>
    <cellStyle name="Comma 2 2 2 26" xfId="11230"/>
    <cellStyle name="Comma 2 2 2 27" xfId="11231"/>
    <cellStyle name="Comma 2 2 2 28" xfId="11232"/>
    <cellStyle name="Comma 2 2 2 29" xfId="11233"/>
    <cellStyle name="Comma 2 2 2 3" xfId="11234"/>
    <cellStyle name="Comma 2 2 2 3 2" xfId="11235"/>
    <cellStyle name="Comma 2 2 2 3 2 2" xfId="11236"/>
    <cellStyle name="Comma 2 2 2 30" xfId="11237"/>
    <cellStyle name="Comma 2 2 2 31" xfId="11238"/>
    <cellStyle name="Comma 2 2 2 32" xfId="11239"/>
    <cellStyle name="Comma 2 2 2 33" xfId="11240"/>
    <cellStyle name="Comma 2 2 2 34" xfId="11241"/>
    <cellStyle name="Comma 2 2 2 35" xfId="11242"/>
    <cellStyle name="Comma 2 2 2 36" xfId="11243"/>
    <cellStyle name="Comma 2 2 2 37" xfId="11244"/>
    <cellStyle name="Comma 2 2 2 38" xfId="11245"/>
    <cellStyle name="Comma 2 2 2 39" xfId="11246"/>
    <cellStyle name="Comma 2 2 2 4" xfId="11247"/>
    <cellStyle name="Comma 2 2 2 40" xfId="11248"/>
    <cellStyle name="Comma 2 2 2 41" xfId="11249"/>
    <cellStyle name="Comma 2 2 2 42" xfId="11250"/>
    <cellStyle name="Comma 2 2 2 43" xfId="11251"/>
    <cellStyle name="Comma 2 2 2 44" xfId="11252"/>
    <cellStyle name="Comma 2 2 2 45" xfId="11253"/>
    <cellStyle name="Comma 2 2 2 46" xfId="11254"/>
    <cellStyle name="Comma 2 2 2 47" xfId="11255"/>
    <cellStyle name="Comma 2 2 2 48" xfId="11256"/>
    <cellStyle name="Comma 2 2 2 49" xfId="11257"/>
    <cellStyle name="Comma 2 2 2 5" xfId="11258"/>
    <cellStyle name="Comma 2 2 2 50" xfId="11259"/>
    <cellStyle name="Comma 2 2 2 51" xfId="11260"/>
    <cellStyle name="Comma 2 2 2 52" xfId="11261"/>
    <cellStyle name="Comma 2 2 2 53" xfId="11262"/>
    <cellStyle name="Comma 2 2 2 54" xfId="11263"/>
    <cellStyle name="Comma 2 2 2 55" xfId="11264"/>
    <cellStyle name="Comma 2 2 2 56" xfId="11265"/>
    <cellStyle name="Comma 2 2 2 57" xfId="11266"/>
    <cellStyle name="Comma 2 2 2 58" xfId="11267"/>
    <cellStyle name="Comma 2 2 2 59" xfId="11268"/>
    <cellStyle name="Comma 2 2 2 6" xfId="11269"/>
    <cellStyle name="Comma 2 2 2 60" xfId="11270"/>
    <cellStyle name="Comma 2 2 2 61" xfId="11271"/>
    <cellStyle name="Comma 2 2 2 62" xfId="11272"/>
    <cellStyle name="Comma 2 2 2 63" xfId="11273"/>
    <cellStyle name="Comma 2 2 2 64" xfId="11274"/>
    <cellStyle name="Comma 2 2 2 65" xfId="11275"/>
    <cellStyle name="Comma 2 2 2 66" xfId="11276"/>
    <cellStyle name="Comma 2 2 2 67" xfId="11277"/>
    <cellStyle name="Comma 2 2 2 68" xfId="11278"/>
    <cellStyle name="Comma 2 2 2 69" xfId="11279"/>
    <cellStyle name="Comma 2 2 2 7" xfId="11280"/>
    <cellStyle name="Comma 2 2 2 70" xfId="11281"/>
    <cellStyle name="Comma 2 2 2 71" xfId="11282"/>
    <cellStyle name="Comma 2 2 2 72" xfId="11283"/>
    <cellStyle name="Comma 2 2 2 73" xfId="11284"/>
    <cellStyle name="Comma 2 2 2 74" xfId="11285"/>
    <cellStyle name="Comma 2 2 2 75" xfId="11286"/>
    <cellStyle name="Comma 2 2 2 76" xfId="11287"/>
    <cellStyle name="Comma 2 2 2 77" xfId="11288"/>
    <cellStyle name="Comma 2 2 2 78" xfId="11289"/>
    <cellStyle name="Comma 2 2 2 79" xfId="11290"/>
    <cellStyle name="Comma 2 2 2 8" xfId="11291"/>
    <cellStyle name="Comma 2 2 2 80" xfId="11292"/>
    <cellStyle name="Comma 2 2 2 80 2" xfId="11293"/>
    <cellStyle name="Comma 2 2 2 81" xfId="11294"/>
    <cellStyle name="Comma 2 2 2 82" xfId="11295"/>
    <cellStyle name="Comma 2 2 2 83" xfId="11296"/>
    <cellStyle name="Comma 2 2 2 84" xfId="11297"/>
    <cellStyle name="Comma 2 2 2 85" xfId="11298"/>
    <cellStyle name="Comma 2 2 2 9" xfId="11299"/>
    <cellStyle name="Comma 2 2 20" xfId="11300"/>
    <cellStyle name="Comma 2 2 21" xfId="11301"/>
    <cellStyle name="Comma 2 2 22" xfId="11302"/>
    <cellStyle name="Comma 2 2 23" xfId="11303"/>
    <cellStyle name="Comma 2 2 24" xfId="11304"/>
    <cellStyle name="Comma 2 2 25" xfId="11305"/>
    <cellStyle name="Comma 2 2 25 2" xfId="11306"/>
    <cellStyle name="Comma 2 2 26" xfId="11307"/>
    <cellStyle name="Comma 2 2 27" xfId="11308"/>
    <cellStyle name="Comma 2 2 28" xfId="11309"/>
    <cellStyle name="Comma 2 2 29" xfId="11310"/>
    <cellStyle name="Comma 2 2 3" xfId="42"/>
    <cellStyle name="Comma 2 2 3 2" xfId="11311"/>
    <cellStyle name="Comma 2 2 3 2 2" xfId="11312"/>
    <cellStyle name="Comma 2 2 4" xfId="11313"/>
    <cellStyle name="Comma 2 2 5" xfId="11314"/>
    <cellStyle name="Comma 2 2 6" xfId="11315"/>
    <cellStyle name="Comma 2 2 7" xfId="11316"/>
    <cellStyle name="Comma 2 2 8" xfId="11317"/>
    <cellStyle name="Comma 2 2 9" xfId="11318"/>
    <cellStyle name="Comma 2 20" xfId="11319"/>
    <cellStyle name="Comma 2 21" xfId="11320"/>
    <cellStyle name="Comma 2 22" xfId="11321"/>
    <cellStyle name="Comma 2 23" xfId="11322"/>
    <cellStyle name="Comma 2 24" xfId="11323"/>
    <cellStyle name="Comma 2 25" xfId="11324"/>
    <cellStyle name="Comma 2 26" xfId="11325"/>
    <cellStyle name="Comma 2 27" xfId="11326"/>
    <cellStyle name="Comma 2 28" xfId="11327"/>
    <cellStyle name="Comma 2 29" xfId="11328"/>
    <cellStyle name="Comma 2 3" xfId="4"/>
    <cellStyle name="Comma 2 3 10" xfId="11329"/>
    <cellStyle name="Comma 2 3 11" xfId="11330"/>
    <cellStyle name="Comma 2 3 12" xfId="11331"/>
    <cellStyle name="Comma 2 3 13" xfId="11332"/>
    <cellStyle name="Comma 2 3 14" xfId="11333"/>
    <cellStyle name="Comma 2 3 15" xfId="11334"/>
    <cellStyle name="Comma 2 3 16" xfId="11335"/>
    <cellStyle name="Comma 2 3 17" xfId="11336"/>
    <cellStyle name="Comma 2 3 18" xfId="11337"/>
    <cellStyle name="Comma 2 3 19" xfId="11338"/>
    <cellStyle name="Comma 2 3 2" xfId="33"/>
    <cellStyle name="Comma 2 3 2 10" xfId="11339"/>
    <cellStyle name="Comma 2 3 2 11" xfId="11340"/>
    <cellStyle name="Comma 2 3 2 12" xfId="11341"/>
    <cellStyle name="Comma 2 3 2 13" xfId="11342"/>
    <cellStyle name="Comma 2 3 2 14" xfId="11343"/>
    <cellStyle name="Comma 2 3 2 15" xfId="11344"/>
    <cellStyle name="Comma 2 3 2 16" xfId="11345"/>
    <cellStyle name="Comma 2 3 2 17" xfId="11346"/>
    <cellStyle name="Comma 2 3 2 18" xfId="11347"/>
    <cellStyle name="Comma 2 3 2 19" xfId="11348"/>
    <cellStyle name="Comma 2 3 2 2" xfId="11349"/>
    <cellStyle name="Comma 2 3 2 2 2" xfId="11350"/>
    <cellStyle name="Comma 2 3 2 2 2 2" xfId="11351"/>
    <cellStyle name="Comma 2 3 2 20" xfId="11352"/>
    <cellStyle name="Comma 2 3 2 21" xfId="11353"/>
    <cellStyle name="Comma 2 3 2 22" xfId="11354"/>
    <cellStyle name="Comma 2 3 2 23" xfId="11355"/>
    <cellStyle name="Comma 2 3 2 24" xfId="11356"/>
    <cellStyle name="Comma 2 3 2 25" xfId="11357"/>
    <cellStyle name="Comma 2 3 2 26" xfId="11358"/>
    <cellStyle name="Comma 2 3 2 27" xfId="11359"/>
    <cellStyle name="Comma 2 3 2 28" xfId="11360"/>
    <cellStyle name="Comma 2 3 2 29" xfId="11361"/>
    <cellStyle name="Comma 2 3 2 3" xfId="11362"/>
    <cellStyle name="Comma 2 3 2 30" xfId="11363"/>
    <cellStyle name="Comma 2 3 2 31" xfId="11364"/>
    <cellStyle name="Comma 2 3 2 32" xfId="11365"/>
    <cellStyle name="Comma 2 3 2 33" xfId="11366"/>
    <cellStyle name="Comma 2 3 2 34" xfId="11367"/>
    <cellStyle name="Comma 2 3 2 35" xfId="11368"/>
    <cellStyle name="Comma 2 3 2 36" xfId="11369"/>
    <cellStyle name="Comma 2 3 2 37" xfId="11370"/>
    <cellStyle name="Comma 2 3 2 38" xfId="11371"/>
    <cellStyle name="Comma 2 3 2 39" xfId="11372"/>
    <cellStyle name="Comma 2 3 2 4" xfId="11373"/>
    <cellStyle name="Comma 2 3 2 40" xfId="11374"/>
    <cellStyle name="Comma 2 3 2 41" xfId="11375"/>
    <cellStyle name="Comma 2 3 2 42" xfId="11376"/>
    <cellStyle name="Comma 2 3 2 43" xfId="11377"/>
    <cellStyle name="Comma 2 3 2 44" xfId="11378"/>
    <cellStyle name="Comma 2 3 2 45" xfId="11379"/>
    <cellStyle name="Comma 2 3 2 46" xfId="11380"/>
    <cellStyle name="Comma 2 3 2 47" xfId="11381"/>
    <cellStyle name="Comma 2 3 2 48" xfId="11382"/>
    <cellStyle name="Comma 2 3 2 49" xfId="11383"/>
    <cellStyle name="Comma 2 3 2 5" xfId="11384"/>
    <cellStyle name="Comma 2 3 2 50" xfId="11385"/>
    <cellStyle name="Comma 2 3 2 51" xfId="11386"/>
    <cellStyle name="Comma 2 3 2 52" xfId="11387"/>
    <cellStyle name="Comma 2 3 2 53" xfId="11388"/>
    <cellStyle name="Comma 2 3 2 54" xfId="11389"/>
    <cellStyle name="Comma 2 3 2 55" xfId="11390"/>
    <cellStyle name="Comma 2 3 2 56" xfId="11391"/>
    <cellStyle name="Comma 2 3 2 57" xfId="11392"/>
    <cellStyle name="Comma 2 3 2 58" xfId="11393"/>
    <cellStyle name="Comma 2 3 2 59" xfId="11394"/>
    <cellStyle name="Comma 2 3 2 6" xfId="11395"/>
    <cellStyle name="Comma 2 3 2 60" xfId="11396"/>
    <cellStyle name="Comma 2 3 2 61" xfId="11397"/>
    <cellStyle name="Comma 2 3 2 62" xfId="11398"/>
    <cellStyle name="Comma 2 3 2 63" xfId="11399"/>
    <cellStyle name="Comma 2 3 2 64" xfId="11400"/>
    <cellStyle name="Comma 2 3 2 65" xfId="11401"/>
    <cellStyle name="Comma 2 3 2 66" xfId="11402"/>
    <cellStyle name="Comma 2 3 2 67" xfId="11403"/>
    <cellStyle name="Comma 2 3 2 68" xfId="11404"/>
    <cellStyle name="Comma 2 3 2 69" xfId="11405"/>
    <cellStyle name="Comma 2 3 2 7" xfId="11406"/>
    <cellStyle name="Comma 2 3 2 70" xfId="11407"/>
    <cellStyle name="Comma 2 3 2 71" xfId="11408"/>
    <cellStyle name="Comma 2 3 2 72" xfId="11409"/>
    <cellStyle name="Comma 2 3 2 73" xfId="11410"/>
    <cellStyle name="Comma 2 3 2 74" xfId="11411"/>
    <cellStyle name="Comma 2 3 2 75" xfId="11412"/>
    <cellStyle name="Comma 2 3 2 76" xfId="11413"/>
    <cellStyle name="Comma 2 3 2 77" xfId="11414"/>
    <cellStyle name="Comma 2 3 2 78" xfId="11415"/>
    <cellStyle name="Comma 2 3 2 79" xfId="11416"/>
    <cellStyle name="Comma 2 3 2 8" xfId="11417"/>
    <cellStyle name="Comma 2 3 2 80" xfId="11418"/>
    <cellStyle name="Comma 2 3 2 81" xfId="11419"/>
    <cellStyle name="Comma 2 3 2 82" xfId="11420"/>
    <cellStyle name="Comma 2 3 2 83" xfId="11421"/>
    <cellStyle name="Comma 2 3 2 84" xfId="11422"/>
    <cellStyle name="Comma 2 3 2 85" xfId="11423"/>
    <cellStyle name="Comma 2 3 2 86" xfId="11424"/>
    <cellStyle name="Comma 2 3 2 87" xfId="11425"/>
    <cellStyle name="Comma 2 3 2 88" xfId="11426"/>
    <cellStyle name="Comma 2 3 2 89" xfId="11427"/>
    <cellStyle name="Comma 2 3 2 9" xfId="11428"/>
    <cellStyle name="Comma 2 3 2 90" xfId="11429"/>
    <cellStyle name="Comma 2 3 2 91" xfId="11430"/>
    <cellStyle name="Comma 2 3 2 92" xfId="11431"/>
    <cellStyle name="Comma 2 3 2 93" xfId="11432"/>
    <cellStyle name="Comma 2 3 2 94" xfId="11433"/>
    <cellStyle name="Comma 2 3 2 95" xfId="11434"/>
    <cellStyle name="Comma 2 3 20" xfId="11435"/>
    <cellStyle name="Comma 2 3 21" xfId="11436"/>
    <cellStyle name="Comma 2 3 22" xfId="11437"/>
    <cellStyle name="Comma 2 3 23" xfId="11438"/>
    <cellStyle name="Comma 2 3 24" xfId="11439"/>
    <cellStyle name="Comma 2 3 25" xfId="11440"/>
    <cellStyle name="Comma 2 3 26" xfId="11441"/>
    <cellStyle name="Comma 2 3 27" xfId="11442"/>
    <cellStyle name="Comma 2 3 28" xfId="11443"/>
    <cellStyle name="Comma 2 3 29" xfId="11444"/>
    <cellStyle name="Comma 2 3 3" xfId="11445"/>
    <cellStyle name="Comma 2 3 3 10" xfId="11446"/>
    <cellStyle name="Comma 2 3 3 11" xfId="11447"/>
    <cellStyle name="Comma 2 3 3 12" xfId="11448"/>
    <cellStyle name="Comma 2 3 3 13" xfId="11449"/>
    <cellStyle name="Comma 2 3 3 14" xfId="11450"/>
    <cellStyle name="Comma 2 3 3 15" xfId="11451"/>
    <cellStyle name="Comma 2 3 3 16" xfId="11452"/>
    <cellStyle name="Comma 2 3 3 17" xfId="11453"/>
    <cellStyle name="Comma 2 3 3 18" xfId="11454"/>
    <cellStyle name="Comma 2 3 3 19" xfId="11455"/>
    <cellStyle name="Comma 2 3 3 2" xfId="11456"/>
    <cellStyle name="Comma 2 3 3 20" xfId="11457"/>
    <cellStyle name="Comma 2 3 3 21" xfId="11458"/>
    <cellStyle name="Comma 2 3 3 22" xfId="11459"/>
    <cellStyle name="Comma 2 3 3 23" xfId="11460"/>
    <cellStyle name="Comma 2 3 3 24" xfId="11461"/>
    <cellStyle name="Comma 2 3 3 25" xfId="11462"/>
    <cellStyle name="Comma 2 3 3 26" xfId="11463"/>
    <cellStyle name="Comma 2 3 3 27" xfId="11464"/>
    <cellStyle name="Comma 2 3 3 28" xfId="11465"/>
    <cellStyle name="Comma 2 3 3 29" xfId="11466"/>
    <cellStyle name="Comma 2 3 3 3" xfId="11467"/>
    <cellStyle name="Comma 2 3 3 30" xfId="11468"/>
    <cellStyle name="Comma 2 3 3 31" xfId="11469"/>
    <cellStyle name="Comma 2 3 3 32" xfId="11470"/>
    <cellStyle name="Comma 2 3 3 33" xfId="11471"/>
    <cellStyle name="Comma 2 3 3 34" xfId="11472"/>
    <cellStyle name="Comma 2 3 3 35" xfId="11473"/>
    <cellStyle name="Comma 2 3 3 36" xfId="11474"/>
    <cellStyle name="Comma 2 3 3 37" xfId="11475"/>
    <cellStyle name="Comma 2 3 3 38" xfId="11476"/>
    <cellStyle name="Comma 2 3 3 39" xfId="11477"/>
    <cellStyle name="Comma 2 3 3 4" xfId="11478"/>
    <cellStyle name="Comma 2 3 3 40" xfId="11479"/>
    <cellStyle name="Comma 2 3 3 41" xfId="11480"/>
    <cellStyle name="Comma 2 3 3 42" xfId="11481"/>
    <cellStyle name="Comma 2 3 3 43" xfId="11482"/>
    <cellStyle name="Comma 2 3 3 44" xfId="11483"/>
    <cellStyle name="Comma 2 3 3 45" xfId="11484"/>
    <cellStyle name="Comma 2 3 3 46" xfId="11485"/>
    <cellStyle name="Comma 2 3 3 47" xfId="11486"/>
    <cellStyle name="Comma 2 3 3 48" xfId="11487"/>
    <cellStyle name="Comma 2 3 3 49" xfId="11488"/>
    <cellStyle name="Comma 2 3 3 5" xfId="11489"/>
    <cellStyle name="Comma 2 3 3 50" xfId="11490"/>
    <cellStyle name="Comma 2 3 3 51" xfId="11491"/>
    <cellStyle name="Comma 2 3 3 52" xfId="11492"/>
    <cellStyle name="Comma 2 3 3 53" xfId="11493"/>
    <cellStyle name="Comma 2 3 3 54" xfId="11494"/>
    <cellStyle name="Comma 2 3 3 55" xfId="11495"/>
    <cellStyle name="Comma 2 3 3 56" xfId="11496"/>
    <cellStyle name="Comma 2 3 3 57" xfId="11497"/>
    <cellStyle name="Comma 2 3 3 58" xfId="11498"/>
    <cellStyle name="Comma 2 3 3 59" xfId="11499"/>
    <cellStyle name="Comma 2 3 3 6" xfId="11500"/>
    <cellStyle name="Comma 2 3 3 60" xfId="11501"/>
    <cellStyle name="Comma 2 3 3 61" xfId="11502"/>
    <cellStyle name="Comma 2 3 3 62" xfId="11503"/>
    <cellStyle name="Comma 2 3 3 63" xfId="11504"/>
    <cellStyle name="Comma 2 3 3 64" xfId="11505"/>
    <cellStyle name="Comma 2 3 3 65" xfId="11506"/>
    <cellStyle name="Comma 2 3 3 66" xfId="11507"/>
    <cellStyle name="Comma 2 3 3 67" xfId="11508"/>
    <cellStyle name="Comma 2 3 3 68" xfId="11509"/>
    <cellStyle name="Comma 2 3 3 69" xfId="11510"/>
    <cellStyle name="Comma 2 3 3 7" xfId="11511"/>
    <cellStyle name="Comma 2 3 3 70" xfId="11512"/>
    <cellStyle name="Comma 2 3 3 71" xfId="11513"/>
    <cellStyle name="Comma 2 3 3 72" xfId="11514"/>
    <cellStyle name="Comma 2 3 3 73" xfId="11515"/>
    <cellStyle name="Comma 2 3 3 74" xfId="11516"/>
    <cellStyle name="Comma 2 3 3 8" xfId="11517"/>
    <cellStyle name="Comma 2 3 3 9" xfId="11518"/>
    <cellStyle name="Comma 2 3 30" xfId="11519"/>
    <cellStyle name="Comma 2 3 31" xfId="11520"/>
    <cellStyle name="Comma 2 3 32" xfId="11521"/>
    <cellStyle name="Comma 2 3 33" xfId="11522"/>
    <cellStyle name="Comma 2 3 34" xfId="11523"/>
    <cellStyle name="Comma 2 3 35" xfId="11524"/>
    <cellStyle name="Comma 2 3 36" xfId="11525"/>
    <cellStyle name="Comma 2 3 37" xfId="11526"/>
    <cellStyle name="Comma 2 3 38" xfId="11527"/>
    <cellStyle name="Comma 2 3 39" xfId="11528"/>
    <cellStyle name="Comma 2 3 4" xfId="11529"/>
    <cellStyle name="Comma 2 3 40" xfId="11530"/>
    <cellStyle name="Comma 2 3 41" xfId="11531"/>
    <cellStyle name="Comma 2 3 42" xfId="11532"/>
    <cellStyle name="Comma 2 3 43" xfId="11533"/>
    <cellStyle name="Comma 2 3 44" xfId="11534"/>
    <cellStyle name="Comma 2 3 45" xfId="11535"/>
    <cellStyle name="Comma 2 3 46" xfId="11536"/>
    <cellStyle name="Comma 2 3 47" xfId="11537"/>
    <cellStyle name="Comma 2 3 48" xfId="11538"/>
    <cellStyle name="Comma 2 3 49" xfId="11539"/>
    <cellStyle name="Comma 2 3 5" xfId="11540"/>
    <cellStyle name="Comma 2 3 50" xfId="11541"/>
    <cellStyle name="Comma 2 3 51" xfId="11542"/>
    <cellStyle name="Comma 2 3 52" xfId="11543"/>
    <cellStyle name="Comma 2 3 53" xfId="11544"/>
    <cellStyle name="Comma 2 3 54" xfId="11545"/>
    <cellStyle name="Comma 2 3 55" xfId="11546"/>
    <cellStyle name="Comma 2 3 56" xfId="11547"/>
    <cellStyle name="Comma 2 3 57" xfId="11548"/>
    <cellStyle name="Comma 2 3 58" xfId="11549"/>
    <cellStyle name="Comma 2 3 59" xfId="11550"/>
    <cellStyle name="Comma 2 3 6" xfId="11551"/>
    <cellStyle name="Comma 2 3 60" xfId="11552"/>
    <cellStyle name="Comma 2 3 61" xfId="11553"/>
    <cellStyle name="Comma 2 3 62" xfId="11554"/>
    <cellStyle name="Comma 2 3 63" xfId="11555"/>
    <cellStyle name="Comma 2 3 64" xfId="11556"/>
    <cellStyle name="Comma 2 3 65" xfId="11557"/>
    <cellStyle name="Comma 2 3 66" xfId="11558"/>
    <cellStyle name="Comma 2 3 67" xfId="11559"/>
    <cellStyle name="Comma 2 3 68" xfId="11560"/>
    <cellStyle name="Comma 2 3 69" xfId="11561"/>
    <cellStyle name="Comma 2 3 7" xfId="11562"/>
    <cellStyle name="Comma 2 3 70" xfId="11563"/>
    <cellStyle name="Comma 2 3 71" xfId="11564"/>
    <cellStyle name="Comma 2 3 72" xfId="11565"/>
    <cellStyle name="Comma 2 3 73" xfId="11566"/>
    <cellStyle name="Comma 2 3 74" xfId="11567"/>
    <cellStyle name="Comma 2 3 75" xfId="11568"/>
    <cellStyle name="Comma 2 3 76" xfId="11569"/>
    <cellStyle name="Comma 2 3 77" xfId="11570"/>
    <cellStyle name="Comma 2 3 78" xfId="11571"/>
    <cellStyle name="Comma 2 3 79" xfId="11572"/>
    <cellStyle name="Comma 2 3 8" xfId="11573"/>
    <cellStyle name="Comma 2 3 80" xfId="11574"/>
    <cellStyle name="Comma 2 3 81" xfId="11575"/>
    <cellStyle name="Comma 2 3 82" xfId="11576"/>
    <cellStyle name="Comma 2 3 83" xfId="11577"/>
    <cellStyle name="Comma 2 3 84" xfId="11578"/>
    <cellStyle name="Comma 2 3 85" xfId="11579"/>
    <cellStyle name="Comma 2 3 86" xfId="11580"/>
    <cellStyle name="Comma 2 3 87" xfId="11581"/>
    <cellStyle name="Comma 2 3 88" xfId="11582"/>
    <cellStyle name="Comma 2 3 89" xfId="11583"/>
    <cellStyle name="Comma 2 3 9" xfId="11584"/>
    <cellStyle name="Comma 2 3 90" xfId="11585"/>
    <cellStyle name="Comma 2 3 91" xfId="11586"/>
    <cellStyle name="Comma 2 3 92" xfId="11587"/>
    <cellStyle name="Comma 2 3 93" xfId="11588"/>
    <cellStyle name="Comma 2 3 94" xfId="11589"/>
    <cellStyle name="Comma 2 3 95" xfId="11590"/>
    <cellStyle name="Comma 2 3 96" xfId="11591"/>
    <cellStyle name="Comma 2 3 97" xfId="11592"/>
    <cellStyle name="Comma 2 3 98" xfId="11593"/>
    <cellStyle name="Comma 2 30" xfId="11594"/>
    <cellStyle name="Comma 2 31" xfId="11595"/>
    <cellStyle name="Comma 2 32" xfId="11596"/>
    <cellStyle name="Comma 2 33" xfId="11597"/>
    <cellStyle name="Comma 2 34" xfId="11598"/>
    <cellStyle name="Comma 2 35" xfId="11599"/>
    <cellStyle name="Comma 2 36" xfId="11600"/>
    <cellStyle name="Comma 2 37" xfId="11601"/>
    <cellStyle name="Comma 2 37 2" xfId="11602"/>
    <cellStyle name="Comma 2 38" xfId="11603"/>
    <cellStyle name="Comma 2 39" xfId="11604"/>
    <cellStyle name="Comma 2 4" xfId="5"/>
    <cellStyle name="Comma 2 4 10" xfId="11605"/>
    <cellStyle name="Comma 2 4 11" xfId="11606"/>
    <cellStyle name="Comma 2 4 12" xfId="11607"/>
    <cellStyle name="Comma 2 4 13" xfId="11608"/>
    <cellStyle name="Comma 2 4 14" xfId="11609"/>
    <cellStyle name="Comma 2 4 15" xfId="11610"/>
    <cellStyle name="Comma 2 4 16" xfId="11611"/>
    <cellStyle name="Comma 2 4 17" xfId="11612"/>
    <cellStyle name="Comma 2 4 18" xfId="11613"/>
    <cellStyle name="Comma 2 4 19" xfId="11614"/>
    <cellStyle name="Comma 2 4 2" xfId="34"/>
    <cellStyle name="Comma 2 4 2 2" xfId="11615"/>
    <cellStyle name="Comma 2 4 2 3" xfId="11616"/>
    <cellStyle name="Comma 2 4 2 4" xfId="11617"/>
    <cellStyle name="Comma 2 4 2 5" xfId="11618"/>
    <cellStyle name="Comma 2 4 20" xfId="11619"/>
    <cellStyle name="Comma 2 4 21" xfId="11620"/>
    <cellStyle name="Comma 2 4 22" xfId="11621"/>
    <cellStyle name="Comma 2 4 23" xfId="11622"/>
    <cellStyle name="Comma 2 4 24" xfId="11623"/>
    <cellStyle name="Comma 2 4 25" xfId="11624"/>
    <cellStyle name="Comma 2 4 26" xfId="11625"/>
    <cellStyle name="Comma 2 4 27" xfId="11626"/>
    <cellStyle name="Comma 2 4 28" xfId="11627"/>
    <cellStyle name="Comma 2 4 29" xfId="11628"/>
    <cellStyle name="Comma 2 4 3" xfId="11629"/>
    <cellStyle name="Comma 2 4 3 2" xfId="11630"/>
    <cellStyle name="Comma 2 4 3 3" xfId="11631"/>
    <cellStyle name="Comma 2 4 30" xfId="11632"/>
    <cellStyle name="Comma 2 4 31" xfId="11633"/>
    <cellStyle name="Comma 2 4 32" xfId="11634"/>
    <cellStyle name="Comma 2 4 33" xfId="11635"/>
    <cellStyle name="Comma 2 4 34" xfId="11636"/>
    <cellStyle name="Comma 2 4 35" xfId="11637"/>
    <cellStyle name="Comma 2 4 36" xfId="11638"/>
    <cellStyle name="Comma 2 4 37" xfId="11639"/>
    <cellStyle name="Comma 2 4 38" xfId="11640"/>
    <cellStyle name="Comma 2 4 39" xfId="11641"/>
    <cellStyle name="Comma 2 4 4" xfId="11642"/>
    <cellStyle name="Comma 2 4 40" xfId="11643"/>
    <cellStyle name="Comma 2 4 41" xfId="11644"/>
    <cellStyle name="Comma 2 4 42" xfId="11645"/>
    <cellStyle name="Comma 2 4 43" xfId="11646"/>
    <cellStyle name="Comma 2 4 5" xfId="11647"/>
    <cellStyle name="Comma 2 4 6" xfId="11648"/>
    <cellStyle name="Comma 2 4 7" xfId="11649"/>
    <cellStyle name="Comma 2 4 8" xfId="11650"/>
    <cellStyle name="Comma 2 4 9" xfId="11651"/>
    <cellStyle name="Comma 2 40" xfId="11652"/>
    <cellStyle name="Comma 2 41" xfId="11653"/>
    <cellStyle name="Comma 2 5" xfId="32"/>
    <cellStyle name="Comma 2 5 10" xfId="11654"/>
    <cellStyle name="Comma 2 5 11" xfId="11655"/>
    <cellStyle name="Comma 2 5 12" xfId="11656"/>
    <cellStyle name="Comma 2 5 13" xfId="11657"/>
    <cellStyle name="Comma 2 5 14" xfId="11658"/>
    <cellStyle name="Comma 2 5 15" xfId="11659"/>
    <cellStyle name="Comma 2 5 16" xfId="11660"/>
    <cellStyle name="Comma 2 5 17" xfId="11661"/>
    <cellStyle name="Comma 2 5 18" xfId="11662"/>
    <cellStyle name="Comma 2 5 19" xfId="11663"/>
    <cellStyle name="Comma 2 5 2" xfId="11664"/>
    <cellStyle name="Comma 2 5 20" xfId="11665"/>
    <cellStyle name="Comma 2 5 21" xfId="11666"/>
    <cellStyle name="Comma 2 5 22" xfId="11667"/>
    <cellStyle name="Comma 2 5 23" xfId="11668"/>
    <cellStyle name="Comma 2 5 24" xfId="11669"/>
    <cellStyle name="Comma 2 5 25" xfId="11670"/>
    <cellStyle name="Comma 2 5 26" xfId="11671"/>
    <cellStyle name="Comma 2 5 27" xfId="11672"/>
    <cellStyle name="Comma 2 5 28" xfId="11673"/>
    <cellStyle name="Comma 2 5 29" xfId="11674"/>
    <cellStyle name="Comma 2 5 3" xfId="11675"/>
    <cellStyle name="Comma 2 5 30" xfId="11676"/>
    <cellStyle name="Comma 2 5 31" xfId="11677"/>
    <cellStyle name="Comma 2 5 32" xfId="11678"/>
    <cellStyle name="Comma 2 5 33" xfId="11679"/>
    <cellStyle name="Comma 2 5 34" xfId="11680"/>
    <cellStyle name="Comma 2 5 35" xfId="11681"/>
    <cellStyle name="Comma 2 5 36" xfId="11682"/>
    <cellStyle name="Comma 2 5 37" xfId="11683"/>
    <cellStyle name="Comma 2 5 38" xfId="11684"/>
    <cellStyle name="Comma 2 5 39" xfId="11685"/>
    <cellStyle name="Comma 2 5 4" xfId="11686"/>
    <cellStyle name="Comma 2 5 4 2" xfId="11687"/>
    <cellStyle name="Comma 2 5 4 3" xfId="11688"/>
    <cellStyle name="Comma 2 5 4 4" xfId="11689"/>
    <cellStyle name="Comma 2 5 40" xfId="11690"/>
    <cellStyle name="Comma 2 5 41" xfId="11691"/>
    <cellStyle name="Comma 2 5 42" xfId="11692"/>
    <cellStyle name="Comma 2 5 5" xfId="11693"/>
    <cellStyle name="Comma 2 5 6" xfId="11694"/>
    <cellStyle name="Comma 2 5 7" xfId="11695"/>
    <cellStyle name="Comma 2 5 8" xfId="11696"/>
    <cellStyle name="Comma 2 5 9" xfId="11697"/>
    <cellStyle name="Comma 2 6" xfId="11698"/>
    <cellStyle name="Comma 2 6 10" xfId="11699"/>
    <cellStyle name="Comma 2 6 11" xfId="11700"/>
    <cellStyle name="Comma 2 6 12" xfId="11701"/>
    <cellStyle name="Comma 2 6 13" xfId="11702"/>
    <cellStyle name="Comma 2 6 14" xfId="11703"/>
    <cellStyle name="Comma 2 6 15" xfId="11704"/>
    <cellStyle name="Comma 2 6 16" xfId="11705"/>
    <cellStyle name="Comma 2 6 17" xfId="11706"/>
    <cellStyle name="Comma 2 6 18" xfId="11707"/>
    <cellStyle name="Comma 2 6 19" xfId="11708"/>
    <cellStyle name="Comma 2 6 2" xfId="11709"/>
    <cellStyle name="Comma 2 6 20" xfId="11710"/>
    <cellStyle name="Comma 2 6 21" xfId="11711"/>
    <cellStyle name="Comma 2 6 22" xfId="11712"/>
    <cellStyle name="Comma 2 6 23" xfId="11713"/>
    <cellStyle name="Comma 2 6 24" xfId="11714"/>
    <cellStyle name="Comma 2 6 25" xfId="11715"/>
    <cellStyle name="Comma 2 6 26" xfId="11716"/>
    <cellStyle name="Comma 2 6 27" xfId="11717"/>
    <cellStyle name="Comma 2 6 28" xfId="11718"/>
    <cellStyle name="Comma 2 6 29" xfId="11719"/>
    <cellStyle name="Comma 2 6 3" xfId="11720"/>
    <cellStyle name="Comma 2 6 30" xfId="11721"/>
    <cellStyle name="Comma 2 6 31" xfId="11722"/>
    <cellStyle name="Comma 2 6 32" xfId="11723"/>
    <cellStyle name="Comma 2 6 33" xfId="11724"/>
    <cellStyle name="Comma 2 6 33 2" xfId="11725"/>
    <cellStyle name="Comma 2 6 33 3" xfId="11726"/>
    <cellStyle name="Comma 2 6 34" xfId="11727"/>
    <cellStyle name="Comma 2 6 35" xfId="11728"/>
    <cellStyle name="Comma 2 6 36" xfId="11729"/>
    <cellStyle name="Comma 2 6 37" xfId="11730"/>
    <cellStyle name="Comma 2 6 38" xfId="11731"/>
    <cellStyle name="Comma 2 6 39" xfId="11732"/>
    <cellStyle name="Comma 2 6 4" xfId="11733"/>
    <cellStyle name="Comma 2 6 40" xfId="11734"/>
    <cellStyle name="Comma 2 6 41" xfId="11735"/>
    <cellStyle name="Comma 2 6 42" xfId="11736"/>
    <cellStyle name="Comma 2 6 43" xfId="11737"/>
    <cellStyle name="Comma 2 6 5" xfId="11738"/>
    <cellStyle name="Comma 2 6 6" xfId="11739"/>
    <cellStyle name="Comma 2 6 7" xfId="11740"/>
    <cellStyle name="Comma 2 6 8" xfId="11741"/>
    <cellStyle name="Comma 2 6 9" xfId="11742"/>
    <cellStyle name="Comma 2 7" xfId="11743"/>
    <cellStyle name="Comma 2 7 10" xfId="11744"/>
    <cellStyle name="Comma 2 7 11" xfId="11745"/>
    <cellStyle name="Comma 2 7 2" xfId="11746"/>
    <cellStyle name="Comma 2 7 3" xfId="11747"/>
    <cellStyle name="Comma 2 7 4" xfId="11748"/>
    <cellStyle name="Comma 2 7 5" xfId="11749"/>
    <cellStyle name="Comma 2 7 6" xfId="11750"/>
    <cellStyle name="Comma 2 7 7" xfId="11751"/>
    <cellStyle name="Comma 2 7 8" xfId="11752"/>
    <cellStyle name="Comma 2 7 9" xfId="11753"/>
    <cellStyle name="Comma 2 8" xfId="11754"/>
    <cellStyle name="Comma 2 8 10" xfId="11755"/>
    <cellStyle name="Comma 2 8 11" xfId="11756"/>
    <cellStyle name="Comma 2 8 2" xfId="11757"/>
    <cellStyle name="Comma 2 8 3" xfId="11758"/>
    <cellStyle name="Comma 2 8 4" xfId="11759"/>
    <cellStyle name="Comma 2 8 5" xfId="11760"/>
    <cellStyle name="Comma 2 8 6" xfId="11761"/>
    <cellStyle name="Comma 2 8 7" xfId="11762"/>
    <cellStyle name="Comma 2 8 8" xfId="11763"/>
    <cellStyle name="Comma 2 8 9" xfId="11764"/>
    <cellStyle name="Comma 2 9" xfId="11765"/>
    <cellStyle name="Comma 2 9 10" xfId="11766"/>
    <cellStyle name="Comma 2 9 11" xfId="11767"/>
    <cellStyle name="Comma 2 9 2" xfId="11768"/>
    <cellStyle name="Comma 2 9 3" xfId="11769"/>
    <cellStyle name="Comma 2 9 4" xfId="11770"/>
    <cellStyle name="Comma 2 9 5" xfId="11771"/>
    <cellStyle name="Comma 2 9 6" xfId="11772"/>
    <cellStyle name="Comma 2 9 7" xfId="11773"/>
    <cellStyle name="Comma 2 9 8" xfId="11774"/>
    <cellStyle name="Comma 2 9 9" xfId="11775"/>
    <cellStyle name="Comma 2_MA LIFE - 12 December 2009 - Stage 01A " xfId="11776"/>
    <cellStyle name="Comma 20" xfId="13"/>
    <cellStyle name="Comma 20 2" xfId="11777"/>
    <cellStyle name="Comma 21" xfId="11778"/>
    <cellStyle name="Comma 21 2" xfId="11779"/>
    <cellStyle name="Comma 21 3" xfId="11780"/>
    <cellStyle name="Comma 21 4" xfId="11781"/>
    <cellStyle name="Comma 21 5" xfId="11782"/>
    <cellStyle name="Comma 21 6" xfId="11783"/>
    <cellStyle name="Comma 22" xfId="11784"/>
    <cellStyle name="Comma 23" xfId="11785"/>
    <cellStyle name="Comma 23 10" xfId="11786"/>
    <cellStyle name="Comma 23 11" xfId="11787"/>
    <cellStyle name="Comma 23 2" xfId="11788"/>
    <cellStyle name="Comma 23 3" xfId="11789"/>
    <cellStyle name="Comma 23 4" xfId="11790"/>
    <cellStyle name="Comma 23 5" xfId="11791"/>
    <cellStyle name="Comma 23 6" xfId="11792"/>
    <cellStyle name="Comma 23 7" xfId="11793"/>
    <cellStyle name="Comma 23 8" xfId="11794"/>
    <cellStyle name="Comma 23 9" xfId="11795"/>
    <cellStyle name="Comma 24" xfId="11796"/>
    <cellStyle name="Comma 25" xfId="11797"/>
    <cellStyle name="Comma 25 2" xfId="11798"/>
    <cellStyle name="Comma 25 3" xfId="11799"/>
    <cellStyle name="Comma 25 4" xfId="11800"/>
    <cellStyle name="Comma 25 5" xfId="11801"/>
    <cellStyle name="Comma 26" xfId="11802"/>
    <cellStyle name="Comma 26 2" xfId="11803"/>
    <cellStyle name="Comma 26 3" xfId="11804"/>
    <cellStyle name="Comma 26 4" xfId="11805"/>
    <cellStyle name="Comma 26 5" xfId="11806"/>
    <cellStyle name="Comma 27" xfId="11807"/>
    <cellStyle name="Comma 27 2" xfId="11808"/>
    <cellStyle name="Comma 27 3" xfId="11809"/>
    <cellStyle name="Comma 27 4" xfId="37573"/>
    <cellStyle name="Comma 28" xfId="11810"/>
    <cellStyle name="Comma 28 2" xfId="37574"/>
    <cellStyle name="Comma 29" xfId="11811"/>
    <cellStyle name="Comma 29 2" xfId="37575"/>
    <cellStyle name="Comma 3" xfId="6"/>
    <cellStyle name="Comma 3 10" xfId="11812"/>
    <cellStyle name="Comma 3 11" xfId="11813"/>
    <cellStyle name="Comma 3 12" xfId="11814"/>
    <cellStyle name="Comma 3 13" xfId="11815"/>
    <cellStyle name="Comma 3 14" xfId="11816"/>
    <cellStyle name="Comma 3 15" xfId="11817"/>
    <cellStyle name="Comma 3 16" xfId="11818"/>
    <cellStyle name="Comma 3 17" xfId="11819"/>
    <cellStyle name="Comma 3 18" xfId="11820"/>
    <cellStyle name="Comma 3 19" xfId="11821"/>
    <cellStyle name="Comma 3 2" xfId="18"/>
    <cellStyle name="Comma 3 2 10" xfId="11822"/>
    <cellStyle name="Comma 3 2 11" xfId="11823"/>
    <cellStyle name="Comma 3 2 12" xfId="11824"/>
    <cellStyle name="Comma 3 2 13" xfId="11825"/>
    <cellStyle name="Comma 3 2 14" xfId="11826"/>
    <cellStyle name="Comma 3 2 15" xfId="11827"/>
    <cellStyle name="Comma 3 2 16" xfId="11828"/>
    <cellStyle name="Comma 3 2 17" xfId="11829"/>
    <cellStyle name="Comma 3 2 18" xfId="11830"/>
    <cellStyle name="Comma 3 2 19" xfId="11831"/>
    <cellStyle name="Comma 3 2 2" xfId="40"/>
    <cellStyle name="Comma 3 2 20" xfId="11832"/>
    <cellStyle name="Comma 3 2 21" xfId="11833"/>
    <cellStyle name="Comma 3 2 22" xfId="11834"/>
    <cellStyle name="Comma 3 2 23" xfId="11835"/>
    <cellStyle name="Comma 3 2 24" xfId="11836"/>
    <cellStyle name="Comma 3 2 3" xfId="11837"/>
    <cellStyle name="Comma 3 2 4" xfId="11838"/>
    <cellStyle name="Comma 3 2 5" xfId="11839"/>
    <cellStyle name="Comma 3 2 6" xfId="11840"/>
    <cellStyle name="Comma 3 2 7" xfId="11841"/>
    <cellStyle name="Comma 3 2 8" xfId="11842"/>
    <cellStyle name="Comma 3 2 9" xfId="11843"/>
    <cellStyle name="Comma 3 20" xfId="11844"/>
    <cellStyle name="Comma 3 21" xfId="11845"/>
    <cellStyle name="Comma 3 22" xfId="11846"/>
    <cellStyle name="Comma 3 23" xfId="11847"/>
    <cellStyle name="Comma 3 24" xfId="11848"/>
    <cellStyle name="Comma 3 25" xfId="11849"/>
    <cellStyle name="Comma 3 26" xfId="11850"/>
    <cellStyle name="Comma 3 27" xfId="37579"/>
    <cellStyle name="Comma 3 3" xfId="35"/>
    <cellStyle name="Comma 3 3 2" xfId="11851"/>
    <cellStyle name="Comma 3 3 3" xfId="11852"/>
    <cellStyle name="Comma 3 3 4" xfId="11853"/>
    <cellStyle name="Comma 3 3 5" xfId="11854"/>
    <cellStyle name="Comma 3 3 6" xfId="11855"/>
    <cellStyle name="Comma 3 4" xfId="11856"/>
    <cellStyle name="Comma 3 4 2" xfId="11857"/>
    <cellStyle name="Comma 3 5" xfId="11858"/>
    <cellStyle name="Comma 3 6" xfId="11859"/>
    <cellStyle name="Comma 3 7" xfId="11860"/>
    <cellStyle name="Comma 3 8" xfId="11861"/>
    <cellStyle name="Comma 3 9" xfId="11862"/>
    <cellStyle name="Comma 3_Xl0000010" xfId="11863"/>
    <cellStyle name="Comma 30" xfId="16"/>
    <cellStyle name="Comma 30 2" xfId="11864"/>
    <cellStyle name="Comma 30 3" xfId="11865"/>
    <cellStyle name="Comma 30 4" xfId="11866"/>
    <cellStyle name="Comma 30 5" xfId="11867"/>
    <cellStyle name="Comma 30 6" xfId="11868"/>
    <cellStyle name="Comma 30 7" xfId="37576"/>
    <cellStyle name="Comma 31" xfId="11869"/>
    <cellStyle name="Comma 32" xfId="11870"/>
    <cellStyle name="Comma 32 2" xfId="37577"/>
    <cellStyle name="Comma 33" xfId="11871"/>
    <cellStyle name="Comma 34" xfId="11872"/>
    <cellStyle name="Comma 35" xfId="11873"/>
    <cellStyle name="Comma 36" xfId="11874"/>
    <cellStyle name="Comma 37" xfId="11875"/>
    <cellStyle name="Comma 38" xfId="11876"/>
    <cellStyle name="Comma 39" xfId="11877"/>
    <cellStyle name="Comma 4" xfId="24"/>
    <cellStyle name="Comma 4 10" xfId="11878"/>
    <cellStyle name="Comma 4 10 2" xfId="11879"/>
    <cellStyle name="Comma 4 11" xfId="11880"/>
    <cellStyle name="Comma 4 12" xfId="11881"/>
    <cellStyle name="Comma 4 13" xfId="11882"/>
    <cellStyle name="Comma 4 14" xfId="11883"/>
    <cellStyle name="Comma 4 15" xfId="11884"/>
    <cellStyle name="Comma 4 16" xfId="11885"/>
    <cellStyle name="Comma 4 17" xfId="11886"/>
    <cellStyle name="Comma 4 18" xfId="11887"/>
    <cellStyle name="Comma 4 19" xfId="11888"/>
    <cellStyle name="Comma 4 2" xfId="44"/>
    <cellStyle name="Comma 4 2 10" xfId="11889"/>
    <cellStyle name="Comma 4 2 11" xfId="11890"/>
    <cellStyle name="Comma 4 2 12" xfId="11891"/>
    <cellStyle name="Comma 4 2 13" xfId="11892"/>
    <cellStyle name="Comma 4 2 14" xfId="11893"/>
    <cellStyle name="Comma 4 2 15" xfId="11894"/>
    <cellStyle name="Comma 4 2 16" xfId="11895"/>
    <cellStyle name="Comma 4 2 17" xfId="11896"/>
    <cellStyle name="Comma 4 2 18" xfId="11897"/>
    <cellStyle name="Comma 4 2 19" xfId="11898"/>
    <cellStyle name="Comma 4 2 2" xfId="11899"/>
    <cellStyle name="Comma 4 2 20" xfId="11900"/>
    <cellStyle name="Comma 4 2 21" xfId="11901"/>
    <cellStyle name="Comma 4 2 22" xfId="11902"/>
    <cellStyle name="Comma 4 2 23" xfId="11903"/>
    <cellStyle name="Comma 4 2 24" xfId="11904"/>
    <cellStyle name="Comma 4 2 25" xfId="11905"/>
    <cellStyle name="Comma 4 2 26" xfId="11906"/>
    <cellStyle name="Comma 4 2 27" xfId="11907"/>
    <cellStyle name="Comma 4 2 28" xfId="11908"/>
    <cellStyle name="Comma 4 2 29" xfId="11909"/>
    <cellStyle name="Comma 4 2 3" xfId="11910"/>
    <cellStyle name="Comma 4 2 30" xfId="11911"/>
    <cellStyle name="Comma 4 2 31" xfId="11912"/>
    <cellStyle name="Comma 4 2 32" xfId="11913"/>
    <cellStyle name="Comma 4 2 33" xfId="11914"/>
    <cellStyle name="Comma 4 2 34" xfId="11915"/>
    <cellStyle name="Comma 4 2 35" xfId="11916"/>
    <cellStyle name="Comma 4 2 36" xfId="11917"/>
    <cellStyle name="Comma 4 2 37" xfId="11918"/>
    <cellStyle name="Comma 4 2 38" xfId="11919"/>
    <cellStyle name="Comma 4 2 39" xfId="11920"/>
    <cellStyle name="Comma 4 2 4" xfId="11921"/>
    <cellStyle name="Comma 4 2 40" xfId="11922"/>
    <cellStyle name="Comma 4 2 41" xfId="11923"/>
    <cellStyle name="Comma 4 2 42" xfId="11924"/>
    <cellStyle name="Comma 4 2 43" xfId="11925"/>
    <cellStyle name="Comma 4 2 44" xfId="11926"/>
    <cellStyle name="Comma 4 2 45" xfId="11927"/>
    <cellStyle name="Comma 4 2 46" xfId="11928"/>
    <cellStyle name="Comma 4 2 47" xfId="11929"/>
    <cellStyle name="Comma 4 2 48" xfId="11930"/>
    <cellStyle name="Comma 4 2 49" xfId="11931"/>
    <cellStyle name="Comma 4 2 5" xfId="11932"/>
    <cellStyle name="Comma 4 2 50" xfId="11933"/>
    <cellStyle name="Comma 4 2 51" xfId="11934"/>
    <cellStyle name="Comma 4 2 52" xfId="11935"/>
    <cellStyle name="Comma 4 2 53" xfId="11936"/>
    <cellStyle name="Comma 4 2 54" xfId="11937"/>
    <cellStyle name="Comma 4 2 55" xfId="11938"/>
    <cellStyle name="Comma 4 2 56" xfId="11939"/>
    <cellStyle name="Comma 4 2 57" xfId="11940"/>
    <cellStyle name="Comma 4 2 58" xfId="11941"/>
    <cellStyle name="Comma 4 2 59" xfId="11942"/>
    <cellStyle name="Comma 4 2 6" xfId="11943"/>
    <cellStyle name="Comma 4 2 60" xfId="11944"/>
    <cellStyle name="Comma 4 2 61" xfId="11945"/>
    <cellStyle name="Comma 4 2 62" xfId="11946"/>
    <cellStyle name="Comma 4 2 63" xfId="11947"/>
    <cellStyle name="Comma 4 2 64" xfId="11948"/>
    <cellStyle name="Comma 4 2 65" xfId="11949"/>
    <cellStyle name="Comma 4 2 66" xfId="11950"/>
    <cellStyle name="Comma 4 2 67" xfId="11951"/>
    <cellStyle name="Comma 4 2 68" xfId="11952"/>
    <cellStyle name="Comma 4 2 69" xfId="11953"/>
    <cellStyle name="Comma 4 2 7" xfId="11954"/>
    <cellStyle name="Comma 4 2 70" xfId="11955"/>
    <cellStyle name="Comma 4 2 71" xfId="11956"/>
    <cellStyle name="Comma 4 2 72" xfId="11957"/>
    <cellStyle name="Comma 4 2 73" xfId="11958"/>
    <cellStyle name="Comma 4 2 74" xfId="11959"/>
    <cellStyle name="Comma 4 2 75" xfId="11960"/>
    <cellStyle name="Comma 4 2 76" xfId="11961"/>
    <cellStyle name="Comma 4 2 77" xfId="11962"/>
    <cellStyle name="Comma 4 2 78" xfId="11963"/>
    <cellStyle name="Comma 4 2 79" xfId="11964"/>
    <cellStyle name="Comma 4 2 8" xfId="11965"/>
    <cellStyle name="Comma 4 2 80" xfId="11966"/>
    <cellStyle name="Comma 4 2 81" xfId="11967"/>
    <cellStyle name="Comma 4 2 82" xfId="11968"/>
    <cellStyle name="Comma 4 2 83" xfId="11969"/>
    <cellStyle name="Comma 4 2 84" xfId="11970"/>
    <cellStyle name="Comma 4 2 85" xfId="11971"/>
    <cellStyle name="Comma 4 2 86" xfId="11972"/>
    <cellStyle name="Comma 4 2 87" xfId="11973"/>
    <cellStyle name="Comma 4 2 88" xfId="11974"/>
    <cellStyle name="Comma 4 2 89" xfId="11975"/>
    <cellStyle name="Comma 4 2 9" xfId="11976"/>
    <cellStyle name="Comma 4 2 90" xfId="11977"/>
    <cellStyle name="Comma 4 2 91" xfId="11978"/>
    <cellStyle name="Comma 4 2 92" xfId="11979"/>
    <cellStyle name="Comma 4 2 93" xfId="11980"/>
    <cellStyle name="Comma 4 2 94" xfId="11981"/>
    <cellStyle name="Comma 4 2 95" xfId="11982"/>
    <cellStyle name="Comma 4 2 96" xfId="11983"/>
    <cellStyle name="Comma 4 20" xfId="11984"/>
    <cellStyle name="Comma 4 21" xfId="11985"/>
    <cellStyle name="Comma 4 22" xfId="11986"/>
    <cellStyle name="Comma 4 23" xfId="11987"/>
    <cellStyle name="Comma 4 24" xfId="11988"/>
    <cellStyle name="Comma 4 25" xfId="11989"/>
    <cellStyle name="Comma 4 26" xfId="11990"/>
    <cellStyle name="Comma 4 27" xfId="11991"/>
    <cellStyle name="Comma 4 28" xfId="11992"/>
    <cellStyle name="Comma 4 29" xfId="11993"/>
    <cellStyle name="Comma 4 3" xfId="11994"/>
    <cellStyle name="Comma 4 3 2" xfId="11995"/>
    <cellStyle name="Comma 4 3 2 2" xfId="11996"/>
    <cellStyle name="Comma 4 3 2 3" xfId="11997"/>
    <cellStyle name="Comma 4 3 2 4" xfId="11998"/>
    <cellStyle name="Comma 4 3 3" xfId="11999"/>
    <cellStyle name="Comma 4 3 3 2" xfId="12000"/>
    <cellStyle name="Comma 4 3 3 3" xfId="12001"/>
    <cellStyle name="Comma 4 3 4" xfId="12002"/>
    <cellStyle name="Comma 4 3 4 2" xfId="12003"/>
    <cellStyle name="Comma 4 3 4 3" xfId="12004"/>
    <cellStyle name="Comma 4 3 5" xfId="12005"/>
    <cellStyle name="Comma 4 3 5 2" xfId="12006"/>
    <cellStyle name="Comma 4 3 5 3" xfId="12007"/>
    <cellStyle name="Comma 4 3 6" xfId="12008"/>
    <cellStyle name="Comma 4 3 7" xfId="12009"/>
    <cellStyle name="Comma 4 3 8" xfId="12010"/>
    <cellStyle name="Comma 4 3 9" xfId="12011"/>
    <cellStyle name="Comma 4 30" xfId="12012"/>
    <cellStyle name="Comma 4 31" xfId="12013"/>
    <cellStyle name="Comma 4 32" xfId="12014"/>
    <cellStyle name="Comma 4 33" xfId="12015"/>
    <cellStyle name="Comma 4 34" xfId="12016"/>
    <cellStyle name="Comma 4 35" xfId="12017"/>
    <cellStyle name="Comma 4 36" xfId="12018"/>
    <cellStyle name="Comma 4 37" xfId="12019"/>
    <cellStyle name="Comma 4 38" xfId="12020"/>
    <cellStyle name="Comma 4 39" xfId="12021"/>
    <cellStyle name="Comma 4 4" xfId="12022"/>
    <cellStyle name="Comma 4 4 2" xfId="12023"/>
    <cellStyle name="Comma 4 4 3" xfId="12024"/>
    <cellStyle name="Comma 4 4 4" xfId="12025"/>
    <cellStyle name="Comma 4 40" xfId="12026"/>
    <cellStyle name="Comma 4 41" xfId="12027"/>
    <cellStyle name="Comma 4 42" xfId="12028"/>
    <cellStyle name="Comma 4 43" xfId="12029"/>
    <cellStyle name="Comma 4 44" xfId="12030"/>
    <cellStyle name="Comma 4 45" xfId="12031"/>
    <cellStyle name="Comma 4 46" xfId="12032"/>
    <cellStyle name="Comma 4 47" xfId="12033"/>
    <cellStyle name="Comma 4 48" xfId="12034"/>
    <cellStyle name="Comma 4 49" xfId="12035"/>
    <cellStyle name="Comma 4 5" xfId="12036"/>
    <cellStyle name="Comma 4 5 2" xfId="12037"/>
    <cellStyle name="Comma 4 5 3" xfId="12038"/>
    <cellStyle name="Comma 4 5 4" xfId="12039"/>
    <cellStyle name="Comma 4 50" xfId="12040"/>
    <cellStyle name="Comma 4 51" xfId="12041"/>
    <cellStyle name="Comma 4 52" xfId="12042"/>
    <cellStyle name="Comma 4 53" xfId="12043"/>
    <cellStyle name="Comma 4 54" xfId="12044"/>
    <cellStyle name="Comma 4 55" xfId="12045"/>
    <cellStyle name="Comma 4 56" xfId="12046"/>
    <cellStyle name="Comma 4 57" xfId="12047"/>
    <cellStyle name="Comma 4 58" xfId="12048"/>
    <cellStyle name="Comma 4 59" xfId="12049"/>
    <cellStyle name="Comma 4 6" xfId="12050"/>
    <cellStyle name="Comma 4 6 2" xfId="12051"/>
    <cellStyle name="Comma 4 6 3" xfId="12052"/>
    <cellStyle name="Comma 4 60" xfId="12053"/>
    <cellStyle name="Comma 4 61" xfId="12054"/>
    <cellStyle name="Comma 4 62" xfId="12055"/>
    <cellStyle name="Comma 4 63" xfId="12056"/>
    <cellStyle name="Comma 4 64" xfId="12057"/>
    <cellStyle name="Comma 4 65" xfId="12058"/>
    <cellStyle name="Comma 4 66" xfId="12059"/>
    <cellStyle name="Comma 4 67" xfId="12060"/>
    <cellStyle name="Comma 4 68" xfId="12061"/>
    <cellStyle name="Comma 4 69" xfId="12062"/>
    <cellStyle name="Comma 4 7" xfId="12063"/>
    <cellStyle name="Comma 4 7 2" xfId="12064"/>
    <cellStyle name="Comma 4 7 3" xfId="12065"/>
    <cellStyle name="Comma 4 70" xfId="12066"/>
    <cellStyle name="Comma 4 71" xfId="12067"/>
    <cellStyle name="Comma 4 72" xfId="12068"/>
    <cellStyle name="Comma 4 73" xfId="12069"/>
    <cellStyle name="Comma 4 74" xfId="12070"/>
    <cellStyle name="Comma 4 75" xfId="12071"/>
    <cellStyle name="Comma 4 76" xfId="12072"/>
    <cellStyle name="Comma 4 77" xfId="12073"/>
    <cellStyle name="Comma 4 78" xfId="12074"/>
    <cellStyle name="Comma 4 79" xfId="12075"/>
    <cellStyle name="Comma 4 8" xfId="12076"/>
    <cellStyle name="Comma 4 80" xfId="12077"/>
    <cellStyle name="Comma 4 81" xfId="12078"/>
    <cellStyle name="Comma 4 82" xfId="12079"/>
    <cellStyle name="Comma 4 83" xfId="12080"/>
    <cellStyle name="Comma 4 84" xfId="12081"/>
    <cellStyle name="Comma 4 85" xfId="12082"/>
    <cellStyle name="Comma 4 86" xfId="12083"/>
    <cellStyle name="Comma 4 87" xfId="12084"/>
    <cellStyle name="Comma 4 88" xfId="12085"/>
    <cellStyle name="Comma 4 89" xfId="12086"/>
    <cellStyle name="Comma 4 9" xfId="12087"/>
    <cellStyle name="Comma 4 90" xfId="12088"/>
    <cellStyle name="Comma 4 91" xfId="12089"/>
    <cellStyle name="Comma 4 92" xfId="12090"/>
    <cellStyle name="Comma 4 93" xfId="12091"/>
    <cellStyle name="Comma 4 94" xfId="12092"/>
    <cellStyle name="Comma 4 95" xfId="12093"/>
    <cellStyle name="Comma 4 96" xfId="12094"/>
    <cellStyle name="Comma 4 97" xfId="12095"/>
    <cellStyle name="Comma 4 98" xfId="12096"/>
    <cellStyle name="Comma 4 99" xfId="37581"/>
    <cellStyle name="Comma 40" xfId="12097"/>
    <cellStyle name="Comma 41" xfId="12098"/>
    <cellStyle name="Comma 42" xfId="12099"/>
    <cellStyle name="Comma 43" xfId="12100"/>
    <cellStyle name="Comma 44" xfId="12101"/>
    <cellStyle name="Comma 45" xfId="12102"/>
    <cellStyle name="Comma 46" xfId="12103"/>
    <cellStyle name="Comma 47" xfId="12104"/>
    <cellStyle name="Comma 48" xfId="12105"/>
    <cellStyle name="Comma 49" xfId="12106"/>
    <cellStyle name="Comma 5" xfId="30"/>
    <cellStyle name="Comma 5 10" xfId="12107"/>
    <cellStyle name="Comma 5 11" xfId="12108"/>
    <cellStyle name="Comma 5 12" xfId="12109"/>
    <cellStyle name="Comma 5 13" xfId="12110"/>
    <cellStyle name="Comma 5 14" xfId="12111"/>
    <cellStyle name="Comma 5 15" xfId="12112"/>
    <cellStyle name="Comma 5 16" xfId="12113"/>
    <cellStyle name="Comma 5 17" xfId="12114"/>
    <cellStyle name="Comma 5 18" xfId="12115"/>
    <cellStyle name="Comma 5 19" xfId="12116"/>
    <cellStyle name="Comma 5 2" xfId="12117"/>
    <cellStyle name="Comma 5 2 10" xfId="12118"/>
    <cellStyle name="Comma 5 2 11" xfId="12119"/>
    <cellStyle name="Comma 5 2 12" xfId="12120"/>
    <cellStyle name="Comma 5 2 13" xfId="12121"/>
    <cellStyle name="Comma 5 2 14" xfId="12122"/>
    <cellStyle name="Comma 5 2 15" xfId="12123"/>
    <cellStyle name="Comma 5 2 16" xfId="12124"/>
    <cellStyle name="Comma 5 2 17" xfId="12125"/>
    <cellStyle name="Comma 5 2 18" xfId="12126"/>
    <cellStyle name="Comma 5 2 19" xfId="12127"/>
    <cellStyle name="Comma 5 2 2" xfId="12128"/>
    <cellStyle name="Comma 5 2 2 2" xfId="12129"/>
    <cellStyle name="Comma 5 2 2 3" xfId="12130"/>
    <cellStyle name="Comma 5 2 20" xfId="12131"/>
    <cellStyle name="Comma 5 2 21" xfId="12132"/>
    <cellStyle name="Comma 5 2 22" xfId="12133"/>
    <cellStyle name="Comma 5 2 23" xfId="12134"/>
    <cellStyle name="Comma 5 2 24" xfId="12135"/>
    <cellStyle name="Comma 5 2 25" xfId="12136"/>
    <cellStyle name="Comma 5 2 26" xfId="12137"/>
    <cellStyle name="Comma 5 2 27" xfId="12138"/>
    <cellStyle name="Comma 5 2 28" xfId="12139"/>
    <cellStyle name="Comma 5 2 29" xfId="12140"/>
    <cellStyle name="Comma 5 2 3" xfId="12141"/>
    <cellStyle name="Comma 5 2 30" xfId="12142"/>
    <cellStyle name="Comma 5 2 31" xfId="12143"/>
    <cellStyle name="Comma 5 2 32" xfId="12144"/>
    <cellStyle name="Comma 5 2 33" xfId="12145"/>
    <cellStyle name="Comma 5 2 34" xfId="12146"/>
    <cellStyle name="Comma 5 2 35" xfId="12147"/>
    <cellStyle name="Comma 5 2 36" xfId="12148"/>
    <cellStyle name="Comma 5 2 37" xfId="12149"/>
    <cellStyle name="Comma 5 2 38" xfId="12150"/>
    <cellStyle name="Comma 5 2 39" xfId="12151"/>
    <cellStyle name="Comma 5 2 4" xfId="12152"/>
    <cellStyle name="Comma 5 2 40" xfId="12153"/>
    <cellStyle name="Comma 5 2 41" xfId="12154"/>
    <cellStyle name="Comma 5 2 42" xfId="12155"/>
    <cellStyle name="Comma 5 2 43" xfId="12156"/>
    <cellStyle name="Comma 5 2 44" xfId="12157"/>
    <cellStyle name="Comma 5 2 45" xfId="28807"/>
    <cellStyle name="Comma 5 2 5" xfId="12158"/>
    <cellStyle name="Comma 5 2 6" xfId="12159"/>
    <cellStyle name="Comma 5 2 7" xfId="12160"/>
    <cellStyle name="Comma 5 2 8" xfId="12161"/>
    <cellStyle name="Comma 5 2 9" xfId="12162"/>
    <cellStyle name="Comma 5 20" xfId="12163"/>
    <cellStyle name="Comma 5 21" xfId="12164"/>
    <cellStyle name="Comma 5 22" xfId="12165"/>
    <cellStyle name="Comma 5 23" xfId="12166"/>
    <cellStyle name="Comma 5 24" xfId="12167"/>
    <cellStyle name="Comma 5 25" xfId="12168"/>
    <cellStyle name="Comma 5 26" xfId="12169"/>
    <cellStyle name="Comma 5 27" xfId="12170"/>
    <cellStyle name="Comma 5 28" xfId="12171"/>
    <cellStyle name="Comma 5 29" xfId="12172"/>
    <cellStyle name="Comma 5 3" xfId="12173"/>
    <cellStyle name="Comma 5 3 10" xfId="12174"/>
    <cellStyle name="Comma 5 3 11" xfId="12175"/>
    <cellStyle name="Comma 5 3 12" xfId="12176"/>
    <cellStyle name="Comma 5 3 13" xfId="12177"/>
    <cellStyle name="Comma 5 3 14" xfId="12178"/>
    <cellStyle name="Comma 5 3 15" xfId="12179"/>
    <cellStyle name="Comma 5 3 16" xfId="12180"/>
    <cellStyle name="Comma 5 3 17" xfId="12181"/>
    <cellStyle name="Comma 5 3 18" xfId="12182"/>
    <cellStyle name="Comma 5 3 19" xfId="12183"/>
    <cellStyle name="Comma 5 3 2" xfId="12184"/>
    <cellStyle name="Comma 5 3 20" xfId="12185"/>
    <cellStyle name="Comma 5 3 21" xfId="12186"/>
    <cellStyle name="Comma 5 3 22" xfId="12187"/>
    <cellStyle name="Comma 5 3 23" xfId="12188"/>
    <cellStyle name="Comma 5 3 24" xfId="12189"/>
    <cellStyle name="Comma 5 3 25" xfId="12190"/>
    <cellStyle name="Comma 5 3 26" xfId="12191"/>
    <cellStyle name="Comma 5 3 27" xfId="12192"/>
    <cellStyle name="Comma 5 3 28" xfId="12193"/>
    <cellStyle name="Comma 5 3 29" xfId="12194"/>
    <cellStyle name="Comma 5 3 3" xfId="12195"/>
    <cellStyle name="Comma 5 3 30" xfId="12196"/>
    <cellStyle name="Comma 5 3 31" xfId="12197"/>
    <cellStyle name="Comma 5 3 32" xfId="12198"/>
    <cellStyle name="Comma 5 3 33" xfId="12199"/>
    <cellStyle name="Comma 5 3 34" xfId="12200"/>
    <cellStyle name="Comma 5 3 35" xfId="12201"/>
    <cellStyle name="Comma 5 3 36" xfId="12202"/>
    <cellStyle name="Comma 5 3 37" xfId="12203"/>
    <cellStyle name="Comma 5 3 38" xfId="12204"/>
    <cellStyle name="Comma 5 3 39" xfId="12205"/>
    <cellStyle name="Comma 5 3 4" xfId="12206"/>
    <cellStyle name="Comma 5 3 40" xfId="12207"/>
    <cellStyle name="Comma 5 3 41" xfId="12208"/>
    <cellStyle name="Comma 5 3 42" xfId="12209"/>
    <cellStyle name="Comma 5 3 43" xfId="12210"/>
    <cellStyle name="Comma 5 3 5" xfId="12211"/>
    <cellStyle name="Comma 5 3 6" xfId="12212"/>
    <cellStyle name="Comma 5 3 7" xfId="12213"/>
    <cellStyle name="Comma 5 3 8" xfId="12214"/>
    <cellStyle name="Comma 5 3 9" xfId="12215"/>
    <cellStyle name="Comma 5 30" xfId="12216"/>
    <cellStyle name="Comma 5 31" xfId="12217"/>
    <cellStyle name="Comma 5 32" xfId="12218"/>
    <cellStyle name="Comma 5 33" xfId="12219"/>
    <cellStyle name="Comma 5 34" xfId="12220"/>
    <cellStyle name="Comma 5 35" xfId="12221"/>
    <cellStyle name="Comma 5 36" xfId="12222"/>
    <cellStyle name="Comma 5 37" xfId="12223"/>
    <cellStyle name="Comma 5 38" xfId="12224"/>
    <cellStyle name="Comma 5 39" xfId="12225"/>
    <cellStyle name="Comma 5 4" xfId="12226"/>
    <cellStyle name="Comma 5 4 10" xfId="12227"/>
    <cellStyle name="Comma 5 4 11" xfId="12228"/>
    <cellStyle name="Comma 5 4 12" xfId="12229"/>
    <cellStyle name="Comma 5 4 13" xfId="12230"/>
    <cellStyle name="Comma 5 4 14" xfId="12231"/>
    <cellStyle name="Comma 5 4 15" xfId="12232"/>
    <cellStyle name="Comma 5 4 16" xfId="12233"/>
    <cellStyle name="Comma 5 4 17" xfId="12234"/>
    <cellStyle name="Comma 5 4 18" xfId="12235"/>
    <cellStyle name="Comma 5 4 19" xfId="12236"/>
    <cellStyle name="Comma 5 4 2" xfId="12237"/>
    <cellStyle name="Comma 5 4 20" xfId="12238"/>
    <cellStyle name="Comma 5 4 21" xfId="12239"/>
    <cellStyle name="Comma 5 4 22" xfId="12240"/>
    <cellStyle name="Comma 5 4 23" xfId="12241"/>
    <cellStyle name="Comma 5 4 24" xfId="12242"/>
    <cellStyle name="Comma 5 4 25" xfId="12243"/>
    <cellStyle name="Comma 5 4 26" xfId="12244"/>
    <cellStyle name="Comma 5 4 27" xfId="12245"/>
    <cellStyle name="Comma 5 4 28" xfId="12246"/>
    <cellStyle name="Comma 5 4 29" xfId="12247"/>
    <cellStyle name="Comma 5 4 3" xfId="12248"/>
    <cellStyle name="Comma 5 4 30" xfId="12249"/>
    <cellStyle name="Comma 5 4 31" xfId="12250"/>
    <cellStyle name="Comma 5 4 32" xfId="12251"/>
    <cellStyle name="Comma 5 4 33" xfId="12252"/>
    <cellStyle name="Comma 5 4 34" xfId="12253"/>
    <cellStyle name="Comma 5 4 35" xfId="12254"/>
    <cellStyle name="Comma 5 4 36" xfId="12255"/>
    <cellStyle name="Comma 5 4 37" xfId="12256"/>
    <cellStyle name="Comma 5 4 38" xfId="12257"/>
    <cellStyle name="Comma 5 4 39" xfId="12258"/>
    <cellStyle name="Comma 5 4 4" xfId="12259"/>
    <cellStyle name="Comma 5 4 40" xfId="12260"/>
    <cellStyle name="Comma 5 4 41" xfId="12261"/>
    <cellStyle name="Comma 5 4 42" xfId="12262"/>
    <cellStyle name="Comma 5 4 5" xfId="12263"/>
    <cellStyle name="Comma 5 4 6" xfId="12264"/>
    <cellStyle name="Comma 5 4 7" xfId="12265"/>
    <cellStyle name="Comma 5 4 8" xfId="12266"/>
    <cellStyle name="Comma 5 4 9" xfId="12267"/>
    <cellStyle name="Comma 5 40" xfId="12268"/>
    <cellStyle name="Comma 5 41" xfId="12269"/>
    <cellStyle name="Comma 5 42" xfId="12270"/>
    <cellStyle name="Comma 5 43" xfId="12271"/>
    <cellStyle name="Comma 5 44" xfId="12272"/>
    <cellStyle name="Comma 5 45" xfId="12273"/>
    <cellStyle name="Comma 5 46" xfId="12274"/>
    <cellStyle name="Comma 5 47" xfId="12275"/>
    <cellStyle name="Comma 5 48" xfId="12276"/>
    <cellStyle name="Comma 5 49" xfId="12277"/>
    <cellStyle name="Comma 5 5" xfId="12278"/>
    <cellStyle name="Comma 5 5 2" xfId="12279"/>
    <cellStyle name="Comma 5 5 3" xfId="12280"/>
    <cellStyle name="Comma 5 50" xfId="12281"/>
    <cellStyle name="Comma 5 51" xfId="12282"/>
    <cellStyle name="Comma 5 52" xfId="12283"/>
    <cellStyle name="Comma 5 53" xfId="12284"/>
    <cellStyle name="Comma 5 54" xfId="12285"/>
    <cellStyle name="Comma 5 55" xfId="12286"/>
    <cellStyle name="Comma 5 56" xfId="12287"/>
    <cellStyle name="Comma 5 57" xfId="12288"/>
    <cellStyle name="Comma 5 58" xfId="12289"/>
    <cellStyle name="Comma 5 59" xfId="12290"/>
    <cellStyle name="Comma 5 6" xfId="12291"/>
    <cellStyle name="Comma 5 60" xfId="12292"/>
    <cellStyle name="Comma 5 61" xfId="12293"/>
    <cellStyle name="Comma 5 62" xfId="12294"/>
    <cellStyle name="Comma 5 63" xfId="12295"/>
    <cellStyle name="Comma 5 64" xfId="12296"/>
    <cellStyle name="Comma 5 65" xfId="12297"/>
    <cellStyle name="Comma 5 66" xfId="12298"/>
    <cellStyle name="Comma 5 67" xfId="12299"/>
    <cellStyle name="Comma 5 68" xfId="12300"/>
    <cellStyle name="Comma 5 69" xfId="12301"/>
    <cellStyle name="Comma 5 7" xfId="12302"/>
    <cellStyle name="Comma 5 70" xfId="12303"/>
    <cellStyle name="Comma 5 71" xfId="12304"/>
    <cellStyle name="Comma 5 72" xfId="12305"/>
    <cellStyle name="Comma 5 73" xfId="12306"/>
    <cellStyle name="Comma 5 74" xfId="12307"/>
    <cellStyle name="Comma 5 75" xfId="12308"/>
    <cellStyle name="Comma 5 76" xfId="12309"/>
    <cellStyle name="Comma 5 77" xfId="12310"/>
    <cellStyle name="Comma 5 78" xfId="12311"/>
    <cellStyle name="Comma 5 8" xfId="12312"/>
    <cellStyle name="Comma 5 9" xfId="12313"/>
    <cellStyle name="Comma 50" xfId="12314"/>
    <cellStyle name="Comma 51" xfId="12315"/>
    <cellStyle name="Comma 52" xfId="12316"/>
    <cellStyle name="Comma 53" xfId="12317"/>
    <cellStyle name="Comma 54" xfId="12318"/>
    <cellStyle name="Comma 55" xfId="12319"/>
    <cellStyle name="Comma 56" xfId="12320"/>
    <cellStyle name="Comma 57" xfId="12321"/>
    <cellStyle name="Comma 58" xfId="12322"/>
    <cellStyle name="Comma 59" xfId="12323"/>
    <cellStyle name="Comma 6" xfId="12324"/>
    <cellStyle name="Comma 6 10" xfId="12325"/>
    <cellStyle name="Comma 6 11" xfId="12326"/>
    <cellStyle name="Comma 6 12" xfId="12327"/>
    <cellStyle name="Comma 6 13" xfId="12328"/>
    <cellStyle name="Comma 6 14" xfId="12329"/>
    <cellStyle name="Comma 6 15" xfId="12330"/>
    <cellStyle name="Comma 6 16" xfId="12331"/>
    <cellStyle name="Comma 6 17" xfId="12332"/>
    <cellStyle name="Comma 6 18" xfId="12333"/>
    <cellStyle name="Comma 6 19" xfId="12334"/>
    <cellStyle name="Comma 6 2" xfId="12335"/>
    <cellStyle name="Comma 6 2 2" xfId="12336"/>
    <cellStyle name="Comma 6 2 3" xfId="28808"/>
    <cellStyle name="Comma 6 20" xfId="12337"/>
    <cellStyle name="Comma 6 21" xfId="12338"/>
    <cellStyle name="Comma 6 22" xfId="12339"/>
    <cellStyle name="Comma 6 23" xfId="12340"/>
    <cellStyle name="Comma 6 24" xfId="12341"/>
    <cellStyle name="Comma 6 25" xfId="12342"/>
    <cellStyle name="Comma 6 26" xfId="28809"/>
    <cellStyle name="Comma 6 3" xfId="12343"/>
    <cellStyle name="Comma 6 3 2" xfId="12344"/>
    <cellStyle name="Comma 6 4" xfId="12345"/>
    <cellStyle name="Comma 6 5" xfId="12346"/>
    <cellStyle name="Comma 6 6" xfId="12347"/>
    <cellStyle name="Comma 6 7" xfId="12348"/>
    <cellStyle name="Comma 6 8" xfId="12349"/>
    <cellStyle name="Comma 6 9" xfId="12350"/>
    <cellStyle name="Comma 60" xfId="12351"/>
    <cellStyle name="Comma 61" xfId="12352"/>
    <cellStyle name="Comma 62" xfId="12353"/>
    <cellStyle name="Comma 63" xfId="12354"/>
    <cellStyle name="Comma 64" xfId="12355"/>
    <cellStyle name="Comma 65" xfId="12356"/>
    <cellStyle name="Comma 66" xfId="12357"/>
    <cellStyle name="Comma 67" xfId="12358"/>
    <cellStyle name="Comma 68" xfId="12359"/>
    <cellStyle name="Comma 69" xfId="12360"/>
    <cellStyle name="Comma 7" xfId="7"/>
    <cellStyle name="Comma 7 10" xfId="12361"/>
    <cellStyle name="Comma 7 11" xfId="12362"/>
    <cellStyle name="Comma 7 12" xfId="12363"/>
    <cellStyle name="Comma 7 13" xfId="12364"/>
    <cellStyle name="Comma 7 14" xfId="12365"/>
    <cellStyle name="Comma 7 15" xfId="12366"/>
    <cellStyle name="Comma 7 16" xfId="12367"/>
    <cellStyle name="Comma 7 17" xfId="12368"/>
    <cellStyle name="Comma 7 18" xfId="12369"/>
    <cellStyle name="Comma 7 19" xfId="12370"/>
    <cellStyle name="Comma 7 2" xfId="36"/>
    <cellStyle name="Comma 7 2 2" xfId="12371"/>
    <cellStyle name="Comma 7 20" xfId="12372"/>
    <cellStyle name="Comma 7 21" xfId="12373"/>
    <cellStyle name="Comma 7 22" xfId="12374"/>
    <cellStyle name="Comma 7 23" xfId="12375"/>
    <cellStyle name="Comma 7 24" xfId="12376"/>
    <cellStyle name="Comma 7 25" xfId="12377"/>
    <cellStyle name="Comma 7 26" xfId="12378"/>
    <cellStyle name="Comma 7 27" xfId="28810"/>
    <cellStyle name="Comma 7 3" xfId="12379"/>
    <cellStyle name="Comma 7 4" xfId="12380"/>
    <cellStyle name="Comma 7 5" xfId="12381"/>
    <cellStyle name="Comma 7 6" xfId="12382"/>
    <cellStyle name="Comma 7 7" xfId="12383"/>
    <cellStyle name="Comma 7 8" xfId="12384"/>
    <cellStyle name="Comma 7 9" xfId="12385"/>
    <cellStyle name="Comma 70" xfId="12386"/>
    <cellStyle name="Comma 71" xfId="12387"/>
    <cellStyle name="Comma 72" xfId="12388"/>
    <cellStyle name="Comma 73" xfId="12389"/>
    <cellStyle name="Comma 74" xfId="12390"/>
    <cellStyle name="Comma 75" xfId="12391"/>
    <cellStyle name="Comma 76" xfId="12392"/>
    <cellStyle name="Comma 77" xfId="12393"/>
    <cellStyle name="Comma 78" xfId="12394"/>
    <cellStyle name="Comma 79" xfId="12395"/>
    <cellStyle name="Comma 8" xfId="8"/>
    <cellStyle name="Comma 8 10" xfId="12396"/>
    <cellStyle name="Comma 8 10 10" xfId="12397"/>
    <cellStyle name="Comma 8 10 11" xfId="12398"/>
    <cellStyle name="Comma 8 10 2" xfId="12399"/>
    <cellStyle name="Comma 8 10 3" xfId="12400"/>
    <cellStyle name="Comma 8 10 4" xfId="12401"/>
    <cellStyle name="Comma 8 10 5" xfId="12402"/>
    <cellStyle name="Comma 8 10 6" xfId="12403"/>
    <cellStyle name="Comma 8 10 7" xfId="12404"/>
    <cellStyle name="Comma 8 10 8" xfId="12405"/>
    <cellStyle name="Comma 8 10 9" xfId="12406"/>
    <cellStyle name="Comma 8 11" xfId="12407"/>
    <cellStyle name="Comma 8 12" xfId="12408"/>
    <cellStyle name="Comma 8 13" xfId="12409"/>
    <cellStyle name="Comma 8 14" xfId="12410"/>
    <cellStyle name="Comma 8 15" xfId="12411"/>
    <cellStyle name="Comma 8 16" xfId="12412"/>
    <cellStyle name="Comma 8 2" xfId="37"/>
    <cellStyle name="Comma 8 2 10" xfId="12413"/>
    <cellStyle name="Comma 8 2 11" xfId="12414"/>
    <cellStyle name="Comma 8 2 12" xfId="12415"/>
    <cellStyle name="Comma 8 2 2" xfId="12416"/>
    <cellStyle name="Comma 8 2 3" xfId="12417"/>
    <cellStyle name="Comma 8 2 4" xfId="12418"/>
    <cellStyle name="Comma 8 2 5" xfId="12419"/>
    <cellStyle name="Comma 8 2 6" xfId="12420"/>
    <cellStyle name="Comma 8 2 7" xfId="12421"/>
    <cellStyle name="Comma 8 2 8" xfId="12422"/>
    <cellStyle name="Comma 8 2 9" xfId="12423"/>
    <cellStyle name="Comma 8 3" xfId="12424"/>
    <cellStyle name="Comma 8 3 10" xfId="12425"/>
    <cellStyle name="Comma 8 3 11" xfId="12426"/>
    <cellStyle name="Comma 8 3 2" xfId="12427"/>
    <cellStyle name="Comma 8 3 3" xfId="12428"/>
    <cellStyle name="Comma 8 3 4" xfId="12429"/>
    <cellStyle name="Comma 8 3 5" xfId="12430"/>
    <cellStyle name="Comma 8 3 6" xfId="12431"/>
    <cellStyle name="Comma 8 3 7" xfId="12432"/>
    <cellStyle name="Comma 8 3 8" xfId="12433"/>
    <cellStyle name="Comma 8 3 9" xfId="12434"/>
    <cellStyle name="Comma 8 4" xfId="12435"/>
    <cellStyle name="Comma 8 4 10" xfId="12436"/>
    <cellStyle name="Comma 8 4 11" xfId="12437"/>
    <cellStyle name="Comma 8 4 2" xfId="12438"/>
    <cellStyle name="Comma 8 4 3" xfId="12439"/>
    <cellStyle name="Comma 8 4 4" xfId="12440"/>
    <cellStyle name="Comma 8 4 5" xfId="12441"/>
    <cellStyle name="Comma 8 4 6" xfId="12442"/>
    <cellStyle name="Comma 8 4 7" xfId="12443"/>
    <cellStyle name="Comma 8 4 8" xfId="12444"/>
    <cellStyle name="Comma 8 4 9" xfId="12445"/>
    <cellStyle name="Comma 8 5" xfId="12446"/>
    <cellStyle name="Comma 8 5 10" xfId="12447"/>
    <cellStyle name="Comma 8 5 11" xfId="12448"/>
    <cellStyle name="Comma 8 5 2" xfId="12449"/>
    <cellStyle name="Comma 8 5 3" xfId="12450"/>
    <cellStyle name="Comma 8 5 4" xfId="12451"/>
    <cellStyle name="Comma 8 5 5" xfId="12452"/>
    <cellStyle name="Comma 8 5 6" xfId="12453"/>
    <cellStyle name="Comma 8 5 7" xfId="12454"/>
    <cellStyle name="Comma 8 5 8" xfId="12455"/>
    <cellStyle name="Comma 8 5 9" xfId="12456"/>
    <cellStyle name="Comma 8 6" xfId="12457"/>
    <cellStyle name="Comma 8 6 10" xfId="12458"/>
    <cellStyle name="Comma 8 6 11" xfId="12459"/>
    <cellStyle name="Comma 8 6 2" xfId="12460"/>
    <cellStyle name="Comma 8 6 3" xfId="12461"/>
    <cellStyle name="Comma 8 6 4" xfId="12462"/>
    <cellStyle name="Comma 8 6 5" xfId="12463"/>
    <cellStyle name="Comma 8 6 6" xfId="12464"/>
    <cellStyle name="Comma 8 6 7" xfId="12465"/>
    <cellStyle name="Comma 8 6 8" xfId="12466"/>
    <cellStyle name="Comma 8 6 9" xfId="12467"/>
    <cellStyle name="Comma 8 7" xfId="12468"/>
    <cellStyle name="Comma 8 7 10" xfId="12469"/>
    <cellStyle name="Comma 8 7 11" xfId="12470"/>
    <cellStyle name="Comma 8 7 2" xfId="12471"/>
    <cellStyle name="Comma 8 7 3" xfId="12472"/>
    <cellStyle name="Comma 8 7 4" xfId="12473"/>
    <cellStyle name="Comma 8 7 5" xfId="12474"/>
    <cellStyle name="Comma 8 7 6" xfId="12475"/>
    <cellStyle name="Comma 8 7 7" xfId="12476"/>
    <cellStyle name="Comma 8 7 8" xfId="12477"/>
    <cellStyle name="Comma 8 7 9" xfId="12478"/>
    <cellStyle name="Comma 8 8" xfId="12479"/>
    <cellStyle name="Comma 8 8 10" xfId="12480"/>
    <cellStyle name="Comma 8 8 11" xfId="12481"/>
    <cellStyle name="Comma 8 8 2" xfId="12482"/>
    <cellStyle name="Comma 8 8 3" xfId="12483"/>
    <cellStyle name="Comma 8 8 4" xfId="12484"/>
    <cellStyle name="Comma 8 8 5" xfId="12485"/>
    <cellStyle name="Comma 8 8 6" xfId="12486"/>
    <cellStyle name="Comma 8 8 7" xfId="12487"/>
    <cellStyle name="Comma 8 8 8" xfId="12488"/>
    <cellStyle name="Comma 8 8 9" xfId="12489"/>
    <cellStyle name="Comma 8 9" xfId="12490"/>
    <cellStyle name="Comma 80" xfId="12491"/>
    <cellStyle name="Comma 81" xfId="12492"/>
    <cellStyle name="Comma 82" xfId="12493"/>
    <cellStyle name="Comma 83" xfId="12494"/>
    <cellStyle name="Comma 84" xfId="12495"/>
    <cellStyle name="Comma 85" xfId="12496"/>
    <cellStyle name="Comma 86" xfId="12497"/>
    <cellStyle name="Comma 87" xfId="12498"/>
    <cellStyle name="Comma 88" xfId="12499"/>
    <cellStyle name="Comma 89" xfId="12500"/>
    <cellStyle name="Comma 9" xfId="12501"/>
    <cellStyle name="Comma 9 10" xfId="12502"/>
    <cellStyle name="Comma 9 10 10" xfId="12503"/>
    <cellStyle name="Comma 9 10 11" xfId="12504"/>
    <cellStyle name="Comma 9 10 2" xfId="12505"/>
    <cellStyle name="Comma 9 10 3" xfId="12506"/>
    <cellStyle name="Comma 9 10 4" xfId="12507"/>
    <cellStyle name="Comma 9 10 5" xfId="12508"/>
    <cellStyle name="Comma 9 10 6" xfId="12509"/>
    <cellStyle name="Comma 9 10 7" xfId="12510"/>
    <cellStyle name="Comma 9 10 8" xfId="12511"/>
    <cellStyle name="Comma 9 10 9" xfId="12512"/>
    <cellStyle name="Comma 9 11" xfId="12513"/>
    <cellStyle name="Comma 9 12" xfId="12514"/>
    <cellStyle name="Comma 9 13" xfId="12515"/>
    <cellStyle name="Comma 9 14" xfId="12516"/>
    <cellStyle name="Comma 9 15" xfId="12517"/>
    <cellStyle name="Comma 9 2" xfId="12518"/>
    <cellStyle name="Comma 9 2 10" xfId="12519"/>
    <cellStyle name="Comma 9 2 11" xfId="12520"/>
    <cellStyle name="Comma 9 2 2" xfId="12521"/>
    <cellStyle name="Comma 9 2 3" xfId="12522"/>
    <cellStyle name="Comma 9 2 4" xfId="12523"/>
    <cellStyle name="Comma 9 2 5" xfId="12524"/>
    <cellStyle name="Comma 9 2 6" xfId="12525"/>
    <cellStyle name="Comma 9 2 7" xfId="12526"/>
    <cellStyle name="Comma 9 2 8" xfId="12527"/>
    <cellStyle name="Comma 9 2 9" xfId="12528"/>
    <cellStyle name="Comma 9 3" xfId="12529"/>
    <cellStyle name="Comma 9 3 10" xfId="12530"/>
    <cellStyle name="Comma 9 3 11" xfId="12531"/>
    <cellStyle name="Comma 9 3 2" xfId="12532"/>
    <cellStyle name="Comma 9 3 3" xfId="12533"/>
    <cellStyle name="Comma 9 3 4" xfId="12534"/>
    <cellStyle name="Comma 9 3 5" xfId="12535"/>
    <cellStyle name="Comma 9 3 6" xfId="12536"/>
    <cellStyle name="Comma 9 3 7" xfId="12537"/>
    <cellStyle name="Comma 9 3 8" xfId="12538"/>
    <cellStyle name="Comma 9 3 9" xfId="12539"/>
    <cellStyle name="Comma 9 4" xfId="12540"/>
    <cellStyle name="Comma 9 4 10" xfId="12541"/>
    <cellStyle name="Comma 9 4 11" xfId="12542"/>
    <cellStyle name="Comma 9 4 2" xfId="12543"/>
    <cellStyle name="Comma 9 4 3" xfId="12544"/>
    <cellStyle name="Comma 9 4 4" xfId="12545"/>
    <cellStyle name="Comma 9 4 5" xfId="12546"/>
    <cellStyle name="Comma 9 4 6" xfId="12547"/>
    <cellStyle name="Comma 9 4 7" xfId="12548"/>
    <cellStyle name="Comma 9 4 8" xfId="12549"/>
    <cellStyle name="Comma 9 4 9" xfId="12550"/>
    <cellStyle name="Comma 9 5" xfId="12551"/>
    <cellStyle name="Comma 9 5 10" xfId="12552"/>
    <cellStyle name="Comma 9 5 11" xfId="12553"/>
    <cellStyle name="Comma 9 5 2" xfId="12554"/>
    <cellStyle name="Comma 9 5 3" xfId="12555"/>
    <cellStyle name="Comma 9 5 4" xfId="12556"/>
    <cellStyle name="Comma 9 5 5" xfId="12557"/>
    <cellStyle name="Comma 9 5 6" xfId="12558"/>
    <cellStyle name="Comma 9 5 7" xfId="12559"/>
    <cellStyle name="Comma 9 5 8" xfId="12560"/>
    <cellStyle name="Comma 9 5 9" xfId="12561"/>
    <cellStyle name="Comma 9 6" xfId="12562"/>
    <cellStyle name="Comma 9 6 10" xfId="12563"/>
    <cellStyle name="Comma 9 6 11" xfId="12564"/>
    <cellStyle name="Comma 9 6 2" xfId="12565"/>
    <cellStyle name="Comma 9 6 3" xfId="12566"/>
    <cellStyle name="Comma 9 6 4" xfId="12567"/>
    <cellStyle name="Comma 9 6 5" xfId="12568"/>
    <cellStyle name="Comma 9 6 6" xfId="12569"/>
    <cellStyle name="Comma 9 6 7" xfId="12570"/>
    <cellStyle name="Comma 9 6 8" xfId="12571"/>
    <cellStyle name="Comma 9 6 9" xfId="12572"/>
    <cellStyle name="Comma 9 7" xfId="12573"/>
    <cellStyle name="Comma 9 7 10" xfId="12574"/>
    <cellStyle name="Comma 9 7 11" xfId="12575"/>
    <cellStyle name="Comma 9 7 2" xfId="12576"/>
    <cellStyle name="Comma 9 7 3" xfId="12577"/>
    <cellStyle name="Comma 9 7 4" xfId="12578"/>
    <cellStyle name="Comma 9 7 5" xfId="12579"/>
    <cellStyle name="Comma 9 7 6" xfId="12580"/>
    <cellStyle name="Comma 9 7 7" xfId="12581"/>
    <cellStyle name="Comma 9 7 8" xfId="12582"/>
    <cellStyle name="Comma 9 7 9" xfId="12583"/>
    <cellStyle name="Comma 9 8" xfId="12584"/>
    <cellStyle name="Comma 9 8 10" xfId="12585"/>
    <cellStyle name="Comma 9 8 11" xfId="12586"/>
    <cellStyle name="Comma 9 8 2" xfId="12587"/>
    <cellStyle name="Comma 9 8 3" xfId="12588"/>
    <cellStyle name="Comma 9 8 4" xfId="12589"/>
    <cellStyle name="Comma 9 8 5" xfId="12590"/>
    <cellStyle name="Comma 9 8 6" xfId="12591"/>
    <cellStyle name="Comma 9 8 7" xfId="12592"/>
    <cellStyle name="Comma 9 8 8" xfId="12593"/>
    <cellStyle name="Comma 9 8 9" xfId="12594"/>
    <cellStyle name="Comma 9 9" xfId="12595"/>
    <cellStyle name="Comma 90" xfId="12596"/>
    <cellStyle name="Comma 91" xfId="12597"/>
    <cellStyle name="Comma 92" xfId="12598"/>
    <cellStyle name="Comma 93" xfId="12599"/>
    <cellStyle name="Comma 94" xfId="12600"/>
    <cellStyle name="Comma 95" xfId="12601"/>
    <cellStyle name="Comma 96" xfId="12602"/>
    <cellStyle name="Comma 97" xfId="12603"/>
    <cellStyle name="Comma 98" xfId="12604"/>
    <cellStyle name="Comma 99" xfId="12605"/>
    <cellStyle name="Currency 2" xfId="12606"/>
    <cellStyle name="Currency 2 10" xfId="12607"/>
    <cellStyle name="Currency 2 11" xfId="12608"/>
    <cellStyle name="Currency 2 12" xfId="12609"/>
    <cellStyle name="Currency 2 13" xfId="12610"/>
    <cellStyle name="Currency 2 14" xfId="12611"/>
    <cellStyle name="Currency 2 15" xfId="12612"/>
    <cellStyle name="Currency 2 16" xfId="12613"/>
    <cellStyle name="Currency 2 17" xfId="12614"/>
    <cellStyle name="Currency 2 18" xfId="12615"/>
    <cellStyle name="Currency 2 19" xfId="12616"/>
    <cellStyle name="Currency 2 2" xfId="12617"/>
    <cellStyle name="Currency 2 2 2" xfId="12618"/>
    <cellStyle name="Currency 2 2 3" xfId="12619"/>
    <cellStyle name="Currency 2 2 4" xfId="12620"/>
    <cellStyle name="Currency 2 2 5" xfId="12621"/>
    <cellStyle name="Currency 2 20" xfId="12622"/>
    <cellStyle name="Currency 2 21" xfId="12623"/>
    <cellStyle name="Currency 2 22" xfId="12624"/>
    <cellStyle name="Currency 2 23" xfId="12625"/>
    <cellStyle name="Currency 2 3" xfId="12626"/>
    <cellStyle name="Currency 2 4" xfId="12627"/>
    <cellStyle name="Currency 2 5" xfId="12628"/>
    <cellStyle name="Currency 2 6" xfId="12629"/>
    <cellStyle name="Currency 2 7" xfId="12630"/>
    <cellStyle name="Currency 2 8" xfId="12631"/>
    <cellStyle name="Currency 2 9" xfId="12632"/>
    <cellStyle name="Currency 3" xfId="12633"/>
    <cellStyle name="Currency 3 2" xfId="12634"/>
    <cellStyle name="Currency 3 3" xfId="12635"/>
    <cellStyle name="Currency 4" xfId="12636"/>
    <cellStyle name="Currency 4 2" xfId="12637"/>
    <cellStyle name="Currency 5" xfId="12638"/>
    <cellStyle name="Currency 5 2" xfId="12639"/>
    <cellStyle name="Currency 6" xfId="12640"/>
    <cellStyle name="Currency 7" xfId="12641"/>
    <cellStyle name="Emphasis 1" xfId="12642"/>
    <cellStyle name="Emphasis 2" xfId="12643"/>
    <cellStyle name="Emphasis 3" xfId="12644"/>
    <cellStyle name="Excel Built-in Normal" xfId="12645"/>
    <cellStyle name="Excel Built-in Normal 10" xfId="12646"/>
    <cellStyle name="Excel Built-in Normal 11" xfId="12647"/>
    <cellStyle name="Excel Built-in Normal 12" xfId="12648"/>
    <cellStyle name="Excel Built-in Normal 13" xfId="12649"/>
    <cellStyle name="Excel Built-in Normal 14" xfId="12650"/>
    <cellStyle name="Excel Built-in Normal 15" xfId="12651"/>
    <cellStyle name="Excel Built-in Normal 16" xfId="12652"/>
    <cellStyle name="Excel Built-in Normal 17" xfId="12653"/>
    <cellStyle name="Excel Built-in Normal 18" xfId="12654"/>
    <cellStyle name="Excel Built-in Normal 19" xfId="12655"/>
    <cellStyle name="Excel Built-in Normal 2" xfId="12656"/>
    <cellStyle name="Excel Built-in Normal 2 2" xfId="12657"/>
    <cellStyle name="Excel Built-in Normal 2 2 2" xfId="12658"/>
    <cellStyle name="Excel Built-in Normal 2 2 3" xfId="12659"/>
    <cellStyle name="Excel Built-in Normal 2 2 4" xfId="12660"/>
    <cellStyle name="Excel Built-in Normal 2 2 5" xfId="12661"/>
    <cellStyle name="Excel Built-in Normal 2 3" xfId="12662"/>
    <cellStyle name="Excel Built-in Normal 2 4" xfId="12663"/>
    <cellStyle name="Excel Built-in Normal 2 5" xfId="12664"/>
    <cellStyle name="Excel Built-in Normal 20" xfId="12665"/>
    <cellStyle name="Excel Built-in Normal 21" xfId="12666"/>
    <cellStyle name="Excel Built-in Normal 22" xfId="12667"/>
    <cellStyle name="Excel Built-in Normal 23" xfId="12668"/>
    <cellStyle name="Excel Built-in Normal 24" xfId="12669"/>
    <cellStyle name="Excel Built-in Normal 25" xfId="12670"/>
    <cellStyle name="Excel Built-in Normal 26" xfId="12671"/>
    <cellStyle name="Excel Built-in Normal 27" xfId="12672"/>
    <cellStyle name="Excel Built-in Normal 28" xfId="12673"/>
    <cellStyle name="Excel Built-in Normal 29" xfId="12674"/>
    <cellStyle name="Excel Built-in Normal 3" xfId="12675"/>
    <cellStyle name="Excel Built-in Normal 30" xfId="12676"/>
    <cellStyle name="Excel Built-in Normal 31" xfId="12677"/>
    <cellStyle name="Excel Built-in Normal 32" xfId="12678"/>
    <cellStyle name="Excel Built-in Normal 33" xfId="12679"/>
    <cellStyle name="Excel Built-in Normal 34" xfId="12680"/>
    <cellStyle name="Excel Built-in Normal 35" xfId="12681"/>
    <cellStyle name="Excel Built-in Normal 36" xfId="12682"/>
    <cellStyle name="Excel Built-in Normal 37" xfId="12683"/>
    <cellStyle name="Excel Built-in Normal 38" xfId="12684"/>
    <cellStyle name="Excel Built-in Normal 39" xfId="12685"/>
    <cellStyle name="Excel Built-in Normal 4" xfId="12686"/>
    <cellStyle name="Excel Built-in Normal 40" xfId="12687"/>
    <cellStyle name="Excel Built-in Normal 41" xfId="12688"/>
    <cellStyle name="Excel Built-in Normal 42" xfId="12689"/>
    <cellStyle name="Excel Built-in Normal 43" xfId="12690"/>
    <cellStyle name="Excel Built-in Normal 44" xfId="12691"/>
    <cellStyle name="Excel Built-in Normal 45" xfId="12692"/>
    <cellStyle name="Excel Built-in Normal 46" xfId="12693"/>
    <cellStyle name="Excel Built-in Normal 47" xfId="12694"/>
    <cellStyle name="Excel Built-in Normal 48" xfId="12695"/>
    <cellStyle name="Excel Built-in Normal 49" xfId="12696"/>
    <cellStyle name="Excel Built-in Normal 5" xfId="12697"/>
    <cellStyle name="Excel Built-in Normal 50" xfId="12698"/>
    <cellStyle name="Excel Built-in Normal 51" xfId="12699"/>
    <cellStyle name="Excel Built-in Normal 52" xfId="12700"/>
    <cellStyle name="Excel Built-in Normal 53" xfId="12701"/>
    <cellStyle name="Excel Built-in Normal 54" xfId="12702"/>
    <cellStyle name="Excel Built-in Normal 55" xfId="12703"/>
    <cellStyle name="Excel Built-in Normal 56" xfId="12704"/>
    <cellStyle name="Excel Built-in Normal 57" xfId="12705"/>
    <cellStyle name="Excel Built-in Normal 58" xfId="12706"/>
    <cellStyle name="Excel Built-in Normal 59" xfId="12707"/>
    <cellStyle name="Excel Built-in Normal 6" xfId="12708"/>
    <cellStyle name="Excel Built-in Normal 60" xfId="12709"/>
    <cellStyle name="Excel Built-in Normal 61" xfId="12710"/>
    <cellStyle name="Excel Built-in Normal 62" xfId="12711"/>
    <cellStyle name="Excel Built-in Normal 63" xfId="12712"/>
    <cellStyle name="Excel Built-in Normal 64" xfId="12713"/>
    <cellStyle name="Excel Built-in Normal 65" xfId="12714"/>
    <cellStyle name="Excel Built-in Normal 66" xfId="12715"/>
    <cellStyle name="Excel Built-in Normal 67" xfId="12716"/>
    <cellStyle name="Excel Built-in Normal 68" xfId="12717"/>
    <cellStyle name="Excel Built-in Normal 69" xfId="12718"/>
    <cellStyle name="Excel Built-in Normal 7" xfId="12719"/>
    <cellStyle name="Excel Built-in Normal 70" xfId="12720"/>
    <cellStyle name="Excel Built-in Normal 71" xfId="12721"/>
    <cellStyle name="Excel Built-in Normal 72" xfId="12722"/>
    <cellStyle name="Excel Built-in Normal 73" xfId="12723"/>
    <cellStyle name="Excel Built-in Normal 74" xfId="12724"/>
    <cellStyle name="Excel Built-in Normal 75" xfId="12725"/>
    <cellStyle name="Excel Built-in Normal 76" xfId="12726"/>
    <cellStyle name="Excel Built-in Normal 77" xfId="12727"/>
    <cellStyle name="Excel Built-in Normal 78" xfId="12728"/>
    <cellStyle name="Excel Built-in Normal 79" xfId="12729"/>
    <cellStyle name="Excel Built-in Normal 8" xfId="12730"/>
    <cellStyle name="Excel Built-in Normal 80" xfId="12731"/>
    <cellStyle name="Excel Built-in Normal 81" xfId="12732"/>
    <cellStyle name="Excel Built-in Normal 82" xfId="12733"/>
    <cellStyle name="Excel Built-in Normal 83" xfId="12734"/>
    <cellStyle name="Excel Built-in Normal 84" xfId="12735"/>
    <cellStyle name="Excel Built-in Normal 85" xfId="12736"/>
    <cellStyle name="Excel Built-in Normal 86" xfId="12737"/>
    <cellStyle name="Excel Built-in Normal 87" xfId="12738"/>
    <cellStyle name="Excel Built-in Normal 88" xfId="12739"/>
    <cellStyle name="Excel Built-in Normal 89" xfId="12740"/>
    <cellStyle name="Excel Built-in Normal 9" xfId="12741"/>
    <cellStyle name="Excel Built-in Normal 90" xfId="12742"/>
    <cellStyle name="Excel Built-in Normal 91" xfId="12743"/>
    <cellStyle name="Excel Built-in Normal 92" xfId="12744"/>
    <cellStyle name="Excel Built-in Normal 93" xfId="12745"/>
    <cellStyle name="Excel Built-in Normal 94" xfId="12746"/>
    <cellStyle name="Explanatory Text 10" xfId="12747"/>
    <cellStyle name="Explanatory Text 11" xfId="12748"/>
    <cellStyle name="Explanatory Text 12" xfId="12749"/>
    <cellStyle name="Explanatory Text 13" xfId="12750"/>
    <cellStyle name="Explanatory Text 14" xfId="12751"/>
    <cellStyle name="Explanatory Text 15" xfId="12752"/>
    <cellStyle name="Explanatory Text 16" xfId="12753"/>
    <cellStyle name="Explanatory Text 17" xfId="12754"/>
    <cellStyle name="Explanatory Text 17 2" xfId="12755"/>
    <cellStyle name="Explanatory Text 17 3" xfId="12756"/>
    <cellStyle name="Explanatory Text 17 4" xfId="12757"/>
    <cellStyle name="Explanatory Text 17 5" xfId="12758"/>
    <cellStyle name="Explanatory Text 18" xfId="12759"/>
    <cellStyle name="Explanatory Text 18 2" xfId="12760"/>
    <cellStyle name="Explanatory Text 18 3" xfId="12761"/>
    <cellStyle name="Explanatory Text 18 4" xfId="12762"/>
    <cellStyle name="Explanatory Text 18 5" xfId="12763"/>
    <cellStyle name="Explanatory Text 19" xfId="12764"/>
    <cellStyle name="Explanatory Text 19 2" xfId="12765"/>
    <cellStyle name="Explanatory Text 19 3" xfId="12766"/>
    <cellStyle name="Explanatory Text 19 4" xfId="12767"/>
    <cellStyle name="Explanatory Text 19 5" xfId="12768"/>
    <cellStyle name="Explanatory Text 2" xfId="12769"/>
    <cellStyle name="Explanatory Text 2 2" xfId="28811"/>
    <cellStyle name="Explanatory Text 20" xfId="12770"/>
    <cellStyle name="Explanatory Text 20 2" xfId="12771"/>
    <cellStyle name="Explanatory Text 20 3" xfId="12772"/>
    <cellStyle name="Explanatory Text 20 4" xfId="12773"/>
    <cellStyle name="Explanatory Text 20 5" xfId="12774"/>
    <cellStyle name="Explanatory Text 21" xfId="12775"/>
    <cellStyle name="Explanatory Text 21 2" xfId="12776"/>
    <cellStyle name="Explanatory Text 21 3" xfId="12777"/>
    <cellStyle name="Explanatory Text 21 4" xfId="12778"/>
    <cellStyle name="Explanatory Text 21 5" xfId="12779"/>
    <cellStyle name="Explanatory Text 22" xfId="12780"/>
    <cellStyle name="Explanatory Text 22 2" xfId="12781"/>
    <cellStyle name="Explanatory Text 22 3" xfId="12782"/>
    <cellStyle name="Explanatory Text 22 4" xfId="12783"/>
    <cellStyle name="Explanatory Text 22 5" xfId="12784"/>
    <cellStyle name="Explanatory Text 23" xfId="12785"/>
    <cellStyle name="Explanatory Text 24" xfId="12786"/>
    <cellStyle name="Explanatory Text 25" xfId="12787"/>
    <cellStyle name="Explanatory Text 26" xfId="12788"/>
    <cellStyle name="Explanatory Text 3" xfId="12789"/>
    <cellStyle name="Explanatory Text 4" xfId="12790"/>
    <cellStyle name="Explanatory Text 5" xfId="12791"/>
    <cellStyle name="Explanatory Text 6" xfId="12792"/>
    <cellStyle name="Explanatory Text 7" xfId="12793"/>
    <cellStyle name="Explanatory Text 8" xfId="12794"/>
    <cellStyle name="Explanatory Text 9" xfId="12795"/>
    <cellStyle name="Formula" xfId="12796"/>
    <cellStyle name="Good 10" xfId="12797"/>
    <cellStyle name="Good 11" xfId="12798"/>
    <cellStyle name="Good 12" xfId="12799"/>
    <cellStyle name="Good 13" xfId="12800"/>
    <cellStyle name="Good 14" xfId="12801"/>
    <cellStyle name="Good 15" xfId="12802"/>
    <cellStyle name="Good 16" xfId="12803"/>
    <cellStyle name="Good 17" xfId="12804"/>
    <cellStyle name="Good 17 2" xfId="12805"/>
    <cellStyle name="Good 17 3" xfId="12806"/>
    <cellStyle name="Good 17 4" xfId="12807"/>
    <cellStyle name="Good 17 5" xfId="12808"/>
    <cellStyle name="Good 18" xfId="12809"/>
    <cellStyle name="Good 18 2" xfId="12810"/>
    <cellStyle name="Good 18 3" xfId="12811"/>
    <cellStyle name="Good 18 4" xfId="12812"/>
    <cellStyle name="Good 18 5" xfId="12813"/>
    <cellStyle name="Good 19" xfId="12814"/>
    <cellStyle name="Good 19 2" xfId="12815"/>
    <cellStyle name="Good 19 3" xfId="12816"/>
    <cellStyle name="Good 19 4" xfId="12817"/>
    <cellStyle name="Good 19 5" xfId="12818"/>
    <cellStyle name="Good 2" xfId="12819"/>
    <cellStyle name="Good 2 2" xfId="12820"/>
    <cellStyle name="Good 2 3" xfId="28812"/>
    <cellStyle name="Good 20" xfId="12821"/>
    <cellStyle name="Good 20 2" xfId="12822"/>
    <cellStyle name="Good 20 3" xfId="12823"/>
    <cellStyle name="Good 20 4" xfId="12824"/>
    <cellStyle name="Good 20 5" xfId="12825"/>
    <cellStyle name="Good 21" xfId="12826"/>
    <cellStyle name="Good 21 2" xfId="12827"/>
    <cellStyle name="Good 21 3" xfId="12828"/>
    <cellStyle name="Good 21 4" xfId="12829"/>
    <cellStyle name="Good 21 5" xfId="12830"/>
    <cellStyle name="Good 22" xfId="12831"/>
    <cellStyle name="Good 22 2" xfId="12832"/>
    <cellStyle name="Good 22 3" xfId="12833"/>
    <cellStyle name="Good 22 4" xfId="12834"/>
    <cellStyle name="Good 22 5" xfId="12835"/>
    <cellStyle name="Good 23" xfId="12836"/>
    <cellStyle name="Good 24" xfId="12837"/>
    <cellStyle name="Good 25" xfId="12838"/>
    <cellStyle name="Good 26" xfId="12839"/>
    <cellStyle name="Good 3" xfId="12840"/>
    <cellStyle name="Good 4" xfId="12841"/>
    <cellStyle name="Good 5" xfId="12842"/>
    <cellStyle name="Good 6" xfId="12843"/>
    <cellStyle name="Good 7" xfId="12844"/>
    <cellStyle name="Good 8" xfId="12845"/>
    <cellStyle name="Good 9" xfId="12846"/>
    <cellStyle name="Heading 1 10" xfId="12847"/>
    <cellStyle name="Heading 1 11" xfId="12848"/>
    <cellStyle name="Heading 1 12" xfId="12849"/>
    <cellStyle name="Heading 1 13" xfId="12850"/>
    <cellStyle name="Heading 1 14" xfId="12851"/>
    <cellStyle name="Heading 1 15" xfId="12852"/>
    <cellStyle name="Heading 1 16" xfId="12853"/>
    <cellStyle name="Heading 1 17" xfId="12854"/>
    <cellStyle name="Heading 1 17 2" xfId="12855"/>
    <cellStyle name="Heading 1 17 3" xfId="12856"/>
    <cellStyle name="Heading 1 17 4" xfId="12857"/>
    <cellStyle name="Heading 1 17 5" xfId="12858"/>
    <cellStyle name="Heading 1 18" xfId="12859"/>
    <cellStyle name="Heading 1 18 2" xfId="12860"/>
    <cellStyle name="Heading 1 18 3" xfId="12861"/>
    <cellStyle name="Heading 1 18 4" xfId="12862"/>
    <cellStyle name="Heading 1 18 5" xfId="12863"/>
    <cellStyle name="Heading 1 19" xfId="12864"/>
    <cellStyle name="Heading 1 19 2" xfId="12865"/>
    <cellStyle name="Heading 1 19 3" xfId="12866"/>
    <cellStyle name="Heading 1 19 4" xfId="12867"/>
    <cellStyle name="Heading 1 19 5" xfId="12868"/>
    <cellStyle name="Heading 1 2" xfId="12869"/>
    <cellStyle name="Heading 1 2 2" xfId="12870"/>
    <cellStyle name="Heading 1 2 3" xfId="28813"/>
    <cellStyle name="Heading 1 20" xfId="12871"/>
    <cellStyle name="Heading 1 20 2" xfId="12872"/>
    <cellStyle name="Heading 1 20 3" xfId="12873"/>
    <cellStyle name="Heading 1 20 4" xfId="12874"/>
    <cellStyle name="Heading 1 20 5" xfId="12875"/>
    <cellStyle name="Heading 1 21" xfId="12876"/>
    <cellStyle name="Heading 1 21 2" xfId="12877"/>
    <cellStyle name="Heading 1 21 3" xfId="12878"/>
    <cellStyle name="Heading 1 21 4" xfId="12879"/>
    <cellStyle name="Heading 1 21 5" xfId="12880"/>
    <cellStyle name="Heading 1 22" xfId="12881"/>
    <cellStyle name="Heading 1 22 2" xfId="12882"/>
    <cellStyle name="Heading 1 22 3" xfId="12883"/>
    <cellStyle name="Heading 1 22 4" xfId="12884"/>
    <cellStyle name="Heading 1 22 5" xfId="12885"/>
    <cellStyle name="Heading 1 23" xfId="12886"/>
    <cellStyle name="Heading 1 24" xfId="12887"/>
    <cellStyle name="Heading 1 25" xfId="12888"/>
    <cellStyle name="Heading 1 26" xfId="12889"/>
    <cellStyle name="Heading 1 3" xfId="12890"/>
    <cellStyle name="Heading 1 4" xfId="12891"/>
    <cellStyle name="Heading 1 5" xfId="12892"/>
    <cellStyle name="Heading 1 6" xfId="12893"/>
    <cellStyle name="Heading 1 7" xfId="12894"/>
    <cellStyle name="Heading 1 8" xfId="12895"/>
    <cellStyle name="Heading 1 9" xfId="12896"/>
    <cellStyle name="Heading 2 10" xfId="12897"/>
    <cellStyle name="Heading 2 11" xfId="12898"/>
    <cellStyle name="Heading 2 12" xfId="12899"/>
    <cellStyle name="Heading 2 13" xfId="12900"/>
    <cellStyle name="Heading 2 14" xfId="12901"/>
    <cellStyle name="Heading 2 15" xfId="12902"/>
    <cellStyle name="Heading 2 16" xfId="12903"/>
    <cellStyle name="Heading 2 17" xfId="12904"/>
    <cellStyle name="Heading 2 17 2" xfId="12905"/>
    <cellStyle name="Heading 2 17 3" xfId="12906"/>
    <cellStyle name="Heading 2 17 4" xfId="12907"/>
    <cellStyle name="Heading 2 17 5" xfId="12908"/>
    <cellStyle name="Heading 2 18" xfId="12909"/>
    <cellStyle name="Heading 2 18 2" xfId="12910"/>
    <cellStyle name="Heading 2 18 3" xfId="12911"/>
    <cellStyle name="Heading 2 18 4" xfId="12912"/>
    <cellStyle name="Heading 2 18 5" xfId="12913"/>
    <cellStyle name="Heading 2 19" xfId="12914"/>
    <cellStyle name="Heading 2 19 2" xfId="12915"/>
    <cellStyle name="Heading 2 19 3" xfId="12916"/>
    <cellStyle name="Heading 2 19 4" xfId="12917"/>
    <cellStyle name="Heading 2 19 5" xfId="12918"/>
    <cellStyle name="Heading 2 2" xfId="12919"/>
    <cellStyle name="Heading 2 2 2" xfId="12920"/>
    <cellStyle name="Heading 2 2 3" xfId="28814"/>
    <cellStyle name="Heading 2 20" xfId="12921"/>
    <cellStyle name="Heading 2 20 2" xfId="12922"/>
    <cellStyle name="Heading 2 20 3" xfId="12923"/>
    <cellStyle name="Heading 2 20 4" xfId="12924"/>
    <cellStyle name="Heading 2 20 5" xfId="12925"/>
    <cellStyle name="Heading 2 21" xfId="12926"/>
    <cellStyle name="Heading 2 21 2" xfId="12927"/>
    <cellStyle name="Heading 2 21 3" xfId="12928"/>
    <cellStyle name="Heading 2 21 4" xfId="12929"/>
    <cellStyle name="Heading 2 21 5" xfId="12930"/>
    <cellStyle name="Heading 2 22" xfId="12931"/>
    <cellStyle name="Heading 2 22 2" xfId="12932"/>
    <cellStyle name="Heading 2 22 3" xfId="12933"/>
    <cellStyle name="Heading 2 22 4" xfId="12934"/>
    <cellStyle name="Heading 2 22 5" xfId="12935"/>
    <cellStyle name="Heading 2 23" xfId="12936"/>
    <cellStyle name="Heading 2 24" xfId="12937"/>
    <cellStyle name="Heading 2 25" xfId="12938"/>
    <cellStyle name="Heading 2 26" xfId="12939"/>
    <cellStyle name="Heading 2 3" xfId="12940"/>
    <cellStyle name="Heading 2 4" xfId="12941"/>
    <cellStyle name="Heading 2 5" xfId="12942"/>
    <cellStyle name="Heading 2 6" xfId="12943"/>
    <cellStyle name="Heading 2 7" xfId="12944"/>
    <cellStyle name="Heading 2 8" xfId="12945"/>
    <cellStyle name="Heading 2 9" xfId="12946"/>
    <cellStyle name="Heading 3 10" xfId="12947"/>
    <cellStyle name="Heading 3 11" xfId="12948"/>
    <cellStyle name="Heading 3 12" xfId="12949"/>
    <cellStyle name="Heading 3 13" xfId="12950"/>
    <cellStyle name="Heading 3 14" xfId="12951"/>
    <cellStyle name="Heading 3 15" xfId="12952"/>
    <cellStyle name="Heading 3 16" xfId="12953"/>
    <cellStyle name="Heading 3 17" xfId="12954"/>
    <cellStyle name="Heading 3 17 2" xfId="12955"/>
    <cellStyle name="Heading 3 17 3" xfId="12956"/>
    <cellStyle name="Heading 3 17 4" xfId="12957"/>
    <cellStyle name="Heading 3 17 5" xfId="12958"/>
    <cellStyle name="Heading 3 18" xfId="12959"/>
    <cellStyle name="Heading 3 18 2" xfId="12960"/>
    <cellStyle name="Heading 3 18 3" xfId="12961"/>
    <cellStyle name="Heading 3 18 4" xfId="12962"/>
    <cellStyle name="Heading 3 18 5" xfId="12963"/>
    <cellStyle name="Heading 3 19" xfId="12964"/>
    <cellStyle name="Heading 3 19 2" xfId="12965"/>
    <cellStyle name="Heading 3 19 3" xfId="12966"/>
    <cellStyle name="Heading 3 19 4" xfId="12967"/>
    <cellStyle name="Heading 3 19 5" xfId="12968"/>
    <cellStyle name="Heading 3 2" xfId="12969"/>
    <cellStyle name="Heading 3 2 2" xfId="12970"/>
    <cellStyle name="Heading 3 2 3" xfId="28815"/>
    <cellStyle name="Heading 3 20" xfId="12971"/>
    <cellStyle name="Heading 3 20 2" xfId="12972"/>
    <cellStyle name="Heading 3 20 3" xfId="12973"/>
    <cellStyle name="Heading 3 20 4" xfId="12974"/>
    <cellStyle name="Heading 3 20 5" xfId="12975"/>
    <cellStyle name="Heading 3 21" xfId="12976"/>
    <cellStyle name="Heading 3 21 2" xfId="12977"/>
    <cellStyle name="Heading 3 21 3" xfId="12978"/>
    <cellStyle name="Heading 3 21 4" xfId="12979"/>
    <cellStyle name="Heading 3 21 5" xfId="12980"/>
    <cellStyle name="Heading 3 22" xfId="12981"/>
    <cellStyle name="Heading 3 22 2" xfId="12982"/>
    <cellStyle name="Heading 3 22 3" xfId="12983"/>
    <cellStyle name="Heading 3 22 4" xfId="12984"/>
    <cellStyle name="Heading 3 22 5" xfId="12985"/>
    <cellStyle name="Heading 3 23" xfId="12986"/>
    <cellStyle name="Heading 3 24" xfId="12987"/>
    <cellStyle name="Heading 3 25" xfId="12988"/>
    <cellStyle name="Heading 3 26" xfId="12989"/>
    <cellStyle name="Heading 3 3" xfId="12990"/>
    <cellStyle name="Heading 3 4" xfId="12991"/>
    <cellStyle name="Heading 3 5" xfId="12992"/>
    <cellStyle name="Heading 3 6" xfId="12993"/>
    <cellStyle name="Heading 3 7" xfId="12994"/>
    <cellStyle name="Heading 3 8" xfId="12995"/>
    <cellStyle name="Heading 3 9" xfId="12996"/>
    <cellStyle name="Heading 4 10" xfId="12997"/>
    <cellStyle name="Heading 4 11" xfId="12998"/>
    <cellStyle name="Heading 4 12" xfId="12999"/>
    <cellStyle name="Heading 4 13" xfId="13000"/>
    <cellStyle name="Heading 4 14" xfId="13001"/>
    <cellStyle name="Heading 4 15" xfId="13002"/>
    <cellStyle name="Heading 4 16" xfId="13003"/>
    <cellStyle name="Heading 4 17" xfId="13004"/>
    <cellStyle name="Heading 4 17 2" xfId="13005"/>
    <cellStyle name="Heading 4 17 3" xfId="13006"/>
    <cellStyle name="Heading 4 17 4" xfId="13007"/>
    <cellStyle name="Heading 4 17 5" xfId="13008"/>
    <cellStyle name="Heading 4 18" xfId="13009"/>
    <cellStyle name="Heading 4 18 2" xfId="13010"/>
    <cellStyle name="Heading 4 18 3" xfId="13011"/>
    <cellStyle name="Heading 4 18 4" xfId="13012"/>
    <cellStyle name="Heading 4 18 5" xfId="13013"/>
    <cellStyle name="Heading 4 19" xfId="13014"/>
    <cellStyle name="Heading 4 19 2" xfId="13015"/>
    <cellStyle name="Heading 4 19 3" xfId="13016"/>
    <cellStyle name="Heading 4 19 4" xfId="13017"/>
    <cellStyle name="Heading 4 19 5" xfId="13018"/>
    <cellStyle name="Heading 4 2" xfId="13019"/>
    <cellStyle name="Heading 4 2 2" xfId="13020"/>
    <cellStyle name="Heading 4 2 3" xfId="28816"/>
    <cellStyle name="Heading 4 20" xfId="13021"/>
    <cellStyle name="Heading 4 20 2" xfId="13022"/>
    <cellStyle name="Heading 4 20 3" xfId="13023"/>
    <cellStyle name="Heading 4 20 4" xfId="13024"/>
    <cellStyle name="Heading 4 20 5" xfId="13025"/>
    <cellStyle name="Heading 4 21" xfId="13026"/>
    <cellStyle name="Heading 4 21 2" xfId="13027"/>
    <cellStyle name="Heading 4 21 3" xfId="13028"/>
    <cellStyle name="Heading 4 21 4" xfId="13029"/>
    <cellStyle name="Heading 4 21 5" xfId="13030"/>
    <cellStyle name="Heading 4 22" xfId="13031"/>
    <cellStyle name="Heading 4 22 2" xfId="13032"/>
    <cellStyle name="Heading 4 22 3" xfId="13033"/>
    <cellStyle name="Heading 4 22 4" xfId="13034"/>
    <cellStyle name="Heading 4 22 5" xfId="13035"/>
    <cellStyle name="Heading 4 23" xfId="13036"/>
    <cellStyle name="Heading 4 24" xfId="13037"/>
    <cellStyle name="Heading 4 25" xfId="13038"/>
    <cellStyle name="Heading 4 26" xfId="13039"/>
    <cellStyle name="Heading 4 3" xfId="13040"/>
    <cellStyle name="Heading 4 4" xfId="13041"/>
    <cellStyle name="Heading 4 5" xfId="13042"/>
    <cellStyle name="Heading 4 6" xfId="13043"/>
    <cellStyle name="Heading 4 7" xfId="13044"/>
    <cellStyle name="Heading 4 8" xfId="13045"/>
    <cellStyle name="Heading 4 9" xfId="13046"/>
    <cellStyle name="Hyperlink" xfId="9" builtinId="8"/>
    <cellStyle name="Hyperlink 2" xfId="45"/>
    <cellStyle name="Hyperlink 2 10" xfId="13047"/>
    <cellStyle name="Hyperlink 2 11" xfId="13048"/>
    <cellStyle name="Hyperlink 2 11 2" xfId="28817"/>
    <cellStyle name="Hyperlink 2 2" xfId="13049"/>
    <cellStyle name="Hyperlink 2 2 2" xfId="13050"/>
    <cellStyle name="Hyperlink 2 2 2 2" xfId="13051"/>
    <cellStyle name="Hyperlink 2 2 2 3" xfId="13052"/>
    <cellStyle name="Hyperlink 2 2 2 4" xfId="13053"/>
    <cellStyle name="Hyperlink 2 2 2 5" xfId="13054"/>
    <cellStyle name="Hyperlink 2 2 3" xfId="13055"/>
    <cellStyle name="Hyperlink 2 2 4" xfId="13056"/>
    <cellStyle name="Hyperlink 2 2 5" xfId="13057"/>
    <cellStyle name="Hyperlink 2 3" xfId="13058"/>
    <cellStyle name="Hyperlink 2 4" xfId="13059"/>
    <cellStyle name="Hyperlink 2 5" xfId="13060"/>
    <cellStyle name="Hyperlink 2 6" xfId="13061"/>
    <cellStyle name="Hyperlink 2 7" xfId="13062"/>
    <cellStyle name="Hyperlink 2 8" xfId="13063"/>
    <cellStyle name="Hyperlink 2 9" xfId="13064"/>
    <cellStyle name="Hyperlink 3" xfId="13065"/>
    <cellStyle name="Hyperlink 3 2" xfId="37584"/>
    <cellStyle name="Hyperlink 4" xfId="13066"/>
    <cellStyle name="Hyperlink 4 2" xfId="13067"/>
    <cellStyle name="Input 10" xfId="13068"/>
    <cellStyle name="Input 10 10" xfId="13069"/>
    <cellStyle name="Input 10 10 2" xfId="13070"/>
    <cellStyle name="Input 10 10 3" xfId="28818"/>
    <cellStyle name="Input 10 10 4" xfId="28819"/>
    <cellStyle name="Input 10 11" xfId="13071"/>
    <cellStyle name="Input 10 11 2" xfId="13072"/>
    <cellStyle name="Input 10 11 3" xfId="28820"/>
    <cellStyle name="Input 10 11 4" xfId="28821"/>
    <cellStyle name="Input 10 12" xfId="13073"/>
    <cellStyle name="Input 10 13" xfId="28822"/>
    <cellStyle name="Input 10 14" xfId="28823"/>
    <cellStyle name="Input 10 2" xfId="13074"/>
    <cellStyle name="Input 10 2 10" xfId="28824"/>
    <cellStyle name="Input 10 2 2" xfId="13075"/>
    <cellStyle name="Input 10 2 2 2" xfId="13076"/>
    <cellStyle name="Input 10 2 2 3" xfId="28825"/>
    <cellStyle name="Input 10 2 2 4" xfId="28826"/>
    <cellStyle name="Input 10 2 3" xfId="13077"/>
    <cellStyle name="Input 10 2 3 2" xfId="13078"/>
    <cellStyle name="Input 10 2 3 3" xfId="28827"/>
    <cellStyle name="Input 10 2 3 4" xfId="28828"/>
    <cellStyle name="Input 10 2 4" xfId="13079"/>
    <cellStyle name="Input 10 2 4 2" xfId="13080"/>
    <cellStyle name="Input 10 2 4 3" xfId="28829"/>
    <cellStyle name="Input 10 2 4 4" xfId="28830"/>
    <cellStyle name="Input 10 2 5" xfId="13081"/>
    <cellStyle name="Input 10 2 5 2" xfId="13082"/>
    <cellStyle name="Input 10 2 5 3" xfId="28831"/>
    <cellStyle name="Input 10 2 5 4" xfId="28832"/>
    <cellStyle name="Input 10 2 6" xfId="13083"/>
    <cellStyle name="Input 10 2 6 2" xfId="13084"/>
    <cellStyle name="Input 10 2 6 3" xfId="28833"/>
    <cellStyle name="Input 10 2 6 4" xfId="28834"/>
    <cellStyle name="Input 10 2 7" xfId="13085"/>
    <cellStyle name="Input 10 2 7 2" xfId="13086"/>
    <cellStyle name="Input 10 2 7 3" xfId="28835"/>
    <cellStyle name="Input 10 2 7 4" xfId="28836"/>
    <cellStyle name="Input 10 2 8" xfId="13087"/>
    <cellStyle name="Input 10 2 9" xfId="28837"/>
    <cellStyle name="Input 10 3" xfId="13088"/>
    <cellStyle name="Input 10 3 10" xfId="28838"/>
    <cellStyle name="Input 10 3 2" xfId="13089"/>
    <cellStyle name="Input 10 3 2 2" xfId="13090"/>
    <cellStyle name="Input 10 3 2 3" xfId="28839"/>
    <cellStyle name="Input 10 3 2 4" xfId="28840"/>
    <cellStyle name="Input 10 3 3" xfId="13091"/>
    <cellStyle name="Input 10 3 3 2" xfId="13092"/>
    <cellStyle name="Input 10 3 3 3" xfId="28841"/>
    <cellStyle name="Input 10 3 3 4" xfId="28842"/>
    <cellStyle name="Input 10 3 4" xfId="13093"/>
    <cellStyle name="Input 10 3 4 2" xfId="13094"/>
    <cellStyle name="Input 10 3 4 3" xfId="28843"/>
    <cellStyle name="Input 10 3 4 4" xfId="28844"/>
    <cellStyle name="Input 10 3 5" xfId="13095"/>
    <cellStyle name="Input 10 3 5 2" xfId="13096"/>
    <cellStyle name="Input 10 3 5 3" xfId="28845"/>
    <cellStyle name="Input 10 3 5 4" xfId="28846"/>
    <cellStyle name="Input 10 3 6" xfId="13097"/>
    <cellStyle name="Input 10 3 6 2" xfId="13098"/>
    <cellStyle name="Input 10 3 6 3" xfId="28847"/>
    <cellStyle name="Input 10 3 6 4" xfId="28848"/>
    <cellStyle name="Input 10 3 7" xfId="13099"/>
    <cellStyle name="Input 10 3 7 2" xfId="13100"/>
    <cellStyle name="Input 10 3 7 3" xfId="28849"/>
    <cellStyle name="Input 10 3 7 4" xfId="28850"/>
    <cellStyle name="Input 10 3 8" xfId="13101"/>
    <cellStyle name="Input 10 3 9" xfId="28851"/>
    <cellStyle name="Input 10 4" xfId="13102"/>
    <cellStyle name="Input 10 4 10" xfId="28852"/>
    <cellStyle name="Input 10 4 2" xfId="13103"/>
    <cellStyle name="Input 10 4 2 2" xfId="13104"/>
    <cellStyle name="Input 10 4 2 3" xfId="28853"/>
    <cellStyle name="Input 10 4 2 4" xfId="28854"/>
    <cellStyle name="Input 10 4 3" xfId="13105"/>
    <cellStyle name="Input 10 4 3 2" xfId="13106"/>
    <cellStyle name="Input 10 4 3 3" xfId="28855"/>
    <cellStyle name="Input 10 4 3 4" xfId="28856"/>
    <cellStyle name="Input 10 4 4" xfId="13107"/>
    <cellStyle name="Input 10 4 4 2" xfId="13108"/>
    <cellStyle name="Input 10 4 4 3" xfId="28857"/>
    <cellStyle name="Input 10 4 4 4" xfId="28858"/>
    <cellStyle name="Input 10 4 5" xfId="13109"/>
    <cellStyle name="Input 10 4 5 2" xfId="13110"/>
    <cellStyle name="Input 10 4 5 3" xfId="28859"/>
    <cellStyle name="Input 10 4 5 4" xfId="28860"/>
    <cellStyle name="Input 10 4 6" xfId="13111"/>
    <cellStyle name="Input 10 4 6 2" xfId="13112"/>
    <cellStyle name="Input 10 4 6 3" xfId="28861"/>
    <cellStyle name="Input 10 4 6 4" xfId="28862"/>
    <cellStyle name="Input 10 4 7" xfId="13113"/>
    <cellStyle name="Input 10 4 7 2" xfId="13114"/>
    <cellStyle name="Input 10 4 7 3" xfId="28863"/>
    <cellStyle name="Input 10 4 7 4" xfId="28864"/>
    <cellStyle name="Input 10 4 8" xfId="13115"/>
    <cellStyle name="Input 10 4 9" xfId="28865"/>
    <cellStyle name="Input 10 5" xfId="13116"/>
    <cellStyle name="Input 10 5 10" xfId="28866"/>
    <cellStyle name="Input 10 5 2" xfId="13117"/>
    <cellStyle name="Input 10 5 2 2" xfId="13118"/>
    <cellStyle name="Input 10 5 2 3" xfId="28867"/>
    <cellStyle name="Input 10 5 2 4" xfId="28868"/>
    <cellStyle name="Input 10 5 3" xfId="13119"/>
    <cellStyle name="Input 10 5 3 2" xfId="13120"/>
    <cellStyle name="Input 10 5 3 3" xfId="28869"/>
    <cellStyle name="Input 10 5 3 4" xfId="28870"/>
    <cellStyle name="Input 10 5 4" xfId="13121"/>
    <cellStyle name="Input 10 5 4 2" xfId="13122"/>
    <cellStyle name="Input 10 5 4 3" xfId="28871"/>
    <cellStyle name="Input 10 5 4 4" xfId="28872"/>
    <cellStyle name="Input 10 5 5" xfId="13123"/>
    <cellStyle name="Input 10 5 5 2" xfId="13124"/>
    <cellStyle name="Input 10 5 5 3" xfId="28873"/>
    <cellStyle name="Input 10 5 5 4" xfId="28874"/>
    <cellStyle name="Input 10 5 6" xfId="13125"/>
    <cellStyle name="Input 10 5 6 2" xfId="13126"/>
    <cellStyle name="Input 10 5 6 3" xfId="28875"/>
    <cellStyle name="Input 10 5 6 4" xfId="28876"/>
    <cellStyle name="Input 10 5 7" xfId="13127"/>
    <cellStyle name="Input 10 5 7 2" xfId="13128"/>
    <cellStyle name="Input 10 5 7 3" xfId="28877"/>
    <cellStyle name="Input 10 5 7 4" xfId="28878"/>
    <cellStyle name="Input 10 5 8" xfId="13129"/>
    <cellStyle name="Input 10 5 9" xfId="28879"/>
    <cellStyle name="Input 10 6" xfId="13130"/>
    <cellStyle name="Input 10 6 2" xfId="13131"/>
    <cellStyle name="Input 10 6 3" xfId="28880"/>
    <cellStyle name="Input 10 6 4" xfId="28881"/>
    <cellStyle name="Input 10 7" xfId="13132"/>
    <cellStyle name="Input 10 7 2" xfId="13133"/>
    <cellStyle name="Input 10 7 3" xfId="28882"/>
    <cellStyle name="Input 10 7 4" xfId="28883"/>
    <cellStyle name="Input 10 8" xfId="13134"/>
    <cellStyle name="Input 10 8 2" xfId="13135"/>
    <cellStyle name="Input 10 8 3" xfId="28884"/>
    <cellStyle name="Input 10 8 4" xfId="28885"/>
    <cellStyle name="Input 10 9" xfId="13136"/>
    <cellStyle name="Input 10 9 2" xfId="13137"/>
    <cellStyle name="Input 10 9 3" xfId="28886"/>
    <cellStyle name="Input 10 9 4" xfId="28887"/>
    <cellStyle name="Input 11" xfId="13138"/>
    <cellStyle name="Input 11 10" xfId="13139"/>
    <cellStyle name="Input 11 10 2" xfId="13140"/>
    <cellStyle name="Input 11 10 3" xfId="28888"/>
    <cellStyle name="Input 11 10 4" xfId="28889"/>
    <cellStyle name="Input 11 11" xfId="13141"/>
    <cellStyle name="Input 11 11 2" xfId="13142"/>
    <cellStyle name="Input 11 11 3" xfId="28890"/>
    <cellStyle name="Input 11 11 4" xfId="28891"/>
    <cellStyle name="Input 11 12" xfId="13143"/>
    <cellStyle name="Input 11 13" xfId="28892"/>
    <cellStyle name="Input 11 14" xfId="28893"/>
    <cellStyle name="Input 11 2" xfId="13144"/>
    <cellStyle name="Input 11 2 10" xfId="28894"/>
    <cellStyle name="Input 11 2 2" xfId="13145"/>
    <cellStyle name="Input 11 2 2 2" xfId="13146"/>
    <cellStyle name="Input 11 2 2 3" xfId="28895"/>
    <cellStyle name="Input 11 2 2 4" xfId="28896"/>
    <cellStyle name="Input 11 2 3" xfId="13147"/>
    <cellStyle name="Input 11 2 3 2" xfId="13148"/>
    <cellStyle name="Input 11 2 3 3" xfId="28897"/>
    <cellStyle name="Input 11 2 3 4" xfId="28898"/>
    <cellStyle name="Input 11 2 4" xfId="13149"/>
    <cellStyle name="Input 11 2 4 2" xfId="13150"/>
    <cellStyle name="Input 11 2 4 3" xfId="28899"/>
    <cellStyle name="Input 11 2 4 4" xfId="28900"/>
    <cellStyle name="Input 11 2 5" xfId="13151"/>
    <cellStyle name="Input 11 2 5 2" xfId="13152"/>
    <cellStyle name="Input 11 2 5 3" xfId="28901"/>
    <cellStyle name="Input 11 2 5 4" xfId="28902"/>
    <cellStyle name="Input 11 2 6" xfId="13153"/>
    <cellStyle name="Input 11 2 6 2" xfId="13154"/>
    <cellStyle name="Input 11 2 6 3" xfId="28903"/>
    <cellStyle name="Input 11 2 6 4" xfId="28904"/>
    <cellStyle name="Input 11 2 7" xfId="13155"/>
    <cellStyle name="Input 11 2 7 2" xfId="13156"/>
    <cellStyle name="Input 11 2 7 3" xfId="28905"/>
    <cellStyle name="Input 11 2 7 4" xfId="28906"/>
    <cellStyle name="Input 11 2 8" xfId="13157"/>
    <cellStyle name="Input 11 2 9" xfId="28907"/>
    <cellStyle name="Input 11 3" xfId="13158"/>
    <cellStyle name="Input 11 3 10" xfId="28908"/>
    <cellStyle name="Input 11 3 2" xfId="13159"/>
    <cellStyle name="Input 11 3 2 2" xfId="13160"/>
    <cellStyle name="Input 11 3 2 3" xfId="28909"/>
    <cellStyle name="Input 11 3 2 4" xfId="28910"/>
    <cellStyle name="Input 11 3 3" xfId="13161"/>
    <cellStyle name="Input 11 3 3 2" xfId="13162"/>
    <cellStyle name="Input 11 3 3 3" xfId="28911"/>
    <cellStyle name="Input 11 3 3 4" xfId="28912"/>
    <cellStyle name="Input 11 3 4" xfId="13163"/>
    <cellStyle name="Input 11 3 4 2" xfId="13164"/>
    <cellStyle name="Input 11 3 4 3" xfId="28913"/>
    <cellStyle name="Input 11 3 4 4" xfId="28914"/>
    <cellStyle name="Input 11 3 5" xfId="13165"/>
    <cellStyle name="Input 11 3 5 2" xfId="13166"/>
    <cellStyle name="Input 11 3 5 3" xfId="28915"/>
    <cellStyle name="Input 11 3 5 4" xfId="28916"/>
    <cellStyle name="Input 11 3 6" xfId="13167"/>
    <cellStyle name="Input 11 3 6 2" xfId="13168"/>
    <cellStyle name="Input 11 3 6 3" xfId="28917"/>
    <cellStyle name="Input 11 3 6 4" xfId="28918"/>
    <cellStyle name="Input 11 3 7" xfId="13169"/>
    <cellStyle name="Input 11 3 7 2" xfId="13170"/>
    <cellStyle name="Input 11 3 7 3" xfId="28919"/>
    <cellStyle name="Input 11 3 7 4" xfId="28920"/>
    <cellStyle name="Input 11 3 8" xfId="13171"/>
    <cellStyle name="Input 11 3 9" xfId="28921"/>
    <cellStyle name="Input 11 4" xfId="13172"/>
    <cellStyle name="Input 11 4 10" xfId="28922"/>
    <cellStyle name="Input 11 4 2" xfId="13173"/>
    <cellStyle name="Input 11 4 2 2" xfId="13174"/>
    <cellStyle name="Input 11 4 2 3" xfId="28923"/>
    <cellStyle name="Input 11 4 2 4" xfId="28924"/>
    <cellStyle name="Input 11 4 3" xfId="13175"/>
    <cellStyle name="Input 11 4 3 2" xfId="13176"/>
    <cellStyle name="Input 11 4 3 3" xfId="28925"/>
    <cellStyle name="Input 11 4 3 4" xfId="28926"/>
    <cellStyle name="Input 11 4 4" xfId="13177"/>
    <cellStyle name="Input 11 4 4 2" xfId="13178"/>
    <cellStyle name="Input 11 4 4 3" xfId="28927"/>
    <cellStyle name="Input 11 4 4 4" xfId="28928"/>
    <cellStyle name="Input 11 4 5" xfId="13179"/>
    <cellStyle name="Input 11 4 5 2" xfId="13180"/>
    <cellStyle name="Input 11 4 5 3" xfId="28929"/>
    <cellStyle name="Input 11 4 5 4" xfId="28930"/>
    <cellStyle name="Input 11 4 6" xfId="13181"/>
    <cellStyle name="Input 11 4 6 2" xfId="13182"/>
    <cellStyle name="Input 11 4 6 3" xfId="28931"/>
    <cellStyle name="Input 11 4 6 4" xfId="28932"/>
    <cellStyle name="Input 11 4 7" xfId="13183"/>
    <cellStyle name="Input 11 4 7 2" xfId="13184"/>
    <cellStyle name="Input 11 4 7 3" xfId="28933"/>
    <cellStyle name="Input 11 4 7 4" xfId="28934"/>
    <cellStyle name="Input 11 4 8" xfId="13185"/>
    <cellStyle name="Input 11 4 9" xfId="28935"/>
    <cellStyle name="Input 11 5" xfId="13186"/>
    <cellStyle name="Input 11 5 10" xfId="28936"/>
    <cellStyle name="Input 11 5 2" xfId="13187"/>
    <cellStyle name="Input 11 5 2 2" xfId="13188"/>
    <cellStyle name="Input 11 5 2 3" xfId="28937"/>
    <cellStyle name="Input 11 5 2 4" xfId="28938"/>
    <cellStyle name="Input 11 5 3" xfId="13189"/>
    <cellStyle name="Input 11 5 3 2" xfId="13190"/>
    <cellStyle name="Input 11 5 3 3" xfId="28939"/>
    <cellStyle name="Input 11 5 3 4" xfId="28940"/>
    <cellStyle name="Input 11 5 4" xfId="13191"/>
    <cellStyle name="Input 11 5 4 2" xfId="13192"/>
    <cellStyle name="Input 11 5 4 3" xfId="28941"/>
    <cellStyle name="Input 11 5 4 4" xfId="28942"/>
    <cellStyle name="Input 11 5 5" xfId="13193"/>
    <cellStyle name="Input 11 5 5 2" xfId="13194"/>
    <cellStyle name="Input 11 5 5 3" xfId="28943"/>
    <cellStyle name="Input 11 5 5 4" xfId="28944"/>
    <cellStyle name="Input 11 5 6" xfId="13195"/>
    <cellStyle name="Input 11 5 6 2" xfId="13196"/>
    <cellStyle name="Input 11 5 6 3" xfId="28945"/>
    <cellStyle name="Input 11 5 6 4" xfId="28946"/>
    <cellStyle name="Input 11 5 7" xfId="13197"/>
    <cellStyle name="Input 11 5 7 2" xfId="13198"/>
    <cellStyle name="Input 11 5 7 3" xfId="28947"/>
    <cellStyle name="Input 11 5 7 4" xfId="28948"/>
    <cellStyle name="Input 11 5 8" xfId="13199"/>
    <cellStyle name="Input 11 5 9" xfId="28949"/>
    <cellStyle name="Input 11 6" xfId="13200"/>
    <cellStyle name="Input 11 6 2" xfId="13201"/>
    <cellStyle name="Input 11 6 3" xfId="28950"/>
    <cellStyle name="Input 11 6 4" xfId="28951"/>
    <cellStyle name="Input 11 7" xfId="13202"/>
    <cellStyle name="Input 11 7 2" xfId="13203"/>
    <cellStyle name="Input 11 7 3" xfId="28952"/>
    <cellStyle name="Input 11 7 4" xfId="28953"/>
    <cellStyle name="Input 11 8" xfId="13204"/>
    <cellStyle name="Input 11 8 2" xfId="13205"/>
    <cellStyle name="Input 11 8 3" xfId="28954"/>
    <cellStyle name="Input 11 8 4" xfId="28955"/>
    <cellStyle name="Input 11 9" xfId="13206"/>
    <cellStyle name="Input 11 9 2" xfId="13207"/>
    <cellStyle name="Input 11 9 3" xfId="28956"/>
    <cellStyle name="Input 11 9 4" xfId="28957"/>
    <cellStyle name="Input 12" xfId="13208"/>
    <cellStyle name="Input 12 10" xfId="13209"/>
    <cellStyle name="Input 12 10 2" xfId="13210"/>
    <cellStyle name="Input 12 10 3" xfId="28958"/>
    <cellStyle name="Input 12 10 4" xfId="28959"/>
    <cellStyle name="Input 12 11" xfId="13211"/>
    <cellStyle name="Input 12 11 2" xfId="13212"/>
    <cellStyle name="Input 12 11 3" xfId="28960"/>
    <cellStyle name="Input 12 11 4" xfId="28961"/>
    <cellStyle name="Input 12 12" xfId="13213"/>
    <cellStyle name="Input 12 13" xfId="28962"/>
    <cellStyle name="Input 12 14" xfId="28963"/>
    <cellStyle name="Input 12 2" xfId="13214"/>
    <cellStyle name="Input 12 2 10" xfId="28964"/>
    <cellStyle name="Input 12 2 2" xfId="13215"/>
    <cellStyle name="Input 12 2 2 2" xfId="13216"/>
    <cellStyle name="Input 12 2 2 3" xfId="28965"/>
    <cellStyle name="Input 12 2 2 4" xfId="28966"/>
    <cellStyle name="Input 12 2 3" xfId="13217"/>
    <cellStyle name="Input 12 2 3 2" xfId="13218"/>
    <cellStyle name="Input 12 2 3 3" xfId="28967"/>
    <cellStyle name="Input 12 2 3 4" xfId="28968"/>
    <cellStyle name="Input 12 2 4" xfId="13219"/>
    <cellStyle name="Input 12 2 4 2" xfId="13220"/>
    <cellStyle name="Input 12 2 4 3" xfId="28969"/>
    <cellStyle name="Input 12 2 4 4" xfId="28970"/>
    <cellStyle name="Input 12 2 5" xfId="13221"/>
    <cellStyle name="Input 12 2 5 2" xfId="13222"/>
    <cellStyle name="Input 12 2 5 3" xfId="28971"/>
    <cellStyle name="Input 12 2 5 4" xfId="28972"/>
    <cellStyle name="Input 12 2 6" xfId="13223"/>
    <cellStyle name="Input 12 2 6 2" xfId="13224"/>
    <cellStyle name="Input 12 2 6 3" xfId="28973"/>
    <cellStyle name="Input 12 2 6 4" xfId="28974"/>
    <cellStyle name="Input 12 2 7" xfId="13225"/>
    <cellStyle name="Input 12 2 7 2" xfId="13226"/>
    <cellStyle name="Input 12 2 7 3" xfId="28975"/>
    <cellStyle name="Input 12 2 7 4" xfId="28976"/>
    <cellStyle name="Input 12 2 8" xfId="13227"/>
    <cellStyle name="Input 12 2 9" xfId="28977"/>
    <cellStyle name="Input 12 3" xfId="13228"/>
    <cellStyle name="Input 12 3 10" xfId="28978"/>
    <cellStyle name="Input 12 3 2" xfId="13229"/>
    <cellStyle name="Input 12 3 2 2" xfId="13230"/>
    <cellStyle name="Input 12 3 2 3" xfId="28979"/>
    <cellStyle name="Input 12 3 2 4" xfId="28980"/>
    <cellStyle name="Input 12 3 3" xfId="13231"/>
    <cellStyle name="Input 12 3 3 2" xfId="13232"/>
    <cellStyle name="Input 12 3 3 3" xfId="28981"/>
    <cellStyle name="Input 12 3 3 4" xfId="28982"/>
    <cellStyle name="Input 12 3 4" xfId="13233"/>
    <cellStyle name="Input 12 3 4 2" xfId="13234"/>
    <cellStyle name="Input 12 3 4 3" xfId="28983"/>
    <cellStyle name="Input 12 3 4 4" xfId="28984"/>
    <cellStyle name="Input 12 3 5" xfId="13235"/>
    <cellStyle name="Input 12 3 5 2" xfId="13236"/>
    <cellStyle name="Input 12 3 5 3" xfId="28985"/>
    <cellStyle name="Input 12 3 5 4" xfId="28986"/>
    <cellStyle name="Input 12 3 6" xfId="13237"/>
    <cellStyle name="Input 12 3 6 2" xfId="13238"/>
    <cellStyle name="Input 12 3 6 3" xfId="28987"/>
    <cellStyle name="Input 12 3 6 4" xfId="28988"/>
    <cellStyle name="Input 12 3 7" xfId="13239"/>
    <cellStyle name="Input 12 3 7 2" xfId="13240"/>
    <cellStyle name="Input 12 3 7 3" xfId="28989"/>
    <cellStyle name="Input 12 3 7 4" xfId="28990"/>
    <cellStyle name="Input 12 3 8" xfId="13241"/>
    <cellStyle name="Input 12 3 9" xfId="28991"/>
    <cellStyle name="Input 12 4" xfId="13242"/>
    <cellStyle name="Input 12 4 10" xfId="28992"/>
    <cellStyle name="Input 12 4 2" xfId="13243"/>
    <cellStyle name="Input 12 4 2 2" xfId="13244"/>
    <cellStyle name="Input 12 4 2 3" xfId="28993"/>
    <cellStyle name="Input 12 4 2 4" xfId="28994"/>
    <cellStyle name="Input 12 4 3" xfId="13245"/>
    <cellStyle name="Input 12 4 3 2" xfId="13246"/>
    <cellStyle name="Input 12 4 3 3" xfId="28995"/>
    <cellStyle name="Input 12 4 3 4" xfId="28996"/>
    <cellStyle name="Input 12 4 4" xfId="13247"/>
    <cellStyle name="Input 12 4 4 2" xfId="13248"/>
    <cellStyle name="Input 12 4 4 3" xfId="28997"/>
    <cellStyle name="Input 12 4 4 4" xfId="28998"/>
    <cellStyle name="Input 12 4 5" xfId="13249"/>
    <cellStyle name="Input 12 4 5 2" xfId="13250"/>
    <cellStyle name="Input 12 4 5 3" xfId="28999"/>
    <cellStyle name="Input 12 4 5 4" xfId="29000"/>
    <cellStyle name="Input 12 4 6" xfId="13251"/>
    <cellStyle name="Input 12 4 6 2" xfId="13252"/>
    <cellStyle name="Input 12 4 6 3" xfId="29001"/>
    <cellStyle name="Input 12 4 6 4" xfId="29002"/>
    <cellStyle name="Input 12 4 7" xfId="13253"/>
    <cellStyle name="Input 12 4 7 2" xfId="13254"/>
    <cellStyle name="Input 12 4 7 3" xfId="29003"/>
    <cellStyle name="Input 12 4 7 4" xfId="29004"/>
    <cellStyle name="Input 12 4 8" xfId="13255"/>
    <cellStyle name="Input 12 4 9" xfId="29005"/>
    <cellStyle name="Input 12 5" xfId="13256"/>
    <cellStyle name="Input 12 5 10" xfId="29006"/>
    <cellStyle name="Input 12 5 2" xfId="13257"/>
    <cellStyle name="Input 12 5 2 2" xfId="13258"/>
    <cellStyle name="Input 12 5 2 3" xfId="29007"/>
    <cellStyle name="Input 12 5 2 4" xfId="29008"/>
    <cellStyle name="Input 12 5 3" xfId="13259"/>
    <cellStyle name="Input 12 5 3 2" xfId="13260"/>
    <cellStyle name="Input 12 5 3 3" xfId="29009"/>
    <cellStyle name="Input 12 5 3 4" xfId="29010"/>
    <cellStyle name="Input 12 5 4" xfId="13261"/>
    <cellStyle name="Input 12 5 4 2" xfId="13262"/>
    <cellStyle name="Input 12 5 4 3" xfId="29011"/>
    <cellStyle name="Input 12 5 4 4" xfId="29012"/>
    <cellStyle name="Input 12 5 5" xfId="13263"/>
    <cellStyle name="Input 12 5 5 2" xfId="13264"/>
    <cellStyle name="Input 12 5 5 3" xfId="29013"/>
    <cellStyle name="Input 12 5 5 4" xfId="29014"/>
    <cellStyle name="Input 12 5 6" xfId="13265"/>
    <cellStyle name="Input 12 5 6 2" xfId="13266"/>
    <cellStyle name="Input 12 5 6 3" xfId="29015"/>
    <cellStyle name="Input 12 5 6 4" xfId="29016"/>
    <cellStyle name="Input 12 5 7" xfId="13267"/>
    <cellStyle name="Input 12 5 7 2" xfId="13268"/>
    <cellStyle name="Input 12 5 7 3" xfId="29017"/>
    <cellStyle name="Input 12 5 7 4" xfId="29018"/>
    <cellStyle name="Input 12 5 8" xfId="13269"/>
    <cellStyle name="Input 12 5 9" xfId="29019"/>
    <cellStyle name="Input 12 6" xfId="13270"/>
    <cellStyle name="Input 12 6 2" xfId="13271"/>
    <cellStyle name="Input 12 6 3" xfId="29020"/>
    <cellStyle name="Input 12 6 4" xfId="29021"/>
    <cellStyle name="Input 12 7" xfId="13272"/>
    <cellStyle name="Input 12 7 2" xfId="13273"/>
    <cellStyle name="Input 12 7 3" xfId="29022"/>
    <cellStyle name="Input 12 7 4" xfId="29023"/>
    <cellStyle name="Input 12 8" xfId="13274"/>
    <cellStyle name="Input 12 8 2" xfId="13275"/>
    <cellStyle name="Input 12 8 3" xfId="29024"/>
    <cellStyle name="Input 12 8 4" xfId="29025"/>
    <cellStyle name="Input 12 9" xfId="13276"/>
    <cellStyle name="Input 12 9 2" xfId="13277"/>
    <cellStyle name="Input 12 9 3" xfId="29026"/>
    <cellStyle name="Input 12 9 4" xfId="29027"/>
    <cellStyle name="Input 13" xfId="13278"/>
    <cellStyle name="Input 13 10" xfId="13279"/>
    <cellStyle name="Input 13 10 2" xfId="13280"/>
    <cellStyle name="Input 13 10 3" xfId="29028"/>
    <cellStyle name="Input 13 10 4" xfId="29029"/>
    <cellStyle name="Input 13 11" xfId="13281"/>
    <cellStyle name="Input 13 11 2" xfId="13282"/>
    <cellStyle name="Input 13 11 3" xfId="29030"/>
    <cellStyle name="Input 13 11 4" xfId="29031"/>
    <cellStyle name="Input 13 12" xfId="13283"/>
    <cellStyle name="Input 13 13" xfId="29032"/>
    <cellStyle name="Input 13 14" xfId="29033"/>
    <cellStyle name="Input 13 2" xfId="13284"/>
    <cellStyle name="Input 13 2 10" xfId="29034"/>
    <cellStyle name="Input 13 2 2" xfId="13285"/>
    <cellStyle name="Input 13 2 2 2" xfId="13286"/>
    <cellStyle name="Input 13 2 2 3" xfId="29035"/>
    <cellStyle name="Input 13 2 2 4" xfId="29036"/>
    <cellStyle name="Input 13 2 3" xfId="13287"/>
    <cellStyle name="Input 13 2 3 2" xfId="13288"/>
    <cellStyle name="Input 13 2 3 3" xfId="29037"/>
    <cellStyle name="Input 13 2 3 4" xfId="29038"/>
    <cellStyle name="Input 13 2 4" xfId="13289"/>
    <cellStyle name="Input 13 2 4 2" xfId="13290"/>
    <cellStyle name="Input 13 2 4 3" xfId="29039"/>
    <cellStyle name="Input 13 2 4 4" xfId="29040"/>
    <cellStyle name="Input 13 2 5" xfId="13291"/>
    <cellStyle name="Input 13 2 5 2" xfId="13292"/>
    <cellStyle name="Input 13 2 5 3" xfId="29041"/>
    <cellStyle name="Input 13 2 5 4" xfId="29042"/>
    <cellStyle name="Input 13 2 6" xfId="13293"/>
    <cellStyle name="Input 13 2 6 2" xfId="13294"/>
    <cellStyle name="Input 13 2 6 3" xfId="29043"/>
    <cellStyle name="Input 13 2 6 4" xfId="29044"/>
    <cellStyle name="Input 13 2 7" xfId="13295"/>
    <cellStyle name="Input 13 2 7 2" xfId="13296"/>
    <cellStyle name="Input 13 2 7 3" xfId="29045"/>
    <cellStyle name="Input 13 2 7 4" xfId="29046"/>
    <cellStyle name="Input 13 2 8" xfId="13297"/>
    <cellStyle name="Input 13 2 9" xfId="29047"/>
    <cellStyle name="Input 13 3" xfId="13298"/>
    <cellStyle name="Input 13 3 10" xfId="29048"/>
    <cellStyle name="Input 13 3 2" xfId="13299"/>
    <cellStyle name="Input 13 3 2 2" xfId="13300"/>
    <cellStyle name="Input 13 3 2 3" xfId="29049"/>
    <cellStyle name="Input 13 3 2 4" xfId="29050"/>
    <cellStyle name="Input 13 3 3" xfId="13301"/>
    <cellStyle name="Input 13 3 3 2" xfId="13302"/>
    <cellStyle name="Input 13 3 3 3" xfId="29051"/>
    <cellStyle name="Input 13 3 3 4" xfId="29052"/>
    <cellStyle name="Input 13 3 4" xfId="13303"/>
    <cellStyle name="Input 13 3 4 2" xfId="13304"/>
    <cellStyle name="Input 13 3 4 3" xfId="29053"/>
    <cellStyle name="Input 13 3 4 4" xfId="29054"/>
    <cellStyle name="Input 13 3 5" xfId="13305"/>
    <cellStyle name="Input 13 3 5 2" xfId="13306"/>
    <cellStyle name="Input 13 3 5 3" xfId="29055"/>
    <cellStyle name="Input 13 3 5 4" xfId="29056"/>
    <cellStyle name="Input 13 3 6" xfId="13307"/>
    <cellStyle name="Input 13 3 6 2" xfId="13308"/>
    <cellStyle name="Input 13 3 6 3" xfId="29057"/>
    <cellStyle name="Input 13 3 6 4" xfId="29058"/>
    <cellStyle name="Input 13 3 7" xfId="13309"/>
    <cellStyle name="Input 13 3 7 2" xfId="13310"/>
    <cellStyle name="Input 13 3 7 3" xfId="29059"/>
    <cellStyle name="Input 13 3 7 4" xfId="29060"/>
    <cellStyle name="Input 13 3 8" xfId="13311"/>
    <cellStyle name="Input 13 3 9" xfId="29061"/>
    <cellStyle name="Input 13 4" xfId="13312"/>
    <cellStyle name="Input 13 4 10" xfId="29062"/>
    <cellStyle name="Input 13 4 2" xfId="13313"/>
    <cellStyle name="Input 13 4 2 2" xfId="13314"/>
    <cellStyle name="Input 13 4 2 3" xfId="29063"/>
    <cellStyle name="Input 13 4 2 4" xfId="29064"/>
    <cellStyle name="Input 13 4 3" xfId="13315"/>
    <cellStyle name="Input 13 4 3 2" xfId="13316"/>
    <cellStyle name="Input 13 4 3 3" xfId="29065"/>
    <cellStyle name="Input 13 4 3 4" xfId="29066"/>
    <cellStyle name="Input 13 4 4" xfId="13317"/>
    <cellStyle name="Input 13 4 4 2" xfId="13318"/>
    <cellStyle name="Input 13 4 4 3" xfId="29067"/>
    <cellStyle name="Input 13 4 4 4" xfId="29068"/>
    <cellStyle name="Input 13 4 5" xfId="13319"/>
    <cellStyle name="Input 13 4 5 2" xfId="13320"/>
    <cellStyle name="Input 13 4 5 3" xfId="29069"/>
    <cellStyle name="Input 13 4 5 4" xfId="29070"/>
    <cellStyle name="Input 13 4 6" xfId="13321"/>
    <cellStyle name="Input 13 4 6 2" xfId="13322"/>
    <cellStyle name="Input 13 4 6 3" xfId="29071"/>
    <cellStyle name="Input 13 4 6 4" xfId="29072"/>
    <cellStyle name="Input 13 4 7" xfId="13323"/>
    <cellStyle name="Input 13 4 7 2" xfId="13324"/>
    <cellStyle name="Input 13 4 7 3" xfId="29073"/>
    <cellStyle name="Input 13 4 7 4" xfId="29074"/>
    <cellStyle name="Input 13 4 8" xfId="13325"/>
    <cellStyle name="Input 13 4 9" xfId="29075"/>
    <cellStyle name="Input 13 5" xfId="13326"/>
    <cellStyle name="Input 13 5 10" xfId="29076"/>
    <cellStyle name="Input 13 5 2" xfId="13327"/>
    <cellStyle name="Input 13 5 2 2" xfId="13328"/>
    <cellStyle name="Input 13 5 2 3" xfId="29077"/>
    <cellStyle name="Input 13 5 2 4" xfId="29078"/>
    <cellStyle name="Input 13 5 3" xfId="13329"/>
    <cellStyle name="Input 13 5 3 2" xfId="13330"/>
    <cellStyle name="Input 13 5 3 3" xfId="29079"/>
    <cellStyle name="Input 13 5 3 4" xfId="29080"/>
    <cellStyle name="Input 13 5 4" xfId="13331"/>
    <cellStyle name="Input 13 5 4 2" xfId="13332"/>
    <cellStyle name="Input 13 5 4 3" xfId="29081"/>
    <cellStyle name="Input 13 5 4 4" xfId="29082"/>
    <cellStyle name="Input 13 5 5" xfId="13333"/>
    <cellStyle name="Input 13 5 5 2" xfId="13334"/>
    <cellStyle name="Input 13 5 5 3" xfId="29083"/>
    <cellStyle name="Input 13 5 5 4" xfId="29084"/>
    <cellStyle name="Input 13 5 6" xfId="13335"/>
    <cellStyle name="Input 13 5 6 2" xfId="13336"/>
    <cellStyle name="Input 13 5 6 3" xfId="29085"/>
    <cellStyle name="Input 13 5 6 4" xfId="29086"/>
    <cellStyle name="Input 13 5 7" xfId="13337"/>
    <cellStyle name="Input 13 5 7 2" xfId="13338"/>
    <cellStyle name="Input 13 5 7 3" xfId="29087"/>
    <cellStyle name="Input 13 5 7 4" xfId="29088"/>
    <cellStyle name="Input 13 5 8" xfId="13339"/>
    <cellStyle name="Input 13 5 9" xfId="29089"/>
    <cellStyle name="Input 13 6" xfId="13340"/>
    <cellStyle name="Input 13 6 2" xfId="13341"/>
    <cellStyle name="Input 13 6 3" xfId="29090"/>
    <cellStyle name="Input 13 6 4" xfId="29091"/>
    <cellStyle name="Input 13 7" xfId="13342"/>
    <cellStyle name="Input 13 7 2" xfId="13343"/>
    <cellStyle name="Input 13 7 3" xfId="29092"/>
    <cellStyle name="Input 13 7 4" xfId="29093"/>
    <cellStyle name="Input 13 8" xfId="13344"/>
    <cellStyle name="Input 13 8 2" xfId="13345"/>
    <cellStyle name="Input 13 8 3" xfId="29094"/>
    <cellStyle name="Input 13 8 4" xfId="29095"/>
    <cellStyle name="Input 13 9" xfId="13346"/>
    <cellStyle name="Input 13 9 2" xfId="13347"/>
    <cellStyle name="Input 13 9 3" xfId="29096"/>
    <cellStyle name="Input 13 9 4" xfId="29097"/>
    <cellStyle name="Input 14" xfId="13348"/>
    <cellStyle name="Input 14 10" xfId="13349"/>
    <cellStyle name="Input 14 10 2" xfId="13350"/>
    <cellStyle name="Input 14 10 3" xfId="29098"/>
    <cellStyle name="Input 14 10 4" xfId="29099"/>
    <cellStyle name="Input 14 11" xfId="13351"/>
    <cellStyle name="Input 14 11 2" xfId="13352"/>
    <cellStyle name="Input 14 11 3" xfId="29100"/>
    <cellStyle name="Input 14 11 4" xfId="29101"/>
    <cellStyle name="Input 14 12" xfId="13353"/>
    <cellStyle name="Input 14 13" xfId="29102"/>
    <cellStyle name="Input 14 14" xfId="29103"/>
    <cellStyle name="Input 14 2" xfId="13354"/>
    <cellStyle name="Input 14 2 10" xfId="29104"/>
    <cellStyle name="Input 14 2 2" xfId="13355"/>
    <cellStyle name="Input 14 2 2 2" xfId="13356"/>
    <cellStyle name="Input 14 2 2 3" xfId="29105"/>
    <cellStyle name="Input 14 2 2 4" xfId="29106"/>
    <cellStyle name="Input 14 2 3" xfId="13357"/>
    <cellStyle name="Input 14 2 3 2" xfId="13358"/>
    <cellStyle name="Input 14 2 3 3" xfId="29107"/>
    <cellStyle name="Input 14 2 3 4" xfId="29108"/>
    <cellStyle name="Input 14 2 4" xfId="13359"/>
    <cellStyle name="Input 14 2 4 2" xfId="13360"/>
    <cellStyle name="Input 14 2 4 3" xfId="29109"/>
    <cellStyle name="Input 14 2 4 4" xfId="29110"/>
    <cellStyle name="Input 14 2 5" xfId="13361"/>
    <cellStyle name="Input 14 2 5 2" xfId="13362"/>
    <cellStyle name="Input 14 2 5 3" xfId="29111"/>
    <cellStyle name="Input 14 2 5 4" xfId="29112"/>
    <cellStyle name="Input 14 2 6" xfId="13363"/>
    <cellStyle name="Input 14 2 6 2" xfId="13364"/>
    <cellStyle name="Input 14 2 6 3" xfId="29113"/>
    <cellStyle name="Input 14 2 6 4" xfId="29114"/>
    <cellStyle name="Input 14 2 7" xfId="13365"/>
    <cellStyle name="Input 14 2 7 2" xfId="13366"/>
    <cellStyle name="Input 14 2 7 3" xfId="29115"/>
    <cellStyle name="Input 14 2 7 4" xfId="29116"/>
    <cellStyle name="Input 14 2 8" xfId="13367"/>
    <cellStyle name="Input 14 2 9" xfId="29117"/>
    <cellStyle name="Input 14 3" xfId="13368"/>
    <cellStyle name="Input 14 3 10" xfId="29118"/>
    <cellStyle name="Input 14 3 2" xfId="13369"/>
    <cellStyle name="Input 14 3 2 2" xfId="13370"/>
    <cellStyle name="Input 14 3 2 3" xfId="29119"/>
    <cellStyle name="Input 14 3 2 4" xfId="29120"/>
    <cellStyle name="Input 14 3 3" xfId="13371"/>
    <cellStyle name="Input 14 3 3 2" xfId="13372"/>
    <cellStyle name="Input 14 3 3 3" xfId="29121"/>
    <cellStyle name="Input 14 3 3 4" xfId="29122"/>
    <cellStyle name="Input 14 3 4" xfId="13373"/>
    <cellStyle name="Input 14 3 4 2" xfId="13374"/>
    <cellStyle name="Input 14 3 4 3" xfId="29123"/>
    <cellStyle name="Input 14 3 4 4" xfId="29124"/>
    <cellStyle name="Input 14 3 5" xfId="13375"/>
    <cellStyle name="Input 14 3 5 2" xfId="13376"/>
    <cellStyle name="Input 14 3 5 3" xfId="29125"/>
    <cellStyle name="Input 14 3 5 4" xfId="29126"/>
    <cellStyle name="Input 14 3 6" xfId="13377"/>
    <cellStyle name="Input 14 3 6 2" xfId="13378"/>
    <cellStyle name="Input 14 3 6 3" xfId="29127"/>
    <cellStyle name="Input 14 3 6 4" xfId="29128"/>
    <cellStyle name="Input 14 3 7" xfId="13379"/>
    <cellStyle name="Input 14 3 7 2" xfId="13380"/>
    <cellStyle name="Input 14 3 7 3" xfId="29129"/>
    <cellStyle name="Input 14 3 7 4" xfId="29130"/>
    <cellStyle name="Input 14 3 8" xfId="13381"/>
    <cellStyle name="Input 14 3 9" xfId="29131"/>
    <cellStyle name="Input 14 4" xfId="13382"/>
    <cellStyle name="Input 14 4 10" xfId="29132"/>
    <cellStyle name="Input 14 4 2" xfId="13383"/>
    <cellStyle name="Input 14 4 2 2" xfId="13384"/>
    <cellStyle name="Input 14 4 2 3" xfId="29133"/>
    <cellStyle name="Input 14 4 2 4" xfId="29134"/>
    <cellStyle name="Input 14 4 3" xfId="13385"/>
    <cellStyle name="Input 14 4 3 2" xfId="13386"/>
    <cellStyle name="Input 14 4 3 3" xfId="29135"/>
    <cellStyle name="Input 14 4 3 4" xfId="29136"/>
    <cellStyle name="Input 14 4 4" xfId="13387"/>
    <cellStyle name="Input 14 4 4 2" xfId="13388"/>
    <cellStyle name="Input 14 4 4 3" xfId="29137"/>
    <cellStyle name="Input 14 4 4 4" xfId="29138"/>
    <cellStyle name="Input 14 4 5" xfId="13389"/>
    <cellStyle name="Input 14 4 5 2" xfId="13390"/>
    <cellStyle name="Input 14 4 5 3" xfId="29139"/>
    <cellStyle name="Input 14 4 5 4" xfId="29140"/>
    <cellStyle name="Input 14 4 6" xfId="13391"/>
    <cellStyle name="Input 14 4 6 2" xfId="13392"/>
    <cellStyle name="Input 14 4 6 3" xfId="29141"/>
    <cellStyle name="Input 14 4 6 4" xfId="29142"/>
    <cellStyle name="Input 14 4 7" xfId="13393"/>
    <cellStyle name="Input 14 4 7 2" xfId="13394"/>
    <cellStyle name="Input 14 4 7 3" xfId="29143"/>
    <cellStyle name="Input 14 4 7 4" xfId="29144"/>
    <cellStyle name="Input 14 4 8" xfId="13395"/>
    <cellStyle name="Input 14 4 9" xfId="29145"/>
    <cellStyle name="Input 14 5" xfId="13396"/>
    <cellStyle name="Input 14 5 10" xfId="29146"/>
    <cellStyle name="Input 14 5 2" xfId="13397"/>
    <cellStyle name="Input 14 5 2 2" xfId="13398"/>
    <cellStyle name="Input 14 5 2 3" xfId="29147"/>
    <cellStyle name="Input 14 5 2 4" xfId="29148"/>
    <cellStyle name="Input 14 5 3" xfId="13399"/>
    <cellStyle name="Input 14 5 3 2" xfId="13400"/>
    <cellStyle name="Input 14 5 3 3" xfId="29149"/>
    <cellStyle name="Input 14 5 3 4" xfId="29150"/>
    <cellStyle name="Input 14 5 4" xfId="13401"/>
    <cellStyle name="Input 14 5 4 2" xfId="13402"/>
    <cellStyle name="Input 14 5 4 3" xfId="29151"/>
    <cellStyle name="Input 14 5 4 4" xfId="29152"/>
    <cellStyle name="Input 14 5 5" xfId="13403"/>
    <cellStyle name="Input 14 5 5 2" xfId="13404"/>
    <cellStyle name="Input 14 5 5 3" xfId="29153"/>
    <cellStyle name="Input 14 5 5 4" xfId="29154"/>
    <cellStyle name="Input 14 5 6" xfId="13405"/>
    <cellStyle name="Input 14 5 6 2" xfId="13406"/>
    <cellStyle name="Input 14 5 6 3" xfId="29155"/>
    <cellStyle name="Input 14 5 6 4" xfId="29156"/>
    <cellStyle name="Input 14 5 7" xfId="13407"/>
    <cellStyle name="Input 14 5 7 2" xfId="13408"/>
    <cellStyle name="Input 14 5 7 3" xfId="29157"/>
    <cellStyle name="Input 14 5 7 4" xfId="29158"/>
    <cellStyle name="Input 14 5 8" xfId="13409"/>
    <cellStyle name="Input 14 5 9" xfId="29159"/>
    <cellStyle name="Input 14 6" xfId="13410"/>
    <cellStyle name="Input 14 6 2" xfId="13411"/>
    <cellStyle name="Input 14 6 3" xfId="29160"/>
    <cellStyle name="Input 14 6 4" xfId="29161"/>
    <cellStyle name="Input 14 7" xfId="13412"/>
    <cellStyle name="Input 14 7 2" xfId="13413"/>
    <cellStyle name="Input 14 7 3" xfId="29162"/>
    <cellStyle name="Input 14 7 4" xfId="29163"/>
    <cellStyle name="Input 14 8" xfId="13414"/>
    <cellStyle name="Input 14 8 2" xfId="13415"/>
    <cellStyle name="Input 14 8 3" xfId="29164"/>
    <cellStyle name="Input 14 8 4" xfId="29165"/>
    <cellStyle name="Input 14 9" xfId="13416"/>
    <cellStyle name="Input 14 9 2" xfId="13417"/>
    <cellStyle name="Input 14 9 3" xfId="29166"/>
    <cellStyle name="Input 14 9 4" xfId="29167"/>
    <cellStyle name="Input 15" xfId="13418"/>
    <cellStyle name="Input 15 10" xfId="13419"/>
    <cellStyle name="Input 15 10 2" xfId="13420"/>
    <cellStyle name="Input 15 10 3" xfId="29168"/>
    <cellStyle name="Input 15 10 4" xfId="29169"/>
    <cellStyle name="Input 15 11" xfId="13421"/>
    <cellStyle name="Input 15 11 2" xfId="13422"/>
    <cellStyle name="Input 15 11 3" xfId="29170"/>
    <cellStyle name="Input 15 11 4" xfId="29171"/>
    <cellStyle name="Input 15 12" xfId="13423"/>
    <cellStyle name="Input 15 13" xfId="29172"/>
    <cellStyle name="Input 15 14" xfId="29173"/>
    <cellStyle name="Input 15 2" xfId="13424"/>
    <cellStyle name="Input 15 2 10" xfId="29174"/>
    <cellStyle name="Input 15 2 2" xfId="13425"/>
    <cellStyle name="Input 15 2 2 2" xfId="13426"/>
    <cellStyle name="Input 15 2 2 3" xfId="29175"/>
    <cellStyle name="Input 15 2 2 4" xfId="29176"/>
    <cellStyle name="Input 15 2 3" xfId="13427"/>
    <cellStyle name="Input 15 2 3 2" xfId="13428"/>
    <cellStyle name="Input 15 2 3 3" xfId="29177"/>
    <cellStyle name="Input 15 2 3 4" xfId="29178"/>
    <cellStyle name="Input 15 2 4" xfId="13429"/>
    <cellStyle name="Input 15 2 4 2" xfId="13430"/>
    <cellStyle name="Input 15 2 4 3" xfId="29179"/>
    <cellStyle name="Input 15 2 4 4" xfId="29180"/>
    <cellStyle name="Input 15 2 5" xfId="13431"/>
    <cellStyle name="Input 15 2 5 2" xfId="13432"/>
    <cellStyle name="Input 15 2 5 3" xfId="29181"/>
    <cellStyle name="Input 15 2 5 4" xfId="29182"/>
    <cellStyle name="Input 15 2 6" xfId="13433"/>
    <cellStyle name="Input 15 2 6 2" xfId="13434"/>
    <cellStyle name="Input 15 2 6 3" xfId="29183"/>
    <cellStyle name="Input 15 2 6 4" xfId="29184"/>
    <cellStyle name="Input 15 2 7" xfId="13435"/>
    <cellStyle name="Input 15 2 7 2" xfId="13436"/>
    <cellStyle name="Input 15 2 7 3" xfId="29185"/>
    <cellStyle name="Input 15 2 7 4" xfId="29186"/>
    <cellStyle name="Input 15 2 8" xfId="13437"/>
    <cellStyle name="Input 15 2 9" xfId="29187"/>
    <cellStyle name="Input 15 3" xfId="13438"/>
    <cellStyle name="Input 15 3 10" xfId="29188"/>
    <cellStyle name="Input 15 3 2" xfId="13439"/>
    <cellStyle name="Input 15 3 2 2" xfId="13440"/>
    <cellStyle name="Input 15 3 2 3" xfId="29189"/>
    <cellStyle name="Input 15 3 2 4" xfId="29190"/>
    <cellStyle name="Input 15 3 3" xfId="13441"/>
    <cellStyle name="Input 15 3 3 2" xfId="13442"/>
    <cellStyle name="Input 15 3 3 3" xfId="29191"/>
    <cellStyle name="Input 15 3 3 4" xfId="29192"/>
    <cellStyle name="Input 15 3 4" xfId="13443"/>
    <cellStyle name="Input 15 3 4 2" xfId="13444"/>
    <cellStyle name="Input 15 3 4 3" xfId="29193"/>
    <cellStyle name="Input 15 3 4 4" xfId="29194"/>
    <cellStyle name="Input 15 3 5" xfId="13445"/>
    <cellStyle name="Input 15 3 5 2" xfId="13446"/>
    <cellStyle name="Input 15 3 5 3" xfId="29195"/>
    <cellStyle name="Input 15 3 5 4" xfId="29196"/>
    <cellStyle name="Input 15 3 6" xfId="13447"/>
    <cellStyle name="Input 15 3 6 2" xfId="13448"/>
    <cellStyle name="Input 15 3 6 3" xfId="29197"/>
    <cellStyle name="Input 15 3 6 4" xfId="29198"/>
    <cellStyle name="Input 15 3 7" xfId="13449"/>
    <cellStyle name="Input 15 3 7 2" xfId="13450"/>
    <cellStyle name="Input 15 3 7 3" xfId="29199"/>
    <cellStyle name="Input 15 3 7 4" xfId="29200"/>
    <cellStyle name="Input 15 3 8" xfId="13451"/>
    <cellStyle name="Input 15 3 9" xfId="29201"/>
    <cellStyle name="Input 15 4" xfId="13452"/>
    <cellStyle name="Input 15 4 10" xfId="29202"/>
    <cellStyle name="Input 15 4 2" xfId="13453"/>
    <cellStyle name="Input 15 4 2 2" xfId="13454"/>
    <cellStyle name="Input 15 4 2 3" xfId="29203"/>
    <cellStyle name="Input 15 4 2 4" xfId="29204"/>
    <cellStyle name="Input 15 4 3" xfId="13455"/>
    <cellStyle name="Input 15 4 3 2" xfId="13456"/>
    <cellStyle name="Input 15 4 3 3" xfId="29205"/>
    <cellStyle name="Input 15 4 3 4" xfId="29206"/>
    <cellStyle name="Input 15 4 4" xfId="13457"/>
    <cellStyle name="Input 15 4 4 2" xfId="13458"/>
    <cellStyle name="Input 15 4 4 3" xfId="29207"/>
    <cellStyle name="Input 15 4 4 4" xfId="29208"/>
    <cellStyle name="Input 15 4 5" xfId="13459"/>
    <cellStyle name="Input 15 4 5 2" xfId="13460"/>
    <cellStyle name="Input 15 4 5 3" xfId="29209"/>
    <cellStyle name="Input 15 4 5 4" xfId="29210"/>
    <cellStyle name="Input 15 4 6" xfId="13461"/>
    <cellStyle name="Input 15 4 6 2" xfId="13462"/>
    <cellStyle name="Input 15 4 6 3" xfId="29211"/>
    <cellStyle name="Input 15 4 6 4" xfId="29212"/>
    <cellStyle name="Input 15 4 7" xfId="13463"/>
    <cellStyle name="Input 15 4 7 2" xfId="13464"/>
    <cellStyle name="Input 15 4 7 3" xfId="29213"/>
    <cellStyle name="Input 15 4 7 4" xfId="29214"/>
    <cellStyle name="Input 15 4 8" xfId="13465"/>
    <cellStyle name="Input 15 4 9" xfId="29215"/>
    <cellStyle name="Input 15 5" xfId="13466"/>
    <cellStyle name="Input 15 5 10" xfId="29216"/>
    <cellStyle name="Input 15 5 2" xfId="13467"/>
    <cellStyle name="Input 15 5 2 2" xfId="13468"/>
    <cellStyle name="Input 15 5 2 3" xfId="29217"/>
    <cellStyle name="Input 15 5 2 4" xfId="29218"/>
    <cellStyle name="Input 15 5 3" xfId="13469"/>
    <cellStyle name="Input 15 5 3 2" xfId="13470"/>
    <cellStyle name="Input 15 5 3 3" xfId="29219"/>
    <cellStyle name="Input 15 5 3 4" xfId="29220"/>
    <cellStyle name="Input 15 5 4" xfId="13471"/>
    <cellStyle name="Input 15 5 4 2" xfId="13472"/>
    <cellStyle name="Input 15 5 4 3" xfId="29221"/>
    <cellStyle name="Input 15 5 4 4" xfId="29222"/>
    <cellStyle name="Input 15 5 5" xfId="13473"/>
    <cellStyle name="Input 15 5 5 2" xfId="13474"/>
    <cellStyle name="Input 15 5 5 3" xfId="29223"/>
    <cellStyle name="Input 15 5 5 4" xfId="29224"/>
    <cellStyle name="Input 15 5 6" xfId="13475"/>
    <cellStyle name="Input 15 5 6 2" xfId="13476"/>
    <cellStyle name="Input 15 5 6 3" xfId="29225"/>
    <cellStyle name="Input 15 5 6 4" xfId="29226"/>
    <cellStyle name="Input 15 5 7" xfId="13477"/>
    <cellStyle name="Input 15 5 7 2" xfId="13478"/>
    <cellStyle name="Input 15 5 7 3" xfId="29227"/>
    <cellStyle name="Input 15 5 7 4" xfId="29228"/>
    <cellStyle name="Input 15 5 8" xfId="13479"/>
    <cellStyle name="Input 15 5 9" xfId="29229"/>
    <cellStyle name="Input 15 6" xfId="13480"/>
    <cellStyle name="Input 15 6 2" xfId="13481"/>
    <cellStyle name="Input 15 6 3" xfId="29230"/>
    <cellStyle name="Input 15 6 4" xfId="29231"/>
    <cellStyle name="Input 15 7" xfId="13482"/>
    <cellStyle name="Input 15 7 2" xfId="13483"/>
    <cellStyle name="Input 15 7 3" xfId="29232"/>
    <cellStyle name="Input 15 7 4" xfId="29233"/>
    <cellStyle name="Input 15 8" xfId="13484"/>
    <cellStyle name="Input 15 8 2" xfId="13485"/>
    <cellStyle name="Input 15 8 3" xfId="29234"/>
    <cellStyle name="Input 15 8 4" xfId="29235"/>
    <cellStyle name="Input 15 9" xfId="13486"/>
    <cellStyle name="Input 15 9 2" xfId="13487"/>
    <cellStyle name="Input 15 9 3" xfId="29236"/>
    <cellStyle name="Input 15 9 4" xfId="29237"/>
    <cellStyle name="Input 16" xfId="13488"/>
    <cellStyle name="Input 16 10" xfId="13489"/>
    <cellStyle name="Input 16 10 2" xfId="13490"/>
    <cellStyle name="Input 16 10 3" xfId="29238"/>
    <cellStyle name="Input 16 10 4" xfId="29239"/>
    <cellStyle name="Input 16 11" xfId="13491"/>
    <cellStyle name="Input 16 11 2" xfId="13492"/>
    <cellStyle name="Input 16 11 3" xfId="29240"/>
    <cellStyle name="Input 16 11 4" xfId="29241"/>
    <cellStyle name="Input 16 12" xfId="13493"/>
    <cellStyle name="Input 16 13" xfId="29242"/>
    <cellStyle name="Input 16 14" xfId="29243"/>
    <cellStyle name="Input 16 2" xfId="13494"/>
    <cellStyle name="Input 16 2 10" xfId="29244"/>
    <cellStyle name="Input 16 2 2" xfId="13495"/>
    <cellStyle name="Input 16 2 2 2" xfId="13496"/>
    <cellStyle name="Input 16 2 2 3" xfId="29245"/>
    <cellStyle name="Input 16 2 2 4" xfId="29246"/>
    <cellStyle name="Input 16 2 3" xfId="13497"/>
    <cellStyle name="Input 16 2 3 2" xfId="13498"/>
    <cellStyle name="Input 16 2 3 3" xfId="29247"/>
    <cellStyle name="Input 16 2 3 4" xfId="29248"/>
    <cellStyle name="Input 16 2 4" xfId="13499"/>
    <cellStyle name="Input 16 2 4 2" xfId="13500"/>
    <cellStyle name="Input 16 2 4 3" xfId="29249"/>
    <cellStyle name="Input 16 2 4 4" xfId="29250"/>
    <cellStyle name="Input 16 2 5" xfId="13501"/>
    <cellStyle name="Input 16 2 5 2" xfId="13502"/>
    <cellStyle name="Input 16 2 5 3" xfId="29251"/>
    <cellStyle name="Input 16 2 5 4" xfId="29252"/>
    <cellStyle name="Input 16 2 6" xfId="13503"/>
    <cellStyle name="Input 16 2 6 2" xfId="13504"/>
    <cellStyle name="Input 16 2 6 3" xfId="29253"/>
    <cellStyle name="Input 16 2 6 4" xfId="29254"/>
    <cellStyle name="Input 16 2 7" xfId="13505"/>
    <cellStyle name="Input 16 2 7 2" xfId="13506"/>
    <cellStyle name="Input 16 2 7 3" xfId="29255"/>
    <cellStyle name="Input 16 2 7 4" xfId="29256"/>
    <cellStyle name="Input 16 2 8" xfId="13507"/>
    <cellStyle name="Input 16 2 9" xfId="29257"/>
    <cellStyle name="Input 16 3" xfId="13508"/>
    <cellStyle name="Input 16 3 10" xfId="29258"/>
    <cellStyle name="Input 16 3 2" xfId="13509"/>
    <cellStyle name="Input 16 3 2 2" xfId="13510"/>
    <cellStyle name="Input 16 3 2 3" xfId="29259"/>
    <cellStyle name="Input 16 3 2 4" xfId="29260"/>
    <cellStyle name="Input 16 3 3" xfId="13511"/>
    <cellStyle name="Input 16 3 3 2" xfId="13512"/>
    <cellStyle name="Input 16 3 3 3" xfId="29261"/>
    <cellStyle name="Input 16 3 3 4" xfId="29262"/>
    <cellStyle name="Input 16 3 4" xfId="13513"/>
    <cellStyle name="Input 16 3 4 2" xfId="13514"/>
    <cellStyle name="Input 16 3 4 3" xfId="29263"/>
    <cellStyle name="Input 16 3 4 4" xfId="29264"/>
    <cellStyle name="Input 16 3 5" xfId="13515"/>
    <cellStyle name="Input 16 3 5 2" xfId="13516"/>
    <cellStyle name="Input 16 3 5 3" xfId="29265"/>
    <cellStyle name="Input 16 3 5 4" xfId="29266"/>
    <cellStyle name="Input 16 3 6" xfId="13517"/>
    <cellStyle name="Input 16 3 6 2" xfId="13518"/>
    <cellStyle name="Input 16 3 6 3" xfId="29267"/>
    <cellStyle name="Input 16 3 6 4" xfId="29268"/>
    <cellStyle name="Input 16 3 7" xfId="13519"/>
    <cellStyle name="Input 16 3 7 2" xfId="13520"/>
    <cellStyle name="Input 16 3 7 3" xfId="29269"/>
    <cellStyle name="Input 16 3 7 4" xfId="29270"/>
    <cellStyle name="Input 16 3 8" xfId="13521"/>
    <cellStyle name="Input 16 3 9" xfId="29271"/>
    <cellStyle name="Input 16 4" xfId="13522"/>
    <cellStyle name="Input 16 4 10" xfId="29272"/>
    <cellStyle name="Input 16 4 2" xfId="13523"/>
    <cellStyle name="Input 16 4 2 2" xfId="13524"/>
    <cellStyle name="Input 16 4 2 3" xfId="29273"/>
    <cellStyle name="Input 16 4 2 4" xfId="29274"/>
    <cellStyle name="Input 16 4 3" xfId="13525"/>
    <cellStyle name="Input 16 4 3 2" xfId="13526"/>
    <cellStyle name="Input 16 4 3 3" xfId="29275"/>
    <cellStyle name="Input 16 4 3 4" xfId="29276"/>
    <cellStyle name="Input 16 4 4" xfId="13527"/>
    <cellStyle name="Input 16 4 4 2" xfId="13528"/>
    <cellStyle name="Input 16 4 4 3" xfId="29277"/>
    <cellStyle name="Input 16 4 4 4" xfId="29278"/>
    <cellStyle name="Input 16 4 5" xfId="13529"/>
    <cellStyle name="Input 16 4 5 2" xfId="13530"/>
    <cellStyle name="Input 16 4 5 3" xfId="29279"/>
    <cellStyle name="Input 16 4 5 4" xfId="29280"/>
    <cellStyle name="Input 16 4 6" xfId="13531"/>
    <cellStyle name="Input 16 4 6 2" xfId="13532"/>
    <cellStyle name="Input 16 4 6 3" xfId="29281"/>
    <cellStyle name="Input 16 4 6 4" xfId="29282"/>
    <cellStyle name="Input 16 4 7" xfId="13533"/>
    <cellStyle name="Input 16 4 7 2" xfId="13534"/>
    <cellStyle name="Input 16 4 7 3" xfId="29283"/>
    <cellStyle name="Input 16 4 7 4" xfId="29284"/>
    <cellStyle name="Input 16 4 8" xfId="13535"/>
    <cellStyle name="Input 16 4 9" xfId="29285"/>
    <cellStyle name="Input 16 5" xfId="13536"/>
    <cellStyle name="Input 16 5 10" xfId="29286"/>
    <cellStyle name="Input 16 5 2" xfId="13537"/>
    <cellStyle name="Input 16 5 2 2" xfId="13538"/>
    <cellStyle name="Input 16 5 2 3" xfId="29287"/>
    <cellStyle name="Input 16 5 2 4" xfId="29288"/>
    <cellStyle name="Input 16 5 3" xfId="13539"/>
    <cellStyle name="Input 16 5 3 2" xfId="13540"/>
    <cellStyle name="Input 16 5 3 3" xfId="29289"/>
    <cellStyle name="Input 16 5 3 4" xfId="29290"/>
    <cellStyle name="Input 16 5 4" xfId="13541"/>
    <cellStyle name="Input 16 5 4 2" xfId="13542"/>
    <cellStyle name="Input 16 5 4 3" xfId="29291"/>
    <cellStyle name="Input 16 5 4 4" xfId="29292"/>
    <cellStyle name="Input 16 5 5" xfId="13543"/>
    <cellStyle name="Input 16 5 5 2" xfId="13544"/>
    <cellStyle name="Input 16 5 5 3" xfId="29293"/>
    <cellStyle name="Input 16 5 5 4" xfId="29294"/>
    <cellStyle name="Input 16 5 6" xfId="13545"/>
    <cellStyle name="Input 16 5 6 2" xfId="13546"/>
    <cellStyle name="Input 16 5 6 3" xfId="29295"/>
    <cellStyle name="Input 16 5 6 4" xfId="29296"/>
    <cellStyle name="Input 16 5 7" xfId="13547"/>
    <cellStyle name="Input 16 5 7 2" xfId="13548"/>
    <cellStyle name="Input 16 5 7 3" xfId="29297"/>
    <cellStyle name="Input 16 5 7 4" xfId="29298"/>
    <cellStyle name="Input 16 5 8" xfId="13549"/>
    <cellStyle name="Input 16 5 9" xfId="29299"/>
    <cellStyle name="Input 16 6" xfId="13550"/>
    <cellStyle name="Input 16 6 2" xfId="13551"/>
    <cellStyle name="Input 16 6 3" xfId="29300"/>
    <cellStyle name="Input 16 6 4" xfId="29301"/>
    <cellStyle name="Input 16 7" xfId="13552"/>
    <cellStyle name="Input 16 7 2" xfId="13553"/>
    <cellStyle name="Input 16 7 3" xfId="29302"/>
    <cellStyle name="Input 16 7 4" xfId="29303"/>
    <cellStyle name="Input 16 8" xfId="13554"/>
    <cellStyle name="Input 16 8 2" xfId="13555"/>
    <cellStyle name="Input 16 8 3" xfId="29304"/>
    <cellStyle name="Input 16 8 4" xfId="29305"/>
    <cellStyle name="Input 16 9" xfId="13556"/>
    <cellStyle name="Input 16 9 2" xfId="13557"/>
    <cellStyle name="Input 16 9 3" xfId="29306"/>
    <cellStyle name="Input 16 9 4" xfId="29307"/>
    <cellStyle name="Input 17" xfId="13558"/>
    <cellStyle name="Input 17 10" xfId="13559"/>
    <cellStyle name="Input 17 10 2" xfId="13560"/>
    <cellStyle name="Input 17 10 3" xfId="29308"/>
    <cellStyle name="Input 17 10 4" xfId="29309"/>
    <cellStyle name="Input 17 11" xfId="13561"/>
    <cellStyle name="Input 17 11 2" xfId="13562"/>
    <cellStyle name="Input 17 11 3" xfId="29310"/>
    <cellStyle name="Input 17 11 4" xfId="29311"/>
    <cellStyle name="Input 17 12" xfId="13563"/>
    <cellStyle name="Input 17 13" xfId="29312"/>
    <cellStyle name="Input 17 14" xfId="29313"/>
    <cellStyle name="Input 17 2" xfId="13564"/>
    <cellStyle name="Input 17 2 10" xfId="29314"/>
    <cellStyle name="Input 17 2 2" xfId="13565"/>
    <cellStyle name="Input 17 2 2 2" xfId="13566"/>
    <cellStyle name="Input 17 2 2 3" xfId="29315"/>
    <cellStyle name="Input 17 2 2 4" xfId="29316"/>
    <cellStyle name="Input 17 2 3" xfId="13567"/>
    <cellStyle name="Input 17 2 3 2" xfId="13568"/>
    <cellStyle name="Input 17 2 3 3" xfId="29317"/>
    <cellStyle name="Input 17 2 3 4" xfId="29318"/>
    <cellStyle name="Input 17 2 4" xfId="13569"/>
    <cellStyle name="Input 17 2 4 2" xfId="13570"/>
    <cellStyle name="Input 17 2 4 3" xfId="29319"/>
    <cellStyle name="Input 17 2 4 4" xfId="29320"/>
    <cellStyle name="Input 17 2 5" xfId="13571"/>
    <cellStyle name="Input 17 2 5 2" xfId="13572"/>
    <cellStyle name="Input 17 2 5 3" xfId="29321"/>
    <cellStyle name="Input 17 2 5 4" xfId="29322"/>
    <cellStyle name="Input 17 2 6" xfId="13573"/>
    <cellStyle name="Input 17 2 6 2" xfId="13574"/>
    <cellStyle name="Input 17 2 6 3" xfId="29323"/>
    <cellStyle name="Input 17 2 6 4" xfId="29324"/>
    <cellStyle name="Input 17 2 7" xfId="13575"/>
    <cellStyle name="Input 17 2 7 2" xfId="13576"/>
    <cellStyle name="Input 17 2 7 3" xfId="29325"/>
    <cellStyle name="Input 17 2 7 4" xfId="29326"/>
    <cellStyle name="Input 17 2 8" xfId="13577"/>
    <cellStyle name="Input 17 2 9" xfId="29327"/>
    <cellStyle name="Input 17 3" xfId="13578"/>
    <cellStyle name="Input 17 3 10" xfId="29328"/>
    <cellStyle name="Input 17 3 2" xfId="13579"/>
    <cellStyle name="Input 17 3 2 2" xfId="13580"/>
    <cellStyle name="Input 17 3 2 3" xfId="29329"/>
    <cellStyle name="Input 17 3 2 4" xfId="29330"/>
    <cellStyle name="Input 17 3 3" xfId="13581"/>
    <cellStyle name="Input 17 3 3 2" xfId="13582"/>
    <cellStyle name="Input 17 3 3 3" xfId="29331"/>
    <cellStyle name="Input 17 3 3 4" xfId="29332"/>
    <cellStyle name="Input 17 3 4" xfId="13583"/>
    <cellStyle name="Input 17 3 4 2" xfId="13584"/>
    <cellStyle name="Input 17 3 4 3" xfId="29333"/>
    <cellStyle name="Input 17 3 4 4" xfId="29334"/>
    <cellStyle name="Input 17 3 5" xfId="13585"/>
    <cellStyle name="Input 17 3 5 2" xfId="13586"/>
    <cellStyle name="Input 17 3 5 3" xfId="29335"/>
    <cellStyle name="Input 17 3 5 4" xfId="29336"/>
    <cellStyle name="Input 17 3 6" xfId="13587"/>
    <cellStyle name="Input 17 3 6 2" xfId="13588"/>
    <cellStyle name="Input 17 3 6 3" xfId="29337"/>
    <cellStyle name="Input 17 3 6 4" xfId="29338"/>
    <cellStyle name="Input 17 3 7" xfId="13589"/>
    <cellStyle name="Input 17 3 7 2" xfId="13590"/>
    <cellStyle name="Input 17 3 7 3" xfId="29339"/>
    <cellStyle name="Input 17 3 7 4" xfId="29340"/>
    <cellStyle name="Input 17 3 8" xfId="13591"/>
    <cellStyle name="Input 17 3 9" xfId="29341"/>
    <cellStyle name="Input 17 4" xfId="13592"/>
    <cellStyle name="Input 17 4 10" xfId="29342"/>
    <cellStyle name="Input 17 4 2" xfId="13593"/>
    <cellStyle name="Input 17 4 2 2" xfId="13594"/>
    <cellStyle name="Input 17 4 2 3" xfId="29343"/>
    <cellStyle name="Input 17 4 2 4" xfId="29344"/>
    <cellStyle name="Input 17 4 3" xfId="13595"/>
    <cellStyle name="Input 17 4 3 2" xfId="13596"/>
    <cellStyle name="Input 17 4 3 3" xfId="29345"/>
    <cellStyle name="Input 17 4 3 4" xfId="29346"/>
    <cellStyle name="Input 17 4 4" xfId="13597"/>
    <cellStyle name="Input 17 4 4 2" xfId="13598"/>
    <cellStyle name="Input 17 4 4 3" xfId="29347"/>
    <cellStyle name="Input 17 4 4 4" xfId="29348"/>
    <cellStyle name="Input 17 4 5" xfId="13599"/>
    <cellStyle name="Input 17 4 5 2" xfId="13600"/>
    <cellStyle name="Input 17 4 5 3" xfId="29349"/>
    <cellStyle name="Input 17 4 5 4" xfId="29350"/>
    <cellStyle name="Input 17 4 6" xfId="13601"/>
    <cellStyle name="Input 17 4 6 2" xfId="13602"/>
    <cellStyle name="Input 17 4 6 3" xfId="29351"/>
    <cellStyle name="Input 17 4 6 4" xfId="29352"/>
    <cellStyle name="Input 17 4 7" xfId="13603"/>
    <cellStyle name="Input 17 4 7 2" xfId="13604"/>
    <cellStyle name="Input 17 4 7 3" xfId="29353"/>
    <cellStyle name="Input 17 4 7 4" xfId="29354"/>
    <cellStyle name="Input 17 4 8" xfId="13605"/>
    <cellStyle name="Input 17 4 9" xfId="29355"/>
    <cellStyle name="Input 17 5" xfId="13606"/>
    <cellStyle name="Input 17 5 10" xfId="29356"/>
    <cellStyle name="Input 17 5 2" xfId="13607"/>
    <cellStyle name="Input 17 5 2 2" xfId="13608"/>
    <cellStyle name="Input 17 5 2 3" xfId="29357"/>
    <cellStyle name="Input 17 5 2 4" xfId="29358"/>
    <cellStyle name="Input 17 5 3" xfId="13609"/>
    <cellStyle name="Input 17 5 3 2" xfId="13610"/>
    <cellStyle name="Input 17 5 3 3" xfId="29359"/>
    <cellStyle name="Input 17 5 3 4" xfId="29360"/>
    <cellStyle name="Input 17 5 4" xfId="13611"/>
    <cellStyle name="Input 17 5 4 2" xfId="13612"/>
    <cellStyle name="Input 17 5 4 3" xfId="29361"/>
    <cellStyle name="Input 17 5 4 4" xfId="29362"/>
    <cellStyle name="Input 17 5 5" xfId="13613"/>
    <cellStyle name="Input 17 5 5 2" xfId="13614"/>
    <cellStyle name="Input 17 5 5 3" xfId="29363"/>
    <cellStyle name="Input 17 5 5 4" xfId="29364"/>
    <cellStyle name="Input 17 5 6" xfId="13615"/>
    <cellStyle name="Input 17 5 6 2" xfId="13616"/>
    <cellStyle name="Input 17 5 6 3" xfId="29365"/>
    <cellStyle name="Input 17 5 6 4" xfId="29366"/>
    <cellStyle name="Input 17 5 7" xfId="13617"/>
    <cellStyle name="Input 17 5 7 2" xfId="13618"/>
    <cellStyle name="Input 17 5 7 3" xfId="29367"/>
    <cellStyle name="Input 17 5 7 4" xfId="29368"/>
    <cellStyle name="Input 17 5 8" xfId="13619"/>
    <cellStyle name="Input 17 5 9" xfId="29369"/>
    <cellStyle name="Input 17 6" xfId="13620"/>
    <cellStyle name="Input 17 6 2" xfId="13621"/>
    <cellStyle name="Input 17 6 3" xfId="29370"/>
    <cellStyle name="Input 17 6 4" xfId="29371"/>
    <cellStyle name="Input 17 7" xfId="13622"/>
    <cellStyle name="Input 17 7 2" xfId="13623"/>
    <cellStyle name="Input 17 7 3" xfId="29372"/>
    <cellStyle name="Input 17 7 4" xfId="29373"/>
    <cellStyle name="Input 17 8" xfId="13624"/>
    <cellStyle name="Input 17 8 2" xfId="13625"/>
    <cellStyle name="Input 17 8 3" xfId="29374"/>
    <cellStyle name="Input 17 8 4" xfId="29375"/>
    <cellStyle name="Input 17 9" xfId="13626"/>
    <cellStyle name="Input 17 9 2" xfId="13627"/>
    <cellStyle name="Input 17 9 3" xfId="29376"/>
    <cellStyle name="Input 17 9 4" xfId="29377"/>
    <cellStyle name="Input 18" xfId="13628"/>
    <cellStyle name="Input 18 10" xfId="13629"/>
    <cellStyle name="Input 18 10 2" xfId="13630"/>
    <cellStyle name="Input 18 10 3" xfId="29378"/>
    <cellStyle name="Input 18 10 4" xfId="29379"/>
    <cellStyle name="Input 18 11" xfId="13631"/>
    <cellStyle name="Input 18 11 2" xfId="13632"/>
    <cellStyle name="Input 18 11 3" xfId="29380"/>
    <cellStyle name="Input 18 11 4" xfId="29381"/>
    <cellStyle name="Input 18 12" xfId="13633"/>
    <cellStyle name="Input 18 13" xfId="29382"/>
    <cellStyle name="Input 18 14" xfId="29383"/>
    <cellStyle name="Input 18 2" xfId="13634"/>
    <cellStyle name="Input 18 2 10" xfId="29384"/>
    <cellStyle name="Input 18 2 2" xfId="13635"/>
    <cellStyle name="Input 18 2 2 2" xfId="13636"/>
    <cellStyle name="Input 18 2 2 3" xfId="29385"/>
    <cellStyle name="Input 18 2 2 4" xfId="29386"/>
    <cellStyle name="Input 18 2 3" xfId="13637"/>
    <cellStyle name="Input 18 2 3 2" xfId="13638"/>
    <cellStyle name="Input 18 2 3 3" xfId="29387"/>
    <cellStyle name="Input 18 2 3 4" xfId="29388"/>
    <cellStyle name="Input 18 2 4" xfId="13639"/>
    <cellStyle name="Input 18 2 4 2" xfId="13640"/>
    <cellStyle name="Input 18 2 4 3" xfId="29389"/>
    <cellStyle name="Input 18 2 4 4" xfId="29390"/>
    <cellStyle name="Input 18 2 5" xfId="13641"/>
    <cellStyle name="Input 18 2 5 2" xfId="13642"/>
    <cellStyle name="Input 18 2 5 3" xfId="29391"/>
    <cellStyle name="Input 18 2 5 4" xfId="29392"/>
    <cellStyle name="Input 18 2 6" xfId="13643"/>
    <cellStyle name="Input 18 2 6 2" xfId="13644"/>
    <cellStyle name="Input 18 2 6 3" xfId="29393"/>
    <cellStyle name="Input 18 2 6 4" xfId="29394"/>
    <cellStyle name="Input 18 2 7" xfId="13645"/>
    <cellStyle name="Input 18 2 7 2" xfId="13646"/>
    <cellStyle name="Input 18 2 7 3" xfId="29395"/>
    <cellStyle name="Input 18 2 7 4" xfId="29396"/>
    <cellStyle name="Input 18 2 8" xfId="13647"/>
    <cellStyle name="Input 18 2 9" xfId="29397"/>
    <cellStyle name="Input 18 3" xfId="13648"/>
    <cellStyle name="Input 18 3 10" xfId="29398"/>
    <cellStyle name="Input 18 3 2" xfId="13649"/>
    <cellStyle name="Input 18 3 2 2" xfId="13650"/>
    <cellStyle name="Input 18 3 2 3" xfId="29399"/>
    <cellStyle name="Input 18 3 2 4" xfId="29400"/>
    <cellStyle name="Input 18 3 3" xfId="13651"/>
    <cellStyle name="Input 18 3 3 2" xfId="13652"/>
    <cellStyle name="Input 18 3 3 3" xfId="29401"/>
    <cellStyle name="Input 18 3 3 4" xfId="29402"/>
    <cellStyle name="Input 18 3 4" xfId="13653"/>
    <cellStyle name="Input 18 3 4 2" xfId="13654"/>
    <cellStyle name="Input 18 3 4 3" xfId="29403"/>
    <cellStyle name="Input 18 3 4 4" xfId="29404"/>
    <cellStyle name="Input 18 3 5" xfId="13655"/>
    <cellStyle name="Input 18 3 5 2" xfId="13656"/>
    <cellStyle name="Input 18 3 5 3" xfId="29405"/>
    <cellStyle name="Input 18 3 5 4" xfId="29406"/>
    <cellStyle name="Input 18 3 6" xfId="13657"/>
    <cellStyle name="Input 18 3 6 2" xfId="13658"/>
    <cellStyle name="Input 18 3 6 3" xfId="29407"/>
    <cellStyle name="Input 18 3 6 4" xfId="29408"/>
    <cellStyle name="Input 18 3 7" xfId="13659"/>
    <cellStyle name="Input 18 3 7 2" xfId="13660"/>
    <cellStyle name="Input 18 3 7 3" xfId="29409"/>
    <cellStyle name="Input 18 3 7 4" xfId="29410"/>
    <cellStyle name="Input 18 3 8" xfId="13661"/>
    <cellStyle name="Input 18 3 9" xfId="29411"/>
    <cellStyle name="Input 18 4" xfId="13662"/>
    <cellStyle name="Input 18 4 10" xfId="29412"/>
    <cellStyle name="Input 18 4 2" xfId="13663"/>
    <cellStyle name="Input 18 4 2 2" xfId="13664"/>
    <cellStyle name="Input 18 4 2 3" xfId="29413"/>
    <cellStyle name="Input 18 4 2 4" xfId="29414"/>
    <cellStyle name="Input 18 4 3" xfId="13665"/>
    <cellStyle name="Input 18 4 3 2" xfId="13666"/>
    <cellStyle name="Input 18 4 3 3" xfId="29415"/>
    <cellStyle name="Input 18 4 3 4" xfId="29416"/>
    <cellStyle name="Input 18 4 4" xfId="13667"/>
    <cellStyle name="Input 18 4 4 2" xfId="13668"/>
    <cellStyle name="Input 18 4 4 3" xfId="29417"/>
    <cellStyle name="Input 18 4 4 4" xfId="29418"/>
    <cellStyle name="Input 18 4 5" xfId="13669"/>
    <cellStyle name="Input 18 4 5 2" xfId="13670"/>
    <cellStyle name="Input 18 4 5 3" xfId="29419"/>
    <cellStyle name="Input 18 4 5 4" xfId="29420"/>
    <cellStyle name="Input 18 4 6" xfId="13671"/>
    <cellStyle name="Input 18 4 6 2" xfId="13672"/>
    <cellStyle name="Input 18 4 6 3" xfId="29421"/>
    <cellStyle name="Input 18 4 6 4" xfId="29422"/>
    <cellStyle name="Input 18 4 7" xfId="13673"/>
    <cellStyle name="Input 18 4 7 2" xfId="13674"/>
    <cellStyle name="Input 18 4 7 3" xfId="29423"/>
    <cellStyle name="Input 18 4 7 4" xfId="29424"/>
    <cellStyle name="Input 18 4 8" xfId="13675"/>
    <cellStyle name="Input 18 4 9" xfId="29425"/>
    <cellStyle name="Input 18 5" xfId="13676"/>
    <cellStyle name="Input 18 5 10" xfId="29426"/>
    <cellStyle name="Input 18 5 2" xfId="13677"/>
    <cellStyle name="Input 18 5 2 2" xfId="13678"/>
    <cellStyle name="Input 18 5 2 3" xfId="29427"/>
    <cellStyle name="Input 18 5 2 4" xfId="29428"/>
    <cellStyle name="Input 18 5 3" xfId="13679"/>
    <cellStyle name="Input 18 5 3 2" xfId="13680"/>
    <cellStyle name="Input 18 5 3 3" xfId="29429"/>
    <cellStyle name="Input 18 5 3 4" xfId="29430"/>
    <cellStyle name="Input 18 5 4" xfId="13681"/>
    <cellStyle name="Input 18 5 4 2" xfId="13682"/>
    <cellStyle name="Input 18 5 4 3" xfId="29431"/>
    <cellStyle name="Input 18 5 4 4" xfId="29432"/>
    <cellStyle name="Input 18 5 5" xfId="13683"/>
    <cellStyle name="Input 18 5 5 2" xfId="13684"/>
    <cellStyle name="Input 18 5 5 3" xfId="29433"/>
    <cellStyle name="Input 18 5 5 4" xfId="29434"/>
    <cellStyle name="Input 18 5 6" xfId="13685"/>
    <cellStyle name="Input 18 5 6 2" xfId="13686"/>
    <cellStyle name="Input 18 5 6 3" xfId="29435"/>
    <cellStyle name="Input 18 5 6 4" xfId="29436"/>
    <cellStyle name="Input 18 5 7" xfId="13687"/>
    <cellStyle name="Input 18 5 7 2" xfId="13688"/>
    <cellStyle name="Input 18 5 7 3" xfId="29437"/>
    <cellStyle name="Input 18 5 7 4" xfId="29438"/>
    <cellStyle name="Input 18 5 8" xfId="13689"/>
    <cellStyle name="Input 18 5 9" xfId="29439"/>
    <cellStyle name="Input 18 6" xfId="13690"/>
    <cellStyle name="Input 18 6 2" xfId="13691"/>
    <cellStyle name="Input 18 6 3" xfId="29440"/>
    <cellStyle name="Input 18 6 4" xfId="29441"/>
    <cellStyle name="Input 18 7" xfId="13692"/>
    <cellStyle name="Input 18 7 2" xfId="13693"/>
    <cellStyle name="Input 18 7 3" xfId="29442"/>
    <cellStyle name="Input 18 7 4" xfId="29443"/>
    <cellStyle name="Input 18 8" xfId="13694"/>
    <cellStyle name="Input 18 8 2" xfId="13695"/>
    <cellStyle name="Input 18 8 3" xfId="29444"/>
    <cellStyle name="Input 18 8 4" xfId="29445"/>
    <cellStyle name="Input 18 9" xfId="13696"/>
    <cellStyle name="Input 18 9 2" xfId="13697"/>
    <cellStyle name="Input 18 9 3" xfId="29446"/>
    <cellStyle name="Input 18 9 4" xfId="29447"/>
    <cellStyle name="Input 19" xfId="13698"/>
    <cellStyle name="Input 19 10" xfId="13699"/>
    <cellStyle name="Input 19 10 2" xfId="13700"/>
    <cellStyle name="Input 19 10 3" xfId="29448"/>
    <cellStyle name="Input 19 10 4" xfId="29449"/>
    <cellStyle name="Input 19 11" xfId="13701"/>
    <cellStyle name="Input 19 11 2" xfId="13702"/>
    <cellStyle name="Input 19 11 3" xfId="29450"/>
    <cellStyle name="Input 19 11 4" xfId="29451"/>
    <cellStyle name="Input 19 12" xfId="13703"/>
    <cellStyle name="Input 19 13" xfId="29452"/>
    <cellStyle name="Input 19 14" xfId="29453"/>
    <cellStyle name="Input 19 2" xfId="13704"/>
    <cellStyle name="Input 19 2 10" xfId="29454"/>
    <cellStyle name="Input 19 2 2" xfId="13705"/>
    <cellStyle name="Input 19 2 2 2" xfId="13706"/>
    <cellStyle name="Input 19 2 2 3" xfId="29455"/>
    <cellStyle name="Input 19 2 2 4" xfId="29456"/>
    <cellStyle name="Input 19 2 3" xfId="13707"/>
    <cellStyle name="Input 19 2 3 2" xfId="13708"/>
    <cellStyle name="Input 19 2 3 3" xfId="29457"/>
    <cellStyle name="Input 19 2 3 4" xfId="29458"/>
    <cellStyle name="Input 19 2 4" xfId="13709"/>
    <cellStyle name="Input 19 2 4 2" xfId="13710"/>
    <cellStyle name="Input 19 2 4 3" xfId="29459"/>
    <cellStyle name="Input 19 2 4 4" xfId="29460"/>
    <cellStyle name="Input 19 2 5" xfId="13711"/>
    <cellStyle name="Input 19 2 5 2" xfId="13712"/>
    <cellStyle name="Input 19 2 5 3" xfId="29461"/>
    <cellStyle name="Input 19 2 5 4" xfId="29462"/>
    <cellStyle name="Input 19 2 6" xfId="13713"/>
    <cellStyle name="Input 19 2 6 2" xfId="13714"/>
    <cellStyle name="Input 19 2 6 3" xfId="29463"/>
    <cellStyle name="Input 19 2 6 4" xfId="29464"/>
    <cellStyle name="Input 19 2 7" xfId="13715"/>
    <cellStyle name="Input 19 2 7 2" xfId="13716"/>
    <cellStyle name="Input 19 2 7 3" xfId="29465"/>
    <cellStyle name="Input 19 2 7 4" xfId="29466"/>
    <cellStyle name="Input 19 2 8" xfId="13717"/>
    <cellStyle name="Input 19 2 9" xfId="29467"/>
    <cellStyle name="Input 19 3" xfId="13718"/>
    <cellStyle name="Input 19 3 10" xfId="29468"/>
    <cellStyle name="Input 19 3 2" xfId="13719"/>
    <cellStyle name="Input 19 3 2 2" xfId="13720"/>
    <cellStyle name="Input 19 3 2 3" xfId="29469"/>
    <cellStyle name="Input 19 3 2 4" xfId="29470"/>
    <cellStyle name="Input 19 3 3" xfId="13721"/>
    <cellStyle name="Input 19 3 3 2" xfId="13722"/>
    <cellStyle name="Input 19 3 3 3" xfId="29471"/>
    <cellStyle name="Input 19 3 3 4" xfId="29472"/>
    <cellStyle name="Input 19 3 4" xfId="13723"/>
    <cellStyle name="Input 19 3 4 2" xfId="13724"/>
    <cellStyle name="Input 19 3 4 3" xfId="29473"/>
    <cellStyle name="Input 19 3 4 4" xfId="29474"/>
    <cellStyle name="Input 19 3 5" xfId="13725"/>
    <cellStyle name="Input 19 3 5 2" xfId="13726"/>
    <cellStyle name="Input 19 3 5 3" xfId="29475"/>
    <cellStyle name="Input 19 3 5 4" xfId="29476"/>
    <cellStyle name="Input 19 3 6" xfId="13727"/>
    <cellStyle name="Input 19 3 6 2" xfId="13728"/>
    <cellStyle name="Input 19 3 6 3" xfId="29477"/>
    <cellStyle name="Input 19 3 6 4" xfId="29478"/>
    <cellStyle name="Input 19 3 7" xfId="13729"/>
    <cellStyle name="Input 19 3 7 2" xfId="13730"/>
    <cellStyle name="Input 19 3 7 3" xfId="29479"/>
    <cellStyle name="Input 19 3 7 4" xfId="29480"/>
    <cellStyle name="Input 19 3 8" xfId="13731"/>
    <cellStyle name="Input 19 3 9" xfId="29481"/>
    <cellStyle name="Input 19 4" xfId="13732"/>
    <cellStyle name="Input 19 4 10" xfId="29482"/>
    <cellStyle name="Input 19 4 2" xfId="13733"/>
    <cellStyle name="Input 19 4 2 2" xfId="13734"/>
    <cellStyle name="Input 19 4 2 3" xfId="29483"/>
    <cellStyle name="Input 19 4 2 4" xfId="29484"/>
    <cellStyle name="Input 19 4 3" xfId="13735"/>
    <cellStyle name="Input 19 4 3 2" xfId="13736"/>
    <cellStyle name="Input 19 4 3 3" xfId="29485"/>
    <cellStyle name="Input 19 4 3 4" xfId="29486"/>
    <cellStyle name="Input 19 4 4" xfId="13737"/>
    <cellStyle name="Input 19 4 4 2" xfId="13738"/>
    <cellStyle name="Input 19 4 4 3" xfId="29487"/>
    <cellStyle name="Input 19 4 4 4" xfId="29488"/>
    <cellStyle name="Input 19 4 5" xfId="13739"/>
    <cellStyle name="Input 19 4 5 2" xfId="13740"/>
    <cellStyle name="Input 19 4 5 3" xfId="29489"/>
    <cellStyle name="Input 19 4 5 4" xfId="29490"/>
    <cellStyle name="Input 19 4 6" xfId="13741"/>
    <cellStyle name="Input 19 4 6 2" xfId="13742"/>
    <cellStyle name="Input 19 4 6 3" xfId="29491"/>
    <cellStyle name="Input 19 4 6 4" xfId="29492"/>
    <cellStyle name="Input 19 4 7" xfId="13743"/>
    <cellStyle name="Input 19 4 7 2" xfId="13744"/>
    <cellStyle name="Input 19 4 7 3" xfId="29493"/>
    <cellStyle name="Input 19 4 7 4" xfId="29494"/>
    <cellStyle name="Input 19 4 8" xfId="13745"/>
    <cellStyle name="Input 19 4 9" xfId="29495"/>
    <cellStyle name="Input 19 5" xfId="13746"/>
    <cellStyle name="Input 19 5 10" xfId="29496"/>
    <cellStyle name="Input 19 5 2" xfId="13747"/>
    <cellStyle name="Input 19 5 2 2" xfId="13748"/>
    <cellStyle name="Input 19 5 2 3" xfId="29497"/>
    <cellStyle name="Input 19 5 2 4" xfId="29498"/>
    <cellStyle name="Input 19 5 3" xfId="13749"/>
    <cellStyle name="Input 19 5 3 2" xfId="13750"/>
    <cellStyle name="Input 19 5 3 3" xfId="29499"/>
    <cellStyle name="Input 19 5 3 4" xfId="29500"/>
    <cellStyle name="Input 19 5 4" xfId="13751"/>
    <cellStyle name="Input 19 5 4 2" xfId="13752"/>
    <cellStyle name="Input 19 5 4 3" xfId="29501"/>
    <cellStyle name="Input 19 5 4 4" xfId="29502"/>
    <cellStyle name="Input 19 5 5" xfId="13753"/>
    <cellStyle name="Input 19 5 5 2" xfId="13754"/>
    <cellStyle name="Input 19 5 5 3" xfId="29503"/>
    <cellStyle name="Input 19 5 5 4" xfId="29504"/>
    <cellStyle name="Input 19 5 6" xfId="13755"/>
    <cellStyle name="Input 19 5 6 2" xfId="13756"/>
    <cellStyle name="Input 19 5 6 3" xfId="29505"/>
    <cellStyle name="Input 19 5 6 4" xfId="29506"/>
    <cellStyle name="Input 19 5 7" xfId="13757"/>
    <cellStyle name="Input 19 5 7 2" xfId="13758"/>
    <cellStyle name="Input 19 5 7 3" xfId="29507"/>
    <cellStyle name="Input 19 5 7 4" xfId="29508"/>
    <cellStyle name="Input 19 5 8" xfId="13759"/>
    <cellStyle name="Input 19 5 9" xfId="29509"/>
    <cellStyle name="Input 19 6" xfId="13760"/>
    <cellStyle name="Input 19 6 2" xfId="13761"/>
    <cellStyle name="Input 19 6 3" xfId="29510"/>
    <cellStyle name="Input 19 6 4" xfId="29511"/>
    <cellStyle name="Input 19 7" xfId="13762"/>
    <cellStyle name="Input 19 7 2" xfId="13763"/>
    <cellStyle name="Input 19 7 3" xfId="29512"/>
    <cellStyle name="Input 19 7 4" xfId="29513"/>
    <cellStyle name="Input 19 8" xfId="13764"/>
    <cellStyle name="Input 19 8 2" xfId="13765"/>
    <cellStyle name="Input 19 8 3" xfId="29514"/>
    <cellStyle name="Input 19 8 4" xfId="29515"/>
    <cellStyle name="Input 19 9" xfId="13766"/>
    <cellStyle name="Input 19 9 2" xfId="13767"/>
    <cellStyle name="Input 19 9 3" xfId="29516"/>
    <cellStyle name="Input 19 9 4" xfId="29517"/>
    <cellStyle name="Input 2" xfId="13768"/>
    <cellStyle name="Input 2 10" xfId="13769"/>
    <cellStyle name="Input 2 10 2" xfId="13770"/>
    <cellStyle name="Input 2 10 3" xfId="29518"/>
    <cellStyle name="Input 2 10 4" xfId="29519"/>
    <cellStyle name="Input 2 11" xfId="13771"/>
    <cellStyle name="Input 2 11 2" xfId="13772"/>
    <cellStyle name="Input 2 11 3" xfId="29520"/>
    <cellStyle name="Input 2 11 4" xfId="29521"/>
    <cellStyle name="Input 2 12" xfId="13773"/>
    <cellStyle name="Input 2 12 2" xfId="13774"/>
    <cellStyle name="Input 2 12 3" xfId="29522"/>
    <cellStyle name="Input 2 13" xfId="13775"/>
    <cellStyle name="Input 2 14" xfId="29523"/>
    <cellStyle name="Input 2 15" xfId="29524"/>
    <cellStyle name="Input 2 16" xfId="29525"/>
    <cellStyle name="Input 2 2" xfId="13776"/>
    <cellStyle name="Input 2 2 10" xfId="29526"/>
    <cellStyle name="Input 2 2 2" xfId="13777"/>
    <cellStyle name="Input 2 2 2 2" xfId="13778"/>
    <cellStyle name="Input 2 2 2 3" xfId="29527"/>
    <cellStyle name="Input 2 2 2 4" xfId="29528"/>
    <cellStyle name="Input 2 2 3" xfId="13779"/>
    <cellStyle name="Input 2 2 3 2" xfId="13780"/>
    <cellStyle name="Input 2 2 3 3" xfId="29529"/>
    <cellStyle name="Input 2 2 3 4" xfId="29530"/>
    <cellStyle name="Input 2 2 4" xfId="13781"/>
    <cellStyle name="Input 2 2 4 2" xfId="13782"/>
    <cellStyle name="Input 2 2 4 3" xfId="29531"/>
    <cellStyle name="Input 2 2 4 4" xfId="29532"/>
    <cellStyle name="Input 2 2 5" xfId="13783"/>
    <cellStyle name="Input 2 2 5 2" xfId="13784"/>
    <cellStyle name="Input 2 2 5 3" xfId="29533"/>
    <cellStyle name="Input 2 2 5 4" xfId="29534"/>
    <cellStyle name="Input 2 2 6" xfId="13785"/>
    <cellStyle name="Input 2 2 6 2" xfId="13786"/>
    <cellStyle name="Input 2 2 6 3" xfId="29535"/>
    <cellStyle name="Input 2 2 6 4" xfId="29536"/>
    <cellStyle name="Input 2 2 7" xfId="13787"/>
    <cellStyle name="Input 2 2 7 2" xfId="13788"/>
    <cellStyle name="Input 2 2 7 3" xfId="29537"/>
    <cellStyle name="Input 2 2 7 4" xfId="29538"/>
    <cellStyle name="Input 2 2 8" xfId="13789"/>
    <cellStyle name="Input 2 2 9" xfId="29539"/>
    <cellStyle name="Input 2 3" xfId="13790"/>
    <cellStyle name="Input 2 3 10" xfId="29540"/>
    <cellStyle name="Input 2 3 2" xfId="13791"/>
    <cellStyle name="Input 2 3 2 2" xfId="13792"/>
    <cellStyle name="Input 2 3 2 3" xfId="29541"/>
    <cellStyle name="Input 2 3 2 4" xfId="29542"/>
    <cellStyle name="Input 2 3 3" xfId="13793"/>
    <cellStyle name="Input 2 3 3 2" xfId="13794"/>
    <cellStyle name="Input 2 3 3 3" xfId="29543"/>
    <cellStyle name="Input 2 3 3 4" xfId="29544"/>
    <cellStyle name="Input 2 3 4" xfId="13795"/>
    <cellStyle name="Input 2 3 4 2" xfId="13796"/>
    <cellStyle name="Input 2 3 4 3" xfId="29545"/>
    <cellStyle name="Input 2 3 4 4" xfId="29546"/>
    <cellStyle name="Input 2 3 5" xfId="13797"/>
    <cellStyle name="Input 2 3 5 2" xfId="13798"/>
    <cellStyle name="Input 2 3 5 3" xfId="29547"/>
    <cellStyle name="Input 2 3 5 4" xfId="29548"/>
    <cellStyle name="Input 2 3 6" xfId="13799"/>
    <cellStyle name="Input 2 3 6 2" xfId="13800"/>
    <cellStyle name="Input 2 3 6 3" xfId="29549"/>
    <cellStyle name="Input 2 3 6 4" xfId="29550"/>
    <cellStyle name="Input 2 3 7" xfId="13801"/>
    <cellStyle name="Input 2 3 7 2" xfId="13802"/>
    <cellStyle name="Input 2 3 7 3" xfId="29551"/>
    <cellStyle name="Input 2 3 7 4" xfId="29552"/>
    <cellStyle name="Input 2 3 8" xfId="13803"/>
    <cellStyle name="Input 2 3 9" xfId="29553"/>
    <cellStyle name="Input 2 4" xfId="13804"/>
    <cellStyle name="Input 2 4 10" xfId="29554"/>
    <cellStyle name="Input 2 4 2" xfId="13805"/>
    <cellStyle name="Input 2 4 2 2" xfId="13806"/>
    <cellStyle name="Input 2 4 2 3" xfId="29555"/>
    <cellStyle name="Input 2 4 2 4" xfId="29556"/>
    <cellStyle name="Input 2 4 3" xfId="13807"/>
    <cellStyle name="Input 2 4 3 2" xfId="13808"/>
    <cellStyle name="Input 2 4 3 3" xfId="29557"/>
    <cellStyle name="Input 2 4 3 4" xfId="29558"/>
    <cellStyle name="Input 2 4 4" xfId="13809"/>
    <cellStyle name="Input 2 4 4 2" xfId="13810"/>
    <cellStyle name="Input 2 4 4 3" xfId="29559"/>
    <cellStyle name="Input 2 4 4 4" xfId="29560"/>
    <cellStyle name="Input 2 4 5" xfId="13811"/>
    <cellStyle name="Input 2 4 5 2" xfId="13812"/>
    <cellStyle name="Input 2 4 5 3" xfId="29561"/>
    <cellStyle name="Input 2 4 5 4" xfId="29562"/>
    <cellStyle name="Input 2 4 6" xfId="13813"/>
    <cellStyle name="Input 2 4 6 2" xfId="13814"/>
    <cellStyle name="Input 2 4 6 3" xfId="29563"/>
    <cellStyle name="Input 2 4 6 4" xfId="29564"/>
    <cellStyle name="Input 2 4 7" xfId="13815"/>
    <cellStyle name="Input 2 4 7 2" xfId="13816"/>
    <cellStyle name="Input 2 4 7 3" xfId="29565"/>
    <cellStyle name="Input 2 4 7 4" xfId="29566"/>
    <cellStyle name="Input 2 4 8" xfId="13817"/>
    <cellStyle name="Input 2 4 9" xfId="29567"/>
    <cellStyle name="Input 2 5" xfId="13818"/>
    <cellStyle name="Input 2 5 10" xfId="29568"/>
    <cellStyle name="Input 2 5 2" xfId="13819"/>
    <cellStyle name="Input 2 5 2 2" xfId="13820"/>
    <cellStyle name="Input 2 5 2 3" xfId="29569"/>
    <cellStyle name="Input 2 5 2 4" xfId="29570"/>
    <cellStyle name="Input 2 5 3" xfId="13821"/>
    <cellStyle name="Input 2 5 3 2" xfId="13822"/>
    <cellStyle name="Input 2 5 3 3" xfId="29571"/>
    <cellStyle name="Input 2 5 3 4" xfId="29572"/>
    <cellStyle name="Input 2 5 4" xfId="13823"/>
    <cellStyle name="Input 2 5 4 2" xfId="13824"/>
    <cellStyle name="Input 2 5 4 3" xfId="29573"/>
    <cellStyle name="Input 2 5 4 4" xfId="29574"/>
    <cellStyle name="Input 2 5 5" xfId="13825"/>
    <cellStyle name="Input 2 5 5 2" xfId="13826"/>
    <cellStyle name="Input 2 5 5 3" xfId="29575"/>
    <cellStyle name="Input 2 5 5 4" xfId="29576"/>
    <cellStyle name="Input 2 5 6" xfId="13827"/>
    <cellStyle name="Input 2 5 6 2" xfId="13828"/>
    <cellStyle name="Input 2 5 6 3" xfId="29577"/>
    <cellStyle name="Input 2 5 6 4" xfId="29578"/>
    <cellStyle name="Input 2 5 7" xfId="13829"/>
    <cellStyle name="Input 2 5 7 2" xfId="13830"/>
    <cellStyle name="Input 2 5 7 3" xfId="29579"/>
    <cellStyle name="Input 2 5 7 4" xfId="29580"/>
    <cellStyle name="Input 2 5 8" xfId="13831"/>
    <cellStyle name="Input 2 5 9" xfId="29581"/>
    <cellStyle name="Input 2 6" xfId="13832"/>
    <cellStyle name="Input 2 6 2" xfId="13833"/>
    <cellStyle name="Input 2 6 3" xfId="29582"/>
    <cellStyle name="Input 2 6 4" xfId="29583"/>
    <cellStyle name="Input 2 7" xfId="13834"/>
    <cellStyle name="Input 2 7 2" xfId="13835"/>
    <cellStyle name="Input 2 7 3" xfId="29584"/>
    <cellStyle name="Input 2 7 4" xfId="29585"/>
    <cellStyle name="Input 2 8" xfId="13836"/>
    <cellStyle name="Input 2 8 2" xfId="13837"/>
    <cellStyle name="Input 2 8 3" xfId="29586"/>
    <cellStyle name="Input 2 8 4" xfId="29587"/>
    <cellStyle name="Input 2 9" xfId="13838"/>
    <cellStyle name="Input 2 9 2" xfId="13839"/>
    <cellStyle name="Input 2 9 3" xfId="29588"/>
    <cellStyle name="Input 2 9 4" xfId="29589"/>
    <cellStyle name="Input 20" xfId="13840"/>
    <cellStyle name="Input 20 10" xfId="13841"/>
    <cellStyle name="Input 20 10 2" xfId="13842"/>
    <cellStyle name="Input 20 10 3" xfId="29590"/>
    <cellStyle name="Input 20 10 4" xfId="29591"/>
    <cellStyle name="Input 20 11" xfId="13843"/>
    <cellStyle name="Input 20 11 2" xfId="13844"/>
    <cellStyle name="Input 20 11 3" xfId="29592"/>
    <cellStyle name="Input 20 11 4" xfId="29593"/>
    <cellStyle name="Input 20 12" xfId="13845"/>
    <cellStyle name="Input 20 13" xfId="29594"/>
    <cellStyle name="Input 20 14" xfId="29595"/>
    <cellStyle name="Input 20 2" xfId="13846"/>
    <cellStyle name="Input 20 2 10" xfId="29596"/>
    <cellStyle name="Input 20 2 2" xfId="13847"/>
    <cellStyle name="Input 20 2 2 2" xfId="13848"/>
    <cellStyle name="Input 20 2 2 3" xfId="29597"/>
    <cellStyle name="Input 20 2 2 4" xfId="29598"/>
    <cellStyle name="Input 20 2 3" xfId="13849"/>
    <cellStyle name="Input 20 2 3 2" xfId="13850"/>
    <cellStyle name="Input 20 2 3 3" xfId="29599"/>
    <cellStyle name="Input 20 2 3 4" xfId="29600"/>
    <cellStyle name="Input 20 2 4" xfId="13851"/>
    <cellStyle name="Input 20 2 4 2" xfId="13852"/>
    <cellStyle name="Input 20 2 4 3" xfId="29601"/>
    <cellStyle name="Input 20 2 4 4" xfId="29602"/>
    <cellStyle name="Input 20 2 5" xfId="13853"/>
    <cellStyle name="Input 20 2 5 2" xfId="13854"/>
    <cellStyle name="Input 20 2 5 3" xfId="29603"/>
    <cellStyle name="Input 20 2 5 4" xfId="29604"/>
    <cellStyle name="Input 20 2 6" xfId="13855"/>
    <cellStyle name="Input 20 2 6 2" xfId="13856"/>
    <cellStyle name="Input 20 2 6 3" xfId="29605"/>
    <cellStyle name="Input 20 2 6 4" xfId="29606"/>
    <cellStyle name="Input 20 2 7" xfId="13857"/>
    <cellStyle name="Input 20 2 7 2" xfId="13858"/>
    <cellStyle name="Input 20 2 7 3" xfId="29607"/>
    <cellStyle name="Input 20 2 7 4" xfId="29608"/>
    <cellStyle name="Input 20 2 8" xfId="13859"/>
    <cellStyle name="Input 20 2 9" xfId="29609"/>
    <cellStyle name="Input 20 3" xfId="13860"/>
    <cellStyle name="Input 20 3 10" xfId="29610"/>
    <cellStyle name="Input 20 3 2" xfId="13861"/>
    <cellStyle name="Input 20 3 2 2" xfId="13862"/>
    <cellStyle name="Input 20 3 2 3" xfId="29611"/>
    <cellStyle name="Input 20 3 2 4" xfId="29612"/>
    <cellStyle name="Input 20 3 3" xfId="13863"/>
    <cellStyle name="Input 20 3 3 2" xfId="13864"/>
    <cellStyle name="Input 20 3 3 3" xfId="29613"/>
    <cellStyle name="Input 20 3 3 4" xfId="29614"/>
    <cellStyle name="Input 20 3 4" xfId="13865"/>
    <cellStyle name="Input 20 3 4 2" xfId="13866"/>
    <cellStyle name="Input 20 3 4 3" xfId="29615"/>
    <cellStyle name="Input 20 3 4 4" xfId="29616"/>
    <cellStyle name="Input 20 3 5" xfId="13867"/>
    <cellStyle name="Input 20 3 5 2" xfId="13868"/>
    <cellStyle name="Input 20 3 5 3" xfId="29617"/>
    <cellStyle name="Input 20 3 5 4" xfId="29618"/>
    <cellStyle name="Input 20 3 6" xfId="13869"/>
    <cellStyle name="Input 20 3 6 2" xfId="13870"/>
    <cellStyle name="Input 20 3 6 3" xfId="29619"/>
    <cellStyle name="Input 20 3 6 4" xfId="29620"/>
    <cellStyle name="Input 20 3 7" xfId="13871"/>
    <cellStyle name="Input 20 3 7 2" xfId="13872"/>
    <cellStyle name="Input 20 3 7 3" xfId="29621"/>
    <cellStyle name="Input 20 3 7 4" xfId="29622"/>
    <cellStyle name="Input 20 3 8" xfId="13873"/>
    <cellStyle name="Input 20 3 9" xfId="29623"/>
    <cellStyle name="Input 20 4" xfId="13874"/>
    <cellStyle name="Input 20 4 10" xfId="29624"/>
    <cellStyle name="Input 20 4 2" xfId="13875"/>
    <cellStyle name="Input 20 4 2 2" xfId="13876"/>
    <cellStyle name="Input 20 4 2 3" xfId="29625"/>
    <cellStyle name="Input 20 4 2 4" xfId="29626"/>
    <cellStyle name="Input 20 4 3" xfId="13877"/>
    <cellStyle name="Input 20 4 3 2" xfId="13878"/>
    <cellStyle name="Input 20 4 3 3" xfId="29627"/>
    <cellStyle name="Input 20 4 3 4" xfId="29628"/>
    <cellStyle name="Input 20 4 4" xfId="13879"/>
    <cellStyle name="Input 20 4 4 2" xfId="13880"/>
    <cellStyle name="Input 20 4 4 3" xfId="29629"/>
    <cellStyle name="Input 20 4 4 4" xfId="29630"/>
    <cellStyle name="Input 20 4 5" xfId="13881"/>
    <cellStyle name="Input 20 4 5 2" xfId="13882"/>
    <cellStyle name="Input 20 4 5 3" xfId="29631"/>
    <cellStyle name="Input 20 4 5 4" xfId="29632"/>
    <cellStyle name="Input 20 4 6" xfId="13883"/>
    <cellStyle name="Input 20 4 6 2" xfId="13884"/>
    <cellStyle name="Input 20 4 6 3" xfId="29633"/>
    <cellStyle name="Input 20 4 6 4" xfId="29634"/>
    <cellStyle name="Input 20 4 7" xfId="13885"/>
    <cellStyle name="Input 20 4 7 2" xfId="13886"/>
    <cellStyle name="Input 20 4 7 3" xfId="29635"/>
    <cellStyle name="Input 20 4 7 4" xfId="29636"/>
    <cellStyle name="Input 20 4 8" xfId="13887"/>
    <cellStyle name="Input 20 4 9" xfId="29637"/>
    <cellStyle name="Input 20 5" xfId="13888"/>
    <cellStyle name="Input 20 5 10" xfId="29638"/>
    <cellStyle name="Input 20 5 2" xfId="13889"/>
    <cellStyle name="Input 20 5 2 2" xfId="13890"/>
    <cellStyle name="Input 20 5 2 3" xfId="29639"/>
    <cellStyle name="Input 20 5 2 4" xfId="29640"/>
    <cellStyle name="Input 20 5 3" xfId="13891"/>
    <cellStyle name="Input 20 5 3 2" xfId="13892"/>
    <cellStyle name="Input 20 5 3 3" xfId="29641"/>
    <cellStyle name="Input 20 5 3 4" xfId="29642"/>
    <cellStyle name="Input 20 5 4" xfId="13893"/>
    <cellStyle name="Input 20 5 4 2" xfId="13894"/>
    <cellStyle name="Input 20 5 4 3" xfId="29643"/>
    <cellStyle name="Input 20 5 4 4" xfId="29644"/>
    <cellStyle name="Input 20 5 5" xfId="13895"/>
    <cellStyle name="Input 20 5 5 2" xfId="13896"/>
    <cellStyle name="Input 20 5 5 3" xfId="29645"/>
    <cellStyle name="Input 20 5 5 4" xfId="29646"/>
    <cellStyle name="Input 20 5 6" xfId="13897"/>
    <cellStyle name="Input 20 5 6 2" xfId="13898"/>
    <cellStyle name="Input 20 5 6 3" xfId="29647"/>
    <cellStyle name="Input 20 5 6 4" xfId="29648"/>
    <cellStyle name="Input 20 5 7" xfId="13899"/>
    <cellStyle name="Input 20 5 7 2" xfId="13900"/>
    <cellStyle name="Input 20 5 7 3" xfId="29649"/>
    <cellStyle name="Input 20 5 7 4" xfId="29650"/>
    <cellStyle name="Input 20 5 8" xfId="13901"/>
    <cellStyle name="Input 20 5 9" xfId="29651"/>
    <cellStyle name="Input 20 6" xfId="13902"/>
    <cellStyle name="Input 20 6 2" xfId="13903"/>
    <cellStyle name="Input 20 6 3" xfId="29652"/>
    <cellStyle name="Input 20 6 4" xfId="29653"/>
    <cellStyle name="Input 20 7" xfId="13904"/>
    <cellStyle name="Input 20 7 2" xfId="13905"/>
    <cellStyle name="Input 20 7 3" xfId="29654"/>
    <cellStyle name="Input 20 7 4" xfId="29655"/>
    <cellStyle name="Input 20 8" xfId="13906"/>
    <cellStyle name="Input 20 8 2" xfId="13907"/>
    <cellStyle name="Input 20 8 3" xfId="29656"/>
    <cellStyle name="Input 20 8 4" xfId="29657"/>
    <cellStyle name="Input 20 9" xfId="13908"/>
    <cellStyle name="Input 20 9 2" xfId="13909"/>
    <cellStyle name="Input 20 9 3" xfId="29658"/>
    <cellStyle name="Input 20 9 4" xfId="29659"/>
    <cellStyle name="Input 21" xfId="13910"/>
    <cellStyle name="Input 21 10" xfId="13911"/>
    <cellStyle name="Input 21 10 2" xfId="13912"/>
    <cellStyle name="Input 21 10 3" xfId="29660"/>
    <cellStyle name="Input 21 10 4" xfId="29661"/>
    <cellStyle name="Input 21 11" xfId="13913"/>
    <cellStyle name="Input 21 11 2" xfId="13914"/>
    <cellStyle name="Input 21 11 3" xfId="29662"/>
    <cellStyle name="Input 21 11 4" xfId="29663"/>
    <cellStyle name="Input 21 12" xfId="13915"/>
    <cellStyle name="Input 21 13" xfId="29664"/>
    <cellStyle name="Input 21 14" xfId="29665"/>
    <cellStyle name="Input 21 2" xfId="13916"/>
    <cellStyle name="Input 21 2 10" xfId="29666"/>
    <cellStyle name="Input 21 2 2" xfId="13917"/>
    <cellStyle name="Input 21 2 2 2" xfId="13918"/>
    <cellStyle name="Input 21 2 2 3" xfId="29667"/>
    <cellStyle name="Input 21 2 2 4" xfId="29668"/>
    <cellStyle name="Input 21 2 3" xfId="13919"/>
    <cellStyle name="Input 21 2 3 2" xfId="13920"/>
    <cellStyle name="Input 21 2 3 3" xfId="29669"/>
    <cellStyle name="Input 21 2 3 4" xfId="29670"/>
    <cellStyle name="Input 21 2 4" xfId="13921"/>
    <cellStyle name="Input 21 2 4 2" xfId="13922"/>
    <cellStyle name="Input 21 2 4 3" xfId="29671"/>
    <cellStyle name="Input 21 2 4 4" xfId="29672"/>
    <cellStyle name="Input 21 2 5" xfId="13923"/>
    <cellStyle name="Input 21 2 5 2" xfId="13924"/>
    <cellStyle name="Input 21 2 5 3" xfId="29673"/>
    <cellStyle name="Input 21 2 5 4" xfId="29674"/>
    <cellStyle name="Input 21 2 6" xfId="13925"/>
    <cellStyle name="Input 21 2 6 2" xfId="13926"/>
    <cellStyle name="Input 21 2 6 3" xfId="29675"/>
    <cellStyle name="Input 21 2 6 4" xfId="29676"/>
    <cellStyle name="Input 21 2 7" xfId="13927"/>
    <cellStyle name="Input 21 2 7 2" xfId="13928"/>
    <cellStyle name="Input 21 2 7 3" xfId="29677"/>
    <cellStyle name="Input 21 2 7 4" xfId="29678"/>
    <cellStyle name="Input 21 2 8" xfId="13929"/>
    <cellStyle name="Input 21 2 9" xfId="29679"/>
    <cellStyle name="Input 21 3" xfId="13930"/>
    <cellStyle name="Input 21 3 10" xfId="29680"/>
    <cellStyle name="Input 21 3 2" xfId="13931"/>
    <cellStyle name="Input 21 3 2 2" xfId="13932"/>
    <cellStyle name="Input 21 3 2 3" xfId="29681"/>
    <cellStyle name="Input 21 3 2 4" xfId="29682"/>
    <cellStyle name="Input 21 3 3" xfId="13933"/>
    <cellStyle name="Input 21 3 3 2" xfId="13934"/>
    <cellStyle name="Input 21 3 3 3" xfId="29683"/>
    <cellStyle name="Input 21 3 3 4" xfId="29684"/>
    <cellStyle name="Input 21 3 4" xfId="13935"/>
    <cellStyle name="Input 21 3 4 2" xfId="13936"/>
    <cellStyle name="Input 21 3 4 3" xfId="29685"/>
    <cellStyle name="Input 21 3 4 4" xfId="29686"/>
    <cellStyle name="Input 21 3 5" xfId="13937"/>
    <cellStyle name="Input 21 3 5 2" xfId="13938"/>
    <cellStyle name="Input 21 3 5 3" xfId="29687"/>
    <cellStyle name="Input 21 3 5 4" xfId="29688"/>
    <cellStyle name="Input 21 3 6" xfId="13939"/>
    <cellStyle name="Input 21 3 6 2" xfId="13940"/>
    <cellStyle name="Input 21 3 6 3" xfId="29689"/>
    <cellStyle name="Input 21 3 6 4" xfId="29690"/>
    <cellStyle name="Input 21 3 7" xfId="13941"/>
    <cellStyle name="Input 21 3 7 2" xfId="13942"/>
    <cellStyle name="Input 21 3 7 3" xfId="29691"/>
    <cellStyle name="Input 21 3 7 4" xfId="29692"/>
    <cellStyle name="Input 21 3 8" xfId="13943"/>
    <cellStyle name="Input 21 3 9" xfId="29693"/>
    <cellStyle name="Input 21 4" xfId="13944"/>
    <cellStyle name="Input 21 4 10" xfId="29694"/>
    <cellStyle name="Input 21 4 2" xfId="13945"/>
    <cellStyle name="Input 21 4 2 2" xfId="13946"/>
    <cellStyle name="Input 21 4 2 3" xfId="29695"/>
    <cellStyle name="Input 21 4 2 4" xfId="29696"/>
    <cellStyle name="Input 21 4 3" xfId="13947"/>
    <cellStyle name="Input 21 4 3 2" xfId="13948"/>
    <cellStyle name="Input 21 4 3 3" xfId="29697"/>
    <cellStyle name="Input 21 4 3 4" xfId="29698"/>
    <cellStyle name="Input 21 4 4" xfId="13949"/>
    <cellStyle name="Input 21 4 4 2" xfId="13950"/>
    <cellStyle name="Input 21 4 4 3" xfId="29699"/>
    <cellStyle name="Input 21 4 4 4" xfId="29700"/>
    <cellStyle name="Input 21 4 5" xfId="13951"/>
    <cellStyle name="Input 21 4 5 2" xfId="13952"/>
    <cellStyle name="Input 21 4 5 3" xfId="29701"/>
    <cellStyle name="Input 21 4 5 4" xfId="29702"/>
    <cellStyle name="Input 21 4 6" xfId="13953"/>
    <cellStyle name="Input 21 4 6 2" xfId="13954"/>
    <cellStyle name="Input 21 4 6 3" xfId="29703"/>
    <cellStyle name="Input 21 4 6 4" xfId="29704"/>
    <cellStyle name="Input 21 4 7" xfId="13955"/>
    <cellStyle name="Input 21 4 7 2" xfId="13956"/>
    <cellStyle name="Input 21 4 7 3" xfId="29705"/>
    <cellStyle name="Input 21 4 7 4" xfId="29706"/>
    <cellStyle name="Input 21 4 8" xfId="13957"/>
    <cellStyle name="Input 21 4 9" xfId="29707"/>
    <cellStyle name="Input 21 5" xfId="13958"/>
    <cellStyle name="Input 21 5 10" xfId="29708"/>
    <cellStyle name="Input 21 5 2" xfId="13959"/>
    <cellStyle name="Input 21 5 2 2" xfId="13960"/>
    <cellStyle name="Input 21 5 2 3" xfId="29709"/>
    <cellStyle name="Input 21 5 2 4" xfId="29710"/>
    <cellStyle name="Input 21 5 3" xfId="13961"/>
    <cellStyle name="Input 21 5 3 2" xfId="13962"/>
    <cellStyle name="Input 21 5 3 3" xfId="29711"/>
    <cellStyle name="Input 21 5 3 4" xfId="29712"/>
    <cellStyle name="Input 21 5 4" xfId="13963"/>
    <cellStyle name="Input 21 5 4 2" xfId="13964"/>
    <cellStyle name="Input 21 5 4 3" xfId="29713"/>
    <cellStyle name="Input 21 5 4 4" xfId="29714"/>
    <cellStyle name="Input 21 5 5" xfId="13965"/>
    <cellStyle name="Input 21 5 5 2" xfId="13966"/>
    <cellStyle name="Input 21 5 5 3" xfId="29715"/>
    <cellStyle name="Input 21 5 5 4" xfId="29716"/>
    <cellStyle name="Input 21 5 6" xfId="13967"/>
    <cellStyle name="Input 21 5 6 2" xfId="13968"/>
    <cellStyle name="Input 21 5 6 3" xfId="29717"/>
    <cellStyle name="Input 21 5 6 4" xfId="29718"/>
    <cellStyle name="Input 21 5 7" xfId="13969"/>
    <cellStyle name="Input 21 5 7 2" xfId="13970"/>
    <cellStyle name="Input 21 5 7 3" xfId="29719"/>
    <cellStyle name="Input 21 5 7 4" xfId="29720"/>
    <cellStyle name="Input 21 5 8" xfId="13971"/>
    <cellStyle name="Input 21 5 9" xfId="29721"/>
    <cellStyle name="Input 21 6" xfId="13972"/>
    <cellStyle name="Input 21 6 2" xfId="13973"/>
    <cellStyle name="Input 21 6 3" xfId="29722"/>
    <cellStyle name="Input 21 6 4" xfId="29723"/>
    <cellStyle name="Input 21 7" xfId="13974"/>
    <cellStyle name="Input 21 7 2" xfId="13975"/>
    <cellStyle name="Input 21 7 3" xfId="29724"/>
    <cellStyle name="Input 21 7 4" xfId="29725"/>
    <cellStyle name="Input 21 8" xfId="13976"/>
    <cellStyle name="Input 21 8 2" xfId="13977"/>
    <cellStyle name="Input 21 8 3" xfId="29726"/>
    <cellStyle name="Input 21 8 4" xfId="29727"/>
    <cellStyle name="Input 21 9" xfId="13978"/>
    <cellStyle name="Input 21 9 2" xfId="13979"/>
    <cellStyle name="Input 21 9 3" xfId="29728"/>
    <cellStyle name="Input 21 9 4" xfId="29729"/>
    <cellStyle name="Input 22" xfId="13980"/>
    <cellStyle name="Input 22 10" xfId="13981"/>
    <cellStyle name="Input 22 10 2" xfId="13982"/>
    <cellStyle name="Input 22 10 3" xfId="29730"/>
    <cellStyle name="Input 22 10 4" xfId="29731"/>
    <cellStyle name="Input 22 11" xfId="13983"/>
    <cellStyle name="Input 22 11 2" xfId="13984"/>
    <cellStyle name="Input 22 11 3" xfId="29732"/>
    <cellStyle name="Input 22 11 4" xfId="29733"/>
    <cellStyle name="Input 22 12" xfId="13985"/>
    <cellStyle name="Input 22 13" xfId="29734"/>
    <cellStyle name="Input 22 14" xfId="29735"/>
    <cellStyle name="Input 22 2" xfId="13986"/>
    <cellStyle name="Input 22 2 10" xfId="29736"/>
    <cellStyle name="Input 22 2 2" xfId="13987"/>
    <cellStyle name="Input 22 2 2 2" xfId="13988"/>
    <cellStyle name="Input 22 2 2 3" xfId="29737"/>
    <cellStyle name="Input 22 2 2 4" xfId="29738"/>
    <cellStyle name="Input 22 2 3" xfId="13989"/>
    <cellStyle name="Input 22 2 3 2" xfId="13990"/>
    <cellStyle name="Input 22 2 3 3" xfId="29739"/>
    <cellStyle name="Input 22 2 3 4" xfId="29740"/>
    <cellStyle name="Input 22 2 4" xfId="13991"/>
    <cellStyle name="Input 22 2 4 2" xfId="13992"/>
    <cellStyle name="Input 22 2 4 3" xfId="29741"/>
    <cellStyle name="Input 22 2 4 4" xfId="29742"/>
    <cellStyle name="Input 22 2 5" xfId="13993"/>
    <cellStyle name="Input 22 2 5 2" xfId="13994"/>
    <cellStyle name="Input 22 2 5 3" xfId="29743"/>
    <cellStyle name="Input 22 2 5 4" xfId="29744"/>
    <cellStyle name="Input 22 2 6" xfId="13995"/>
    <cellStyle name="Input 22 2 6 2" xfId="13996"/>
    <cellStyle name="Input 22 2 6 3" xfId="29745"/>
    <cellStyle name="Input 22 2 6 4" xfId="29746"/>
    <cellStyle name="Input 22 2 7" xfId="13997"/>
    <cellStyle name="Input 22 2 7 2" xfId="13998"/>
    <cellStyle name="Input 22 2 7 3" xfId="29747"/>
    <cellStyle name="Input 22 2 7 4" xfId="29748"/>
    <cellStyle name="Input 22 2 8" xfId="13999"/>
    <cellStyle name="Input 22 2 9" xfId="29749"/>
    <cellStyle name="Input 22 3" xfId="14000"/>
    <cellStyle name="Input 22 3 10" xfId="29750"/>
    <cellStyle name="Input 22 3 2" xfId="14001"/>
    <cellStyle name="Input 22 3 2 2" xfId="14002"/>
    <cellStyle name="Input 22 3 2 3" xfId="29751"/>
    <cellStyle name="Input 22 3 2 4" xfId="29752"/>
    <cellStyle name="Input 22 3 3" xfId="14003"/>
    <cellStyle name="Input 22 3 3 2" xfId="14004"/>
    <cellStyle name="Input 22 3 3 3" xfId="29753"/>
    <cellStyle name="Input 22 3 3 4" xfId="29754"/>
    <cellStyle name="Input 22 3 4" xfId="14005"/>
    <cellStyle name="Input 22 3 4 2" xfId="14006"/>
    <cellStyle name="Input 22 3 4 3" xfId="29755"/>
    <cellStyle name="Input 22 3 4 4" xfId="29756"/>
    <cellStyle name="Input 22 3 5" xfId="14007"/>
    <cellStyle name="Input 22 3 5 2" xfId="14008"/>
    <cellStyle name="Input 22 3 5 3" xfId="29757"/>
    <cellStyle name="Input 22 3 5 4" xfId="29758"/>
    <cellStyle name="Input 22 3 6" xfId="14009"/>
    <cellStyle name="Input 22 3 6 2" xfId="14010"/>
    <cellStyle name="Input 22 3 6 3" xfId="29759"/>
    <cellStyle name="Input 22 3 6 4" xfId="29760"/>
    <cellStyle name="Input 22 3 7" xfId="14011"/>
    <cellStyle name="Input 22 3 7 2" xfId="14012"/>
    <cellStyle name="Input 22 3 7 3" xfId="29761"/>
    <cellStyle name="Input 22 3 7 4" xfId="29762"/>
    <cellStyle name="Input 22 3 8" xfId="14013"/>
    <cellStyle name="Input 22 3 9" xfId="29763"/>
    <cellStyle name="Input 22 4" xfId="14014"/>
    <cellStyle name="Input 22 4 10" xfId="29764"/>
    <cellStyle name="Input 22 4 2" xfId="14015"/>
    <cellStyle name="Input 22 4 2 2" xfId="14016"/>
    <cellStyle name="Input 22 4 2 3" xfId="29765"/>
    <cellStyle name="Input 22 4 2 4" xfId="29766"/>
    <cellStyle name="Input 22 4 3" xfId="14017"/>
    <cellStyle name="Input 22 4 3 2" xfId="14018"/>
    <cellStyle name="Input 22 4 3 3" xfId="29767"/>
    <cellStyle name="Input 22 4 3 4" xfId="29768"/>
    <cellStyle name="Input 22 4 4" xfId="14019"/>
    <cellStyle name="Input 22 4 4 2" xfId="14020"/>
    <cellStyle name="Input 22 4 4 3" xfId="29769"/>
    <cellStyle name="Input 22 4 4 4" xfId="29770"/>
    <cellStyle name="Input 22 4 5" xfId="14021"/>
    <cellStyle name="Input 22 4 5 2" xfId="14022"/>
    <cellStyle name="Input 22 4 5 3" xfId="29771"/>
    <cellStyle name="Input 22 4 5 4" xfId="29772"/>
    <cellStyle name="Input 22 4 6" xfId="14023"/>
    <cellStyle name="Input 22 4 6 2" xfId="14024"/>
    <cellStyle name="Input 22 4 6 3" xfId="29773"/>
    <cellStyle name="Input 22 4 6 4" xfId="29774"/>
    <cellStyle name="Input 22 4 7" xfId="14025"/>
    <cellStyle name="Input 22 4 7 2" xfId="14026"/>
    <cellStyle name="Input 22 4 7 3" xfId="29775"/>
    <cellStyle name="Input 22 4 7 4" xfId="29776"/>
    <cellStyle name="Input 22 4 8" xfId="14027"/>
    <cellStyle name="Input 22 4 9" xfId="29777"/>
    <cellStyle name="Input 22 5" xfId="14028"/>
    <cellStyle name="Input 22 5 10" xfId="29778"/>
    <cellStyle name="Input 22 5 2" xfId="14029"/>
    <cellStyle name="Input 22 5 2 2" xfId="14030"/>
    <cellStyle name="Input 22 5 2 3" xfId="29779"/>
    <cellStyle name="Input 22 5 2 4" xfId="29780"/>
    <cellStyle name="Input 22 5 3" xfId="14031"/>
    <cellStyle name="Input 22 5 3 2" xfId="14032"/>
    <cellStyle name="Input 22 5 3 3" xfId="29781"/>
    <cellStyle name="Input 22 5 3 4" xfId="29782"/>
    <cellStyle name="Input 22 5 4" xfId="14033"/>
    <cellStyle name="Input 22 5 4 2" xfId="14034"/>
    <cellStyle name="Input 22 5 4 3" xfId="29783"/>
    <cellStyle name="Input 22 5 4 4" xfId="29784"/>
    <cellStyle name="Input 22 5 5" xfId="14035"/>
    <cellStyle name="Input 22 5 5 2" xfId="14036"/>
    <cellStyle name="Input 22 5 5 3" xfId="29785"/>
    <cellStyle name="Input 22 5 5 4" xfId="29786"/>
    <cellStyle name="Input 22 5 6" xfId="14037"/>
    <cellStyle name="Input 22 5 6 2" xfId="14038"/>
    <cellStyle name="Input 22 5 6 3" xfId="29787"/>
    <cellStyle name="Input 22 5 6 4" xfId="29788"/>
    <cellStyle name="Input 22 5 7" xfId="14039"/>
    <cellStyle name="Input 22 5 7 2" xfId="14040"/>
    <cellStyle name="Input 22 5 7 3" xfId="29789"/>
    <cellStyle name="Input 22 5 7 4" xfId="29790"/>
    <cellStyle name="Input 22 5 8" xfId="14041"/>
    <cellStyle name="Input 22 5 9" xfId="29791"/>
    <cellStyle name="Input 22 6" xfId="14042"/>
    <cellStyle name="Input 22 6 2" xfId="14043"/>
    <cellStyle name="Input 22 6 3" xfId="29792"/>
    <cellStyle name="Input 22 6 4" xfId="29793"/>
    <cellStyle name="Input 22 7" xfId="14044"/>
    <cellStyle name="Input 22 7 2" xfId="14045"/>
    <cellStyle name="Input 22 7 3" xfId="29794"/>
    <cellStyle name="Input 22 7 4" xfId="29795"/>
    <cellStyle name="Input 22 8" xfId="14046"/>
    <cellStyle name="Input 22 8 2" xfId="14047"/>
    <cellStyle name="Input 22 8 3" xfId="29796"/>
    <cellStyle name="Input 22 8 4" xfId="29797"/>
    <cellStyle name="Input 22 9" xfId="14048"/>
    <cellStyle name="Input 22 9 2" xfId="14049"/>
    <cellStyle name="Input 22 9 3" xfId="29798"/>
    <cellStyle name="Input 22 9 4" xfId="29799"/>
    <cellStyle name="Input 23" xfId="14050"/>
    <cellStyle name="Input 23 10" xfId="29800"/>
    <cellStyle name="Input 23 2" xfId="14051"/>
    <cellStyle name="Input 23 2 2" xfId="14052"/>
    <cellStyle name="Input 23 2 3" xfId="29801"/>
    <cellStyle name="Input 23 2 4" xfId="29802"/>
    <cellStyle name="Input 23 3" xfId="14053"/>
    <cellStyle name="Input 23 3 2" xfId="14054"/>
    <cellStyle name="Input 23 3 3" xfId="29803"/>
    <cellStyle name="Input 23 3 4" xfId="29804"/>
    <cellStyle name="Input 23 4" xfId="14055"/>
    <cellStyle name="Input 23 4 2" xfId="14056"/>
    <cellStyle name="Input 23 4 3" xfId="29805"/>
    <cellStyle name="Input 23 4 4" xfId="29806"/>
    <cellStyle name="Input 23 5" xfId="14057"/>
    <cellStyle name="Input 23 5 2" xfId="14058"/>
    <cellStyle name="Input 23 5 3" xfId="29807"/>
    <cellStyle name="Input 23 5 4" xfId="29808"/>
    <cellStyle name="Input 23 6" xfId="14059"/>
    <cellStyle name="Input 23 6 2" xfId="14060"/>
    <cellStyle name="Input 23 6 3" xfId="29809"/>
    <cellStyle name="Input 23 6 4" xfId="29810"/>
    <cellStyle name="Input 23 7" xfId="14061"/>
    <cellStyle name="Input 23 7 2" xfId="14062"/>
    <cellStyle name="Input 23 7 3" xfId="29811"/>
    <cellStyle name="Input 23 7 4" xfId="29812"/>
    <cellStyle name="Input 23 8" xfId="14063"/>
    <cellStyle name="Input 23 9" xfId="29813"/>
    <cellStyle name="Input 24" xfId="14064"/>
    <cellStyle name="Input 24 10" xfId="29814"/>
    <cellStyle name="Input 24 2" xfId="14065"/>
    <cellStyle name="Input 24 2 2" xfId="14066"/>
    <cellStyle name="Input 24 2 3" xfId="29815"/>
    <cellStyle name="Input 24 2 4" xfId="29816"/>
    <cellStyle name="Input 24 3" xfId="14067"/>
    <cellStyle name="Input 24 3 2" xfId="14068"/>
    <cellStyle name="Input 24 3 3" xfId="29817"/>
    <cellStyle name="Input 24 3 4" xfId="29818"/>
    <cellStyle name="Input 24 4" xfId="14069"/>
    <cellStyle name="Input 24 4 2" xfId="14070"/>
    <cellStyle name="Input 24 4 3" xfId="29819"/>
    <cellStyle name="Input 24 4 4" xfId="29820"/>
    <cellStyle name="Input 24 5" xfId="14071"/>
    <cellStyle name="Input 24 5 2" xfId="14072"/>
    <cellStyle name="Input 24 5 3" xfId="29821"/>
    <cellStyle name="Input 24 5 4" xfId="29822"/>
    <cellStyle name="Input 24 6" xfId="14073"/>
    <cellStyle name="Input 24 6 2" xfId="14074"/>
    <cellStyle name="Input 24 6 3" xfId="29823"/>
    <cellStyle name="Input 24 6 4" xfId="29824"/>
    <cellStyle name="Input 24 7" xfId="14075"/>
    <cellStyle name="Input 24 7 2" xfId="14076"/>
    <cellStyle name="Input 24 7 3" xfId="29825"/>
    <cellStyle name="Input 24 7 4" xfId="29826"/>
    <cellStyle name="Input 24 8" xfId="14077"/>
    <cellStyle name="Input 24 9" xfId="29827"/>
    <cellStyle name="Input 25" xfId="14078"/>
    <cellStyle name="Input 25 10" xfId="29828"/>
    <cellStyle name="Input 25 2" xfId="14079"/>
    <cellStyle name="Input 25 2 2" xfId="14080"/>
    <cellStyle name="Input 25 2 3" xfId="29829"/>
    <cellStyle name="Input 25 2 4" xfId="29830"/>
    <cellStyle name="Input 25 3" xfId="14081"/>
    <cellStyle name="Input 25 3 2" xfId="14082"/>
    <cellStyle name="Input 25 3 3" xfId="29831"/>
    <cellStyle name="Input 25 3 4" xfId="29832"/>
    <cellStyle name="Input 25 4" xfId="14083"/>
    <cellStyle name="Input 25 4 2" xfId="14084"/>
    <cellStyle name="Input 25 4 3" xfId="29833"/>
    <cellStyle name="Input 25 4 4" xfId="29834"/>
    <cellStyle name="Input 25 5" xfId="14085"/>
    <cellStyle name="Input 25 5 2" xfId="14086"/>
    <cellStyle name="Input 25 5 3" xfId="29835"/>
    <cellStyle name="Input 25 5 4" xfId="29836"/>
    <cellStyle name="Input 25 6" xfId="14087"/>
    <cellStyle name="Input 25 6 2" xfId="14088"/>
    <cellStyle name="Input 25 6 3" xfId="29837"/>
    <cellStyle name="Input 25 6 4" xfId="29838"/>
    <cellStyle name="Input 25 7" xfId="14089"/>
    <cellStyle name="Input 25 7 2" xfId="14090"/>
    <cellStyle name="Input 25 7 3" xfId="29839"/>
    <cellStyle name="Input 25 7 4" xfId="29840"/>
    <cellStyle name="Input 25 8" xfId="14091"/>
    <cellStyle name="Input 25 9" xfId="29841"/>
    <cellStyle name="Input 26" xfId="14092"/>
    <cellStyle name="Input 26 10" xfId="29842"/>
    <cellStyle name="Input 26 2" xfId="14093"/>
    <cellStyle name="Input 26 2 2" xfId="14094"/>
    <cellStyle name="Input 26 2 3" xfId="29843"/>
    <cellStyle name="Input 26 2 4" xfId="29844"/>
    <cellStyle name="Input 26 3" xfId="14095"/>
    <cellStyle name="Input 26 3 2" xfId="14096"/>
    <cellStyle name="Input 26 3 3" xfId="29845"/>
    <cellStyle name="Input 26 3 4" xfId="29846"/>
    <cellStyle name="Input 26 4" xfId="14097"/>
    <cellStyle name="Input 26 4 2" xfId="14098"/>
    <cellStyle name="Input 26 4 3" xfId="29847"/>
    <cellStyle name="Input 26 4 4" xfId="29848"/>
    <cellStyle name="Input 26 5" xfId="14099"/>
    <cellStyle name="Input 26 5 2" xfId="14100"/>
    <cellStyle name="Input 26 5 3" xfId="29849"/>
    <cellStyle name="Input 26 5 4" xfId="29850"/>
    <cellStyle name="Input 26 6" xfId="14101"/>
    <cellStyle name="Input 26 6 2" xfId="14102"/>
    <cellStyle name="Input 26 6 3" xfId="29851"/>
    <cellStyle name="Input 26 6 4" xfId="29852"/>
    <cellStyle name="Input 26 7" xfId="14103"/>
    <cellStyle name="Input 26 7 2" xfId="14104"/>
    <cellStyle name="Input 26 7 3" xfId="29853"/>
    <cellStyle name="Input 26 7 4" xfId="29854"/>
    <cellStyle name="Input 26 8" xfId="14105"/>
    <cellStyle name="Input 26 9" xfId="29855"/>
    <cellStyle name="Input 3" xfId="14106"/>
    <cellStyle name="Input 3 10" xfId="14107"/>
    <cellStyle name="Input 3 10 2" xfId="14108"/>
    <cellStyle name="Input 3 10 3" xfId="29856"/>
    <cellStyle name="Input 3 10 4" xfId="29857"/>
    <cellStyle name="Input 3 11" xfId="14109"/>
    <cellStyle name="Input 3 11 2" xfId="14110"/>
    <cellStyle name="Input 3 11 3" xfId="29858"/>
    <cellStyle name="Input 3 11 4" xfId="29859"/>
    <cellStyle name="Input 3 12" xfId="14111"/>
    <cellStyle name="Input 3 13" xfId="29860"/>
    <cellStyle name="Input 3 14" xfId="29861"/>
    <cellStyle name="Input 3 2" xfId="14112"/>
    <cellStyle name="Input 3 2 10" xfId="29862"/>
    <cellStyle name="Input 3 2 2" xfId="14113"/>
    <cellStyle name="Input 3 2 2 2" xfId="14114"/>
    <cellStyle name="Input 3 2 2 3" xfId="29863"/>
    <cellStyle name="Input 3 2 2 4" xfId="29864"/>
    <cellStyle name="Input 3 2 3" xfId="14115"/>
    <cellStyle name="Input 3 2 3 2" xfId="14116"/>
    <cellStyle name="Input 3 2 3 3" xfId="29865"/>
    <cellStyle name="Input 3 2 3 4" xfId="29866"/>
    <cellStyle name="Input 3 2 4" xfId="14117"/>
    <cellStyle name="Input 3 2 4 2" xfId="14118"/>
    <cellStyle name="Input 3 2 4 3" xfId="29867"/>
    <cellStyle name="Input 3 2 4 4" xfId="29868"/>
    <cellStyle name="Input 3 2 5" xfId="14119"/>
    <cellStyle name="Input 3 2 5 2" xfId="14120"/>
    <cellStyle name="Input 3 2 5 3" xfId="29869"/>
    <cellStyle name="Input 3 2 5 4" xfId="29870"/>
    <cellStyle name="Input 3 2 6" xfId="14121"/>
    <cellStyle name="Input 3 2 6 2" xfId="14122"/>
    <cellStyle name="Input 3 2 6 3" xfId="29871"/>
    <cellStyle name="Input 3 2 6 4" xfId="29872"/>
    <cellStyle name="Input 3 2 7" xfId="14123"/>
    <cellStyle name="Input 3 2 7 2" xfId="14124"/>
    <cellStyle name="Input 3 2 7 3" xfId="29873"/>
    <cellStyle name="Input 3 2 7 4" xfId="29874"/>
    <cellStyle name="Input 3 2 8" xfId="14125"/>
    <cellStyle name="Input 3 2 9" xfId="29875"/>
    <cellStyle name="Input 3 3" xfId="14126"/>
    <cellStyle name="Input 3 3 10" xfId="29876"/>
    <cellStyle name="Input 3 3 2" xfId="14127"/>
    <cellStyle name="Input 3 3 2 2" xfId="14128"/>
    <cellStyle name="Input 3 3 2 3" xfId="29877"/>
    <cellStyle name="Input 3 3 2 4" xfId="29878"/>
    <cellStyle name="Input 3 3 3" xfId="14129"/>
    <cellStyle name="Input 3 3 3 2" xfId="14130"/>
    <cellStyle name="Input 3 3 3 3" xfId="29879"/>
    <cellStyle name="Input 3 3 3 4" xfId="29880"/>
    <cellStyle name="Input 3 3 4" xfId="14131"/>
    <cellStyle name="Input 3 3 4 2" xfId="14132"/>
    <cellStyle name="Input 3 3 4 3" xfId="29881"/>
    <cellStyle name="Input 3 3 4 4" xfId="29882"/>
    <cellStyle name="Input 3 3 5" xfId="14133"/>
    <cellStyle name="Input 3 3 5 2" xfId="14134"/>
    <cellStyle name="Input 3 3 5 3" xfId="29883"/>
    <cellStyle name="Input 3 3 5 4" xfId="29884"/>
    <cellStyle name="Input 3 3 6" xfId="14135"/>
    <cellStyle name="Input 3 3 6 2" xfId="14136"/>
    <cellStyle name="Input 3 3 6 3" xfId="29885"/>
    <cellStyle name="Input 3 3 6 4" xfId="29886"/>
    <cellStyle name="Input 3 3 7" xfId="14137"/>
    <cellStyle name="Input 3 3 7 2" xfId="14138"/>
    <cellStyle name="Input 3 3 7 3" xfId="29887"/>
    <cellStyle name="Input 3 3 7 4" xfId="29888"/>
    <cellStyle name="Input 3 3 8" xfId="14139"/>
    <cellStyle name="Input 3 3 9" xfId="29889"/>
    <cellStyle name="Input 3 4" xfId="14140"/>
    <cellStyle name="Input 3 4 10" xfId="29890"/>
    <cellStyle name="Input 3 4 2" xfId="14141"/>
    <cellStyle name="Input 3 4 2 2" xfId="14142"/>
    <cellStyle name="Input 3 4 2 3" xfId="29891"/>
    <cellStyle name="Input 3 4 2 4" xfId="29892"/>
    <cellStyle name="Input 3 4 3" xfId="14143"/>
    <cellStyle name="Input 3 4 3 2" xfId="14144"/>
    <cellStyle name="Input 3 4 3 3" xfId="29893"/>
    <cellStyle name="Input 3 4 3 4" xfId="29894"/>
    <cellStyle name="Input 3 4 4" xfId="14145"/>
    <cellStyle name="Input 3 4 4 2" xfId="14146"/>
    <cellStyle name="Input 3 4 4 3" xfId="29895"/>
    <cellStyle name="Input 3 4 4 4" xfId="29896"/>
    <cellStyle name="Input 3 4 5" xfId="14147"/>
    <cellStyle name="Input 3 4 5 2" xfId="14148"/>
    <cellStyle name="Input 3 4 5 3" xfId="29897"/>
    <cellStyle name="Input 3 4 5 4" xfId="29898"/>
    <cellStyle name="Input 3 4 6" xfId="14149"/>
    <cellStyle name="Input 3 4 6 2" xfId="14150"/>
    <cellStyle name="Input 3 4 6 3" xfId="29899"/>
    <cellStyle name="Input 3 4 6 4" xfId="29900"/>
    <cellStyle name="Input 3 4 7" xfId="14151"/>
    <cellStyle name="Input 3 4 7 2" xfId="14152"/>
    <cellStyle name="Input 3 4 7 3" xfId="29901"/>
    <cellStyle name="Input 3 4 7 4" xfId="29902"/>
    <cellStyle name="Input 3 4 8" xfId="14153"/>
    <cellStyle name="Input 3 4 9" xfId="29903"/>
    <cellStyle name="Input 3 5" xfId="14154"/>
    <cellStyle name="Input 3 5 10" xfId="29904"/>
    <cellStyle name="Input 3 5 2" xfId="14155"/>
    <cellStyle name="Input 3 5 2 2" xfId="14156"/>
    <cellStyle name="Input 3 5 2 3" xfId="29905"/>
    <cellStyle name="Input 3 5 2 4" xfId="29906"/>
    <cellStyle name="Input 3 5 3" xfId="14157"/>
    <cellStyle name="Input 3 5 3 2" xfId="14158"/>
    <cellStyle name="Input 3 5 3 3" xfId="29907"/>
    <cellStyle name="Input 3 5 3 4" xfId="29908"/>
    <cellStyle name="Input 3 5 4" xfId="14159"/>
    <cellStyle name="Input 3 5 4 2" xfId="14160"/>
    <cellStyle name="Input 3 5 4 3" xfId="29909"/>
    <cellStyle name="Input 3 5 4 4" xfId="29910"/>
    <cellStyle name="Input 3 5 5" xfId="14161"/>
    <cellStyle name="Input 3 5 5 2" xfId="14162"/>
    <cellStyle name="Input 3 5 5 3" xfId="29911"/>
    <cellStyle name="Input 3 5 5 4" xfId="29912"/>
    <cellStyle name="Input 3 5 6" xfId="14163"/>
    <cellStyle name="Input 3 5 6 2" xfId="14164"/>
    <cellStyle name="Input 3 5 6 3" xfId="29913"/>
    <cellStyle name="Input 3 5 6 4" xfId="29914"/>
    <cellStyle name="Input 3 5 7" xfId="14165"/>
    <cellStyle name="Input 3 5 7 2" xfId="14166"/>
    <cellStyle name="Input 3 5 7 3" xfId="29915"/>
    <cellStyle name="Input 3 5 7 4" xfId="29916"/>
    <cellStyle name="Input 3 5 8" xfId="14167"/>
    <cellStyle name="Input 3 5 9" xfId="29917"/>
    <cellStyle name="Input 3 6" xfId="14168"/>
    <cellStyle name="Input 3 6 2" xfId="14169"/>
    <cellStyle name="Input 3 6 3" xfId="29918"/>
    <cellStyle name="Input 3 6 4" xfId="29919"/>
    <cellStyle name="Input 3 7" xfId="14170"/>
    <cellStyle name="Input 3 7 2" xfId="14171"/>
    <cellStyle name="Input 3 7 3" xfId="29920"/>
    <cellStyle name="Input 3 7 4" xfId="29921"/>
    <cellStyle name="Input 3 8" xfId="14172"/>
    <cellStyle name="Input 3 8 2" xfId="14173"/>
    <cellStyle name="Input 3 8 3" xfId="29922"/>
    <cellStyle name="Input 3 8 4" xfId="29923"/>
    <cellStyle name="Input 3 9" xfId="14174"/>
    <cellStyle name="Input 3 9 2" xfId="14175"/>
    <cellStyle name="Input 3 9 3" xfId="29924"/>
    <cellStyle name="Input 3 9 4" xfId="29925"/>
    <cellStyle name="Input 4" xfId="14176"/>
    <cellStyle name="Input 4 10" xfId="14177"/>
    <cellStyle name="Input 4 10 2" xfId="14178"/>
    <cellStyle name="Input 4 10 3" xfId="29926"/>
    <cellStyle name="Input 4 10 4" xfId="29927"/>
    <cellStyle name="Input 4 11" xfId="14179"/>
    <cellStyle name="Input 4 11 2" xfId="14180"/>
    <cellStyle name="Input 4 11 3" xfId="29928"/>
    <cellStyle name="Input 4 11 4" xfId="29929"/>
    <cellStyle name="Input 4 12" xfId="14181"/>
    <cellStyle name="Input 4 13" xfId="29930"/>
    <cellStyle name="Input 4 14" xfId="29931"/>
    <cellStyle name="Input 4 2" xfId="14182"/>
    <cellStyle name="Input 4 2 10" xfId="29932"/>
    <cellStyle name="Input 4 2 2" xfId="14183"/>
    <cellStyle name="Input 4 2 2 2" xfId="14184"/>
    <cellStyle name="Input 4 2 2 3" xfId="29933"/>
    <cellStyle name="Input 4 2 2 4" xfId="29934"/>
    <cellStyle name="Input 4 2 3" xfId="14185"/>
    <cellStyle name="Input 4 2 3 2" xfId="14186"/>
    <cellStyle name="Input 4 2 3 3" xfId="29935"/>
    <cellStyle name="Input 4 2 3 4" xfId="29936"/>
    <cellStyle name="Input 4 2 4" xfId="14187"/>
    <cellStyle name="Input 4 2 4 2" xfId="14188"/>
    <cellStyle name="Input 4 2 4 3" xfId="29937"/>
    <cellStyle name="Input 4 2 4 4" xfId="29938"/>
    <cellStyle name="Input 4 2 5" xfId="14189"/>
    <cellStyle name="Input 4 2 5 2" xfId="14190"/>
    <cellStyle name="Input 4 2 5 3" xfId="29939"/>
    <cellStyle name="Input 4 2 5 4" xfId="29940"/>
    <cellStyle name="Input 4 2 6" xfId="14191"/>
    <cellStyle name="Input 4 2 6 2" xfId="14192"/>
    <cellStyle name="Input 4 2 6 3" xfId="29941"/>
    <cellStyle name="Input 4 2 6 4" xfId="29942"/>
    <cellStyle name="Input 4 2 7" xfId="14193"/>
    <cellStyle name="Input 4 2 7 2" xfId="14194"/>
    <cellStyle name="Input 4 2 7 3" xfId="29943"/>
    <cellStyle name="Input 4 2 7 4" xfId="29944"/>
    <cellStyle name="Input 4 2 8" xfId="14195"/>
    <cellStyle name="Input 4 2 9" xfId="29945"/>
    <cellStyle name="Input 4 3" xfId="14196"/>
    <cellStyle name="Input 4 3 10" xfId="29946"/>
    <cellStyle name="Input 4 3 2" xfId="14197"/>
    <cellStyle name="Input 4 3 2 2" xfId="14198"/>
    <cellStyle name="Input 4 3 2 3" xfId="29947"/>
    <cellStyle name="Input 4 3 2 4" xfId="29948"/>
    <cellStyle name="Input 4 3 3" xfId="14199"/>
    <cellStyle name="Input 4 3 3 2" xfId="14200"/>
    <cellStyle name="Input 4 3 3 3" xfId="29949"/>
    <cellStyle name="Input 4 3 3 4" xfId="29950"/>
    <cellStyle name="Input 4 3 4" xfId="14201"/>
    <cellStyle name="Input 4 3 4 2" xfId="14202"/>
    <cellStyle name="Input 4 3 4 3" xfId="29951"/>
    <cellStyle name="Input 4 3 4 4" xfId="29952"/>
    <cellStyle name="Input 4 3 5" xfId="14203"/>
    <cellStyle name="Input 4 3 5 2" xfId="14204"/>
    <cellStyle name="Input 4 3 5 3" xfId="29953"/>
    <cellStyle name="Input 4 3 5 4" xfId="29954"/>
    <cellStyle name="Input 4 3 6" xfId="14205"/>
    <cellStyle name="Input 4 3 6 2" xfId="14206"/>
    <cellStyle name="Input 4 3 6 3" xfId="29955"/>
    <cellStyle name="Input 4 3 6 4" xfId="29956"/>
    <cellStyle name="Input 4 3 7" xfId="14207"/>
    <cellStyle name="Input 4 3 7 2" xfId="14208"/>
    <cellStyle name="Input 4 3 7 3" xfId="29957"/>
    <cellStyle name="Input 4 3 7 4" xfId="29958"/>
    <cellStyle name="Input 4 3 8" xfId="14209"/>
    <cellStyle name="Input 4 3 9" xfId="29959"/>
    <cellStyle name="Input 4 4" xfId="14210"/>
    <cellStyle name="Input 4 4 10" xfId="29960"/>
    <cellStyle name="Input 4 4 2" xfId="14211"/>
    <cellStyle name="Input 4 4 2 2" xfId="14212"/>
    <cellStyle name="Input 4 4 2 3" xfId="29961"/>
    <cellStyle name="Input 4 4 2 4" xfId="29962"/>
    <cellStyle name="Input 4 4 3" xfId="14213"/>
    <cellStyle name="Input 4 4 3 2" xfId="14214"/>
    <cellStyle name="Input 4 4 3 3" xfId="29963"/>
    <cellStyle name="Input 4 4 3 4" xfId="29964"/>
    <cellStyle name="Input 4 4 4" xfId="14215"/>
    <cellStyle name="Input 4 4 4 2" xfId="14216"/>
    <cellStyle name="Input 4 4 4 3" xfId="29965"/>
    <cellStyle name="Input 4 4 4 4" xfId="29966"/>
    <cellStyle name="Input 4 4 5" xfId="14217"/>
    <cellStyle name="Input 4 4 5 2" xfId="14218"/>
    <cellStyle name="Input 4 4 5 3" xfId="29967"/>
    <cellStyle name="Input 4 4 5 4" xfId="29968"/>
    <cellStyle name="Input 4 4 6" xfId="14219"/>
    <cellStyle name="Input 4 4 6 2" xfId="14220"/>
    <cellStyle name="Input 4 4 6 3" xfId="29969"/>
    <cellStyle name="Input 4 4 6 4" xfId="29970"/>
    <cellStyle name="Input 4 4 7" xfId="14221"/>
    <cellStyle name="Input 4 4 7 2" xfId="14222"/>
    <cellStyle name="Input 4 4 7 3" xfId="29971"/>
    <cellStyle name="Input 4 4 7 4" xfId="29972"/>
    <cellStyle name="Input 4 4 8" xfId="14223"/>
    <cellStyle name="Input 4 4 9" xfId="29973"/>
    <cellStyle name="Input 4 5" xfId="14224"/>
    <cellStyle name="Input 4 5 10" xfId="29974"/>
    <cellStyle name="Input 4 5 2" xfId="14225"/>
    <cellStyle name="Input 4 5 2 2" xfId="14226"/>
    <cellStyle name="Input 4 5 2 3" xfId="29975"/>
    <cellStyle name="Input 4 5 2 4" xfId="29976"/>
    <cellStyle name="Input 4 5 3" xfId="14227"/>
    <cellStyle name="Input 4 5 3 2" xfId="14228"/>
    <cellStyle name="Input 4 5 3 3" xfId="29977"/>
    <cellStyle name="Input 4 5 3 4" xfId="29978"/>
    <cellStyle name="Input 4 5 4" xfId="14229"/>
    <cellStyle name="Input 4 5 4 2" xfId="14230"/>
    <cellStyle name="Input 4 5 4 3" xfId="29979"/>
    <cellStyle name="Input 4 5 4 4" xfId="29980"/>
    <cellStyle name="Input 4 5 5" xfId="14231"/>
    <cellStyle name="Input 4 5 5 2" xfId="14232"/>
    <cellStyle name="Input 4 5 5 3" xfId="29981"/>
    <cellStyle name="Input 4 5 5 4" xfId="29982"/>
    <cellStyle name="Input 4 5 6" xfId="14233"/>
    <cellStyle name="Input 4 5 6 2" xfId="14234"/>
    <cellStyle name="Input 4 5 6 3" xfId="29983"/>
    <cellStyle name="Input 4 5 6 4" xfId="29984"/>
    <cellStyle name="Input 4 5 7" xfId="14235"/>
    <cellStyle name="Input 4 5 7 2" xfId="14236"/>
    <cellStyle name="Input 4 5 7 3" xfId="29985"/>
    <cellStyle name="Input 4 5 7 4" xfId="29986"/>
    <cellStyle name="Input 4 5 8" xfId="14237"/>
    <cellStyle name="Input 4 5 9" xfId="29987"/>
    <cellStyle name="Input 4 6" xfId="14238"/>
    <cellStyle name="Input 4 6 2" xfId="14239"/>
    <cellStyle name="Input 4 6 3" xfId="29988"/>
    <cellStyle name="Input 4 6 4" xfId="29989"/>
    <cellStyle name="Input 4 7" xfId="14240"/>
    <cellStyle name="Input 4 7 2" xfId="14241"/>
    <cellStyle name="Input 4 7 3" xfId="29990"/>
    <cellStyle name="Input 4 7 4" xfId="29991"/>
    <cellStyle name="Input 4 8" xfId="14242"/>
    <cellStyle name="Input 4 8 2" xfId="14243"/>
    <cellStyle name="Input 4 8 3" xfId="29992"/>
    <cellStyle name="Input 4 8 4" xfId="29993"/>
    <cellStyle name="Input 4 9" xfId="14244"/>
    <cellStyle name="Input 4 9 2" xfId="14245"/>
    <cellStyle name="Input 4 9 3" xfId="29994"/>
    <cellStyle name="Input 4 9 4" xfId="29995"/>
    <cellStyle name="Input 5" xfId="14246"/>
    <cellStyle name="Input 5 10" xfId="14247"/>
    <cellStyle name="Input 5 10 2" xfId="14248"/>
    <cellStyle name="Input 5 10 3" xfId="29996"/>
    <cellStyle name="Input 5 10 4" xfId="29997"/>
    <cellStyle name="Input 5 11" xfId="14249"/>
    <cellStyle name="Input 5 11 2" xfId="14250"/>
    <cellStyle name="Input 5 11 3" xfId="29998"/>
    <cellStyle name="Input 5 11 4" xfId="29999"/>
    <cellStyle name="Input 5 12" xfId="14251"/>
    <cellStyle name="Input 5 13" xfId="30000"/>
    <cellStyle name="Input 5 14" xfId="30001"/>
    <cellStyle name="Input 5 2" xfId="14252"/>
    <cellStyle name="Input 5 2 10" xfId="30002"/>
    <cellStyle name="Input 5 2 2" xfId="14253"/>
    <cellStyle name="Input 5 2 2 2" xfId="14254"/>
    <cellStyle name="Input 5 2 2 3" xfId="30003"/>
    <cellStyle name="Input 5 2 2 4" xfId="30004"/>
    <cellStyle name="Input 5 2 3" xfId="14255"/>
    <cellStyle name="Input 5 2 3 2" xfId="14256"/>
    <cellStyle name="Input 5 2 3 3" xfId="30005"/>
    <cellStyle name="Input 5 2 3 4" xfId="30006"/>
    <cellStyle name="Input 5 2 4" xfId="14257"/>
    <cellStyle name="Input 5 2 4 2" xfId="14258"/>
    <cellStyle name="Input 5 2 4 3" xfId="30007"/>
    <cellStyle name="Input 5 2 4 4" xfId="30008"/>
    <cellStyle name="Input 5 2 5" xfId="14259"/>
    <cellStyle name="Input 5 2 5 2" xfId="14260"/>
    <cellStyle name="Input 5 2 5 3" xfId="30009"/>
    <cellStyle name="Input 5 2 5 4" xfId="30010"/>
    <cellStyle name="Input 5 2 6" xfId="14261"/>
    <cellStyle name="Input 5 2 6 2" xfId="14262"/>
    <cellStyle name="Input 5 2 6 3" xfId="30011"/>
    <cellStyle name="Input 5 2 6 4" xfId="30012"/>
    <cellStyle name="Input 5 2 7" xfId="14263"/>
    <cellStyle name="Input 5 2 7 2" xfId="14264"/>
    <cellStyle name="Input 5 2 7 3" xfId="30013"/>
    <cellStyle name="Input 5 2 7 4" xfId="30014"/>
    <cellStyle name="Input 5 2 8" xfId="14265"/>
    <cellStyle name="Input 5 2 9" xfId="30015"/>
    <cellStyle name="Input 5 3" xfId="14266"/>
    <cellStyle name="Input 5 3 10" xfId="30016"/>
    <cellStyle name="Input 5 3 2" xfId="14267"/>
    <cellStyle name="Input 5 3 2 2" xfId="14268"/>
    <cellStyle name="Input 5 3 2 3" xfId="30017"/>
    <cellStyle name="Input 5 3 2 4" xfId="30018"/>
    <cellStyle name="Input 5 3 3" xfId="14269"/>
    <cellStyle name="Input 5 3 3 2" xfId="14270"/>
    <cellStyle name="Input 5 3 3 3" xfId="30019"/>
    <cellStyle name="Input 5 3 3 4" xfId="30020"/>
    <cellStyle name="Input 5 3 4" xfId="14271"/>
    <cellStyle name="Input 5 3 4 2" xfId="14272"/>
    <cellStyle name="Input 5 3 4 3" xfId="30021"/>
    <cellStyle name="Input 5 3 4 4" xfId="30022"/>
    <cellStyle name="Input 5 3 5" xfId="14273"/>
    <cellStyle name="Input 5 3 5 2" xfId="14274"/>
    <cellStyle name="Input 5 3 5 3" xfId="30023"/>
    <cellStyle name="Input 5 3 5 4" xfId="30024"/>
    <cellStyle name="Input 5 3 6" xfId="14275"/>
    <cellStyle name="Input 5 3 6 2" xfId="14276"/>
    <cellStyle name="Input 5 3 6 3" xfId="30025"/>
    <cellStyle name="Input 5 3 6 4" xfId="30026"/>
    <cellStyle name="Input 5 3 7" xfId="14277"/>
    <cellStyle name="Input 5 3 7 2" xfId="14278"/>
    <cellStyle name="Input 5 3 7 3" xfId="30027"/>
    <cellStyle name="Input 5 3 7 4" xfId="30028"/>
    <cellStyle name="Input 5 3 8" xfId="14279"/>
    <cellStyle name="Input 5 3 9" xfId="30029"/>
    <cellStyle name="Input 5 4" xfId="14280"/>
    <cellStyle name="Input 5 4 10" xfId="30030"/>
    <cellStyle name="Input 5 4 2" xfId="14281"/>
    <cellStyle name="Input 5 4 2 2" xfId="14282"/>
    <cellStyle name="Input 5 4 2 3" xfId="30031"/>
    <cellStyle name="Input 5 4 2 4" xfId="30032"/>
    <cellStyle name="Input 5 4 3" xfId="14283"/>
    <cellStyle name="Input 5 4 3 2" xfId="14284"/>
    <cellStyle name="Input 5 4 3 3" xfId="30033"/>
    <cellStyle name="Input 5 4 3 4" xfId="30034"/>
    <cellStyle name="Input 5 4 4" xfId="14285"/>
    <cellStyle name="Input 5 4 4 2" xfId="14286"/>
    <cellStyle name="Input 5 4 4 3" xfId="30035"/>
    <cellStyle name="Input 5 4 4 4" xfId="30036"/>
    <cellStyle name="Input 5 4 5" xfId="14287"/>
    <cellStyle name="Input 5 4 5 2" xfId="14288"/>
    <cellStyle name="Input 5 4 5 3" xfId="30037"/>
    <cellStyle name="Input 5 4 5 4" xfId="30038"/>
    <cellStyle name="Input 5 4 6" xfId="14289"/>
    <cellStyle name="Input 5 4 6 2" xfId="14290"/>
    <cellStyle name="Input 5 4 6 3" xfId="30039"/>
    <cellStyle name="Input 5 4 6 4" xfId="30040"/>
    <cellStyle name="Input 5 4 7" xfId="14291"/>
    <cellStyle name="Input 5 4 7 2" xfId="14292"/>
    <cellStyle name="Input 5 4 7 3" xfId="30041"/>
    <cellStyle name="Input 5 4 7 4" xfId="30042"/>
    <cellStyle name="Input 5 4 8" xfId="14293"/>
    <cellStyle name="Input 5 4 9" xfId="30043"/>
    <cellStyle name="Input 5 5" xfId="14294"/>
    <cellStyle name="Input 5 5 10" xfId="30044"/>
    <cellStyle name="Input 5 5 2" xfId="14295"/>
    <cellStyle name="Input 5 5 2 2" xfId="14296"/>
    <cellStyle name="Input 5 5 2 3" xfId="30045"/>
    <cellStyle name="Input 5 5 2 4" xfId="30046"/>
    <cellStyle name="Input 5 5 3" xfId="14297"/>
    <cellStyle name="Input 5 5 3 2" xfId="14298"/>
    <cellStyle name="Input 5 5 3 3" xfId="30047"/>
    <cellStyle name="Input 5 5 3 4" xfId="30048"/>
    <cellStyle name="Input 5 5 4" xfId="14299"/>
    <cellStyle name="Input 5 5 4 2" xfId="14300"/>
    <cellStyle name="Input 5 5 4 3" xfId="30049"/>
    <cellStyle name="Input 5 5 4 4" xfId="30050"/>
    <cellStyle name="Input 5 5 5" xfId="14301"/>
    <cellStyle name="Input 5 5 5 2" xfId="14302"/>
    <cellStyle name="Input 5 5 5 3" xfId="30051"/>
    <cellStyle name="Input 5 5 5 4" xfId="30052"/>
    <cellStyle name="Input 5 5 6" xfId="14303"/>
    <cellStyle name="Input 5 5 6 2" xfId="14304"/>
    <cellStyle name="Input 5 5 6 3" xfId="30053"/>
    <cellStyle name="Input 5 5 6 4" xfId="30054"/>
    <cellStyle name="Input 5 5 7" xfId="14305"/>
    <cellStyle name="Input 5 5 7 2" xfId="14306"/>
    <cellStyle name="Input 5 5 7 3" xfId="30055"/>
    <cellStyle name="Input 5 5 7 4" xfId="30056"/>
    <cellStyle name="Input 5 5 8" xfId="14307"/>
    <cellStyle name="Input 5 5 9" xfId="30057"/>
    <cellStyle name="Input 5 6" xfId="14308"/>
    <cellStyle name="Input 5 6 2" xfId="14309"/>
    <cellStyle name="Input 5 6 3" xfId="30058"/>
    <cellStyle name="Input 5 6 4" xfId="30059"/>
    <cellStyle name="Input 5 7" xfId="14310"/>
    <cellStyle name="Input 5 7 2" xfId="14311"/>
    <cellStyle name="Input 5 7 3" xfId="30060"/>
    <cellStyle name="Input 5 7 4" xfId="30061"/>
    <cellStyle name="Input 5 8" xfId="14312"/>
    <cellStyle name="Input 5 8 2" xfId="14313"/>
    <cellStyle name="Input 5 8 3" xfId="30062"/>
    <cellStyle name="Input 5 8 4" xfId="30063"/>
    <cellStyle name="Input 5 9" xfId="14314"/>
    <cellStyle name="Input 5 9 2" xfId="14315"/>
    <cellStyle name="Input 5 9 3" xfId="30064"/>
    <cellStyle name="Input 5 9 4" xfId="30065"/>
    <cellStyle name="Input 6" xfId="14316"/>
    <cellStyle name="Input 6 10" xfId="14317"/>
    <cellStyle name="Input 6 10 2" xfId="14318"/>
    <cellStyle name="Input 6 10 3" xfId="30066"/>
    <cellStyle name="Input 6 10 4" xfId="30067"/>
    <cellStyle name="Input 6 11" xfId="14319"/>
    <cellStyle name="Input 6 11 2" xfId="14320"/>
    <cellStyle name="Input 6 11 3" xfId="30068"/>
    <cellStyle name="Input 6 11 4" xfId="30069"/>
    <cellStyle name="Input 6 12" xfId="14321"/>
    <cellStyle name="Input 6 13" xfId="30070"/>
    <cellStyle name="Input 6 14" xfId="30071"/>
    <cellStyle name="Input 6 2" xfId="14322"/>
    <cellStyle name="Input 6 2 10" xfId="30072"/>
    <cellStyle name="Input 6 2 2" xfId="14323"/>
    <cellStyle name="Input 6 2 2 2" xfId="14324"/>
    <cellStyle name="Input 6 2 2 3" xfId="30073"/>
    <cellStyle name="Input 6 2 2 4" xfId="30074"/>
    <cellStyle name="Input 6 2 3" xfId="14325"/>
    <cellStyle name="Input 6 2 3 2" xfId="14326"/>
    <cellStyle name="Input 6 2 3 3" xfId="30075"/>
    <cellStyle name="Input 6 2 3 4" xfId="30076"/>
    <cellStyle name="Input 6 2 4" xfId="14327"/>
    <cellStyle name="Input 6 2 4 2" xfId="14328"/>
    <cellStyle name="Input 6 2 4 3" xfId="30077"/>
    <cellStyle name="Input 6 2 4 4" xfId="30078"/>
    <cellStyle name="Input 6 2 5" xfId="14329"/>
    <cellStyle name="Input 6 2 5 2" xfId="14330"/>
    <cellStyle name="Input 6 2 5 3" xfId="30079"/>
    <cellStyle name="Input 6 2 5 4" xfId="30080"/>
    <cellStyle name="Input 6 2 6" xfId="14331"/>
    <cellStyle name="Input 6 2 6 2" xfId="14332"/>
    <cellStyle name="Input 6 2 6 3" xfId="30081"/>
    <cellStyle name="Input 6 2 6 4" xfId="30082"/>
    <cellStyle name="Input 6 2 7" xfId="14333"/>
    <cellStyle name="Input 6 2 7 2" xfId="14334"/>
    <cellStyle name="Input 6 2 7 3" xfId="30083"/>
    <cellStyle name="Input 6 2 7 4" xfId="30084"/>
    <cellStyle name="Input 6 2 8" xfId="14335"/>
    <cellStyle name="Input 6 2 9" xfId="30085"/>
    <cellStyle name="Input 6 3" xfId="14336"/>
    <cellStyle name="Input 6 3 10" xfId="30086"/>
    <cellStyle name="Input 6 3 2" xfId="14337"/>
    <cellStyle name="Input 6 3 2 2" xfId="14338"/>
    <cellStyle name="Input 6 3 2 3" xfId="30087"/>
    <cellStyle name="Input 6 3 2 4" xfId="30088"/>
    <cellStyle name="Input 6 3 3" xfId="14339"/>
    <cellStyle name="Input 6 3 3 2" xfId="14340"/>
    <cellStyle name="Input 6 3 3 3" xfId="30089"/>
    <cellStyle name="Input 6 3 3 4" xfId="30090"/>
    <cellStyle name="Input 6 3 4" xfId="14341"/>
    <cellStyle name="Input 6 3 4 2" xfId="14342"/>
    <cellStyle name="Input 6 3 4 3" xfId="30091"/>
    <cellStyle name="Input 6 3 4 4" xfId="30092"/>
    <cellStyle name="Input 6 3 5" xfId="14343"/>
    <cellStyle name="Input 6 3 5 2" xfId="14344"/>
    <cellStyle name="Input 6 3 5 3" xfId="30093"/>
    <cellStyle name="Input 6 3 5 4" xfId="30094"/>
    <cellStyle name="Input 6 3 6" xfId="14345"/>
    <cellStyle name="Input 6 3 6 2" xfId="14346"/>
    <cellStyle name="Input 6 3 6 3" xfId="30095"/>
    <cellStyle name="Input 6 3 6 4" xfId="30096"/>
    <cellStyle name="Input 6 3 7" xfId="14347"/>
    <cellStyle name="Input 6 3 7 2" xfId="14348"/>
    <cellStyle name="Input 6 3 7 3" xfId="30097"/>
    <cellStyle name="Input 6 3 7 4" xfId="30098"/>
    <cellStyle name="Input 6 3 8" xfId="14349"/>
    <cellStyle name="Input 6 3 9" xfId="30099"/>
    <cellStyle name="Input 6 4" xfId="14350"/>
    <cellStyle name="Input 6 4 10" xfId="30100"/>
    <cellStyle name="Input 6 4 2" xfId="14351"/>
    <cellStyle name="Input 6 4 2 2" xfId="14352"/>
    <cellStyle name="Input 6 4 2 3" xfId="30101"/>
    <cellStyle name="Input 6 4 2 4" xfId="30102"/>
    <cellStyle name="Input 6 4 3" xfId="14353"/>
    <cellStyle name="Input 6 4 3 2" xfId="14354"/>
    <cellStyle name="Input 6 4 3 3" xfId="30103"/>
    <cellStyle name="Input 6 4 3 4" xfId="30104"/>
    <cellStyle name="Input 6 4 4" xfId="14355"/>
    <cellStyle name="Input 6 4 4 2" xfId="14356"/>
    <cellStyle name="Input 6 4 4 3" xfId="30105"/>
    <cellStyle name="Input 6 4 4 4" xfId="30106"/>
    <cellStyle name="Input 6 4 5" xfId="14357"/>
    <cellStyle name="Input 6 4 5 2" xfId="14358"/>
    <cellStyle name="Input 6 4 5 3" xfId="30107"/>
    <cellStyle name="Input 6 4 5 4" xfId="30108"/>
    <cellStyle name="Input 6 4 6" xfId="14359"/>
    <cellStyle name="Input 6 4 6 2" xfId="14360"/>
    <cellStyle name="Input 6 4 6 3" xfId="30109"/>
    <cellStyle name="Input 6 4 6 4" xfId="30110"/>
    <cellStyle name="Input 6 4 7" xfId="14361"/>
    <cellStyle name="Input 6 4 7 2" xfId="14362"/>
    <cellStyle name="Input 6 4 7 3" xfId="30111"/>
    <cellStyle name="Input 6 4 7 4" xfId="30112"/>
    <cellStyle name="Input 6 4 8" xfId="14363"/>
    <cellStyle name="Input 6 4 9" xfId="30113"/>
    <cellStyle name="Input 6 5" xfId="14364"/>
    <cellStyle name="Input 6 5 10" xfId="30114"/>
    <cellStyle name="Input 6 5 2" xfId="14365"/>
    <cellStyle name="Input 6 5 2 2" xfId="14366"/>
    <cellStyle name="Input 6 5 2 3" xfId="30115"/>
    <cellStyle name="Input 6 5 2 4" xfId="30116"/>
    <cellStyle name="Input 6 5 3" xfId="14367"/>
    <cellStyle name="Input 6 5 3 2" xfId="14368"/>
    <cellStyle name="Input 6 5 3 3" xfId="30117"/>
    <cellStyle name="Input 6 5 3 4" xfId="30118"/>
    <cellStyle name="Input 6 5 4" xfId="14369"/>
    <cellStyle name="Input 6 5 4 2" xfId="14370"/>
    <cellStyle name="Input 6 5 4 3" xfId="30119"/>
    <cellStyle name="Input 6 5 4 4" xfId="30120"/>
    <cellStyle name="Input 6 5 5" xfId="14371"/>
    <cellStyle name="Input 6 5 5 2" xfId="14372"/>
    <cellStyle name="Input 6 5 5 3" xfId="30121"/>
    <cellStyle name="Input 6 5 5 4" xfId="30122"/>
    <cellStyle name="Input 6 5 6" xfId="14373"/>
    <cellStyle name="Input 6 5 6 2" xfId="14374"/>
    <cellStyle name="Input 6 5 6 3" xfId="30123"/>
    <cellStyle name="Input 6 5 6 4" xfId="30124"/>
    <cellStyle name="Input 6 5 7" xfId="14375"/>
    <cellStyle name="Input 6 5 7 2" xfId="14376"/>
    <cellStyle name="Input 6 5 7 3" xfId="30125"/>
    <cellStyle name="Input 6 5 7 4" xfId="30126"/>
    <cellStyle name="Input 6 5 8" xfId="14377"/>
    <cellStyle name="Input 6 5 9" xfId="30127"/>
    <cellStyle name="Input 6 6" xfId="14378"/>
    <cellStyle name="Input 6 6 2" xfId="14379"/>
    <cellStyle name="Input 6 6 3" xfId="30128"/>
    <cellStyle name="Input 6 6 4" xfId="30129"/>
    <cellStyle name="Input 6 7" xfId="14380"/>
    <cellStyle name="Input 6 7 2" xfId="14381"/>
    <cellStyle name="Input 6 7 3" xfId="30130"/>
    <cellStyle name="Input 6 7 4" xfId="30131"/>
    <cellStyle name="Input 6 8" xfId="14382"/>
    <cellStyle name="Input 6 8 2" xfId="14383"/>
    <cellStyle name="Input 6 8 3" xfId="30132"/>
    <cellStyle name="Input 6 8 4" xfId="30133"/>
    <cellStyle name="Input 6 9" xfId="14384"/>
    <cellStyle name="Input 6 9 2" xfId="14385"/>
    <cellStyle name="Input 6 9 3" xfId="30134"/>
    <cellStyle name="Input 6 9 4" xfId="30135"/>
    <cellStyle name="Input 7" xfId="14386"/>
    <cellStyle name="Input 7 10" xfId="14387"/>
    <cellStyle name="Input 7 10 2" xfId="14388"/>
    <cellStyle name="Input 7 10 3" xfId="30136"/>
    <cellStyle name="Input 7 10 4" xfId="30137"/>
    <cellStyle name="Input 7 11" xfId="14389"/>
    <cellStyle name="Input 7 11 2" xfId="14390"/>
    <cellStyle name="Input 7 11 3" xfId="30138"/>
    <cellStyle name="Input 7 11 4" xfId="30139"/>
    <cellStyle name="Input 7 12" xfId="14391"/>
    <cellStyle name="Input 7 13" xfId="30140"/>
    <cellStyle name="Input 7 14" xfId="30141"/>
    <cellStyle name="Input 7 2" xfId="14392"/>
    <cellStyle name="Input 7 2 10" xfId="30142"/>
    <cellStyle name="Input 7 2 2" xfId="14393"/>
    <cellStyle name="Input 7 2 2 2" xfId="14394"/>
    <cellStyle name="Input 7 2 2 3" xfId="30143"/>
    <cellStyle name="Input 7 2 2 4" xfId="30144"/>
    <cellStyle name="Input 7 2 3" xfId="14395"/>
    <cellStyle name="Input 7 2 3 2" xfId="14396"/>
    <cellStyle name="Input 7 2 3 3" xfId="30145"/>
    <cellStyle name="Input 7 2 3 4" xfId="30146"/>
    <cellStyle name="Input 7 2 4" xfId="14397"/>
    <cellStyle name="Input 7 2 4 2" xfId="14398"/>
    <cellStyle name="Input 7 2 4 3" xfId="30147"/>
    <cellStyle name="Input 7 2 4 4" xfId="30148"/>
    <cellStyle name="Input 7 2 5" xfId="14399"/>
    <cellStyle name="Input 7 2 5 2" xfId="14400"/>
    <cellStyle name="Input 7 2 5 3" xfId="30149"/>
    <cellStyle name="Input 7 2 5 4" xfId="30150"/>
    <cellStyle name="Input 7 2 6" xfId="14401"/>
    <cellStyle name="Input 7 2 6 2" xfId="14402"/>
    <cellStyle name="Input 7 2 6 3" xfId="30151"/>
    <cellStyle name="Input 7 2 6 4" xfId="30152"/>
    <cellStyle name="Input 7 2 7" xfId="14403"/>
    <cellStyle name="Input 7 2 7 2" xfId="14404"/>
    <cellStyle name="Input 7 2 7 3" xfId="30153"/>
    <cellStyle name="Input 7 2 7 4" xfId="30154"/>
    <cellStyle name="Input 7 2 8" xfId="14405"/>
    <cellStyle name="Input 7 2 9" xfId="30155"/>
    <cellStyle name="Input 7 3" xfId="14406"/>
    <cellStyle name="Input 7 3 10" xfId="30156"/>
    <cellStyle name="Input 7 3 2" xfId="14407"/>
    <cellStyle name="Input 7 3 2 2" xfId="14408"/>
    <cellStyle name="Input 7 3 2 3" xfId="30157"/>
    <cellStyle name="Input 7 3 2 4" xfId="30158"/>
    <cellStyle name="Input 7 3 3" xfId="14409"/>
    <cellStyle name="Input 7 3 3 2" xfId="14410"/>
    <cellStyle name="Input 7 3 3 3" xfId="30159"/>
    <cellStyle name="Input 7 3 3 4" xfId="30160"/>
    <cellStyle name="Input 7 3 4" xfId="14411"/>
    <cellStyle name="Input 7 3 4 2" xfId="14412"/>
    <cellStyle name="Input 7 3 4 3" xfId="30161"/>
    <cellStyle name="Input 7 3 4 4" xfId="30162"/>
    <cellStyle name="Input 7 3 5" xfId="14413"/>
    <cellStyle name="Input 7 3 5 2" xfId="14414"/>
    <cellStyle name="Input 7 3 5 3" xfId="30163"/>
    <cellStyle name="Input 7 3 5 4" xfId="30164"/>
    <cellStyle name="Input 7 3 6" xfId="14415"/>
    <cellStyle name="Input 7 3 6 2" xfId="14416"/>
    <cellStyle name="Input 7 3 6 3" xfId="30165"/>
    <cellStyle name="Input 7 3 6 4" xfId="30166"/>
    <cellStyle name="Input 7 3 7" xfId="14417"/>
    <cellStyle name="Input 7 3 7 2" xfId="14418"/>
    <cellStyle name="Input 7 3 7 3" xfId="30167"/>
    <cellStyle name="Input 7 3 7 4" xfId="30168"/>
    <cellStyle name="Input 7 3 8" xfId="14419"/>
    <cellStyle name="Input 7 3 9" xfId="30169"/>
    <cellStyle name="Input 7 4" xfId="14420"/>
    <cellStyle name="Input 7 4 10" xfId="30170"/>
    <cellStyle name="Input 7 4 2" xfId="14421"/>
    <cellStyle name="Input 7 4 2 2" xfId="14422"/>
    <cellStyle name="Input 7 4 2 3" xfId="30171"/>
    <cellStyle name="Input 7 4 2 4" xfId="30172"/>
    <cellStyle name="Input 7 4 3" xfId="14423"/>
    <cellStyle name="Input 7 4 3 2" xfId="14424"/>
    <cellStyle name="Input 7 4 3 3" xfId="30173"/>
    <cellStyle name="Input 7 4 3 4" xfId="30174"/>
    <cellStyle name="Input 7 4 4" xfId="14425"/>
    <cellStyle name="Input 7 4 4 2" xfId="14426"/>
    <cellStyle name="Input 7 4 4 3" xfId="30175"/>
    <cellStyle name="Input 7 4 4 4" xfId="30176"/>
    <cellStyle name="Input 7 4 5" xfId="14427"/>
    <cellStyle name="Input 7 4 5 2" xfId="14428"/>
    <cellStyle name="Input 7 4 5 3" xfId="30177"/>
    <cellStyle name="Input 7 4 5 4" xfId="30178"/>
    <cellStyle name="Input 7 4 6" xfId="14429"/>
    <cellStyle name="Input 7 4 6 2" xfId="14430"/>
    <cellStyle name="Input 7 4 6 3" xfId="30179"/>
    <cellStyle name="Input 7 4 6 4" xfId="30180"/>
    <cellStyle name="Input 7 4 7" xfId="14431"/>
    <cellStyle name="Input 7 4 7 2" xfId="14432"/>
    <cellStyle name="Input 7 4 7 3" xfId="30181"/>
    <cellStyle name="Input 7 4 7 4" xfId="30182"/>
    <cellStyle name="Input 7 4 8" xfId="14433"/>
    <cellStyle name="Input 7 4 9" xfId="30183"/>
    <cellStyle name="Input 7 5" xfId="14434"/>
    <cellStyle name="Input 7 5 10" xfId="30184"/>
    <cellStyle name="Input 7 5 2" xfId="14435"/>
    <cellStyle name="Input 7 5 2 2" xfId="14436"/>
    <cellStyle name="Input 7 5 2 3" xfId="30185"/>
    <cellStyle name="Input 7 5 2 4" xfId="30186"/>
    <cellStyle name="Input 7 5 3" xfId="14437"/>
    <cellStyle name="Input 7 5 3 2" xfId="14438"/>
    <cellStyle name="Input 7 5 3 3" xfId="30187"/>
    <cellStyle name="Input 7 5 3 4" xfId="30188"/>
    <cellStyle name="Input 7 5 4" xfId="14439"/>
    <cellStyle name="Input 7 5 4 2" xfId="14440"/>
    <cellStyle name="Input 7 5 4 3" xfId="30189"/>
    <cellStyle name="Input 7 5 4 4" xfId="30190"/>
    <cellStyle name="Input 7 5 5" xfId="14441"/>
    <cellStyle name="Input 7 5 5 2" xfId="14442"/>
    <cellStyle name="Input 7 5 5 3" xfId="30191"/>
    <cellStyle name="Input 7 5 5 4" xfId="30192"/>
    <cellStyle name="Input 7 5 6" xfId="14443"/>
    <cellStyle name="Input 7 5 6 2" xfId="14444"/>
    <cellStyle name="Input 7 5 6 3" xfId="30193"/>
    <cellStyle name="Input 7 5 6 4" xfId="30194"/>
    <cellStyle name="Input 7 5 7" xfId="14445"/>
    <cellStyle name="Input 7 5 7 2" xfId="14446"/>
    <cellStyle name="Input 7 5 7 3" xfId="30195"/>
    <cellStyle name="Input 7 5 7 4" xfId="30196"/>
    <cellStyle name="Input 7 5 8" xfId="14447"/>
    <cellStyle name="Input 7 5 9" xfId="30197"/>
    <cellStyle name="Input 7 6" xfId="14448"/>
    <cellStyle name="Input 7 6 2" xfId="14449"/>
    <cellStyle name="Input 7 6 3" xfId="30198"/>
    <cellStyle name="Input 7 6 4" xfId="30199"/>
    <cellStyle name="Input 7 7" xfId="14450"/>
    <cellStyle name="Input 7 7 2" xfId="14451"/>
    <cellStyle name="Input 7 7 3" xfId="30200"/>
    <cellStyle name="Input 7 7 4" xfId="30201"/>
    <cellStyle name="Input 7 8" xfId="14452"/>
    <cellStyle name="Input 7 8 2" xfId="14453"/>
    <cellStyle name="Input 7 8 3" xfId="30202"/>
    <cellStyle name="Input 7 8 4" xfId="30203"/>
    <cellStyle name="Input 7 9" xfId="14454"/>
    <cellStyle name="Input 7 9 2" xfId="14455"/>
    <cellStyle name="Input 7 9 3" xfId="30204"/>
    <cellStyle name="Input 7 9 4" xfId="30205"/>
    <cellStyle name="Input 8" xfId="14456"/>
    <cellStyle name="Input 8 10" xfId="14457"/>
    <cellStyle name="Input 8 10 2" xfId="14458"/>
    <cellStyle name="Input 8 10 3" xfId="30206"/>
    <cellStyle name="Input 8 10 4" xfId="30207"/>
    <cellStyle name="Input 8 11" xfId="14459"/>
    <cellStyle name="Input 8 11 2" xfId="14460"/>
    <cellStyle name="Input 8 11 3" xfId="30208"/>
    <cellStyle name="Input 8 11 4" xfId="30209"/>
    <cellStyle name="Input 8 12" xfId="14461"/>
    <cellStyle name="Input 8 13" xfId="30210"/>
    <cellStyle name="Input 8 14" xfId="30211"/>
    <cellStyle name="Input 8 2" xfId="14462"/>
    <cellStyle name="Input 8 2 10" xfId="30212"/>
    <cellStyle name="Input 8 2 2" xfId="14463"/>
    <cellStyle name="Input 8 2 2 2" xfId="14464"/>
    <cellStyle name="Input 8 2 2 3" xfId="30213"/>
    <cellStyle name="Input 8 2 2 4" xfId="30214"/>
    <cellStyle name="Input 8 2 3" xfId="14465"/>
    <cellStyle name="Input 8 2 3 2" xfId="14466"/>
    <cellStyle name="Input 8 2 3 3" xfId="30215"/>
    <cellStyle name="Input 8 2 3 4" xfId="30216"/>
    <cellStyle name="Input 8 2 4" xfId="14467"/>
    <cellStyle name="Input 8 2 4 2" xfId="14468"/>
    <cellStyle name="Input 8 2 4 3" xfId="30217"/>
    <cellStyle name="Input 8 2 4 4" xfId="30218"/>
    <cellStyle name="Input 8 2 5" xfId="14469"/>
    <cellStyle name="Input 8 2 5 2" xfId="14470"/>
    <cellStyle name="Input 8 2 5 3" xfId="30219"/>
    <cellStyle name="Input 8 2 5 4" xfId="30220"/>
    <cellStyle name="Input 8 2 6" xfId="14471"/>
    <cellStyle name="Input 8 2 6 2" xfId="14472"/>
    <cellStyle name="Input 8 2 6 3" xfId="30221"/>
    <cellStyle name="Input 8 2 6 4" xfId="30222"/>
    <cellStyle name="Input 8 2 7" xfId="14473"/>
    <cellStyle name="Input 8 2 7 2" xfId="14474"/>
    <cellStyle name="Input 8 2 7 3" xfId="30223"/>
    <cellStyle name="Input 8 2 7 4" xfId="30224"/>
    <cellStyle name="Input 8 2 8" xfId="14475"/>
    <cellStyle name="Input 8 2 9" xfId="30225"/>
    <cellStyle name="Input 8 3" xfId="14476"/>
    <cellStyle name="Input 8 3 10" xfId="30226"/>
    <cellStyle name="Input 8 3 2" xfId="14477"/>
    <cellStyle name="Input 8 3 2 2" xfId="14478"/>
    <cellStyle name="Input 8 3 2 3" xfId="30227"/>
    <cellStyle name="Input 8 3 2 4" xfId="30228"/>
    <cellStyle name="Input 8 3 3" xfId="14479"/>
    <cellStyle name="Input 8 3 3 2" xfId="14480"/>
    <cellStyle name="Input 8 3 3 3" xfId="30229"/>
    <cellStyle name="Input 8 3 3 4" xfId="30230"/>
    <cellStyle name="Input 8 3 4" xfId="14481"/>
    <cellStyle name="Input 8 3 4 2" xfId="14482"/>
    <cellStyle name="Input 8 3 4 3" xfId="30231"/>
    <cellStyle name="Input 8 3 4 4" xfId="30232"/>
    <cellStyle name="Input 8 3 5" xfId="14483"/>
    <cellStyle name="Input 8 3 5 2" xfId="14484"/>
    <cellStyle name="Input 8 3 5 3" xfId="30233"/>
    <cellStyle name="Input 8 3 5 4" xfId="30234"/>
    <cellStyle name="Input 8 3 6" xfId="14485"/>
    <cellStyle name="Input 8 3 6 2" xfId="14486"/>
    <cellStyle name="Input 8 3 6 3" xfId="30235"/>
    <cellStyle name="Input 8 3 6 4" xfId="30236"/>
    <cellStyle name="Input 8 3 7" xfId="14487"/>
    <cellStyle name="Input 8 3 7 2" xfId="14488"/>
    <cellStyle name="Input 8 3 7 3" xfId="30237"/>
    <cellStyle name="Input 8 3 7 4" xfId="30238"/>
    <cellStyle name="Input 8 3 8" xfId="14489"/>
    <cellStyle name="Input 8 3 9" xfId="30239"/>
    <cellStyle name="Input 8 4" xfId="14490"/>
    <cellStyle name="Input 8 4 10" xfId="30240"/>
    <cellStyle name="Input 8 4 2" xfId="14491"/>
    <cellStyle name="Input 8 4 2 2" xfId="14492"/>
    <cellStyle name="Input 8 4 2 3" xfId="30241"/>
    <cellStyle name="Input 8 4 2 4" xfId="30242"/>
    <cellStyle name="Input 8 4 3" xfId="14493"/>
    <cellStyle name="Input 8 4 3 2" xfId="14494"/>
    <cellStyle name="Input 8 4 3 3" xfId="30243"/>
    <cellStyle name="Input 8 4 3 4" xfId="30244"/>
    <cellStyle name="Input 8 4 4" xfId="14495"/>
    <cellStyle name="Input 8 4 4 2" xfId="14496"/>
    <cellStyle name="Input 8 4 4 3" xfId="30245"/>
    <cellStyle name="Input 8 4 4 4" xfId="30246"/>
    <cellStyle name="Input 8 4 5" xfId="14497"/>
    <cellStyle name="Input 8 4 5 2" xfId="14498"/>
    <cellStyle name="Input 8 4 5 3" xfId="30247"/>
    <cellStyle name="Input 8 4 5 4" xfId="30248"/>
    <cellStyle name="Input 8 4 6" xfId="14499"/>
    <cellStyle name="Input 8 4 6 2" xfId="14500"/>
    <cellStyle name="Input 8 4 6 3" xfId="30249"/>
    <cellStyle name="Input 8 4 6 4" xfId="30250"/>
    <cellStyle name="Input 8 4 7" xfId="14501"/>
    <cellStyle name="Input 8 4 7 2" xfId="14502"/>
    <cellStyle name="Input 8 4 7 3" xfId="30251"/>
    <cellStyle name="Input 8 4 7 4" xfId="30252"/>
    <cellStyle name="Input 8 4 8" xfId="14503"/>
    <cellStyle name="Input 8 4 9" xfId="30253"/>
    <cellStyle name="Input 8 5" xfId="14504"/>
    <cellStyle name="Input 8 5 10" xfId="30254"/>
    <cellStyle name="Input 8 5 2" xfId="14505"/>
    <cellStyle name="Input 8 5 2 2" xfId="14506"/>
    <cellStyle name="Input 8 5 2 3" xfId="30255"/>
    <cellStyle name="Input 8 5 2 4" xfId="30256"/>
    <cellStyle name="Input 8 5 3" xfId="14507"/>
    <cellStyle name="Input 8 5 3 2" xfId="14508"/>
    <cellStyle name="Input 8 5 3 3" xfId="30257"/>
    <cellStyle name="Input 8 5 3 4" xfId="30258"/>
    <cellStyle name="Input 8 5 4" xfId="14509"/>
    <cellStyle name="Input 8 5 4 2" xfId="14510"/>
    <cellStyle name="Input 8 5 4 3" xfId="30259"/>
    <cellStyle name="Input 8 5 4 4" xfId="30260"/>
    <cellStyle name="Input 8 5 5" xfId="14511"/>
    <cellStyle name="Input 8 5 5 2" xfId="14512"/>
    <cellStyle name="Input 8 5 5 3" xfId="30261"/>
    <cellStyle name="Input 8 5 5 4" xfId="30262"/>
    <cellStyle name="Input 8 5 6" xfId="14513"/>
    <cellStyle name="Input 8 5 6 2" xfId="14514"/>
    <cellStyle name="Input 8 5 6 3" xfId="30263"/>
    <cellStyle name="Input 8 5 6 4" xfId="30264"/>
    <cellStyle name="Input 8 5 7" xfId="14515"/>
    <cellStyle name="Input 8 5 7 2" xfId="14516"/>
    <cellStyle name="Input 8 5 7 3" xfId="30265"/>
    <cellStyle name="Input 8 5 7 4" xfId="30266"/>
    <cellStyle name="Input 8 5 8" xfId="14517"/>
    <cellStyle name="Input 8 5 9" xfId="30267"/>
    <cellStyle name="Input 8 6" xfId="14518"/>
    <cellStyle name="Input 8 6 2" xfId="14519"/>
    <cellStyle name="Input 8 6 3" xfId="30268"/>
    <cellStyle name="Input 8 6 4" xfId="30269"/>
    <cellStyle name="Input 8 7" xfId="14520"/>
    <cellStyle name="Input 8 7 2" xfId="14521"/>
    <cellStyle name="Input 8 7 3" xfId="30270"/>
    <cellStyle name="Input 8 7 4" xfId="30271"/>
    <cellStyle name="Input 8 8" xfId="14522"/>
    <cellStyle name="Input 8 8 2" xfId="14523"/>
    <cellStyle name="Input 8 8 3" xfId="30272"/>
    <cellStyle name="Input 8 8 4" xfId="30273"/>
    <cellStyle name="Input 8 9" xfId="14524"/>
    <cellStyle name="Input 8 9 2" xfId="14525"/>
    <cellStyle name="Input 8 9 3" xfId="30274"/>
    <cellStyle name="Input 8 9 4" xfId="30275"/>
    <cellStyle name="Input 9" xfId="14526"/>
    <cellStyle name="Input 9 10" xfId="14527"/>
    <cellStyle name="Input 9 10 2" xfId="14528"/>
    <cellStyle name="Input 9 10 3" xfId="30276"/>
    <cellStyle name="Input 9 10 4" xfId="30277"/>
    <cellStyle name="Input 9 11" xfId="14529"/>
    <cellStyle name="Input 9 11 2" xfId="14530"/>
    <cellStyle name="Input 9 11 3" xfId="30278"/>
    <cellStyle name="Input 9 11 4" xfId="30279"/>
    <cellStyle name="Input 9 12" xfId="14531"/>
    <cellStyle name="Input 9 13" xfId="30280"/>
    <cellStyle name="Input 9 14" xfId="30281"/>
    <cellStyle name="Input 9 2" xfId="14532"/>
    <cellStyle name="Input 9 2 10" xfId="30282"/>
    <cellStyle name="Input 9 2 2" xfId="14533"/>
    <cellStyle name="Input 9 2 2 2" xfId="14534"/>
    <cellStyle name="Input 9 2 2 3" xfId="30283"/>
    <cellStyle name="Input 9 2 2 4" xfId="30284"/>
    <cellStyle name="Input 9 2 3" xfId="14535"/>
    <cellStyle name="Input 9 2 3 2" xfId="14536"/>
    <cellStyle name="Input 9 2 3 3" xfId="30285"/>
    <cellStyle name="Input 9 2 3 4" xfId="30286"/>
    <cellStyle name="Input 9 2 4" xfId="14537"/>
    <cellStyle name="Input 9 2 4 2" xfId="14538"/>
    <cellStyle name="Input 9 2 4 3" xfId="30287"/>
    <cellStyle name="Input 9 2 4 4" xfId="30288"/>
    <cellStyle name="Input 9 2 5" xfId="14539"/>
    <cellStyle name="Input 9 2 5 2" xfId="14540"/>
    <cellStyle name="Input 9 2 5 3" xfId="30289"/>
    <cellStyle name="Input 9 2 5 4" xfId="30290"/>
    <cellStyle name="Input 9 2 6" xfId="14541"/>
    <cellStyle name="Input 9 2 6 2" xfId="14542"/>
    <cellStyle name="Input 9 2 6 3" xfId="30291"/>
    <cellStyle name="Input 9 2 6 4" xfId="30292"/>
    <cellStyle name="Input 9 2 7" xfId="14543"/>
    <cellStyle name="Input 9 2 7 2" xfId="14544"/>
    <cellStyle name="Input 9 2 7 3" xfId="30293"/>
    <cellStyle name="Input 9 2 7 4" xfId="30294"/>
    <cellStyle name="Input 9 2 8" xfId="14545"/>
    <cellStyle name="Input 9 2 9" xfId="30295"/>
    <cellStyle name="Input 9 3" xfId="14546"/>
    <cellStyle name="Input 9 3 10" xfId="30296"/>
    <cellStyle name="Input 9 3 2" xfId="14547"/>
    <cellStyle name="Input 9 3 2 2" xfId="14548"/>
    <cellStyle name="Input 9 3 2 3" xfId="30297"/>
    <cellStyle name="Input 9 3 2 4" xfId="30298"/>
    <cellStyle name="Input 9 3 3" xfId="14549"/>
    <cellStyle name="Input 9 3 3 2" xfId="14550"/>
    <cellStyle name="Input 9 3 3 3" xfId="30299"/>
    <cellStyle name="Input 9 3 3 4" xfId="30300"/>
    <cellStyle name="Input 9 3 4" xfId="14551"/>
    <cellStyle name="Input 9 3 4 2" xfId="14552"/>
    <cellStyle name="Input 9 3 4 3" xfId="30301"/>
    <cellStyle name="Input 9 3 4 4" xfId="30302"/>
    <cellStyle name="Input 9 3 5" xfId="14553"/>
    <cellStyle name="Input 9 3 5 2" xfId="14554"/>
    <cellStyle name="Input 9 3 5 3" xfId="30303"/>
    <cellStyle name="Input 9 3 5 4" xfId="30304"/>
    <cellStyle name="Input 9 3 6" xfId="14555"/>
    <cellStyle name="Input 9 3 6 2" xfId="14556"/>
    <cellStyle name="Input 9 3 6 3" xfId="30305"/>
    <cellStyle name="Input 9 3 6 4" xfId="30306"/>
    <cellStyle name="Input 9 3 7" xfId="14557"/>
    <cellStyle name="Input 9 3 7 2" xfId="14558"/>
    <cellStyle name="Input 9 3 7 3" xfId="30307"/>
    <cellStyle name="Input 9 3 7 4" xfId="30308"/>
    <cellStyle name="Input 9 3 8" xfId="14559"/>
    <cellStyle name="Input 9 3 9" xfId="30309"/>
    <cellStyle name="Input 9 4" xfId="14560"/>
    <cellStyle name="Input 9 4 10" xfId="30310"/>
    <cellStyle name="Input 9 4 2" xfId="14561"/>
    <cellStyle name="Input 9 4 2 2" xfId="14562"/>
    <cellStyle name="Input 9 4 2 3" xfId="30311"/>
    <cellStyle name="Input 9 4 2 4" xfId="30312"/>
    <cellStyle name="Input 9 4 3" xfId="14563"/>
    <cellStyle name="Input 9 4 3 2" xfId="14564"/>
    <cellStyle name="Input 9 4 3 3" xfId="30313"/>
    <cellStyle name="Input 9 4 3 4" xfId="30314"/>
    <cellStyle name="Input 9 4 4" xfId="14565"/>
    <cellStyle name="Input 9 4 4 2" xfId="14566"/>
    <cellStyle name="Input 9 4 4 3" xfId="30315"/>
    <cellStyle name="Input 9 4 4 4" xfId="30316"/>
    <cellStyle name="Input 9 4 5" xfId="14567"/>
    <cellStyle name="Input 9 4 5 2" xfId="14568"/>
    <cellStyle name="Input 9 4 5 3" xfId="30317"/>
    <cellStyle name="Input 9 4 5 4" xfId="30318"/>
    <cellStyle name="Input 9 4 6" xfId="14569"/>
    <cellStyle name="Input 9 4 6 2" xfId="14570"/>
    <cellStyle name="Input 9 4 6 3" xfId="30319"/>
    <cellStyle name="Input 9 4 6 4" xfId="30320"/>
    <cellStyle name="Input 9 4 7" xfId="14571"/>
    <cellStyle name="Input 9 4 7 2" xfId="14572"/>
    <cellStyle name="Input 9 4 7 3" xfId="30321"/>
    <cellStyle name="Input 9 4 7 4" xfId="30322"/>
    <cellStyle name="Input 9 4 8" xfId="14573"/>
    <cellStyle name="Input 9 4 9" xfId="30323"/>
    <cellStyle name="Input 9 5" xfId="14574"/>
    <cellStyle name="Input 9 5 10" xfId="30324"/>
    <cellStyle name="Input 9 5 2" xfId="14575"/>
    <cellStyle name="Input 9 5 2 2" xfId="14576"/>
    <cellStyle name="Input 9 5 2 3" xfId="30325"/>
    <cellStyle name="Input 9 5 2 4" xfId="30326"/>
    <cellStyle name="Input 9 5 3" xfId="14577"/>
    <cellStyle name="Input 9 5 3 2" xfId="14578"/>
    <cellStyle name="Input 9 5 3 3" xfId="30327"/>
    <cellStyle name="Input 9 5 3 4" xfId="30328"/>
    <cellStyle name="Input 9 5 4" xfId="14579"/>
    <cellStyle name="Input 9 5 4 2" xfId="14580"/>
    <cellStyle name="Input 9 5 4 3" xfId="30329"/>
    <cellStyle name="Input 9 5 4 4" xfId="30330"/>
    <cellStyle name="Input 9 5 5" xfId="14581"/>
    <cellStyle name="Input 9 5 5 2" xfId="14582"/>
    <cellStyle name="Input 9 5 5 3" xfId="30331"/>
    <cellStyle name="Input 9 5 5 4" xfId="30332"/>
    <cellStyle name="Input 9 5 6" xfId="14583"/>
    <cellStyle name="Input 9 5 6 2" xfId="14584"/>
    <cellStyle name="Input 9 5 6 3" xfId="30333"/>
    <cellStyle name="Input 9 5 6 4" xfId="30334"/>
    <cellStyle name="Input 9 5 7" xfId="14585"/>
    <cellStyle name="Input 9 5 7 2" xfId="14586"/>
    <cellStyle name="Input 9 5 7 3" xfId="30335"/>
    <cellStyle name="Input 9 5 7 4" xfId="30336"/>
    <cellStyle name="Input 9 5 8" xfId="14587"/>
    <cellStyle name="Input 9 5 9" xfId="30337"/>
    <cellStyle name="Input 9 6" xfId="14588"/>
    <cellStyle name="Input 9 6 2" xfId="14589"/>
    <cellStyle name="Input 9 6 3" xfId="30338"/>
    <cellStyle name="Input 9 6 4" xfId="30339"/>
    <cellStyle name="Input 9 7" xfId="14590"/>
    <cellStyle name="Input 9 7 2" xfId="14591"/>
    <cellStyle name="Input 9 7 3" xfId="30340"/>
    <cellStyle name="Input 9 7 4" xfId="30341"/>
    <cellStyle name="Input 9 8" xfId="14592"/>
    <cellStyle name="Input 9 8 2" xfId="14593"/>
    <cellStyle name="Input 9 8 3" xfId="30342"/>
    <cellStyle name="Input 9 8 4" xfId="30343"/>
    <cellStyle name="Input 9 9" xfId="14594"/>
    <cellStyle name="Input 9 9 2" xfId="14595"/>
    <cellStyle name="Input 9 9 3" xfId="30344"/>
    <cellStyle name="Input 9 9 4" xfId="30345"/>
    <cellStyle name="Linked Cell 10" xfId="14596"/>
    <cellStyle name="Linked Cell 11" xfId="14597"/>
    <cellStyle name="Linked Cell 12" xfId="14598"/>
    <cellStyle name="Linked Cell 13" xfId="14599"/>
    <cellStyle name="Linked Cell 14" xfId="14600"/>
    <cellStyle name="Linked Cell 15" xfId="14601"/>
    <cellStyle name="Linked Cell 16" xfId="14602"/>
    <cellStyle name="Linked Cell 17" xfId="14603"/>
    <cellStyle name="Linked Cell 17 2" xfId="14604"/>
    <cellStyle name="Linked Cell 17 3" xfId="14605"/>
    <cellStyle name="Linked Cell 17 4" xfId="14606"/>
    <cellStyle name="Linked Cell 17 5" xfId="14607"/>
    <cellStyle name="Linked Cell 18" xfId="14608"/>
    <cellStyle name="Linked Cell 18 2" xfId="14609"/>
    <cellStyle name="Linked Cell 18 3" xfId="14610"/>
    <cellStyle name="Linked Cell 18 4" xfId="14611"/>
    <cellStyle name="Linked Cell 18 5" xfId="14612"/>
    <cellStyle name="Linked Cell 19" xfId="14613"/>
    <cellStyle name="Linked Cell 19 2" xfId="14614"/>
    <cellStyle name="Linked Cell 19 3" xfId="14615"/>
    <cellStyle name="Linked Cell 19 4" xfId="14616"/>
    <cellStyle name="Linked Cell 19 5" xfId="14617"/>
    <cellStyle name="Linked Cell 2" xfId="14618"/>
    <cellStyle name="Linked Cell 2 2" xfId="14619"/>
    <cellStyle name="Linked Cell 2 3" xfId="30346"/>
    <cellStyle name="Linked Cell 20" xfId="14620"/>
    <cellStyle name="Linked Cell 20 2" xfId="14621"/>
    <cellStyle name="Linked Cell 20 3" xfId="14622"/>
    <cellStyle name="Linked Cell 20 4" xfId="14623"/>
    <cellStyle name="Linked Cell 20 5" xfId="14624"/>
    <cellStyle name="Linked Cell 21" xfId="14625"/>
    <cellStyle name="Linked Cell 21 2" xfId="14626"/>
    <cellStyle name="Linked Cell 21 3" xfId="14627"/>
    <cellStyle name="Linked Cell 21 4" xfId="14628"/>
    <cellStyle name="Linked Cell 21 5" xfId="14629"/>
    <cellStyle name="Linked Cell 22" xfId="14630"/>
    <cellStyle name="Linked Cell 22 2" xfId="14631"/>
    <cellStyle name="Linked Cell 22 3" xfId="14632"/>
    <cellStyle name="Linked Cell 22 4" xfId="14633"/>
    <cellStyle name="Linked Cell 22 5" xfId="14634"/>
    <cellStyle name="Linked Cell 23" xfId="14635"/>
    <cellStyle name="Linked Cell 24" xfId="14636"/>
    <cellStyle name="Linked Cell 25" xfId="14637"/>
    <cellStyle name="Linked Cell 26" xfId="14638"/>
    <cellStyle name="Linked Cell 3" xfId="14639"/>
    <cellStyle name="Linked Cell 4" xfId="14640"/>
    <cellStyle name="Linked Cell 5" xfId="14641"/>
    <cellStyle name="Linked Cell 6" xfId="14642"/>
    <cellStyle name="Linked Cell 7" xfId="14643"/>
    <cellStyle name="Linked Cell 8" xfId="14644"/>
    <cellStyle name="Linked Cell 9" xfId="14645"/>
    <cellStyle name="Neutral 10" xfId="14646"/>
    <cellStyle name="Neutral 11" xfId="14647"/>
    <cellStyle name="Neutral 12" xfId="14648"/>
    <cellStyle name="Neutral 13" xfId="14649"/>
    <cellStyle name="Neutral 14" xfId="14650"/>
    <cellStyle name="Neutral 15" xfId="14651"/>
    <cellStyle name="Neutral 16" xfId="14652"/>
    <cellStyle name="Neutral 17" xfId="14653"/>
    <cellStyle name="Neutral 17 2" xfId="14654"/>
    <cellStyle name="Neutral 17 3" xfId="14655"/>
    <cellStyle name="Neutral 17 4" xfId="14656"/>
    <cellStyle name="Neutral 17 5" xfId="14657"/>
    <cellStyle name="Neutral 18" xfId="14658"/>
    <cellStyle name="Neutral 18 2" xfId="14659"/>
    <cellStyle name="Neutral 18 3" xfId="14660"/>
    <cellStyle name="Neutral 18 4" xfId="14661"/>
    <cellStyle name="Neutral 18 5" xfId="14662"/>
    <cellStyle name="Neutral 19" xfId="14663"/>
    <cellStyle name="Neutral 19 2" xfId="14664"/>
    <cellStyle name="Neutral 19 3" xfId="14665"/>
    <cellStyle name="Neutral 19 4" xfId="14666"/>
    <cellStyle name="Neutral 19 5" xfId="14667"/>
    <cellStyle name="Neutral 2" xfId="14668"/>
    <cellStyle name="Neutral 2 2" xfId="14669"/>
    <cellStyle name="Neutral 2 3" xfId="30347"/>
    <cellStyle name="Neutral 20" xfId="14670"/>
    <cellStyle name="Neutral 20 2" xfId="14671"/>
    <cellStyle name="Neutral 20 3" xfId="14672"/>
    <cellStyle name="Neutral 20 4" xfId="14673"/>
    <cellStyle name="Neutral 20 5" xfId="14674"/>
    <cellStyle name="Neutral 21" xfId="14675"/>
    <cellStyle name="Neutral 21 2" xfId="14676"/>
    <cellStyle name="Neutral 21 3" xfId="14677"/>
    <cellStyle name="Neutral 21 4" xfId="14678"/>
    <cellStyle name="Neutral 21 5" xfId="14679"/>
    <cellStyle name="Neutral 22" xfId="14680"/>
    <cellStyle name="Neutral 22 2" xfId="14681"/>
    <cellStyle name="Neutral 22 3" xfId="14682"/>
    <cellStyle name="Neutral 22 4" xfId="14683"/>
    <cellStyle name="Neutral 22 5" xfId="14684"/>
    <cellStyle name="Neutral 23" xfId="14685"/>
    <cellStyle name="Neutral 24" xfId="14686"/>
    <cellStyle name="Neutral 25" xfId="14687"/>
    <cellStyle name="Neutral 26" xfId="14688"/>
    <cellStyle name="Neutral 3" xfId="14689"/>
    <cellStyle name="Neutral 4" xfId="14690"/>
    <cellStyle name="Neutral 5" xfId="14691"/>
    <cellStyle name="Neutral 6" xfId="14692"/>
    <cellStyle name="Neutral 7" xfId="14693"/>
    <cellStyle name="Neutral 8" xfId="14694"/>
    <cellStyle name="Neutral 9" xfId="14695"/>
    <cellStyle name="Normal" xfId="0" builtinId="0"/>
    <cellStyle name="Normal - Style1" xfId="14696"/>
    <cellStyle name="Normal 10" xfId="17"/>
    <cellStyle name="Normal 10 10" xfId="30348"/>
    <cellStyle name="Normal 10 2" xfId="14697"/>
    <cellStyle name="Normal 10 2 2" xfId="14698"/>
    <cellStyle name="Normal 10 2 2 2" xfId="14699"/>
    <cellStyle name="Normal 10 2 2 3" xfId="14700"/>
    <cellStyle name="Normal 10 2 3" xfId="14701"/>
    <cellStyle name="Normal 10 2 4" xfId="14702"/>
    <cellStyle name="Normal 10 2 5" xfId="14703"/>
    <cellStyle name="Normal 10 2 6" xfId="30349"/>
    <cellStyle name="Normal 10 3" xfId="14704"/>
    <cellStyle name="Normal 10 3 2" xfId="14705"/>
    <cellStyle name="Normal 10 3 3" xfId="14706"/>
    <cellStyle name="Normal 10 3 4" xfId="14707"/>
    <cellStyle name="Normal 10 4" xfId="14708"/>
    <cellStyle name="Normal 10 4 2" xfId="14709"/>
    <cellStyle name="Normal 10 4 3" xfId="14710"/>
    <cellStyle name="Normal 10 5" xfId="14711"/>
    <cellStyle name="Normal 10 6" xfId="14712"/>
    <cellStyle name="Normal 10 7" xfId="14713"/>
    <cellStyle name="Normal 10 8" xfId="14714"/>
    <cellStyle name="Normal 10 9" xfId="14715"/>
    <cellStyle name="Normal 11" xfId="14716"/>
    <cellStyle name="Normal 11 2" xfId="14717"/>
    <cellStyle name="Normal 11 2 2" xfId="14718"/>
    <cellStyle name="Normal 11 3" xfId="14719"/>
    <cellStyle name="Normal 11 3 2" xfId="14720"/>
    <cellStyle name="Normal 11 4" xfId="14721"/>
    <cellStyle name="Normal 11 5" xfId="14722"/>
    <cellStyle name="Normal 11 6" xfId="25"/>
    <cellStyle name="Normal 11 7" xfId="14723"/>
    <cellStyle name="Normal 114" xfId="37572"/>
    <cellStyle name="Normal 12" xfId="14724"/>
    <cellStyle name="Normal 12 2" xfId="14725"/>
    <cellStyle name="Normal 12 2 2" xfId="14726"/>
    <cellStyle name="Normal 12 2 3" xfId="14727"/>
    <cellStyle name="Normal 12 2 4" xfId="14728"/>
    <cellStyle name="Normal 12 3" xfId="14729"/>
    <cellStyle name="Normal 12 3 2" xfId="14730"/>
    <cellStyle name="Normal 12 3 3" xfId="14731"/>
    <cellStyle name="Normal 12 4" xfId="14732"/>
    <cellStyle name="Normal 12 4 2" xfId="14733"/>
    <cellStyle name="Normal 12 4 3" xfId="14734"/>
    <cellStyle name="Normal 12 5" xfId="14735"/>
    <cellStyle name="Normal 12 6" xfId="14736"/>
    <cellStyle name="Normal 12 7" xfId="14737"/>
    <cellStyle name="Normal 12 8" xfId="30350"/>
    <cellStyle name="Normal 13" xfId="14738"/>
    <cellStyle name="Normal 13 2" xfId="14739"/>
    <cellStyle name="Normal 13 2 2" xfId="14740"/>
    <cellStyle name="Normal 13 3" xfId="14741"/>
    <cellStyle name="Normal 13 3 2" xfId="14742"/>
    <cellStyle name="Normal 13 4" xfId="14743"/>
    <cellStyle name="Normal 14" xfId="14744"/>
    <cellStyle name="Normal 14 2" xfId="14745"/>
    <cellStyle name="Normal 14 2 2" xfId="14746"/>
    <cellStyle name="Normal 14 3" xfId="14747"/>
    <cellStyle name="Normal 14 4" xfId="14748"/>
    <cellStyle name="Normal 14 5" xfId="14749"/>
    <cellStyle name="Normal 14 6" xfId="14750"/>
    <cellStyle name="Normal 15" xfId="14751"/>
    <cellStyle name="Normal 15 10" xfId="14752"/>
    <cellStyle name="Normal 15 11" xfId="14753"/>
    <cellStyle name="Normal 15 12" xfId="14754"/>
    <cellStyle name="Normal 15 2" xfId="14755"/>
    <cellStyle name="Normal 15 3" xfId="14756"/>
    <cellStyle name="Normal 15 4" xfId="14757"/>
    <cellStyle name="Normal 15 5" xfId="14758"/>
    <cellStyle name="Normal 15 6" xfId="14759"/>
    <cellStyle name="Normal 15 7" xfId="14760"/>
    <cellStyle name="Normal 15 8" xfId="14761"/>
    <cellStyle name="Normal 15 9" xfId="14762"/>
    <cellStyle name="Normal 16" xfId="14763"/>
    <cellStyle name="Normal 16 2" xfId="14764"/>
    <cellStyle name="Normal 16 3" xfId="14765"/>
    <cellStyle name="Normal 16 4" xfId="14766"/>
    <cellStyle name="Normal 16 5" xfId="14767"/>
    <cellStyle name="Normal 16 6" xfId="14768"/>
    <cellStyle name="Normal 17" xfId="14769"/>
    <cellStyle name="Normal 17 2" xfId="14770"/>
    <cellStyle name="Normal 17 3" xfId="14771"/>
    <cellStyle name="Normal 17 4" xfId="14772"/>
    <cellStyle name="Normal 17 5" xfId="14773"/>
    <cellStyle name="Normal 17 6" xfId="14774"/>
    <cellStyle name="Normal 18" xfId="14775"/>
    <cellStyle name="Normal 18 2" xfId="14776"/>
    <cellStyle name="Normal 18 3" xfId="14777"/>
    <cellStyle name="Normal 18 4" xfId="14778"/>
    <cellStyle name="Normal 18 5" xfId="14779"/>
    <cellStyle name="Normal 19" xfId="14780"/>
    <cellStyle name="Normal 19 2" xfId="14781"/>
    <cellStyle name="Normal 19 3" xfId="14782"/>
    <cellStyle name="Normal 19 4" xfId="14783"/>
    <cellStyle name="Normal 19 5" xfId="14784"/>
    <cellStyle name="Normal 19 6" xfId="14785"/>
    <cellStyle name="Normal 2" xfId="15"/>
    <cellStyle name="Normal 2 10" xfId="14786"/>
    <cellStyle name="Normal 2 11" xfId="14787"/>
    <cellStyle name="Normal 2 12" xfId="14788"/>
    <cellStyle name="Normal 2 13" xfId="14789"/>
    <cellStyle name="Normal 2 14" xfId="14790"/>
    <cellStyle name="Normal 2 15" xfId="14791"/>
    <cellStyle name="Normal 2 16" xfId="14792"/>
    <cellStyle name="Normal 2 17" xfId="14793"/>
    <cellStyle name="Normal 2 18" xfId="14794"/>
    <cellStyle name="Normal 2 19" xfId="14795"/>
    <cellStyle name="Normal 2 2" xfId="26"/>
    <cellStyle name="Normal 2 2 10" xfId="14796"/>
    <cellStyle name="Normal 2 2 10 2" xfId="14797"/>
    <cellStyle name="Normal 2 2 100" xfId="14798"/>
    <cellStyle name="Normal 2 2 101" xfId="14799"/>
    <cellStyle name="Normal 2 2 102" xfId="14800"/>
    <cellStyle name="Normal 2 2 103" xfId="14801"/>
    <cellStyle name="Normal 2 2 104" xfId="14802"/>
    <cellStyle name="Normal 2 2 105" xfId="14803"/>
    <cellStyle name="Normal 2 2 106" xfId="14804"/>
    <cellStyle name="Normal 2 2 107" xfId="14805"/>
    <cellStyle name="Normal 2 2 108" xfId="14806"/>
    <cellStyle name="Normal 2 2 109" xfId="14807"/>
    <cellStyle name="Normal 2 2 11" xfId="14808"/>
    <cellStyle name="Normal 2 2 12" xfId="14809"/>
    <cellStyle name="Normal 2 2 13" xfId="14810"/>
    <cellStyle name="Normal 2 2 14" xfId="14811"/>
    <cellStyle name="Normal 2 2 15" xfId="14812"/>
    <cellStyle name="Normal 2 2 16" xfId="14813"/>
    <cellStyle name="Normal 2 2 17" xfId="14814"/>
    <cellStyle name="Normal 2 2 18" xfId="14815"/>
    <cellStyle name="Normal 2 2 19" xfId="14816"/>
    <cellStyle name="Normal 2 2 2" xfId="14817"/>
    <cellStyle name="Normal 2 2 2 10" xfId="14818"/>
    <cellStyle name="Normal 2 2 2 11" xfId="14819"/>
    <cellStyle name="Normal 2 2 2 12" xfId="14820"/>
    <cellStyle name="Normal 2 2 2 13" xfId="14821"/>
    <cellStyle name="Normal 2 2 2 13 2" xfId="14822"/>
    <cellStyle name="Normal 2 2 2 13 3" xfId="14823"/>
    <cellStyle name="Normal 2 2 2 13 4" xfId="14824"/>
    <cellStyle name="Normal 2 2 2 13 5" xfId="14825"/>
    <cellStyle name="Normal 2 2 2 13 6" xfId="14826"/>
    <cellStyle name="Normal 2 2 2 13 7" xfId="14827"/>
    <cellStyle name="Normal 2 2 2 14" xfId="14828"/>
    <cellStyle name="Normal 2 2 2 15" xfId="14829"/>
    <cellStyle name="Normal 2 2 2 16" xfId="14830"/>
    <cellStyle name="Normal 2 2 2 17" xfId="14831"/>
    <cellStyle name="Normal 2 2 2 18" xfId="14832"/>
    <cellStyle name="Normal 2 2 2 19" xfId="14833"/>
    <cellStyle name="Normal 2 2 2 19 2" xfId="14834"/>
    <cellStyle name="Normal 2 2 2 19 3" xfId="14835"/>
    <cellStyle name="Normal 2 2 2 2" xfId="14836"/>
    <cellStyle name="Normal 2 2 2 2 10" xfId="14837"/>
    <cellStyle name="Normal 2 2 2 2 2" xfId="14838"/>
    <cellStyle name="Normal 2 2 2 2 2 2" xfId="14839"/>
    <cellStyle name="Normal 2 2 2 2 2 2 2" xfId="14840"/>
    <cellStyle name="Normal 2 2 2 2 2 2 2 2" xfId="14841"/>
    <cellStyle name="Normal 2 2 2 2 2 2 2 2 2" xfId="14842"/>
    <cellStyle name="Normal 2 2 2 2 2 2 2 2 3" xfId="14843"/>
    <cellStyle name="Normal 2 2 2 2 2 2 2 3" xfId="14844"/>
    <cellStyle name="Normal 2 2 2 2 2 2 2 4" xfId="14845"/>
    <cellStyle name="Normal 2 2 2 2 2 2 3" xfId="14846"/>
    <cellStyle name="Normal 2 2 2 2 2 2 4" xfId="14847"/>
    <cellStyle name="Normal 2 2 2 2 2 2 5" xfId="14848"/>
    <cellStyle name="Normal 2 2 2 2 2 2 6" xfId="14849"/>
    <cellStyle name="Normal 2 2 2 2 2 2 7" xfId="14850"/>
    <cellStyle name="Normal 2 2 2 2 2 2 8" xfId="14851"/>
    <cellStyle name="Normal 2 2 2 2 2 2 8 2" xfId="14852"/>
    <cellStyle name="Normal 2 2 2 2 2 2 8 3" xfId="14853"/>
    <cellStyle name="Normal 2 2 2 2 2 2 9" xfId="14854"/>
    <cellStyle name="Normal 2 2 2 2 2 3" xfId="14855"/>
    <cellStyle name="Normal 2 2 2 2 2 4" xfId="14856"/>
    <cellStyle name="Normal 2 2 2 2 2 5" xfId="14857"/>
    <cellStyle name="Normal 2 2 2 2 2 6" xfId="14858"/>
    <cellStyle name="Normal 2 2 2 2 2 7" xfId="14859"/>
    <cellStyle name="Normal 2 2 2 2 2 8" xfId="14860"/>
    <cellStyle name="Normal 2 2 2 2 2 8 2" xfId="14861"/>
    <cellStyle name="Normal 2 2 2 2 2 8 3" xfId="14862"/>
    <cellStyle name="Normal 2 2 2 2 2 9" xfId="14863"/>
    <cellStyle name="Normal 2 2 2 2 3" xfId="14864"/>
    <cellStyle name="Normal 2 2 2 2 4" xfId="14865"/>
    <cellStyle name="Normal 2 2 2 2 5" xfId="14866"/>
    <cellStyle name="Normal 2 2 2 2 6" xfId="14867"/>
    <cellStyle name="Normal 2 2 2 2 7" xfId="14868"/>
    <cellStyle name="Normal 2 2 2 2 8" xfId="14869"/>
    <cellStyle name="Normal 2 2 2 2 9" xfId="14870"/>
    <cellStyle name="Normal 2 2 2 2 9 2" xfId="14871"/>
    <cellStyle name="Normal 2 2 2 2 9 3" xfId="14872"/>
    <cellStyle name="Normal 2 2 2 20" xfId="14873"/>
    <cellStyle name="Normal 2 2 2 21" xfId="14874"/>
    <cellStyle name="Normal 2 2 2 3" xfId="14875"/>
    <cellStyle name="Normal 2 2 2 4" xfId="14876"/>
    <cellStyle name="Normal 2 2 2 5" xfId="14877"/>
    <cellStyle name="Normal 2 2 2 6" xfId="14878"/>
    <cellStyle name="Normal 2 2 2 7" xfId="14879"/>
    <cellStyle name="Normal 2 2 2 8" xfId="14880"/>
    <cellStyle name="Normal 2 2 2 9" xfId="14881"/>
    <cellStyle name="Normal 2 2 20" xfId="14882"/>
    <cellStyle name="Normal 2 2 21" xfId="14883"/>
    <cellStyle name="Normal 2 2 22" xfId="14884"/>
    <cellStyle name="Normal 2 2 23" xfId="14885"/>
    <cellStyle name="Normal 2 2 23 2" xfId="14886"/>
    <cellStyle name="Normal 2 2 23 2 2" xfId="14887"/>
    <cellStyle name="Normal 2 2 23 2 2 2" xfId="14888"/>
    <cellStyle name="Normal 2 2 23 2 2 3" xfId="14889"/>
    <cellStyle name="Normal 2 2 23 2 2 4" xfId="14890"/>
    <cellStyle name="Normal 2 2 23 2 2 5" xfId="14891"/>
    <cellStyle name="Normal 2 2 23 2 2 6" xfId="14892"/>
    <cellStyle name="Normal 2 2 23 2 2 7" xfId="14893"/>
    <cellStyle name="Normal 2 2 23 2 3" xfId="14894"/>
    <cellStyle name="Normal 2 2 23 2 4" xfId="14895"/>
    <cellStyle name="Normal 2 2 23 2 5" xfId="14896"/>
    <cellStyle name="Normal 2 2 23 2 6" xfId="14897"/>
    <cellStyle name="Normal 2 2 23 2 7" xfId="14898"/>
    <cellStyle name="Normal 2 2 23 3" xfId="14899"/>
    <cellStyle name="Normal 2 2 23 4" xfId="14900"/>
    <cellStyle name="Normal 2 2 23 5" xfId="14901"/>
    <cellStyle name="Normal 2 2 23 6" xfId="14902"/>
    <cellStyle name="Normal 2 2 23 7" xfId="14903"/>
    <cellStyle name="Normal 2 2 23 8" xfId="14904"/>
    <cellStyle name="Normal 2 2 24" xfId="14905"/>
    <cellStyle name="Normal 2 2 25" xfId="14906"/>
    <cellStyle name="Normal 2 2 26" xfId="14907"/>
    <cellStyle name="Normal 2 2 27" xfId="14908"/>
    <cellStyle name="Normal 2 2 28" xfId="14909"/>
    <cellStyle name="Normal 2 2 29" xfId="14910"/>
    <cellStyle name="Normal 2 2 3" xfId="14911"/>
    <cellStyle name="Normal 2 2 3 2" xfId="14912"/>
    <cellStyle name="Normal 2 2 3 2 2" xfId="14913"/>
    <cellStyle name="Normal 2 2 3 2 3" xfId="14914"/>
    <cellStyle name="Normal 2 2 3 2 4" xfId="14915"/>
    <cellStyle name="Normal 2 2 3 2 5" xfId="14916"/>
    <cellStyle name="Normal 2 2 3 3" xfId="14917"/>
    <cellStyle name="Normal 2 2 3 4" xfId="14918"/>
    <cellStyle name="Normal 2 2 3 5" xfId="14919"/>
    <cellStyle name="Normal 2 2 3 6" xfId="14920"/>
    <cellStyle name="Normal 2 2 30" xfId="14921"/>
    <cellStyle name="Normal 2 2 31" xfId="14922"/>
    <cellStyle name="Normal 2 2 32" xfId="14923"/>
    <cellStyle name="Normal 2 2 33" xfId="14924"/>
    <cellStyle name="Normal 2 2 33 2" xfId="14925"/>
    <cellStyle name="Normal 2 2 33 3" xfId="14926"/>
    <cellStyle name="Normal 2 2 33 4" xfId="14927"/>
    <cellStyle name="Normal 2 2 33 5" xfId="14928"/>
    <cellStyle name="Normal 2 2 33 6" xfId="14929"/>
    <cellStyle name="Normal 2 2 33 7" xfId="14930"/>
    <cellStyle name="Normal 2 2 34" xfId="14931"/>
    <cellStyle name="Normal 2 2 35" xfId="14932"/>
    <cellStyle name="Normal 2 2 36" xfId="14933"/>
    <cellStyle name="Normal 2 2 37" xfId="14934"/>
    <cellStyle name="Normal 2 2 38" xfId="14935"/>
    <cellStyle name="Normal 2 2 39" xfId="14936"/>
    <cellStyle name="Normal 2 2 4" xfId="14937"/>
    <cellStyle name="Normal 2 2 40" xfId="14938"/>
    <cellStyle name="Normal 2 2 41" xfId="14939"/>
    <cellStyle name="Normal 2 2 42" xfId="14940"/>
    <cellStyle name="Normal 2 2 43" xfId="14941"/>
    <cellStyle name="Normal 2 2 44" xfId="14942"/>
    <cellStyle name="Normal 2 2 45" xfId="14943"/>
    <cellStyle name="Normal 2 2 46" xfId="14944"/>
    <cellStyle name="Normal 2 2 46 2" xfId="14945"/>
    <cellStyle name="Normal 2 2 46 3" xfId="14946"/>
    <cellStyle name="Normal 2 2 47" xfId="14947"/>
    <cellStyle name="Normal 2 2 48" xfId="14948"/>
    <cellStyle name="Normal 2 2 48 2" xfId="14949"/>
    <cellStyle name="Normal 2 2 49" xfId="14950"/>
    <cellStyle name="Normal 2 2 5" xfId="14951"/>
    <cellStyle name="Normal 2 2 50" xfId="14952"/>
    <cellStyle name="Normal 2 2 51" xfId="14953"/>
    <cellStyle name="Normal 2 2 52" xfId="14954"/>
    <cellStyle name="Normal 2 2 53" xfId="14955"/>
    <cellStyle name="Normal 2 2 54" xfId="14956"/>
    <cellStyle name="Normal 2 2 55" xfId="14957"/>
    <cellStyle name="Normal 2 2 56" xfId="14958"/>
    <cellStyle name="Normal 2 2 57" xfId="14959"/>
    <cellStyle name="Normal 2 2 58" xfId="14960"/>
    <cellStyle name="Normal 2 2 59" xfId="14961"/>
    <cellStyle name="Normal 2 2 6" xfId="14962"/>
    <cellStyle name="Normal 2 2 60" xfId="14963"/>
    <cellStyle name="Normal 2 2 61" xfId="14964"/>
    <cellStyle name="Normal 2 2 62" xfId="14965"/>
    <cellStyle name="Normal 2 2 63" xfId="14966"/>
    <cellStyle name="Normal 2 2 64" xfId="14967"/>
    <cellStyle name="Normal 2 2 65" xfId="14968"/>
    <cellStyle name="Normal 2 2 66" xfId="14969"/>
    <cellStyle name="Normal 2 2 67" xfId="14970"/>
    <cellStyle name="Normal 2 2 68" xfId="14971"/>
    <cellStyle name="Normal 2 2 69" xfId="14972"/>
    <cellStyle name="Normal 2 2 7" xfId="14973"/>
    <cellStyle name="Normal 2 2 70" xfId="14974"/>
    <cellStyle name="Normal 2 2 71" xfId="14975"/>
    <cellStyle name="Normal 2 2 72" xfId="14976"/>
    <cellStyle name="Normal 2 2 73" xfId="14977"/>
    <cellStyle name="Normal 2 2 74" xfId="14978"/>
    <cellStyle name="Normal 2 2 75" xfId="14979"/>
    <cellStyle name="Normal 2 2 76" xfId="14980"/>
    <cellStyle name="Normal 2 2 77" xfId="14981"/>
    <cellStyle name="Normal 2 2 78" xfId="14982"/>
    <cellStyle name="Normal 2 2 79" xfId="14983"/>
    <cellStyle name="Normal 2 2 8" xfId="14984"/>
    <cellStyle name="Normal 2 2 8 2" xfId="14985"/>
    <cellStyle name="Normal 2 2 8 3" xfId="14986"/>
    <cellStyle name="Normal 2 2 8 4" xfId="14987"/>
    <cellStyle name="Normal 2 2 80" xfId="14988"/>
    <cellStyle name="Normal 2 2 81" xfId="14989"/>
    <cellStyle name="Normal 2 2 82" xfId="14990"/>
    <cellStyle name="Normal 2 2 83" xfId="14991"/>
    <cellStyle name="Normal 2 2 84" xfId="14992"/>
    <cellStyle name="Normal 2 2 85" xfId="14993"/>
    <cellStyle name="Normal 2 2 86" xfId="14994"/>
    <cellStyle name="Normal 2 2 87" xfId="14995"/>
    <cellStyle name="Normal 2 2 88" xfId="14996"/>
    <cellStyle name="Normal 2 2 89" xfId="14997"/>
    <cellStyle name="Normal 2 2 9" xfId="14998"/>
    <cellStyle name="Normal 2 2 90" xfId="14999"/>
    <cellStyle name="Normal 2 2 91" xfId="15000"/>
    <cellStyle name="Normal 2 2 92" xfId="15001"/>
    <cellStyle name="Normal 2 2 93" xfId="15002"/>
    <cellStyle name="Normal 2 2 94" xfId="15003"/>
    <cellStyle name="Normal 2 2 95" xfId="15004"/>
    <cellStyle name="Normal 2 2 96" xfId="15005"/>
    <cellStyle name="Normal 2 2 97" xfId="15006"/>
    <cellStyle name="Normal 2 2 98" xfId="15007"/>
    <cellStyle name="Normal 2 2 99" xfId="15008"/>
    <cellStyle name="Normal 2 2_Xl0000010" xfId="15009"/>
    <cellStyle name="Normal 2 20" xfId="15010"/>
    <cellStyle name="Normal 2 21" xfId="15011"/>
    <cellStyle name="Normal 2 22" xfId="15012"/>
    <cellStyle name="Normal 2 23" xfId="15013"/>
    <cellStyle name="Normal 2 24" xfId="15014"/>
    <cellStyle name="Normal 2 25" xfId="15015"/>
    <cellStyle name="Normal 2 26" xfId="15016"/>
    <cellStyle name="Normal 2 27" xfId="15017"/>
    <cellStyle name="Normal 2 28" xfId="15018"/>
    <cellStyle name="Normal 2 29" xfId="15019"/>
    <cellStyle name="Normal 2 3" xfId="27"/>
    <cellStyle name="Normal 2 3 10" xfId="15020"/>
    <cellStyle name="Normal 2 3 11" xfId="15021"/>
    <cellStyle name="Normal 2 3 12" xfId="15022"/>
    <cellStyle name="Normal 2 3 13" xfId="15023"/>
    <cellStyle name="Normal 2 3 14" xfId="15024"/>
    <cellStyle name="Normal 2 3 15" xfId="15025"/>
    <cellStyle name="Normal 2 3 16" xfId="15026"/>
    <cellStyle name="Normal 2 3 17" xfId="15027"/>
    <cellStyle name="Normal 2 3 18" xfId="15028"/>
    <cellStyle name="Normal 2 3 19" xfId="15029"/>
    <cellStyle name="Normal 2 3 2" xfId="15030"/>
    <cellStyle name="Normal 2 3 2 2" xfId="15031"/>
    <cellStyle name="Normal 2 3 2 2 2" xfId="15032"/>
    <cellStyle name="Normal 2 3 2 2 3" xfId="15033"/>
    <cellStyle name="Normal 2 3 2 2 4" xfId="15034"/>
    <cellStyle name="Normal 2 3 2 2 5" xfId="15035"/>
    <cellStyle name="Normal 2 3 2 3" xfId="15036"/>
    <cellStyle name="Normal 2 3 2 4" xfId="15037"/>
    <cellStyle name="Normal 2 3 2 5" xfId="15038"/>
    <cellStyle name="Normal 2 3 2 6" xfId="15039"/>
    <cellStyle name="Normal 2 3 20" xfId="15040"/>
    <cellStyle name="Normal 2 3 21" xfId="15041"/>
    <cellStyle name="Normal 2 3 22" xfId="15042"/>
    <cellStyle name="Normal 2 3 23" xfId="15043"/>
    <cellStyle name="Normal 2 3 24" xfId="15044"/>
    <cellStyle name="Normal 2 3 25" xfId="15045"/>
    <cellStyle name="Normal 2 3 26" xfId="15046"/>
    <cellStyle name="Normal 2 3 27" xfId="15047"/>
    <cellStyle name="Normal 2 3 28" xfId="15048"/>
    <cellStyle name="Normal 2 3 29" xfId="15049"/>
    <cellStyle name="Normal 2 3 3" xfId="15050"/>
    <cellStyle name="Normal 2 3 30" xfId="15051"/>
    <cellStyle name="Normal 2 3 31" xfId="15052"/>
    <cellStyle name="Normal 2 3 32" xfId="15053"/>
    <cellStyle name="Normal 2 3 33" xfId="15054"/>
    <cellStyle name="Normal 2 3 34" xfId="15055"/>
    <cellStyle name="Normal 2 3 35" xfId="15056"/>
    <cellStyle name="Normal 2 3 36" xfId="15057"/>
    <cellStyle name="Normal 2 3 37" xfId="15058"/>
    <cellStyle name="Normal 2 3 38" xfId="15059"/>
    <cellStyle name="Normal 2 3 39" xfId="15060"/>
    <cellStyle name="Normal 2 3 4" xfId="15061"/>
    <cellStyle name="Normal 2 3 40" xfId="15062"/>
    <cellStyle name="Normal 2 3 41" xfId="15063"/>
    <cellStyle name="Normal 2 3 42" xfId="15064"/>
    <cellStyle name="Normal 2 3 43" xfId="15065"/>
    <cellStyle name="Normal 2 3 44" xfId="15066"/>
    <cellStyle name="Normal 2 3 45" xfId="15067"/>
    <cellStyle name="Normal 2 3 46" xfId="15068"/>
    <cellStyle name="Normal 2 3 47" xfId="15069"/>
    <cellStyle name="Normal 2 3 48" xfId="15070"/>
    <cellStyle name="Normal 2 3 49" xfId="15071"/>
    <cellStyle name="Normal 2 3 5" xfId="15072"/>
    <cellStyle name="Normal 2 3 50" xfId="15073"/>
    <cellStyle name="Normal 2 3 51" xfId="15074"/>
    <cellStyle name="Normal 2 3 52" xfId="15075"/>
    <cellStyle name="Normal 2 3 53" xfId="15076"/>
    <cellStyle name="Normal 2 3 54" xfId="15077"/>
    <cellStyle name="Normal 2 3 55" xfId="15078"/>
    <cellStyle name="Normal 2 3 56" xfId="15079"/>
    <cellStyle name="Normal 2 3 57" xfId="15080"/>
    <cellStyle name="Normal 2 3 58" xfId="15081"/>
    <cellStyle name="Normal 2 3 59" xfId="15082"/>
    <cellStyle name="Normal 2 3 6" xfId="15083"/>
    <cellStyle name="Normal 2 3 60" xfId="15084"/>
    <cellStyle name="Normal 2 3 61" xfId="15085"/>
    <cellStyle name="Normal 2 3 62" xfId="15086"/>
    <cellStyle name="Normal 2 3 63" xfId="15087"/>
    <cellStyle name="Normal 2 3 64" xfId="15088"/>
    <cellStyle name="Normal 2 3 65" xfId="15089"/>
    <cellStyle name="Normal 2 3 66" xfId="15090"/>
    <cellStyle name="Normal 2 3 67" xfId="15091"/>
    <cellStyle name="Normal 2 3 68" xfId="15092"/>
    <cellStyle name="Normal 2 3 69" xfId="15093"/>
    <cellStyle name="Normal 2 3 7" xfId="15094"/>
    <cellStyle name="Normal 2 3 70" xfId="15095"/>
    <cellStyle name="Normal 2 3 71" xfId="15096"/>
    <cellStyle name="Normal 2 3 72" xfId="15097"/>
    <cellStyle name="Normal 2 3 73" xfId="15098"/>
    <cellStyle name="Normal 2 3 74" xfId="15099"/>
    <cellStyle name="Normal 2 3 75" xfId="15100"/>
    <cellStyle name="Normal 2 3 76" xfId="15101"/>
    <cellStyle name="Normal 2 3 77" xfId="15102"/>
    <cellStyle name="Normal 2 3 8" xfId="15103"/>
    <cellStyle name="Normal 2 3 9" xfId="15104"/>
    <cellStyle name="Normal 2 30" xfId="15105"/>
    <cellStyle name="Normal 2 31" xfId="15106"/>
    <cellStyle name="Normal 2 32" xfId="15107"/>
    <cellStyle name="Normal 2 33" xfId="15108"/>
    <cellStyle name="Normal 2 4" xfId="28"/>
    <cellStyle name="Normal 2 4 2" xfId="15109"/>
    <cellStyle name="Normal 2 4 2 2" xfId="15110"/>
    <cellStyle name="Normal 2 4 2 3" xfId="15111"/>
    <cellStyle name="Normal 2 4 2 4" xfId="15112"/>
    <cellStyle name="Normal 2 4 2 5" xfId="15113"/>
    <cellStyle name="Normal 2 4 3" xfId="15114"/>
    <cellStyle name="Normal 2 4 4" xfId="15115"/>
    <cellStyle name="Normal 2 4 5" xfId="15116"/>
    <cellStyle name="Normal 2 4 6" xfId="15117"/>
    <cellStyle name="Normal 2 4 7" xfId="15118"/>
    <cellStyle name="Normal 2 4 8" xfId="15119"/>
    <cellStyle name="Normal 2 5" xfId="15120"/>
    <cellStyle name="Normal 2 5 2" xfId="15121"/>
    <cellStyle name="Normal 2 6" xfId="15122"/>
    <cellStyle name="Normal 2 7" xfId="15123"/>
    <cellStyle name="Normal 2 8" xfId="15124"/>
    <cellStyle name="Normal 2 9" xfId="15125"/>
    <cellStyle name="Normal 2_Claims - Q1 - IBSL (2)" xfId="30351"/>
    <cellStyle name="Normal 20" xfId="15126"/>
    <cellStyle name="Normal 20 2" xfId="15127"/>
    <cellStyle name="Normal 20 3" xfId="15128"/>
    <cellStyle name="Normal 20 4" xfId="15129"/>
    <cellStyle name="Normal 20 5" xfId="15130"/>
    <cellStyle name="Normal 20 6" xfId="15131"/>
    <cellStyle name="Normal 21" xfId="15132"/>
    <cellStyle name="Normal 21 2" xfId="15133"/>
    <cellStyle name="Normal 21 3" xfId="15134"/>
    <cellStyle name="Normal 21 4" xfId="15135"/>
    <cellStyle name="Normal 22" xfId="15136"/>
    <cellStyle name="Normal 22 2" xfId="15137"/>
    <cellStyle name="Normal 22 3" xfId="15138"/>
    <cellStyle name="Normal 23" xfId="15139"/>
    <cellStyle name="Normal 23 2" xfId="15140"/>
    <cellStyle name="Normal 23 3" xfId="15141"/>
    <cellStyle name="Normal 23 4" xfId="15142"/>
    <cellStyle name="Normal 24" xfId="15143"/>
    <cellStyle name="Normal 25" xfId="15144"/>
    <cellStyle name="Normal 26" xfId="15145"/>
    <cellStyle name="Normal 27" xfId="15146"/>
    <cellStyle name="Normal 28" xfId="15147"/>
    <cellStyle name="Normal 29" xfId="15148"/>
    <cellStyle name="Normal 3" xfId="21"/>
    <cellStyle name="Normal 3 10" xfId="15149"/>
    <cellStyle name="Normal 3 11" xfId="15150"/>
    <cellStyle name="Normal 3 12" xfId="15151"/>
    <cellStyle name="Normal 3 13" xfId="15152"/>
    <cellStyle name="Normal 3 14" xfId="15153"/>
    <cellStyle name="Normal 3 15" xfId="15154"/>
    <cellStyle name="Normal 3 16" xfId="15155"/>
    <cellStyle name="Normal 3 17" xfId="15156"/>
    <cellStyle name="Normal 3 18" xfId="15157"/>
    <cellStyle name="Normal 3 19" xfId="15158"/>
    <cellStyle name="Normal 3 2" xfId="15159"/>
    <cellStyle name="Normal 3 2 10" xfId="15160"/>
    <cellStyle name="Normal 3 2 11" xfId="15161"/>
    <cellStyle name="Normal 3 2 12" xfId="15162"/>
    <cellStyle name="Normal 3 2 13" xfId="15163"/>
    <cellStyle name="Normal 3 2 14" xfId="15164"/>
    <cellStyle name="Normal 3 2 15" xfId="15165"/>
    <cellStyle name="Normal 3 2 16" xfId="15166"/>
    <cellStyle name="Normal 3 2 17" xfId="15167"/>
    <cellStyle name="Normal 3 2 18" xfId="15168"/>
    <cellStyle name="Normal 3 2 19" xfId="15169"/>
    <cellStyle name="Normal 3 2 2" xfId="15170"/>
    <cellStyle name="Normal 3 2 2 10" xfId="15171"/>
    <cellStyle name="Normal 3 2 2 11" xfId="15172"/>
    <cellStyle name="Normal 3 2 2 12" xfId="15173"/>
    <cellStyle name="Normal 3 2 2 13" xfId="37578"/>
    <cellStyle name="Normal 3 2 2 2" xfId="15174"/>
    <cellStyle name="Normal 3 2 2 2 2" xfId="15175"/>
    <cellStyle name="Normal 3 2 2 2 3" xfId="15176"/>
    <cellStyle name="Normal 3 2 2 2 4" xfId="15177"/>
    <cellStyle name="Normal 3 2 2 2 5" xfId="15178"/>
    <cellStyle name="Normal 3 2 2 2 6" xfId="15179"/>
    <cellStyle name="Normal 3 2 2 2 7" xfId="15180"/>
    <cellStyle name="Normal 3 2 2 2 8" xfId="15181"/>
    <cellStyle name="Normal 3 2 2 2 9" xfId="15182"/>
    <cellStyle name="Normal 3 2 2 3" xfId="15183"/>
    <cellStyle name="Normal 3 2 2 3 2" xfId="15184"/>
    <cellStyle name="Normal 3 2 2 3 3" xfId="15185"/>
    <cellStyle name="Normal 3 2 2 4" xfId="15186"/>
    <cellStyle name="Normal 3 2 2 5" xfId="15187"/>
    <cellStyle name="Normal 3 2 2 6" xfId="15188"/>
    <cellStyle name="Normal 3 2 2 7" xfId="15189"/>
    <cellStyle name="Normal 3 2 2 7 2" xfId="15190"/>
    <cellStyle name="Normal 3 2 2 8" xfId="15191"/>
    <cellStyle name="Normal 3 2 2 9" xfId="15192"/>
    <cellStyle name="Normal 3 2 20" xfId="15193"/>
    <cellStyle name="Normal 3 2 21" xfId="15194"/>
    <cellStyle name="Normal 3 2 22" xfId="15195"/>
    <cellStyle name="Normal 3 2 23" xfId="15196"/>
    <cellStyle name="Normal 3 2 24" xfId="15197"/>
    <cellStyle name="Normal 3 2 24 2" xfId="15198"/>
    <cellStyle name="Normal 3 2 25" xfId="15199"/>
    <cellStyle name="Normal 3 2 26" xfId="15200"/>
    <cellStyle name="Normal 3 2 27" xfId="15201"/>
    <cellStyle name="Normal 3 2 28" xfId="15202"/>
    <cellStyle name="Normal 3 2 29" xfId="15203"/>
    <cellStyle name="Normal 3 2 3" xfId="15204"/>
    <cellStyle name="Normal 3 2 3 2" xfId="15205"/>
    <cellStyle name="Normal 3 2 3 3" xfId="15206"/>
    <cellStyle name="Normal 3 2 3 4" xfId="15207"/>
    <cellStyle name="Normal 3 2 4" xfId="19"/>
    <cellStyle name="Normal 3 2 4 2" xfId="15208"/>
    <cellStyle name="Normal 3 2 4 3" xfId="15209"/>
    <cellStyle name="Normal 3 2 4 4" xfId="15210"/>
    <cellStyle name="Normal 3 2 5" xfId="15211"/>
    <cellStyle name="Normal 3 2 5 2" xfId="15212"/>
    <cellStyle name="Normal 3 2 5 3" xfId="15213"/>
    <cellStyle name="Normal 3 2 6" xfId="15214"/>
    <cellStyle name="Normal 3 2 6 2" xfId="15215"/>
    <cellStyle name="Normal 3 2 6 3" xfId="15216"/>
    <cellStyle name="Normal 3 2 7" xfId="15217"/>
    <cellStyle name="Normal 3 2 8" xfId="15218"/>
    <cellStyle name="Normal 3 2 9" xfId="15219"/>
    <cellStyle name="Normal 3 20" xfId="15220"/>
    <cellStyle name="Normal 3 21" xfId="15221"/>
    <cellStyle name="Normal 3 22" xfId="15222"/>
    <cellStyle name="Normal 3 23" xfId="15223"/>
    <cellStyle name="Normal 3 24" xfId="15224"/>
    <cellStyle name="Normal 3 25" xfId="15225"/>
    <cellStyle name="Normal 3 26" xfId="15226"/>
    <cellStyle name="Normal 3 27" xfId="15227"/>
    <cellStyle name="Normal 3 27 2" xfId="15228"/>
    <cellStyle name="Normal 3 28" xfId="15229"/>
    <cellStyle name="Normal 3 29" xfId="15230"/>
    <cellStyle name="Normal 3 3" xfId="15231"/>
    <cellStyle name="Normal 3 3 2" xfId="15232"/>
    <cellStyle name="Normal 3 3 2 2" xfId="15233"/>
    <cellStyle name="Normal 3 3 2 2 2" xfId="15234"/>
    <cellStyle name="Normal 3 3 2 2 3" xfId="15235"/>
    <cellStyle name="Normal 3 3 2 3" xfId="15236"/>
    <cellStyle name="Normal 3 3 2 4" xfId="15237"/>
    <cellStyle name="Normal 3 3 2 5" xfId="15238"/>
    <cellStyle name="Normal 3 3 3" xfId="15239"/>
    <cellStyle name="Normal 3 3 3 2" xfId="15240"/>
    <cellStyle name="Normal 3 3 3 3" xfId="15241"/>
    <cellStyle name="Normal 3 3 4" xfId="15242"/>
    <cellStyle name="Normal 3 3 4 2" xfId="15243"/>
    <cellStyle name="Normal 3 3 4 3" xfId="15244"/>
    <cellStyle name="Normal 3 3 5" xfId="15245"/>
    <cellStyle name="Normal 3 3 5 2" xfId="15246"/>
    <cellStyle name="Normal 3 3 5 3" xfId="15247"/>
    <cellStyle name="Normal 3 3 6" xfId="15248"/>
    <cellStyle name="Normal 3 3 6 2" xfId="15249"/>
    <cellStyle name="Normal 3 3 6 3" xfId="15250"/>
    <cellStyle name="Normal 3 3 7" xfId="15251"/>
    <cellStyle name="Normal 3 3 8" xfId="15252"/>
    <cellStyle name="Normal 3 3 9" xfId="15253"/>
    <cellStyle name="Normal 3 30" xfId="15254"/>
    <cellStyle name="Normal 3 31" xfId="15255"/>
    <cellStyle name="Normal 3 4" xfId="15256"/>
    <cellStyle name="Normal 3 4 2" xfId="15257"/>
    <cellStyle name="Normal 3 4 3" xfId="15258"/>
    <cellStyle name="Normal 3 4 4" xfId="15259"/>
    <cellStyle name="Normal 3 4 5" xfId="37580"/>
    <cellStyle name="Normal 3 5" xfId="15260"/>
    <cellStyle name="Normal 3 5 2" xfId="15261"/>
    <cellStyle name="Normal 3 5 3" xfId="15262"/>
    <cellStyle name="Normal 3 5 4" xfId="15263"/>
    <cellStyle name="Normal 3 6" xfId="15264"/>
    <cellStyle name="Normal 3 6 2" xfId="15265"/>
    <cellStyle name="Normal 3 6 3" xfId="15266"/>
    <cellStyle name="Normal 3 7" xfId="15267"/>
    <cellStyle name="Normal 3 7 2" xfId="15268"/>
    <cellStyle name="Normal 3 7 3" xfId="15269"/>
    <cellStyle name="Normal 3 8" xfId="15270"/>
    <cellStyle name="Normal 3 9" xfId="15271"/>
    <cellStyle name="Normal 3_PROD_DETAILS" xfId="15272"/>
    <cellStyle name="Normal 30" xfId="15273"/>
    <cellStyle name="Normal 31" xfId="15274"/>
    <cellStyle name="Normal 32" xfId="15275"/>
    <cellStyle name="Normal 33" xfId="15276"/>
    <cellStyle name="Normal 34" xfId="15277"/>
    <cellStyle name="Normal 34 2" xfId="30352"/>
    <cellStyle name="Normal 35" xfId="15278"/>
    <cellStyle name="Normal 35 2" xfId="30353"/>
    <cellStyle name="Normal 36" xfId="15279"/>
    <cellStyle name="Normal 36 2" xfId="30354"/>
    <cellStyle name="Normal 37" xfId="15280"/>
    <cellStyle name="Normal 37 2" xfId="30355"/>
    <cellStyle name="Normal 38" xfId="15281"/>
    <cellStyle name="Normal 38 2" xfId="30356"/>
    <cellStyle name="Normal 39" xfId="15282"/>
    <cellStyle name="Normal 39 2" xfId="30357"/>
    <cellStyle name="Normal 4" xfId="29"/>
    <cellStyle name="Normal 4 10" xfId="15283"/>
    <cellStyle name="Normal 4 11" xfId="15284"/>
    <cellStyle name="Normal 4 12" xfId="15285"/>
    <cellStyle name="Normal 4 13" xfId="15286"/>
    <cellStyle name="Normal 4 14" xfId="15287"/>
    <cellStyle name="Normal 4 15" xfId="15288"/>
    <cellStyle name="Normal 4 16" xfId="15289"/>
    <cellStyle name="Normal 4 17" xfId="15290"/>
    <cellStyle name="Normal 4 18" xfId="15291"/>
    <cellStyle name="Normal 4 19" xfId="15292"/>
    <cellStyle name="Normal 4 2" xfId="15293"/>
    <cellStyle name="Normal 4 2 2" xfId="15294"/>
    <cellStyle name="Normal 4 2 2 2" xfId="15295"/>
    <cellStyle name="Normal 4 2 2 2 2" xfId="15296"/>
    <cellStyle name="Normal 4 2 2 2 3" xfId="15297"/>
    <cellStyle name="Normal 4 2 2 3" xfId="15298"/>
    <cellStyle name="Normal 4 2 2 4" xfId="15299"/>
    <cellStyle name="Normal 4 2 2 5" xfId="15300"/>
    <cellStyle name="Normal 4 2 3" xfId="15301"/>
    <cellStyle name="Normal 4 2 4" xfId="15302"/>
    <cellStyle name="Normal 4 2 5" xfId="15303"/>
    <cellStyle name="Normal 4 2 5 2" xfId="15304"/>
    <cellStyle name="Normal 4 2 5 3" xfId="15305"/>
    <cellStyle name="Normal 4 2 6" xfId="15306"/>
    <cellStyle name="Normal 4 2 7" xfId="15307"/>
    <cellStyle name="Normal 4 2 8" xfId="15308"/>
    <cellStyle name="Normal 4 20" xfId="15309"/>
    <cellStyle name="Normal 4 21" xfId="15310"/>
    <cellStyle name="Normal 4 22" xfId="15311"/>
    <cellStyle name="Normal 4 23" xfId="15312"/>
    <cellStyle name="Normal 4 24" xfId="15313"/>
    <cellStyle name="Normal 4 25" xfId="15314"/>
    <cellStyle name="Normal 4 26" xfId="15315"/>
    <cellStyle name="Normal 4 27" xfId="15316"/>
    <cellStyle name="Normal 4 27 2" xfId="15317"/>
    <cellStyle name="Normal 4 27 3" xfId="15318"/>
    <cellStyle name="Normal 4 28" xfId="15319"/>
    <cellStyle name="Normal 4 29" xfId="15320"/>
    <cellStyle name="Normal 4 3" xfId="15321"/>
    <cellStyle name="Normal 4 3 2" xfId="37582"/>
    <cellStyle name="Normal 4 30" xfId="15322"/>
    <cellStyle name="Normal 4 31" xfId="30358"/>
    <cellStyle name="Normal 4 4" xfId="15323"/>
    <cellStyle name="Normal 4 5" xfId="15324"/>
    <cellStyle name="Normal 4 6" xfId="15325"/>
    <cellStyle name="Normal 4 7" xfId="15326"/>
    <cellStyle name="Normal 4 8" xfId="15327"/>
    <cellStyle name="Normal 4 9" xfId="15328"/>
    <cellStyle name="Normal 40" xfId="15329"/>
    <cellStyle name="Normal 40 2" xfId="30359"/>
    <cellStyle name="Normal 41" xfId="15330"/>
    <cellStyle name="Normal 41 2" xfId="30360"/>
    <cellStyle name="Normal 42" xfId="15331"/>
    <cellStyle name="Normal 42 2" xfId="30361"/>
    <cellStyle name="Normal 43" xfId="15332"/>
    <cellStyle name="Normal 43 2" xfId="30362"/>
    <cellStyle name="Normal 44" xfId="15333"/>
    <cellStyle name="Normal 44 2" xfId="30363"/>
    <cellStyle name="Normal 45" xfId="15334"/>
    <cellStyle name="Normal 45 2" xfId="30364"/>
    <cellStyle name="Normal 46" xfId="15335"/>
    <cellStyle name="Normal 46 2" xfId="30365"/>
    <cellStyle name="Normal 47" xfId="15336"/>
    <cellStyle name="Normal 47 2" xfId="30366"/>
    <cellStyle name="Normal 48" xfId="15337"/>
    <cellStyle name="Normal 48 2" xfId="30367"/>
    <cellStyle name="Normal 49" xfId="15338"/>
    <cellStyle name="Normal 49 2" xfId="30368"/>
    <cellStyle name="Normal 5" xfId="15339"/>
    <cellStyle name="Normal 5 10" xfId="15340"/>
    <cellStyle name="Normal 5 11" xfId="15341"/>
    <cellStyle name="Normal 5 12" xfId="15342"/>
    <cellStyle name="Normal 5 13" xfId="15343"/>
    <cellStyle name="Normal 5 14" xfId="15344"/>
    <cellStyle name="Normal 5 15" xfId="15345"/>
    <cellStyle name="Normal 5 16" xfId="15346"/>
    <cellStyle name="Normal 5 17" xfId="15347"/>
    <cellStyle name="Normal 5 18" xfId="15348"/>
    <cellStyle name="Normal 5 19" xfId="15349"/>
    <cellStyle name="Normal 5 2" xfId="15350"/>
    <cellStyle name="Normal 5 2 2" xfId="15351"/>
    <cellStyle name="Normal 5 2 2 2" xfId="15352"/>
    <cellStyle name="Normal 5 2 2 2 2" xfId="15353"/>
    <cellStyle name="Normal 5 2 2 2 3" xfId="15354"/>
    <cellStyle name="Normal 5 2 2 3" xfId="15355"/>
    <cellStyle name="Normal 5 2 2 4" xfId="15356"/>
    <cellStyle name="Normal 5 2 2 5" xfId="15357"/>
    <cellStyle name="Normal 5 2 3" xfId="15358"/>
    <cellStyle name="Normal 5 2 4" xfId="15359"/>
    <cellStyle name="Normal 5 2 5" xfId="15360"/>
    <cellStyle name="Normal 5 2 5 2" xfId="15361"/>
    <cellStyle name="Normal 5 2 5 3" xfId="15362"/>
    <cellStyle name="Normal 5 2 6" xfId="15363"/>
    <cellStyle name="Normal 5 20" xfId="15364"/>
    <cellStyle name="Normal 5 21" xfId="15365"/>
    <cellStyle name="Normal 5 22" xfId="15366"/>
    <cellStyle name="Normal 5 23" xfId="15367"/>
    <cellStyle name="Normal 5 24" xfId="15368"/>
    <cellStyle name="Normal 5 25" xfId="15369"/>
    <cellStyle name="Normal 5 26" xfId="15370"/>
    <cellStyle name="Normal 5 27" xfId="15371"/>
    <cellStyle name="Normal 5 27 2" xfId="15372"/>
    <cellStyle name="Normal 5 27 3" xfId="15373"/>
    <cellStyle name="Normal 5 28" xfId="15374"/>
    <cellStyle name="Normal 5 29" xfId="15375"/>
    <cellStyle name="Normal 5 3" xfId="15376"/>
    <cellStyle name="Normal 5 3 2" xfId="37583"/>
    <cellStyle name="Normal 5 30" xfId="15377"/>
    <cellStyle name="Normal 5 31" xfId="30369"/>
    <cellStyle name="Normal 5 4" xfId="15378"/>
    <cellStyle name="Normal 5 5" xfId="15379"/>
    <cellStyle name="Normal 5 6" xfId="15380"/>
    <cellStyle name="Normal 5 7" xfId="15381"/>
    <cellStyle name="Normal 5 8" xfId="15382"/>
    <cellStyle name="Normal 5 9" xfId="15383"/>
    <cellStyle name="Normal 5_PROD_DETAILS" xfId="15384"/>
    <cellStyle name="Normal 50" xfId="15385"/>
    <cellStyle name="Normal 50 2" xfId="30370"/>
    <cellStyle name="Normal 51" xfId="15386"/>
    <cellStyle name="Normal 51 2" xfId="30371"/>
    <cellStyle name="Normal 52" xfId="15387"/>
    <cellStyle name="Normal 52 2" xfId="30372"/>
    <cellStyle name="Normal 53" xfId="15388"/>
    <cellStyle name="Normal 53 2" xfId="30373"/>
    <cellStyle name="Normal 54" xfId="15389"/>
    <cellStyle name="Normal 54 2" xfId="30374"/>
    <cellStyle name="Normal 55" xfId="15390"/>
    <cellStyle name="Normal 55 2" xfId="30375"/>
    <cellStyle name="Normal 56" xfId="15391"/>
    <cellStyle name="Normal 56 2" xfId="30376"/>
    <cellStyle name="Normal 57" xfId="15392"/>
    <cellStyle name="Normal 57 2" xfId="30377"/>
    <cellStyle name="Normal 58" xfId="15393"/>
    <cellStyle name="Normal 58 2" xfId="30378"/>
    <cellStyle name="Normal 59" xfId="15394"/>
    <cellStyle name="Normal 59 2" xfId="30379"/>
    <cellStyle name="Normal 6" xfId="15395"/>
    <cellStyle name="Normal 6 10" xfId="15396"/>
    <cellStyle name="Normal 6 11" xfId="15397"/>
    <cellStyle name="Normal 6 12" xfId="15398"/>
    <cellStyle name="Normal 6 13" xfId="15399"/>
    <cellStyle name="Normal 6 14" xfId="15400"/>
    <cellStyle name="Normal 6 15" xfId="15401"/>
    <cellStyle name="Normal 6 16" xfId="15402"/>
    <cellStyle name="Normal 6 17" xfId="15403"/>
    <cellStyle name="Normal 6 18" xfId="30380"/>
    <cellStyle name="Normal 6 2" xfId="15404"/>
    <cellStyle name="Normal 6 2 2" xfId="15405"/>
    <cellStyle name="Normal 6 2 2 2" xfId="15406"/>
    <cellStyle name="Normal 6 2 2 3" xfId="15407"/>
    <cellStyle name="Normal 6 2 2 4" xfId="15408"/>
    <cellStyle name="Normal 6 2 2 5" xfId="15409"/>
    <cellStyle name="Normal 6 2 3" xfId="15410"/>
    <cellStyle name="Normal 6 2 4" xfId="15411"/>
    <cellStyle name="Normal 6 2 5" xfId="15412"/>
    <cellStyle name="Normal 6 2 6" xfId="15413"/>
    <cellStyle name="Normal 6 2 7" xfId="30381"/>
    <cellStyle name="Normal 6 3" xfId="15414"/>
    <cellStyle name="Normal 6 4" xfId="15415"/>
    <cellStyle name="Normal 6 5" xfId="15416"/>
    <cellStyle name="Normal 6 6" xfId="15417"/>
    <cellStyle name="Normal 6 7" xfId="15418"/>
    <cellStyle name="Normal 6 8" xfId="15419"/>
    <cellStyle name="Normal 6 9" xfId="15420"/>
    <cellStyle name="Normal 60" xfId="15421"/>
    <cellStyle name="Normal 61" xfId="15422"/>
    <cellStyle name="Normal 61 2" xfId="30382"/>
    <cellStyle name="Normal 62" xfId="30383"/>
    <cellStyle name="Normal 63" xfId="30384"/>
    <cellStyle name="Normal 64" xfId="30385"/>
    <cellStyle name="Normal 65" xfId="30386"/>
    <cellStyle name="Normal 66" xfId="37544"/>
    <cellStyle name="Normal 67" xfId="37553"/>
    <cellStyle name="Normal 68" xfId="37555"/>
    <cellStyle name="Normal 69" xfId="37556"/>
    <cellStyle name="Normal 7" xfId="15423"/>
    <cellStyle name="Normal 7 10" xfId="15424"/>
    <cellStyle name="Normal 7 11" xfId="15425"/>
    <cellStyle name="Normal 7 12" xfId="30387"/>
    <cellStyle name="Normal 7 2" xfId="15426"/>
    <cellStyle name="Normal 7 2 2" xfId="15427"/>
    <cellStyle name="Normal 7 2 2 2" xfId="15428"/>
    <cellStyle name="Normal 7 2 2 3" xfId="15429"/>
    <cellStyle name="Normal 7 2 2 4" xfId="15430"/>
    <cellStyle name="Normal 7 2 2 5" xfId="15431"/>
    <cellStyle name="Normal 7 2 2 6" xfId="15432"/>
    <cellStyle name="Normal 7 2 3" xfId="15433"/>
    <cellStyle name="Normal 7 2 3 2" xfId="15434"/>
    <cellStyle name="Normal 7 2 3 3" xfId="15435"/>
    <cellStyle name="Normal 7 2 4" xfId="15436"/>
    <cellStyle name="Normal 7 2 4 2" xfId="15437"/>
    <cellStyle name="Normal 7 2 4 3" xfId="15438"/>
    <cellStyle name="Normal 7 2 5" xfId="15439"/>
    <cellStyle name="Normal 7 2 5 2" xfId="15440"/>
    <cellStyle name="Normal 7 2 5 3" xfId="15441"/>
    <cellStyle name="Normal 7 2 6" xfId="15442"/>
    <cellStyle name="Normal 7 2 7" xfId="15443"/>
    <cellStyle name="Normal 7 2 8" xfId="15444"/>
    <cellStyle name="Normal 7 2 9" xfId="30388"/>
    <cellStyle name="Normal 7 3" xfId="15445"/>
    <cellStyle name="Normal 7 3 2" xfId="15446"/>
    <cellStyle name="Normal 7 3 3" xfId="15447"/>
    <cellStyle name="Normal 7 3 4" xfId="15448"/>
    <cellStyle name="Normal 7 4" xfId="15449"/>
    <cellStyle name="Normal 7 4 2" xfId="15450"/>
    <cellStyle name="Normal 7 4 3" xfId="15451"/>
    <cellStyle name="Normal 7 4 4" xfId="15452"/>
    <cellStyle name="Normal 7 5" xfId="15453"/>
    <cellStyle name="Normal 7 5 2" xfId="15454"/>
    <cellStyle name="Normal 7 5 3" xfId="15455"/>
    <cellStyle name="Normal 7 6" xfId="15456"/>
    <cellStyle name="Normal 7 6 2" xfId="15457"/>
    <cellStyle name="Normal 7 6 3" xfId="15458"/>
    <cellStyle name="Normal 7 7" xfId="15459"/>
    <cellStyle name="Normal 7 8" xfId="15460"/>
    <cellStyle name="Normal 7 9" xfId="15461"/>
    <cellStyle name="Normal 70" xfId="37558"/>
    <cellStyle name="Normal 71" xfId="37559"/>
    <cellStyle name="Normal 72" xfId="37561"/>
    <cellStyle name="Normal 73" xfId="37562"/>
    <cellStyle name="Normal 74" xfId="37557"/>
    <cellStyle name="Normal 75" xfId="37554"/>
    <cellStyle name="Normal 76" xfId="37563"/>
    <cellStyle name="Normal 77" xfId="37565"/>
    <cellStyle name="Normal 78" xfId="37567"/>
    <cellStyle name="Normal 79" xfId="37569"/>
    <cellStyle name="Normal 8" xfId="12"/>
    <cellStyle name="Normal 8 10" xfId="15462"/>
    <cellStyle name="Normal 8 11" xfId="15463"/>
    <cellStyle name="Normal 8 12" xfId="15464"/>
    <cellStyle name="Normal 8 13" xfId="15465"/>
    <cellStyle name="Normal 8 14" xfId="15466"/>
    <cellStyle name="Normal 8 15" xfId="15467"/>
    <cellStyle name="Normal 8 16" xfId="15468"/>
    <cellStyle name="Normal 8 17" xfId="15469"/>
    <cellStyle name="Normal 8 18" xfId="15470"/>
    <cellStyle name="Normal 8 19" xfId="15471"/>
    <cellStyle name="Normal 8 2" xfId="15472"/>
    <cellStyle name="Normal 8 2 2" xfId="15473"/>
    <cellStyle name="Normal 8 2 2 2" xfId="15474"/>
    <cellStyle name="Normal 8 2 2 3" xfId="15475"/>
    <cellStyle name="Normal 8 2 2 4" xfId="15476"/>
    <cellStyle name="Normal 8 2 3" xfId="15477"/>
    <cellStyle name="Normal 8 2 3 2" xfId="15478"/>
    <cellStyle name="Normal 8 2 3 3" xfId="15479"/>
    <cellStyle name="Normal 8 2 4" xfId="15480"/>
    <cellStyle name="Normal 8 2 4 2" xfId="15481"/>
    <cellStyle name="Normal 8 2 4 3" xfId="15482"/>
    <cellStyle name="Normal 8 2 5" xfId="15483"/>
    <cellStyle name="Normal 8 2 5 2" xfId="15484"/>
    <cellStyle name="Normal 8 2 5 3" xfId="15485"/>
    <cellStyle name="Normal 8 2 6" xfId="15486"/>
    <cellStyle name="Normal 8 2 7" xfId="15487"/>
    <cellStyle name="Normal 8 2 8" xfId="15488"/>
    <cellStyle name="Normal 8 20" xfId="15489"/>
    <cellStyle name="Normal 8 21" xfId="15490"/>
    <cellStyle name="Normal 8 22" xfId="15491"/>
    <cellStyle name="Normal 8 23" xfId="15492"/>
    <cellStyle name="Normal 8 24" xfId="15493"/>
    <cellStyle name="Normal 8 25" xfId="15494"/>
    <cellStyle name="Normal 8 26" xfId="15495"/>
    <cellStyle name="Normal 8 27" xfId="30389"/>
    <cellStyle name="Normal 8 3" xfId="15496"/>
    <cellStyle name="Normal 8 3 2" xfId="15497"/>
    <cellStyle name="Normal 8 3 3" xfId="15498"/>
    <cellStyle name="Normal 8 3 4" xfId="15499"/>
    <cellStyle name="Normal 8 4" xfId="15500"/>
    <cellStyle name="Normal 8 4 2" xfId="15501"/>
    <cellStyle name="Normal 8 4 3" xfId="15502"/>
    <cellStyle name="Normal 8 4 4" xfId="15503"/>
    <cellStyle name="Normal 8 5" xfId="15504"/>
    <cellStyle name="Normal 8 5 2" xfId="15505"/>
    <cellStyle name="Normal 8 5 3" xfId="15506"/>
    <cellStyle name="Normal 8 6" xfId="15507"/>
    <cellStyle name="Normal 8 6 2" xfId="15508"/>
    <cellStyle name="Normal 8 6 3" xfId="15509"/>
    <cellStyle name="Normal 8 7" xfId="15510"/>
    <cellStyle name="Normal 8 8" xfId="15511"/>
    <cellStyle name="Normal 8 9" xfId="15512"/>
    <cellStyle name="Normal 9" xfId="15513"/>
    <cellStyle name="Normal 9 10" xfId="15514"/>
    <cellStyle name="Normal 9 11" xfId="15515"/>
    <cellStyle name="Normal 9 12" xfId="15516"/>
    <cellStyle name="Normal 9 13" xfId="15517"/>
    <cellStyle name="Normal 9 14" xfId="15518"/>
    <cellStyle name="Normal 9 15" xfId="15519"/>
    <cellStyle name="Normal 9 16" xfId="15520"/>
    <cellStyle name="Normal 9 17" xfId="15521"/>
    <cellStyle name="Normal 9 18" xfId="15522"/>
    <cellStyle name="Normal 9 19" xfId="15523"/>
    <cellStyle name="Normal 9 2" xfId="15524"/>
    <cellStyle name="Normal 9 2 2" xfId="15525"/>
    <cellStyle name="Normal 9 2 3" xfId="15526"/>
    <cellStyle name="Normal 9 2 4" xfId="15527"/>
    <cellStyle name="Normal 9 2 5" xfId="15528"/>
    <cellStyle name="Normal 9 2 6" xfId="15529"/>
    <cellStyle name="Normal 9 20" xfId="15530"/>
    <cellStyle name="Normal 9 21" xfId="15531"/>
    <cellStyle name="Normal 9 22" xfId="15532"/>
    <cellStyle name="Normal 9 23" xfId="15533"/>
    <cellStyle name="Normal 9 24" xfId="15534"/>
    <cellStyle name="Normal 9 25" xfId="15535"/>
    <cellStyle name="Normal 9 26" xfId="15536"/>
    <cellStyle name="Normal 9 27" xfId="15537"/>
    <cellStyle name="Normal 9 28" xfId="15538"/>
    <cellStyle name="Normal 9 29" xfId="15539"/>
    <cellStyle name="Normal 9 3" xfId="15540"/>
    <cellStyle name="Normal 9 30" xfId="15541"/>
    <cellStyle name="Normal 9 31" xfId="15542"/>
    <cellStyle name="Normal 9 32" xfId="15543"/>
    <cellStyle name="Normal 9 33" xfId="15544"/>
    <cellStyle name="Normal 9 34" xfId="15545"/>
    <cellStyle name="Normal 9 35" xfId="15546"/>
    <cellStyle name="Normal 9 36" xfId="15547"/>
    <cellStyle name="Normal 9 37" xfId="15548"/>
    <cellStyle name="Normal 9 38" xfId="15549"/>
    <cellStyle name="Normal 9 39" xfId="15550"/>
    <cellStyle name="Normal 9 4" xfId="15551"/>
    <cellStyle name="Normal 9 40" xfId="15552"/>
    <cellStyle name="Normal 9 41" xfId="15553"/>
    <cellStyle name="Normal 9 42" xfId="15554"/>
    <cellStyle name="Normal 9 43" xfId="15555"/>
    <cellStyle name="Normal 9 44" xfId="15556"/>
    <cellStyle name="Normal 9 45" xfId="15557"/>
    <cellStyle name="Normal 9 46" xfId="15558"/>
    <cellStyle name="Normal 9 47" xfId="15559"/>
    <cellStyle name="Normal 9 48" xfId="15560"/>
    <cellStyle name="Normal 9 49" xfId="15561"/>
    <cellStyle name="Normal 9 5" xfId="15562"/>
    <cellStyle name="Normal 9 50" xfId="15563"/>
    <cellStyle name="Normal 9 51" xfId="15564"/>
    <cellStyle name="Normal 9 52" xfId="15565"/>
    <cellStyle name="Normal 9 53" xfId="15566"/>
    <cellStyle name="Normal 9 54" xfId="15567"/>
    <cellStyle name="Normal 9 55" xfId="15568"/>
    <cellStyle name="Normal 9 56" xfId="15569"/>
    <cellStyle name="Normal 9 57" xfId="15570"/>
    <cellStyle name="Normal 9 58" xfId="15571"/>
    <cellStyle name="Normal 9 59" xfId="15572"/>
    <cellStyle name="Normal 9 6" xfId="15573"/>
    <cellStyle name="Normal 9 60" xfId="15574"/>
    <cellStyle name="Normal 9 61" xfId="15575"/>
    <cellStyle name="Normal 9 62" xfId="15576"/>
    <cellStyle name="Normal 9 63" xfId="15577"/>
    <cellStyle name="Normal 9 64" xfId="15578"/>
    <cellStyle name="Normal 9 65" xfId="15579"/>
    <cellStyle name="Normal 9 66" xfId="15580"/>
    <cellStyle name="Normal 9 67" xfId="15581"/>
    <cellStyle name="Normal 9 68" xfId="15582"/>
    <cellStyle name="Normal 9 69" xfId="15583"/>
    <cellStyle name="Normal 9 7" xfId="15584"/>
    <cellStyle name="Normal 9 70" xfId="15585"/>
    <cellStyle name="Normal 9 71" xfId="15586"/>
    <cellStyle name="Normal 9 72" xfId="15587"/>
    <cellStyle name="Normal 9 73" xfId="15588"/>
    <cellStyle name="Normal 9 74" xfId="15589"/>
    <cellStyle name="Normal 9 75" xfId="15590"/>
    <cellStyle name="Normal 9 76" xfId="15591"/>
    <cellStyle name="Normal 9 77" xfId="15592"/>
    <cellStyle name="Normal 9 78" xfId="30390"/>
    <cellStyle name="Normal 9 8" xfId="15593"/>
    <cellStyle name="Normal 9 9" xfId="15594"/>
    <cellStyle name="Note 10" xfId="15595"/>
    <cellStyle name="Note 10 10" xfId="15596"/>
    <cellStyle name="Note 10 10 2" xfId="15597"/>
    <cellStyle name="Note 10 10 3" xfId="30391"/>
    <cellStyle name="Note 10 10 4" xfId="30392"/>
    <cellStyle name="Note 10 11" xfId="15598"/>
    <cellStyle name="Note 10 11 2" xfId="15599"/>
    <cellStyle name="Note 10 11 3" xfId="30393"/>
    <cellStyle name="Note 10 11 4" xfId="30394"/>
    <cellStyle name="Note 10 12" xfId="15600"/>
    <cellStyle name="Note 10 13" xfId="30395"/>
    <cellStyle name="Note 10 14" xfId="30396"/>
    <cellStyle name="Note 10 2" xfId="15601"/>
    <cellStyle name="Note 10 2 10" xfId="30397"/>
    <cellStyle name="Note 10 2 2" xfId="15602"/>
    <cellStyle name="Note 10 2 2 2" xfId="15603"/>
    <cellStyle name="Note 10 2 2 3" xfId="30398"/>
    <cellStyle name="Note 10 2 2 4" xfId="30399"/>
    <cellStyle name="Note 10 2 3" xfId="15604"/>
    <cellStyle name="Note 10 2 3 2" xfId="15605"/>
    <cellStyle name="Note 10 2 3 3" xfId="30400"/>
    <cellStyle name="Note 10 2 3 4" xfId="30401"/>
    <cellStyle name="Note 10 2 4" xfId="15606"/>
    <cellStyle name="Note 10 2 4 2" xfId="15607"/>
    <cellStyle name="Note 10 2 4 3" xfId="30402"/>
    <cellStyle name="Note 10 2 4 4" xfId="30403"/>
    <cellStyle name="Note 10 2 5" xfId="15608"/>
    <cellStyle name="Note 10 2 5 2" xfId="15609"/>
    <cellStyle name="Note 10 2 5 3" xfId="30404"/>
    <cellStyle name="Note 10 2 5 4" xfId="30405"/>
    <cellStyle name="Note 10 2 6" xfId="15610"/>
    <cellStyle name="Note 10 2 6 2" xfId="15611"/>
    <cellStyle name="Note 10 2 6 3" xfId="30406"/>
    <cellStyle name="Note 10 2 6 4" xfId="30407"/>
    <cellStyle name="Note 10 2 7" xfId="15612"/>
    <cellStyle name="Note 10 2 7 2" xfId="15613"/>
    <cellStyle name="Note 10 2 7 3" xfId="30408"/>
    <cellStyle name="Note 10 2 7 4" xfId="30409"/>
    <cellStyle name="Note 10 2 8" xfId="15614"/>
    <cellStyle name="Note 10 2 9" xfId="30410"/>
    <cellStyle name="Note 10 3" xfId="15615"/>
    <cellStyle name="Note 10 3 10" xfId="30411"/>
    <cellStyle name="Note 10 3 2" xfId="15616"/>
    <cellStyle name="Note 10 3 2 2" xfId="15617"/>
    <cellStyle name="Note 10 3 2 3" xfId="30412"/>
    <cellStyle name="Note 10 3 2 4" xfId="30413"/>
    <cellStyle name="Note 10 3 3" xfId="15618"/>
    <cellStyle name="Note 10 3 3 2" xfId="15619"/>
    <cellStyle name="Note 10 3 3 3" xfId="30414"/>
    <cellStyle name="Note 10 3 3 4" xfId="30415"/>
    <cellStyle name="Note 10 3 4" xfId="15620"/>
    <cellStyle name="Note 10 3 4 2" xfId="15621"/>
    <cellStyle name="Note 10 3 4 3" xfId="30416"/>
    <cellStyle name="Note 10 3 4 4" xfId="30417"/>
    <cellStyle name="Note 10 3 5" xfId="15622"/>
    <cellStyle name="Note 10 3 5 2" xfId="15623"/>
    <cellStyle name="Note 10 3 5 3" xfId="30418"/>
    <cellStyle name="Note 10 3 5 4" xfId="30419"/>
    <cellStyle name="Note 10 3 6" xfId="15624"/>
    <cellStyle name="Note 10 3 6 2" xfId="15625"/>
    <cellStyle name="Note 10 3 6 3" xfId="30420"/>
    <cellStyle name="Note 10 3 6 4" xfId="30421"/>
    <cellStyle name="Note 10 3 7" xfId="15626"/>
    <cellStyle name="Note 10 3 7 2" xfId="15627"/>
    <cellStyle name="Note 10 3 7 3" xfId="30422"/>
    <cellStyle name="Note 10 3 7 4" xfId="30423"/>
    <cellStyle name="Note 10 3 8" xfId="15628"/>
    <cellStyle name="Note 10 3 9" xfId="30424"/>
    <cellStyle name="Note 10 4" xfId="15629"/>
    <cellStyle name="Note 10 4 10" xfId="30425"/>
    <cellStyle name="Note 10 4 2" xfId="15630"/>
    <cellStyle name="Note 10 4 2 2" xfId="15631"/>
    <cellStyle name="Note 10 4 2 3" xfId="30426"/>
    <cellStyle name="Note 10 4 2 4" xfId="30427"/>
    <cellStyle name="Note 10 4 3" xfId="15632"/>
    <cellStyle name="Note 10 4 3 2" xfId="15633"/>
    <cellStyle name="Note 10 4 3 3" xfId="30428"/>
    <cellStyle name="Note 10 4 3 4" xfId="30429"/>
    <cellStyle name="Note 10 4 4" xfId="15634"/>
    <cellStyle name="Note 10 4 4 2" xfId="15635"/>
    <cellStyle name="Note 10 4 4 3" xfId="30430"/>
    <cellStyle name="Note 10 4 4 4" xfId="30431"/>
    <cellStyle name="Note 10 4 5" xfId="15636"/>
    <cellStyle name="Note 10 4 5 2" xfId="15637"/>
    <cellStyle name="Note 10 4 5 3" xfId="30432"/>
    <cellStyle name="Note 10 4 5 4" xfId="30433"/>
    <cellStyle name="Note 10 4 6" xfId="15638"/>
    <cellStyle name="Note 10 4 6 2" xfId="15639"/>
    <cellStyle name="Note 10 4 6 3" xfId="30434"/>
    <cellStyle name="Note 10 4 6 4" xfId="30435"/>
    <cellStyle name="Note 10 4 7" xfId="15640"/>
    <cellStyle name="Note 10 4 7 2" xfId="15641"/>
    <cellStyle name="Note 10 4 7 3" xfId="30436"/>
    <cellStyle name="Note 10 4 7 4" xfId="30437"/>
    <cellStyle name="Note 10 4 8" xfId="15642"/>
    <cellStyle name="Note 10 4 9" xfId="30438"/>
    <cellStyle name="Note 10 5" xfId="15643"/>
    <cellStyle name="Note 10 5 10" xfId="30439"/>
    <cellStyle name="Note 10 5 2" xfId="15644"/>
    <cellStyle name="Note 10 5 2 2" xfId="15645"/>
    <cellStyle name="Note 10 5 2 3" xfId="30440"/>
    <cellStyle name="Note 10 5 2 4" xfId="30441"/>
    <cellStyle name="Note 10 5 3" xfId="15646"/>
    <cellStyle name="Note 10 5 3 2" xfId="15647"/>
    <cellStyle name="Note 10 5 3 3" xfId="30442"/>
    <cellStyle name="Note 10 5 3 4" xfId="30443"/>
    <cellStyle name="Note 10 5 4" xfId="15648"/>
    <cellStyle name="Note 10 5 4 2" xfId="15649"/>
    <cellStyle name="Note 10 5 4 3" xfId="30444"/>
    <cellStyle name="Note 10 5 4 4" xfId="30445"/>
    <cellStyle name="Note 10 5 5" xfId="15650"/>
    <cellStyle name="Note 10 5 5 2" xfId="15651"/>
    <cellStyle name="Note 10 5 5 3" xfId="30446"/>
    <cellStyle name="Note 10 5 5 4" xfId="30447"/>
    <cellStyle name="Note 10 5 6" xfId="15652"/>
    <cellStyle name="Note 10 5 6 2" xfId="15653"/>
    <cellStyle name="Note 10 5 6 3" xfId="30448"/>
    <cellStyle name="Note 10 5 6 4" xfId="30449"/>
    <cellStyle name="Note 10 5 7" xfId="15654"/>
    <cellStyle name="Note 10 5 7 2" xfId="15655"/>
    <cellStyle name="Note 10 5 7 3" xfId="30450"/>
    <cellStyle name="Note 10 5 7 4" xfId="30451"/>
    <cellStyle name="Note 10 5 8" xfId="15656"/>
    <cellStyle name="Note 10 5 9" xfId="30452"/>
    <cellStyle name="Note 10 6" xfId="15657"/>
    <cellStyle name="Note 10 6 2" xfId="15658"/>
    <cellStyle name="Note 10 6 3" xfId="30453"/>
    <cellStyle name="Note 10 6 4" xfId="30454"/>
    <cellStyle name="Note 10 7" xfId="15659"/>
    <cellStyle name="Note 10 7 2" xfId="15660"/>
    <cellStyle name="Note 10 7 3" xfId="30455"/>
    <cellStyle name="Note 10 7 4" xfId="30456"/>
    <cellStyle name="Note 10 8" xfId="15661"/>
    <cellStyle name="Note 10 8 2" xfId="15662"/>
    <cellStyle name="Note 10 8 3" xfId="30457"/>
    <cellStyle name="Note 10 8 4" xfId="30458"/>
    <cellStyle name="Note 10 9" xfId="15663"/>
    <cellStyle name="Note 10 9 2" xfId="15664"/>
    <cellStyle name="Note 10 9 3" xfId="30459"/>
    <cellStyle name="Note 10 9 4" xfId="30460"/>
    <cellStyle name="Note 11" xfId="15665"/>
    <cellStyle name="Note 11 10" xfId="15666"/>
    <cellStyle name="Note 11 10 2" xfId="15667"/>
    <cellStyle name="Note 11 10 3" xfId="30461"/>
    <cellStyle name="Note 11 10 4" xfId="30462"/>
    <cellStyle name="Note 11 11" xfId="15668"/>
    <cellStyle name="Note 11 11 2" xfId="15669"/>
    <cellStyle name="Note 11 11 3" xfId="30463"/>
    <cellStyle name="Note 11 11 4" xfId="30464"/>
    <cellStyle name="Note 11 12" xfId="15670"/>
    <cellStyle name="Note 11 13" xfId="30465"/>
    <cellStyle name="Note 11 14" xfId="30466"/>
    <cellStyle name="Note 11 2" xfId="15671"/>
    <cellStyle name="Note 11 2 10" xfId="30467"/>
    <cellStyle name="Note 11 2 2" xfId="15672"/>
    <cellStyle name="Note 11 2 2 2" xfId="15673"/>
    <cellStyle name="Note 11 2 2 3" xfId="30468"/>
    <cellStyle name="Note 11 2 2 4" xfId="30469"/>
    <cellStyle name="Note 11 2 3" xfId="15674"/>
    <cellStyle name="Note 11 2 3 2" xfId="15675"/>
    <cellStyle name="Note 11 2 3 3" xfId="30470"/>
    <cellStyle name="Note 11 2 3 4" xfId="30471"/>
    <cellStyle name="Note 11 2 4" xfId="15676"/>
    <cellStyle name="Note 11 2 4 2" xfId="15677"/>
    <cellStyle name="Note 11 2 4 3" xfId="30472"/>
    <cellStyle name="Note 11 2 4 4" xfId="30473"/>
    <cellStyle name="Note 11 2 5" xfId="15678"/>
    <cellStyle name="Note 11 2 5 2" xfId="15679"/>
    <cellStyle name="Note 11 2 5 3" xfId="30474"/>
    <cellStyle name="Note 11 2 5 4" xfId="30475"/>
    <cellStyle name="Note 11 2 6" xfId="15680"/>
    <cellStyle name="Note 11 2 6 2" xfId="15681"/>
    <cellStyle name="Note 11 2 6 3" xfId="30476"/>
    <cellStyle name="Note 11 2 6 4" xfId="30477"/>
    <cellStyle name="Note 11 2 7" xfId="15682"/>
    <cellStyle name="Note 11 2 7 2" xfId="15683"/>
    <cellStyle name="Note 11 2 7 3" xfId="30478"/>
    <cellStyle name="Note 11 2 7 4" xfId="30479"/>
    <cellStyle name="Note 11 2 8" xfId="15684"/>
    <cellStyle name="Note 11 2 9" xfId="30480"/>
    <cellStyle name="Note 11 3" xfId="15685"/>
    <cellStyle name="Note 11 3 10" xfId="30481"/>
    <cellStyle name="Note 11 3 2" xfId="15686"/>
    <cellStyle name="Note 11 3 2 2" xfId="15687"/>
    <cellStyle name="Note 11 3 2 3" xfId="30482"/>
    <cellStyle name="Note 11 3 2 4" xfId="30483"/>
    <cellStyle name="Note 11 3 3" xfId="15688"/>
    <cellStyle name="Note 11 3 3 2" xfId="15689"/>
    <cellStyle name="Note 11 3 3 3" xfId="30484"/>
    <cellStyle name="Note 11 3 3 4" xfId="30485"/>
    <cellStyle name="Note 11 3 4" xfId="15690"/>
    <cellStyle name="Note 11 3 4 2" xfId="15691"/>
    <cellStyle name="Note 11 3 4 3" xfId="30486"/>
    <cellStyle name="Note 11 3 4 4" xfId="30487"/>
    <cellStyle name="Note 11 3 5" xfId="15692"/>
    <cellStyle name="Note 11 3 5 2" xfId="15693"/>
    <cellStyle name="Note 11 3 5 3" xfId="30488"/>
    <cellStyle name="Note 11 3 5 4" xfId="30489"/>
    <cellStyle name="Note 11 3 6" xfId="15694"/>
    <cellStyle name="Note 11 3 6 2" xfId="15695"/>
    <cellStyle name="Note 11 3 6 3" xfId="30490"/>
    <cellStyle name="Note 11 3 6 4" xfId="30491"/>
    <cellStyle name="Note 11 3 7" xfId="15696"/>
    <cellStyle name="Note 11 3 7 2" xfId="15697"/>
    <cellStyle name="Note 11 3 7 3" xfId="30492"/>
    <cellStyle name="Note 11 3 7 4" xfId="30493"/>
    <cellStyle name="Note 11 3 8" xfId="15698"/>
    <cellStyle name="Note 11 3 9" xfId="30494"/>
    <cellStyle name="Note 11 4" xfId="15699"/>
    <cellStyle name="Note 11 4 10" xfId="30495"/>
    <cellStyle name="Note 11 4 2" xfId="15700"/>
    <cellStyle name="Note 11 4 2 2" xfId="15701"/>
    <cellStyle name="Note 11 4 2 3" xfId="30496"/>
    <cellStyle name="Note 11 4 2 4" xfId="30497"/>
    <cellStyle name="Note 11 4 3" xfId="15702"/>
    <cellStyle name="Note 11 4 3 2" xfId="15703"/>
    <cellStyle name="Note 11 4 3 3" xfId="30498"/>
    <cellStyle name="Note 11 4 3 4" xfId="30499"/>
    <cellStyle name="Note 11 4 4" xfId="15704"/>
    <cellStyle name="Note 11 4 4 2" xfId="15705"/>
    <cellStyle name="Note 11 4 4 3" xfId="30500"/>
    <cellStyle name="Note 11 4 4 4" xfId="30501"/>
    <cellStyle name="Note 11 4 5" xfId="15706"/>
    <cellStyle name="Note 11 4 5 2" xfId="15707"/>
    <cellStyle name="Note 11 4 5 3" xfId="30502"/>
    <cellStyle name="Note 11 4 5 4" xfId="30503"/>
    <cellStyle name="Note 11 4 6" xfId="15708"/>
    <cellStyle name="Note 11 4 6 2" xfId="15709"/>
    <cellStyle name="Note 11 4 6 3" xfId="30504"/>
    <cellStyle name="Note 11 4 6 4" xfId="30505"/>
    <cellStyle name="Note 11 4 7" xfId="15710"/>
    <cellStyle name="Note 11 4 7 2" xfId="15711"/>
    <cellStyle name="Note 11 4 7 3" xfId="30506"/>
    <cellStyle name="Note 11 4 7 4" xfId="30507"/>
    <cellStyle name="Note 11 4 8" xfId="15712"/>
    <cellStyle name="Note 11 4 9" xfId="30508"/>
    <cellStyle name="Note 11 5" xfId="15713"/>
    <cellStyle name="Note 11 5 10" xfId="30509"/>
    <cellStyle name="Note 11 5 2" xfId="15714"/>
    <cellStyle name="Note 11 5 2 2" xfId="15715"/>
    <cellStyle name="Note 11 5 2 3" xfId="30510"/>
    <cellStyle name="Note 11 5 2 4" xfId="30511"/>
    <cellStyle name="Note 11 5 3" xfId="15716"/>
    <cellStyle name="Note 11 5 3 2" xfId="15717"/>
    <cellStyle name="Note 11 5 3 3" xfId="30512"/>
    <cellStyle name="Note 11 5 3 4" xfId="30513"/>
    <cellStyle name="Note 11 5 4" xfId="15718"/>
    <cellStyle name="Note 11 5 4 2" xfId="15719"/>
    <cellStyle name="Note 11 5 4 3" xfId="30514"/>
    <cellStyle name="Note 11 5 4 4" xfId="30515"/>
    <cellStyle name="Note 11 5 5" xfId="15720"/>
    <cellStyle name="Note 11 5 5 2" xfId="15721"/>
    <cellStyle name="Note 11 5 5 3" xfId="30516"/>
    <cellStyle name="Note 11 5 5 4" xfId="30517"/>
    <cellStyle name="Note 11 5 6" xfId="15722"/>
    <cellStyle name="Note 11 5 6 2" xfId="15723"/>
    <cellStyle name="Note 11 5 6 3" xfId="30518"/>
    <cellStyle name="Note 11 5 6 4" xfId="30519"/>
    <cellStyle name="Note 11 5 7" xfId="15724"/>
    <cellStyle name="Note 11 5 7 2" xfId="15725"/>
    <cellStyle name="Note 11 5 7 3" xfId="30520"/>
    <cellStyle name="Note 11 5 7 4" xfId="30521"/>
    <cellStyle name="Note 11 5 8" xfId="15726"/>
    <cellStyle name="Note 11 5 9" xfId="30522"/>
    <cellStyle name="Note 11 6" xfId="15727"/>
    <cellStyle name="Note 11 6 2" xfId="15728"/>
    <cellStyle name="Note 11 6 3" xfId="30523"/>
    <cellStyle name="Note 11 6 4" xfId="30524"/>
    <cellStyle name="Note 11 7" xfId="15729"/>
    <cellStyle name="Note 11 7 2" xfId="15730"/>
    <cellStyle name="Note 11 7 3" xfId="30525"/>
    <cellStyle name="Note 11 7 4" xfId="30526"/>
    <cellStyle name="Note 11 8" xfId="15731"/>
    <cellStyle name="Note 11 8 2" xfId="15732"/>
    <cellStyle name="Note 11 8 3" xfId="30527"/>
    <cellStyle name="Note 11 8 4" xfId="30528"/>
    <cellStyle name="Note 11 9" xfId="15733"/>
    <cellStyle name="Note 11 9 2" xfId="15734"/>
    <cellStyle name="Note 11 9 3" xfId="30529"/>
    <cellStyle name="Note 11 9 4" xfId="30530"/>
    <cellStyle name="Note 12" xfId="15735"/>
    <cellStyle name="Note 12 10" xfId="15736"/>
    <cellStyle name="Note 12 10 2" xfId="15737"/>
    <cellStyle name="Note 12 10 3" xfId="30531"/>
    <cellStyle name="Note 12 10 4" xfId="30532"/>
    <cellStyle name="Note 12 11" xfId="15738"/>
    <cellStyle name="Note 12 11 2" xfId="15739"/>
    <cellStyle name="Note 12 11 3" xfId="30533"/>
    <cellStyle name="Note 12 11 4" xfId="30534"/>
    <cellStyle name="Note 12 12" xfId="15740"/>
    <cellStyle name="Note 12 13" xfId="30535"/>
    <cellStyle name="Note 12 14" xfId="30536"/>
    <cellStyle name="Note 12 2" xfId="15741"/>
    <cellStyle name="Note 12 2 10" xfId="30537"/>
    <cellStyle name="Note 12 2 2" xfId="15742"/>
    <cellStyle name="Note 12 2 2 2" xfId="15743"/>
    <cellStyle name="Note 12 2 2 3" xfId="30538"/>
    <cellStyle name="Note 12 2 2 4" xfId="30539"/>
    <cellStyle name="Note 12 2 3" xfId="15744"/>
    <cellStyle name="Note 12 2 3 2" xfId="15745"/>
    <cellStyle name="Note 12 2 3 3" xfId="30540"/>
    <cellStyle name="Note 12 2 3 4" xfId="30541"/>
    <cellStyle name="Note 12 2 4" xfId="15746"/>
    <cellStyle name="Note 12 2 4 2" xfId="15747"/>
    <cellStyle name="Note 12 2 4 3" xfId="30542"/>
    <cellStyle name="Note 12 2 4 4" xfId="30543"/>
    <cellStyle name="Note 12 2 5" xfId="15748"/>
    <cellStyle name="Note 12 2 5 2" xfId="15749"/>
    <cellStyle name="Note 12 2 5 3" xfId="30544"/>
    <cellStyle name="Note 12 2 5 4" xfId="30545"/>
    <cellStyle name="Note 12 2 6" xfId="15750"/>
    <cellStyle name="Note 12 2 6 2" xfId="15751"/>
    <cellStyle name="Note 12 2 6 3" xfId="30546"/>
    <cellStyle name="Note 12 2 6 4" xfId="30547"/>
    <cellStyle name="Note 12 2 7" xfId="15752"/>
    <cellStyle name="Note 12 2 7 2" xfId="15753"/>
    <cellStyle name="Note 12 2 7 3" xfId="30548"/>
    <cellStyle name="Note 12 2 7 4" xfId="30549"/>
    <cellStyle name="Note 12 2 8" xfId="15754"/>
    <cellStyle name="Note 12 2 9" xfId="30550"/>
    <cellStyle name="Note 12 3" xfId="15755"/>
    <cellStyle name="Note 12 3 10" xfId="30551"/>
    <cellStyle name="Note 12 3 2" xfId="15756"/>
    <cellStyle name="Note 12 3 2 2" xfId="15757"/>
    <cellStyle name="Note 12 3 2 3" xfId="30552"/>
    <cellStyle name="Note 12 3 2 4" xfId="30553"/>
    <cellStyle name="Note 12 3 3" xfId="15758"/>
    <cellStyle name="Note 12 3 3 2" xfId="15759"/>
    <cellStyle name="Note 12 3 3 3" xfId="30554"/>
    <cellStyle name="Note 12 3 3 4" xfId="30555"/>
    <cellStyle name="Note 12 3 4" xfId="15760"/>
    <cellStyle name="Note 12 3 4 2" xfId="15761"/>
    <cellStyle name="Note 12 3 4 3" xfId="30556"/>
    <cellStyle name="Note 12 3 4 4" xfId="30557"/>
    <cellStyle name="Note 12 3 5" xfId="15762"/>
    <cellStyle name="Note 12 3 5 2" xfId="15763"/>
    <cellStyle name="Note 12 3 5 3" xfId="30558"/>
    <cellStyle name="Note 12 3 5 4" xfId="30559"/>
    <cellStyle name="Note 12 3 6" xfId="15764"/>
    <cellStyle name="Note 12 3 6 2" xfId="15765"/>
    <cellStyle name="Note 12 3 6 3" xfId="30560"/>
    <cellStyle name="Note 12 3 6 4" xfId="30561"/>
    <cellStyle name="Note 12 3 7" xfId="15766"/>
    <cellStyle name="Note 12 3 7 2" xfId="15767"/>
    <cellStyle name="Note 12 3 7 3" xfId="30562"/>
    <cellStyle name="Note 12 3 7 4" xfId="30563"/>
    <cellStyle name="Note 12 3 8" xfId="15768"/>
    <cellStyle name="Note 12 3 9" xfId="30564"/>
    <cellStyle name="Note 12 4" xfId="15769"/>
    <cellStyle name="Note 12 4 10" xfId="30565"/>
    <cellStyle name="Note 12 4 2" xfId="15770"/>
    <cellStyle name="Note 12 4 2 2" xfId="15771"/>
    <cellStyle name="Note 12 4 2 3" xfId="30566"/>
    <cellStyle name="Note 12 4 2 4" xfId="30567"/>
    <cellStyle name="Note 12 4 3" xfId="15772"/>
    <cellStyle name="Note 12 4 3 2" xfId="15773"/>
    <cellStyle name="Note 12 4 3 3" xfId="30568"/>
    <cellStyle name="Note 12 4 3 4" xfId="30569"/>
    <cellStyle name="Note 12 4 4" xfId="15774"/>
    <cellStyle name="Note 12 4 4 2" xfId="15775"/>
    <cellStyle name="Note 12 4 4 3" xfId="30570"/>
    <cellStyle name="Note 12 4 4 4" xfId="30571"/>
    <cellStyle name="Note 12 4 5" xfId="15776"/>
    <cellStyle name="Note 12 4 5 2" xfId="15777"/>
    <cellStyle name="Note 12 4 5 3" xfId="30572"/>
    <cellStyle name="Note 12 4 5 4" xfId="30573"/>
    <cellStyle name="Note 12 4 6" xfId="15778"/>
    <cellStyle name="Note 12 4 6 2" xfId="15779"/>
    <cellStyle name="Note 12 4 6 3" xfId="30574"/>
    <cellStyle name="Note 12 4 6 4" xfId="30575"/>
    <cellStyle name="Note 12 4 7" xfId="15780"/>
    <cellStyle name="Note 12 4 7 2" xfId="15781"/>
    <cellStyle name="Note 12 4 7 3" xfId="30576"/>
    <cellStyle name="Note 12 4 7 4" xfId="30577"/>
    <cellStyle name="Note 12 4 8" xfId="15782"/>
    <cellStyle name="Note 12 4 9" xfId="30578"/>
    <cellStyle name="Note 12 5" xfId="15783"/>
    <cellStyle name="Note 12 5 10" xfId="30579"/>
    <cellStyle name="Note 12 5 2" xfId="15784"/>
    <cellStyle name="Note 12 5 2 2" xfId="15785"/>
    <cellStyle name="Note 12 5 2 3" xfId="30580"/>
    <cellStyle name="Note 12 5 2 4" xfId="30581"/>
    <cellStyle name="Note 12 5 3" xfId="15786"/>
    <cellStyle name="Note 12 5 3 2" xfId="15787"/>
    <cellStyle name="Note 12 5 3 3" xfId="30582"/>
    <cellStyle name="Note 12 5 3 4" xfId="30583"/>
    <cellStyle name="Note 12 5 4" xfId="15788"/>
    <cellStyle name="Note 12 5 4 2" xfId="15789"/>
    <cellStyle name="Note 12 5 4 3" xfId="30584"/>
    <cellStyle name="Note 12 5 4 4" xfId="30585"/>
    <cellStyle name="Note 12 5 5" xfId="15790"/>
    <cellStyle name="Note 12 5 5 2" xfId="15791"/>
    <cellStyle name="Note 12 5 5 3" xfId="30586"/>
    <cellStyle name="Note 12 5 5 4" xfId="30587"/>
    <cellStyle name="Note 12 5 6" xfId="15792"/>
    <cellStyle name="Note 12 5 6 2" xfId="15793"/>
    <cellStyle name="Note 12 5 6 3" xfId="30588"/>
    <cellStyle name="Note 12 5 6 4" xfId="30589"/>
    <cellStyle name="Note 12 5 7" xfId="15794"/>
    <cellStyle name="Note 12 5 7 2" xfId="15795"/>
    <cellStyle name="Note 12 5 7 3" xfId="30590"/>
    <cellStyle name="Note 12 5 7 4" xfId="30591"/>
    <cellStyle name="Note 12 5 8" xfId="15796"/>
    <cellStyle name="Note 12 5 9" xfId="30592"/>
    <cellStyle name="Note 12 6" xfId="15797"/>
    <cellStyle name="Note 12 6 2" xfId="15798"/>
    <cellStyle name="Note 12 6 3" xfId="30593"/>
    <cellStyle name="Note 12 6 4" xfId="30594"/>
    <cellStyle name="Note 12 7" xfId="15799"/>
    <cellStyle name="Note 12 7 2" xfId="15800"/>
    <cellStyle name="Note 12 7 3" xfId="30595"/>
    <cellStyle name="Note 12 7 4" xfId="30596"/>
    <cellStyle name="Note 12 8" xfId="15801"/>
    <cellStyle name="Note 12 8 2" xfId="15802"/>
    <cellStyle name="Note 12 8 3" xfId="30597"/>
    <cellStyle name="Note 12 8 4" xfId="30598"/>
    <cellStyle name="Note 12 9" xfId="15803"/>
    <cellStyle name="Note 12 9 2" xfId="15804"/>
    <cellStyle name="Note 12 9 3" xfId="30599"/>
    <cellStyle name="Note 12 9 4" xfId="30600"/>
    <cellStyle name="Note 13" xfId="15805"/>
    <cellStyle name="Note 13 10" xfId="15806"/>
    <cellStyle name="Note 13 10 2" xfId="15807"/>
    <cellStyle name="Note 13 10 3" xfId="30601"/>
    <cellStyle name="Note 13 10 4" xfId="30602"/>
    <cellStyle name="Note 13 11" xfId="15808"/>
    <cellStyle name="Note 13 11 2" xfId="15809"/>
    <cellStyle name="Note 13 11 3" xfId="30603"/>
    <cellStyle name="Note 13 11 4" xfId="30604"/>
    <cellStyle name="Note 13 12" xfId="15810"/>
    <cellStyle name="Note 13 13" xfId="30605"/>
    <cellStyle name="Note 13 14" xfId="30606"/>
    <cellStyle name="Note 13 2" xfId="15811"/>
    <cellStyle name="Note 13 2 10" xfId="30607"/>
    <cellStyle name="Note 13 2 2" xfId="15812"/>
    <cellStyle name="Note 13 2 2 2" xfId="15813"/>
    <cellStyle name="Note 13 2 2 3" xfId="30608"/>
    <cellStyle name="Note 13 2 2 4" xfId="30609"/>
    <cellStyle name="Note 13 2 3" xfId="15814"/>
    <cellStyle name="Note 13 2 3 2" xfId="15815"/>
    <cellStyle name="Note 13 2 3 3" xfId="30610"/>
    <cellStyle name="Note 13 2 3 4" xfId="30611"/>
    <cellStyle name="Note 13 2 4" xfId="15816"/>
    <cellStyle name="Note 13 2 4 2" xfId="15817"/>
    <cellStyle name="Note 13 2 4 3" xfId="30612"/>
    <cellStyle name="Note 13 2 4 4" xfId="30613"/>
    <cellStyle name="Note 13 2 5" xfId="15818"/>
    <cellStyle name="Note 13 2 5 2" xfId="15819"/>
    <cellStyle name="Note 13 2 5 3" xfId="30614"/>
    <cellStyle name="Note 13 2 5 4" xfId="30615"/>
    <cellStyle name="Note 13 2 6" xfId="15820"/>
    <cellStyle name="Note 13 2 6 2" xfId="15821"/>
    <cellStyle name="Note 13 2 6 3" xfId="30616"/>
    <cellStyle name="Note 13 2 6 4" xfId="30617"/>
    <cellStyle name="Note 13 2 7" xfId="15822"/>
    <cellStyle name="Note 13 2 7 2" xfId="15823"/>
    <cellStyle name="Note 13 2 7 3" xfId="30618"/>
    <cellStyle name="Note 13 2 7 4" xfId="30619"/>
    <cellStyle name="Note 13 2 8" xfId="15824"/>
    <cellStyle name="Note 13 2 9" xfId="30620"/>
    <cellStyle name="Note 13 3" xfId="15825"/>
    <cellStyle name="Note 13 3 10" xfId="30621"/>
    <cellStyle name="Note 13 3 2" xfId="15826"/>
    <cellStyle name="Note 13 3 2 2" xfId="15827"/>
    <cellStyle name="Note 13 3 2 3" xfId="30622"/>
    <cellStyle name="Note 13 3 2 4" xfId="30623"/>
    <cellStyle name="Note 13 3 3" xfId="15828"/>
    <cellStyle name="Note 13 3 3 2" xfId="15829"/>
    <cellStyle name="Note 13 3 3 3" xfId="30624"/>
    <cellStyle name="Note 13 3 3 4" xfId="30625"/>
    <cellStyle name="Note 13 3 4" xfId="15830"/>
    <cellStyle name="Note 13 3 4 2" xfId="15831"/>
    <cellStyle name="Note 13 3 4 3" xfId="30626"/>
    <cellStyle name="Note 13 3 4 4" xfId="30627"/>
    <cellStyle name="Note 13 3 5" xfId="15832"/>
    <cellStyle name="Note 13 3 5 2" xfId="15833"/>
    <cellStyle name="Note 13 3 5 3" xfId="30628"/>
    <cellStyle name="Note 13 3 5 4" xfId="30629"/>
    <cellStyle name="Note 13 3 6" xfId="15834"/>
    <cellStyle name="Note 13 3 6 2" xfId="15835"/>
    <cellStyle name="Note 13 3 6 3" xfId="30630"/>
    <cellStyle name="Note 13 3 6 4" xfId="30631"/>
    <cellStyle name="Note 13 3 7" xfId="15836"/>
    <cellStyle name="Note 13 3 7 2" xfId="15837"/>
    <cellStyle name="Note 13 3 7 3" xfId="30632"/>
    <cellStyle name="Note 13 3 7 4" xfId="30633"/>
    <cellStyle name="Note 13 3 8" xfId="15838"/>
    <cellStyle name="Note 13 3 9" xfId="30634"/>
    <cellStyle name="Note 13 4" xfId="15839"/>
    <cellStyle name="Note 13 4 10" xfId="30635"/>
    <cellStyle name="Note 13 4 2" xfId="15840"/>
    <cellStyle name="Note 13 4 2 2" xfId="15841"/>
    <cellStyle name="Note 13 4 2 3" xfId="30636"/>
    <cellStyle name="Note 13 4 2 4" xfId="30637"/>
    <cellStyle name="Note 13 4 3" xfId="15842"/>
    <cellStyle name="Note 13 4 3 2" xfId="15843"/>
    <cellStyle name="Note 13 4 3 3" xfId="30638"/>
    <cellStyle name="Note 13 4 3 4" xfId="30639"/>
    <cellStyle name="Note 13 4 4" xfId="15844"/>
    <cellStyle name="Note 13 4 4 2" xfId="15845"/>
    <cellStyle name="Note 13 4 4 3" xfId="30640"/>
    <cellStyle name="Note 13 4 4 4" xfId="30641"/>
    <cellStyle name="Note 13 4 5" xfId="15846"/>
    <cellStyle name="Note 13 4 5 2" xfId="15847"/>
    <cellStyle name="Note 13 4 5 3" xfId="30642"/>
    <cellStyle name="Note 13 4 5 4" xfId="30643"/>
    <cellStyle name="Note 13 4 6" xfId="15848"/>
    <cellStyle name="Note 13 4 6 2" xfId="15849"/>
    <cellStyle name="Note 13 4 6 3" xfId="30644"/>
    <cellStyle name="Note 13 4 6 4" xfId="30645"/>
    <cellStyle name="Note 13 4 7" xfId="15850"/>
    <cellStyle name="Note 13 4 7 2" xfId="15851"/>
    <cellStyle name="Note 13 4 7 3" xfId="30646"/>
    <cellStyle name="Note 13 4 7 4" xfId="30647"/>
    <cellStyle name="Note 13 4 8" xfId="15852"/>
    <cellStyle name="Note 13 4 9" xfId="30648"/>
    <cellStyle name="Note 13 5" xfId="15853"/>
    <cellStyle name="Note 13 5 10" xfId="30649"/>
    <cellStyle name="Note 13 5 2" xfId="15854"/>
    <cellStyle name="Note 13 5 2 2" xfId="15855"/>
    <cellStyle name="Note 13 5 2 3" xfId="30650"/>
    <cellStyle name="Note 13 5 2 4" xfId="30651"/>
    <cellStyle name="Note 13 5 3" xfId="15856"/>
    <cellStyle name="Note 13 5 3 2" xfId="15857"/>
    <cellStyle name="Note 13 5 3 3" xfId="30652"/>
    <cellStyle name="Note 13 5 3 4" xfId="30653"/>
    <cellStyle name="Note 13 5 4" xfId="15858"/>
    <cellStyle name="Note 13 5 4 2" xfId="15859"/>
    <cellStyle name="Note 13 5 4 3" xfId="30654"/>
    <cellStyle name="Note 13 5 4 4" xfId="30655"/>
    <cellStyle name="Note 13 5 5" xfId="15860"/>
    <cellStyle name="Note 13 5 5 2" xfId="15861"/>
    <cellStyle name="Note 13 5 5 3" xfId="30656"/>
    <cellStyle name="Note 13 5 5 4" xfId="30657"/>
    <cellStyle name="Note 13 5 6" xfId="15862"/>
    <cellStyle name="Note 13 5 6 2" xfId="15863"/>
    <cellStyle name="Note 13 5 6 3" xfId="30658"/>
    <cellStyle name="Note 13 5 6 4" xfId="30659"/>
    <cellStyle name="Note 13 5 7" xfId="15864"/>
    <cellStyle name="Note 13 5 7 2" xfId="15865"/>
    <cellStyle name="Note 13 5 7 3" xfId="30660"/>
    <cellStyle name="Note 13 5 7 4" xfId="30661"/>
    <cellStyle name="Note 13 5 8" xfId="15866"/>
    <cellStyle name="Note 13 5 9" xfId="30662"/>
    <cellStyle name="Note 13 6" xfId="15867"/>
    <cellStyle name="Note 13 6 2" xfId="15868"/>
    <cellStyle name="Note 13 6 3" xfId="30663"/>
    <cellStyle name="Note 13 6 4" xfId="30664"/>
    <cellStyle name="Note 13 7" xfId="15869"/>
    <cellStyle name="Note 13 7 2" xfId="15870"/>
    <cellStyle name="Note 13 7 3" xfId="30665"/>
    <cellStyle name="Note 13 7 4" xfId="30666"/>
    <cellStyle name="Note 13 8" xfId="15871"/>
    <cellStyle name="Note 13 8 2" xfId="15872"/>
    <cellStyle name="Note 13 8 3" xfId="30667"/>
    <cellStyle name="Note 13 8 4" xfId="30668"/>
    <cellStyle name="Note 13 9" xfId="15873"/>
    <cellStyle name="Note 13 9 2" xfId="15874"/>
    <cellStyle name="Note 13 9 3" xfId="30669"/>
    <cellStyle name="Note 13 9 4" xfId="30670"/>
    <cellStyle name="Note 14" xfId="15875"/>
    <cellStyle name="Note 14 10" xfId="15876"/>
    <cellStyle name="Note 14 10 2" xfId="15877"/>
    <cellStyle name="Note 14 10 3" xfId="30671"/>
    <cellStyle name="Note 14 10 4" xfId="30672"/>
    <cellStyle name="Note 14 11" xfId="15878"/>
    <cellStyle name="Note 14 11 2" xfId="15879"/>
    <cellStyle name="Note 14 11 3" xfId="30673"/>
    <cellStyle name="Note 14 11 4" xfId="30674"/>
    <cellStyle name="Note 14 12" xfId="15880"/>
    <cellStyle name="Note 14 13" xfId="30675"/>
    <cellStyle name="Note 14 14" xfId="30676"/>
    <cellStyle name="Note 14 2" xfId="15881"/>
    <cellStyle name="Note 14 2 10" xfId="30677"/>
    <cellStyle name="Note 14 2 2" xfId="15882"/>
    <cellStyle name="Note 14 2 2 2" xfId="15883"/>
    <cellStyle name="Note 14 2 2 3" xfId="30678"/>
    <cellStyle name="Note 14 2 2 4" xfId="30679"/>
    <cellStyle name="Note 14 2 3" xfId="15884"/>
    <cellStyle name="Note 14 2 3 2" xfId="15885"/>
    <cellStyle name="Note 14 2 3 3" xfId="30680"/>
    <cellStyle name="Note 14 2 3 4" xfId="30681"/>
    <cellStyle name="Note 14 2 4" xfId="15886"/>
    <cellStyle name="Note 14 2 4 2" xfId="15887"/>
    <cellStyle name="Note 14 2 4 3" xfId="30682"/>
    <cellStyle name="Note 14 2 4 4" xfId="30683"/>
    <cellStyle name="Note 14 2 5" xfId="15888"/>
    <cellStyle name="Note 14 2 5 2" xfId="15889"/>
    <cellStyle name="Note 14 2 5 3" xfId="30684"/>
    <cellStyle name="Note 14 2 5 4" xfId="30685"/>
    <cellStyle name="Note 14 2 6" xfId="15890"/>
    <cellStyle name="Note 14 2 6 2" xfId="15891"/>
    <cellStyle name="Note 14 2 6 3" xfId="30686"/>
    <cellStyle name="Note 14 2 6 4" xfId="30687"/>
    <cellStyle name="Note 14 2 7" xfId="15892"/>
    <cellStyle name="Note 14 2 7 2" xfId="15893"/>
    <cellStyle name="Note 14 2 7 3" xfId="30688"/>
    <cellStyle name="Note 14 2 7 4" xfId="30689"/>
    <cellStyle name="Note 14 2 8" xfId="15894"/>
    <cellStyle name="Note 14 2 9" xfId="30690"/>
    <cellStyle name="Note 14 3" xfId="15895"/>
    <cellStyle name="Note 14 3 10" xfId="30691"/>
    <cellStyle name="Note 14 3 2" xfId="15896"/>
    <cellStyle name="Note 14 3 2 2" xfId="15897"/>
    <cellStyle name="Note 14 3 2 3" xfId="30692"/>
    <cellStyle name="Note 14 3 2 4" xfId="30693"/>
    <cellStyle name="Note 14 3 3" xfId="15898"/>
    <cellStyle name="Note 14 3 3 2" xfId="15899"/>
    <cellStyle name="Note 14 3 3 3" xfId="30694"/>
    <cellStyle name="Note 14 3 3 4" xfId="30695"/>
    <cellStyle name="Note 14 3 4" xfId="15900"/>
    <cellStyle name="Note 14 3 4 2" xfId="15901"/>
    <cellStyle name="Note 14 3 4 3" xfId="30696"/>
    <cellStyle name="Note 14 3 4 4" xfId="30697"/>
    <cellStyle name="Note 14 3 5" xfId="15902"/>
    <cellStyle name="Note 14 3 5 2" xfId="15903"/>
    <cellStyle name="Note 14 3 5 3" xfId="30698"/>
    <cellStyle name="Note 14 3 5 4" xfId="30699"/>
    <cellStyle name="Note 14 3 6" xfId="15904"/>
    <cellStyle name="Note 14 3 6 2" xfId="15905"/>
    <cellStyle name="Note 14 3 6 3" xfId="30700"/>
    <cellStyle name="Note 14 3 6 4" xfId="30701"/>
    <cellStyle name="Note 14 3 7" xfId="15906"/>
    <cellStyle name="Note 14 3 7 2" xfId="15907"/>
    <cellStyle name="Note 14 3 7 3" xfId="30702"/>
    <cellStyle name="Note 14 3 7 4" xfId="30703"/>
    <cellStyle name="Note 14 3 8" xfId="15908"/>
    <cellStyle name="Note 14 3 9" xfId="30704"/>
    <cellStyle name="Note 14 4" xfId="15909"/>
    <cellStyle name="Note 14 4 10" xfId="30705"/>
    <cellStyle name="Note 14 4 2" xfId="15910"/>
    <cellStyle name="Note 14 4 2 2" xfId="15911"/>
    <cellStyle name="Note 14 4 2 3" xfId="30706"/>
    <cellStyle name="Note 14 4 2 4" xfId="30707"/>
    <cellStyle name="Note 14 4 3" xfId="15912"/>
    <cellStyle name="Note 14 4 3 2" xfId="15913"/>
    <cellStyle name="Note 14 4 3 3" xfId="30708"/>
    <cellStyle name="Note 14 4 3 4" xfId="30709"/>
    <cellStyle name="Note 14 4 4" xfId="15914"/>
    <cellStyle name="Note 14 4 4 2" xfId="15915"/>
    <cellStyle name="Note 14 4 4 3" xfId="30710"/>
    <cellStyle name="Note 14 4 4 4" xfId="30711"/>
    <cellStyle name="Note 14 4 5" xfId="15916"/>
    <cellStyle name="Note 14 4 5 2" xfId="15917"/>
    <cellStyle name="Note 14 4 5 3" xfId="30712"/>
    <cellStyle name="Note 14 4 5 4" xfId="30713"/>
    <cellStyle name="Note 14 4 6" xfId="15918"/>
    <cellStyle name="Note 14 4 6 2" xfId="15919"/>
    <cellStyle name="Note 14 4 6 3" xfId="30714"/>
    <cellStyle name="Note 14 4 6 4" xfId="30715"/>
    <cellStyle name="Note 14 4 7" xfId="15920"/>
    <cellStyle name="Note 14 4 7 2" xfId="15921"/>
    <cellStyle name="Note 14 4 7 3" xfId="30716"/>
    <cellStyle name="Note 14 4 7 4" xfId="30717"/>
    <cellStyle name="Note 14 4 8" xfId="15922"/>
    <cellStyle name="Note 14 4 9" xfId="30718"/>
    <cellStyle name="Note 14 5" xfId="15923"/>
    <cellStyle name="Note 14 5 10" xfId="30719"/>
    <cellStyle name="Note 14 5 2" xfId="15924"/>
    <cellStyle name="Note 14 5 2 2" xfId="15925"/>
    <cellStyle name="Note 14 5 2 3" xfId="30720"/>
    <cellStyle name="Note 14 5 2 4" xfId="30721"/>
    <cellStyle name="Note 14 5 3" xfId="15926"/>
    <cellStyle name="Note 14 5 3 2" xfId="15927"/>
    <cellStyle name="Note 14 5 3 3" xfId="30722"/>
    <cellStyle name="Note 14 5 3 4" xfId="30723"/>
    <cellStyle name="Note 14 5 4" xfId="15928"/>
    <cellStyle name="Note 14 5 4 2" xfId="15929"/>
    <cellStyle name="Note 14 5 4 3" xfId="30724"/>
    <cellStyle name="Note 14 5 4 4" xfId="30725"/>
    <cellStyle name="Note 14 5 5" xfId="15930"/>
    <cellStyle name="Note 14 5 5 2" xfId="15931"/>
    <cellStyle name="Note 14 5 5 3" xfId="30726"/>
    <cellStyle name="Note 14 5 5 4" xfId="30727"/>
    <cellStyle name="Note 14 5 6" xfId="15932"/>
    <cellStyle name="Note 14 5 6 2" xfId="15933"/>
    <cellStyle name="Note 14 5 6 3" xfId="30728"/>
    <cellStyle name="Note 14 5 6 4" xfId="30729"/>
    <cellStyle name="Note 14 5 7" xfId="15934"/>
    <cellStyle name="Note 14 5 7 2" xfId="15935"/>
    <cellStyle name="Note 14 5 7 3" xfId="30730"/>
    <cellStyle name="Note 14 5 7 4" xfId="30731"/>
    <cellStyle name="Note 14 5 8" xfId="15936"/>
    <cellStyle name="Note 14 5 9" xfId="30732"/>
    <cellStyle name="Note 14 6" xfId="15937"/>
    <cellStyle name="Note 14 6 2" xfId="15938"/>
    <cellStyle name="Note 14 6 3" xfId="30733"/>
    <cellStyle name="Note 14 6 4" xfId="30734"/>
    <cellStyle name="Note 14 7" xfId="15939"/>
    <cellStyle name="Note 14 7 2" xfId="15940"/>
    <cellStyle name="Note 14 7 3" xfId="30735"/>
    <cellStyle name="Note 14 7 4" xfId="30736"/>
    <cellStyle name="Note 14 8" xfId="15941"/>
    <cellStyle name="Note 14 8 2" xfId="15942"/>
    <cellStyle name="Note 14 8 3" xfId="30737"/>
    <cellStyle name="Note 14 8 4" xfId="30738"/>
    <cellStyle name="Note 14 9" xfId="15943"/>
    <cellStyle name="Note 14 9 2" xfId="15944"/>
    <cellStyle name="Note 14 9 3" xfId="30739"/>
    <cellStyle name="Note 14 9 4" xfId="30740"/>
    <cellStyle name="Note 15" xfId="15945"/>
    <cellStyle name="Note 15 10" xfId="15946"/>
    <cellStyle name="Note 15 10 2" xfId="15947"/>
    <cellStyle name="Note 15 10 3" xfId="30741"/>
    <cellStyle name="Note 15 10 4" xfId="30742"/>
    <cellStyle name="Note 15 11" xfId="15948"/>
    <cellStyle name="Note 15 11 2" xfId="15949"/>
    <cellStyle name="Note 15 11 3" xfId="30743"/>
    <cellStyle name="Note 15 11 4" xfId="30744"/>
    <cellStyle name="Note 15 12" xfId="15950"/>
    <cellStyle name="Note 15 13" xfId="30745"/>
    <cellStyle name="Note 15 14" xfId="30746"/>
    <cellStyle name="Note 15 2" xfId="15951"/>
    <cellStyle name="Note 15 2 10" xfId="30747"/>
    <cellStyle name="Note 15 2 2" xfId="15952"/>
    <cellStyle name="Note 15 2 2 2" xfId="15953"/>
    <cellStyle name="Note 15 2 2 3" xfId="30748"/>
    <cellStyle name="Note 15 2 2 4" xfId="30749"/>
    <cellStyle name="Note 15 2 3" xfId="15954"/>
    <cellStyle name="Note 15 2 3 2" xfId="15955"/>
    <cellStyle name="Note 15 2 3 3" xfId="30750"/>
    <cellStyle name="Note 15 2 3 4" xfId="30751"/>
    <cellStyle name="Note 15 2 4" xfId="15956"/>
    <cellStyle name="Note 15 2 4 2" xfId="15957"/>
    <cellStyle name="Note 15 2 4 3" xfId="30752"/>
    <cellStyle name="Note 15 2 4 4" xfId="30753"/>
    <cellStyle name="Note 15 2 5" xfId="15958"/>
    <cellStyle name="Note 15 2 5 2" xfId="15959"/>
    <cellStyle name="Note 15 2 5 3" xfId="30754"/>
    <cellStyle name="Note 15 2 5 4" xfId="30755"/>
    <cellStyle name="Note 15 2 6" xfId="15960"/>
    <cellStyle name="Note 15 2 6 2" xfId="15961"/>
    <cellStyle name="Note 15 2 6 3" xfId="30756"/>
    <cellStyle name="Note 15 2 6 4" xfId="30757"/>
    <cellStyle name="Note 15 2 7" xfId="15962"/>
    <cellStyle name="Note 15 2 7 2" xfId="15963"/>
    <cellStyle name="Note 15 2 7 3" xfId="30758"/>
    <cellStyle name="Note 15 2 7 4" xfId="30759"/>
    <cellStyle name="Note 15 2 8" xfId="15964"/>
    <cellStyle name="Note 15 2 9" xfId="30760"/>
    <cellStyle name="Note 15 3" xfId="15965"/>
    <cellStyle name="Note 15 3 10" xfId="30761"/>
    <cellStyle name="Note 15 3 2" xfId="15966"/>
    <cellStyle name="Note 15 3 2 2" xfId="15967"/>
    <cellStyle name="Note 15 3 2 3" xfId="30762"/>
    <cellStyle name="Note 15 3 2 4" xfId="30763"/>
    <cellStyle name="Note 15 3 3" xfId="15968"/>
    <cellStyle name="Note 15 3 3 2" xfId="15969"/>
    <cellStyle name="Note 15 3 3 3" xfId="30764"/>
    <cellStyle name="Note 15 3 3 4" xfId="30765"/>
    <cellStyle name="Note 15 3 4" xfId="15970"/>
    <cellStyle name="Note 15 3 4 2" xfId="15971"/>
    <cellStyle name="Note 15 3 4 3" xfId="30766"/>
    <cellStyle name="Note 15 3 4 4" xfId="30767"/>
    <cellStyle name="Note 15 3 5" xfId="15972"/>
    <cellStyle name="Note 15 3 5 2" xfId="15973"/>
    <cellStyle name="Note 15 3 5 3" xfId="30768"/>
    <cellStyle name="Note 15 3 5 4" xfId="30769"/>
    <cellStyle name="Note 15 3 6" xfId="15974"/>
    <cellStyle name="Note 15 3 6 2" xfId="15975"/>
    <cellStyle name="Note 15 3 6 3" xfId="30770"/>
    <cellStyle name="Note 15 3 6 4" xfId="30771"/>
    <cellStyle name="Note 15 3 7" xfId="15976"/>
    <cellStyle name="Note 15 3 7 2" xfId="15977"/>
    <cellStyle name="Note 15 3 7 3" xfId="30772"/>
    <cellStyle name="Note 15 3 7 4" xfId="30773"/>
    <cellStyle name="Note 15 3 8" xfId="15978"/>
    <cellStyle name="Note 15 3 9" xfId="30774"/>
    <cellStyle name="Note 15 4" xfId="15979"/>
    <cellStyle name="Note 15 4 10" xfId="30775"/>
    <cellStyle name="Note 15 4 2" xfId="15980"/>
    <cellStyle name="Note 15 4 2 2" xfId="15981"/>
    <cellStyle name="Note 15 4 2 3" xfId="30776"/>
    <cellStyle name="Note 15 4 2 4" xfId="30777"/>
    <cellStyle name="Note 15 4 3" xfId="15982"/>
    <cellStyle name="Note 15 4 3 2" xfId="15983"/>
    <cellStyle name="Note 15 4 3 3" xfId="30778"/>
    <cellStyle name="Note 15 4 3 4" xfId="30779"/>
    <cellStyle name="Note 15 4 4" xfId="15984"/>
    <cellStyle name="Note 15 4 4 2" xfId="15985"/>
    <cellStyle name="Note 15 4 4 3" xfId="30780"/>
    <cellStyle name="Note 15 4 4 4" xfId="30781"/>
    <cellStyle name="Note 15 4 5" xfId="15986"/>
    <cellStyle name="Note 15 4 5 2" xfId="15987"/>
    <cellStyle name="Note 15 4 5 3" xfId="30782"/>
    <cellStyle name="Note 15 4 5 4" xfId="30783"/>
    <cellStyle name="Note 15 4 6" xfId="15988"/>
    <cellStyle name="Note 15 4 6 2" xfId="15989"/>
    <cellStyle name="Note 15 4 6 3" xfId="30784"/>
    <cellStyle name="Note 15 4 6 4" xfId="30785"/>
    <cellStyle name="Note 15 4 7" xfId="15990"/>
    <cellStyle name="Note 15 4 7 2" xfId="15991"/>
    <cellStyle name="Note 15 4 7 3" xfId="30786"/>
    <cellStyle name="Note 15 4 7 4" xfId="30787"/>
    <cellStyle name="Note 15 4 8" xfId="15992"/>
    <cellStyle name="Note 15 4 9" xfId="30788"/>
    <cellStyle name="Note 15 5" xfId="15993"/>
    <cellStyle name="Note 15 5 10" xfId="30789"/>
    <cellStyle name="Note 15 5 2" xfId="15994"/>
    <cellStyle name="Note 15 5 2 2" xfId="15995"/>
    <cellStyle name="Note 15 5 2 3" xfId="30790"/>
    <cellStyle name="Note 15 5 2 4" xfId="30791"/>
    <cellStyle name="Note 15 5 3" xfId="15996"/>
    <cellStyle name="Note 15 5 3 2" xfId="15997"/>
    <cellStyle name="Note 15 5 3 3" xfId="30792"/>
    <cellStyle name="Note 15 5 3 4" xfId="30793"/>
    <cellStyle name="Note 15 5 4" xfId="15998"/>
    <cellStyle name="Note 15 5 4 2" xfId="15999"/>
    <cellStyle name="Note 15 5 4 3" xfId="30794"/>
    <cellStyle name="Note 15 5 4 4" xfId="30795"/>
    <cellStyle name="Note 15 5 5" xfId="16000"/>
    <cellStyle name="Note 15 5 5 2" xfId="16001"/>
    <cellStyle name="Note 15 5 5 3" xfId="30796"/>
    <cellStyle name="Note 15 5 5 4" xfId="30797"/>
    <cellStyle name="Note 15 5 6" xfId="16002"/>
    <cellStyle name="Note 15 5 6 2" xfId="16003"/>
    <cellStyle name="Note 15 5 6 3" xfId="30798"/>
    <cellStyle name="Note 15 5 6 4" xfId="30799"/>
    <cellStyle name="Note 15 5 7" xfId="16004"/>
    <cellStyle name="Note 15 5 7 2" xfId="16005"/>
    <cellStyle name="Note 15 5 7 3" xfId="30800"/>
    <cellStyle name="Note 15 5 7 4" xfId="30801"/>
    <cellStyle name="Note 15 5 8" xfId="16006"/>
    <cellStyle name="Note 15 5 9" xfId="30802"/>
    <cellStyle name="Note 15 6" xfId="16007"/>
    <cellStyle name="Note 15 6 2" xfId="16008"/>
    <cellStyle name="Note 15 6 3" xfId="30803"/>
    <cellStyle name="Note 15 6 4" xfId="30804"/>
    <cellStyle name="Note 15 7" xfId="16009"/>
    <cellStyle name="Note 15 7 2" xfId="16010"/>
    <cellStyle name="Note 15 7 3" xfId="30805"/>
    <cellStyle name="Note 15 7 4" xfId="30806"/>
    <cellStyle name="Note 15 8" xfId="16011"/>
    <cellStyle name="Note 15 8 2" xfId="16012"/>
    <cellStyle name="Note 15 8 3" xfId="30807"/>
    <cellStyle name="Note 15 8 4" xfId="30808"/>
    <cellStyle name="Note 15 9" xfId="16013"/>
    <cellStyle name="Note 15 9 2" xfId="16014"/>
    <cellStyle name="Note 15 9 3" xfId="30809"/>
    <cellStyle name="Note 15 9 4" xfId="30810"/>
    <cellStyle name="Note 16" xfId="16015"/>
    <cellStyle name="Note 16 10" xfId="16016"/>
    <cellStyle name="Note 16 10 2" xfId="16017"/>
    <cellStyle name="Note 16 10 3" xfId="30811"/>
    <cellStyle name="Note 16 10 4" xfId="30812"/>
    <cellStyle name="Note 16 11" xfId="16018"/>
    <cellStyle name="Note 16 11 2" xfId="16019"/>
    <cellStyle name="Note 16 11 3" xfId="30813"/>
    <cellStyle name="Note 16 11 4" xfId="30814"/>
    <cellStyle name="Note 16 12" xfId="16020"/>
    <cellStyle name="Note 16 13" xfId="30815"/>
    <cellStyle name="Note 16 14" xfId="30816"/>
    <cellStyle name="Note 16 2" xfId="16021"/>
    <cellStyle name="Note 16 2 10" xfId="30817"/>
    <cellStyle name="Note 16 2 2" xfId="16022"/>
    <cellStyle name="Note 16 2 2 2" xfId="16023"/>
    <cellStyle name="Note 16 2 2 3" xfId="30818"/>
    <cellStyle name="Note 16 2 2 4" xfId="30819"/>
    <cellStyle name="Note 16 2 3" xfId="16024"/>
    <cellStyle name="Note 16 2 3 2" xfId="16025"/>
    <cellStyle name="Note 16 2 3 3" xfId="30820"/>
    <cellStyle name="Note 16 2 3 4" xfId="30821"/>
    <cellStyle name="Note 16 2 4" xfId="16026"/>
    <cellStyle name="Note 16 2 4 2" xfId="16027"/>
    <cellStyle name="Note 16 2 4 3" xfId="30822"/>
    <cellStyle name="Note 16 2 4 4" xfId="30823"/>
    <cellStyle name="Note 16 2 5" xfId="16028"/>
    <cellStyle name="Note 16 2 5 2" xfId="16029"/>
    <cellStyle name="Note 16 2 5 3" xfId="30824"/>
    <cellStyle name="Note 16 2 5 4" xfId="30825"/>
    <cellStyle name="Note 16 2 6" xfId="16030"/>
    <cellStyle name="Note 16 2 6 2" xfId="16031"/>
    <cellStyle name="Note 16 2 6 3" xfId="30826"/>
    <cellStyle name="Note 16 2 6 4" xfId="30827"/>
    <cellStyle name="Note 16 2 7" xfId="16032"/>
    <cellStyle name="Note 16 2 7 2" xfId="16033"/>
    <cellStyle name="Note 16 2 7 3" xfId="30828"/>
    <cellStyle name="Note 16 2 7 4" xfId="30829"/>
    <cellStyle name="Note 16 2 8" xfId="16034"/>
    <cellStyle name="Note 16 2 9" xfId="30830"/>
    <cellStyle name="Note 16 3" xfId="16035"/>
    <cellStyle name="Note 16 3 10" xfId="30831"/>
    <cellStyle name="Note 16 3 2" xfId="16036"/>
    <cellStyle name="Note 16 3 2 2" xfId="16037"/>
    <cellStyle name="Note 16 3 2 3" xfId="30832"/>
    <cellStyle name="Note 16 3 2 4" xfId="30833"/>
    <cellStyle name="Note 16 3 3" xfId="16038"/>
    <cellStyle name="Note 16 3 3 2" xfId="16039"/>
    <cellStyle name="Note 16 3 3 3" xfId="30834"/>
    <cellStyle name="Note 16 3 3 4" xfId="30835"/>
    <cellStyle name="Note 16 3 4" xfId="16040"/>
    <cellStyle name="Note 16 3 4 2" xfId="16041"/>
    <cellStyle name="Note 16 3 4 3" xfId="30836"/>
    <cellStyle name="Note 16 3 4 4" xfId="30837"/>
    <cellStyle name="Note 16 3 5" xfId="16042"/>
    <cellStyle name="Note 16 3 5 2" xfId="16043"/>
    <cellStyle name="Note 16 3 5 3" xfId="30838"/>
    <cellStyle name="Note 16 3 5 4" xfId="30839"/>
    <cellStyle name="Note 16 3 6" xfId="16044"/>
    <cellStyle name="Note 16 3 6 2" xfId="16045"/>
    <cellStyle name="Note 16 3 6 3" xfId="30840"/>
    <cellStyle name="Note 16 3 6 4" xfId="30841"/>
    <cellStyle name="Note 16 3 7" xfId="16046"/>
    <cellStyle name="Note 16 3 7 2" xfId="16047"/>
    <cellStyle name="Note 16 3 7 3" xfId="30842"/>
    <cellStyle name="Note 16 3 7 4" xfId="30843"/>
    <cellStyle name="Note 16 3 8" xfId="16048"/>
    <cellStyle name="Note 16 3 9" xfId="30844"/>
    <cellStyle name="Note 16 4" xfId="16049"/>
    <cellStyle name="Note 16 4 10" xfId="30845"/>
    <cellStyle name="Note 16 4 2" xfId="16050"/>
    <cellStyle name="Note 16 4 2 2" xfId="16051"/>
    <cellStyle name="Note 16 4 2 3" xfId="30846"/>
    <cellStyle name="Note 16 4 2 4" xfId="30847"/>
    <cellStyle name="Note 16 4 3" xfId="16052"/>
    <cellStyle name="Note 16 4 3 2" xfId="16053"/>
    <cellStyle name="Note 16 4 3 3" xfId="30848"/>
    <cellStyle name="Note 16 4 3 4" xfId="30849"/>
    <cellStyle name="Note 16 4 4" xfId="16054"/>
    <cellStyle name="Note 16 4 4 2" xfId="16055"/>
    <cellStyle name="Note 16 4 4 3" xfId="30850"/>
    <cellStyle name="Note 16 4 4 4" xfId="30851"/>
    <cellStyle name="Note 16 4 5" xfId="16056"/>
    <cellStyle name="Note 16 4 5 2" xfId="16057"/>
    <cellStyle name="Note 16 4 5 3" xfId="30852"/>
    <cellStyle name="Note 16 4 5 4" xfId="30853"/>
    <cellStyle name="Note 16 4 6" xfId="16058"/>
    <cellStyle name="Note 16 4 6 2" xfId="16059"/>
    <cellStyle name="Note 16 4 6 3" xfId="30854"/>
    <cellStyle name="Note 16 4 6 4" xfId="30855"/>
    <cellStyle name="Note 16 4 7" xfId="16060"/>
    <cellStyle name="Note 16 4 7 2" xfId="16061"/>
    <cellStyle name="Note 16 4 7 3" xfId="30856"/>
    <cellStyle name="Note 16 4 7 4" xfId="30857"/>
    <cellStyle name="Note 16 4 8" xfId="16062"/>
    <cellStyle name="Note 16 4 9" xfId="30858"/>
    <cellStyle name="Note 16 5" xfId="16063"/>
    <cellStyle name="Note 16 5 10" xfId="30859"/>
    <cellStyle name="Note 16 5 2" xfId="16064"/>
    <cellStyle name="Note 16 5 2 2" xfId="16065"/>
    <cellStyle name="Note 16 5 2 3" xfId="30860"/>
    <cellStyle name="Note 16 5 2 4" xfId="30861"/>
    <cellStyle name="Note 16 5 3" xfId="16066"/>
    <cellStyle name="Note 16 5 3 2" xfId="16067"/>
    <cellStyle name="Note 16 5 3 3" xfId="30862"/>
    <cellStyle name="Note 16 5 3 4" xfId="30863"/>
    <cellStyle name="Note 16 5 4" xfId="16068"/>
    <cellStyle name="Note 16 5 4 2" xfId="16069"/>
    <cellStyle name="Note 16 5 4 3" xfId="30864"/>
    <cellStyle name="Note 16 5 4 4" xfId="30865"/>
    <cellStyle name="Note 16 5 5" xfId="16070"/>
    <cellStyle name="Note 16 5 5 2" xfId="16071"/>
    <cellStyle name="Note 16 5 5 3" xfId="30866"/>
    <cellStyle name="Note 16 5 5 4" xfId="30867"/>
    <cellStyle name="Note 16 5 6" xfId="16072"/>
    <cellStyle name="Note 16 5 6 2" xfId="16073"/>
    <cellStyle name="Note 16 5 6 3" xfId="30868"/>
    <cellStyle name="Note 16 5 6 4" xfId="30869"/>
    <cellStyle name="Note 16 5 7" xfId="16074"/>
    <cellStyle name="Note 16 5 7 2" xfId="16075"/>
    <cellStyle name="Note 16 5 7 3" xfId="30870"/>
    <cellStyle name="Note 16 5 7 4" xfId="30871"/>
    <cellStyle name="Note 16 5 8" xfId="16076"/>
    <cellStyle name="Note 16 5 9" xfId="30872"/>
    <cellStyle name="Note 16 6" xfId="16077"/>
    <cellStyle name="Note 16 6 2" xfId="16078"/>
    <cellStyle name="Note 16 6 3" xfId="30873"/>
    <cellStyle name="Note 16 6 4" xfId="30874"/>
    <cellStyle name="Note 16 7" xfId="16079"/>
    <cellStyle name="Note 16 7 2" xfId="16080"/>
    <cellStyle name="Note 16 7 3" xfId="30875"/>
    <cellStyle name="Note 16 7 4" xfId="30876"/>
    <cellStyle name="Note 16 8" xfId="16081"/>
    <cellStyle name="Note 16 8 2" xfId="16082"/>
    <cellStyle name="Note 16 8 3" xfId="30877"/>
    <cellStyle name="Note 16 8 4" xfId="30878"/>
    <cellStyle name="Note 16 9" xfId="16083"/>
    <cellStyle name="Note 16 9 2" xfId="16084"/>
    <cellStyle name="Note 16 9 3" xfId="30879"/>
    <cellStyle name="Note 16 9 4" xfId="30880"/>
    <cellStyle name="Note 17" xfId="16085"/>
    <cellStyle name="Note 17 10" xfId="16086"/>
    <cellStyle name="Note 17 10 2" xfId="16087"/>
    <cellStyle name="Note 17 10 3" xfId="30881"/>
    <cellStyle name="Note 17 10 4" xfId="30882"/>
    <cellStyle name="Note 17 11" xfId="16088"/>
    <cellStyle name="Note 17 11 2" xfId="16089"/>
    <cellStyle name="Note 17 11 3" xfId="30883"/>
    <cellStyle name="Note 17 11 4" xfId="30884"/>
    <cellStyle name="Note 17 12" xfId="16090"/>
    <cellStyle name="Note 17 13" xfId="30885"/>
    <cellStyle name="Note 17 14" xfId="30886"/>
    <cellStyle name="Note 17 2" xfId="16091"/>
    <cellStyle name="Note 17 2 10" xfId="30887"/>
    <cellStyle name="Note 17 2 2" xfId="16092"/>
    <cellStyle name="Note 17 2 2 2" xfId="16093"/>
    <cellStyle name="Note 17 2 2 3" xfId="30888"/>
    <cellStyle name="Note 17 2 2 4" xfId="30889"/>
    <cellStyle name="Note 17 2 3" xfId="16094"/>
    <cellStyle name="Note 17 2 3 2" xfId="16095"/>
    <cellStyle name="Note 17 2 3 3" xfId="30890"/>
    <cellStyle name="Note 17 2 3 4" xfId="30891"/>
    <cellStyle name="Note 17 2 4" xfId="16096"/>
    <cellStyle name="Note 17 2 4 2" xfId="16097"/>
    <cellStyle name="Note 17 2 4 3" xfId="30892"/>
    <cellStyle name="Note 17 2 4 4" xfId="30893"/>
    <cellStyle name="Note 17 2 5" xfId="16098"/>
    <cellStyle name="Note 17 2 5 2" xfId="16099"/>
    <cellStyle name="Note 17 2 5 3" xfId="30894"/>
    <cellStyle name="Note 17 2 5 4" xfId="30895"/>
    <cellStyle name="Note 17 2 6" xfId="16100"/>
    <cellStyle name="Note 17 2 6 2" xfId="16101"/>
    <cellStyle name="Note 17 2 6 3" xfId="30896"/>
    <cellStyle name="Note 17 2 6 4" xfId="30897"/>
    <cellStyle name="Note 17 2 7" xfId="16102"/>
    <cellStyle name="Note 17 2 7 2" xfId="16103"/>
    <cellStyle name="Note 17 2 7 3" xfId="30898"/>
    <cellStyle name="Note 17 2 7 4" xfId="30899"/>
    <cellStyle name="Note 17 2 8" xfId="16104"/>
    <cellStyle name="Note 17 2 9" xfId="30900"/>
    <cellStyle name="Note 17 3" xfId="16105"/>
    <cellStyle name="Note 17 3 10" xfId="30901"/>
    <cellStyle name="Note 17 3 2" xfId="16106"/>
    <cellStyle name="Note 17 3 2 2" xfId="16107"/>
    <cellStyle name="Note 17 3 2 3" xfId="30902"/>
    <cellStyle name="Note 17 3 2 4" xfId="30903"/>
    <cellStyle name="Note 17 3 3" xfId="16108"/>
    <cellStyle name="Note 17 3 3 2" xfId="16109"/>
    <cellStyle name="Note 17 3 3 3" xfId="30904"/>
    <cellStyle name="Note 17 3 3 4" xfId="30905"/>
    <cellStyle name="Note 17 3 4" xfId="16110"/>
    <cellStyle name="Note 17 3 4 2" xfId="16111"/>
    <cellStyle name="Note 17 3 4 3" xfId="30906"/>
    <cellStyle name="Note 17 3 4 4" xfId="30907"/>
    <cellStyle name="Note 17 3 5" xfId="16112"/>
    <cellStyle name="Note 17 3 5 2" xfId="16113"/>
    <cellStyle name="Note 17 3 5 3" xfId="30908"/>
    <cellStyle name="Note 17 3 5 4" xfId="30909"/>
    <cellStyle name="Note 17 3 6" xfId="16114"/>
    <cellStyle name="Note 17 3 6 2" xfId="16115"/>
    <cellStyle name="Note 17 3 6 3" xfId="30910"/>
    <cellStyle name="Note 17 3 6 4" xfId="30911"/>
    <cellStyle name="Note 17 3 7" xfId="16116"/>
    <cellStyle name="Note 17 3 7 2" xfId="16117"/>
    <cellStyle name="Note 17 3 7 3" xfId="30912"/>
    <cellStyle name="Note 17 3 7 4" xfId="30913"/>
    <cellStyle name="Note 17 3 8" xfId="16118"/>
    <cellStyle name="Note 17 3 9" xfId="30914"/>
    <cellStyle name="Note 17 4" xfId="16119"/>
    <cellStyle name="Note 17 4 10" xfId="30915"/>
    <cellStyle name="Note 17 4 2" xfId="16120"/>
    <cellStyle name="Note 17 4 2 2" xfId="16121"/>
    <cellStyle name="Note 17 4 2 3" xfId="30916"/>
    <cellStyle name="Note 17 4 2 4" xfId="30917"/>
    <cellStyle name="Note 17 4 3" xfId="16122"/>
    <cellStyle name="Note 17 4 3 2" xfId="16123"/>
    <cellStyle name="Note 17 4 3 3" xfId="30918"/>
    <cellStyle name="Note 17 4 3 4" xfId="30919"/>
    <cellStyle name="Note 17 4 4" xfId="16124"/>
    <cellStyle name="Note 17 4 4 2" xfId="16125"/>
    <cellStyle name="Note 17 4 4 3" xfId="30920"/>
    <cellStyle name="Note 17 4 4 4" xfId="30921"/>
    <cellStyle name="Note 17 4 5" xfId="16126"/>
    <cellStyle name="Note 17 4 5 2" xfId="16127"/>
    <cellStyle name="Note 17 4 5 3" xfId="30922"/>
    <cellStyle name="Note 17 4 5 4" xfId="30923"/>
    <cellStyle name="Note 17 4 6" xfId="16128"/>
    <cellStyle name="Note 17 4 6 2" xfId="16129"/>
    <cellStyle name="Note 17 4 6 3" xfId="30924"/>
    <cellStyle name="Note 17 4 6 4" xfId="30925"/>
    <cellStyle name="Note 17 4 7" xfId="16130"/>
    <cellStyle name="Note 17 4 7 2" xfId="16131"/>
    <cellStyle name="Note 17 4 7 3" xfId="30926"/>
    <cellStyle name="Note 17 4 7 4" xfId="30927"/>
    <cellStyle name="Note 17 4 8" xfId="16132"/>
    <cellStyle name="Note 17 4 9" xfId="30928"/>
    <cellStyle name="Note 17 5" xfId="16133"/>
    <cellStyle name="Note 17 5 10" xfId="30929"/>
    <cellStyle name="Note 17 5 2" xfId="16134"/>
    <cellStyle name="Note 17 5 2 2" xfId="16135"/>
    <cellStyle name="Note 17 5 2 3" xfId="30930"/>
    <cellStyle name="Note 17 5 2 4" xfId="30931"/>
    <cellStyle name="Note 17 5 3" xfId="16136"/>
    <cellStyle name="Note 17 5 3 2" xfId="16137"/>
    <cellStyle name="Note 17 5 3 3" xfId="30932"/>
    <cellStyle name="Note 17 5 3 4" xfId="30933"/>
    <cellStyle name="Note 17 5 4" xfId="16138"/>
    <cellStyle name="Note 17 5 4 2" xfId="16139"/>
    <cellStyle name="Note 17 5 4 3" xfId="30934"/>
    <cellStyle name="Note 17 5 4 4" xfId="30935"/>
    <cellStyle name="Note 17 5 5" xfId="16140"/>
    <cellStyle name="Note 17 5 5 2" xfId="16141"/>
    <cellStyle name="Note 17 5 5 3" xfId="30936"/>
    <cellStyle name="Note 17 5 5 4" xfId="30937"/>
    <cellStyle name="Note 17 5 6" xfId="16142"/>
    <cellStyle name="Note 17 5 6 2" xfId="16143"/>
    <cellStyle name="Note 17 5 6 3" xfId="30938"/>
    <cellStyle name="Note 17 5 6 4" xfId="30939"/>
    <cellStyle name="Note 17 5 7" xfId="16144"/>
    <cellStyle name="Note 17 5 7 2" xfId="16145"/>
    <cellStyle name="Note 17 5 7 3" xfId="30940"/>
    <cellStyle name="Note 17 5 7 4" xfId="30941"/>
    <cellStyle name="Note 17 5 8" xfId="16146"/>
    <cellStyle name="Note 17 5 9" xfId="30942"/>
    <cellStyle name="Note 17 6" xfId="16147"/>
    <cellStyle name="Note 17 6 2" xfId="16148"/>
    <cellStyle name="Note 17 6 3" xfId="30943"/>
    <cellStyle name="Note 17 6 4" xfId="30944"/>
    <cellStyle name="Note 17 7" xfId="16149"/>
    <cellStyle name="Note 17 7 2" xfId="16150"/>
    <cellStyle name="Note 17 7 3" xfId="30945"/>
    <cellStyle name="Note 17 7 4" xfId="30946"/>
    <cellStyle name="Note 17 8" xfId="16151"/>
    <cellStyle name="Note 17 8 2" xfId="16152"/>
    <cellStyle name="Note 17 8 3" xfId="30947"/>
    <cellStyle name="Note 17 8 4" xfId="30948"/>
    <cellStyle name="Note 17 9" xfId="16153"/>
    <cellStyle name="Note 17 9 2" xfId="16154"/>
    <cellStyle name="Note 17 9 3" xfId="30949"/>
    <cellStyle name="Note 17 9 4" xfId="30950"/>
    <cellStyle name="Note 18" xfId="16155"/>
    <cellStyle name="Note 18 10" xfId="16156"/>
    <cellStyle name="Note 18 10 2" xfId="16157"/>
    <cellStyle name="Note 18 10 3" xfId="30951"/>
    <cellStyle name="Note 18 10 4" xfId="30952"/>
    <cellStyle name="Note 18 11" xfId="16158"/>
    <cellStyle name="Note 18 11 2" xfId="16159"/>
    <cellStyle name="Note 18 11 3" xfId="30953"/>
    <cellStyle name="Note 18 11 4" xfId="30954"/>
    <cellStyle name="Note 18 12" xfId="16160"/>
    <cellStyle name="Note 18 13" xfId="30955"/>
    <cellStyle name="Note 18 14" xfId="30956"/>
    <cellStyle name="Note 18 2" xfId="16161"/>
    <cellStyle name="Note 18 2 10" xfId="30957"/>
    <cellStyle name="Note 18 2 2" xfId="16162"/>
    <cellStyle name="Note 18 2 2 2" xfId="16163"/>
    <cellStyle name="Note 18 2 2 3" xfId="30958"/>
    <cellStyle name="Note 18 2 2 4" xfId="30959"/>
    <cellStyle name="Note 18 2 3" xfId="16164"/>
    <cellStyle name="Note 18 2 3 2" xfId="16165"/>
    <cellStyle name="Note 18 2 3 3" xfId="30960"/>
    <cellStyle name="Note 18 2 3 4" xfId="30961"/>
    <cellStyle name="Note 18 2 4" xfId="16166"/>
    <cellStyle name="Note 18 2 4 2" xfId="16167"/>
    <cellStyle name="Note 18 2 4 3" xfId="30962"/>
    <cellStyle name="Note 18 2 4 4" xfId="30963"/>
    <cellStyle name="Note 18 2 5" xfId="16168"/>
    <cellStyle name="Note 18 2 5 2" xfId="16169"/>
    <cellStyle name="Note 18 2 5 3" xfId="30964"/>
    <cellStyle name="Note 18 2 5 4" xfId="30965"/>
    <cellStyle name="Note 18 2 6" xfId="16170"/>
    <cellStyle name="Note 18 2 6 2" xfId="16171"/>
    <cellStyle name="Note 18 2 6 3" xfId="30966"/>
    <cellStyle name="Note 18 2 6 4" xfId="30967"/>
    <cellStyle name="Note 18 2 7" xfId="16172"/>
    <cellStyle name="Note 18 2 7 2" xfId="16173"/>
    <cellStyle name="Note 18 2 7 3" xfId="30968"/>
    <cellStyle name="Note 18 2 7 4" xfId="30969"/>
    <cellStyle name="Note 18 2 8" xfId="16174"/>
    <cellStyle name="Note 18 2 9" xfId="30970"/>
    <cellStyle name="Note 18 3" xfId="16175"/>
    <cellStyle name="Note 18 3 10" xfId="30971"/>
    <cellStyle name="Note 18 3 2" xfId="16176"/>
    <cellStyle name="Note 18 3 2 2" xfId="16177"/>
    <cellStyle name="Note 18 3 2 3" xfId="30972"/>
    <cellStyle name="Note 18 3 2 4" xfId="30973"/>
    <cellStyle name="Note 18 3 3" xfId="16178"/>
    <cellStyle name="Note 18 3 3 2" xfId="16179"/>
    <cellStyle name="Note 18 3 3 3" xfId="30974"/>
    <cellStyle name="Note 18 3 3 4" xfId="30975"/>
    <cellStyle name="Note 18 3 4" xfId="16180"/>
    <cellStyle name="Note 18 3 4 2" xfId="16181"/>
    <cellStyle name="Note 18 3 4 3" xfId="30976"/>
    <cellStyle name="Note 18 3 4 4" xfId="30977"/>
    <cellStyle name="Note 18 3 5" xfId="16182"/>
    <cellStyle name="Note 18 3 5 2" xfId="16183"/>
    <cellStyle name="Note 18 3 5 3" xfId="30978"/>
    <cellStyle name="Note 18 3 5 4" xfId="30979"/>
    <cellStyle name="Note 18 3 6" xfId="16184"/>
    <cellStyle name="Note 18 3 6 2" xfId="16185"/>
    <cellStyle name="Note 18 3 6 3" xfId="30980"/>
    <cellStyle name="Note 18 3 6 4" xfId="30981"/>
    <cellStyle name="Note 18 3 7" xfId="16186"/>
    <cellStyle name="Note 18 3 7 2" xfId="16187"/>
    <cellStyle name="Note 18 3 7 3" xfId="30982"/>
    <cellStyle name="Note 18 3 7 4" xfId="30983"/>
    <cellStyle name="Note 18 3 8" xfId="16188"/>
    <cellStyle name="Note 18 3 9" xfId="30984"/>
    <cellStyle name="Note 18 4" xfId="16189"/>
    <cellStyle name="Note 18 4 10" xfId="30985"/>
    <cellStyle name="Note 18 4 2" xfId="16190"/>
    <cellStyle name="Note 18 4 2 2" xfId="16191"/>
    <cellStyle name="Note 18 4 2 3" xfId="30986"/>
    <cellStyle name="Note 18 4 2 4" xfId="30987"/>
    <cellStyle name="Note 18 4 3" xfId="16192"/>
    <cellStyle name="Note 18 4 3 2" xfId="16193"/>
    <cellStyle name="Note 18 4 3 3" xfId="30988"/>
    <cellStyle name="Note 18 4 3 4" xfId="30989"/>
    <cellStyle name="Note 18 4 4" xfId="16194"/>
    <cellStyle name="Note 18 4 4 2" xfId="16195"/>
    <cellStyle name="Note 18 4 4 3" xfId="30990"/>
    <cellStyle name="Note 18 4 4 4" xfId="30991"/>
    <cellStyle name="Note 18 4 5" xfId="16196"/>
    <cellStyle name="Note 18 4 5 2" xfId="16197"/>
    <cellStyle name="Note 18 4 5 3" xfId="30992"/>
    <cellStyle name="Note 18 4 5 4" xfId="30993"/>
    <cellStyle name="Note 18 4 6" xfId="16198"/>
    <cellStyle name="Note 18 4 6 2" xfId="16199"/>
    <cellStyle name="Note 18 4 6 3" xfId="30994"/>
    <cellStyle name="Note 18 4 6 4" xfId="30995"/>
    <cellStyle name="Note 18 4 7" xfId="16200"/>
    <cellStyle name="Note 18 4 7 2" xfId="16201"/>
    <cellStyle name="Note 18 4 7 3" xfId="30996"/>
    <cellStyle name="Note 18 4 7 4" xfId="30997"/>
    <cellStyle name="Note 18 4 8" xfId="16202"/>
    <cellStyle name="Note 18 4 9" xfId="30998"/>
    <cellStyle name="Note 18 5" xfId="16203"/>
    <cellStyle name="Note 18 5 10" xfId="30999"/>
    <cellStyle name="Note 18 5 2" xfId="16204"/>
    <cellStyle name="Note 18 5 2 2" xfId="16205"/>
    <cellStyle name="Note 18 5 2 3" xfId="31000"/>
    <cellStyle name="Note 18 5 2 4" xfId="31001"/>
    <cellStyle name="Note 18 5 3" xfId="16206"/>
    <cellStyle name="Note 18 5 3 2" xfId="16207"/>
    <cellStyle name="Note 18 5 3 3" xfId="31002"/>
    <cellStyle name="Note 18 5 3 4" xfId="31003"/>
    <cellStyle name="Note 18 5 4" xfId="16208"/>
    <cellStyle name="Note 18 5 4 2" xfId="16209"/>
    <cellStyle name="Note 18 5 4 3" xfId="31004"/>
    <cellStyle name="Note 18 5 4 4" xfId="31005"/>
    <cellStyle name="Note 18 5 5" xfId="16210"/>
    <cellStyle name="Note 18 5 5 2" xfId="16211"/>
    <cellStyle name="Note 18 5 5 3" xfId="31006"/>
    <cellStyle name="Note 18 5 5 4" xfId="31007"/>
    <cellStyle name="Note 18 5 6" xfId="16212"/>
    <cellStyle name="Note 18 5 6 2" xfId="16213"/>
    <cellStyle name="Note 18 5 6 3" xfId="31008"/>
    <cellStyle name="Note 18 5 6 4" xfId="31009"/>
    <cellStyle name="Note 18 5 7" xfId="16214"/>
    <cellStyle name="Note 18 5 7 2" xfId="16215"/>
    <cellStyle name="Note 18 5 7 3" xfId="31010"/>
    <cellStyle name="Note 18 5 7 4" xfId="31011"/>
    <cellStyle name="Note 18 5 8" xfId="16216"/>
    <cellStyle name="Note 18 5 9" xfId="31012"/>
    <cellStyle name="Note 18 6" xfId="16217"/>
    <cellStyle name="Note 18 6 2" xfId="16218"/>
    <cellStyle name="Note 18 6 3" xfId="31013"/>
    <cellStyle name="Note 18 6 4" xfId="31014"/>
    <cellStyle name="Note 18 7" xfId="16219"/>
    <cellStyle name="Note 18 7 2" xfId="16220"/>
    <cellStyle name="Note 18 7 3" xfId="31015"/>
    <cellStyle name="Note 18 7 4" xfId="31016"/>
    <cellStyle name="Note 18 8" xfId="16221"/>
    <cellStyle name="Note 18 8 2" xfId="16222"/>
    <cellStyle name="Note 18 8 3" xfId="31017"/>
    <cellStyle name="Note 18 8 4" xfId="31018"/>
    <cellStyle name="Note 18 9" xfId="16223"/>
    <cellStyle name="Note 18 9 2" xfId="16224"/>
    <cellStyle name="Note 18 9 3" xfId="31019"/>
    <cellStyle name="Note 18 9 4" xfId="31020"/>
    <cellStyle name="Note 19" xfId="16225"/>
    <cellStyle name="Note 19 10" xfId="16226"/>
    <cellStyle name="Note 19 10 2" xfId="16227"/>
    <cellStyle name="Note 19 10 3" xfId="31021"/>
    <cellStyle name="Note 19 10 4" xfId="31022"/>
    <cellStyle name="Note 19 11" xfId="16228"/>
    <cellStyle name="Note 19 11 2" xfId="16229"/>
    <cellStyle name="Note 19 11 3" xfId="31023"/>
    <cellStyle name="Note 19 11 4" xfId="31024"/>
    <cellStyle name="Note 19 12" xfId="16230"/>
    <cellStyle name="Note 19 13" xfId="31025"/>
    <cellStyle name="Note 19 14" xfId="31026"/>
    <cellStyle name="Note 19 2" xfId="16231"/>
    <cellStyle name="Note 19 2 10" xfId="31027"/>
    <cellStyle name="Note 19 2 2" xfId="16232"/>
    <cellStyle name="Note 19 2 2 2" xfId="16233"/>
    <cellStyle name="Note 19 2 2 3" xfId="31028"/>
    <cellStyle name="Note 19 2 2 4" xfId="31029"/>
    <cellStyle name="Note 19 2 3" xfId="16234"/>
    <cellStyle name="Note 19 2 3 2" xfId="16235"/>
    <cellStyle name="Note 19 2 3 3" xfId="31030"/>
    <cellStyle name="Note 19 2 3 4" xfId="31031"/>
    <cellStyle name="Note 19 2 4" xfId="16236"/>
    <cellStyle name="Note 19 2 4 2" xfId="16237"/>
    <cellStyle name="Note 19 2 4 3" xfId="31032"/>
    <cellStyle name="Note 19 2 4 4" xfId="31033"/>
    <cellStyle name="Note 19 2 5" xfId="16238"/>
    <cellStyle name="Note 19 2 5 2" xfId="16239"/>
    <cellStyle name="Note 19 2 5 3" xfId="31034"/>
    <cellStyle name="Note 19 2 5 4" xfId="31035"/>
    <cellStyle name="Note 19 2 6" xfId="16240"/>
    <cellStyle name="Note 19 2 6 2" xfId="16241"/>
    <cellStyle name="Note 19 2 6 3" xfId="31036"/>
    <cellStyle name="Note 19 2 6 4" xfId="31037"/>
    <cellStyle name="Note 19 2 7" xfId="16242"/>
    <cellStyle name="Note 19 2 7 2" xfId="16243"/>
    <cellStyle name="Note 19 2 7 3" xfId="31038"/>
    <cellStyle name="Note 19 2 7 4" xfId="31039"/>
    <cellStyle name="Note 19 2 8" xfId="16244"/>
    <cellStyle name="Note 19 2 9" xfId="31040"/>
    <cellStyle name="Note 19 3" xfId="16245"/>
    <cellStyle name="Note 19 3 10" xfId="31041"/>
    <cellStyle name="Note 19 3 2" xfId="16246"/>
    <cellStyle name="Note 19 3 2 2" xfId="16247"/>
    <cellStyle name="Note 19 3 2 3" xfId="31042"/>
    <cellStyle name="Note 19 3 2 4" xfId="31043"/>
    <cellStyle name="Note 19 3 3" xfId="16248"/>
    <cellStyle name="Note 19 3 3 2" xfId="16249"/>
    <cellStyle name="Note 19 3 3 3" xfId="31044"/>
    <cellStyle name="Note 19 3 3 4" xfId="31045"/>
    <cellStyle name="Note 19 3 4" xfId="16250"/>
    <cellStyle name="Note 19 3 4 2" xfId="16251"/>
    <cellStyle name="Note 19 3 4 3" xfId="31046"/>
    <cellStyle name="Note 19 3 4 4" xfId="31047"/>
    <cellStyle name="Note 19 3 5" xfId="16252"/>
    <cellStyle name="Note 19 3 5 2" xfId="16253"/>
    <cellStyle name="Note 19 3 5 3" xfId="31048"/>
    <cellStyle name="Note 19 3 5 4" xfId="31049"/>
    <cellStyle name="Note 19 3 6" xfId="16254"/>
    <cellStyle name="Note 19 3 6 2" xfId="16255"/>
    <cellStyle name="Note 19 3 6 3" xfId="31050"/>
    <cellStyle name="Note 19 3 6 4" xfId="31051"/>
    <cellStyle name="Note 19 3 7" xfId="16256"/>
    <cellStyle name="Note 19 3 7 2" xfId="16257"/>
    <cellStyle name="Note 19 3 7 3" xfId="31052"/>
    <cellStyle name="Note 19 3 7 4" xfId="31053"/>
    <cellStyle name="Note 19 3 8" xfId="16258"/>
    <cellStyle name="Note 19 3 9" xfId="31054"/>
    <cellStyle name="Note 19 4" xfId="16259"/>
    <cellStyle name="Note 19 4 10" xfId="31055"/>
    <cellStyle name="Note 19 4 2" xfId="16260"/>
    <cellStyle name="Note 19 4 2 2" xfId="16261"/>
    <cellStyle name="Note 19 4 2 3" xfId="31056"/>
    <cellStyle name="Note 19 4 2 4" xfId="31057"/>
    <cellStyle name="Note 19 4 3" xfId="16262"/>
    <cellStyle name="Note 19 4 3 2" xfId="16263"/>
    <cellStyle name="Note 19 4 3 3" xfId="31058"/>
    <cellStyle name="Note 19 4 3 4" xfId="31059"/>
    <cellStyle name="Note 19 4 4" xfId="16264"/>
    <cellStyle name="Note 19 4 4 2" xfId="16265"/>
    <cellStyle name="Note 19 4 4 3" xfId="31060"/>
    <cellStyle name="Note 19 4 4 4" xfId="31061"/>
    <cellStyle name="Note 19 4 5" xfId="16266"/>
    <cellStyle name="Note 19 4 5 2" xfId="16267"/>
    <cellStyle name="Note 19 4 5 3" xfId="31062"/>
    <cellStyle name="Note 19 4 5 4" xfId="31063"/>
    <cellStyle name="Note 19 4 6" xfId="16268"/>
    <cellStyle name="Note 19 4 6 2" xfId="16269"/>
    <cellStyle name="Note 19 4 6 3" xfId="31064"/>
    <cellStyle name="Note 19 4 6 4" xfId="31065"/>
    <cellStyle name="Note 19 4 7" xfId="16270"/>
    <cellStyle name="Note 19 4 7 2" xfId="16271"/>
    <cellStyle name="Note 19 4 7 3" xfId="31066"/>
    <cellStyle name="Note 19 4 7 4" xfId="31067"/>
    <cellStyle name="Note 19 4 8" xfId="16272"/>
    <cellStyle name="Note 19 4 9" xfId="31068"/>
    <cellStyle name="Note 19 5" xfId="16273"/>
    <cellStyle name="Note 19 5 10" xfId="31069"/>
    <cellStyle name="Note 19 5 2" xfId="16274"/>
    <cellStyle name="Note 19 5 2 2" xfId="16275"/>
    <cellStyle name="Note 19 5 2 3" xfId="31070"/>
    <cellStyle name="Note 19 5 2 4" xfId="31071"/>
    <cellStyle name="Note 19 5 3" xfId="16276"/>
    <cellStyle name="Note 19 5 3 2" xfId="16277"/>
    <cellStyle name="Note 19 5 3 3" xfId="31072"/>
    <cellStyle name="Note 19 5 3 4" xfId="31073"/>
    <cellStyle name="Note 19 5 4" xfId="16278"/>
    <cellStyle name="Note 19 5 4 2" xfId="16279"/>
    <cellStyle name="Note 19 5 4 3" xfId="31074"/>
    <cellStyle name="Note 19 5 4 4" xfId="31075"/>
    <cellStyle name="Note 19 5 5" xfId="16280"/>
    <cellStyle name="Note 19 5 5 2" xfId="16281"/>
    <cellStyle name="Note 19 5 5 3" xfId="31076"/>
    <cellStyle name="Note 19 5 5 4" xfId="31077"/>
    <cellStyle name="Note 19 5 6" xfId="16282"/>
    <cellStyle name="Note 19 5 6 2" xfId="16283"/>
    <cellStyle name="Note 19 5 6 3" xfId="31078"/>
    <cellStyle name="Note 19 5 6 4" xfId="31079"/>
    <cellStyle name="Note 19 5 7" xfId="16284"/>
    <cellStyle name="Note 19 5 7 2" xfId="16285"/>
    <cellStyle name="Note 19 5 7 3" xfId="31080"/>
    <cellStyle name="Note 19 5 7 4" xfId="31081"/>
    <cellStyle name="Note 19 5 8" xfId="16286"/>
    <cellStyle name="Note 19 5 9" xfId="31082"/>
    <cellStyle name="Note 19 6" xfId="16287"/>
    <cellStyle name="Note 19 6 2" xfId="16288"/>
    <cellStyle name="Note 19 6 3" xfId="31083"/>
    <cellStyle name="Note 19 6 4" xfId="31084"/>
    <cellStyle name="Note 19 7" xfId="16289"/>
    <cellStyle name="Note 19 7 2" xfId="16290"/>
    <cellStyle name="Note 19 7 3" xfId="31085"/>
    <cellStyle name="Note 19 7 4" xfId="31086"/>
    <cellStyle name="Note 19 8" xfId="16291"/>
    <cellStyle name="Note 19 8 2" xfId="16292"/>
    <cellStyle name="Note 19 8 3" xfId="31087"/>
    <cellStyle name="Note 19 8 4" xfId="31088"/>
    <cellStyle name="Note 19 9" xfId="16293"/>
    <cellStyle name="Note 19 9 2" xfId="16294"/>
    <cellStyle name="Note 19 9 3" xfId="31089"/>
    <cellStyle name="Note 19 9 4" xfId="31090"/>
    <cellStyle name="Note 2" xfId="16295"/>
    <cellStyle name="Note 2 10" xfId="16296"/>
    <cellStyle name="Note 2 10 2" xfId="16297"/>
    <cellStyle name="Note 2 10 3" xfId="31091"/>
    <cellStyle name="Note 2 10 4" xfId="31092"/>
    <cellStyle name="Note 2 11" xfId="16298"/>
    <cellStyle name="Note 2 11 2" xfId="16299"/>
    <cellStyle name="Note 2 11 3" xfId="31093"/>
    <cellStyle name="Note 2 11 4" xfId="31094"/>
    <cellStyle name="Note 2 12" xfId="16300"/>
    <cellStyle name="Note 2 12 2" xfId="16301"/>
    <cellStyle name="Note 2 12 3" xfId="31095"/>
    <cellStyle name="Note 2 13" xfId="16302"/>
    <cellStyle name="Note 2 14" xfId="31096"/>
    <cellStyle name="Note 2 15" xfId="31097"/>
    <cellStyle name="Note 2 16" xfId="31098"/>
    <cellStyle name="Note 2 2" xfId="16303"/>
    <cellStyle name="Note 2 2 10" xfId="31099"/>
    <cellStyle name="Note 2 2 2" xfId="16304"/>
    <cellStyle name="Note 2 2 2 2" xfId="16305"/>
    <cellStyle name="Note 2 2 2 3" xfId="31100"/>
    <cellStyle name="Note 2 2 2 4" xfId="31101"/>
    <cellStyle name="Note 2 2 3" xfId="16306"/>
    <cellStyle name="Note 2 2 3 2" xfId="16307"/>
    <cellStyle name="Note 2 2 3 3" xfId="31102"/>
    <cellStyle name="Note 2 2 3 4" xfId="31103"/>
    <cellStyle name="Note 2 2 4" xfId="16308"/>
    <cellStyle name="Note 2 2 4 2" xfId="16309"/>
    <cellStyle name="Note 2 2 4 3" xfId="31104"/>
    <cellStyle name="Note 2 2 4 4" xfId="31105"/>
    <cellStyle name="Note 2 2 5" xfId="16310"/>
    <cellStyle name="Note 2 2 5 2" xfId="16311"/>
    <cellStyle name="Note 2 2 5 3" xfId="31106"/>
    <cellStyle name="Note 2 2 5 4" xfId="31107"/>
    <cellStyle name="Note 2 2 6" xfId="16312"/>
    <cellStyle name="Note 2 2 6 2" xfId="16313"/>
    <cellStyle name="Note 2 2 6 3" xfId="31108"/>
    <cellStyle name="Note 2 2 6 4" xfId="31109"/>
    <cellStyle name="Note 2 2 7" xfId="16314"/>
    <cellStyle name="Note 2 2 7 2" xfId="16315"/>
    <cellStyle name="Note 2 2 7 3" xfId="31110"/>
    <cellStyle name="Note 2 2 7 4" xfId="31111"/>
    <cellStyle name="Note 2 2 8" xfId="16316"/>
    <cellStyle name="Note 2 2 9" xfId="31112"/>
    <cellStyle name="Note 2 3" xfId="16317"/>
    <cellStyle name="Note 2 3 10" xfId="31113"/>
    <cellStyle name="Note 2 3 2" xfId="16318"/>
    <cellStyle name="Note 2 3 2 2" xfId="16319"/>
    <cellStyle name="Note 2 3 2 3" xfId="31114"/>
    <cellStyle name="Note 2 3 2 4" xfId="31115"/>
    <cellStyle name="Note 2 3 3" xfId="16320"/>
    <cellStyle name="Note 2 3 3 2" xfId="16321"/>
    <cellStyle name="Note 2 3 3 3" xfId="31116"/>
    <cellStyle name="Note 2 3 3 4" xfId="31117"/>
    <cellStyle name="Note 2 3 4" xfId="16322"/>
    <cellStyle name="Note 2 3 4 2" xfId="16323"/>
    <cellStyle name="Note 2 3 4 3" xfId="31118"/>
    <cellStyle name="Note 2 3 4 4" xfId="31119"/>
    <cellStyle name="Note 2 3 5" xfId="16324"/>
    <cellStyle name="Note 2 3 5 2" xfId="16325"/>
    <cellStyle name="Note 2 3 5 3" xfId="31120"/>
    <cellStyle name="Note 2 3 5 4" xfId="31121"/>
    <cellStyle name="Note 2 3 6" xfId="16326"/>
    <cellStyle name="Note 2 3 6 2" xfId="16327"/>
    <cellStyle name="Note 2 3 6 3" xfId="31122"/>
    <cellStyle name="Note 2 3 6 4" xfId="31123"/>
    <cellStyle name="Note 2 3 7" xfId="16328"/>
    <cellStyle name="Note 2 3 7 2" xfId="16329"/>
    <cellStyle name="Note 2 3 7 3" xfId="31124"/>
    <cellStyle name="Note 2 3 7 4" xfId="31125"/>
    <cellStyle name="Note 2 3 8" xfId="16330"/>
    <cellStyle name="Note 2 3 9" xfId="31126"/>
    <cellStyle name="Note 2 4" xfId="16331"/>
    <cellStyle name="Note 2 4 10" xfId="31127"/>
    <cellStyle name="Note 2 4 2" xfId="16332"/>
    <cellStyle name="Note 2 4 2 2" xfId="16333"/>
    <cellStyle name="Note 2 4 2 3" xfId="31128"/>
    <cellStyle name="Note 2 4 2 4" xfId="31129"/>
    <cellStyle name="Note 2 4 3" xfId="16334"/>
    <cellStyle name="Note 2 4 3 2" xfId="16335"/>
    <cellStyle name="Note 2 4 3 3" xfId="31130"/>
    <cellStyle name="Note 2 4 3 4" xfId="31131"/>
    <cellStyle name="Note 2 4 4" xfId="16336"/>
    <cellStyle name="Note 2 4 4 2" xfId="16337"/>
    <cellStyle name="Note 2 4 4 3" xfId="31132"/>
    <cellStyle name="Note 2 4 4 4" xfId="31133"/>
    <cellStyle name="Note 2 4 5" xfId="16338"/>
    <cellStyle name="Note 2 4 5 2" xfId="16339"/>
    <cellStyle name="Note 2 4 5 3" xfId="31134"/>
    <cellStyle name="Note 2 4 5 4" xfId="31135"/>
    <cellStyle name="Note 2 4 6" xfId="16340"/>
    <cellStyle name="Note 2 4 6 2" xfId="16341"/>
    <cellStyle name="Note 2 4 6 3" xfId="31136"/>
    <cellStyle name="Note 2 4 6 4" xfId="31137"/>
    <cellStyle name="Note 2 4 7" xfId="16342"/>
    <cellStyle name="Note 2 4 7 2" xfId="16343"/>
    <cellStyle name="Note 2 4 7 3" xfId="31138"/>
    <cellStyle name="Note 2 4 7 4" xfId="31139"/>
    <cellStyle name="Note 2 4 8" xfId="16344"/>
    <cellStyle name="Note 2 4 9" xfId="31140"/>
    <cellStyle name="Note 2 5" xfId="16345"/>
    <cellStyle name="Note 2 5 10" xfId="31141"/>
    <cellStyle name="Note 2 5 2" xfId="16346"/>
    <cellStyle name="Note 2 5 2 2" xfId="16347"/>
    <cellStyle name="Note 2 5 2 3" xfId="31142"/>
    <cellStyle name="Note 2 5 2 4" xfId="31143"/>
    <cellStyle name="Note 2 5 3" xfId="16348"/>
    <cellStyle name="Note 2 5 3 2" xfId="16349"/>
    <cellStyle name="Note 2 5 3 3" xfId="31144"/>
    <cellStyle name="Note 2 5 3 4" xfId="31145"/>
    <cellStyle name="Note 2 5 4" xfId="16350"/>
    <cellStyle name="Note 2 5 4 2" xfId="16351"/>
    <cellStyle name="Note 2 5 4 3" xfId="31146"/>
    <cellStyle name="Note 2 5 4 4" xfId="31147"/>
    <cellStyle name="Note 2 5 5" xfId="16352"/>
    <cellStyle name="Note 2 5 5 2" xfId="16353"/>
    <cellStyle name="Note 2 5 5 3" xfId="31148"/>
    <cellStyle name="Note 2 5 5 4" xfId="31149"/>
    <cellStyle name="Note 2 5 6" xfId="16354"/>
    <cellStyle name="Note 2 5 6 2" xfId="16355"/>
    <cellStyle name="Note 2 5 6 3" xfId="31150"/>
    <cellStyle name="Note 2 5 6 4" xfId="31151"/>
    <cellStyle name="Note 2 5 7" xfId="16356"/>
    <cellStyle name="Note 2 5 7 2" xfId="16357"/>
    <cellStyle name="Note 2 5 7 3" xfId="31152"/>
    <cellStyle name="Note 2 5 7 4" xfId="31153"/>
    <cellStyle name="Note 2 5 8" xfId="16358"/>
    <cellStyle name="Note 2 5 9" xfId="31154"/>
    <cellStyle name="Note 2 6" xfId="16359"/>
    <cellStyle name="Note 2 6 2" xfId="16360"/>
    <cellStyle name="Note 2 6 3" xfId="31155"/>
    <cellStyle name="Note 2 6 4" xfId="31156"/>
    <cellStyle name="Note 2 7" xfId="16361"/>
    <cellStyle name="Note 2 7 2" xfId="16362"/>
    <cellStyle name="Note 2 7 3" xfId="31157"/>
    <cellStyle name="Note 2 7 4" xfId="31158"/>
    <cellStyle name="Note 2 8" xfId="16363"/>
    <cellStyle name="Note 2 8 2" xfId="16364"/>
    <cellStyle name="Note 2 8 3" xfId="31159"/>
    <cellStyle name="Note 2 8 4" xfId="31160"/>
    <cellStyle name="Note 2 9" xfId="16365"/>
    <cellStyle name="Note 2 9 2" xfId="16366"/>
    <cellStyle name="Note 2 9 3" xfId="31161"/>
    <cellStyle name="Note 2 9 4" xfId="31162"/>
    <cellStyle name="Note 20" xfId="16367"/>
    <cellStyle name="Note 20 10" xfId="16368"/>
    <cellStyle name="Note 20 10 2" xfId="16369"/>
    <cellStyle name="Note 20 10 3" xfId="31163"/>
    <cellStyle name="Note 20 10 4" xfId="31164"/>
    <cellStyle name="Note 20 11" xfId="16370"/>
    <cellStyle name="Note 20 11 2" xfId="16371"/>
    <cellStyle name="Note 20 11 3" xfId="31165"/>
    <cellStyle name="Note 20 11 4" xfId="31166"/>
    <cellStyle name="Note 20 12" xfId="16372"/>
    <cellStyle name="Note 20 13" xfId="31167"/>
    <cellStyle name="Note 20 14" xfId="31168"/>
    <cellStyle name="Note 20 2" xfId="16373"/>
    <cellStyle name="Note 20 2 10" xfId="31169"/>
    <cellStyle name="Note 20 2 2" xfId="16374"/>
    <cellStyle name="Note 20 2 2 2" xfId="16375"/>
    <cellStyle name="Note 20 2 2 3" xfId="31170"/>
    <cellStyle name="Note 20 2 2 4" xfId="31171"/>
    <cellStyle name="Note 20 2 3" xfId="16376"/>
    <cellStyle name="Note 20 2 3 2" xfId="16377"/>
    <cellStyle name="Note 20 2 3 3" xfId="31172"/>
    <cellStyle name="Note 20 2 3 4" xfId="31173"/>
    <cellStyle name="Note 20 2 4" xfId="16378"/>
    <cellStyle name="Note 20 2 4 2" xfId="16379"/>
    <cellStyle name="Note 20 2 4 3" xfId="31174"/>
    <cellStyle name="Note 20 2 4 4" xfId="31175"/>
    <cellStyle name="Note 20 2 5" xfId="16380"/>
    <cellStyle name="Note 20 2 5 2" xfId="16381"/>
    <cellStyle name="Note 20 2 5 3" xfId="31176"/>
    <cellStyle name="Note 20 2 5 4" xfId="31177"/>
    <cellStyle name="Note 20 2 6" xfId="16382"/>
    <cellStyle name="Note 20 2 6 2" xfId="16383"/>
    <cellStyle name="Note 20 2 6 3" xfId="31178"/>
    <cellStyle name="Note 20 2 6 4" xfId="31179"/>
    <cellStyle name="Note 20 2 7" xfId="16384"/>
    <cellStyle name="Note 20 2 7 2" xfId="16385"/>
    <cellStyle name="Note 20 2 7 3" xfId="31180"/>
    <cellStyle name="Note 20 2 7 4" xfId="31181"/>
    <cellStyle name="Note 20 2 8" xfId="16386"/>
    <cellStyle name="Note 20 2 9" xfId="31182"/>
    <cellStyle name="Note 20 3" xfId="16387"/>
    <cellStyle name="Note 20 3 10" xfId="31183"/>
    <cellStyle name="Note 20 3 2" xfId="16388"/>
    <cellStyle name="Note 20 3 2 2" xfId="16389"/>
    <cellStyle name="Note 20 3 2 3" xfId="31184"/>
    <cellStyle name="Note 20 3 2 4" xfId="31185"/>
    <cellStyle name="Note 20 3 3" xfId="16390"/>
    <cellStyle name="Note 20 3 3 2" xfId="16391"/>
    <cellStyle name="Note 20 3 3 3" xfId="31186"/>
    <cellStyle name="Note 20 3 3 4" xfId="31187"/>
    <cellStyle name="Note 20 3 4" xfId="16392"/>
    <cellStyle name="Note 20 3 4 2" xfId="16393"/>
    <cellStyle name="Note 20 3 4 3" xfId="31188"/>
    <cellStyle name="Note 20 3 4 4" xfId="31189"/>
    <cellStyle name="Note 20 3 5" xfId="16394"/>
    <cellStyle name="Note 20 3 5 2" xfId="16395"/>
    <cellStyle name="Note 20 3 5 3" xfId="31190"/>
    <cellStyle name="Note 20 3 5 4" xfId="31191"/>
    <cellStyle name="Note 20 3 6" xfId="16396"/>
    <cellStyle name="Note 20 3 6 2" xfId="16397"/>
    <cellStyle name="Note 20 3 6 3" xfId="31192"/>
    <cellStyle name="Note 20 3 6 4" xfId="31193"/>
    <cellStyle name="Note 20 3 7" xfId="16398"/>
    <cellStyle name="Note 20 3 7 2" xfId="16399"/>
    <cellStyle name="Note 20 3 7 3" xfId="31194"/>
    <cellStyle name="Note 20 3 7 4" xfId="31195"/>
    <cellStyle name="Note 20 3 8" xfId="16400"/>
    <cellStyle name="Note 20 3 9" xfId="31196"/>
    <cellStyle name="Note 20 4" xfId="16401"/>
    <cellStyle name="Note 20 4 10" xfId="31197"/>
    <cellStyle name="Note 20 4 2" xfId="16402"/>
    <cellStyle name="Note 20 4 2 2" xfId="16403"/>
    <cellStyle name="Note 20 4 2 3" xfId="31198"/>
    <cellStyle name="Note 20 4 2 4" xfId="31199"/>
    <cellStyle name="Note 20 4 3" xfId="16404"/>
    <cellStyle name="Note 20 4 3 2" xfId="16405"/>
    <cellStyle name="Note 20 4 3 3" xfId="31200"/>
    <cellStyle name="Note 20 4 3 4" xfId="31201"/>
    <cellStyle name="Note 20 4 4" xfId="16406"/>
    <cellStyle name="Note 20 4 4 2" xfId="16407"/>
    <cellStyle name="Note 20 4 4 3" xfId="31202"/>
    <cellStyle name="Note 20 4 4 4" xfId="31203"/>
    <cellStyle name="Note 20 4 5" xfId="16408"/>
    <cellStyle name="Note 20 4 5 2" xfId="16409"/>
    <cellStyle name="Note 20 4 5 3" xfId="31204"/>
    <cellStyle name="Note 20 4 5 4" xfId="31205"/>
    <cellStyle name="Note 20 4 6" xfId="16410"/>
    <cellStyle name="Note 20 4 6 2" xfId="16411"/>
    <cellStyle name="Note 20 4 6 3" xfId="31206"/>
    <cellStyle name="Note 20 4 6 4" xfId="31207"/>
    <cellStyle name="Note 20 4 7" xfId="16412"/>
    <cellStyle name="Note 20 4 7 2" xfId="16413"/>
    <cellStyle name="Note 20 4 7 3" xfId="31208"/>
    <cellStyle name="Note 20 4 7 4" xfId="31209"/>
    <cellStyle name="Note 20 4 8" xfId="16414"/>
    <cellStyle name="Note 20 4 9" xfId="31210"/>
    <cellStyle name="Note 20 5" xfId="16415"/>
    <cellStyle name="Note 20 5 10" xfId="31211"/>
    <cellStyle name="Note 20 5 2" xfId="16416"/>
    <cellStyle name="Note 20 5 2 2" xfId="16417"/>
    <cellStyle name="Note 20 5 2 3" xfId="31212"/>
    <cellStyle name="Note 20 5 2 4" xfId="31213"/>
    <cellStyle name="Note 20 5 3" xfId="16418"/>
    <cellStyle name="Note 20 5 3 2" xfId="16419"/>
    <cellStyle name="Note 20 5 3 3" xfId="31214"/>
    <cellStyle name="Note 20 5 3 4" xfId="31215"/>
    <cellStyle name="Note 20 5 4" xfId="16420"/>
    <cellStyle name="Note 20 5 4 2" xfId="16421"/>
    <cellStyle name="Note 20 5 4 3" xfId="31216"/>
    <cellStyle name="Note 20 5 4 4" xfId="31217"/>
    <cellStyle name="Note 20 5 5" xfId="16422"/>
    <cellStyle name="Note 20 5 5 2" xfId="16423"/>
    <cellStyle name="Note 20 5 5 3" xfId="31218"/>
    <cellStyle name="Note 20 5 5 4" xfId="31219"/>
    <cellStyle name="Note 20 5 6" xfId="16424"/>
    <cellStyle name="Note 20 5 6 2" xfId="16425"/>
    <cellStyle name="Note 20 5 6 3" xfId="31220"/>
    <cellStyle name="Note 20 5 6 4" xfId="31221"/>
    <cellStyle name="Note 20 5 7" xfId="16426"/>
    <cellStyle name="Note 20 5 7 2" xfId="16427"/>
    <cellStyle name="Note 20 5 7 3" xfId="31222"/>
    <cellStyle name="Note 20 5 7 4" xfId="31223"/>
    <cellStyle name="Note 20 5 8" xfId="16428"/>
    <cellStyle name="Note 20 5 9" xfId="31224"/>
    <cellStyle name="Note 20 6" xfId="16429"/>
    <cellStyle name="Note 20 6 2" xfId="16430"/>
    <cellStyle name="Note 20 6 3" xfId="31225"/>
    <cellStyle name="Note 20 6 4" xfId="31226"/>
    <cellStyle name="Note 20 7" xfId="16431"/>
    <cellStyle name="Note 20 7 2" xfId="16432"/>
    <cellStyle name="Note 20 7 3" xfId="31227"/>
    <cellStyle name="Note 20 7 4" xfId="31228"/>
    <cellStyle name="Note 20 8" xfId="16433"/>
    <cellStyle name="Note 20 8 2" xfId="16434"/>
    <cellStyle name="Note 20 8 3" xfId="31229"/>
    <cellStyle name="Note 20 8 4" xfId="31230"/>
    <cellStyle name="Note 20 9" xfId="16435"/>
    <cellStyle name="Note 20 9 2" xfId="16436"/>
    <cellStyle name="Note 20 9 3" xfId="31231"/>
    <cellStyle name="Note 20 9 4" xfId="31232"/>
    <cellStyle name="Note 21" xfId="16437"/>
    <cellStyle name="Note 21 10" xfId="16438"/>
    <cellStyle name="Note 21 10 2" xfId="16439"/>
    <cellStyle name="Note 21 10 3" xfId="31233"/>
    <cellStyle name="Note 21 10 4" xfId="31234"/>
    <cellStyle name="Note 21 11" xfId="16440"/>
    <cellStyle name="Note 21 11 2" xfId="16441"/>
    <cellStyle name="Note 21 11 3" xfId="31235"/>
    <cellStyle name="Note 21 11 4" xfId="31236"/>
    <cellStyle name="Note 21 12" xfId="16442"/>
    <cellStyle name="Note 21 13" xfId="31237"/>
    <cellStyle name="Note 21 14" xfId="31238"/>
    <cellStyle name="Note 21 2" xfId="16443"/>
    <cellStyle name="Note 21 2 10" xfId="31239"/>
    <cellStyle name="Note 21 2 2" xfId="16444"/>
    <cellStyle name="Note 21 2 2 2" xfId="16445"/>
    <cellStyle name="Note 21 2 2 3" xfId="31240"/>
    <cellStyle name="Note 21 2 2 4" xfId="31241"/>
    <cellStyle name="Note 21 2 3" xfId="16446"/>
    <cellStyle name="Note 21 2 3 2" xfId="16447"/>
    <cellStyle name="Note 21 2 3 3" xfId="31242"/>
    <cellStyle name="Note 21 2 3 4" xfId="31243"/>
    <cellStyle name="Note 21 2 4" xfId="16448"/>
    <cellStyle name="Note 21 2 4 2" xfId="16449"/>
    <cellStyle name="Note 21 2 4 3" xfId="31244"/>
    <cellStyle name="Note 21 2 4 4" xfId="31245"/>
    <cellStyle name="Note 21 2 5" xfId="16450"/>
    <cellStyle name="Note 21 2 5 2" xfId="16451"/>
    <cellStyle name="Note 21 2 5 3" xfId="31246"/>
    <cellStyle name="Note 21 2 5 4" xfId="31247"/>
    <cellStyle name="Note 21 2 6" xfId="16452"/>
    <cellStyle name="Note 21 2 6 2" xfId="16453"/>
    <cellStyle name="Note 21 2 6 3" xfId="31248"/>
    <cellStyle name="Note 21 2 6 4" xfId="31249"/>
    <cellStyle name="Note 21 2 7" xfId="16454"/>
    <cellStyle name="Note 21 2 7 2" xfId="16455"/>
    <cellStyle name="Note 21 2 7 3" xfId="31250"/>
    <cellStyle name="Note 21 2 7 4" xfId="31251"/>
    <cellStyle name="Note 21 2 8" xfId="16456"/>
    <cellStyle name="Note 21 2 9" xfId="31252"/>
    <cellStyle name="Note 21 3" xfId="16457"/>
    <cellStyle name="Note 21 3 10" xfId="31253"/>
    <cellStyle name="Note 21 3 2" xfId="16458"/>
    <cellStyle name="Note 21 3 2 2" xfId="16459"/>
    <cellStyle name="Note 21 3 2 3" xfId="31254"/>
    <cellStyle name="Note 21 3 2 4" xfId="31255"/>
    <cellStyle name="Note 21 3 3" xfId="16460"/>
    <cellStyle name="Note 21 3 3 2" xfId="16461"/>
    <cellStyle name="Note 21 3 3 3" xfId="31256"/>
    <cellStyle name="Note 21 3 3 4" xfId="31257"/>
    <cellStyle name="Note 21 3 4" xfId="16462"/>
    <cellStyle name="Note 21 3 4 2" xfId="16463"/>
    <cellStyle name="Note 21 3 4 3" xfId="31258"/>
    <cellStyle name="Note 21 3 4 4" xfId="31259"/>
    <cellStyle name="Note 21 3 5" xfId="16464"/>
    <cellStyle name="Note 21 3 5 2" xfId="16465"/>
    <cellStyle name="Note 21 3 5 3" xfId="31260"/>
    <cellStyle name="Note 21 3 5 4" xfId="31261"/>
    <cellStyle name="Note 21 3 6" xfId="16466"/>
    <cellStyle name="Note 21 3 6 2" xfId="16467"/>
    <cellStyle name="Note 21 3 6 3" xfId="31262"/>
    <cellStyle name="Note 21 3 6 4" xfId="31263"/>
    <cellStyle name="Note 21 3 7" xfId="16468"/>
    <cellStyle name="Note 21 3 7 2" xfId="16469"/>
    <cellStyle name="Note 21 3 7 3" xfId="31264"/>
    <cellStyle name="Note 21 3 7 4" xfId="31265"/>
    <cellStyle name="Note 21 3 8" xfId="16470"/>
    <cellStyle name="Note 21 3 9" xfId="31266"/>
    <cellStyle name="Note 21 4" xfId="16471"/>
    <cellStyle name="Note 21 4 10" xfId="31267"/>
    <cellStyle name="Note 21 4 2" xfId="16472"/>
    <cellStyle name="Note 21 4 2 2" xfId="16473"/>
    <cellStyle name="Note 21 4 2 3" xfId="31268"/>
    <cellStyle name="Note 21 4 2 4" xfId="31269"/>
    <cellStyle name="Note 21 4 3" xfId="16474"/>
    <cellStyle name="Note 21 4 3 2" xfId="16475"/>
    <cellStyle name="Note 21 4 3 3" xfId="31270"/>
    <cellStyle name="Note 21 4 3 4" xfId="31271"/>
    <cellStyle name="Note 21 4 4" xfId="16476"/>
    <cellStyle name="Note 21 4 4 2" xfId="16477"/>
    <cellStyle name="Note 21 4 4 3" xfId="31272"/>
    <cellStyle name="Note 21 4 4 4" xfId="31273"/>
    <cellStyle name="Note 21 4 5" xfId="16478"/>
    <cellStyle name="Note 21 4 5 2" xfId="16479"/>
    <cellStyle name="Note 21 4 5 3" xfId="31274"/>
    <cellStyle name="Note 21 4 5 4" xfId="31275"/>
    <cellStyle name="Note 21 4 6" xfId="16480"/>
    <cellStyle name="Note 21 4 6 2" xfId="16481"/>
    <cellStyle name="Note 21 4 6 3" xfId="31276"/>
    <cellStyle name="Note 21 4 6 4" xfId="31277"/>
    <cellStyle name="Note 21 4 7" xfId="16482"/>
    <cellStyle name="Note 21 4 7 2" xfId="16483"/>
    <cellStyle name="Note 21 4 7 3" xfId="31278"/>
    <cellStyle name="Note 21 4 7 4" xfId="31279"/>
    <cellStyle name="Note 21 4 8" xfId="16484"/>
    <cellStyle name="Note 21 4 9" xfId="31280"/>
    <cellStyle name="Note 21 5" xfId="16485"/>
    <cellStyle name="Note 21 5 10" xfId="31281"/>
    <cellStyle name="Note 21 5 2" xfId="16486"/>
    <cellStyle name="Note 21 5 2 2" xfId="16487"/>
    <cellStyle name="Note 21 5 2 3" xfId="31282"/>
    <cellStyle name="Note 21 5 2 4" xfId="31283"/>
    <cellStyle name="Note 21 5 3" xfId="16488"/>
    <cellStyle name="Note 21 5 3 2" xfId="16489"/>
    <cellStyle name="Note 21 5 3 3" xfId="31284"/>
    <cellStyle name="Note 21 5 3 4" xfId="31285"/>
    <cellStyle name="Note 21 5 4" xfId="16490"/>
    <cellStyle name="Note 21 5 4 2" xfId="16491"/>
    <cellStyle name="Note 21 5 4 3" xfId="31286"/>
    <cellStyle name="Note 21 5 4 4" xfId="31287"/>
    <cellStyle name="Note 21 5 5" xfId="16492"/>
    <cellStyle name="Note 21 5 5 2" xfId="16493"/>
    <cellStyle name="Note 21 5 5 3" xfId="31288"/>
    <cellStyle name="Note 21 5 5 4" xfId="31289"/>
    <cellStyle name="Note 21 5 6" xfId="16494"/>
    <cellStyle name="Note 21 5 6 2" xfId="16495"/>
    <cellStyle name="Note 21 5 6 3" xfId="31290"/>
    <cellStyle name="Note 21 5 6 4" xfId="31291"/>
    <cellStyle name="Note 21 5 7" xfId="16496"/>
    <cellStyle name="Note 21 5 7 2" xfId="16497"/>
    <cellStyle name="Note 21 5 7 3" xfId="31292"/>
    <cellStyle name="Note 21 5 7 4" xfId="31293"/>
    <cellStyle name="Note 21 5 8" xfId="16498"/>
    <cellStyle name="Note 21 5 9" xfId="31294"/>
    <cellStyle name="Note 21 6" xfId="16499"/>
    <cellStyle name="Note 21 6 2" xfId="16500"/>
    <cellStyle name="Note 21 6 3" xfId="31295"/>
    <cellStyle name="Note 21 6 4" xfId="31296"/>
    <cellStyle name="Note 21 7" xfId="16501"/>
    <cellStyle name="Note 21 7 2" xfId="16502"/>
    <cellStyle name="Note 21 7 3" xfId="31297"/>
    <cellStyle name="Note 21 7 4" xfId="31298"/>
    <cellStyle name="Note 21 8" xfId="16503"/>
    <cellStyle name="Note 21 8 2" xfId="16504"/>
    <cellStyle name="Note 21 8 3" xfId="31299"/>
    <cellStyle name="Note 21 8 4" xfId="31300"/>
    <cellStyle name="Note 21 9" xfId="16505"/>
    <cellStyle name="Note 21 9 2" xfId="16506"/>
    <cellStyle name="Note 21 9 3" xfId="31301"/>
    <cellStyle name="Note 21 9 4" xfId="31302"/>
    <cellStyle name="Note 22" xfId="16507"/>
    <cellStyle name="Note 22 10" xfId="16508"/>
    <cellStyle name="Note 22 10 2" xfId="16509"/>
    <cellStyle name="Note 22 10 3" xfId="31303"/>
    <cellStyle name="Note 22 10 4" xfId="31304"/>
    <cellStyle name="Note 22 11" xfId="16510"/>
    <cellStyle name="Note 22 11 2" xfId="16511"/>
    <cellStyle name="Note 22 11 3" xfId="31305"/>
    <cellStyle name="Note 22 11 4" xfId="31306"/>
    <cellStyle name="Note 22 12" xfId="16512"/>
    <cellStyle name="Note 22 13" xfId="31307"/>
    <cellStyle name="Note 22 14" xfId="31308"/>
    <cellStyle name="Note 22 2" xfId="16513"/>
    <cellStyle name="Note 22 2 10" xfId="31309"/>
    <cellStyle name="Note 22 2 2" xfId="16514"/>
    <cellStyle name="Note 22 2 2 2" xfId="16515"/>
    <cellStyle name="Note 22 2 2 3" xfId="31310"/>
    <cellStyle name="Note 22 2 2 4" xfId="31311"/>
    <cellStyle name="Note 22 2 3" xfId="16516"/>
    <cellStyle name="Note 22 2 3 2" xfId="16517"/>
    <cellStyle name="Note 22 2 3 3" xfId="31312"/>
    <cellStyle name="Note 22 2 3 4" xfId="31313"/>
    <cellStyle name="Note 22 2 4" xfId="16518"/>
    <cellStyle name="Note 22 2 4 2" xfId="16519"/>
    <cellStyle name="Note 22 2 4 3" xfId="31314"/>
    <cellStyle name="Note 22 2 4 4" xfId="31315"/>
    <cellStyle name="Note 22 2 5" xfId="16520"/>
    <cellStyle name="Note 22 2 5 2" xfId="16521"/>
    <cellStyle name="Note 22 2 5 3" xfId="31316"/>
    <cellStyle name="Note 22 2 5 4" xfId="31317"/>
    <cellStyle name="Note 22 2 6" xfId="16522"/>
    <cellStyle name="Note 22 2 6 2" xfId="16523"/>
    <cellStyle name="Note 22 2 6 3" xfId="31318"/>
    <cellStyle name="Note 22 2 6 4" xfId="31319"/>
    <cellStyle name="Note 22 2 7" xfId="16524"/>
    <cellStyle name="Note 22 2 7 2" xfId="16525"/>
    <cellStyle name="Note 22 2 7 3" xfId="31320"/>
    <cellStyle name="Note 22 2 7 4" xfId="31321"/>
    <cellStyle name="Note 22 2 8" xfId="16526"/>
    <cellStyle name="Note 22 2 9" xfId="31322"/>
    <cellStyle name="Note 22 3" xfId="16527"/>
    <cellStyle name="Note 22 3 10" xfId="31323"/>
    <cellStyle name="Note 22 3 2" xfId="16528"/>
    <cellStyle name="Note 22 3 2 2" xfId="16529"/>
    <cellStyle name="Note 22 3 2 3" xfId="31324"/>
    <cellStyle name="Note 22 3 2 4" xfId="31325"/>
    <cellStyle name="Note 22 3 3" xfId="16530"/>
    <cellStyle name="Note 22 3 3 2" xfId="16531"/>
    <cellStyle name="Note 22 3 3 3" xfId="31326"/>
    <cellStyle name="Note 22 3 3 4" xfId="31327"/>
    <cellStyle name="Note 22 3 4" xfId="16532"/>
    <cellStyle name="Note 22 3 4 2" xfId="16533"/>
    <cellStyle name="Note 22 3 4 3" xfId="31328"/>
    <cellStyle name="Note 22 3 4 4" xfId="31329"/>
    <cellStyle name="Note 22 3 5" xfId="16534"/>
    <cellStyle name="Note 22 3 5 2" xfId="16535"/>
    <cellStyle name="Note 22 3 5 3" xfId="31330"/>
    <cellStyle name="Note 22 3 5 4" xfId="31331"/>
    <cellStyle name="Note 22 3 6" xfId="16536"/>
    <cellStyle name="Note 22 3 6 2" xfId="16537"/>
    <cellStyle name="Note 22 3 6 3" xfId="31332"/>
    <cellStyle name="Note 22 3 6 4" xfId="31333"/>
    <cellStyle name="Note 22 3 7" xfId="16538"/>
    <cellStyle name="Note 22 3 7 2" xfId="16539"/>
    <cellStyle name="Note 22 3 7 3" xfId="31334"/>
    <cellStyle name="Note 22 3 7 4" xfId="31335"/>
    <cellStyle name="Note 22 3 8" xfId="16540"/>
    <cellStyle name="Note 22 3 9" xfId="31336"/>
    <cellStyle name="Note 22 4" xfId="16541"/>
    <cellStyle name="Note 22 4 10" xfId="31337"/>
    <cellStyle name="Note 22 4 2" xfId="16542"/>
    <cellStyle name="Note 22 4 2 2" xfId="16543"/>
    <cellStyle name="Note 22 4 2 3" xfId="31338"/>
    <cellStyle name="Note 22 4 2 4" xfId="31339"/>
    <cellStyle name="Note 22 4 3" xfId="16544"/>
    <cellStyle name="Note 22 4 3 2" xfId="16545"/>
    <cellStyle name="Note 22 4 3 3" xfId="31340"/>
    <cellStyle name="Note 22 4 3 4" xfId="31341"/>
    <cellStyle name="Note 22 4 4" xfId="16546"/>
    <cellStyle name="Note 22 4 4 2" xfId="16547"/>
    <cellStyle name="Note 22 4 4 3" xfId="31342"/>
    <cellStyle name="Note 22 4 4 4" xfId="31343"/>
    <cellStyle name="Note 22 4 5" xfId="16548"/>
    <cellStyle name="Note 22 4 5 2" xfId="16549"/>
    <cellStyle name="Note 22 4 5 3" xfId="31344"/>
    <cellStyle name="Note 22 4 5 4" xfId="31345"/>
    <cellStyle name="Note 22 4 6" xfId="16550"/>
    <cellStyle name="Note 22 4 6 2" xfId="16551"/>
    <cellStyle name="Note 22 4 6 3" xfId="31346"/>
    <cellStyle name="Note 22 4 6 4" xfId="31347"/>
    <cellStyle name="Note 22 4 7" xfId="16552"/>
    <cellStyle name="Note 22 4 7 2" xfId="16553"/>
    <cellStyle name="Note 22 4 7 3" xfId="31348"/>
    <cellStyle name="Note 22 4 7 4" xfId="31349"/>
    <cellStyle name="Note 22 4 8" xfId="16554"/>
    <cellStyle name="Note 22 4 9" xfId="31350"/>
    <cellStyle name="Note 22 5" xfId="16555"/>
    <cellStyle name="Note 22 5 10" xfId="31351"/>
    <cellStyle name="Note 22 5 2" xfId="16556"/>
    <cellStyle name="Note 22 5 2 2" xfId="16557"/>
    <cellStyle name="Note 22 5 2 3" xfId="31352"/>
    <cellStyle name="Note 22 5 2 4" xfId="31353"/>
    <cellStyle name="Note 22 5 3" xfId="16558"/>
    <cellStyle name="Note 22 5 3 2" xfId="16559"/>
    <cellStyle name="Note 22 5 3 3" xfId="31354"/>
    <cellStyle name="Note 22 5 3 4" xfId="31355"/>
    <cellStyle name="Note 22 5 4" xfId="16560"/>
    <cellStyle name="Note 22 5 4 2" xfId="16561"/>
    <cellStyle name="Note 22 5 4 3" xfId="31356"/>
    <cellStyle name="Note 22 5 4 4" xfId="31357"/>
    <cellStyle name="Note 22 5 5" xfId="16562"/>
    <cellStyle name="Note 22 5 5 2" xfId="16563"/>
    <cellStyle name="Note 22 5 5 3" xfId="31358"/>
    <cellStyle name="Note 22 5 5 4" xfId="31359"/>
    <cellStyle name="Note 22 5 6" xfId="16564"/>
    <cellStyle name="Note 22 5 6 2" xfId="16565"/>
    <cellStyle name="Note 22 5 6 3" xfId="31360"/>
    <cellStyle name="Note 22 5 6 4" xfId="31361"/>
    <cellStyle name="Note 22 5 7" xfId="16566"/>
    <cellStyle name="Note 22 5 7 2" xfId="16567"/>
    <cellStyle name="Note 22 5 7 3" xfId="31362"/>
    <cellStyle name="Note 22 5 7 4" xfId="31363"/>
    <cellStyle name="Note 22 5 8" xfId="16568"/>
    <cellStyle name="Note 22 5 9" xfId="31364"/>
    <cellStyle name="Note 22 6" xfId="16569"/>
    <cellStyle name="Note 22 6 2" xfId="16570"/>
    <cellStyle name="Note 22 6 3" xfId="31365"/>
    <cellStyle name="Note 22 6 4" xfId="31366"/>
    <cellStyle name="Note 22 7" xfId="16571"/>
    <cellStyle name="Note 22 7 2" xfId="16572"/>
    <cellStyle name="Note 22 7 3" xfId="31367"/>
    <cellStyle name="Note 22 7 4" xfId="31368"/>
    <cellStyle name="Note 22 8" xfId="16573"/>
    <cellStyle name="Note 22 8 2" xfId="16574"/>
    <cellStyle name="Note 22 8 3" xfId="31369"/>
    <cellStyle name="Note 22 8 4" xfId="31370"/>
    <cellStyle name="Note 22 9" xfId="16575"/>
    <cellStyle name="Note 22 9 2" xfId="16576"/>
    <cellStyle name="Note 22 9 3" xfId="31371"/>
    <cellStyle name="Note 22 9 4" xfId="31372"/>
    <cellStyle name="Note 23" xfId="16577"/>
    <cellStyle name="Note 23 10" xfId="31373"/>
    <cellStyle name="Note 23 2" xfId="16578"/>
    <cellStyle name="Note 23 2 2" xfId="16579"/>
    <cellStyle name="Note 23 2 3" xfId="31374"/>
    <cellStyle name="Note 23 2 4" xfId="31375"/>
    <cellStyle name="Note 23 3" xfId="16580"/>
    <cellStyle name="Note 23 3 2" xfId="16581"/>
    <cellStyle name="Note 23 3 3" xfId="31376"/>
    <cellStyle name="Note 23 3 4" xfId="31377"/>
    <cellStyle name="Note 23 4" xfId="16582"/>
    <cellStyle name="Note 23 4 2" xfId="16583"/>
    <cellStyle name="Note 23 4 3" xfId="31378"/>
    <cellStyle name="Note 23 4 4" xfId="31379"/>
    <cellStyle name="Note 23 5" xfId="16584"/>
    <cellStyle name="Note 23 5 2" xfId="16585"/>
    <cellStyle name="Note 23 5 3" xfId="31380"/>
    <cellStyle name="Note 23 5 4" xfId="31381"/>
    <cellStyle name="Note 23 6" xfId="16586"/>
    <cellStyle name="Note 23 6 2" xfId="16587"/>
    <cellStyle name="Note 23 6 3" xfId="31382"/>
    <cellStyle name="Note 23 6 4" xfId="31383"/>
    <cellStyle name="Note 23 7" xfId="16588"/>
    <cellStyle name="Note 23 7 2" xfId="16589"/>
    <cellStyle name="Note 23 7 3" xfId="31384"/>
    <cellStyle name="Note 23 7 4" xfId="31385"/>
    <cellStyle name="Note 23 8" xfId="16590"/>
    <cellStyle name="Note 23 9" xfId="31386"/>
    <cellStyle name="Note 24" xfId="16591"/>
    <cellStyle name="Note 24 10" xfId="31387"/>
    <cellStyle name="Note 24 2" xfId="16592"/>
    <cellStyle name="Note 24 2 2" xfId="16593"/>
    <cellStyle name="Note 24 2 3" xfId="31388"/>
    <cellStyle name="Note 24 2 4" xfId="31389"/>
    <cellStyle name="Note 24 3" xfId="16594"/>
    <cellStyle name="Note 24 3 2" xfId="16595"/>
    <cellStyle name="Note 24 3 3" xfId="31390"/>
    <cellStyle name="Note 24 3 4" xfId="31391"/>
    <cellStyle name="Note 24 4" xfId="16596"/>
    <cellStyle name="Note 24 4 2" xfId="16597"/>
    <cellStyle name="Note 24 4 3" xfId="31392"/>
    <cellStyle name="Note 24 4 4" xfId="31393"/>
    <cellStyle name="Note 24 5" xfId="16598"/>
    <cellStyle name="Note 24 5 2" xfId="16599"/>
    <cellStyle name="Note 24 5 3" xfId="31394"/>
    <cellStyle name="Note 24 5 4" xfId="31395"/>
    <cellStyle name="Note 24 6" xfId="16600"/>
    <cellStyle name="Note 24 6 2" xfId="16601"/>
    <cellStyle name="Note 24 6 3" xfId="31396"/>
    <cellStyle name="Note 24 6 4" xfId="31397"/>
    <cellStyle name="Note 24 7" xfId="16602"/>
    <cellStyle name="Note 24 7 2" xfId="16603"/>
    <cellStyle name="Note 24 7 3" xfId="31398"/>
    <cellStyle name="Note 24 7 4" xfId="31399"/>
    <cellStyle name="Note 24 8" xfId="16604"/>
    <cellStyle name="Note 24 9" xfId="31400"/>
    <cellStyle name="Note 25" xfId="16605"/>
    <cellStyle name="Note 25 10" xfId="31401"/>
    <cellStyle name="Note 25 2" xfId="16606"/>
    <cellStyle name="Note 25 2 2" xfId="16607"/>
    <cellStyle name="Note 25 2 3" xfId="31402"/>
    <cellStyle name="Note 25 2 4" xfId="31403"/>
    <cellStyle name="Note 25 3" xfId="16608"/>
    <cellStyle name="Note 25 3 2" xfId="16609"/>
    <cellStyle name="Note 25 3 3" xfId="31404"/>
    <cellStyle name="Note 25 3 4" xfId="31405"/>
    <cellStyle name="Note 25 4" xfId="16610"/>
    <cellStyle name="Note 25 4 2" xfId="16611"/>
    <cellStyle name="Note 25 4 3" xfId="31406"/>
    <cellStyle name="Note 25 4 4" xfId="31407"/>
    <cellStyle name="Note 25 5" xfId="16612"/>
    <cellStyle name="Note 25 5 2" xfId="16613"/>
    <cellStyle name="Note 25 5 3" xfId="31408"/>
    <cellStyle name="Note 25 5 4" xfId="31409"/>
    <cellStyle name="Note 25 6" xfId="16614"/>
    <cellStyle name="Note 25 6 2" xfId="16615"/>
    <cellStyle name="Note 25 6 3" xfId="31410"/>
    <cellStyle name="Note 25 6 4" xfId="31411"/>
    <cellStyle name="Note 25 7" xfId="16616"/>
    <cellStyle name="Note 25 7 2" xfId="16617"/>
    <cellStyle name="Note 25 7 3" xfId="31412"/>
    <cellStyle name="Note 25 7 4" xfId="31413"/>
    <cellStyle name="Note 25 8" xfId="16618"/>
    <cellStyle name="Note 25 9" xfId="31414"/>
    <cellStyle name="Note 26" xfId="16619"/>
    <cellStyle name="Note 26 10" xfId="31415"/>
    <cellStyle name="Note 26 2" xfId="16620"/>
    <cellStyle name="Note 26 2 2" xfId="16621"/>
    <cellStyle name="Note 26 2 3" xfId="31416"/>
    <cellStyle name="Note 26 2 4" xfId="31417"/>
    <cellStyle name="Note 26 3" xfId="16622"/>
    <cellStyle name="Note 26 3 2" xfId="16623"/>
    <cellStyle name="Note 26 3 3" xfId="31418"/>
    <cellStyle name="Note 26 3 4" xfId="31419"/>
    <cellStyle name="Note 26 4" xfId="16624"/>
    <cellStyle name="Note 26 4 2" xfId="16625"/>
    <cellStyle name="Note 26 4 3" xfId="31420"/>
    <cellStyle name="Note 26 4 4" xfId="31421"/>
    <cellStyle name="Note 26 5" xfId="16626"/>
    <cellStyle name="Note 26 5 2" xfId="16627"/>
    <cellStyle name="Note 26 5 3" xfId="31422"/>
    <cellStyle name="Note 26 5 4" xfId="31423"/>
    <cellStyle name="Note 26 6" xfId="16628"/>
    <cellStyle name="Note 26 6 2" xfId="16629"/>
    <cellStyle name="Note 26 6 3" xfId="31424"/>
    <cellStyle name="Note 26 6 4" xfId="31425"/>
    <cellStyle name="Note 26 7" xfId="16630"/>
    <cellStyle name="Note 26 7 2" xfId="16631"/>
    <cellStyle name="Note 26 7 3" xfId="31426"/>
    <cellStyle name="Note 26 7 4" xfId="31427"/>
    <cellStyle name="Note 26 8" xfId="16632"/>
    <cellStyle name="Note 26 9" xfId="31428"/>
    <cellStyle name="Note 3" xfId="16633"/>
    <cellStyle name="Note 3 10" xfId="16634"/>
    <cellStyle name="Note 3 10 2" xfId="16635"/>
    <cellStyle name="Note 3 10 3" xfId="31429"/>
    <cellStyle name="Note 3 10 4" xfId="31430"/>
    <cellStyle name="Note 3 11" xfId="16636"/>
    <cellStyle name="Note 3 11 2" xfId="16637"/>
    <cellStyle name="Note 3 11 3" xfId="31431"/>
    <cellStyle name="Note 3 11 4" xfId="31432"/>
    <cellStyle name="Note 3 12" xfId="16638"/>
    <cellStyle name="Note 3 13" xfId="31433"/>
    <cellStyle name="Note 3 14" xfId="31434"/>
    <cellStyle name="Note 3 15" xfId="31435"/>
    <cellStyle name="Note 3 2" xfId="16639"/>
    <cellStyle name="Note 3 2 10" xfId="31436"/>
    <cellStyle name="Note 3 2 2" xfId="16640"/>
    <cellStyle name="Note 3 2 2 2" xfId="16641"/>
    <cellStyle name="Note 3 2 2 3" xfId="31437"/>
    <cellStyle name="Note 3 2 2 4" xfId="31438"/>
    <cellStyle name="Note 3 2 3" xfId="16642"/>
    <cellStyle name="Note 3 2 3 2" xfId="16643"/>
    <cellStyle name="Note 3 2 3 3" xfId="31439"/>
    <cellStyle name="Note 3 2 3 4" xfId="31440"/>
    <cellStyle name="Note 3 2 4" xfId="16644"/>
    <cellStyle name="Note 3 2 4 2" xfId="16645"/>
    <cellStyle name="Note 3 2 4 3" xfId="31441"/>
    <cellStyle name="Note 3 2 4 4" xfId="31442"/>
    <cellStyle name="Note 3 2 5" xfId="16646"/>
    <cellStyle name="Note 3 2 5 2" xfId="16647"/>
    <cellStyle name="Note 3 2 5 3" xfId="31443"/>
    <cellStyle name="Note 3 2 5 4" xfId="31444"/>
    <cellStyle name="Note 3 2 6" xfId="16648"/>
    <cellStyle name="Note 3 2 6 2" xfId="16649"/>
    <cellStyle name="Note 3 2 6 3" xfId="31445"/>
    <cellStyle name="Note 3 2 6 4" xfId="31446"/>
    <cellStyle name="Note 3 2 7" xfId="16650"/>
    <cellStyle name="Note 3 2 7 2" xfId="16651"/>
    <cellStyle name="Note 3 2 7 3" xfId="31447"/>
    <cellStyle name="Note 3 2 7 4" xfId="31448"/>
    <cellStyle name="Note 3 2 8" xfId="16652"/>
    <cellStyle name="Note 3 2 9" xfId="31449"/>
    <cellStyle name="Note 3 3" xfId="16653"/>
    <cellStyle name="Note 3 3 10" xfId="31450"/>
    <cellStyle name="Note 3 3 2" xfId="16654"/>
    <cellStyle name="Note 3 3 2 2" xfId="16655"/>
    <cellStyle name="Note 3 3 2 3" xfId="31451"/>
    <cellStyle name="Note 3 3 2 4" xfId="31452"/>
    <cellStyle name="Note 3 3 3" xfId="16656"/>
    <cellStyle name="Note 3 3 3 2" xfId="16657"/>
    <cellStyle name="Note 3 3 3 3" xfId="31453"/>
    <cellStyle name="Note 3 3 3 4" xfId="31454"/>
    <cellStyle name="Note 3 3 4" xfId="16658"/>
    <cellStyle name="Note 3 3 4 2" xfId="16659"/>
    <cellStyle name="Note 3 3 4 3" xfId="31455"/>
    <cellStyle name="Note 3 3 4 4" xfId="31456"/>
    <cellStyle name="Note 3 3 5" xfId="16660"/>
    <cellStyle name="Note 3 3 5 2" xfId="16661"/>
    <cellStyle name="Note 3 3 5 3" xfId="31457"/>
    <cellStyle name="Note 3 3 5 4" xfId="31458"/>
    <cellStyle name="Note 3 3 6" xfId="16662"/>
    <cellStyle name="Note 3 3 6 2" xfId="16663"/>
    <cellStyle name="Note 3 3 6 3" xfId="31459"/>
    <cellStyle name="Note 3 3 6 4" xfId="31460"/>
    <cellStyle name="Note 3 3 7" xfId="16664"/>
    <cellStyle name="Note 3 3 7 2" xfId="16665"/>
    <cellStyle name="Note 3 3 7 3" xfId="31461"/>
    <cellStyle name="Note 3 3 7 4" xfId="31462"/>
    <cellStyle name="Note 3 3 8" xfId="16666"/>
    <cellStyle name="Note 3 3 9" xfId="31463"/>
    <cellStyle name="Note 3 4" xfId="16667"/>
    <cellStyle name="Note 3 4 10" xfId="31464"/>
    <cellStyle name="Note 3 4 2" xfId="16668"/>
    <cellStyle name="Note 3 4 2 2" xfId="16669"/>
    <cellStyle name="Note 3 4 2 3" xfId="31465"/>
    <cellStyle name="Note 3 4 2 4" xfId="31466"/>
    <cellStyle name="Note 3 4 3" xfId="16670"/>
    <cellStyle name="Note 3 4 3 2" xfId="16671"/>
    <cellStyle name="Note 3 4 3 3" xfId="31467"/>
    <cellStyle name="Note 3 4 3 4" xfId="31468"/>
    <cellStyle name="Note 3 4 4" xfId="16672"/>
    <cellStyle name="Note 3 4 4 2" xfId="16673"/>
    <cellStyle name="Note 3 4 4 3" xfId="31469"/>
    <cellStyle name="Note 3 4 4 4" xfId="31470"/>
    <cellStyle name="Note 3 4 5" xfId="16674"/>
    <cellStyle name="Note 3 4 5 2" xfId="16675"/>
    <cellStyle name="Note 3 4 5 3" xfId="31471"/>
    <cellStyle name="Note 3 4 5 4" xfId="31472"/>
    <cellStyle name="Note 3 4 6" xfId="16676"/>
    <cellStyle name="Note 3 4 6 2" xfId="16677"/>
    <cellStyle name="Note 3 4 6 3" xfId="31473"/>
    <cellStyle name="Note 3 4 6 4" xfId="31474"/>
    <cellStyle name="Note 3 4 7" xfId="16678"/>
    <cellStyle name="Note 3 4 7 2" xfId="16679"/>
    <cellStyle name="Note 3 4 7 3" xfId="31475"/>
    <cellStyle name="Note 3 4 7 4" xfId="31476"/>
    <cellStyle name="Note 3 4 8" xfId="16680"/>
    <cellStyle name="Note 3 4 9" xfId="31477"/>
    <cellStyle name="Note 3 5" xfId="16681"/>
    <cellStyle name="Note 3 5 10" xfId="31478"/>
    <cellStyle name="Note 3 5 2" xfId="16682"/>
    <cellStyle name="Note 3 5 2 2" xfId="16683"/>
    <cellStyle name="Note 3 5 2 3" xfId="31479"/>
    <cellStyle name="Note 3 5 2 4" xfId="31480"/>
    <cellStyle name="Note 3 5 3" xfId="16684"/>
    <cellStyle name="Note 3 5 3 2" xfId="16685"/>
    <cellStyle name="Note 3 5 3 3" xfId="31481"/>
    <cellStyle name="Note 3 5 3 4" xfId="31482"/>
    <cellStyle name="Note 3 5 4" xfId="16686"/>
    <cellStyle name="Note 3 5 4 2" xfId="16687"/>
    <cellStyle name="Note 3 5 4 3" xfId="31483"/>
    <cellStyle name="Note 3 5 4 4" xfId="31484"/>
    <cellStyle name="Note 3 5 5" xfId="16688"/>
    <cellStyle name="Note 3 5 5 2" xfId="16689"/>
    <cellStyle name="Note 3 5 5 3" xfId="31485"/>
    <cellStyle name="Note 3 5 5 4" xfId="31486"/>
    <cellStyle name="Note 3 5 6" xfId="16690"/>
    <cellStyle name="Note 3 5 6 2" xfId="16691"/>
    <cellStyle name="Note 3 5 6 3" xfId="31487"/>
    <cellStyle name="Note 3 5 6 4" xfId="31488"/>
    <cellStyle name="Note 3 5 7" xfId="16692"/>
    <cellStyle name="Note 3 5 7 2" xfId="16693"/>
    <cellStyle name="Note 3 5 7 3" xfId="31489"/>
    <cellStyle name="Note 3 5 7 4" xfId="31490"/>
    <cellStyle name="Note 3 5 8" xfId="16694"/>
    <cellStyle name="Note 3 5 9" xfId="31491"/>
    <cellStyle name="Note 3 6" xfId="16695"/>
    <cellStyle name="Note 3 6 2" xfId="16696"/>
    <cellStyle name="Note 3 6 3" xfId="31492"/>
    <cellStyle name="Note 3 6 4" xfId="31493"/>
    <cellStyle name="Note 3 7" xfId="16697"/>
    <cellStyle name="Note 3 7 2" xfId="16698"/>
    <cellStyle name="Note 3 7 3" xfId="31494"/>
    <cellStyle name="Note 3 7 4" xfId="31495"/>
    <cellStyle name="Note 3 8" xfId="16699"/>
    <cellStyle name="Note 3 8 2" xfId="16700"/>
    <cellStyle name="Note 3 8 3" xfId="31496"/>
    <cellStyle name="Note 3 8 4" xfId="31497"/>
    <cellStyle name="Note 3 9" xfId="16701"/>
    <cellStyle name="Note 3 9 2" xfId="16702"/>
    <cellStyle name="Note 3 9 3" xfId="31498"/>
    <cellStyle name="Note 3 9 4" xfId="31499"/>
    <cellStyle name="Note 4" xfId="16703"/>
    <cellStyle name="Note 4 10" xfId="16704"/>
    <cellStyle name="Note 4 10 2" xfId="16705"/>
    <cellStyle name="Note 4 10 3" xfId="31500"/>
    <cellStyle name="Note 4 10 4" xfId="31501"/>
    <cellStyle name="Note 4 11" xfId="16706"/>
    <cellStyle name="Note 4 11 2" xfId="16707"/>
    <cellStyle name="Note 4 11 3" xfId="31502"/>
    <cellStyle name="Note 4 11 4" xfId="31503"/>
    <cellStyle name="Note 4 12" xfId="16708"/>
    <cellStyle name="Note 4 13" xfId="31504"/>
    <cellStyle name="Note 4 14" xfId="31505"/>
    <cellStyle name="Note 4 2" xfId="16709"/>
    <cellStyle name="Note 4 2 10" xfId="31506"/>
    <cellStyle name="Note 4 2 2" xfId="16710"/>
    <cellStyle name="Note 4 2 2 2" xfId="16711"/>
    <cellStyle name="Note 4 2 2 3" xfId="31507"/>
    <cellStyle name="Note 4 2 2 4" xfId="31508"/>
    <cellStyle name="Note 4 2 3" xfId="16712"/>
    <cellStyle name="Note 4 2 3 2" xfId="16713"/>
    <cellStyle name="Note 4 2 3 3" xfId="31509"/>
    <cellStyle name="Note 4 2 3 4" xfId="31510"/>
    <cellStyle name="Note 4 2 4" xfId="16714"/>
    <cellStyle name="Note 4 2 4 2" xfId="16715"/>
    <cellStyle name="Note 4 2 4 3" xfId="31511"/>
    <cellStyle name="Note 4 2 4 4" xfId="31512"/>
    <cellStyle name="Note 4 2 5" xfId="16716"/>
    <cellStyle name="Note 4 2 5 2" xfId="16717"/>
    <cellStyle name="Note 4 2 5 3" xfId="31513"/>
    <cellStyle name="Note 4 2 5 4" xfId="31514"/>
    <cellStyle name="Note 4 2 6" xfId="16718"/>
    <cellStyle name="Note 4 2 6 2" xfId="16719"/>
    <cellStyle name="Note 4 2 6 3" xfId="31515"/>
    <cellStyle name="Note 4 2 6 4" xfId="31516"/>
    <cellStyle name="Note 4 2 7" xfId="16720"/>
    <cellStyle name="Note 4 2 7 2" xfId="16721"/>
    <cellStyle name="Note 4 2 7 3" xfId="31517"/>
    <cellStyle name="Note 4 2 7 4" xfId="31518"/>
    <cellStyle name="Note 4 2 8" xfId="16722"/>
    <cellStyle name="Note 4 2 9" xfId="31519"/>
    <cellStyle name="Note 4 3" xfId="16723"/>
    <cellStyle name="Note 4 3 10" xfId="31520"/>
    <cellStyle name="Note 4 3 2" xfId="16724"/>
    <cellStyle name="Note 4 3 2 2" xfId="16725"/>
    <cellStyle name="Note 4 3 2 3" xfId="31521"/>
    <cellStyle name="Note 4 3 2 4" xfId="31522"/>
    <cellStyle name="Note 4 3 3" xfId="16726"/>
    <cellStyle name="Note 4 3 3 2" xfId="16727"/>
    <cellStyle name="Note 4 3 3 3" xfId="31523"/>
    <cellStyle name="Note 4 3 3 4" xfId="31524"/>
    <cellStyle name="Note 4 3 4" xfId="16728"/>
    <cellStyle name="Note 4 3 4 2" xfId="16729"/>
    <cellStyle name="Note 4 3 4 3" xfId="31525"/>
    <cellStyle name="Note 4 3 4 4" xfId="31526"/>
    <cellStyle name="Note 4 3 5" xfId="16730"/>
    <cellStyle name="Note 4 3 5 2" xfId="16731"/>
    <cellStyle name="Note 4 3 5 3" xfId="31527"/>
    <cellStyle name="Note 4 3 5 4" xfId="31528"/>
    <cellStyle name="Note 4 3 6" xfId="16732"/>
    <cellStyle name="Note 4 3 6 2" xfId="16733"/>
    <cellStyle name="Note 4 3 6 3" xfId="31529"/>
    <cellStyle name="Note 4 3 6 4" xfId="31530"/>
    <cellStyle name="Note 4 3 7" xfId="16734"/>
    <cellStyle name="Note 4 3 7 2" xfId="16735"/>
    <cellStyle name="Note 4 3 7 3" xfId="31531"/>
    <cellStyle name="Note 4 3 7 4" xfId="31532"/>
    <cellStyle name="Note 4 3 8" xfId="16736"/>
    <cellStyle name="Note 4 3 9" xfId="31533"/>
    <cellStyle name="Note 4 4" xfId="16737"/>
    <cellStyle name="Note 4 4 10" xfId="31534"/>
    <cellStyle name="Note 4 4 2" xfId="16738"/>
    <cellStyle name="Note 4 4 2 2" xfId="16739"/>
    <cellStyle name="Note 4 4 2 3" xfId="31535"/>
    <cellStyle name="Note 4 4 2 4" xfId="31536"/>
    <cellStyle name="Note 4 4 3" xfId="16740"/>
    <cellStyle name="Note 4 4 3 2" xfId="16741"/>
    <cellStyle name="Note 4 4 3 3" xfId="31537"/>
    <cellStyle name="Note 4 4 3 4" xfId="31538"/>
    <cellStyle name="Note 4 4 4" xfId="16742"/>
    <cellStyle name="Note 4 4 4 2" xfId="16743"/>
    <cellStyle name="Note 4 4 4 3" xfId="31539"/>
    <cellStyle name="Note 4 4 4 4" xfId="31540"/>
    <cellStyle name="Note 4 4 5" xfId="16744"/>
    <cellStyle name="Note 4 4 5 2" xfId="16745"/>
    <cellStyle name="Note 4 4 5 3" xfId="31541"/>
    <cellStyle name="Note 4 4 5 4" xfId="31542"/>
    <cellStyle name="Note 4 4 6" xfId="16746"/>
    <cellStyle name="Note 4 4 6 2" xfId="16747"/>
    <cellStyle name="Note 4 4 6 3" xfId="31543"/>
    <cellStyle name="Note 4 4 6 4" xfId="31544"/>
    <cellStyle name="Note 4 4 7" xfId="16748"/>
    <cellStyle name="Note 4 4 7 2" xfId="16749"/>
    <cellStyle name="Note 4 4 7 3" xfId="31545"/>
    <cellStyle name="Note 4 4 7 4" xfId="31546"/>
    <cellStyle name="Note 4 4 8" xfId="16750"/>
    <cellStyle name="Note 4 4 9" xfId="31547"/>
    <cellStyle name="Note 4 5" xfId="16751"/>
    <cellStyle name="Note 4 5 10" xfId="31548"/>
    <cellStyle name="Note 4 5 2" xfId="16752"/>
    <cellStyle name="Note 4 5 2 2" xfId="16753"/>
    <cellStyle name="Note 4 5 2 3" xfId="31549"/>
    <cellStyle name="Note 4 5 2 4" xfId="31550"/>
    <cellStyle name="Note 4 5 3" xfId="16754"/>
    <cellStyle name="Note 4 5 3 2" xfId="16755"/>
    <cellStyle name="Note 4 5 3 3" xfId="31551"/>
    <cellStyle name="Note 4 5 3 4" xfId="31552"/>
    <cellStyle name="Note 4 5 4" xfId="16756"/>
    <cellStyle name="Note 4 5 4 2" xfId="16757"/>
    <cellStyle name="Note 4 5 4 3" xfId="31553"/>
    <cellStyle name="Note 4 5 4 4" xfId="31554"/>
    <cellStyle name="Note 4 5 5" xfId="16758"/>
    <cellStyle name="Note 4 5 5 2" xfId="16759"/>
    <cellStyle name="Note 4 5 5 3" xfId="31555"/>
    <cellStyle name="Note 4 5 5 4" xfId="31556"/>
    <cellStyle name="Note 4 5 6" xfId="16760"/>
    <cellStyle name="Note 4 5 6 2" xfId="16761"/>
    <cellStyle name="Note 4 5 6 3" xfId="31557"/>
    <cellStyle name="Note 4 5 6 4" xfId="31558"/>
    <cellStyle name="Note 4 5 7" xfId="16762"/>
    <cellStyle name="Note 4 5 7 2" xfId="16763"/>
    <cellStyle name="Note 4 5 7 3" xfId="31559"/>
    <cellStyle name="Note 4 5 7 4" xfId="31560"/>
    <cellStyle name="Note 4 5 8" xfId="16764"/>
    <cellStyle name="Note 4 5 9" xfId="31561"/>
    <cellStyle name="Note 4 6" xfId="16765"/>
    <cellStyle name="Note 4 6 2" xfId="16766"/>
    <cellStyle name="Note 4 6 3" xfId="31562"/>
    <cellStyle name="Note 4 6 4" xfId="31563"/>
    <cellStyle name="Note 4 7" xfId="16767"/>
    <cellStyle name="Note 4 7 2" xfId="16768"/>
    <cellStyle name="Note 4 7 3" xfId="31564"/>
    <cellStyle name="Note 4 7 4" xfId="31565"/>
    <cellStyle name="Note 4 8" xfId="16769"/>
    <cellStyle name="Note 4 8 2" xfId="16770"/>
    <cellStyle name="Note 4 8 3" xfId="31566"/>
    <cellStyle name="Note 4 8 4" xfId="31567"/>
    <cellStyle name="Note 4 9" xfId="16771"/>
    <cellStyle name="Note 4 9 2" xfId="16772"/>
    <cellStyle name="Note 4 9 3" xfId="31568"/>
    <cellStyle name="Note 4 9 4" xfId="31569"/>
    <cellStyle name="Note 5" xfId="16773"/>
    <cellStyle name="Note 5 10" xfId="16774"/>
    <cellStyle name="Note 5 10 2" xfId="16775"/>
    <cellStyle name="Note 5 10 3" xfId="31570"/>
    <cellStyle name="Note 5 10 4" xfId="31571"/>
    <cellStyle name="Note 5 11" xfId="16776"/>
    <cellStyle name="Note 5 11 2" xfId="16777"/>
    <cellStyle name="Note 5 11 3" xfId="31572"/>
    <cellStyle name="Note 5 11 4" xfId="31573"/>
    <cellStyle name="Note 5 12" xfId="16778"/>
    <cellStyle name="Note 5 13" xfId="31574"/>
    <cellStyle name="Note 5 14" xfId="31575"/>
    <cellStyle name="Note 5 2" xfId="16779"/>
    <cellStyle name="Note 5 2 10" xfId="31576"/>
    <cellStyle name="Note 5 2 2" xfId="16780"/>
    <cellStyle name="Note 5 2 2 2" xfId="16781"/>
    <cellStyle name="Note 5 2 2 3" xfId="31577"/>
    <cellStyle name="Note 5 2 2 4" xfId="31578"/>
    <cellStyle name="Note 5 2 3" xfId="16782"/>
    <cellStyle name="Note 5 2 3 2" xfId="16783"/>
    <cellStyle name="Note 5 2 3 3" xfId="31579"/>
    <cellStyle name="Note 5 2 3 4" xfId="31580"/>
    <cellStyle name="Note 5 2 4" xfId="16784"/>
    <cellStyle name="Note 5 2 4 2" xfId="16785"/>
    <cellStyle name="Note 5 2 4 3" xfId="31581"/>
    <cellStyle name="Note 5 2 4 4" xfId="31582"/>
    <cellStyle name="Note 5 2 5" xfId="16786"/>
    <cellStyle name="Note 5 2 5 2" xfId="16787"/>
    <cellStyle name="Note 5 2 5 3" xfId="31583"/>
    <cellStyle name="Note 5 2 5 4" xfId="31584"/>
    <cellStyle name="Note 5 2 6" xfId="16788"/>
    <cellStyle name="Note 5 2 6 2" xfId="16789"/>
    <cellStyle name="Note 5 2 6 3" xfId="31585"/>
    <cellStyle name="Note 5 2 6 4" xfId="31586"/>
    <cellStyle name="Note 5 2 7" xfId="16790"/>
    <cellStyle name="Note 5 2 7 2" xfId="16791"/>
    <cellStyle name="Note 5 2 7 3" xfId="31587"/>
    <cellStyle name="Note 5 2 7 4" xfId="31588"/>
    <cellStyle name="Note 5 2 8" xfId="16792"/>
    <cellStyle name="Note 5 2 9" xfId="31589"/>
    <cellStyle name="Note 5 3" xfId="16793"/>
    <cellStyle name="Note 5 3 10" xfId="31590"/>
    <cellStyle name="Note 5 3 2" xfId="16794"/>
    <cellStyle name="Note 5 3 2 2" xfId="16795"/>
    <cellStyle name="Note 5 3 2 3" xfId="31591"/>
    <cellStyle name="Note 5 3 2 4" xfId="31592"/>
    <cellStyle name="Note 5 3 3" xfId="16796"/>
    <cellStyle name="Note 5 3 3 2" xfId="16797"/>
    <cellStyle name="Note 5 3 3 3" xfId="31593"/>
    <cellStyle name="Note 5 3 3 4" xfId="31594"/>
    <cellStyle name="Note 5 3 4" xfId="16798"/>
    <cellStyle name="Note 5 3 4 2" xfId="16799"/>
    <cellStyle name="Note 5 3 4 3" xfId="31595"/>
    <cellStyle name="Note 5 3 4 4" xfId="31596"/>
    <cellStyle name="Note 5 3 5" xfId="16800"/>
    <cellStyle name="Note 5 3 5 2" xfId="16801"/>
    <cellStyle name="Note 5 3 5 3" xfId="31597"/>
    <cellStyle name="Note 5 3 5 4" xfId="31598"/>
    <cellStyle name="Note 5 3 6" xfId="16802"/>
    <cellStyle name="Note 5 3 6 2" xfId="16803"/>
    <cellStyle name="Note 5 3 6 3" xfId="31599"/>
    <cellStyle name="Note 5 3 6 4" xfId="31600"/>
    <cellStyle name="Note 5 3 7" xfId="16804"/>
    <cellStyle name="Note 5 3 7 2" xfId="16805"/>
    <cellStyle name="Note 5 3 7 3" xfId="31601"/>
    <cellStyle name="Note 5 3 7 4" xfId="31602"/>
    <cellStyle name="Note 5 3 8" xfId="16806"/>
    <cellStyle name="Note 5 3 9" xfId="31603"/>
    <cellStyle name="Note 5 4" xfId="16807"/>
    <cellStyle name="Note 5 4 10" xfId="31604"/>
    <cellStyle name="Note 5 4 2" xfId="16808"/>
    <cellStyle name="Note 5 4 2 2" xfId="16809"/>
    <cellStyle name="Note 5 4 2 3" xfId="31605"/>
    <cellStyle name="Note 5 4 2 4" xfId="31606"/>
    <cellStyle name="Note 5 4 3" xfId="16810"/>
    <cellStyle name="Note 5 4 3 2" xfId="16811"/>
    <cellStyle name="Note 5 4 3 3" xfId="31607"/>
    <cellStyle name="Note 5 4 3 4" xfId="31608"/>
    <cellStyle name="Note 5 4 4" xfId="16812"/>
    <cellStyle name="Note 5 4 4 2" xfId="16813"/>
    <cellStyle name="Note 5 4 4 3" xfId="31609"/>
    <cellStyle name="Note 5 4 4 4" xfId="31610"/>
    <cellStyle name="Note 5 4 5" xfId="16814"/>
    <cellStyle name="Note 5 4 5 2" xfId="16815"/>
    <cellStyle name="Note 5 4 5 3" xfId="31611"/>
    <cellStyle name="Note 5 4 5 4" xfId="31612"/>
    <cellStyle name="Note 5 4 6" xfId="16816"/>
    <cellStyle name="Note 5 4 6 2" xfId="16817"/>
    <cellStyle name="Note 5 4 6 3" xfId="31613"/>
    <cellStyle name="Note 5 4 6 4" xfId="31614"/>
    <cellStyle name="Note 5 4 7" xfId="16818"/>
    <cellStyle name="Note 5 4 7 2" xfId="16819"/>
    <cellStyle name="Note 5 4 7 3" xfId="31615"/>
    <cellStyle name="Note 5 4 7 4" xfId="31616"/>
    <cellStyle name="Note 5 4 8" xfId="16820"/>
    <cellStyle name="Note 5 4 9" xfId="31617"/>
    <cellStyle name="Note 5 5" xfId="16821"/>
    <cellStyle name="Note 5 5 10" xfId="31618"/>
    <cellStyle name="Note 5 5 2" xfId="16822"/>
    <cellStyle name="Note 5 5 2 2" xfId="16823"/>
    <cellStyle name="Note 5 5 2 3" xfId="31619"/>
    <cellStyle name="Note 5 5 2 4" xfId="31620"/>
    <cellStyle name="Note 5 5 3" xfId="16824"/>
    <cellStyle name="Note 5 5 3 2" xfId="16825"/>
    <cellStyle name="Note 5 5 3 3" xfId="31621"/>
    <cellStyle name="Note 5 5 3 4" xfId="31622"/>
    <cellStyle name="Note 5 5 4" xfId="16826"/>
    <cellStyle name="Note 5 5 4 2" xfId="16827"/>
    <cellStyle name="Note 5 5 4 3" xfId="31623"/>
    <cellStyle name="Note 5 5 4 4" xfId="31624"/>
    <cellStyle name="Note 5 5 5" xfId="16828"/>
    <cellStyle name="Note 5 5 5 2" xfId="16829"/>
    <cellStyle name="Note 5 5 5 3" xfId="31625"/>
    <cellStyle name="Note 5 5 5 4" xfId="31626"/>
    <cellStyle name="Note 5 5 6" xfId="16830"/>
    <cellStyle name="Note 5 5 6 2" xfId="16831"/>
    <cellStyle name="Note 5 5 6 3" xfId="31627"/>
    <cellStyle name="Note 5 5 6 4" xfId="31628"/>
    <cellStyle name="Note 5 5 7" xfId="16832"/>
    <cellStyle name="Note 5 5 7 2" xfId="16833"/>
    <cellStyle name="Note 5 5 7 3" xfId="31629"/>
    <cellStyle name="Note 5 5 7 4" xfId="31630"/>
    <cellStyle name="Note 5 5 8" xfId="16834"/>
    <cellStyle name="Note 5 5 9" xfId="31631"/>
    <cellStyle name="Note 5 6" xfId="16835"/>
    <cellStyle name="Note 5 6 2" xfId="16836"/>
    <cellStyle name="Note 5 6 3" xfId="31632"/>
    <cellStyle name="Note 5 6 4" xfId="31633"/>
    <cellStyle name="Note 5 7" xfId="16837"/>
    <cellStyle name="Note 5 7 2" xfId="16838"/>
    <cellStyle name="Note 5 7 3" xfId="31634"/>
    <cellStyle name="Note 5 7 4" xfId="31635"/>
    <cellStyle name="Note 5 8" xfId="16839"/>
    <cellStyle name="Note 5 8 2" xfId="16840"/>
    <cellStyle name="Note 5 8 3" xfId="31636"/>
    <cellStyle name="Note 5 8 4" xfId="31637"/>
    <cellStyle name="Note 5 9" xfId="16841"/>
    <cellStyle name="Note 5 9 2" xfId="16842"/>
    <cellStyle name="Note 5 9 3" xfId="31638"/>
    <cellStyle name="Note 5 9 4" xfId="31639"/>
    <cellStyle name="Note 6" xfId="16843"/>
    <cellStyle name="Note 6 10" xfId="16844"/>
    <cellStyle name="Note 6 10 2" xfId="16845"/>
    <cellStyle name="Note 6 10 3" xfId="31640"/>
    <cellStyle name="Note 6 10 4" xfId="31641"/>
    <cellStyle name="Note 6 11" xfId="16846"/>
    <cellStyle name="Note 6 11 2" xfId="16847"/>
    <cellStyle name="Note 6 11 3" xfId="31642"/>
    <cellStyle name="Note 6 11 4" xfId="31643"/>
    <cellStyle name="Note 6 12" xfId="16848"/>
    <cellStyle name="Note 6 13" xfId="31644"/>
    <cellStyle name="Note 6 14" xfId="31645"/>
    <cellStyle name="Note 6 2" xfId="16849"/>
    <cellStyle name="Note 6 2 10" xfId="31646"/>
    <cellStyle name="Note 6 2 2" xfId="16850"/>
    <cellStyle name="Note 6 2 2 2" xfId="16851"/>
    <cellStyle name="Note 6 2 2 3" xfId="31647"/>
    <cellStyle name="Note 6 2 2 4" xfId="31648"/>
    <cellStyle name="Note 6 2 3" xfId="16852"/>
    <cellStyle name="Note 6 2 3 2" xfId="16853"/>
    <cellStyle name="Note 6 2 3 3" xfId="31649"/>
    <cellStyle name="Note 6 2 3 4" xfId="31650"/>
    <cellStyle name="Note 6 2 4" xfId="16854"/>
    <cellStyle name="Note 6 2 4 2" xfId="16855"/>
    <cellStyle name="Note 6 2 4 3" xfId="31651"/>
    <cellStyle name="Note 6 2 4 4" xfId="31652"/>
    <cellStyle name="Note 6 2 5" xfId="16856"/>
    <cellStyle name="Note 6 2 5 2" xfId="16857"/>
    <cellStyle name="Note 6 2 5 3" xfId="31653"/>
    <cellStyle name="Note 6 2 5 4" xfId="31654"/>
    <cellStyle name="Note 6 2 6" xfId="16858"/>
    <cellStyle name="Note 6 2 6 2" xfId="16859"/>
    <cellStyle name="Note 6 2 6 3" xfId="31655"/>
    <cellStyle name="Note 6 2 6 4" xfId="31656"/>
    <cellStyle name="Note 6 2 7" xfId="16860"/>
    <cellStyle name="Note 6 2 7 2" xfId="16861"/>
    <cellStyle name="Note 6 2 7 3" xfId="31657"/>
    <cellStyle name="Note 6 2 7 4" xfId="31658"/>
    <cellStyle name="Note 6 2 8" xfId="16862"/>
    <cellStyle name="Note 6 2 9" xfId="31659"/>
    <cellStyle name="Note 6 3" xfId="16863"/>
    <cellStyle name="Note 6 3 10" xfId="31660"/>
    <cellStyle name="Note 6 3 2" xfId="16864"/>
    <cellStyle name="Note 6 3 2 2" xfId="16865"/>
    <cellStyle name="Note 6 3 2 3" xfId="31661"/>
    <cellStyle name="Note 6 3 2 4" xfId="31662"/>
    <cellStyle name="Note 6 3 3" xfId="16866"/>
    <cellStyle name="Note 6 3 3 2" xfId="16867"/>
    <cellStyle name="Note 6 3 3 3" xfId="31663"/>
    <cellStyle name="Note 6 3 3 4" xfId="31664"/>
    <cellStyle name="Note 6 3 4" xfId="16868"/>
    <cellStyle name="Note 6 3 4 2" xfId="16869"/>
    <cellStyle name="Note 6 3 4 3" xfId="31665"/>
    <cellStyle name="Note 6 3 4 4" xfId="31666"/>
    <cellStyle name="Note 6 3 5" xfId="16870"/>
    <cellStyle name="Note 6 3 5 2" xfId="16871"/>
    <cellStyle name="Note 6 3 5 3" xfId="31667"/>
    <cellStyle name="Note 6 3 5 4" xfId="31668"/>
    <cellStyle name="Note 6 3 6" xfId="16872"/>
    <cellStyle name="Note 6 3 6 2" xfId="16873"/>
    <cellStyle name="Note 6 3 6 3" xfId="31669"/>
    <cellStyle name="Note 6 3 6 4" xfId="31670"/>
    <cellStyle name="Note 6 3 7" xfId="16874"/>
    <cellStyle name="Note 6 3 7 2" xfId="16875"/>
    <cellStyle name="Note 6 3 7 3" xfId="31671"/>
    <cellStyle name="Note 6 3 7 4" xfId="31672"/>
    <cellStyle name="Note 6 3 8" xfId="16876"/>
    <cellStyle name="Note 6 3 9" xfId="31673"/>
    <cellStyle name="Note 6 4" xfId="16877"/>
    <cellStyle name="Note 6 4 10" xfId="31674"/>
    <cellStyle name="Note 6 4 2" xfId="16878"/>
    <cellStyle name="Note 6 4 2 2" xfId="16879"/>
    <cellStyle name="Note 6 4 2 3" xfId="31675"/>
    <cellStyle name="Note 6 4 2 4" xfId="31676"/>
    <cellStyle name="Note 6 4 3" xfId="16880"/>
    <cellStyle name="Note 6 4 3 2" xfId="16881"/>
    <cellStyle name="Note 6 4 3 3" xfId="31677"/>
    <cellStyle name="Note 6 4 3 4" xfId="31678"/>
    <cellStyle name="Note 6 4 4" xfId="16882"/>
    <cellStyle name="Note 6 4 4 2" xfId="16883"/>
    <cellStyle name="Note 6 4 4 3" xfId="31679"/>
    <cellStyle name="Note 6 4 4 4" xfId="31680"/>
    <cellStyle name="Note 6 4 5" xfId="16884"/>
    <cellStyle name="Note 6 4 5 2" xfId="16885"/>
    <cellStyle name="Note 6 4 5 3" xfId="31681"/>
    <cellStyle name="Note 6 4 5 4" xfId="31682"/>
    <cellStyle name="Note 6 4 6" xfId="16886"/>
    <cellStyle name="Note 6 4 6 2" xfId="16887"/>
    <cellStyle name="Note 6 4 6 3" xfId="31683"/>
    <cellStyle name="Note 6 4 6 4" xfId="31684"/>
    <cellStyle name="Note 6 4 7" xfId="16888"/>
    <cellStyle name="Note 6 4 7 2" xfId="16889"/>
    <cellStyle name="Note 6 4 7 3" xfId="31685"/>
    <cellStyle name="Note 6 4 7 4" xfId="31686"/>
    <cellStyle name="Note 6 4 8" xfId="16890"/>
    <cellStyle name="Note 6 4 9" xfId="31687"/>
    <cellStyle name="Note 6 5" xfId="16891"/>
    <cellStyle name="Note 6 5 10" xfId="31688"/>
    <cellStyle name="Note 6 5 2" xfId="16892"/>
    <cellStyle name="Note 6 5 2 2" xfId="16893"/>
    <cellStyle name="Note 6 5 2 3" xfId="31689"/>
    <cellStyle name="Note 6 5 2 4" xfId="31690"/>
    <cellStyle name="Note 6 5 3" xfId="16894"/>
    <cellStyle name="Note 6 5 3 2" xfId="16895"/>
    <cellStyle name="Note 6 5 3 3" xfId="31691"/>
    <cellStyle name="Note 6 5 3 4" xfId="31692"/>
    <cellStyle name="Note 6 5 4" xfId="16896"/>
    <cellStyle name="Note 6 5 4 2" xfId="16897"/>
    <cellStyle name="Note 6 5 4 3" xfId="31693"/>
    <cellStyle name="Note 6 5 4 4" xfId="31694"/>
    <cellStyle name="Note 6 5 5" xfId="16898"/>
    <cellStyle name="Note 6 5 5 2" xfId="16899"/>
    <cellStyle name="Note 6 5 5 3" xfId="31695"/>
    <cellStyle name="Note 6 5 5 4" xfId="31696"/>
    <cellStyle name="Note 6 5 6" xfId="16900"/>
    <cellStyle name="Note 6 5 6 2" xfId="16901"/>
    <cellStyle name="Note 6 5 6 3" xfId="31697"/>
    <cellStyle name="Note 6 5 6 4" xfId="31698"/>
    <cellStyle name="Note 6 5 7" xfId="16902"/>
    <cellStyle name="Note 6 5 7 2" xfId="16903"/>
    <cellStyle name="Note 6 5 7 3" xfId="31699"/>
    <cellStyle name="Note 6 5 7 4" xfId="31700"/>
    <cellStyle name="Note 6 5 8" xfId="16904"/>
    <cellStyle name="Note 6 5 9" xfId="31701"/>
    <cellStyle name="Note 6 6" xfId="16905"/>
    <cellStyle name="Note 6 6 2" xfId="16906"/>
    <cellStyle name="Note 6 6 3" xfId="31702"/>
    <cellStyle name="Note 6 6 4" xfId="31703"/>
    <cellStyle name="Note 6 7" xfId="16907"/>
    <cellStyle name="Note 6 7 2" xfId="16908"/>
    <cellStyle name="Note 6 7 3" xfId="31704"/>
    <cellStyle name="Note 6 7 4" xfId="31705"/>
    <cellStyle name="Note 6 8" xfId="16909"/>
    <cellStyle name="Note 6 8 2" xfId="16910"/>
    <cellStyle name="Note 6 8 3" xfId="31706"/>
    <cellStyle name="Note 6 8 4" xfId="31707"/>
    <cellStyle name="Note 6 9" xfId="16911"/>
    <cellStyle name="Note 6 9 2" xfId="16912"/>
    <cellStyle name="Note 6 9 3" xfId="31708"/>
    <cellStyle name="Note 6 9 4" xfId="31709"/>
    <cellStyle name="Note 7" xfId="16913"/>
    <cellStyle name="Note 7 10" xfId="16914"/>
    <cellStyle name="Note 7 10 2" xfId="16915"/>
    <cellStyle name="Note 7 10 3" xfId="31710"/>
    <cellStyle name="Note 7 10 4" xfId="31711"/>
    <cellStyle name="Note 7 11" xfId="16916"/>
    <cellStyle name="Note 7 11 2" xfId="16917"/>
    <cellStyle name="Note 7 11 3" xfId="31712"/>
    <cellStyle name="Note 7 11 4" xfId="31713"/>
    <cellStyle name="Note 7 12" xfId="16918"/>
    <cellStyle name="Note 7 13" xfId="31714"/>
    <cellStyle name="Note 7 14" xfId="31715"/>
    <cellStyle name="Note 7 2" xfId="16919"/>
    <cellStyle name="Note 7 2 10" xfId="31716"/>
    <cellStyle name="Note 7 2 2" xfId="16920"/>
    <cellStyle name="Note 7 2 2 2" xfId="16921"/>
    <cellStyle name="Note 7 2 2 3" xfId="31717"/>
    <cellStyle name="Note 7 2 2 4" xfId="31718"/>
    <cellStyle name="Note 7 2 3" xfId="16922"/>
    <cellStyle name="Note 7 2 3 2" xfId="16923"/>
    <cellStyle name="Note 7 2 3 3" xfId="31719"/>
    <cellStyle name="Note 7 2 3 4" xfId="31720"/>
    <cellStyle name="Note 7 2 4" xfId="16924"/>
    <cellStyle name="Note 7 2 4 2" xfId="16925"/>
    <cellStyle name="Note 7 2 4 3" xfId="31721"/>
    <cellStyle name="Note 7 2 4 4" xfId="31722"/>
    <cellStyle name="Note 7 2 5" xfId="16926"/>
    <cellStyle name="Note 7 2 5 2" xfId="16927"/>
    <cellStyle name="Note 7 2 5 3" xfId="31723"/>
    <cellStyle name="Note 7 2 5 4" xfId="31724"/>
    <cellStyle name="Note 7 2 6" xfId="16928"/>
    <cellStyle name="Note 7 2 6 2" xfId="16929"/>
    <cellStyle name="Note 7 2 6 3" xfId="31725"/>
    <cellStyle name="Note 7 2 6 4" xfId="31726"/>
    <cellStyle name="Note 7 2 7" xfId="16930"/>
    <cellStyle name="Note 7 2 7 2" xfId="16931"/>
    <cellStyle name="Note 7 2 7 3" xfId="31727"/>
    <cellStyle name="Note 7 2 7 4" xfId="31728"/>
    <cellStyle name="Note 7 2 8" xfId="16932"/>
    <cellStyle name="Note 7 2 9" xfId="31729"/>
    <cellStyle name="Note 7 3" xfId="16933"/>
    <cellStyle name="Note 7 3 10" xfId="31730"/>
    <cellStyle name="Note 7 3 2" xfId="16934"/>
    <cellStyle name="Note 7 3 2 2" xfId="16935"/>
    <cellStyle name="Note 7 3 2 3" xfId="31731"/>
    <cellStyle name="Note 7 3 2 4" xfId="31732"/>
    <cellStyle name="Note 7 3 3" xfId="16936"/>
    <cellStyle name="Note 7 3 3 2" xfId="16937"/>
    <cellStyle name="Note 7 3 3 3" xfId="31733"/>
    <cellStyle name="Note 7 3 3 4" xfId="31734"/>
    <cellStyle name="Note 7 3 4" xfId="16938"/>
    <cellStyle name="Note 7 3 4 2" xfId="16939"/>
    <cellStyle name="Note 7 3 4 3" xfId="31735"/>
    <cellStyle name="Note 7 3 4 4" xfId="31736"/>
    <cellStyle name="Note 7 3 5" xfId="16940"/>
    <cellStyle name="Note 7 3 5 2" xfId="16941"/>
    <cellStyle name="Note 7 3 5 3" xfId="31737"/>
    <cellStyle name="Note 7 3 5 4" xfId="31738"/>
    <cellStyle name="Note 7 3 6" xfId="16942"/>
    <cellStyle name="Note 7 3 6 2" xfId="16943"/>
    <cellStyle name="Note 7 3 6 3" xfId="31739"/>
    <cellStyle name="Note 7 3 6 4" xfId="31740"/>
    <cellStyle name="Note 7 3 7" xfId="16944"/>
    <cellStyle name="Note 7 3 7 2" xfId="16945"/>
    <cellStyle name="Note 7 3 7 3" xfId="31741"/>
    <cellStyle name="Note 7 3 7 4" xfId="31742"/>
    <cellStyle name="Note 7 3 8" xfId="16946"/>
    <cellStyle name="Note 7 3 9" xfId="31743"/>
    <cellStyle name="Note 7 4" xfId="16947"/>
    <cellStyle name="Note 7 4 10" xfId="31744"/>
    <cellStyle name="Note 7 4 2" xfId="16948"/>
    <cellStyle name="Note 7 4 2 2" xfId="16949"/>
    <cellStyle name="Note 7 4 2 3" xfId="31745"/>
    <cellStyle name="Note 7 4 2 4" xfId="31746"/>
    <cellStyle name="Note 7 4 3" xfId="16950"/>
    <cellStyle name="Note 7 4 3 2" xfId="16951"/>
    <cellStyle name="Note 7 4 3 3" xfId="31747"/>
    <cellStyle name="Note 7 4 3 4" xfId="31748"/>
    <cellStyle name="Note 7 4 4" xfId="16952"/>
    <cellStyle name="Note 7 4 4 2" xfId="16953"/>
    <cellStyle name="Note 7 4 4 3" xfId="31749"/>
    <cellStyle name="Note 7 4 4 4" xfId="31750"/>
    <cellStyle name="Note 7 4 5" xfId="16954"/>
    <cellStyle name="Note 7 4 5 2" xfId="16955"/>
    <cellStyle name="Note 7 4 5 3" xfId="31751"/>
    <cellStyle name="Note 7 4 5 4" xfId="31752"/>
    <cellStyle name="Note 7 4 6" xfId="16956"/>
    <cellStyle name="Note 7 4 6 2" xfId="16957"/>
    <cellStyle name="Note 7 4 6 3" xfId="31753"/>
    <cellStyle name="Note 7 4 6 4" xfId="31754"/>
    <cellStyle name="Note 7 4 7" xfId="16958"/>
    <cellStyle name="Note 7 4 7 2" xfId="16959"/>
    <cellStyle name="Note 7 4 7 3" xfId="31755"/>
    <cellStyle name="Note 7 4 7 4" xfId="31756"/>
    <cellStyle name="Note 7 4 8" xfId="16960"/>
    <cellStyle name="Note 7 4 9" xfId="31757"/>
    <cellStyle name="Note 7 5" xfId="16961"/>
    <cellStyle name="Note 7 5 10" xfId="31758"/>
    <cellStyle name="Note 7 5 2" xfId="16962"/>
    <cellStyle name="Note 7 5 2 2" xfId="16963"/>
    <cellStyle name="Note 7 5 2 3" xfId="31759"/>
    <cellStyle name="Note 7 5 2 4" xfId="31760"/>
    <cellStyle name="Note 7 5 3" xfId="16964"/>
    <cellStyle name="Note 7 5 3 2" xfId="16965"/>
    <cellStyle name="Note 7 5 3 3" xfId="31761"/>
    <cellStyle name="Note 7 5 3 4" xfId="31762"/>
    <cellStyle name="Note 7 5 4" xfId="16966"/>
    <cellStyle name="Note 7 5 4 2" xfId="16967"/>
    <cellStyle name="Note 7 5 4 3" xfId="31763"/>
    <cellStyle name="Note 7 5 4 4" xfId="31764"/>
    <cellStyle name="Note 7 5 5" xfId="16968"/>
    <cellStyle name="Note 7 5 5 2" xfId="16969"/>
    <cellStyle name="Note 7 5 5 3" xfId="31765"/>
    <cellStyle name="Note 7 5 5 4" xfId="31766"/>
    <cellStyle name="Note 7 5 6" xfId="16970"/>
    <cellStyle name="Note 7 5 6 2" xfId="16971"/>
    <cellStyle name="Note 7 5 6 3" xfId="31767"/>
    <cellStyle name="Note 7 5 6 4" xfId="31768"/>
    <cellStyle name="Note 7 5 7" xfId="16972"/>
    <cellStyle name="Note 7 5 7 2" xfId="16973"/>
    <cellStyle name="Note 7 5 7 3" xfId="31769"/>
    <cellStyle name="Note 7 5 7 4" xfId="31770"/>
    <cellStyle name="Note 7 5 8" xfId="16974"/>
    <cellStyle name="Note 7 5 9" xfId="31771"/>
    <cellStyle name="Note 7 6" xfId="16975"/>
    <cellStyle name="Note 7 6 2" xfId="16976"/>
    <cellStyle name="Note 7 6 3" xfId="31772"/>
    <cellStyle name="Note 7 6 4" xfId="31773"/>
    <cellStyle name="Note 7 7" xfId="16977"/>
    <cellStyle name="Note 7 7 2" xfId="16978"/>
    <cellStyle name="Note 7 7 3" xfId="31774"/>
    <cellStyle name="Note 7 7 4" xfId="31775"/>
    <cellStyle name="Note 7 8" xfId="16979"/>
    <cellStyle name="Note 7 8 2" xfId="16980"/>
    <cellStyle name="Note 7 8 3" xfId="31776"/>
    <cellStyle name="Note 7 8 4" xfId="31777"/>
    <cellStyle name="Note 7 9" xfId="16981"/>
    <cellStyle name="Note 7 9 2" xfId="16982"/>
    <cellStyle name="Note 7 9 3" xfId="31778"/>
    <cellStyle name="Note 7 9 4" xfId="31779"/>
    <cellStyle name="Note 8" xfId="16983"/>
    <cellStyle name="Note 8 10" xfId="16984"/>
    <cellStyle name="Note 8 10 2" xfId="16985"/>
    <cellStyle name="Note 8 10 3" xfId="31780"/>
    <cellStyle name="Note 8 10 4" xfId="31781"/>
    <cellStyle name="Note 8 11" xfId="16986"/>
    <cellStyle name="Note 8 11 2" xfId="16987"/>
    <cellStyle name="Note 8 11 3" xfId="31782"/>
    <cellStyle name="Note 8 11 4" xfId="31783"/>
    <cellStyle name="Note 8 12" xfId="16988"/>
    <cellStyle name="Note 8 13" xfId="31784"/>
    <cellStyle name="Note 8 14" xfId="31785"/>
    <cellStyle name="Note 8 2" xfId="16989"/>
    <cellStyle name="Note 8 2 10" xfId="31786"/>
    <cellStyle name="Note 8 2 2" xfId="16990"/>
    <cellStyle name="Note 8 2 2 2" xfId="16991"/>
    <cellStyle name="Note 8 2 2 3" xfId="31787"/>
    <cellStyle name="Note 8 2 2 4" xfId="31788"/>
    <cellStyle name="Note 8 2 3" xfId="16992"/>
    <cellStyle name="Note 8 2 3 2" xfId="16993"/>
    <cellStyle name="Note 8 2 3 3" xfId="31789"/>
    <cellStyle name="Note 8 2 3 4" xfId="31790"/>
    <cellStyle name="Note 8 2 4" xfId="16994"/>
    <cellStyle name="Note 8 2 4 2" xfId="16995"/>
    <cellStyle name="Note 8 2 4 3" xfId="31791"/>
    <cellStyle name="Note 8 2 4 4" xfId="31792"/>
    <cellStyle name="Note 8 2 5" xfId="16996"/>
    <cellStyle name="Note 8 2 5 2" xfId="16997"/>
    <cellStyle name="Note 8 2 5 3" xfId="31793"/>
    <cellStyle name="Note 8 2 5 4" xfId="31794"/>
    <cellStyle name="Note 8 2 6" xfId="16998"/>
    <cellStyle name="Note 8 2 6 2" xfId="16999"/>
    <cellStyle name="Note 8 2 6 3" xfId="31795"/>
    <cellStyle name="Note 8 2 6 4" xfId="31796"/>
    <cellStyle name="Note 8 2 7" xfId="17000"/>
    <cellStyle name="Note 8 2 7 2" xfId="17001"/>
    <cellStyle name="Note 8 2 7 3" xfId="31797"/>
    <cellStyle name="Note 8 2 7 4" xfId="31798"/>
    <cellStyle name="Note 8 2 8" xfId="17002"/>
    <cellStyle name="Note 8 2 9" xfId="31799"/>
    <cellStyle name="Note 8 3" xfId="17003"/>
    <cellStyle name="Note 8 3 10" xfId="31800"/>
    <cellStyle name="Note 8 3 2" xfId="17004"/>
    <cellStyle name="Note 8 3 2 2" xfId="17005"/>
    <cellStyle name="Note 8 3 2 3" xfId="31801"/>
    <cellStyle name="Note 8 3 2 4" xfId="31802"/>
    <cellStyle name="Note 8 3 3" xfId="17006"/>
    <cellStyle name="Note 8 3 3 2" xfId="17007"/>
    <cellStyle name="Note 8 3 3 3" xfId="31803"/>
    <cellStyle name="Note 8 3 3 4" xfId="31804"/>
    <cellStyle name="Note 8 3 4" xfId="17008"/>
    <cellStyle name="Note 8 3 4 2" xfId="17009"/>
    <cellStyle name="Note 8 3 4 3" xfId="31805"/>
    <cellStyle name="Note 8 3 4 4" xfId="31806"/>
    <cellStyle name="Note 8 3 5" xfId="17010"/>
    <cellStyle name="Note 8 3 5 2" xfId="17011"/>
    <cellStyle name="Note 8 3 5 3" xfId="31807"/>
    <cellStyle name="Note 8 3 5 4" xfId="31808"/>
    <cellStyle name="Note 8 3 6" xfId="17012"/>
    <cellStyle name="Note 8 3 6 2" xfId="17013"/>
    <cellStyle name="Note 8 3 6 3" xfId="31809"/>
    <cellStyle name="Note 8 3 6 4" xfId="31810"/>
    <cellStyle name="Note 8 3 7" xfId="17014"/>
    <cellStyle name="Note 8 3 7 2" xfId="17015"/>
    <cellStyle name="Note 8 3 7 3" xfId="31811"/>
    <cellStyle name="Note 8 3 7 4" xfId="31812"/>
    <cellStyle name="Note 8 3 8" xfId="17016"/>
    <cellStyle name="Note 8 3 9" xfId="31813"/>
    <cellStyle name="Note 8 4" xfId="17017"/>
    <cellStyle name="Note 8 4 10" xfId="31814"/>
    <cellStyle name="Note 8 4 2" xfId="17018"/>
    <cellStyle name="Note 8 4 2 2" xfId="17019"/>
    <cellStyle name="Note 8 4 2 3" xfId="31815"/>
    <cellStyle name="Note 8 4 2 4" xfId="31816"/>
    <cellStyle name="Note 8 4 3" xfId="17020"/>
    <cellStyle name="Note 8 4 3 2" xfId="17021"/>
    <cellStyle name="Note 8 4 3 3" xfId="31817"/>
    <cellStyle name="Note 8 4 3 4" xfId="31818"/>
    <cellStyle name="Note 8 4 4" xfId="17022"/>
    <cellStyle name="Note 8 4 4 2" xfId="17023"/>
    <cellStyle name="Note 8 4 4 3" xfId="31819"/>
    <cellStyle name="Note 8 4 4 4" xfId="31820"/>
    <cellStyle name="Note 8 4 5" xfId="17024"/>
    <cellStyle name="Note 8 4 5 2" xfId="17025"/>
    <cellStyle name="Note 8 4 5 3" xfId="31821"/>
    <cellStyle name="Note 8 4 5 4" xfId="31822"/>
    <cellStyle name="Note 8 4 6" xfId="17026"/>
    <cellStyle name="Note 8 4 6 2" xfId="17027"/>
    <cellStyle name="Note 8 4 6 3" xfId="31823"/>
    <cellStyle name="Note 8 4 6 4" xfId="31824"/>
    <cellStyle name="Note 8 4 7" xfId="17028"/>
    <cellStyle name="Note 8 4 7 2" xfId="17029"/>
    <cellStyle name="Note 8 4 7 3" xfId="31825"/>
    <cellStyle name="Note 8 4 7 4" xfId="31826"/>
    <cellStyle name="Note 8 4 8" xfId="17030"/>
    <cellStyle name="Note 8 4 9" xfId="31827"/>
    <cellStyle name="Note 8 5" xfId="17031"/>
    <cellStyle name="Note 8 5 10" xfId="31828"/>
    <cellStyle name="Note 8 5 2" xfId="17032"/>
    <cellStyle name="Note 8 5 2 2" xfId="17033"/>
    <cellStyle name="Note 8 5 2 3" xfId="31829"/>
    <cellStyle name="Note 8 5 2 4" xfId="31830"/>
    <cellStyle name="Note 8 5 3" xfId="17034"/>
    <cellStyle name="Note 8 5 3 2" xfId="17035"/>
    <cellStyle name="Note 8 5 3 3" xfId="31831"/>
    <cellStyle name="Note 8 5 3 4" xfId="31832"/>
    <cellStyle name="Note 8 5 4" xfId="17036"/>
    <cellStyle name="Note 8 5 4 2" xfId="17037"/>
    <cellStyle name="Note 8 5 4 3" xfId="31833"/>
    <cellStyle name="Note 8 5 4 4" xfId="31834"/>
    <cellStyle name="Note 8 5 5" xfId="17038"/>
    <cellStyle name="Note 8 5 5 2" xfId="17039"/>
    <cellStyle name="Note 8 5 5 3" xfId="31835"/>
    <cellStyle name="Note 8 5 5 4" xfId="31836"/>
    <cellStyle name="Note 8 5 6" xfId="17040"/>
    <cellStyle name="Note 8 5 6 2" xfId="17041"/>
    <cellStyle name="Note 8 5 6 3" xfId="31837"/>
    <cellStyle name="Note 8 5 6 4" xfId="31838"/>
    <cellStyle name="Note 8 5 7" xfId="17042"/>
    <cellStyle name="Note 8 5 7 2" xfId="17043"/>
    <cellStyle name="Note 8 5 7 3" xfId="31839"/>
    <cellStyle name="Note 8 5 7 4" xfId="31840"/>
    <cellStyle name="Note 8 5 8" xfId="17044"/>
    <cellStyle name="Note 8 5 9" xfId="31841"/>
    <cellStyle name="Note 8 6" xfId="17045"/>
    <cellStyle name="Note 8 6 2" xfId="17046"/>
    <cellStyle name="Note 8 6 3" xfId="31842"/>
    <cellStyle name="Note 8 6 4" xfId="31843"/>
    <cellStyle name="Note 8 7" xfId="17047"/>
    <cellStyle name="Note 8 7 2" xfId="17048"/>
    <cellStyle name="Note 8 7 3" xfId="31844"/>
    <cellStyle name="Note 8 7 4" xfId="31845"/>
    <cellStyle name="Note 8 8" xfId="17049"/>
    <cellStyle name="Note 8 8 2" xfId="17050"/>
    <cellStyle name="Note 8 8 3" xfId="31846"/>
    <cellStyle name="Note 8 8 4" xfId="31847"/>
    <cellStyle name="Note 8 9" xfId="17051"/>
    <cellStyle name="Note 8 9 2" xfId="17052"/>
    <cellStyle name="Note 8 9 3" xfId="31848"/>
    <cellStyle name="Note 8 9 4" xfId="31849"/>
    <cellStyle name="Note 9" xfId="17053"/>
    <cellStyle name="Note 9 10" xfId="17054"/>
    <cellStyle name="Note 9 10 2" xfId="17055"/>
    <cellStyle name="Note 9 10 3" xfId="31850"/>
    <cellStyle name="Note 9 10 4" xfId="31851"/>
    <cellStyle name="Note 9 11" xfId="17056"/>
    <cellStyle name="Note 9 11 2" xfId="17057"/>
    <cellStyle name="Note 9 11 3" xfId="31852"/>
    <cellStyle name="Note 9 11 4" xfId="31853"/>
    <cellStyle name="Note 9 12" xfId="17058"/>
    <cellStyle name="Note 9 13" xfId="31854"/>
    <cellStyle name="Note 9 14" xfId="31855"/>
    <cellStyle name="Note 9 2" xfId="17059"/>
    <cellStyle name="Note 9 2 10" xfId="31856"/>
    <cellStyle name="Note 9 2 2" xfId="17060"/>
    <cellStyle name="Note 9 2 2 2" xfId="17061"/>
    <cellStyle name="Note 9 2 2 3" xfId="31857"/>
    <cellStyle name="Note 9 2 2 4" xfId="31858"/>
    <cellStyle name="Note 9 2 3" xfId="17062"/>
    <cellStyle name="Note 9 2 3 2" xfId="17063"/>
    <cellStyle name="Note 9 2 3 3" xfId="31859"/>
    <cellStyle name="Note 9 2 3 4" xfId="31860"/>
    <cellStyle name="Note 9 2 4" xfId="17064"/>
    <cellStyle name="Note 9 2 4 2" xfId="17065"/>
    <cellStyle name="Note 9 2 4 3" xfId="31861"/>
    <cellStyle name="Note 9 2 4 4" xfId="31862"/>
    <cellStyle name="Note 9 2 5" xfId="17066"/>
    <cellStyle name="Note 9 2 5 2" xfId="17067"/>
    <cellStyle name="Note 9 2 5 3" xfId="31863"/>
    <cellStyle name="Note 9 2 5 4" xfId="31864"/>
    <cellStyle name="Note 9 2 6" xfId="17068"/>
    <cellStyle name="Note 9 2 6 2" xfId="17069"/>
    <cellStyle name="Note 9 2 6 3" xfId="31865"/>
    <cellStyle name="Note 9 2 6 4" xfId="31866"/>
    <cellStyle name="Note 9 2 7" xfId="17070"/>
    <cellStyle name="Note 9 2 7 2" xfId="17071"/>
    <cellStyle name="Note 9 2 7 3" xfId="31867"/>
    <cellStyle name="Note 9 2 7 4" xfId="31868"/>
    <cellStyle name="Note 9 2 8" xfId="17072"/>
    <cellStyle name="Note 9 2 9" xfId="31869"/>
    <cellStyle name="Note 9 3" xfId="17073"/>
    <cellStyle name="Note 9 3 10" xfId="31870"/>
    <cellStyle name="Note 9 3 2" xfId="17074"/>
    <cellStyle name="Note 9 3 2 2" xfId="17075"/>
    <cellStyle name="Note 9 3 2 3" xfId="31871"/>
    <cellStyle name="Note 9 3 2 4" xfId="31872"/>
    <cellStyle name="Note 9 3 3" xfId="17076"/>
    <cellStyle name="Note 9 3 3 2" xfId="17077"/>
    <cellStyle name="Note 9 3 3 3" xfId="31873"/>
    <cellStyle name="Note 9 3 3 4" xfId="31874"/>
    <cellStyle name="Note 9 3 4" xfId="17078"/>
    <cellStyle name="Note 9 3 4 2" xfId="17079"/>
    <cellStyle name="Note 9 3 4 3" xfId="31875"/>
    <cellStyle name="Note 9 3 4 4" xfId="31876"/>
    <cellStyle name="Note 9 3 5" xfId="17080"/>
    <cellStyle name="Note 9 3 5 2" xfId="17081"/>
    <cellStyle name="Note 9 3 5 3" xfId="31877"/>
    <cellStyle name="Note 9 3 5 4" xfId="31878"/>
    <cellStyle name="Note 9 3 6" xfId="17082"/>
    <cellStyle name="Note 9 3 6 2" xfId="17083"/>
    <cellStyle name="Note 9 3 6 3" xfId="31879"/>
    <cellStyle name="Note 9 3 6 4" xfId="31880"/>
    <cellStyle name="Note 9 3 7" xfId="17084"/>
    <cellStyle name="Note 9 3 7 2" xfId="17085"/>
    <cellStyle name="Note 9 3 7 3" xfId="31881"/>
    <cellStyle name="Note 9 3 7 4" xfId="31882"/>
    <cellStyle name="Note 9 3 8" xfId="17086"/>
    <cellStyle name="Note 9 3 9" xfId="31883"/>
    <cellStyle name="Note 9 4" xfId="17087"/>
    <cellStyle name="Note 9 4 10" xfId="31884"/>
    <cellStyle name="Note 9 4 2" xfId="17088"/>
    <cellStyle name="Note 9 4 2 2" xfId="17089"/>
    <cellStyle name="Note 9 4 2 3" xfId="31885"/>
    <cellStyle name="Note 9 4 2 4" xfId="31886"/>
    <cellStyle name="Note 9 4 3" xfId="17090"/>
    <cellStyle name="Note 9 4 3 2" xfId="17091"/>
    <cellStyle name="Note 9 4 3 3" xfId="31887"/>
    <cellStyle name="Note 9 4 3 4" xfId="31888"/>
    <cellStyle name="Note 9 4 4" xfId="17092"/>
    <cellStyle name="Note 9 4 4 2" xfId="17093"/>
    <cellStyle name="Note 9 4 4 3" xfId="31889"/>
    <cellStyle name="Note 9 4 4 4" xfId="31890"/>
    <cellStyle name="Note 9 4 5" xfId="17094"/>
    <cellStyle name="Note 9 4 5 2" xfId="17095"/>
    <cellStyle name="Note 9 4 5 3" xfId="31891"/>
    <cellStyle name="Note 9 4 5 4" xfId="31892"/>
    <cellStyle name="Note 9 4 6" xfId="17096"/>
    <cellStyle name="Note 9 4 6 2" xfId="17097"/>
    <cellStyle name="Note 9 4 6 3" xfId="31893"/>
    <cellStyle name="Note 9 4 6 4" xfId="31894"/>
    <cellStyle name="Note 9 4 7" xfId="17098"/>
    <cellStyle name="Note 9 4 7 2" xfId="17099"/>
    <cellStyle name="Note 9 4 7 3" xfId="31895"/>
    <cellStyle name="Note 9 4 7 4" xfId="31896"/>
    <cellStyle name="Note 9 4 8" xfId="17100"/>
    <cellStyle name="Note 9 4 9" xfId="31897"/>
    <cellStyle name="Note 9 5" xfId="17101"/>
    <cellStyle name="Note 9 5 10" xfId="31898"/>
    <cellStyle name="Note 9 5 2" xfId="17102"/>
    <cellStyle name="Note 9 5 2 2" xfId="17103"/>
    <cellStyle name="Note 9 5 2 3" xfId="31899"/>
    <cellStyle name="Note 9 5 2 4" xfId="31900"/>
    <cellStyle name="Note 9 5 3" xfId="17104"/>
    <cellStyle name="Note 9 5 3 2" xfId="17105"/>
    <cellStyle name="Note 9 5 3 3" xfId="31901"/>
    <cellStyle name="Note 9 5 3 4" xfId="31902"/>
    <cellStyle name="Note 9 5 4" xfId="17106"/>
    <cellStyle name="Note 9 5 4 2" xfId="17107"/>
    <cellStyle name="Note 9 5 4 3" xfId="31903"/>
    <cellStyle name="Note 9 5 4 4" xfId="31904"/>
    <cellStyle name="Note 9 5 5" xfId="17108"/>
    <cellStyle name="Note 9 5 5 2" xfId="17109"/>
    <cellStyle name="Note 9 5 5 3" xfId="31905"/>
    <cellStyle name="Note 9 5 5 4" xfId="31906"/>
    <cellStyle name="Note 9 5 6" xfId="17110"/>
    <cellStyle name="Note 9 5 6 2" xfId="17111"/>
    <cellStyle name="Note 9 5 6 3" xfId="31907"/>
    <cellStyle name="Note 9 5 6 4" xfId="31908"/>
    <cellStyle name="Note 9 5 7" xfId="17112"/>
    <cellStyle name="Note 9 5 7 2" xfId="17113"/>
    <cellStyle name="Note 9 5 7 3" xfId="31909"/>
    <cellStyle name="Note 9 5 7 4" xfId="31910"/>
    <cellStyle name="Note 9 5 8" xfId="17114"/>
    <cellStyle name="Note 9 5 9" xfId="31911"/>
    <cellStyle name="Note 9 6" xfId="17115"/>
    <cellStyle name="Note 9 6 2" xfId="17116"/>
    <cellStyle name="Note 9 6 3" xfId="31912"/>
    <cellStyle name="Note 9 6 4" xfId="31913"/>
    <cellStyle name="Note 9 7" xfId="17117"/>
    <cellStyle name="Note 9 7 2" xfId="17118"/>
    <cellStyle name="Note 9 7 3" xfId="31914"/>
    <cellStyle name="Note 9 7 4" xfId="31915"/>
    <cellStyle name="Note 9 8" xfId="17119"/>
    <cellStyle name="Note 9 8 2" xfId="17120"/>
    <cellStyle name="Note 9 8 3" xfId="31916"/>
    <cellStyle name="Note 9 8 4" xfId="31917"/>
    <cellStyle name="Note 9 9" xfId="17121"/>
    <cellStyle name="Note 9 9 2" xfId="17122"/>
    <cellStyle name="Note 9 9 3" xfId="31918"/>
    <cellStyle name="Note 9 9 4" xfId="31919"/>
    <cellStyle name="Output 10" xfId="17123"/>
    <cellStyle name="Output 10 10" xfId="17124"/>
    <cellStyle name="Output 10 10 2" xfId="17125"/>
    <cellStyle name="Output 10 10 3" xfId="31920"/>
    <cellStyle name="Output 10 10 4" xfId="31921"/>
    <cellStyle name="Output 10 11" xfId="17126"/>
    <cellStyle name="Output 10 11 2" xfId="17127"/>
    <cellStyle name="Output 10 11 3" xfId="31922"/>
    <cellStyle name="Output 10 11 4" xfId="31923"/>
    <cellStyle name="Output 10 12" xfId="17128"/>
    <cellStyle name="Output 10 13" xfId="31924"/>
    <cellStyle name="Output 10 14" xfId="31925"/>
    <cellStyle name="Output 10 2" xfId="17129"/>
    <cellStyle name="Output 10 2 10" xfId="31926"/>
    <cellStyle name="Output 10 2 2" xfId="17130"/>
    <cellStyle name="Output 10 2 2 2" xfId="17131"/>
    <cellStyle name="Output 10 2 2 3" xfId="31927"/>
    <cellStyle name="Output 10 2 2 4" xfId="31928"/>
    <cellStyle name="Output 10 2 3" xfId="17132"/>
    <cellStyle name="Output 10 2 3 2" xfId="17133"/>
    <cellStyle name="Output 10 2 3 3" xfId="31929"/>
    <cellStyle name="Output 10 2 3 4" xfId="31930"/>
    <cellStyle name="Output 10 2 4" xfId="17134"/>
    <cellStyle name="Output 10 2 4 2" xfId="17135"/>
    <cellStyle name="Output 10 2 4 3" xfId="31931"/>
    <cellStyle name="Output 10 2 4 4" xfId="31932"/>
    <cellStyle name="Output 10 2 5" xfId="17136"/>
    <cellStyle name="Output 10 2 5 2" xfId="17137"/>
    <cellStyle name="Output 10 2 5 3" xfId="31933"/>
    <cellStyle name="Output 10 2 5 4" xfId="31934"/>
    <cellStyle name="Output 10 2 6" xfId="17138"/>
    <cellStyle name="Output 10 2 6 2" xfId="17139"/>
    <cellStyle name="Output 10 2 6 3" xfId="31935"/>
    <cellStyle name="Output 10 2 6 4" xfId="31936"/>
    <cellStyle name="Output 10 2 7" xfId="17140"/>
    <cellStyle name="Output 10 2 7 2" xfId="17141"/>
    <cellStyle name="Output 10 2 7 3" xfId="31937"/>
    <cellStyle name="Output 10 2 7 4" xfId="31938"/>
    <cellStyle name="Output 10 2 8" xfId="17142"/>
    <cellStyle name="Output 10 2 9" xfId="31939"/>
    <cellStyle name="Output 10 3" xfId="17143"/>
    <cellStyle name="Output 10 3 10" xfId="31940"/>
    <cellStyle name="Output 10 3 2" xfId="17144"/>
    <cellStyle name="Output 10 3 2 2" xfId="17145"/>
    <cellStyle name="Output 10 3 2 3" xfId="31941"/>
    <cellStyle name="Output 10 3 2 4" xfId="31942"/>
    <cellStyle name="Output 10 3 3" xfId="17146"/>
    <cellStyle name="Output 10 3 3 2" xfId="17147"/>
    <cellStyle name="Output 10 3 3 3" xfId="31943"/>
    <cellStyle name="Output 10 3 3 4" xfId="31944"/>
    <cellStyle name="Output 10 3 4" xfId="17148"/>
    <cellStyle name="Output 10 3 4 2" xfId="17149"/>
    <cellStyle name="Output 10 3 4 3" xfId="31945"/>
    <cellStyle name="Output 10 3 4 4" xfId="31946"/>
    <cellStyle name="Output 10 3 5" xfId="17150"/>
    <cellStyle name="Output 10 3 5 2" xfId="17151"/>
    <cellStyle name="Output 10 3 5 3" xfId="31947"/>
    <cellStyle name="Output 10 3 5 4" xfId="31948"/>
    <cellStyle name="Output 10 3 6" xfId="17152"/>
    <cellStyle name="Output 10 3 6 2" xfId="17153"/>
    <cellStyle name="Output 10 3 6 3" xfId="31949"/>
    <cellStyle name="Output 10 3 6 4" xfId="31950"/>
    <cellStyle name="Output 10 3 7" xfId="17154"/>
    <cellStyle name="Output 10 3 7 2" xfId="17155"/>
    <cellStyle name="Output 10 3 7 3" xfId="31951"/>
    <cellStyle name="Output 10 3 7 4" xfId="31952"/>
    <cellStyle name="Output 10 3 8" xfId="17156"/>
    <cellStyle name="Output 10 3 9" xfId="31953"/>
    <cellStyle name="Output 10 4" xfId="17157"/>
    <cellStyle name="Output 10 4 10" xfId="31954"/>
    <cellStyle name="Output 10 4 2" xfId="17158"/>
    <cellStyle name="Output 10 4 2 2" xfId="17159"/>
    <cellStyle name="Output 10 4 2 3" xfId="31955"/>
    <cellStyle name="Output 10 4 2 4" xfId="31956"/>
    <cellStyle name="Output 10 4 3" xfId="17160"/>
    <cellStyle name="Output 10 4 3 2" xfId="17161"/>
    <cellStyle name="Output 10 4 3 3" xfId="31957"/>
    <cellStyle name="Output 10 4 3 4" xfId="31958"/>
    <cellStyle name="Output 10 4 4" xfId="17162"/>
    <cellStyle name="Output 10 4 4 2" xfId="17163"/>
    <cellStyle name="Output 10 4 4 3" xfId="31959"/>
    <cellStyle name="Output 10 4 4 4" xfId="31960"/>
    <cellStyle name="Output 10 4 5" xfId="17164"/>
    <cellStyle name="Output 10 4 5 2" xfId="17165"/>
    <cellStyle name="Output 10 4 5 3" xfId="31961"/>
    <cellStyle name="Output 10 4 5 4" xfId="31962"/>
    <cellStyle name="Output 10 4 6" xfId="17166"/>
    <cellStyle name="Output 10 4 6 2" xfId="17167"/>
    <cellStyle name="Output 10 4 6 3" xfId="31963"/>
    <cellStyle name="Output 10 4 6 4" xfId="31964"/>
    <cellStyle name="Output 10 4 7" xfId="17168"/>
    <cellStyle name="Output 10 4 7 2" xfId="17169"/>
    <cellStyle name="Output 10 4 7 3" xfId="31965"/>
    <cellStyle name="Output 10 4 7 4" xfId="31966"/>
    <cellStyle name="Output 10 4 8" xfId="17170"/>
    <cellStyle name="Output 10 4 9" xfId="31967"/>
    <cellStyle name="Output 10 5" xfId="17171"/>
    <cellStyle name="Output 10 5 10" xfId="31968"/>
    <cellStyle name="Output 10 5 2" xfId="17172"/>
    <cellStyle name="Output 10 5 2 2" xfId="17173"/>
    <cellStyle name="Output 10 5 2 3" xfId="31969"/>
    <cellStyle name="Output 10 5 2 4" xfId="31970"/>
    <cellStyle name="Output 10 5 3" xfId="17174"/>
    <cellStyle name="Output 10 5 3 2" xfId="17175"/>
    <cellStyle name="Output 10 5 3 3" xfId="31971"/>
    <cellStyle name="Output 10 5 3 4" xfId="31972"/>
    <cellStyle name="Output 10 5 4" xfId="17176"/>
    <cellStyle name="Output 10 5 4 2" xfId="17177"/>
    <cellStyle name="Output 10 5 4 3" xfId="31973"/>
    <cellStyle name="Output 10 5 4 4" xfId="31974"/>
    <cellStyle name="Output 10 5 5" xfId="17178"/>
    <cellStyle name="Output 10 5 5 2" xfId="17179"/>
    <cellStyle name="Output 10 5 5 3" xfId="31975"/>
    <cellStyle name="Output 10 5 5 4" xfId="31976"/>
    <cellStyle name="Output 10 5 6" xfId="17180"/>
    <cellStyle name="Output 10 5 6 2" xfId="17181"/>
    <cellStyle name="Output 10 5 6 3" xfId="31977"/>
    <cellStyle name="Output 10 5 6 4" xfId="31978"/>
    <cellStyle name="Output 10 5 7" xfId="17182"/>
    <cellStyle name="Output 10 5 7 2" xfId="17183"/>
    <cellStyle name="Output 10 5 7 3" xfId="31979"/>
    <cellStyle name="Output 10 5 7 4" xfId="31980"/>
    <cellStyle name="Output 10 5 8" xfId="17184"/>
    <cellStyle name="Output 10 5 9" xfId="31981"/>
    <cellStyle name="Output 10 6" xfId="17185"/>
    <cellStyle name="Output 10 6 2" xfId="17186"/>
    <cellStyle name="Output 10 6 3" xfId="31982"/>
    <cellStyle name="Output 10 6 4" xfId="31983"/>
    <cellStyle name="Output 10 7" xfId="17187"/>
    <cellStyle name="Output 10 7 2" xfId="17188"/>
    <cellStyle name="Output 10 7 3" xfId="31984"/>
    <cellStyle name="Output 10 7 4" xfId="31985"/>
    <cellStyle name="Output 10 8" xfId="17189"/>
    <cellStyle name="Output 10 8 2" xfId="17190"/>
    <cellStyle name="Output 10 8 3" xfId="31986"/>
    <cellStyle name="Output 10 8 4" xfId="31987"/>
    <cellStyle name="Output 10 9" xfId="17191"/>
    <cellStyle name="Output 10 9 2" xfId="17192"/>
    <cellStyle name="Output 10 9 3" xfId="31988"/>
    <cellStyle name="Output 10 9 4" xfId="31989"/>
    <cellStyle name="Output 11" xfId="17193"/>
    <cellStyle name="Output 11 10" xfId="17194"/>
    <cellStyle name="Output 11 10 2" xfId="17195"/>
    <cellStyle name="Output 11 10 3" xfId="31990"/>
    <cellStyle name="Output 11 10 4" xfId="31991"/>
    <cellStyle name="Output 11 11" xfId="17196"/>
    <cellStyle name="Output 11 11 2" xfId="17197"/>
    <cellStyle name="Output 11 11 3" xfId="31992"/>
    <cellStyle name="Output 11 11 4" xfId="31993"/>
    <cellStyle name="Output 11 12" xfId="17198"/>
    <cellStyle name="Output 11 13" xfId="31994"/>
    <cellStyle name="Output 11 14" xfId="31995"/>
    <cellStyle name="Output 11 2" xfId="17199"/>
    <cellStyle name="Output 11 2 10" xfId="31996"/>
    <cellStyle name="Output 11 2 2" xfId="17200"/>
    <cellStyle name="Output 11 2 2 2" xfId="17201"/>
    <cellStyle name="Output 11 2 2 3" xfId="31997"/>
    <cellStyle name="Output 11 2 2 4" xfId="31998"/>
    <cellStyle name="Output 11 2 3" xfId="17202"/>
    <cellStyle name="Output 11 2 3 2" xfId="17203"/>
    <cellStyle name="Output 11 2 3 3" xfId="31999"/>
    <cellStyle name="Output 11 2 3 4" xfId="32000"/>
    <cellStyle name="Output 11 2 4" xfId="17204"/>
    <cellStyle name="Output 11 2 4 2" xfId="17205"/>
    <cellStyle name="Output 11 2 4 3" xfId="32001"/>
    <cellStyle name="Output 11 2 4 4" xfId="32002"/>
    <cellStyle name="Output 11 2 5" xfId="17206"/>
    <cellStyle name="Output 11 2 5 2" xfId="17207"/>
    <cellStyle name="Output 11 2 5 3" xfId="32003"/>
    <cellStyle name="Output 11 2 5 4" xfId="32004"/>
    <cellStyle name="Output 11 2 6" xfId="17208"/>
    <cellStyle name="Output 11 2 6 2" xfId="17209"/>
    <cellStyle name="Output 11 2 6 3" xfId="32005"/>
    <cellStyle name="Output 11 2 6 4" xfId="32006"/>
    <cellStyle name="Output 11 2 7" xfId="17210"/>
    <cellStyle name="Output 11 2 7 2" xfId="17211"/>
    <cellStyle name="Output 11 2 7 3" xfId="32007"/>
    <cellStyle name="Output 11 2 7 4" xfId="32008"/>
    <cellStyle name="Output 11 2 8" xfId="17212"/>
    <cellStyle name="Output 11 2 9" xfId="32009"/>
    <cellStyle name="Output 11 3" xfId="17213"/>
    <cellStyle name="Output 11 3 10" xfId="32010"/>
    <cellStyle name="Output 11 3 2" xfId="17214"/>
    <cellStyle name="Output 11 3 2 2" xfId="17215"/>
    <cellStyle name="Output 11 3 2 3" xfId="32011"/>
    <cellStyle name="Output 11 3 2 4" xfId="32012"/>
    <cellStyle name="Output 11 3 3" xfId="17216"/>
    <cellStyle name="Output 11 3 3 2" xfId="17217"/>
    <cellStyle name="Output 11 3 3 3" xfId="32013"/>
    <cellStyle name="Output 11 3 3 4" xfId="32014"/>
    <cellStyle name="Output 11 3 4" xfId="17218"/>
    <cellStyle name="Output 11 3 4 2" xfId="17219"/>
    <cellStyle name="Output 11 3 4 3" xfId="32015"/>
    <cellStyle name="Output 11 3 4 4" xfId="32016"/>
    <cellStyle name="Output 11 3 5" xfId="17220"/>
    <cellStyle name="Output 11 3 5 2" xfId="17221"/>
    <cellStyle name="Output 11 3 5 3" xfId="32017"/>
    <cellStyle name="Output 11 3 5 4" xfId="32018"/>
    <cellStyle name="Output 11 3 6" xfId="17222"/>
    <cellStyle name="Output 11 3 6 2" xfId="17223"/>
    <cellStyle name="Output 11 3 6 3" xfId="32019"/>
    <cellStyle name="Output 11 3 6 4" xfId="32020"/>
    <cellStyle name="Output 11 3 7" xfId="17224"/>
    <cellStyle name="Output 11 3 7 2" xfId="17225"/>
    <cellStyle name="Output 11 3 7 3" xfId="32021"/>
    <cellStyle name="Output 11 3 7 4" xfId="32022"/>
    <cellStyle name="Output 11 3 8" xfId="17226"/>
    <cellStyle name="Output 11 3 9" xfId="32023"/>
    <cellStyle name="Output 11 4" xfId="17227"/>
    <cellStyle name="Output 11 4 10" xfId="32024"/>
    <cellStyle name="Output 11 4 2" xfId="17228"/>
    <cellStyle name="Output 11 4 2 2" xfId="17229"/>
    <cellStyle name="Output 11 4 2 3" xfId="32025"/>
    <cellStyle name="Output 11 4 2 4" xfId="32026"/>
    <cellStyle name="Output 11 4 3" xfId="17230"/>
    <cellStyle name="Output 11 4 3 2" xfId="17231"/>
    <cellStyle name="Output 11 4 3 3" xfId="32027"/>
    <cellStyle name="Output 11 4 3 4" xfId="32028"/>
    <cellStyle name="Output 11 4 4" xfId="17232"/>
    <cellStyle name="Output 11 4 4 2" xfId="17233"/>
    <cellStyle name="Output 11 4 4 3" xfId="32029"/>
    <cellStyle name="Output 11 4 4 4" xfId="32030"/>
    <cellStyle name="Output 11 4 5" xfId="17234"/>
    <cellStyle name="Output 11 4 5 2" xfId="17235"/>
    <cellStyle name="Output 11 4 5 3" xfId="32031"/>
    <cellStyle name="Output 11 4 5 4" xfId="32032"/>
    <cellStyle name="Output 11 4 6" xfId="17236"/>
    <cellStyle name="Output 11 4 6 2" xfId="17237"/>
    <cellStyle name="Output 11 4 6 3" xfId="32033"/>
    <cellStyle name="Output 11 4 6 4" xfId="32034"/>
    <cellStyle name="Output 11 4 7" xfId="17238"/>
    <cellStyle name="Output 11 4 7 2" xfId="17239"/>
    <cellStyle name="Output 11 4 7 3" xfId="32035"/>
    <cellStyle name="Output 11 4 7 4" xfId="32036"/>
    <cellStyle name="Output 11 4 8" xfId="17240"/>
    <cellStyle name="Output 11 4 9" xfId="32037"/>
    <cellStyle name="Output 11 5" xfId="17241"/>
    <cellStyle name="Output 11 5 10" xfId="32038"/>
    <cellStyle name="Output 11 5 2" xfId="17242"/>
    <cellStyle name="Output 11 5 2 2" xfId="17243"/>
    <cellStyle name="Output 11 5 2 3" xfId="32039"/>
    <cellStyle name="Output 11 5 2 4" xfId="32040"/>
    <cellStyle name="Output 11 5 3" xfId="17244"/>
    <cellStyle name="Output 11 5 3 2" xfId="17245"/>
    <cellStyle name="Output 11 5 3 3" xfId="32041"/>
    <cellStyle name="Output 11 5 3 4" xfId="32042"/>
    <cellStyle name="Output 11 5 4" xfId="17246"/>
    <cellStyle name="Output 11 5 4 2" xfId="17247"/>
    <cellStyle name="Output 11 5 4 3" xfId="32043"/>
    <cellStyle name="Output 11 5 4 4" xfId="32044"/>
    <cellStyle name="Output 11 5 5" xfId="17248"/>
    <cellStyle name="Output 11 5 5 2" xfId="17249"/>
    <cellStyle name="Output 11 5 5 3" xfId="32045"/>
    <cellStyle name="Output 11 5 5 4" xfId="32046"/>
    <cellStyle name="Output 11 5 6" xfId="17250"/>
    <cellStyle name="Output 11 5 6 2" xfId="17251"/>
    <cellStyle name="Output 11 5 6 3" xfId="32047"/>
    <cellStyle name="Output 11 5 6 4" xfId="32048"/>
    <cellStyle name="Output 11 5 7" xfId="17252"/>
    <cellStyle name="Output 11 5 7 2" xfId="17253"/>
    <cellStyle name="Output 11 5 7 3" xfId="32049"/>
    <cellStyle name="Output 11 5 7 4" xfId="32050"/>
    <cellStyle name="Output 11 5 8" xfId="17254"/>
    <cellStyle name="Output 11 5 9" xfId="32051"/>
    <cellStyle name="Output 11 6" xfId="17255"/>
    <cellStyle name="Output 11 6 2" xfId="17256"/>
    <cellStyle name="Output 11 6 3" xfId="32052"/>
    <cellStyle name="Output 11 6 4" xfId="32053"/>
    <cellStyle name="Output 11 7" xfId="17257"/>
    <cellStyle name="Output 11 7 2" xfId="17258"/>
    <cellStyle name="Output 11 7 3" xfId="32054"/>
    <cellStyle name="Output 11 7 4" xfId="32055"/>
    <cellStyle name="Output 11 8" xfId="17259"/>
    <cellStyle name="Output 11 8 2" xfId="17260"/>
    <cellStyle name="Output 11 8 3" xfId="32056"/>
    <cellStyle name="Output 11 8 4" xfId="32057"/>
    <cellStyle name="Output 11 9" xfId="17261"/>
    <cellStyle name="Output 11 9 2" xfId="17262"/>
    <cellStyle name="Output 11 9 3" xfId="32058"/>
    <cellStyle name="Output 11 9 4" xfId="32059"/>
    <cellStyle name="Output 12" xfId="17263"/>
    <cellStyle name="Output 12 10" xfId="17264"/>
    <cellStyle name="Output 12 10 2" xfId="17265"/>
    <cellStyle name="Output 12 10 3" xfId="32060"/>
    <cellStyle name="Output 12 10 4" xfId="32061"/>
    <cellStyle name="Output 12 11" xfId="17266"/>
    <cellStyle name="Output 12 11 2" xfId="17267"/>
    <cellStyle name="Output 12 11 3" xfId="32062"/>
    <cellStyle name="Output 12 11 4" xfId="32063"/>
    <cellStyle name="Output 12 12" xfId="17268"/>
    <cellStyle name="Output 12 13" xfId="32064"/>
    <cellStyle name="Output 12 14" xfId="32065"/>
    <cellStyle name="Output 12 2" xfId="17269"/>
    <cellStyle name="Output 12 2 10" xfId="32066"/>
    <cellStyle name="Output 12 2 2" xfId="17270"/>
    <cellStyle name="Output 12 2 2 2" xfId="17271"/>
    <cellStyle name="Output 12 2 2 3" xfId="32067"/>
    <cellStyle name="Output 12 2 2 4" xfId="32068"/>
    <cellStyle name="Output 12 2 3" xfId="17272"/>
    <cellStyle name="Output 12 2 3 2" xfId="17273"/>
    <cellStyle name="Output 12 2 3 3" xfId="32069"/>
    <cellStyle name="Output 12 2 3 4" xfId="32070"/>
    <cellStyle name="Output 12 2 4" xfId="17274"/>
    <cellStyle name="Output 12 2 4 2" xfId="17275"/>
    <cellStyle name="Output 12 2 4 3" xfId="32071"/>
    <cellStyle name="Output 12 2 4 4" xfId="32072"/>
    <cellStyle name="Output 12 2 5" xfId="17276"/>
    <cellStyle name="Output 12 2 5 2" xfId="17277"/>
    <cellStyle name="Output 12 2 5 3" xfId="32073"/>
    <cellStyle name="Output 12 2 5 4" xfId="32074"/>
    <cellStyle name="Output 12 2 6" xfId="17278"/>
    <cellStyle name="Output 12 2 6 2" xfId="17279"/>
    <cellStyle name="Output 12 2 6 3" xfId="32075"/>
    <cellStyle name="Output 12 2 6 4" xfId="32076"/>
    <cellStyle name="Output 12 2 7" xfId="17280"/>
    <cellStyle name="Output 12 2 7 2" xfId="17281"/>
    <cellStyle name="Output 12 2 7 3" xfId="32077"/>
    <cellStyle name="Output 12 2 7 4" xfId="32078"/>
    <cellStyle name="Output 12 2 8" xfId="17282"/>
    <cellStyle name="Output 12 2 9" xfId="32079"/>
    <cellStyle name="Output 12 3" xfId="17283"/>
    <cellStyle name="Output 12 3 10" xfId="32080"/>
    <cellStyle name="Output 12 3 2" xfId="17284"/>
    <cellStyle name="Output 12 3 2 2" xfId="17285"/>
    <cellStyle name="Output 12 3 2 3" xfId="32081"/>
    <cellStyle name="Output 12 3 2 4" xfId="32082"/>
    <cellStyle name="Output 12 3 3" xfId="17286"/>
    <cellStyle name="Output 12 3 3 2" xfId="17287"/>
    <cellStyle name="Output 12 3 3 3" xfId="32083"/>
    <cellStyle name="Output 12 3 3 4" xfId="32084"/>
    <cellStyle name="Output 12 3 4" xfId="17288"/>
    <cellStyle name="Output 12 3 4 2" xfId="17289"/>
    <cellStyle name="Output 12 3 4 3" xfId="32085"/>
    <cellStyle name="Output 12 3 4 4" xfId="32086"/>
    <cellStyle name="Output 12 3 5" xfId="17290"/>
    <cellStyle name="Output 12 3 5 2" xfId="17291"/>
    <cellStyle name="Output 12 3 5 3" xfId="32087"/>
    <cellStyle name="Output 12 3 5 4" xfId="32088"/>
    <cellStyle name="Output 12 3 6" xfId="17292"/>
    <cellStyle name="Output 12 3 6 2" xfId="17293"/>
    <cellStyle name="Output 12 3 6 3" xfId="32089"/>
    <cellStyle name="Output 12 3 6 4" xfId="32090"/>
    <cellStyle name="Output 12 3 7" xfId="17294"/>
    <cellStyle name="Output 12 3 7 2" xfId="17295"/>
    <cellStyle name="Output 12 3 7 3" xfId="32091"/>
    <cellStyle name="Output 12 3 7 4" xfId="32092"/>
    <cellStyle name="Output 12 3 8" xfId="17296"/>
    <cellStyle name="Output 12 3 9" xfId="32093"/>
    <cellStyle name="Output 12 4" xfId="17297"/>
    <cellStyle name="Output 12 4 10" xfId="32094"/>
    <cellStyle name="Output 12 4 2" xfId="17298"/>
    <cellStyle name="Output 12 4 2 2" xfId="17299"/>
    <cellStyle name="Output 12 4 2 3" xfId="32095"/>
    <cellStyle name="Output 12 4 2 4" xfId="32096"/>
    <cellStyle name="Output 12 4 3" xfId="17300"/>
    <cellStyle name="Output 12 4 3 2" xfId="17301"/>
    <cellStyle name="Output 12 4 3 3" xfId="32097"/>
    <cellStyle name="Output 12 4 3 4" xfId="32098"/>
    <cellStyle name="Output 12 4 4" xfId="17302"/>
    <cellStyle name="Output 12 4 4 2" xfId="17303"/>
    <cellStyle name="Output 12 4 4 3" xfId="32099"/>
    <cellStyle name="Output 12 4 4 4" xfId="32100"/>
    <cellStyle name="Output 12 4 5" xfId="17304"/>
    <cellStyle name="Output 12 4 5 2" xfId="17305"/>
    <cellStyle name="Output 12 4 5 3" xfId="32101"/>
    <cellStyle name="Output 12 4 5 4" xfId="32102"/>
    <cellStyle name="Output 12 4 6" xfId="17306"/>
    <cellStyle name="Output 12 4 6 2" xfId="17307"/>
    <cellStyle name="Output 12 4 6 3" xfId="32103"/>
    <cellStyle name="Output 12 4 6 4" xfId="32104"/>
    <cellStyle name="Output 12 4 7" xfId="17308"/>
    <cellStyle name="Output 12 4 7 2" xfId="17309"/>
    <cellStyle name="Output 12 4 7 3" xfId="32105"/>
    <cellStyle name="Output 12 4 7 4" xfId="32106"/>
    <cellStyle name="Output 12 4 8" xfId="17310"/>
    <cellStyle name="Output 12 4 9" xfId="32107"/>
    <cellStyle name="Output 12 5" xfId="17311"/>
    <cellStyle name="Output 12 5 10" xfId="32108"/>
    <cellStyle name="Output 12 5 2" xfId="17312"/>
    <cellStyle name="Output 12 5 2 2" xfId="17313"/>
    <cellStyle name="Output 12 5 2 3" xfId="32109"/>
    <cellStyle name="Output 12 5 2 4" xfId="32110"/>
    <cellStyle name="Output 12 5 3" xfId="17314"/>
    <cellStyle name="Output 12 5 3 2" xfId="17315"/>
    <cellStyle name="Output 12 5 3 3" xfId="32111"/>
    <cellStyle name="Output 12 5 3 4" xfId="32112"/>
    <cellStyle name="Output 12 5 4" xfId="17316"/>
    <cellStyle name="Output 12 5 4 2" xfId="17317"/>
    <cellStyle name="Output 12 5 4 3" xfId="32113"/>
    <cellStyle name="Output 12 5 4 4" xfId="32114"/>
    <cellStyle name="Output 12 5 5" xfId="17318"/>
    <cellStyle name="Output 12 5 5 2" xfId="17319"/>
    <cellStyle name="Output 12 5 5 3" xfId="32115"/>
    <cellStyle name="Output 12 5 5 4" xfId="32116"/>
    <cellStyle name="Output 12 5 6" xfId="17320"/>
    <cellStyle name="Output 12 5 6 2" xfId="17321"/>
    <cellStyle name="Output 12 5 6 3" xfId="32117"/>
    <cellStyle name="Output 12 5 6 4" xfId="32118"/>
    <cellStyle name="Output 12 5 7" xfId="17322"/>
    <cellStyle name="Output 12 5 7 2" xfId="17323"/>
    <cellStyle name="Output 12 5 7 3" xfId="32119"/>
    <cellStyle name="Output 12 5 7 4" xfId="32120"/>
    <cellStyle name="Output 12 5 8" xfId="17324"/>
    <cellStyle name="Output 12 5 9" xfId="32121"/>
    <cellStyle name="Output 12 6" xfId="17325"/>
    <cellStyle name="Output 12 6 2" xfId="17326"/>
    <cellStyle name="Output 12 6 3" xfId="32122"/>
    <cellStyle name="Output 12 6 4" xfId="32123"/>
    <cellStyle name="Output 12 7" xfId="17327"/>
    <cellStyle name="Output 12 7 2" xfId="17328"/>
    <cellStyle name="Output 12 7 3" xfId="32124"/>
    <cellStyle name="Output 12 7 4" xfId="32125"/>
    <cellStyle name="Output 12 8" xfId="17329"/>
    <cellStyle name="Output 12 8 2" xfId="17330"/>
    <cellStyle name="Output 12 8 3" xfId="32126"/>
    <cellStyle name="Output 12 8 4" xfId="32127"/>
    <cellStyle name="Output 12 9" xfId="17331"/>
    <cellStyle name="Output 12 9 2" xfId="17332"/>
    <cellStyle name="Output 12 9 3" xfId="32128"/>
    <cellStyle name="Output 12 9 4" xfId="32129"/>
    <cellStyle name="Output 13" xfId="17333"/>
    <cellStyle name="Output 13 10" xfId="17334"/>
    <cellStyle name="Output 13 10 2" xfId="17335"/>
    <cellStyle name="Output 13 10 3" xfId="32130"/>
    <cellStyle name="Output 13 10 4" xfId="32131"/>
    <cellStyle name="Output 13 11" xfId="17336"/>
    <cellStyle name="Output 13 11 2" xfId="17337"/>
    <cellStyle name="Output 13 11 3" xfId="32132"/>
    <cellStyle name="Output 13 11 4" xfId="32133"/>
    <cellStyle name="Output 13 12" xfId="17338"/>
    <cellStyle name="Output 13 13" xfId="32134"/>
    <cellStyle name="Output 13 14" xfId="32135"/>
    <cellStyle name="Output 13 2" xfId="17339"/>
    <cellStyle name="Output 13 2 10" xfId="32136"/>
    <cellStyle name="Output 13 2 2" xfId="17340"/>
    <cellStyle name="Output 13 2 2 2" xfId="17341"/>
    <cellStyle name="Output 13 2 2 3" xfId="32137"/>
    <cellStyle name="Output 13 2 2 4" xfId="32138"/>
    <cellStyle name="Output 13 2 3" xfId="17342"/>
    <cellStyle name="Output 13 2 3 2" xfId="17343"/>
    <cellStyle name="Output 13 2 3 3" xfId="32139"/>
    <cellStyle name="Output 13 2 3 4" xfId="32140"/>
    <cellStyle name="Output 13 2 4" xfId="17344"/>
    <cellStyle name="Output 13 2 4 2" xfId="17345"/>
    <cellStyle name="Output 13 2 4 3" xfId="32141"/>
    <cellStyle name="Output 13 2 4 4" xfId="32142"/>
    <cellStyle name="Output 13 2 5" xfId="17346"/>
    <cellStyle name="Output 13 2 5 2" xfId="17347"/>
    <cellStyle name="Output 13 2 5 3" xfId="32143"/>
    <cellStyle name="Output 13 2 5 4" xfId="32144"/>
    <cellStyle name="Output 13 2 6" xfId="17348"/>
    <cellStyle name="Output 13 2 6 2" xfId="17349"/>
    <cellStyle name="Output 13 2 6 3" xfId="32145"/>
    <cellStyle name="Output 13 2 6 4" xfId="32146"/>
    <cellStyle name="Output 13 2 7" xfId="17350"/>
    <cellStyle name="Output 13 2 7 2" xfId="17351"/>
    <cellStyle name="Output 13 2 7 3" xfId="32147"/>
    <cellStyle name="Output 13 2 7 4" xfId="32148"/>
    <cellStyle name="Output 13 2 8" xfId="17352"/>
    <cellStyle name="Output 13 2 9" xfId="32149"/>
    <cellStyle name="Output 13 3" xfId="17353"/>
    <cellStyle name="Output 13 3 10" xfId="32150"/>
    <cellStyle name="Output 13 3 2" xfId="17354"/>
    <cellStyle name="Output 13 3 2 2" xfId="17355"/>
    <cellStyle name="Output 13 3 2 3" xfId="32151"/>
    <cellStyle name="Output 13 3 2 4" xfId="32152"/>
    <cellStyle name="Output 13 3 3" xfId="17356"/>
    <cellStyle name="Output 13 3 3 2" xfId="17357"/>
    <cellStyle name="Output 13 3 3 3" xfId="32153"/>
    <cellStyle name="Output 13 3 3 4" xfId="32154"/>
    <cellStyle name="Output 13 3 4" xfId="17358"/>
    <cellStyle name="Output 13 3 4 2" xfId="17359"/>
    <cellStyle name="Output 13 3 4 3" xfId="32155"/>
    <cellStyle name="Output 13 3 4 4" xfId="32156"/>
    <cellStyle name="Output 13 3 5" xfId="17360"/>
    <cellStyle name="Output 13 3 5 2" xfId="17361"/>
    <cellStyle name="Output 13 3 5 3" xfId="32157"/>
    <cellStyle name="Output 13 3 5 4" xfId="32158"/>
    <cellStyle name="Output 13 3 6" xfId="17362"/>
    <cellStyle name="Output 13 3 6 2" xfId="17363"/>
    <cellStyle name="Output 13 3 6 3" xfId="32159"/>
    <cellStyle name="Output 13 3 6 4" xfId="32160"/>
    <cellStyle name="Output 13 3 7" xfId="17364"/>
    <cellStyle name="Output 13 3 7 2" xfId="17365"/>
    <cellStyle name="Output 13 3 7 3" xfId="32161"/>
    <cellStyle name="Output 13 3 7 4" xfId="32162"/>
    <cellStyle name="Output 13 3 8" xfId="17366"/>
    <cellStyle name="Output 13 3 9" xfId="32163"/>
    <cellStyle name="Output 13 4" xfId="17367"/>
    <cellStyle name="Output 13 4 10" xfId="32164"/>
    <cellStyle name="Output 13 4 2" xfId="17368"/>
    <cellStyle name="Output 13 4 2 2" xfId="17369"/>
    <cellStyle name="Output 13 4 2 3" xfId="32165"/>
    <cellStyle name="Output 13 4 2 4" xfId="32166"/>
    <cellStyle name="Output 13 4 3" xfId="17370"/>
    <cellStyle name="Output 13 4 3 2" xfId="17371"/>
    <cellStyle name="Output 13 4 3 3" xfId="32167"/>
    <cellStyle name="Output 13 4 3 4" xfId="32168"/>
    <cellStyle name="Output 13 4 4" xfId="17372"/>
    <cellStyle name="Output 13 4 4 2" xfId="17373"/>
    <cellStyle name="Output 13 4 4 3" xfId="32169"/>
    <cellStyle name="Output 13 4 4 4" xfId="32170"/>
    <cellStyle name="Output 13 4 5" xfId="17374"/>
    <cellStyle name="Output 13 4 5 2" xfId="17375"/>
    <cellStyle name="Output 13 4 5 3" xfId="32171"/>
    <cellStyle name="Output 13 4 5 4" xfId="32172"/>
    <cellStyle name="Output 13 4 6" xfId="17376"/>
    <cellStyle name="Output 13 4 6 2" xfId="17377"/>
    <cellStyle name="Output 13 4 6 3" xfId="32173"/>
    <cellStyle name="Output 13 4 6 4" xfId="32174"/>
    <cellStyle name="Output 13 4 7" xfId="17378"/>
    <cellStyle name="Output 13 4 7 2" xfId="17379"/>
    <cellStyle name="Output 13 4 7 3" xfId="32175"/>
    <cellStyle name="Output 13 4 7 4" xfId="32176"/>
    <cellStyle name="Output 13 4 8" xfId="17380"/>
    <cellStyle name="Output 13 4 9" xfId="32177"/>
    <cellStyle name="Output 13 5" xfId="17381"/>
    <cellStyle name="Output 13 5 10" xfId="32178"/>
    <cellStyle name="Output 13 5 2" xfId="17382"/>
    <cellStyle name="Output 13 5 2 2" xfId="17383"/>
    <cellStyle name="Output 13 5 2 3" xfId="32179"/>
    <cellStyle name="Output 13 5 2 4" xfId="32180"/>
    <cellStyle name="Output 13 5 3" xfId="17384"/>
    <cellStyle name="Output 13 5 3 2" xfId="17385"/>
    <cellStyle name="Output 13 5 3 3" xfId="32181"/>
    <cellStyle name="Output 13 5 3 4" xfId="32182"/>
    <cellStyle name="Output 13 5 4" xfId="17386"/>
    <cellStyle name="Output 13 5 4 2" xfId="17387"/>
    <cellStyle name="Output 13 5 4 3" xfId="32183"/>
    <cellStyle name="Output 13 5 4 4" xfId="32184"/>
    <cellStyle name="Output 13 5 5" xfId="17388"/>
    <cellStyle name="Output 13 5 5 2" xfId="17389"/>
    <cellStyle name="Output 13 5 5 3" xfId="32185"/>
    <cellStyle name="Output 13 5 5 4" xfId="32186"/>
    <cellStyle name="Output 13 5 6" xfId="17390"/>
    <cellStyle name="Output 13 5 6 2" xfId="17391"/>
    <cellStyle name="Output 13 5 6 3" xfId="32187"/>
    <cellStyle name="Output 13 5 6 4" xfId="32188"/>
    <cellStyle name="Output 13 5 7" xfId="17392"/>
    <cellStyle name="Output 13 5 7 2" xfId="17393"/>
    <cellStyle name="Output 13 5 7 3" xfId="32189"/>
    <cellStyle name="Output 13 5 7 4" xfId="32190"/>
    <cellStyle name="Output 13 5 8" xfId="17394"/>
    <cellStyle name="Output 13 5 9" xfId="32191"/>
    <cellStyle name="Output 13 6" xfId="17395"/>
    <cellStyle name="Output 13 6 2" xfId="17396"/>
    <cellStyle name="Output 13 6 3" xfId="32192"/>
    <cellStyle name="Output 13 6 4" xfId="32193"/>
    <cellStyle name="Output 13 7" xfId="17397"/>
    <cellStyle name="Output 13 7 2" xfId="17398"/>
    <cellStyle name="Output 13 7 3" xfId="32194"/>
    <cellStyle name="Output 13 7 4" xfId="32195"/>
    <cellStyle name="Output 13 8" xfId="17399"/>
    <cellStyle name="Output 13 8 2" xfId="17400"/>
    <cellStyle name="Output 13 8 3" xfId="32196"/>
    <cellStyle name="Output 13 8 4" xfId="32197"/>
    <cellStyle name="Output 13 9" xfId="17401"/>
    <cellStyle name="Output 13 9 2" xfId="17402"/>
    <cellStyle name="Output 13 9 3" xfId="32198"/>
    <cellStyle name="Output 13 9 4" xfId="32199"/>
    <cellStyle name="Output 14" xfId="17403"/>
    <cellStyle name="Output 14 10" xfId="17404"/>
    <cellStyle name="Output 14 10 2" xfId="17405"/>
    <cellStyle name="Output 14 10 3" xfId="32200"/>
    <cellStyle name="Output 14 10 4" xfId="32201"/>
    <cellStyle name="Output 14 11" xfId="17406"/>
    <cellStyle name="Output 14 11 2" xfId="17407"/>
    <cellStyle name="Output 14 11 3" xfId="32202"/>
    <cellStyle name="Output 14 11 4" xfId="32203"/>
    <cellStyle name="Output 14 12" xfId="17408"/>
    <cellStyle name="Output 14 13" xfId="32204"/>
    <cellStyle name="Output 14 14" xfId="32205"/>
    <cellStyle name="Output 14 2" xfId="17409"/>
    <cellStyle name="Output 14 2 10" xfId="32206"/>
    <cellStyle name="Output 14 2 2" xfId="17410"/>
    <cellStyle name="Output 14 2 2 2" xfId="17411"/>
    <cellStyle name="Output 14 2 2 3" xfId="32207"/>
    <cellStyle name="Output 14 2 2 4" xfId="32208"/>
    <cellStyle name="Output 14 2 3" xfId="17412"/>
    <cellStyle name="Output 14 2 3 2" xfId="17413"/>
    <cellStyle name="Output 14 2 3 3" xfId="32209"/>
    <cellStyle name="Output 14 2 3 4" xfId="32210"/>
    <cellStyle name="Output 14 2 4" xfId="17414"/>
    <cellStyle name="Output 14 2 4 2" xfId="17415"/>
    <cellStyle name="Output 14 2 4 3" xfId="32211"/>
    <cellStyle name="Output 14 2 4 4" xfId="32212"/>
    <cellStyle name="Output 14 2 5" xfId="17416"/>
    <cellStyle name="Output 14 2 5 2" xfId="17417"/>
    <cellStyle name="Output 14 2 5 3" xfId="32213"/>
    <cellStyle name="Output 14 2 5 4" xfId="32214"/>
    <cellStyle name="Output 14 2 6" xfId="17418"/>
    <cellStyle name="Output 14 2 6 2" xfId="17419"/>
    <cellStyle name="Output 14 2 6 3" xfId="32215"/>
    <cellStyle name="Output 14 2 6 4" xfId="32216"/>
    <cellStyle name="Output 14 2 7" xfId="17420"/>
    <cellStyle name="Output 14 2 7 2" xfId="17421"/>
    <cellStyle name="Output 14 2 7 3" xfId="32217"/>
    <cellStyle name="Output 14 2 7 4" xfId="32218"/>
    <cellStyle name="Output 14 2 8" xfId="17422"/>
    <cellStyle name="Output 14 2 9" xfId="32219"/>
    <cellStyle name="Output 14 3" xfId="17423"/>
    <cellStyle name="Output 14 3 10" xfId="32220"/>
    <cellStyle name="Output 14 3 2" xfId="17424"/>
    <cellStyle name="Output 14 3 2 2" xfId="17425"/>
    <cellStyle name="Output 14 3 2 3" xfId="32221"/>
    <cellStyle name="Output 14 3 2 4" xfId="32222"/>
    <cellStyle name="Output 14 3 3" xfId="17426"/>
    <cellStyle name="Output 14 3 3 2" xfId="17427"/>
    <cellStyle name="Output 14 3 3 3" xfId="32223"/>
    <cellStyle name="Output 14 3 3 4" xfId="32224"/>
    <cellStyle name="Output 14 3 4" xfId="17428"/>
    <cellStyle name="Output 14 3 4 2" xfId="17429"/>
    <cellStyle name="Output 14 3 4 3" xfId="32225"/>
    <cellStyle name="Output 14 3 4 4" xfId="32226"/>
    <cellStyle name="Output 14 3 5" xfId="17430"/>
    <cellStyle name="Output 14 3 5 2" xfId="17431"/>
    <cellStyle name="Output 14 3 5 3" xfId="32227"/>
    <cellStyle name="Output 14 3 5 4" xfId="32228"/>
    <cellStyle name="Output 14 3 6" xfId="17432"/>
    <cellStyle name="Output 14 3 6 2" xfId="17433"/>
    <cellStyle name="Output 14 3 6 3" xfId="32229"/>
    <cellStyle name="Output 14 3 6 4" xfId="32230"/>
    <cellStyle name="Output 14 3 7" xfId="17434"/>
    <cellStyle name="Output 14 3 7 2" xfId="17435"/>
    <cellStyle name="Output 14 3 7 3" xfId="32231"/>
    <cellStyle name="Output 14 3 7 4" xfId="32232"/>
    <cellStyle name="Output 14 3 8" xfId="17436"/>
    <cellStyle name="Output 14 3 9" xfId="32233"/>
    <cellStyle name="Output 14 4" xfId="17437"/>
    <cellStyle name="Output 14 4 10" xfId="32234"/>
    <cellStyle name="Output 14 4 2" xfId="17438"/>
    <cellStyle name="Output 14 4 2 2" xfId="17439"/>
    <cellStyle name="Output 14 4 2 3" xfId="32235"/>
    <cellStyle name="Output 14 4 2 4" xfId="32236"/>
    <cellStyle name="Output 14 4 3" xfId="17440"/>
    <cellStyle name="Output 14 4 3 2" xfId="17441"/>
    <cellStyle name="Output 14 4 3 3" xfId="32237"/>
    <cellStyle name="Output 14 4 3 4" xfId="32238"/>
    <cellStyle name="Output 14 4 4" xfId="17442"/>
    <cellStyle name="Output 14 4 4 2" xfId="17443"/>
    <cellStyle name="Output 14 4 4 3" xfId="32239"/>
    <cellStyle name="Output 14 4 4 4" xfId="32240"/>
    <cellStyle name="Output 14 4 5" xfId="17444"/>
    <cellStyle name="Output 14 4 5 2" xfId="17445"/>
    <cellStyle name="Output 14 4 5 3" xfId="32241"/>
    <cellStyle name="Output 14 4 5 4" xfId="32242"/>
    <cellStyle name="Output 14 4 6" xfId="17446"/>
    <cellStyle name="Output 14 4 6 2" xfId="17447"/>
    <cellStyle name="Output 14 4 6 3" xfId="32243"/>
    <cellStyle name="Output 14 4 6 4" xfId="32244"/>
    <cellStyle name="Output 14 4 7" xfId="17448"/>
    <cellStyle name="Output 14 4 7 2" xfId="17449"/>
    <cellStyle name="Output 14 4 7 3" xfId="32245"/>
    <cellStyle name="Output 14 4 7 4" xfId="32246"/>
    <cellStyle name="Output 14 4 8" xfId="17450"/>
    <cellStyle name="Output 14 4 9" xfId="32247"/>
    <cellStyle name="Output 14 5" xfId="17451"/>
    <cellStyle name="Output 14 5 10" xfId="32248"/>
    <cellStyle name="Output 14 5 2" xfId="17452"/>
    <cellStyle name="Output 14 5 2 2" xfId="17453"/>
    <cellStyle name="Output 14 5 2 3" xfId="32249"/>
    <cellStyle name="Output 14 5 2 4" xfId="32250"/>
    <cellStyle name="Output 14 5 3" xfId="17454"/>
    <cellStyle name="Output 14 5 3 2" xfId="17455"/>
    <cellStyle name="Output 14 5 3 3" xfId="32251"/>
    <cellStyle name="Output 14 5 3 4" xfId="32252"/>
    <cellStyle name="Output 14 5 4" xfId="17456"/>
    <cellStyle name="Output 14 5 4 2" xfId="17457"/>
    <cellStyle name="Output 14 5 4 3" xfId="32253"/>
    <cellStyle name="Output 14 5 4 4" xfId="32254"/>
    <cellStyle name="Output 14 5 5" xfId="17458"/>
    <cellStyle name="Output 14 5 5 2" xfId="17459"/>
    <cellStyle name="Output 14 5 5 3" xfId="32255"/>
    <cellStyle name="Output 14 5 5 4" xfId="32256"/>
    <cellStyle name="Output 14 5 6" xfId="17460"/>
    <cellStyle name="Output 14 5 6 2" xfId="17461"/>
    <cellStyle name="Output 14 5 6 3" xfId="32257"/>
    <cellStyle name="Output 14 5 6 4" xfId="32258"/>
    <cellStyle name="Output 14 5 7" xfId="17462"/>
    <cellStyle name="Output 14 5 7 2" xfId="17463"/>
    <cellStyle name="Output 14 5 7 3" xfId="32259"/>
    <cellStyle name="Output 14 5 7 4" xfId="32260"/>
    <cellStyle name="Output 14 5 8" xfId="17464"/>
    <cellStyle name="Output 14 5 9" xfId="32261"/>
    <cellStyle name="Output 14 6" xfId="17465"/>
    <cellStyle name="Output 14 6 2" xfId="17466"/>
    <cellStyle name="Output 14 6 3" xfId="32262"/>
    <cellStyle name="Output 14 6 4" xfId="32263"/>
    <cellStyle name="Output 14 7" xfId="17467"/>
    <cellStyle name="Output 14 7 2" xfId="17468"/>
    <cellStyle name="Output 14 7 3" xfId="32264"/>
    <cellStyle name="Output 14 7 4" xfId="32265"/>
    <cellStyle name="Output 14 8" xfId="17469"/>
    <cellStyle name="Output 14 8 2" xfId="17470"/>
    <cellStyle name="Output 14 8 3" xfId="32266"/>
    <cellStyle name="Output 14 8 4" xfId="32267"/>
    <cellStyle name="Output 14 9" xfId="17471"/>
    <cellStyle name="Output 14 9 2" xfId="17472"/>
    <cellStyle name="Output 14 9 3" xfId="32268"/>
    <cellStyle name="Output 14 9 4" xfId="32269"/>
    <cellStyle name="Output 15" xfId="17473"/>
    <cellStyle name="Output 15 10" xfId="17474"/>
    <cellStyle name="Output 15 10 2" xfId="17475"/>
    <cellStyle name="Output 15 10 3" xfId="32270"/>
    <cellStyle name="Output 15 10 4" xfId="32271"/>
    <cellStyle name="Output 15 11" xfId="17476"/>
    <cellStyle name="Output 15 11 2" xfId="17477"/>
    <cellStyle name="Output 15 11 3" xfId="32272"/>
    <cellStyle name="Output 15 11 4" xfId="32273"/>
    <cellStyle name="Output 15 12" xfId="17478"/>
    <cellStyle name="Output 15 13" xfId="32274"/>
    <cellStyle name="Output 15 14" xfId="32275"/>
    <cellStyle name="Output 15 2" xfId="17479"/>
    <cellStyle name="Output 15 2 10" xfId="32276"/>
    <cellStyle name="Output 15 2 2" xfId="17480"/>
    <cellStyle name="Output 15 2 2 2" xfId="17481"/>
    <cellStyle name="Output 15 2 2 3" xfId="32277"/>
    <cellStyle name="Output 15 2 2 4" xfId="32278"/>
    <cellStyle name="Output 15 2 3" xfId="17482"/>
    <cellStyle name="Output 15 2 3 2" xfId="17483"/>
    <cellStyle name="Output 15 2 3 3" xfId="32279"/>
    <cellStyle name="Output 15 2 3 4" xfId="32280"/>
    <cellStyle name="Output 15 2 4" xfId="17484"/>
    <cellStyle name="Output 15 2 4 2" xfId="17485"/>
    <cellStyle name="Output 15 2 4 3" xfId="32281"/>
    <cellStyle name="Output 15 2 4 4" xfId="32282"/>
    <cellStyle name="Output 15 2 5" xfId="17486"/>
    <cellStyle name="Output 15 2 5 2" xfId="17487"/>
    <cellStyle name="Output 15 2 5 3" xfId="32283"/>
    <cellStyle name="Output 15 2 5 4" xfId="32284"/>
    <cellStyle name="Output 15 2 6" xfId="17488"/>
    <cellStyle name="Output 15 2 6 2" xfId="17489"/>
    <cellStyle name="Output 15 2 6 3" xfId="32285"/>
    <cellStyle name="Output 15 2 6 4" xfId="32286"/>
    <cellStyle name="Output 15 2 7" xfId="17490"/>
    <cellStyle name="Output 15 2 7 2" xfId="17491"/>
    <cellStyle name="Output 15 2 7 3" xfId="32287"/>
    <cellStyle name="Output 15 2 7 4" xfId="32288"/>
    <cellStyle name="Output 15 2 8" xfId="17492"/>
    <cellStyle name="Output 15 2 9" xfId="32289"/>
    <cellStyle name="Output 15 3" xfId="17493"/>
    <cellStyle name="Output 15 3 10" xfId="32290"/>
    <cellStyle name="Output 15 3 2" xfId="17494"/>
    <cellStyle name="Output 15 3 2 2" xfId="17495"/>
    <cellStyle name="Output 15 3 2 3" xfId="32291"/>
    <cellStyle name="Output 15 3 2 4" xfId="32292"/>
    <cellStyle name="Output 15 3 3" xfId="17496"/>
    <cellStyle name="Output 15 3 3 2" xfId="17497"/>
    <cellStyle name="Output 15 3 3 3" xfId="32293"/>
    <cellStyle name="Output 15 3 3 4" xfId="32294"/>
    <cellStyle name="Output 15 3 4" xfId="17498"/>
    <cellStyle name="Output 15 3 4 2" xfId="17499"/>
    <cellStyle name="Output 15 3 4 3" xfId="32295"/>
    <cellStyle name="Output 15 3 4 4" xfId="32296"/>
    <cellStyle name="Output 15 3 5" xfId="17500"/>
    <cellStyle name="Output 15 3 5 2" xfId="17501"/>
    <cellStyle name="Output 15 3 5 3" xfId="32297"/>
    <cellStyle name="Output 15 3 5 4" xfId="32298"/>
    <cellStyle name="Output 15 3 6" xfId="17502"/>
    <cellStyle name="Output 15 3 6 2" xfId="17503"/>
    <cellStyle name="Output 15 3 6 3" xfId="32299"/>
    <cellStyle name="Output 15 3 6 4" xfId="32300"/>
    <cellStyle name="Output 15 3 7" xfId="17504"/>
    <cellStyle name="Output 15 3 7 2" xfId="17505"/>
    <cellStyle name="Output 15 3 7 3" xfId="32301"/>
    <cellStyle name="Output 15 3 7 4" xfId="32302"/>
    <cellStyle name="Output 15 3 8" xfId="17506"/>
    <cellStyle name="Output 15 3 9" xfId="32303"/>
    <cellStyle name="Output 15 4" xfId="17507"/>
    <cellStyle name="Output 15 4 10" xfId="32304"/>
    <cellStyle name="Output 15 4 2" xfId="17508"/>
    <cellStyle name="Output 15 4 2 2" xfId="17509"/>
    <cellStyle name="Output 15 4 2 3" xfId="32305"/>
    <cellStyle name="Output 15 4 2 4" xfId="32306"/>
    <cellStyle name="Output 15 4 3" xfId="17510"/>
    <cellStyle name="Output 15 4 3 2" xfId="17511"/>
    <cellStyle name="Output 15 4 3 3" xfId="32307"/>
    <cellStyle name="Output 15 4 3 4" xfId="32308"/>
    <cellStyle name="Output 15 4 4" xfId="17512"/>
    <cellStyle name="Output 15 4 4 2" xfId="17513"/>
    <cellStyle name="Output 15 4 4 3" xfId="32309"/>
    <cellStyle name="Output 15 4 4 4" xfId="32310"/>
    <cellStyle name="Output 15 4 5" xfId="17514"/>
    <cellStyle name="Output 15 4 5 2" xfId="17515"/>
    <cellStyle name="Output 15 4 5 3" xfId="32311"/>
    <cellStyle name="Output 15 4 5 4" xfId="32312"/>
    <cellStyle name="Output 15 4 6" xfId="17516"/>
    <cellStyle name="Output 15 4 6 2" xfId="17517"/>
    <cellStyle name="Output 15 4 6 3" xfId="32313"/>
    <cellStyle name="Output 15 4 6 4" xfId="32314"/>
    <cellStyle name="Output 15 4 7" xfId="17518"/>
    <cellStyle name="Output 15 4 7 2" xfId="17519"/>
    <cellStyle name="Output 15 4 7 3" xfId="32315"/>
    <cellStyle name="Output 15 4 7 4" xfId="32316"/>
    <cellStyle name="Output 15 4 8" xfId="17520"/>
    <cellStyle name="Output 15 4 9" xfId="32317"/>
    <cellStyle name="Output 15 5" xfId="17521"/>
    <cellStyle name="Output 15 5 10" xfId="32318"/>
    <cellStyle name="Output 15 5 2" xfId="17522"/>
    <cellStyle name="Output 15 5 2 2" xfId="17523"/>
    <cellStyle name="Output 15 5 2 3" xfId="32319"/>
    <cellStyle name="Output 15 5 2 4" xfId="32320"/>
    <cellStyle name="Output 15 5 3" xfId="17524"/>
    <cellStyle name="Output 15 5 3 2" xfId="17525"/>
    <cellStyle name="Output 15 5 3 3" xfId="32321"/>
    <cellStyle name="Output 15 5 3 4" xfId="32322"/>
    <cellStyle name="Output 15 5 4" xfId="17526"/>
    <cellStyle name="Output 15 5 4 2" xfId="17527"/>
    <cellStyle name="Output 15 5 4 3" xfId="32323"/>
    <cellStyle name="Output 15 5 4 4" xfId="32324"/>
    <cellStyle name="Output 15 5 5" xfId="17528"/>
    <cellStyle name="Output 15 5 5 2" xfId="17529"/>
    <cellStyle name="Output 15 5 5 3" xfId="32325"/>
    <cellStyle name="Output 15 5 5 4" xfId="32326"/>
    <cellStyle name="Output 15 5 6" xfId="17530"/>
    <cellStyle name="Output 15 5 6 2" xfId="17531"/>
    <cellStyle name="Output 15 5 6 3" xfId="32327"/>
    <cellStyle name="Output 15 5 6 4" xfId="32328"/>
    <cellStyle name="Output 15 5 7" xfId="17532"/>
    <cellStyle name="Output 15 5 7 2" xfId="17533"/>
    <cellStyle name="Output 15 5 7 3" xfId="32329"/>
    <cellStyle name="Output 15 5 7 4" xfId="32330"/>
    <cellStyle name="Output 15 5 8" xfId="17534"/>
    <cellStyle name="Output 15 5 9" xfId="32331"/>
    <cellStyle name="Output 15 6" xfId="17535"/>
    <cellStyle name="Output 15 6 2" xfId="17536"/>
    <cellStyle name="Output 15 6 3" xfId="32332"/>
    <cellStyle name="Output 15 6 4" xfId="32333"/>
    <cellStyle name="Output 15 7" xfId="17537"/>
    <cellStyle name="Output 15 7 2" xfId="17538"/>
    <cellStyle name="Output 15 7 3" xfId="32334"/>
    <cellStyle name="Output 15 7 4" xfId="32335"/>
    <cellStyle name="Output 15 8" xfId="17539"/>
    <cellStyle name="Output 15 8 2" xfId="17540"/>
    <cellStyle name="Output 15 8 3" xfId="32336"/>
    <cellStyle name="Output 15 8 4" xfId="32337"/>
    <cellStyle name="Output 15 9" xfId="17541"/>
    <cellStyle name="Output 15 9 2" xfId="17542"/>
    <cellStyle name="Output 15 9 3" xfId="32338"/>
    <cellStyle name="Output 15 9 4" xfId="32339"/>
    <cellStyle name="Output 16" xfId="17543"/>
    <cellStyle name="Output 16 10" xfId="17544"/>
    <cellStyle name="Output 16 10 2" xfId="17545"/>
    <cellStyle name="Output 16 10 3" xfId="32340"/>
    <cellStyle name="Output 16 10 4" xfId="32341"/>
    <cellStyle name="Output 16 11" xfId="17546"/>
    <cellStyle name="Output 16 11 2" xfId="17547"/>
    <cellStyle name="Output 16 11 3" xfId="32342"/>
    <cellStyle name="Output 16 11 4" xfId="32343"/>
    <cellStyle name="Output 16 12" xfId="17548"/>
    <cellStyle name="Output 16 13" xfId="32344"/>
    <cellStyle name="Output 16 14" xfId="32345"/>
    <cellStyle name="Output 16 2" xfId="17549"/>
    <cellStyle name="Output 16 2 10" xfId="32346"/>
    <cellStyle name="Output 16 2 2" xfId="17550"/>
    <cellStyle name="Output 16 2 2 2" xfId="17551"/>
    <cellStyle name="Output 16 2 2 3" xfId="32347"/>
    <cellStyle name="Output 16 2 2 4" xfId="32348"/>
    <cellStyle name="Output 16 2 3" xfId="17552"/>
    <cellStyle name="Output 16 2 3 2" xfId="17553"/>
    <cellStyle name="Output 16 2 3 3" xfId="32349"/>
    <cellStyle name="Output 16 2 3 4" xfId="32350"/>
    <cellStyle name="Output 16 2 4" xfId="17554"/>
    <cellStyle name="Output 16 2 4 2" xfId="17555"/>
    <cellStyle name="Output 16 2 4 3" xfId="32351"/>
    <cellStyle name="Output 16 2 4 4" xfId="32352"/>
    <cellStyle name="Output 16 2 5" xfId="17556"/>
    <cellStyle name="Output 16 2 5 2" xfId="17557"/>
    <cellStyle name="Output 16 2 5 3" xfId="32353"/>
    <cellStyle name="Output 16 2 5 4" xfId="32354"/>
    <cellStyle name="Output 16 2 6" xfId="17558"/>
    <cellStyle name="Output 16 2 6 2" xfId="17559"/>
    <cellStyle name="Output 16 2 6 3" xfId="32355"/>
    <cellStyle name="Output 16 2 6 4" xfId="32356"/>
    <cellStyle name="Output 16 2 7" xfId="17560"/>
    <cellStyle name="Output 16 2 7 2" xfId="17561"/>
    <cellStyle name="Output 16 2 7 3" xfId="32357"/>
    <cellStyle name="Output 16 2 7 4" xfId="32358"/>
    <cellStyle name="Output 16 2 8" xfId="17562"/>
    <cellStyle name="Output 16 2 9" xfId="32359"/>
    <cellStyle name="Output 16 3" xfId="17563"/>
    <cellStyle name="Output 16 3 10" xfId="32360"/>
    <cellStyle name="Output 16 3 2" xfId="17564"/>
    <cellStyle name="Output 16 3 2 2" xfId="17565"/>
    <cellStyle name="Output 16 3 2 3" xfId="32361"/>
    <cellStyle name="Output 16 3 2 4" xfId="32362"/>
    <cellStyle name="Output 16 3 3" xfId="17566"/>
    <cellStyle name="Output 16 3 3 2" xfId="17567"/>
    <cellStyle name="Output 16 3 3 3" xfId="32363"/>
    <cellStyle name="Output 16 3 3 4" xfId="32364"/>
    <cellStyle name="Output 16 3 4" xfId="17568"/>
    <cellStyle name="Output 16 3 4 2" xfId="17569"/>
    <cellStyle name="Output 16 3 4 3" xfId="32365"/>
    <cellStyle name="Output 16 3 4 4" xfId="32366"/>
    <cellStyle name="Output 16 3 5" xfId="17570"/>
    <cellStyle name="Output 16 3 5 2" xfId="17571"/>
    <cellStyle name="Output 16 3 5 3" xfId="32367"/>
    <cellStyle name="Output 16 3 5 4" xfId="32368"/>
    <cellStyle name="Output 16 3 6" xfId="17572"/>
    <cellStyle name="Output 16 3 6 2" xfId="17573"/>
    <cellStyle name="Output 16 3 6 3" xfId="32369"/>
    <cellStyle name="Output 16 3 6 4" xfId="32370"/>
    <cellStyle name="Output 16 3 7" xfId="17574"/>
    <cellStyle name="Output 16 3 7 2" xfId="17575"/>
    <cellStyle name="Output 16 3 7 3" xfId="32371"/>
    <cellStyle name="Output 16 3 7 4" xfId="32372"/>
    <cellStyle name="Output 16 3 8" xfId="17576"/>
    <cellStyle name="Output 16 3 9" xfId="32373"/>
    <cellStyle name="Output 16 4" xfId="17577"/>
    <cellStyle name="Output 16 4 10" xfId="32374"/>
    <cellStyle name="Output 16 4 2" xfId="17578"/>
    <cellStyle name="Output 16 4 2 2" xfId="17579"/>
    <cellStyle name="Output 16 4 2 3" xfId="32375"/>
    <cellStyle name="Output 16 4 2 4" xfId="32376"/>
    <cellStyle name="Output 16 4 3" xfId="17580"/>
    <cellStyle name="Output 16 4 3 2" xfId="17581"/>
    <cellStyle name="Output 16 4 3 3" xfId="32377"/>
    <cellStyle name="Output 16 4 3 4" xfId="32378"/>
    <cellStyle name="Output 16 4 4" xfId="17582"/>
    <cellStyle name="Output 16 4 4 2" xfId="17583"/>
    <cellStyle name="Output 16 4 4 3" xfId="32379"/>
    <cellStyle name="Output 16 4 4 4" xfId="32380"/>
    <cellStyle name="Output 16 4 5" xfId="17584"/>
    <cellStyle name="Output 16 4 5 2" xfId="17585"/>
    <cellStyle name="Output 16 4 5 3" xfId="32381"/>
    <cellStyle name="Output 16 4 5 4" xfId="32382"/>
    <cellStyle name="Output 16 4 6" xfId="17586"/>
    <cellStyle name="Output 16 4 6 2" xfId="17587"/>
    <cellStyle name="Output 16 4 6 3" xfId="32383"/>
    <cellStyle name="Output 16 4 6 4" xfId="32384"/>
    <cellStyle name="Output 16 4 7" xfId="17588"/>
    <cellStyle name="Output 16 4 7 2" xfId="17589"/>
    <cellStyle name="Output 16 4 7 3" xfId="32385"/>
    <cellStyle name="Output 16 4 7 4" xfId="32386"/>
    <cellStyle name="Output 16 4 8" xfId="17590"/>
    <cellStyle name="Output 16 4 9" xfId="32387"/>
    <cellStyle name="Output 16 5" xfId="17591"/>
    <cellStyle name="Output 16 5 10" xfId="32388"/>
    <cellStyle name="Output 16 5 2" xfId="17592"/>
    <cellStyle name="Output 16 5 2 2" xfId="17593"/>
    <cellStyle name="Output 16 5 2 3" xfId="32389"/>
    <cellStyle name="Output 16 5 2 4" xfId="32390"/>
    <cellStyle name="Output 16 5 3" xfId="17594"/>
    <cellStyle name="Output 16 5 3 2" xfId="17595"/>
    <cellStyle name="Output 16 5 3 3" xfId="32391"/>
    <cellStyle name="Output 16 5 3 4" xfId="32392"/>
    <cellStyle name="Output 16 5 4" xfId="17596"/>
    <cellStyle name="Output 16 5 4 2" xfId="17597"/>
    <cellStyle name="Output 16 5 4 3" xfId="32393"/>
    <cellStyle name="Output 16 5 4 4" xfId="32394"/>
    <cellStyle name="Output 16 5 5" xfId="17598"/>
    <cellStyle name="Output 16 5 5 2" xfId="17599"/>
    <cellStyle name="Output 16 5 5 3" xfId="32395"/>
    <cellStyle name="Output 16 5 5 4" xfId="32396"/>
    <cellStyle name="Output 16 5 6" xfId="17600"/>
    <cellStyle name="Output 16 5 6 2" xfId="17601"/>
    <cellStyle name="Output 16 5 6 3" xfId="32397"/>
    <cellStyle name="Output 16 5 6 4" xfId="32398"/>
    <cellStyle name="Output 16 5 7" xfId="17602"/>
    <cellStyle name="Output 16 5 7 2" xfId="17603"/>
    <cellStyle name="Output 16 5 7 3" xfId="32399"/>
    <cellStyle name="Output 16 5 7 4" xfId="32400"/>
    <cellStyle name="Output 16 5 8" xfId="17604"/>
    <cellStyle name="Output 16 5 9" xfId="32401"/>
    <cellStyle name="Output 16 6" xfId="17605"/>
    <cellStyle name="Output 16 6 2" xfId="17606"/>
    <cellStyle name="Output 16 6 3" xfId="32402"/>
    <cellStyle name="Output 16 6 4" xfId="32403"/>
    <cellStyle name="Output 16 7" xfId="17607"/>
    <cellStyle name="Output 16 7 2" xfId="17608"/>
    <cellStyle name="Output 16 7 3" xfId="32404"/>
    <cellStyle name="Output 16 7 4" xfId="32405"/>
    <cellStyle name="Output 16 8" xfId="17609"/>
    <cellStyle name="Output 16 8 2" xfId="17610"/>
    <cellStyle name="Output 16 8 3" xfId="32406"/>
    <cellStyle name="Output 16 8 4" xfId="32407"/>
    <cellStyle name="Output 16 9" xfId="17611"/>
    <cellStyle name="Output 16 9 2" xfId="17612"/>
    <cellStyle name="Output 16 9 3" xfId="32408"/>
    <cellStyle name="Output 16 9 4" xfId="32409"/>
    <cellStyle name="Output 17" xfId="17613"/>
    <cellStyle name="Output 17 10" xfId="17614"/>
    <cellStyle name="Output 17 10 2" xfId="17615"/>
    <cellStyle name="Output 17 10 3" xfId="32410"/>
    <cellStyle name="Output 17 10 4" xfId="32411"/>
    <cellStyle name="Output 17 11" xfId="17616"/>
    <cellStyle name="Output 17 11 2" xfId="17617"/>
    <cellStyle name="Output 17 11 3" xfId="32412"/>
    <cellStyle name="Output 17 11 4" xfId="32413"/>
    <cellStyle name="Output 17 12" xfId="17618"/>
    <cellStyle name="Output 17 13" xfId="32414"/>
    <cellStyle name="Output 17 14" xfId="32415"/>
    <cellStyle name="Output 17 2" xfId="17619"/>
    <cellStyle name="Output 17 2 10" xfId="32416"/>
    <cellStyle name="Output 17 2 2" xfId="17620"/>
    <cellStyle name="Output 17 2 2 2" xfId="17621"/>
    <cellStyle name="Output 17 2 2 3" xfId="32417"/>
    <cellStyle name="Output 17 2 2 4" xfId="32418"/>
    <cellStyle name="Output 17 2 3" xfId="17622"/>
    <cellStyle name="Output 17 2 3 2" xfId="17623"/>
    <cellStyle name="Output 17 2 3 3" xfId="32419"/>
    <cellStyle name="Output 17 2 3 4" xfId="32420"/>
    <cellStyle name="Output 17 2 4" xfId="17624"/>
    <cellStyle name="Output 17 2 4 2" xfId="17625"/>
    <cellStyle name="Output 17 2 4 3" xfId="32421"/>
    <cellStyle name="Output 17 2 4 4" xfId="32422"/>
    <cellStyle name="Output 17 2 5" xfId="17626"/>
    <cellStyle name="Output 17 2 5 2" xfId="17627"/>
    <cellStyle name="Output 17 2 5 3" xfId="32423"/>
    <cellStyle name="Output 17 2 5 4" xfId="32424"/>
    <cellStyle name="Output 17 2 6" xfId="17628"/>
    <cellStyle name="Output 17 2 6 2" xfId="17629"/>
    <cellStyle name="Output 17 2 6 3" xfId="32425"/>
    <cellStyle name="Output 17 2 6 4" xfId="32426"/>
    <cellStyle name="Output 17 2 7" xfId="17630"/>
    <cellStyle name="Output 17 2 7 2" xfId="17631"/>
    <cellStyle name="Output 17 2 7 3" xfId="32427"/>
    <cellStyle name="Output 17 2 7 4" xfId="32428"/>
    <cellStyle name="Output 17 2 8" xfId="17632"/>
    <cellStyle name="Output 17 2 9" xfId="32429"/>
    <cellStyle name="Output 17 3" xfId="17633"/>
    <cellStyle name="Output 17 3 10" xfId="32430"/>
    <cellStyle name="Output 17 3 2" xfId="17634"/>
    <cellStyle name="Output 17 3 2 2" xfId="17635"/>
    <cellStyle name="Output 17 3 2 3" xfId="32431"/>
    <cellStyle name="Output 17 3 2 4" xfId="32432"/>
    <cellStyle name="Output 17 3 3" xfId="17636"/>
    <cellStyle name="Output 17 3 3 2" xfId="17637"/>
    <cellStyle name="Output 17 3 3 3" xfId="32433"/>
    <cellStyle name="Output 17 3 3 4" xfId="32434"/>
    <cellStyle name="Output 17 3 4" xfId="17638"/>
    <cellStyle name="Output 17 3 4 2" xfId="17639"/>
    <cellStyle name="Output 17 3 4 3" xfId="32435"/>
    <cellStyle name="Output 17 3 4 4" xfId="32436"/>
    <cellStyle name="Output 17 3 5" xfId="17640"/>
    <cellStyle name="Output 17 3 5 2" xfId="17641"/>
    <cellStyle name="Output 17 3 5 3" xfId="32437"/>
    <cellStyle name="Output 17 3 5 4" xfId="32438"/>
    <cellStyle name="Output 17 3 6" xfId="17642"/>
    <cellStyle name="Output 17 3 6 2" xfId="17643"/>
    <cellStyle name="Output 17 3 6 3" xfId="32439"/>
    <cellStyle name="Output 17 3 6 4" xfId="32440"/>
    <cellStyle name="Output 17 3 7" xfId="17644"/>
    <cellStyle name="Output 17 3 7 2" xfId="17645"/>
    <cellStyle name="Output 17 3 7 3" xfId="32441"/>
    <cellStyle name="Output 17 3 7 4" xfId="32442"/>
    <cellStyle name="Output 17 3 8" xfId="17646"/>
    <cellStyle name="Output 17 3 9" xfId="32443"/>
    <cellStyle name="Output 17 4" xfId="17647"/>
    <cellStyle name="Output 17 4 10" xfId="32444"/>
    <cellStyle name="Output 17 4 2" xfId="17648"/>
    <cellStyle name="Output 17 4 2 2" xfId="17649"/>
    <cellStyle name="Output 17 4 2 3" xfId="32445"/>
    <cellStyle name="Output 17 4 2 4" xfId="32446"/>
    <cellStyle name="Output 17 4 3" xfId="17650"/>
    <cellStyle name="Output 17 4 3 2" xfId="17651"/>
    <cellStyle name="Output 17 4 3 3" xfId="32447"/>
    <cellStyle name="Output 17 4 3 4" xfId="32448"/>
    <cellStyle name="Output 17 4 4" xfId="17652"/>
    <cellStyle name="Output 17 4 4 2" xfId="17653"/>
    <cellStyle name="Output 17 4 4 3" xfId="32449"/>
    <cellStyle name="Output 17 4 4 4" xfId="32450"/>
    <cellStyle name="Output 17 4 5" xfId="17654"/>
    <cellStyle name="Output 17 4 5 2" xfId="17655"/>
    <cellStyle name="Output 17 4 5 3" xfId="32451"/>
    <cellStyle name="Output 17 4 5 4" xfId="32452"/>
    <cellStyle name="Output 17 4 6" xfId="17656"/>
    <cellStyle name="Output 17 4 6 2" xfId="17657"/>
    <cellStyle name="Output 17 4 6 3" xfId="32453"/>
    <cellStyle name="Output 17 4 6 4" xfId="32454"/>
    <cellStyle name="Output 17 4 7" xfId="17658"/>
    <cellStyle name="Output 17 4 7 2" xfId="17659"/>
    <cellStyle name="Output 17 4 7 3" xfId="32455"/>
    <cellStyle name="Output 17 4 7 4" xfId="32456"/>
    <cellStyle name="Output 17 4 8" xfId="17660"/>
    <cellStyle name="Output 17 4 9" xfId="32457"/>
    <cellStyle name="Output 17 5" xfId="17661"/>
    <cellStyle name="Output 17 5 10" xfId="32458"/>
    <cellStyle name="Output 17 5 2" xfId="17662"/>
    <cellStyle name="Output 17 5 2 2" xfId="17663"/>
    <cellStyle name="Output 17 5 2 3" xfId="32459"/>
    <cellStyle name="Output 17 5 2 4" xfId="32460"/>
    <cellStyle name="Output 17 5 3" xfId="17664"/>
    <cellStyle name="Output 17 5 3 2" xfId="17665"/>
    <cellStyle name="Output 17 5 3 3" xfId="32461"/>
    <cellStyle name="Output 17 5 3 4" xfId="32462"/>
    <cellStyle name="Output 17 5 4" xfId="17666"/>
    <cellStyle name="Output 17 5 4 2" xfId="17667"/>
    <cellStyle name="Output 17 5 4 3" xfId="32463"/>
    <cellStyle name="Output 17 5 4 4" xfId="32464"/>
    <cellStyle name="Output 17 5 5" xfId="17668"/>
    <cellStyle name="Output 17 5 5 2" xfId="17669"/>
    <cellStyle name="Output 17 5 5 3" xfId="32465"/>
    <cellStyle name="Output 17 5 5 4" xfId="32466"/>
    <cellStyle name="Output 17 5 6" xfId="17670"/>
    <cellStyle name="Output 17 5 6 2" xfId="17671"/>
    <cellStyle name="Output 17 5 6 3" xfId="32467"/>
    <cellStyle name="Output 17 5 6 4" xfId="32468"/>
    <cellStyle name="Output 17 5 7" xfId="17672"/>
    <cellStyle name="Output 17 5 7 2" xfId="17673"/>
    <cellStyle name="Output 17 5 7 3" xfId="32469"/>
    <cellStyle name="Output 17 5 7 4" xfId="32470"/>
    <cellStyle name="Output 17 5 8" xfId="17674"/>
    <cellStyle name="Output 17 5 9" xfId="32471"/>
    <cellStyle name="Output 17 6" xfId="17675"/>
    <cellStyle name="Output 17 6 2" xfId="17676"/>
    <cellStyle name="Output 17 6 3" xfId="32472"/>
    <cellStyle name="Output 17 6 4" xfId="32473"/>
    <cellStyle name="Output 17 7" xfId="17677"/>
    <cellStyle name="Output 17 7 2" xfId="17678"/>
    <cellStyle name="Output 17 7 3" xfId="32474"/>
    <cellStyle name="Output 17 7 4" xfId="32475"/>
    <cellStyle name="Output 17 8" xfId="17679"/>
    <cellStyle name="Output 17 8 2" xfId="17680"/>
    <cellStyle name="Output 17 8 3" xfId="32476"/>
    <cellStyle name="Output 17 8 4" xfId="32477"/>
    <cellStyle name="Output 17 9" xfId="17681"/>
    <cellStyle name="Output 17 9 2" xfId="17682"/>
    <cellStyle name="Output 17 9 3" xfId="32478"/>
    <cellStyle name="Output 17 9 4" xfId="32479"/>
    <cellStyle name="Output 18" xfId="17683"/>
    <cellStyle name="Output 18 10" xfId="17684"/>
    <cellStyle name="Output 18 10 2" xfId="17685"/>
    <cellStyle name="Output 18 10 3" xfId="32480"/>
    <cellStyle name="Output 18 10 4" xfId="32481"/>
    <cellStyle name="Output 18 11" xfId="17686"/>
    <cellStyle name="Output 18 11 2" xfId="17687"/>
    <cellStyle name="Output 18 11 3" xfId="32482"/>
    <cellStyle name="Output 18 11 4" xfId="32483"/>
    <cellStyle name="Output 18 12" xfId="17688"/>
    <cellStyle name="Output 18 13" xfId="32484"/>
    <cellStyle name="Output 18 14" xfId="32485"/>
    <cellStyle name="Output 18 2" xfId="17689"/>
    <cellStyle name="Output 18 2 10" xfId="32486"/>
    <cellStyle name="Output 18 2 2" xfId="17690"/>
    <cellStyle name="Output 18 2 2 2" xfId="17691"/>
    <cellStyle name="Output 18 2 2 3" xfId="32487"/>
    <cellStyle name="Output 18 2 2 4" xfId="32488"/>
    <cellStyle name="Output 18 2 3" xfId="17692"/>
    <cellStyle name="Output 18 2 3 2" xfId="17693"/>
    <cellStyle name="Output 18 2 3 3" xfId="32489"/>
    <cellStyle name="Output 18 2 3 4" xfId="32490"/>
    <cellStyle name="Output 18 2 4" xfId="17694"/>
    <cellStyle name="Output 18 2 4 2" xfId="17695"/>
    <cellStyle name="Output 18 2 4 3" xfId="32491"/>
    <cellStyle name="Output 18 2 4 4" xfId="32492"/>
    <cellStyle name="Output 18 2 5" xfId="17696"/>
    <cellStyle name="Output 18 2 5 2" xfId="17697"/>
    <cellStyle name="Output 18 2 5 3" xfId="32493"/>
    <cellStyle name="Output 18 2 5 4" xfId="32494"/>
    <cellStyle name="Output 18 2 6" xfId="17698"/>
    <cellStyle name="Output 18 2 6 2" xfId="17699"/>
    <cellStyle name="Output 18 2 6 3" xfId="32495"/>
    <cellStyle name="Output 18 2 6 4" xfId="32496"/>
    <cellStyle name="Output 18 2 7" xfId="17700"/>
    <cellStyle name="Output 18 2 7 2" xfId="17701"/>
    <cellStyle name="Output 18 2 7 3" xfId="32497"/>
    <cellStyle name="Output 18 2 7 4" xfId="32498"/>
    <cellStyle name="Output 18 2 8" xfId="17702"/>
    <cellStyle name="Output 18 2 9" xfId="32499"/>
    <cellStyle name="Output 18 3" xfId="17703"/>
    <cellStyle name="Output 18 3 10" xfId="32500"/>
    <cellStyle name="Output 18 3 2" xfId="17704"/>
    <cellStyle name="Output 18 3 2 2" xfId="17705"/>
    <cellStyle name="Output 18 3 2 3" xfId="32501"/>
    <cellStyle name="Output 18 3 2 4" xfId="32502"/>
    <cellStyle name="Output 18 3 3" xfId="17706"/>
    <cellStyle name="Output 18 3 3 2" xfId="17707"/>
    <cellStyle name="Output 18 3 3 3" xfId="32503"/>
    <cellStyle name="Output 18 3 3 4" xfId="32504"/>
    <cellStyle name="Output 18 3 4" xfId="17708"/>
    <cellStyle name="Output 18 3 4 2" xfId="17709"/>
    <cellStyle name="Output 18 3 4 3" xfId="32505"/>
    <cellStyle name="Output 18 3 4 4" xfId="32506"/>
    <cellStyle name="Output 18 3 5" xfId="17710"/>
    <cellStyle name="Output 18 3 5 2" xfId="17711"/>
    <cellStyle name="Output 18 3 5 3" xfId="32507"/>
    <cellStyle name="Output 18 3 5 4" xfId="32508"/>
    <cellStyle name="Output 18 3 6" xfId="17712"/>
    <cellStyle name="Output 18 3 6 2" xfId="17713"/>
    <cellStyle name="Output 18 3 6 3" xfId="32509"/>
    <cellStyle name="Output 18 3 6 4" xfId="32510"/>
    <cellStyle name="Output 18 3 7" xfId="17714"/>
    <cellStyle name="Output 18 3 7 2" xfId="17715"/>
    <cellStyle name="Output 18 3 7 3" xfId="32511"/>
    <cellStyle name="Output 18 3 7 4" xfId="32512"/>
    <cellStyle name="Output 18 3 8" xfId="17716"/>
    <cellStyle name="Output 18 3 9" xfId="32513"/>
    <cellStyle name="Output 18 4" xfId="17717"/>
    <cellStyle name="Output 18 4 10" xfId="32514"/>
    <cellStyle name="Output 18 4 2" xfId="17718"/>
    <cellStyle name="Output 18 4 2 2" xfId="17719"/>
    <cellStyle name="Output 18 4 2 3" xfId="32515"/>
    <cellStyle name="Output 18 4 2 4" xfId="32516"/>
    <cellStyle name="Output 18 4 3" xfId="17720"/>
    <cellStyle name="Output 18 4 3 2" xfId="17721"/>
    <cellStyle name="Output 18 4 3 3" xfId="32517"/>
    <cellStyle name="Output 18 4 3 4" xfId="32518"/>
    <cellStyle name="Output 18 4 4" xfId="17722"/>
    <cellStyle name="Output 18 4 4 2" xfId="17723"/>
    <cellStyle name="Output 18 4 4 3" xfId="32519"/>
    <cellStyle name="Output 18 4 4 4" xfId="32520"/>
    <cellStyle name="Output 18 4 5" xfId="17724"/>
    <cellStyle name="Output 18 4 5 2" xfId="17725"/>
    <cellStyle name="Output 18 4 5 3" xfId="32521"/>
    <cellStyle name="Output 18 4 5 4" xfId="32522"/>
    <cellStyle name="Output 18 4 6" xfId="17726"/>
    <cellStyle name="Output 18 4 6 2" xfId="17727"/>
    <cellStyle name="Output 18 4 6 3" xfId="32523"/>
    <cellStyle name="Output 18 4 6 4" xfId="32524"/>
    <cellStyle name="Output 18 4 7" xfId="17728"/>
    <cellStyle name="Output 18 4 7 2" xfId="17729"/>
    <cellStyle name="Output 18 4 7 3" xfId="32525"/>
    <cellStyle name="Output 18 4 7 4" xfId="32526"/>
    <cellStyle name="Output 18 4 8" xfId="17730"/>
    <cellStyle name="Output 18 4 9" xfId="32527"/>
    <cellStyle name="Output 18 5" xfId="17731"/>
    <cellStyle name="Output 18 5 10" xfId="32528"/>
    <cellStyle name="Output 18 5 2" xfId="17732"/>
    <cellStyle name="Output 18 5 2 2" xfId="17733"/>
    <cellStyle name="Output 18 5 2 3" xfId="32529"/>
    <cellStyle name="Output 18 5 2 4" xfId="32530"/>
    <cellStyle name="Output 18 5 3" xfId="17734"/>
    <cellStyle name="Output 18 5 3 2" xfId="17735"/>
    <cellStyle name="Output 18 5 3 3" xfId="32531"/>
    <cellStyle name="Output 18 5 3 4" xfId="32532"/>
    <cellStyle name="Output 18 5 4" xfId="17736"/>
    <cellStyle name="Output 18 5 4 2" xfId="17737"/>
    <cellStyle name="Output 18 5 4 3" xfId="32533"/>
    <cellStyle name="Output 18 5 4 4" xfId="32534"/>
    <cellStyle name="Output 18 5 5" xfId="17738"/>
    <cellStyle name="Output 18 5 5 2" xfId="17739"/>
    <cellStyle name="Output 18 5 5 3" xfId="32535"/>
    <cellStyle name="Output 18 5 5 4" xfId="32536"/>
    <cellStyle name="Output 18 5 6" xfId="17740"/>
    <cellStyle name="Output 18 5 6 2" xfId="17741"/>
    <cellStyle name="Output 18 5 6 3" xfId="32537"/>
    <cellStyle name="Output 18 5 6 4" xfId="32538"/>
    <cellStyle name="Output 18 5 7" xfId="17742"/>
    <cellStyle name="Output 18 5 7 2" xfId="17743"/>
    <cellStyle name="Output 18 5 7 3" xfId="32539"/>
    <cellStyle name="Output 18 5 7 4" xfId="32540"/>
    <cellStyle name="Output 18 5 8" xfId="17744"/>
    <cellStyle name="Output 18 5 9" xfId="32541"/>
    <cellStyle name="Output 18 6" xfId="17745"/>
    <cellStyle name="Output 18 6 2" xfId="17746"/>
    <cellStyle name="Output 18 6 3" xfId="32542"/>
    <cellStyle name="Output 18 6 4" xfId="32543"/>
    <cellStyle name="Output 18 7" xfId="17747"/>
    <cellStyle name="Output 18 7 2" xfId="17748"/>
    <cellStyle name="Output 18 7 3" xfId="32544"/>
    <cellStyle name="Output 18 7 4" xfId="32545"/>
    <cellStyle name="Output 18 8" xfId="17749"/>
    <cellStyle name="Output 18 8 2" xfId="17750"/>
    <cellStyle name="Output 18 8 3" xfId="32546"/>
    <cellStyle name="Output 18 8 4" xfId="32547"/>
    <cellStyle name="Output 18 9" xfId="17751"/>
    <cellStyle name="Output 18 9 2" xfId="17752"/>
    <cellStyle name="Output 18 9 3" xfId="32548"/>
    <cellStyle name="Output 18 9 4" xfId="32549"/>
    <cellStyle name="Output 19" xfId="17753"/>
    <cellStyle name="Output 19 10" xfId="17754"/>
    <cellStyle name="Output 19 10 2" xfId="17755"/>
    <cellStyle name="Output 19 10 3" xfId="32550"/>
    <cellStyle name="Output 19 10 4" xfId="32551"/>
    <cellStyle name="Output 19 11" xfId="17756"/>
    <cellStyle name="Output 19 11 2" xfId="17757"/>
    <cellStyle name="Output 19 11 3" xfId="32552"/>
    <cellStyle name="Output 19 11 4" xfId="32553"/>
    <cellStyle name="Output 19 12" xfId="17758"/>
    <cellStyle name="Output 19 13" xfId="32554"/>
    <cellStyle name="Output 19 14" xfId="32555"/>
    <cellStyle name="Output 19 2" xfId="17759"/>
    <cellStyle name="Output 19 2 10" xfId="32556"/>
    <cellStyle name="Output 19 2 2" xfId="17760"/>
    <cellStyle name="Output 19 2 2 2" xfId="17761"/>
    <cellStyle name="Output 19 2 2 3" xfId="32557"/>
    <cellStyle name="Output 19 2 2 4" xfId="32558"/>
    <cellStyle name="Output 19 2 3" xfId="17762"/>
    <cellStyle name="Output 19 2 3 2" xfId="17763"/>
    <cellStyle name="Output 19 2 3 3" xfId="32559"/>
    <cellStyle name="Output 19 2 3 4" xfId="32560"/>
    <cellStyle name="Output 19 2 4" xfId="17764"/>
    <cellStyle name="Output 19 2 4 2" xfId="17765"/>
    <cellStyle name="Output 19 2 4 3" xfId="32561"/>
    <cellStyle name="Output 19 2 4 4" xfId="32562"/>
    <cellStyle name="Output 19 2 5" xfId="17766"/>
    <cellStyle name="Output 19 2 5 2" xfId="17767"/>
    <cellStyle name="Output 19 2 5 3" xfId="32563"/>
    <cellStyle name="Output 19 2 5 4" xfId="32564"/>
    <cellStyle name="Output 19 2 6" xfId="17768"/>
    <cellStyle name="Output 19 2 6 2" xfId="17769"/>
    <cellStyle name="Output 19 2 6 3" xfId="32565"/>
    <cellStyle name="Output 19 2 6 4" xfId="32566"/>
    <cellStyle name="Output 19 2 7" xfId="17770"/>
    <cellStyle name="Output 19 2 7 2" xfId="17771"/>
    <cellStyle name="Output 19 2 7 3" xfId="32567"/>
    <cellStyle name="Output 19 2 7 4" xfId="32568"/>
    <cellStyle name="Output 19 2 8" xfId="17772"/>
    <cellStyle name="Output 19 2 9" xfId="32569"/>
    <cellStyle name="Output 19 3" xfId="17773"/>
    <cellStyle name="Output 19 3 10" xfId="32570"/>
    <cellStyle name="Output 19 3 2" xfId="17774"/>
    <cellStyle name="Output 19 3 2 2" xfId="17775"/>
    <cellStyle name="Output 19 3 2 3" xfId="32571"/>
    <cellStyle name="Output 19 3 2 4" xfId="32572"/>
    <cellStyle name="Output 19 3 3" xfId="17776"/>
    <cellStyle name="Output 19 3 3 2" xfId="17777"/>
    <cellStyle name="Output 19 3 3 3" xfId="32573"/>
    <cellStyle name="Output 19 3 3 4" xfId="32574"/>
    <cellStyle name="Output 19 3 4" xfId="17778"/>
    <cellStyle name="Output 19 3 4 2" xfId="17779"/>
    <cellStyle name="Output 19 3 4 3" xfId="32575"/>
    <cellStyle name="Output 19 3 4 4" xfId="32576"/>
    <cellStyle name="Output 19 3 5" xfId="17780"/>
    <cellStyle name="Output 19 3 5 2" xfId="17781"/>
    <cellStyle name="Output 19 3 5 3" xfId="32577"/>
    <cellStyle name="Output 19 3 5 4" xfId="32578"/>
    <cellStyle name="Output 19 3 6" xfId="17782"/>
    <cellStyle name="Output 19 3 6 2" xfId="17783"/>
    <cellStyle name="Output 19 3 6 3" xfId="32579"/>
    <cellStyle name="Output 19 3 6 4" xfId="32580"/>
    <cellStyle name="Output 19 3 7" xfId="17784"/>
    <cellStyle name="Output 19 3 7 2" xfId="17785"/>
    <cellStyle name="Output 19 3 7 3" xfId="32581"/>
    <cellStyle name="Output 19 3 7 4" xfId="32582"/>
    <cellStyle name="Output 19 3 8" xfId="17786"/>
    <cellStyle name="Output 19 3 9" xfId="32583"/>
    <cellStyle name="Output 19 4" xfId="17787"/>
    <cellStyle name="Output 19 4 10" xfId="32584"/>
    <cellStyle name="Output 19 4 2" xfId="17788"/>
    <cellStyle name="Output 19 4 2 2" xfId="17789"/>
    <cellStyle name="Output 19 4 2 3" xfId="32585"/>
    <cellStyle name="Output 19 4 2 4" xfId="32586"/>
    <cellStyle name="Output 19 4 3" xfId="17790"/>
    <cellStyle name="Output 19 4 3 2" xfId="17791"/>
    <cellStyle name="Output 19 4 3 3" xfId="32587"/>
    <cellStyle name="Output 19 4 3 4" xfId="32588"/>
    <cellStyle name="Output 19 4 4" xfId="17792"/>
    <cellStyle name="Output 19 4 4 2" xfId="17793"/>
    <cellStyle name="Output 19 4 4 3" xfId="32589"/>
    <cellStyle name="Output 19 4 4 4" xfId="32590"/>
    <cellStyle name="Output 19 4 5" xfId="17794"/>
    <cellStyle name="Output 19 4 5 2" xfId="17795"/>
    <cellStyle name="Output 19 4 5 3" xfId="32591"/>
    <cellStyle name="Output 19 4 5 4" xfId="32592"/>
    <cellStyle name="Output 19 4 6" xfId="17796"/>
    <cellStyle name="Output 19 4 6 2" xfId="17797"/>
    <cellStyle name="Output 19 4 6 3" xfId="32593"/>
    <cellStyle name="Output 19 4 6 4" xfId="32594"/>
    <cellStyle name="Output 19 4 7" xfId="17798"/>
    <cellStyle name="Output 19 4 7 2" xfId="17799"/>
    <cellStyle name="Output 19 4 7 3" xfId="32595"/>
    <cellStyle name="Output 19 4 7 4" xfId="32596"/>
    <cellStyle name="Output 19 4 8" xfId="17800"/>
    <cellStyle name="Output 19 4 9" xfId="32597"/>
    <cellStyle name="Output 19 5" xfId="17801"/>
    <cellStyle name="Output 19 5 10" xfId="32598"/>
    <cellStyle name="Output 19 5 2" xfId="17802"/>
    <cellStyle name="Output 19 5 2 2" xfId="17803"/>
    <cellStyle name="Output 19 5 2 3" xfId="32599"/>
    <cellStyle name="Output 19 5 2 4" xfId="32600"/>
    <cellStyle name="Output 19 5 3" xfId="17804"/>
    <cellStyle name="Output 19 5 3 2" xfId="17805"/>
    <cellStyle name="Output 19 5 3 3" xfId="32601"/>
    <cellStyle name="Output 19 5 3 4" xfId="32602"/>
    <cellStyle name="Output 19 5 4" xfId="17806"/>
    <cellStyle name="Output 19 5 4 2" xfId="17807"/>
    <cellStyle name="Output 19 5 4 3" xfId="32603"/>
    <cellStyle name="Output 19 5 4 4" xfId="32604"/>
    <cellStyle name="Output 19 5 5" xfId="17808"/>
    <cellStyle name="Output 19 5 5 2" xfId="17809"/>
    <cellStyle name="Output 19 5 5 3" xfId="32605"/>
    <cellStyle name="Output 19 5 5 4" xfId="32606"/>
    <cellStyle name="Output 19 5 6" xfId="17810"/>
    <cellStyle name="Output 19 5 6 2" xfId="17811"/>
    <cellStyle name="Output 19 5 6 3" xfId="32607"/>
    <cellStyle name="Output 19 5 6 4" xfId="32608"/>
    <cellStyle name="Output 19 5 7" xfId="17812"/>
    <cellStyle name="Output 19 5 7 2" xfId="17813"/>
    <cellStyle name="Output 19 5 7 3" xfId="32609"/>
    <cellStyle name="Output 19 5 7 4" xfId="32610"/>
    <cellStyle name="Output 19 5 8" xfId="17814"/>
    <cellStyle name="Output 19 5 9" xfId="32611"/>
    <cellStyle name="Output 19 6" xfId="17815"/>
    <cellStyle name="Output 19 6 2" xfId="17816"/>
    <cellStyle name="Output 19 6 3" xfId="32612"/>
    <cellStyle name="Output 19 6 4" xfId="32613"/>
    <cellStyle name="Output 19 7" xfId="17817"/>
    <cellStyle name="Output 19 7 2" xfId="17818"/>
    <cellStyle name="Output 19 7 3" xfId="32614"/>
    <cellStyle name="Output 19 7 4" xfId="32615"/>
    <cellStyle name="Output 19 8" xfId="17819"/>
    <cellStyle name="Output 19 8 2" xfId="17820"/>
    <cellStyle name="Output 19 8 3" xfId="32616"/>
    <cellStyle name="Output 19 8 4" xfId="32617"/>
    <cellStyle name="Output 19 9" xfId="17821"/>
    <cellStyle name="Output 19 9 2" xfId="17822"/>
    <cellStyle name="Output 19 9 3" xfId="32618"/>
    <cellStyle name="Output 19 9 4" xfId="32619"/>
    <cellStyle name="Output 2" xfId="17823"/>
    <cellStyle name="Output 2 10" xfId="17824"/>
    <cellStyle name="Output 2 10 2" xfId="17825"/>
    <cellStyle name="Output 2 10 3" xfId="32620"/>
    <cellStyle name="Output 2 10 4" xfId="32621"/>
    <cellStyle name="Output 2 11" xfId="17826"/>
    <cellStyle name="Output 2 11 2" xfId="17827"/>
    <cellStyle name="Output 2 11 3" xfId="32622"/>
    <cellStyle name="Output 2 11 4" xfId="32623"/>
    <cellStyle name="Output 2 12" xfId="17828"/>
    <cellStyle name="Output 2 12 2" xfId="17829"/>
    <cellStyle name="Output 2 12 3" xfId="32624"/>
    <cellStyle name="Output 2 13" xfId="17830"/>
    <cellStyle name="Output 2 14" xfId="32625"/>
    <cellStyle name="Output 2 15" xfId="32626"/>
    <cellStyle name="Output 2 16" xfId="32627"/>
    <cellStyle name="Output 2 2" xfId="17831"/>
    <cellStyle name="Output 2 2 10" xfId="32628"/>
    <cellStyle name="Output 2 2 2" xfId="17832"/>
    <cellStyle name="Output 2 2 2 2" xfId="17833"/>
    <cellStyle name="Output 2 2 2 3" xfId="32629"/>
    <cellStyle name="Output 2 2 2 4" xfId="32630"/>
    <cellStyle name="Output 2 2 3" xfId="17834"/>
    <cellStyle name="Output 2 2 3 2" xfId="17835"/>
    <cellStyle name="Output 2 2 3 3" xfId="32631"/>
    <cellStyle name="Output 2 2 3 4" xfId="32632"/>
    <cellStyle name="Output 2 2 4" xfId="17836"/>
    <cellStyle name="Output 2 2 4 2" xfId="17837"/>
    <cellStyle name="Output 2 2 4 3" xfId="32633"/>
    <cellStyle name="Output 2 2 4 4" xfId="32634"/>
    <cellStyle name="Output 2 2 5" xfId="17838"/>
    <cellStyle name="Output 2 2 5 2" xfId="17839"/>
    <cellStyle name="Output 2 2 5 3" xfId="32635"/>
    <cellStyle name="Output 2 2 5 4" xfId="32636"/>
    <cellStyle name="Output 2 2 6" xfId="17840"/>
    <cellStyle name="Output 2 2 6 2" xfId="17841"/>
    <cellStyle name="Output 2 2 6 3" xfId="32637"/>
    <cellStyle name="Output 2 2 6 4" xfId="32638"/>
    <cellStyle name="Output 2 2 7" xfId="17842"/>
    <cellStyle name="Output 2 2 7 2" xfId="17843"/>
    <cellStyle name="Output 2 2 7 3" xfId="32639"/>
    <cellStyle name="Output 2 2 7 4" xfId="32640"/>
    <cellStyle name="Output 2 2 8" xfId="17844"/>
    <cellStyle name="Output 2 2 9" xfId="32641"/>
    <cellStyle name="Output 2 3" xfId="17845"/>
    <cellStyle name="Output 2 3 10" xfId="32642"/>
    <cellStyle name="Output 2 3 2" xfId="17846"/>
    <cellStyle name="Output 2 3 2 2" xfId="17847"/>
    <cellStyle name="Output 2 3 2 3" xfId="32643"/>
    <cellStyle name="Output 2 3 2 4" xfId="32644"/>
    <cellStyle name="Output 2 3 3" xfId="17848"/>
    <cellStyle name="Output 2 3 3 2" xfId="17849"/>
    <cellStyle name="Output 2 3 3 3" xfId="32645"/>
    <cellStyle name="Output 2 3 3 4" xfId="32646"/>
    <cellStyle name="Output 2 3 4" xfId="17850"/>
    <cellStyle name="Output 2 3 4 2" xfId="17851"/>
    <cellStyle name="Output 2 3 4 3" xfId="32647"/>
    <cellStyle name="Output 2 3 4 4" xfId="32648"/>
    <cellStyle name="Output 2 3 5" xfId="17852"/>
    <cellStyle name="Output 2 3 5 2" xfId="17853"/>
    <cellStyle name="Output 2 3 5 3" xfId="32649"/>
    <cellStyle name="Output 2 3 5 4" xfId="32650"/>
    <cellStyle name="Output 2 3 6" xfId="17854"/>
    <cellStyle name="Output 2 3 6 2" xfId="17855"/>
    <cellStyle name="Output 2 3 6 3" xfId="32651"/>
    <cellStyle name="Output 2 3 6 4" xfId="32652"/>
    <cellStyle name="Output 2 3 7" xfId="17856"/>
    <cellStyle name="Output 2 3 7 2" xfId="17857"/>
    <cellStyle name="Output 2 3 7 3" xfId="32653"/>
    <cellStyle name="Output 2 3 7 4" xfId="32654"/>
    <cellStyle name="Output 2 3 8" xfId="17858"/>
    <cellStyle name="Output 2 3 9" xfId="32655"/>
    <cellStyle name="Output 2 4" xfId="17859"/>
    <cellStyle name="Output 2 4 10" xfId="32656"/>
    <cellStyle name="Output 2 4 2" xfId="17860"/>
    <cellStyle name="Output 2 4 2 2" xfId="17861"/>
    <cellStyle name="Output 2 4 2 3" xfId="32657"/>
    <cellStyle name="Output 2 4 2 4" xfId="32658"/>
    <cellStyle name="Output 2 4 3" xfId="17862"/>
    <cellStyle name="Output 2 4 3 2" xfId="17863"/>
    <cellStyle name="Output 2 4 3 3" xfId="32659"/>
    <cellStyle name="Output 2 4 3 4" xfId="32660"/>
    <cellStyle name="Output 2 4 4" xfId="17864"/>
    <cellStyle name="Output 2 4 4 2" xfId="17865"/>
    <cellStyle name="Output 2 4 4 3" xfId="32661"/>
    <cellStyle name="Output 2 4 4 4" xfId="32662"/>
    <cellStyle name="Output 2 4 5" xfId="17866"/>
    <cellStyle name="Output 2 4 5 2" xfId="17867"/>
    <cellStyle name="Output 2 4 5 3" xfId="32663"/>
    <cellStyle name="Output 2 4 5 4" xfId="32664"/>
    <cellStyle name="Output 2 4 6" xfId="17868"/>
    <cellStyle name="Output 2 4 6 2" xfId="17869"/>
    <cellStyle name="Output 2 4 6 3" xfId="32665"/>
    <cellStyle name="Output 2 4 6 4" xfId="32666"/>
    <cellStyle name="Output 2 4 7" xfId="17870"/>
    <cellStyle name="Output 2 4 7 2" xfId="17871"/>
    <cellStyle name="Output 2 4 7 3" xfId="32667"/>
    <cellStyle name="Output 2 4 7 4" xfId="32668"/>
    <cellStyle name="Output 2 4 8" xfId="17872"/>
    <cellStyle name="Output 2 4 9" xfId="32669"/>
    <cellStyle name="Output 2 5" xfId="17873"/>
    <cellStyle name="Output 2 5 10" xfId="32670"/>
    <cellStyle name="Output 2 5 2" xfId="17874"/>
    <cellStyle name="Output 2 5 2 2" xfId="17875"/>
    <cellStyle name="Output 2 5 2 3" xfId="32671"/>
    <cellStyle name="Output 2 5 2 4" xfId="32672"/>
    <cellStyle name="Output 2 5 3" xfId="17876"/>
    <cellStyle name="Output 2 5 3 2" xfId="17877"/>
    <cellStyle name="Output 2 5 3 3" xfId="32673"/>
    <cellStyle name="Output 2 5 3 4" xfId="32674"/>
    <cellStyle name="Output 2 5 4" xfId="17878"/>
    <cellStyle name="Output 2 5 4 2" xfId="17879"/>
    <cellStyle name="Output 2 5 4 3" xfId="32675"/>
    <cellStyle name="Output 2 5 4 4" xfId="32676"/>
    <cellStyle name="Output 2 5 5" xfId="17880"/>
    <cellStyle name="Output 2 5 5 2" xfId="17881"/>
    <cellStyle name="Output 2 5 5 3" xfId="32677"/>
    <cellStyle name="Output 2 5 5 4" xfId="32678"/>
    <cellStyle name="Output 2 5 6" xfId="17882"/>
    <cellStyle name="Output 2 5 6 2" xfId="17883"/>
    <cellStyle name="Output 2 5 6 3" xfId="32679"/>
    <cellStyle name="Output 2 5 6 4" xfId="32680"/>
    <cellStyle name="Output 2 5 7" xfId="17884"/>
    <cellStyle name="Output 2 5 7 2" xfId="17885"/>
    <cellStyle name="Output 2 5 7 3" xfId="32681"/>
    <cellStyle name="Output 2 5 7 4" xfId="32682"/>
    <cellStyle name="Output 2 5 8" xfId="17886"/>
    <cellStyle name="Output 2 5 9" xfId="32683"/>
    <cellStyle name="Output 2 6" xfId="17887"/>
    <cellStyle name="Output 2 6 2" xfId="17888"/>
    <cellStyle name="Output 2 6 3" xfId="32684"/>
    <cellStyle name="Output 2 6 4" xfId="32685"/>
    <cellStyle name="Output 2 7" xfId="17889"/>
    <cellStyle name="Output 2 7 2" xfId="17890"/>
    <cellStyle name="Output 2 7 3" xfId="32686"/>
    <cellStyle name="Output 2 7 4" xfId="32687"/>
    <cellStyle name="Output 2 8" xfId="17891"/>
    <cellStyle name="Output 2 8 2" xfId="17892"/>
    <cellStyle name="Output 2 8 3" xfId="32688"/>
    <cellStyle name="Output 2 8 4" xfId="32689"/>
    <cellStyle name="Output 2 9" xfId="17893"/>
    <cellStyle name="Output 2 9 2" xfId="17894"/>
    <cellStyle name="Output 2 9 3" xfId="32690"/>
    <cellStyle name="Output 2 9 4" xfId="32691"/>
    <cellStyle name="Output 20" xfId="17895"/>
    <cellStyle name="Output 20 10" xfId="17896"/>
    <cellStyle name="Output 20 10 2" xfId="17897"/>
    <cellStyle name="Output 20 10 3" xfId="32692"/>
    <cellStyle name="Output 20 10 4" xfId="32693"/>
    <cellStyle name="Output 20 11" xfId="17898"/>
    <cellStyle name="Output 20 11 2" xfId="17899"/>
    <cellStyle name="Output 20 11 3" xfId="32694"/>
    <cellStyle name="Output 20 11 4" xfId="32695"/>
    <cellStyle name="Output 20 12" xfId="17900"/>
    <cellStyle name="Output 20 13" xfId="32696"/>
    <cellStyle name="Output 20 14" xfId="32697"/>
    <cellStyle name="Output 20 2" xfId="17901"/>
    <cellStyle name="Output 20 2 10" xfId="32698"/>
    <cellStyle name="Output 20 2 2" xfId="17902"/>
    <cellStyle name="Output 20 2 2 2" xfId="17903"/>
    <cellStyle name="Output 20 2 2 3" xfId="32699"/>
    <cellStyle name="Output 20 2 2 4" xfId="32700"/>
    <cellStyle name="Output 20 2 3" xfId="17904"/>
    <cellStyle name="Output 20 2 3 2" xfId="17905"/>
    <cellStyle name="Output 20 2 3 3" xfId="32701"/>
    <cellStyle name="Output 20 2 3 4" xfId="32702"/>
    <cellStyle name="Output 20 2 4" xfId="17906"/>
    <cellStyle name="Output 20 2 4 2" xfId="17907"/>
    <cellStyle name="Output 20 2 4 3" xfId="32703"/>
    <cellStyle name="Output 20 2 4 4" xfId="32704"/>
    <cellStyle name="Output 20 2 5" xfId="17908"/>
    <cellStyle name="Output 20 2 5 2" xfId="17909"/>
    <cellStyle name="Output 20 2 5 3" xfId="32705"/>
    <cellStyle name="Output 20 2 5 4" xfId="32706"/>
    <cellStyle name="Output 20 2 6" xfId="17910"/>
    <cellStyle name="Output 20 2 6 2" xfId="17911"/>
    <cellStyle name="Output 20 2 6 3" xfId="32707"/>
    <cellStyle name="Output 20 2 6 4" xfId="32708"/>
    <cellStyle name="Output 20 2 7" xfId="17912"/>
    <cellStyle name="Output 20 2 7 2" xfId="17913"/>
    <cellStyle name="Output 20 2 7 3" xfId="32709"/>
    <cellStyle name="Output 20 2 7 4" xfId="32710"/>
    <cellStyle name="Output 20 2 8" xfId="17914"/>
    <cellStyle name="Output 20 2 9" xfId="32711"/>
    <cellStyle name="Output 20 3" xfId="17915"/>
    <cellStyle name="Output 20 3 10" xfId="32712"/>
    <cellStyle name="Output 20 3 2" xfId="17916"/>
    <cellStyle name="Output 20 3 2 2" xfId="17917"/>
    <cellStyle name="Output 20 3 2 3" xfId="32713"/>
    <cellStyle name="Output 20 3 2 4" xfId="32714"/>
    <cellStyle name="Output 20 3 3" xfId="17918"/>
    <cellStyle name="Output 20 3 3 2" xfId="17919"/>
    <cellStyle name="Output 20 3 3 3" xfId="32715"/>
    <cellStyle name="Output 20 3 3 4" xfId="32716"/>
    <cellStyle name="Output 20 3 4" xfId="17920"/>
    <cellStyle name="Output 20 3 4 2" xfId="17921"/>
    <cellStyle name="Output 20 3 4 3" xfId="32717"/>
    <cellStyle name="Output 20 3 4 4" xfId="32718"/>
    <cellStyle name="Output 20 3 5" xfId="17922"/>
    <cellStyle name="Output 20 3 5 2" xfId="17923"/>
    <cellStyle name="Output 20 3 5 3" xfId="32719"/>
    <cellStyle name="Output 20 3 5 4" xfId="32720"/>
    <cellStyle name="Output 20 3 6" xfId="17924"/>
    <cellStyle name="Output 20 3 6 2" xfId="17925"/>
    <cellStyle name="Output 20 3 6 3" xfId="32721"/>
    <cellStyle name="Output 20 3 6 4" xfId="32722"/>
    <cellStyle name="Output 20 3 7" xfId="17926"/>
    <cellStyle name="Output 20 3 7 2" xfId="17927"/>
    <cellStyle name="Output 20 3 7 3" xfId="32723"/>
    <cellStyle name="Output 20 3 7 4" xfId="32724"/>
    <cellStyle name="Output 20 3 8" xfId="17928"/>
    <cellStyle name="Output 20 3 9" xfId="32725"/>
    <cellStyle name="Output 20 4" xfId="17929"/>
    <cellStyle name="Output 20 4 10" xfId="32726"/>
    <cellStyle name="Output 20 4 2" xfId="17930"/>
    <cellStyle name="Output 20 4 2 2" xfId="17931"/>
    <cellStyle name="Output 20 4 2 3" xfId="32727"/>
    <cellStyle name="Output 20 4 2 4" xfId="32728"/>
    <cellStyle name="Output 20 4 3" xfId="17932"/>
    <cellStyle name="Output 20 4 3 2" xfId="17933"/>
    <cellStyle name="Output 20 4 3 3" xfId="32729"/>
    <cellStyle name="Output 20 4 3 4" xfId="32730"/>
    <cellStyle name="Output 20 4 4" xfId="17934"/>
    <cellStyle name="Output 20 4 4 2" xfId="17935"/>
    <cellStyle name="Output 20 4 4 3" xfId="32731"/>
    <cellStyle name="Output 20 4 4 4" xfId="32732"/>
    <cellStyle name="Output 20 4 5" xfId="17936"/>
    <cellStyle name="Output 20 4 5 2" xfId="17937"/>
    <cellStyle name="Output 20 4 5 3" xfId="32733"/>
    <cellStyle name="Output 20 4 5 4" xfId="32734"/>
    <cellStyle name="Output 20 4 6" xfId="17938"/>
    <cellStyle name="Output 20 4 6 2" xfId="17939"/>
    <cellStyle name="Output 20 4 6 3" xfId="32735"/>
    <cellStyle name="Output 20 4 6 4" xfId="32736"/>
    <cellStyle name="Output 20 4 7" xfId="17940"/>
    <cellStyle name="Output 20 4 7 2" xfId="17941"/>
    <cellStyle name="Output 20 4 7 3" xfId="32737"/>
    <cellStyle name="Output 20 4 7 4" xfId="32738"/>
    <cellStyle name="Output 20 4 8" xfId="17942"/>
    <cellStyle name="Output 20 4 9" xfId="32739"/>
    <cellStyle name="Output 20 5" xfId="17943"/>
    <cellStyle name="Output 20 5 10" xfId="32740"/>
    <cellStyle name="Output 20 5 2" xfId="17944"/>
    <cellStyle name="Output 20 5 2 2" xfId="17945"/>
    <cellStyle name="Output 20 5 2 3" xfId="32741"/>
    <cellStyle name="Output 20 5 2 4" xfId="32742"/>
    <cellStyle name="Output 20 5 3" xfId="17946"/>
    <cellStyle name="Output 20 5 3 2" xfId="17947"/>
    <cellStyle name="Output 20 5 3 3" xfId="32743"/>
    <cellStyle name="Output 20 5 3 4" xfId="32744"/>
    <cellStyle name="Output 20 5 4" xfId="17948"/>
    <cellStyle name="Output 20 5 4 2" xfId="17949"/>
    <cellStyle name="Output 20 5 4 3" xfId="32745"/>
    <cellStyle name="Output 20 5 4 4" xfId="32746"/>
    <cellStyle name="Output 20 5 5" xfId="17950"/>
    <cellStyle name="Output 20 5 5 2" xfId="17951"/>
    <cellStyle name="Output 20 5 5 3" xfId="32747"/>
    <cellStyle name="Output 20 5 5 4" xfId="32748"/>
    <cellStyle name="Output 20 5 6" xfId="17952"/>
    <cellStyle name="Output 20 5 6 2" xfId="17953"/>
    <cellStyle name="Output 20 5 6 3" xfId="32749"/>
    <cellStyle name="Output 20 5 6 4" xfId="32750"/>
    <cellStyle name="Output 20 5 7" xfId="17954"/>
    <cellStyle name="Output 20 5 7 2" xfId="17955"/>
    <cellStyle name="Output 20 5 7 3" xfId="32751"/>
    <cellStyle name="Output 20 5 7 4" xfId="32752"/>
    <cellStyle name="Output 20 5 8" xfId="17956"/>
    <cellStyle name="Output 20 5 9" xfId="32753"/>
    <cellStyle name="Output 20 6" xfId="17957"/>
    <cellStyle name="Output 20 6 2" xfId="17958"/>
    <cellStyle name="Output 20 6 3" xfId="32754"/>
    <cellStyle name="Output 20 6 4" xfId="32755"/>
    <cellStyle name="Output 20 7" xfId="17959"/>
    <cellStyle name="Output 20 7 2" xfId="17960"/>
    <cellStyle name="Output 20 7 3" xfId="32756"/>
    <cellStyle name="Output 20 7 4" xfId="32757"/>
    <cellStyle name="Output 20 8" xfId="17961"/>
    <cellStyle name="Output 20 8 2" xfId="17962"/>
    <cellStyle name="Output 20 8 3" xfId="32758"/>
    <cellStyle name="Output 20 8 4" xfId="32759"/>
    <cellStyle name="Output 20 9" xfId="17963"/>
    <cellStyle name="Output 20 9 2" xfId="17964"/>
    <cellStyle name="Output 20 9 3" xfId="32760"/>
    <cellStyle name="Output 20 9 4" xfId="32761"/>
    <cellStyle name="Output 21" xfId="17965"/>
    <cellStyle name="Output 21 10" xfId="17966"/>
    <cellStyle name="Output 21 10 2" xfId="17967"/>
    <cellStyle name="Output 21 10 3" xfId="32762"/>
    <cellStyle name="Output 21 10 4" xfId="32763"/>
    <cellStyle name="Output 21 11" xfId="17968"/>
    <cellStyle name="Output 21 11 2" xfId="17969"/>
    <cellStyle name="Output 21 11 3" xfId="32764"/>
    <cellStyle name="Output 21 11 4" xfId="32765"/>
    <cellStyle name="Output 21 12" xfId="17970"/>
    <cellStyle name="Output 21 13" xfId="32766"/>
    <cellStyle name="Output 21 14" xfId="32767"/>
    <cellStyle name="Output 21 2" xfId="17971"/>
    <cellStyle name="Output 21 2 10" xfId="32768"/>
    <cellStyle name="Output 21 2 2" xfId="17972"/>
    <cellStyle name="Output 21 2 2 2" xfId="17973"/>
    <cellStyle name="Output 21 2 2 3" xfId="32769"/>
    <cellStyle name="Output 21 2 2 4" xfId="32770"/>
    <cellStyle name="Output 21 2 3" xfId="17974"/>
    <cellStyle name="Output 21 2 3 2" xfId="17975"/>
    <cellStyle name="Output 21 2 3 3" xfId="32771"/>
    <cellStyle name="Output 21 2 3 4" xfId="32772"/>
    <cellStyle name="Output 21 2 4" xfId="17976"/>
    <cellStyle name="Output 21 2 4 2" xfId="17977"/>
    <cellStyle name="Output 21 2 4 3" xfId="32773"/>
    <cellStyle name="Output 21 2 4 4" xfId="32774"/>
    <cellStyle name="Output 21 2 5" xfId="17978"/>
    <cellStyle name="Output 21 2 5 2" xfId="17979"/>
    <cellStyle name="Output 21 2 5 3" xfId="32775"/>
    <cellStyle name="Output 21 2 5 4" xfId="32776"/>
    <cellStyle name="Output 21 2 6" xfId="17980"/>
    <cellStyle name="Output 21 2 6 2" xfId="17981"/>
    <cellStyle name="Output 21 2 6 3" xfId="32777"/>
    <cellStyle name="Output 21 2 6 4" xfId="32778"/>
    <cellStyle name="Output 21 2 7" xfId="17982"/>
    <cellStyle name="Output 21 2 7 2" xfId="17983"/>
    <cellStyle name="Output 21 2 7 3" xfId="32779"/>
    <cellStyle name="Output 21 2 7 4" xfId="32780"/>
    <cellStyle name="Output 21 2 8" xfId="17984"/>
    <cellStyle name="Output 21 2 9" xfId="32781"/>
    <cellStyle name="Output 21 3" xfId="17985"/>
    <cellStyle name="Output 21 3 10" xfId="32782"/>
    <cellStyle name="Output 21 3 2" xfId="17986"/>
    <cellStyle name="Output 21 3 2 2" xfId="17987"/>
    <cellStyle name="Output 21 3 2 3" xfId="32783"/>
    <cellStyle name="Output 21 3 2 4" xfId="32784"/>
    <cellStyle name="Output 21 3 3" xfId="17988"/>
    <cellStyle name="Output 21 3 3 2" xfId="17989"/>
    <cellStyle name="Output 21 3 3 3" xfId="32785"/>
    <cellStyle name="Output 21 3 3 4" xfId="32786"/>
    <cellStyle name="Output 21 3 4" xfId="17990"/>
    <cellStyle name="Output 21 3 4 2" xfId="17991"/>
    <cellStyle name="Output 21 3 4 3" xfId="32787"/>
    <cellStyle name="Output 21 3 4 4" xfId="32788"/>
    <cellStyle name="Output 21 3 5" xfId="17992"/>
    <cellStyle name="Output 21 3 5 2" xfId="17993"/>
    <cellStyle name="Output 21 3 5 3" xfId="32789"/>
    <cellStyle name="Output 21 3 5 4" xfId="32790"/>
    <cellStyle name="Output 21 3 6" xfId="17994"/>
    <cellStyle name="Output 21 3 6 2" xfId="17995"/>
    <cellStyle name="Output 21 3 6 3" xfId="32791"/>
    <cellStyle name="Output 21 3 6 4" xfId="32792"/>
    <cellStyle name="Output 21 3 7" xfId="17996"/>
    <cellStyle name="Output 21 3 7 2" xfId="17997"/>
    <cellStyle name="Output 21 3 7 3" xfId="32793"/>
    <cellStyle name="Output 21 3 7 4" xfId="32794"/>
    <cellStyle name="Output 21 3 8" xfId="17998"/>
    <cellStyle name="Output 21 3 9" xfId="32795"/>
    <cellStyle name="Output 21 4" xfId="17999"/>
    <cellStyle name="Output 21 4 10" xfId="32796"/>
    <cellStyle name="Output 21 4 2" xfId="18000"/>
    <cellStyle name="Output 21 4 2 2" xfId="18001"/>
    <cellStyle name="Output 21 4 2 3" xfId="32797"/>
    <cellStyle name="Output 21 4 2 4" xfId="32798"/>
    <cellStyle name="Output 21 4 3" xfId="18002"/>
    <cellStyle name="Output 21 4 3 2" xfId="18003"/>
    <cellStyle name="Output 21 4 3 3" xfId="32799"/>
    <cellStyle name="Output 21 4 3 4" xfId="32800"/>
    <cellStyle name="Output 21 4 4" xfId="18004"/>
    <cellStyle name="Output 21 4 4 2" xfId="18005"/>
    <cellStyle name="Output 21 4 4 3" xfId="32801"/>
    <cellStyle name="Output 21 4 4 4" xfId="32802"/>
    <cellStyle name="Output 21 4 5" xfId="18006"/>
    <cellStyle name="Output 21 4 5 2" xfId="18007"/>
    <cellStyle name="Output 21 4 5 3" xfId="32803"/>
    <cellStyle name="Output 21 4 5 4" xfId="32804"/>
    <cellStyle name="Output 21 4 6" xfId="18008"/>
    <cellStyle name="Output 21 4 6 2" xfId="18009"/>
    <cellStyle name="Output 21 4 6 3" xfId="32805"/>
    <cellStyle name="Output 21 4 6 4" xfId="32806"/>
    <cellStyle name="Output 21 4 7" xfId="18010"/>
    <cellStyle name="Output 21 4 7 2" xfId="18011"/>
    <cellStyle name="Output 21 4 7 3" xfId="32807"/>
    <cellStyle name="Output 21 4 7 4" xfId="32808"/>
    <cellStyle name="Output 21 4 8" xfId="18012"/>
    <cellStyle name="Output 21 4 9" xfId="32809"/>
    <cellStyle name="Output 21 5" xfId="18013"/>
    <cellStyle name="Output 21 5 10" xfId="32810"/>
    <cellStyle name="Output 21 5 2" xfId="18014"/>
    <cellStyle name="Output 21 5 2 2" xfId="18015"/>
    <cellStyle name="Output 21 5 2 3" xfId="32811"/>
    <cellStyle name="Output 21 5 2 4" xfId="32812"/>
    <cellStyle name="Output 21 5 3" xfId="18016"/>
    <cellStyle name="Output 21 5 3 2" xfId="18017"/>
    <cellStyle name="Output 21 5 3 3" xfId="32813"/>
    <cellStyle name="Output 21 5 3 4" xfId="32814"/>
    <cellStyle name="Output 21 5 4" xfId="18018"/>
    <cellStyle name="Output 21 5 4 2" xfId="18019"/>
    <cellStyle name="Output 21 5 4 3" xfId="32815"/>
    <cellStyle name="Output 21 5 4 4" xfId="32816"/>
    <cellStyle name="Output 21 5 5" xfId="18020"/>
    <cellStyle name="Output 21 5 5 2" xfId="18021"/>
    <cellStyle name="Output 21 5 5 3" xfId="32817"/>
    <cellStyle name="Output 21 5 5 4" xfId="32818"/>
    <cellStyle name="Output 21 5 6" xfId="18022"/>
    <cellStyle name="Output 21 5 6 2" xfId="18023"/>
    <cellStyle name="Output 21 5 6 3" xfId="32819"/>
    <cellStyle name="Output 21 5 6 4" xfId="32820"/>
    <cellStyle name="Output 21 5 7" xfId="18024"/>
    <cellStyle name="Output 21 5 7 2" xfId="18025"/>
    <cellStyle name="Output 21 5 7 3" xfId="32821"/>
    <cellStyle name="Output 21 5 7 4" xfId="32822"/>
    <cellStyle name="Output 21 5 8" xfId="18026"/>
    <cellStyle name="Output 21 5 9" xfId="32823"/>
    <cellStyle name="Output 21 6" xfId="18027"/>
    <cellStyle name="Output 21 6 2" xfId="18028"/>
    <cellStyle name="Output 21 6 3" xfId="32824"/>
    <cellStyle name="Output 21 6 4" xfId="32825"/>
    <cellStyle name="Output 21 7" xfId="18029"/>
    <cellStyle name="Output 21 7 2" xfId="18030"/>
    <cellStyle name="Output 21 7 3" xfId="32826"/>
    <cellStyle name="Output 21 7 4" xfId="32827"/>
    <cellStyle name="Output 21 8" xfId="18031"/>
    <cellStyle name="Output 21 8 2" xfId="18032"/>
    <cellStyle name="Output 21 8 3" xfId="32828"/>
    <cellStyle name="Output 21 8 4" xfId="32829"/>
    <cellStyle name="Output 21 9" xfId="18033"/>
    <cellStyle name="Output 21 9 2" xfId="18034"/>
    <cellStyle name="Output 21 9 3" xfId="32830"/>
    <cellStyle name="Output 21 9 4" xfId="32831"/>
    <cellStyle name="Output 22" xfId="18035"/>
    <cellStyle name="Output 22 10" xfId="18036"/>
    <cellStyle name="Output 22 10 2" xfId="18037"/>
    <cellStyle name="Output 22 10 3" xfId="32832"/>
    <cellStyle name="Output 22 10 4" xfId="32833"/>
    <cellStyle name="Output 22 11" xfId="18038"/>
    <cellStyle name="Output 22 11 2" xfId="18039"/>
    <cellStyle name="Output 22 11 3" xfId="32834"/>
    <cellStyle name="Output 22 11 4" xfId="32835"/>
    <cellStyle name="Output 22 12" xfId="18040"/>
    <cellStyle name="Output 22 13" xfId="32836"/>
    <cellStyle name="Output 22 14" xfId="32837"/>
    <cellStyle name="Output 22 2" xfId="18041"/>
    <cellStyle name="Output 22 2 10" xfId="32838"/>
    <cellStyle name="Output 22 2 2" xfId="18042"/>
    <cellStyle name="Output 22 2 2 2" xfId="18043"/>
    <cellStyle name="Output 22 2 2 3" xfId="32839"/>
    <cellStyle name="Output 22 2 2 4" xfId="32840"/>
    <cellStyle name="Output 22 2 3" xfId="18044"/>
    <cellStyle name="Output 22 2 3 2" xfId="18045"/>
    <cellStyle name="Output 22 2 3 3" xfId="32841"/>
    <cellStyle name="Output 22 2 3 4" xfId="32842"/>
    <cellStyle name="Output 22 2 4" xfId="18046"/>
    <cellStyle name="Output 22 2 4 2" xfId="18047"/>
    <cellStyle name="Output 22 2 4 3" xfId="32843"/>
    <cellStyle name="Output 22 2 4 4" xfId="32844"/>
    <cellStyle name="Output 22 2 5" xfId="18048"/>
    <cellStyle name="Output 22 2 5 2" xfId="18049"/>
    <cellStyle name="Output 22 2 5 3" xfId="32845"/>
    <cellStyle name="Output 22 2 5 4" xfId="32846"/>
    <cellStyle name="Output 22 2 6" xfId="18050"/>
    <cellStyle name="Output 22 2 6 2" xfId="18051"/>
    <cellStyle name="Output 22 2 6 3" xfId="32847"/>
    <cellStyle name="Output 22 2 6 4" xfId="32848"/>
    <cellStyle name="Output 22 2 7" xfId="18052"/>
    <cellStyle name="Output 22 2 7 2" xfId="18053"/>
    <cellStyle name="Output 22 2 7 3" xfId="32849"/>
    <cellStyle name="Output 22 2 7 4" xfId="32850"/>
    <cellStyle name="Output 22 2 8" xfId="18054"/>
    <cellStyle name="Output 22 2 9" xfId="32851"/>
    <cellStyle name="Output 22 3" xfId="18055"/>
    <cellStyle name="Output 22 3 10" xfId="32852"/>
    <cellStyle name="Output 22 3 2" xfId="18056"/>
    <cellStyle name="Output 22 3 2 2" xfId="18057"/>
    <cellStyle name="Output 22 3 2 3" xfId="32853"/>
    <cellStyle name="Output 22 3 2 4" xfId="32854"/>
    <cellStyle name="Output 22 3 3" xfId="18058"/>
    <cellStyle name="Output 22 3 3 2" xfId="18059"/>
    <cellStyle name="Output 22 3 3 3" xfId="32855"/>
    <cellStyle name="Output 22 3 3 4" xfId="32856"/>
    <cellStyle name="Output 22 3 4" xfId="18060"/>
    <cellStyle name="Output 22 3 4 2" xfId="18061"/>
    <cellStyle name="Output 22 3 4 3" xfId="32857"/>
    <cellStyle name="Output 22 3 4 4" xfId="32858"/>
    <cellStyle name="Output 22 3 5" xfId="18062"/>
    <cellStyle name="Output 22 3 5 2" xfId="18063"/>
    <cellStyle name="Output 22 3 5 3" xfId="32859"/>
    <cellStyle name="Output 22 3 5 4" xfId="32860"/>
    <cellStyle name="Output 22 3 6" xfId="18064"/>
    <cellStyle name="Output 22 3 6 2" xfId="18065"/>
    <cellStyle name="Output 22 3 6 3" xfId="32861"/>
    <cellStyle name="Output 22 3 6 4" xfId="32862"/>
    <cellStyle name="Output 22 3 7" xfId="18066"/>
    <cellStyle name="Output 22 3 7 2" xfId="18067"/>
    <cellStyle name="Output 22 3 7 3" xfId="32863"/>
    <cellStyle name="Output 22 3 7 4" xfId="32864"/>
    <cellStyle name="Output 22 3 8" xfId="18068"/>
    <cellStyle name="Output 22 3 9" xfId="32865"/>
    <cellStyle name="Output 22 4" xfId="18069"/>
    <cellStyle name="Output 22 4 10" xfId="32866"/>
    <cellStyle name="Output 22 4 2" xfId="18070"/>
    <cellStyle name="Output 22 4 2 2" xfId="18071"/>
    <cellStyle name="Output 22 4 2 3" xfId="32867"/>
    <cellStyle name="Output 22 4 2 4" xfId="32868"/>
    <cellStyle name="Output 22 4 3" xfId="18072"/>
    <cellStyle name="Output 22 4 3 2" xfId="18073"/>
    <cellStyle name="Output 22 4 3 3" xfId="32869"/>
    <cellStyle name="Output 22 4 3 4" xfId="32870"/>
    <cellStyle name="Output 22 4 4" xfId="18074"/>
    <cellStyle name="Output 22 4 4 2" xfId="18075"/>
    <cellStyle name="Output 22 4 4 3" xfId="32871"/>
    <cellStyle name="Output 22 4 4 4" xfId="32872"/>
    <cellStyle name="Output 22 4 5" xfId="18076"/>
    <cellStyle name="Output 22 4 5 2" xfId="18077"/>
    <cellStyle name="Output 22 4 5 3" xfId="32873"/>
    <cellStyle name="Output 22 4 5 4" xfId="32874"/>
    <cellStyle name="Output 22 4 6" xfId="18078"/>
    <cellStyle name="Output 22 4 6 2" xfId="18079"/>
    <cellStyle name="Output 22 4 6 3" xfId="32875"/>
    <cellStyle name="Output 22 4 6 4" xfId="32876"/>
    <cellStyle name="Output 22 4 7" xfId="18080"/>
    <cellStyle name="Output 22 4 7 2" xfId="18081"/>
    <cellStyle name="Output 22 4 7 3" xfId="32877"/>
    <cellStyle name="Output 22 4 7 4" xfId="32878"/>
    <cellStyle name="Output 22 4 8" xfId="18082"/>
    <cellStyle name="Output 22 4 9" xfId="32879"/>
    <cellStyle name="Output 22 5" xfId="18083"/>
    <cellStyle name="Output 22 5 10" xfId="32880"/>
    <cellStyle name="Output 22 5 2" xfId="18084"/>
    <cellStyle name="Output 22 5 2 2" xfId="18085"/>
    <cellStyle name="Output 22 5 2 3" xfId="32881"/>
    <cellStyle name="Output 22 5 2 4" xfId="32882"/>
    <cellStyle name="Output 22 5 3" xfId="18086"/>
    <cellStyle name="Output 22 5 3 2" xfId="18087"/>
    <cellStyle name="Output 22 5 3 3" xfId="32883"/>
    <cellStyle name="Output 22 5 3 4" xfId="32884"/>
    <cellStyle name="Output 22 5 4" xfId="18088"/>
    <cellStyle name="Output 22 5 4 2" xfId="18089"/>
    <cellStyle name="Output 22 5 4 3" xfId="32885"/>
    <cellStyle name="Output 22 5 4 4" xfId="32886"/>
    <cellStyle name="Output 22 5 5" xfId="18090"/>
    <cellStyle name="Output 22 5 5 2" xfId="18091"/>
    <cellStyle name="Output 22 5 5 3" xfId="32887"/>
    <cellStyle name="Output 22 5 5 4" xfId="32888"/>
    <cellStyle name="Output 22 5 6" xfId="18092"/>
    <cellStyle name="Output 22 5 6 2" xfId="18093"/>
    <cellStyle name="Output 22 5 6 3" xfId="32889"/>
    <cellStyle name="Output 22 5 6 4" xfId="32890"/>
    <cellStyle name="Output 22 5 7" xfId="18094"/>
    <cellStyle name="Output 22 5 7 2" xfId="18095"/>
    <cellStyle name="Output 22 5 7 3" xfId="32891"/>
    <cellStyle name="Output 22 5 7 4" xfId="32892"/>
    <cellStyle name="Output 22 5 8" xfId="18096"/>
    <cellStyle name="Output 22 5 9" xfId="32893"/>
    <cellStyle name="Output 22 6" xfId="18097"/>
    <cellStyle name="Output 22 6 2" xfId="18098"/>
    <cellStyle name="Output 22 6 3" xfId="32894"/>
    <cellStyle name="Output 22 6 4" xfId="32895"/>
    <cellStyle name="Output 22 7" xfId="18099"/>
    <cellStyle name="Output 22 7 2" xfId="18100"/>
    <cellStyle name="Output 22 7 3" xfId="32896"/>
    <cellStyle name="Output 22 7 4" xfId="32897"/>
    <cellStyle name="Output 22 8" xfId="18101"/>
    <cellStyle name="Output 22 8 2" xfId="18102"/>
    <cellStyle name="Output 22 8 3" xfId="32898"/>
    <cellStyle name="Output 22 8 4" xfId="32899"/>
    <cellStyle name="Output 22 9" xfId="18103"/>
    <cellStyle name="Output 22 9 2" xfId="18104"/>
    <cellStyle name="Output 22 9 3" xfId="32900"/>
    <cellStyle name="Output 22 9 4" xfId="32901"/>
    <cellStyle name="Output 23" xfId="18105"/>
    <cellStyle name="Output 23 10" xfId="32902"/>
    <cellStyle name="Output 23 2" xfId="18106"/>
    <cellStyle name="Output 23 2 2" xfId="18107"/>
    <cellStyle name="Output 23 2 3" xfId="32903"/>
    <cellStyle name="Output 23 2 4" xfId="32904"/>
    <cellStyle name="Output 23 3" xfId="18108"/>
    <cellStyle name="Output 23 3 2" xfId="18109"/>
    <cellStyle name="Output 23 3 3" xfId="32905"/>
    <cellStyle name="Output 23 3 4" xfId="32906"/>
    <cellStyle name="Output 23 4" xfId="18110"/>
    <cellStyle name="Output 23 4 2" xfId="18111"/>
    <cellStyle name="Output 23 4 3" xfId="32907"/>
    <cellStyle name="Output 23 4 4" xfId="32908"/>
    <cellStyle name="Output 23 5" xfId="18112"/>
    <cellStyle name="Output 23 5 2" xfId="18113"/>
    <cellStyle name="Output 23 5 3" xfId="32909"/>
    <cellStyle name="Output 23 5 4" xfId="32910"/>
    <cellStyle name="Output 23 6" xfId="18114"/>
    <cellStyle name="Output 23 6 2" xfId="18115"/>
    <cellStyle name="Output 23 6 3" xfId="32911"/>
    <cellStyle name="Output 23 6 4" xfId="32912"/>
    <cellStyle name="Output 23 7" xfId="18116"/>
    <cellStyle name="Output 23 7 2" xfId="18117"/>
    <cellStyle name="Output 23 7 3" xfId="32913"/>
    <cellStyle name="Output 23 7 4" xfId="32914"/>
    <cellStyle name="Output 23 8" xfId="18118"/>
    <cellStyle name="Output 23 9" xfId="32915"/>
    <cellStyle name="Output 24" xfId="18119"/>
    <cellStyle name="Output 24 10" xfId="32916"/>
    <cellStyle name="Output 24 2" xfId="18120"/>
    <cellStyle name="Output 24 2 2" xfId="18121"/>
    <cellStyle name="Output 24 2 3" xfId="32917"/>
    <cellStyle name="Output 24 2 4" xfId="32918"/>
    <cellStyle name="Output 24 3" xfId="18122"/>
    <cellStyle name="Output 24 3 2" xfId="18123"/>
    <cellStyle name="Output 24 3 3" xfId="32919"/>
    <cellStyle name="Output 24 3 4" xfId="32920"/>
    <cellStyle name="Output 24 4" xfId="18124"/>
    <cellStyle name="Output 24 4 2" xfId="18125"/>
    <cellStyle name="Output 24 4 3" xfId="32921"/>
    <cellStyle name="Output 24 4 4" xfId="32922"/>
    <cellStyle name="Output 24 5" xfId="18126"/>
    <cellStyle name="Output 24 5 2" xfId="18127"/>
    <cellStyle name="Output 24 5 3" xfId="32923"/>
    <cellStyle name="Output 24 5 4" xfId="32924"/>
    <cellStyle name="Output 24 6" xfId="18128"/>
    <cellStyle name="Output 24 6 2" xfId="18129"/>
    <cellStyle name="Output 24 6 3" xfId="32925"/>
    <cellStyle name="Output 24 6 4" xfId="32926"/>
    <cellStyle name="Output 24 7" xfId="18130"/>
    <cellStyle name="Output 24 7 2" xfId="18131"/>
    <cellStyle name="Output 24 7 3" xfId="32927"/>
    <cellStyle name="Output 24 7 4" xfId="32928"/>
    <cellStyle name="Output 24 8" xfId="18132"/>
    <cellStyle name="Output 24 9" xfId="32929"/>
    <cellStyle name="Output 25" xfId="18133"/>
    <cellStyle name="Output 25 10" xfId="32930"/>
    <cellStyle name="Output 25 2" xfId="18134"/>
    <cellStyle name="Output 25 2 2" xfId="18135"/>
    <cellStyle name="Output 25 2 3" xfId="32931"/>
    <cellStyle name="Output 25 2 4" xfId="32932"/>
    <cellStyle name="Output 25 3" xfId="18136"/>
    <cellStyle name="Output 25 3 2" xfId="18137"/>
    <cellStyle name="Output 25 3 3" xfId="32933"/>
    <cellStyle name="Output 25 3 4" xfId="32934"/>
    <cellStyle name="Output 25 4" xfId="18138"/>
    <cellStyle name="Output 25 4 2" xfId="18139"/>
    <cellStyle name="Output 25 4 3" xfId="32935"/>
    <cellStyle name="Output 25 4 4" xfId="32936"/>
    <cellStyle name="Output 25 5" xfId="18140"/>
    <cellStyle name="Output 25 5 2" xfId="18141"/>
    <cellStyle name="Output 25 5 3" xfId="32937"/>
    <cellStyle name="Output 25 5 4" xfId="32938"/>
    <cellStyle name="Output 25 6" xfId="18142"/>
    <cellStyle name="Output 25 6 2" xfId="18143"/>
    <cellStyle name="Output 25 6 3" xfId="32939"/>
    <cellStyle name="Output 25 6 4" xfId="32940"/>
    <cellStyle name="Output 25 7" xfId="18144"/>
    <cellStyle name="Output 25 7 2" xfId="18145"/>
    <cellStyle name="Output 25 7 3" xfId="32941"/>
    <cellStyle name="Output 25 7 4" xfId="32942"/>
    <cellStyle name="Output 25 8" xfId="18146"/>
    <cellStyle name="Output 25 9" xfId="32943"/>
    <cellStyle name="Output 26" xfId="18147"/>
    <cellStyle name="Output 26 10" xfId="32944"/>
    <cellStyle name="Output 26 2" xfId="18148"/>
    <cellStyle name="Output 26 2 2" xfId="18149"/>
    <cellStyle name="Output 26 2 3" xfId="32945"/>
    <cellStyle name="Output 26 2 4" xfId="32946"/>
    <cellStyle name="Output 26 3" xfId="18150"/>
    <cellStyle name="Output 26 3 2" xfId="18151"/>
    <cellStyle name="Output 26 3 3" xfId="32947"/>
    <cellStyle name="Output 26 3 4" xfId="32948"/>
    <cellStyle name="Output 26 4" xfId="18152"/>
    <cellStyle name="Output 26 4 2" xfId="18153"/>
    <cellStyle name="Output 26 4 3" xfId="32949"/>
    <cellStyle name="Output 26 4 4" xfId="32950"/>
    <cellStyle name="Output 26 5" xfId="18154"/>
    <cellStyle name="Output 26 5 2" xfId="18155"/>
    <cellStyle name="Output 26 5 3" xfId="32951"/>
    <cellStyle name="Output 26 5 4" xfId="32952"/>
    <cellStyle name="Output 26 6" xfId="18156"/>
    <cellStyle name="Output 26 6 2" xfId="18157"/>
    <cellStyle name="Output 26 6 3" xfId="32953"/>
    <cellStyle name="Output 26 6 4" xfId="32954"/>
    <cellStyle name="Output 26 7" xfId="18158"/>
    <cellStyle name="Output 26 7 2" xfId="18159"/>
    <cellStyle name="Output 26 7 3" xfId="32955"/>
    <cellStyle name="Output 26 7 4" xfId="32956"/>
    <cellStyle name="Output 26 8" xfId="18160"/>
    <cellStyle name="Output 26 9" xfId="32957"/>
    <cellStyle name="Output 3" xfId="18161"/>
    <cellStyle name="Output 3 10" xfId="18162"/>
    <cellStyle name="Output 3 10 2" xfId="18163"/>
    <cellStyle name="Output 3 10 3" xfId="32958"/>
    <cellStyle name="Output 3 10 4" xfId="32959"/>
    <cellStyle name="Output 3 11" xfId="18164"/>
    <cellStyle name="Output 3 11 2" xfId="18165"/>
    <cellStyle name="Output 3 11 3" xfId="32960"/>
    <cellStyle name="Output 3 11 4" xfId="32961"/>
    <cellStyle name="Output 3 12" xfId="18166"/>
    <cellStyle name="Output 3 13" xfId="32962"/>
    <cellStyle name="Output 3 14" xfId="32963"/>
    <cellStyle name="Output 3 2" xfId="18167"/>
    <cellStyle name="Output 3 2 10" xfId="32964"/>
    <cellStyle name="Output 3 2 2" xfId="18168"/>
    <cellStyle name="Output 3 2 2 2" xfId="18169"/>
    <cellStyle name="Output 3 2 2 3" xfId="32965"/>
    <cellStyle name="Output 3 2 2 4" xfId="32966"/>
    <cellStyle name="Output 3 2 3" xfId="18170"/>
    <cellStyle name="Output 3 2 3 2" xfId="18171"/>
    <cellStyle name="Output 3 2 3 3" xfId="32967"/>
    <cellStyle name="Output 3 2 3 4" xfId="32968"/>
    <cellStyle name="Output 3 2 4" xfId="18172"/>
    <cellStyle name="Output 3 2 4 2" xfId="18173"/>
    <cellStyle name="Output 3 2 4 3" xfId="32969"/>
    <cellStyle name="Output 3 2 4 4" xfId="32970"/>
    <cellStyle name="Output 3 2 5" xfId="18174"/>
    <cellStyle name="Output 3 2 5 2" xfId="18175"/>
    <cellStyle name="Output 3 2 5 3" xfId="32971"/>
    <cellStyle name="Output 3 2 5 4" xfId="32972"/>
    <cellStyle name="Output 3 2 6" xfId="18176"/>
    <cellStyle name="Output 3 2 6 2" xfId="18177"/>
    <cellStyle name="Output 3 2 6 3" xfId="32973"/>
    <cellStyle name="Output 3 2 6 4" xfId="32974"/>
    <cellStyle name="Output 3 2 7" xfId="18178"/>
    <cellStyle name="Output 3 2 7 2" xfId="18179"/>
    <cellStyle name="Output 3 2 7 3" xfId="32975"/>
    <cellStyle name="Output 3 2 7 4" xfId="32976"/>
    <cellStyle name="Output 3 2 8" xfId="18180"/>
    <cellStyle name="Output 3 2 9" xfId="32977"/>
    <cellStyle name="Output 3 3" xfId="18181"/>
    <cellStyle name="Output 3 3 10" xfId="32978"/>
    <cellStyle name="Output 3 3 2" xfId="18182"/>
    <cellStyle name="Output 3 3 2 2" xfId="18183"/>
    <cellStyle name="Output 3 3 2 3" xfId="32979"/>
    <cellStyle name="Output 3 3 2 4" xfId="32980"/>
    <cellStyle name="Output 3 3 3" xfId="18184"/>
    <cellStyle name="Output 3 3 3 2" xfId="18185"/>
    <cellStyle name="Output 3 3 3 3" xfId="32981"/>
    <cellStyle name="Output 3 3 3 4" xfId="32982"/>
    <cellStyle name="Output 3 3 4" xfId="18186"/>
    <cellStyle name="Output 3 3 4 2" xfId="18187"/>
    <cellStyle name="Output 3 3 4 3" xfId="32983"/>
    <cellStyle name="Output 3 3 4 4" xfId="32984"/>
    <cellStyle name="Output 3 3 5" xfId="18188"/>
    <cellStyle name="Output 3 3 5 2" xfId="18189"/>
    <cellStyle name="Output 3 3 5 3" xfId="32985"/>
    <cellStyle name="Output 3 3 5 4" xfId="32986"/>
    <cellStyle name="Output 3 3 6" xfId="18190"/>
    <cellStyle name="Output 3 3 6 2" xfId="18191"/>
    <cellStyle name="Output 3 3 6 3" xfId="32987"/>
    <cellStyle name="Output 3 3 6 4" xfId="32988"/>
    <cellStyle name="Output 3 3 7" xfId="18192"/>
    <cellStyle name="Output 3 3 7 2" xfId="18193"/>
    <cellStyle name="Output 3 3 7 3" xfId="32989"/>
    <cellStyle name="Output 3 3 7 4" xfId="32990"/>
    <cellStyle name="Output 3 3 8" xfId="18194"/>
    <cellStyle name="Output 3 3 9" xfId="32991"/>
    <cellStyle name="Output 3 4" xfId="18195"/>
    <cellStyle name="Output 3 4 10" xfId="32992"/>
    <cellStyle name="Output 3 4 2" xfId="18196"/>
    <cellStyle name="Output 3 4 2 2" xfId="18197"/>
    <cellStyle name="Output 3 4 2 3" xfId="32993"/>
    <cellStyle name="Output 3 4 2 4" xfId="32994"/>
    <cellStyle name="Output 3 4 3" xfId="18198"/>
    <cellStyle name="Output 3 4 3 2" xfId="18199"/>
    <cellStyle name="Output 3 4 3 3" xfId="32995"/>
    <cellStyle name="Output 3 4 3 4" xfId="32996"/>
    <cellStyle name="Output 3 4 4" xfId="18200"/>
    <cellStyle name="Output 3 4 4 2" xfId="18201"/>
    <cellStyle name="Output 3 4 4 3" xfId="32997"/>
    <cellStyle name="Output 3 4 4 4" xfId="32998"/>
    <cellStyle name="Output 3 4 5" xfId="18202"/>
    <cellStyle name="Output 3 4 5 2" xfId="18203"/>
    <cellStyle name="Output 3 4 5 3" xfId="32999"/>
    <cellStyle name="Output 3 4 5 4" xfId="33000"/>
    <cellStyle name="Output 3 4 6" xfId="18204"/>
    <cellStyle name="Output 3 4 6 2" xfId="18205"/>
    <cellStyle name="Output 3 4 6 3" xfId="33001"/>
    <cellStyle name="Output 3 4 6 4" xfId="33002"/>
    <cellStyle name="Output 3 4 7" xfId="18206"/>
    <cellStyle name="Output 3 4 7 2" xfId="18207"/>
    <cellStyle name="Output 3 4 7 3" xfId="33003"/>
    <cellStyle name="Output 3 4 7 4" xfId="33004"/>
    <cellStyle name="Output 3 4 8" xfId="18208"/>
    <cellStyle name="Output 3 4 9" xfId="33005"/>
    <cellStyle name="Output 3 5" xfId="18209"/>
    <cellStyle name="Output 3 5 10" xfId="33006"/>
    <cellStyle name="Output 3 5 2" xfId="18210"/>
    <cellStyle name="Output 3 5 2 2" xfId="18211"/>
    <cellStyle name="Output 3 5 2 3" xfId="33007"/>
    <cellStyle name="Output 3 5 2 4" xfId="33008"/>
    <cellStyle name="Output 3 5 3" xfId="18212"/>
    <cellStyle name="Output 3 5 3 2" xfId="18213"/>
    <cellStyle name="Output 3 5 3 3" xfId="33009"/>
    <cellStyle name="Output 3 5 3 4" xfId="33010"/>
    <cellStyle name="Output 3 5 4" xfId="18214"/>
    <cellStyle name="Output 3 5 4 2" xfId="18215"/>
    <cellStyle name="Output 3 5 4 3" xfId="33011"/>
    <cellStyle name="Output 3 5 4 4" xfId="33012"/>
    <cellStyle name="Output 3 5 5" xfId="18216"/>
    <cellStyle name="Output 3 5 5 2" xfId="18217"/>
    <cellStyle name="Output 3 5 5 3" xfId="33013"/>
    <cellStyle name="Output 3 5 5 4" xfId="33014"/>
    <cellStyle name="Output 3 5 6" xfId="18218"/>
    <cellStyle name="Output 3 5 6 2" xfId="18219"/>
    <cellStyle name="Output 3 5 6 3" xfId="33015"/>
    <cellStyle name="Output 3 5 6 4" xfId="33016"/>
    <cellStyle name="Output 3 5 7" xfId="18220"/>
    <cellStyle name="Output 3 5 7 2" xfId="18221"/>
    <cellStyle name="Output 3 5 7 3" xfId="33017"/>
    <cellStyle name="Output 3 5 7 4" xfId="33018"/>
    <cellStyle name="Output 3 5 8" xfId="18222"/>
    <cellStyle name="Output 3 5 9" xfId="33019"/>
    <cellStyle name="Output 3 6" xfId="18223"/>
    <cellStyle name="Output 3 6 2" xfId="18224"/>
    <cellStyle name="Output 3 6 3" xfId="33020"/>
    <cellStyle name="Output 3 6 4" xfId="33021"/>
    <cellStyle name="Output 3 7" xfId="18225"/>
    <cellStyle name="Output 3 7 2" xfId="18226"/>
    <cellStyle name="Output 3 7 3" xfId="33022"/>
    <cellStyle name="Output 3 7 4" xfId="33023"/>
    <cellStyle name="Output 3 8" xfId="18227"/>
    <cellStyle name="Output 3 8 2" xfId="18228"/>
    <cellStyle name="Output 3 8 3" xfId="33024"/>
    <cellStyle name="Output 3 8 4" xfId="33025"/>
    <cellStyle name="Output 3 9" xfId="18229"/>
    <cellStyle name="Output 3 9 2" xfId="18230"/>
    <cellStyle name="Output 3 9 3" xfId="33026"/>
    <cellStyle name="Output 3 9 4" xfId="33027"/>
    <cellStyle name="Output 4" xfId="18231"/>
    <cellStyle name="Output 4 10" xfId="18232"/>
    <cellStyle name="Output 4 10 2" xfId="18233"/>
    <cellStyle name="Output 4 10 3" xfId="33028"/>
    <cellStyle name="Output 4 10 4" xfId="33029"/>
    <cellStyle name="Output 4 11" xfId="18234"/>
    <cellStyle name="Output 4 11 2" xfId="18235"/>
    <cellStyle name="Output 4 11 3" xfId="33030"/>
    <cellStyle name="Output 4 11 4" xfId="33031"/>
    <cellStyle name="Output 4 12" xfId="18236"/>
    <cellStyle name="Output 4 13" xfId="33032"/>
    <cellStyle name="Output 4 14" xfId="33033"/>
    <cellStyle name="Output 4 2" xfId="18237"/>
    <cellStyle name="Output 4 2 10" xfId="33034"/>
    <cellStyle name="Output 4 2 2" xfId="18238"/>
    <cellStyle name="Output 4 2 2 2" xfId="18239"/>
    <cellStyle name="Output 4 2 2 3" xfId="33035"/>
    <cellStyle name="Output 4 2 2 4" xfId="33036"/>
    <cellStyle name="Output 4 2 3" xfId="18240"/>
    <cellStyle name="Output 4 2 3 2" xfId="18241"/>
    <cellStyle name="Output 4 2 3 3" xfId="33037"/>
    <cellStyle name="Output 4 2 3 4" xfId="33038"/>
    <cellStyle name="Output 4 2 4" xfId="18242"/>
    <cellStyle name="Output 4 2 4 2" xfId="18243"/>
    <cellStyle name="Output 4 2 4 3" xfId="33039"/>
    <cellStyle name="Output 4 2 4 4" xfId="33040"/>
    <cellStyle name="Output 4 2 5" xfId="18244"/>
    <cellStyle name="Output 4 2 5 2" xfId="18245"/>
    <cellStyle name="Output 4 2 5 3" xfId="33041"/>
    <cellStyle name="Output 4 2 5 4" xfId="33042"/>
    <cellStyle name="Output 4 2 6" xfId="18246"/>
    <cellStyle name="Output 4 2 6 2" xfId="18247"/>
    <cellStyle name="Output 4 2 6 3" xfId="33043"/>
    <cellStyle name="Output 4 2 6 4" xfId="33044"/>
    <cellStyle name="Output 4 2 7" xfId="18248"/>
    <cellStyle name="Output 4 2 7 2" xfId="18249"/>
    <cellStyle name="Output 4 2 7 3" xfId="33045"/>
    <cellStyle name="Output 4 2 7 4" xfId="33046"/>
    <cellStyle name="Output 4 2 8" xfId="18250"/>
    <cellStyle name="Output 4 2 9" xfId="33047"/>
    <cellStyle name="Output 4 3" xfId="18251"/>
    <cellStyle name="Output 4 3 10" xfId="33048"/>
    <cellStyle name="Output 4 3 2" xfId="18252"/>
    <cellStyle name="Output 4 3 2 2" xfId="18253"/>
    <cellStyle name="Output 4 3 2 3" xfId="33049"/>
    <cellStyle name="Output 4 3 2 4" xfId="33050"/>
    <cellStyle name="Output 4 3 3" xfId="18254"/>
    <cellStyle name="Output 4 3 3 2" xfId="18255"/>
    <cellStyle name="Output 4 3 3 3" xfId="33051"/>
    <cellStyle name="Output 4 3 3 4" xfId="33052"/>
    <cellStyle name="Output 4 3 4" xfId="18256"/>
    <cellStyle name="Output 4 3 4 2" xfId="18257"/>
    <cellStyle name="Output 4 3 4 3" xfId="33053"/>
    <cellStyle name="Output 4 3 4 4" xfId="33054"/>
    <cellStyle name="Output 4 3 5" xfId="18258"/>
    <cellStyle name="Output 4 3 5 2" xfId="18259"/>
    <cellStyle name="Output 4 3 5 3" xfId="33055"/>
    <cellStyle name="Output 4 3 5 4" xfId="33056"/>
    <cellStyle name="Output 4 3 6" xfId="18260"/>
    <cellStyle name="Output 4 3 6 2" xfId="18261"/>
    <cellStyle name="Output 4 3 6 3" xfId="33057"/>
    <cellStyle name="Output 4 3 6 4" xfId="33058"/>
    <cellStyle name="Output 4 3 7" xfId="18262"/>
    <cellStyle name="Output 4 3 7 2" xfId="18263"/>
    <cellStyle name="Output 4 3 7 3" xfId="33059"/>
    <cellStyle name="Output 4 3 7 4" xfId="33060"/>
    <cellStyle name="Output 4 3 8" xfId="18264"/>
    <cellStyle name="Output 4 3 9" xfId="33061"/>
    <cellStyle name="Output 4 4" xfId="18265"/>
    <cellStyle name="Output 4 4 10" xfId="33062"/>
    <cellStyle name="Output 4 4 2" xfId="18266"/>
    <cellStyle name="Output 4 4 2 2" xfId="18267"/>
    <cellStyle name="Output 4 4 2 3" xfId="33063"/>
    <cellStyle name="Output 4 4 2 4" xfId="33064"/>
    <cellStyle name="Output 4 4 3" xfId="18268"/>
    <cellStyle name="Output 4 4 3 2" xfId="18269"/>
    <cellStyle name="Output 4 4 3 3" xfId="33065"/>
    <cellStyle name="Output 4 4 3 4" xfId="33066"/>
    <cellStyle name="Output 4 4 4" xfId="18270"/>
    <cellStyle name="Output 4 4 4 2" xfId="18271"/>
    <cellStyle name="Output 4 4 4 3" xfId="33067"/>
    <cellStyle name="Output 4 4 4 4" xfId="33068"/>
    <cellStyle name="Output 4 4 5" xfId="18272"/>
    <cellStyle name="Output 4 4 5 2" xfId="18273"/>
    <cellStyle name="Output 4 4 5 3" xfId="33069"/>
    <cellStyle name="Output 4 4 5 4" xfId="33070"/>
    <cellStyle name="Output 4 4 6" xfId="18274"/>
    <cellStyle name="Output 4 4 6 2" xfId="18275"/>
    <cellStyle name="Output 4 4 6 3" xfId="33071"/>
    <cellStyle name="Output 4 4 6 4" xfId="33072"/>
    <cellStyle name="Output 4 4 7" xfId="18276"/>
    <cellStyle name="Output 4 4 7 2" xfId="18277"/>
    <cellStyle name="Output 4 4 7 3" xfId="33073"/>
    <cellStyle name="Output 4 4 7 4" xfId="33074"/>
    <cellStyle name="Output 4 4 8" xfId="18278"/>
    <cellStyle name="Output 4 4 9" xfId="33075"/>
    <cellStyle name="Output 4 5" xfId="18279"/>
    <cellStyle name="Output 4 5 10" xfId="33076"/>
    <cellStyle name="Output 4 5 2" xfId="18280"/>
    <cellStyle name="Output 4 5 2 2" xfId="18281"/>
    <cellStyle name="Output 4 5 2 3" xfId="33077"/>
    <cellStyle name="Output 4 5 2 4" xfId="33078"/>
    <cellStyle name="Output 4 5 3" xfId="18282"/>
    <cellStyle name="Output 4 5 3 2" xfId="18283"/>
    <cellStyle name="Output 4 5 3 3" xfId="33079"/>
    <cellStyle name="Output 4 5 3 4" xfId="33080"/>
    <cellStyle name="Output 4 5 4" xfId="18284"/>
    <cellStyle name="Output 4 5 4 2" xfId="18285"/>
    <cellStyle name="Output 4 5 4 3" xfId="33081"/>
    <cellStyle name="Output 4 5 4 4" xfId="33082"/>
    <cellStyle name="Output 4 5 5" xfId="18286"/>
    <cellStyle name="Output 4 5 5 2" xfId="18287"/>
    <cellStyle name="Output 4 5 5 3" xfId="33083"/>
    <cellStyle name="Output 4 5 5 4" xfId="33084"/>
    <cellStyle name="Output 4 5 6" xfId="18288"/>
    <cellStyle name="Output 4 5 6 2" xfId="18289"/>
    <cellStyle name="Output 4 5 6 3" xfId="33085"/>
    <cellStyle name="Output 4 5 6 4" xfId="33086"/>
    <cellStyle name="Output 4 5 7" xfId="18290"/>
    <cellStyle name="Output 4 5 7 2" xfId="18291"/>
    <cellStyle name="Output 4 5 7 3" xfId="33087"/>
    <cellStyle name="Output 4 5 7 4" xfId="33088"/>
    <cellStyle name="Output 4 5 8" xfId="18292"/>
    <cellStyle name="Output 4 5 9" xfId="33089"/>
    <cellStyle name="Output 4 6" xfId="18293"/>
    <cellStyle name="Output 4 6 2" xfId="18294"/>
    <cellStyle name="Output 4 6 3" xfId="33090"/>
    <cellStyle name="Output 4 6 4" xfId="33091"/>
    <cellStyle name="Output 4 7" xfId="18295"/>
    <cellStyle name="Output 4 7 2" xfId="18296"/>
    <cellStyle name="Output 4 7 3" xfId="33092"/>
    <cellStyle name="Output 4 7 4" xfId="33093"/>
    <cellStyle name="Output 4 8" xfId="18297"/>
    <cellStyle name="Output 4 8 2" xfId="18298"/>
    <cellStyle name="Output 4 8 3" xfId="33094"/>
    <cellStyle name="Output 4 8 4" xfId="33095"/>
    <cellStyle name="Output 4 9" xfId="18299"/>
    <cellStyle name="Output 4 9 2" xfId="18300"/>
    <cellStyle name="Output 4 9 3" xfId="33096"/>
    <cellStyle name="Output 4 9 4" xfId="33097"/>
    <cellStyle name="Output 5" xfId="18301"/>
    <cellStyle name="Output 5 10" xfId="18302"/>
    <cellStyle name="Output 5 10 2" xfId="18303"/>
    <cellStyle name="Output 5 10 3" xfId="33098"/>
    <cellStyle name="Output 5 10 4" xfId="33099"/>
    <cellStyle name="Output 5 11" xfId="18304"/>
    <cellStyle name="Output 5 11 2" xfId="18305"/>
    <cellStyle name="Output 5 11 3" xfId="33100"/>
    <cellStyle name="Output 5 11 4" xfId="33101"/>
    <cellStyle name="Output 5 12" xfId="18306"/>
    <cellStyle name="Output 5 13" xfId="33102"/>
    <cellStyle name="Output 5 14" xfId="33103"/>
    <cellStyle name="Output 5 2" xfId="18307"/>
    <cellStyle name="Output 5 2 10" xfId="33104"/>
    <cellStyle name="Output 5 2 2" xfId="18308"/>
    <cellStyle name="Output 5 2 2 2" xfId="18309"/>
    <cellStyle name="Output 5 2 2 3" xfId="33105"/>
    <cellStyle name="Output 5 2 2 4" xfId="33106"/>
    <cellStyle name="Output 5 2 3" xfId="18310"/>
    <cellStyle name="Output 5 2 3 2" xfId="18311"/>
    <cellStyle name="Output 5 2 3 3" xfId="33107"/>
    <cellStyle name="Output 5 2 3 4" xfId="33108"/>
    <cellStyle name="Output 5 2 4" xfId="18312"/>
    <cellStyle name="Output 5 2 4 2" xfId="18313"/>
    <cellStyle name="Output 5 2 4 3" xfId="33109"/>
    <cellStyle name="Output 5 2 4 4" xfId="33110"/>
    <cellStyle name="Output 5 2 5" xfId="18314"/>
    <cellStyle name="Output 5 2 5 2" xfId="18315"/>
    <cellStyle name="Output 5 2 5 3" xfId="33111"/>
    <cellStyle name="Output 5 2 5 4" xfId="33112"/>
    <cellStyle name="Output 5 2 6" xfId="18316"/>
    <cellStyle name="Output 5 2 6 2" xfId="18317"/>
    <cellStyle name="Output 5 2 6 3" xfId="33113"/>
    <cellStyle name="Output 5 2 6 4" xfId="33114"/>
    <cellStyle name="Output 5 2 7" xfId="18318"/>
    <cellStyle name="Output 5 2 7 2" xfId="18319"/>
    <cellStyle name="Output 5 2 7 3" xfId="33115"/>
    <cellStyle name="Output 5 2 7 4" xfId="33116"/>
    <cellStyle name="Output 5 2 8" xfId="18320"/>
    <cellStyle name="Output 5 2 9" xfId="33117"/>
    <cellStyle name="Output 5 3" xfId="18321"/>
    <cellStyle name="Output 5 3 10" xfId="33118"/>
    <cellStyle name="Output 5 3 2" xfId="18322"/>
    <cellStyle name="Output 5 3 2 2" xfId="18323"/>
    <cellStyle name="Output 5 3 2 3" xfId="33119"/>
    <cellStyle name="Output 5 3 2 4" xfId="33120"/>
    <cellStyle name="Output 5 3 3" xfId="18324"/>
    <cellStyle name="Output 5 3 3 2" xfId="18325"/>
    <cellStyle name="Output 5 3 3 3" xfId="33121"/>
    <cellStyle name="Output 5 3 3 4" xfId="33122"/>
    <cellStyle name="Output 5 3 4" xfId="18326"/>
    <cellStyle name="Output 5 3 4 2" xfId="18327"/>
    <cellStyle name="Output 5 3 4 3" xfId="33123"/>
    <cellStyle name="Output 5 3 4 4" xfId="33124"/>
    <cellStyle name="Output 5 3 5" xfId="18328"/>
    <cellStyle name="Output 5 3 5 2" xfId="18329"/>
    <cellStyle name="Output 5 3 5 3" xfId="33125"/>
    <cellStyle name="Output 5 3 5 4" xfId="33126"/>
    <cellStyle name="Output 5 3 6" xfId="18330"/>
    <cellStyle name="Output 5 3 6 2" xfId="18331"/>
    <cellStyle name="Output 5 3 6 3" xfId="33127"/>
    <cellStyle name="Output 5 3 6 4" xfId="33128"/>
    <cellStyle name="Output 5 3 7" xfId="18332"/>
    <cellStyle name="Output 5 3 7 2" xfId="18333"/>
    <cellStyle name="Output 5 3 7 3" xfId="33129"/>
    <cellStyle name="Output 5 3 7 4" xfId="33130"/>
    <cellStyle name="Output 5 3 8" xfId="18334"/>
    <cellStyle name="Output 5 3 9" xfId="33131"/>
    <cellStyle name="Output 5 4" xfId="18335"/>
    <cellStyle name="Output 5 4 10" xfId="33132"/>
    <cellStyle name="Output 5 4 2" xfId="18336"/>
    <cellStyle name="Output 5 4 2 2" xfId="18337"/>
    <cellStyle name="Output 5 4 2 3" xfId="33133"/>
    <cellStyle name="Output 5 4 2 4" xfId="33134"/>
    <cellStyle name="Output 5 4 3" xfId="18338"/>
    <cellStyle name="Output 5 4 3 2" xfId="18339"/>
    <cellStyle name="Output 5 4 3 3" xfId="33135"/>
    <cellStyle name="Output 5 4 3 4" xfId="33136"/>
    <cellStyle name="Output 5 4 4" xfId="18340"/>
    <cellStyle name="Output 5 4 4 2" xfId="18341"/>
    <cellStyle name="Output 5 4 4 3" xfId="33137"/>
    <cellStyle name="Output 5 4 4 4" xfId="33138"/>
    <cellStyle name="Output 5 4 5" xfId="18342"/>
    <cellStyle name="Output 5 4 5 2" xfId="18343"/>
    <cellStyle name="Output 5 4 5 3" xfId="33139"/>
    <cellStyle name="Output 5 4 5 4" xfId="33140"/>
    <cellStyle name="Output 5 4 6" xfId="18344"/>
    <cellStyle name="Output 5 4 6 2" xfId="18345"/>
    <cellStyle name="Output 5 4 6 3" xfId="33141"/>
    <cellStyle name="Output 5 4 6 4" xfId="33142"/>
    <cellStyle name="Output 5 4 7" xfId="18346"/>
    <cellStyle name="Output 5 4 7 2" xfId="18347"/>
    <cellStyle name="Output 5 4 7 3" xfId="33143"/>
    <cellStyle name="Output 5 4 7 4" xfId="33144"/>
    <cellStyle name="Output 5 4 8" xfId="18348"/>
    <cellStyle name="Output 5 4 9" xfId="33145"/>
    <cellStyle name="Output 5 5" xfId="18349"/>
    <cellStyle name="Output 5 5 10" xfId="33146"/>
    <cellStyle name="Output 5 5 2" xfId="18350"/>
    <cellStyle name="Output 5 5 2 2" xfId="18351"/>
    <cellStyle name="Output 5 5 2 3" xfId="33147"/>
    <cellStyle name="Output 5 5 2 4" xfId="33148"/>
    <cellStyle name="Output 5 5 3" xfId="18352"/>
    <cellStyle name="Output 5 5 3 2" xfId="18353"/>
    <cellStyle name="Output 5 5 3 3" xfId="33149"/>
    <cellStyle name="Output 5 5 3 4" xfId="33150"/>
    <cellStyle name="Output 5 5 4" xfId="18354"/>
    <cellStyle name="Output 5 5 4 2" xfId="18355"/>
    <cellStyle name="Output 5 5 4 3" xfId="33151"/>
    <cellStyle name="Output 5 5 4 4" xfId="33152"/>
    <cellStyle name="Output 5 5 5" xfId="18356"/>
    <cellStyle name="Output 5 5 5 2" xfId="18357"/>
    <cellStyle name="Output 5 5 5 3" xfId="33153"/>
    <cellStyle name="Output 5 5 5 4" xfId="33154"/>
    <cellStyle name="Output 5 5 6" xfId="18358"/>
    <cellStyle name="Output 5 5 6 2" xfId="18359"/>
    <cellStyle name="Output 5 5 6 3" xfId="33155"/>
    <cellStyle name="Output 5 5 6 4" xfId="33156"/>
    <cellStyle name="Output 5 5 7" xfId="18360"/>
    <cellStyle name="Output 5 5 7 2" xfId="18361"/>
    <cellStyle name="Output 5 5 7 3" xfId="33157"/>
    <cellStyle name="Output 5 5 7 4" xfId="33158"/>
    <cellStyle name="Output 5 5 8" xfId="18362"/>
    <cellStyle name="Output 5 5 9" xfId="33159"/>
    <cellStyle name="Output 5 6" xfId="18363"/>
    <cellStyle name="Output 5 6 2" xfId="18364"/>
    <cellStyle name="Output 5 6 3" xfId="33160"/>
    <cellStyle name="Output 5 6 4" xfId="33161"/>
    <cellStyle name="Output 5 7" xfId="18365"/>
    <cellStyle name="Output 5 7 2" xfId="18366"/>
    <cellStyle name="Output 5 7 3" xfId="33162"/>
    <cellStyle name="Output 5 7 4" xfId="33163"/>
    <cellStyle name="Output 5 8" xfId="18367"/>
    <cellStyle name="Output 5 8 2" xfId="18368"/>
    <cellStyle name="Output 5 8 3" xfId="33164"/>
    <cellStyle name="Output 5 8 4" xfId="33165"/>
    <cellStyle name="Output 5 9" xfId="18369"/>
    <cellStyle name="Output 5 9 2" xfId="18370"/>
    <cellStyle name="Output 5 9 3" xfId="33166"/>
    <cellStyle name="Output 5 9 4" xfId="33167"/>
    <cellStyle name="Output 6" xfId="18371"/>
    <cellStyle name="Output 6 10" xfId="18372"/>
    <cellStyle name="Output 6 10 2" xfId="18373"/>
    <cellStyle name="Output 6 10 3" xfId="33168"/>
    <cellStyle name="Output 6 10 4" xfId="33169"/>
    <cellStyle name="Output 6 11" xfId="18374"/>
    <cellStyle name="Output 6 11 2" xfId="18375"/>
    <cellStyle name="Output 6 11 3" xfId="33170"/>
    <cellStyle name="Output 6 11 4" xfId="33171"/>
    <cellStyle name="Output 6 12" xfId="18376"/>
    <cellStyle name="Output 6 13" xfId="33172"/>
    <cellStyle name="Output 6 14" xfId="33173"/>
    <cellStyle name="Output 6 2" xfId="18377"/>
    <cellStyle name="Output 6 2 10" xfId="33174"/>
    <cellStyle name="Output 6 2 2" xfId="18378"/>
    <cellStyle name="Output 6 2 2 2" xfId="18379"/>
    <cellStyle name="Output 6 2 2 3" xfId="33175"/>
    <cellStyle name="Output 6 2 2 4" xfId="33176"/>
    <cellStyle name="Output 6 2 3" xfId="18380"/>
    <cellStyle name="Output 6 2 3 2" xfId="18381"/>
    <cellStyle name="Output 6 2 3 3" xfId="33177"/>
    <cellStyle name="Output 6 2 3 4" xfId="33178"/>
    <cellStyle name="Output 6 2 4" xfId="18382"/>
    <cellStyle name="Output 6 2 4 2" xfId="18383"/>
    <cellStyle name="Output 6 2 4 3" xfId="33179"/>
    <cellStyle name="Output 6 2 4 4" xfId="33180"/>
    <cellStyle name="Output 6 2 5" xfId="18384"/>
    <cellStyle name="Output 6 2 5 2" xfId="18385"/>
    <cellStyle name="Output 6 2 5 3" xfId="33181"/>
    <cellStyle name="Output 6 2 5 4" xfId="33182"/>
    <cellStyle name="Output 6 2 6" xfId="18386"/>
    <cellStyle name="Output 6 2 6 2" xfId="18387"/>
    <cellStyle name="Output 6 2 6 3" xfId="33183"/>
    <cellStyle name="Output 6 2 6 4" xfId="33184"/>
    <cellStyle name="Output 6 2 7" xfId="18388"/>
    <cellStyle name="Output 6 2 7 2" xfId="18389"/>
    <cellStyle name="Output 6 2 7 3" xfId="33185"/>
    <cellStyle name="Output 6 2 7 4" xfId="33186"/>
    <cellStyle name="Output 6 2 8" xfId="18390"/>
    <cellStyle name="Output 6 2 9" xfId="33187"/>
    <cellStyle name="Output 6 3" xfId="18391"/>
    <cellStyle name="Output 6 3 10" xfId="33188"/>
    <cellStyle name="Output 6 3 2" xfId="18392"/>
    <cellStyle name="Output 6 3 2 2" xfId="18393"/>
    <cellStyle name="Output 6 3 2 3" xfId="33189"/>
    <cellStyle name="Output 6 3 2 4" xfId="33190"/>
    <cellStyle name="Output 6 3 3" xfId="18394"/>
    <cellStyle name="Output 6 3 3 2" xfId="18395"/>
    <cellStyle name="Output 6 3 3 3" xfId="33191"/>
    <cellStyle name="Output 6 3 3 4" xfId="33192"/>
    <cellStyle name="Output 6 3 4" xfId="18396"/>
    <cellStyle name="Output 6 3 4 2" xfId="18397"/>
    <cellStyle name="Output 6 3 4 3" xfId="33193"/>
    <cellStyle name="Output 6 3 4 4" xfId="33194"/>
    <cellStyle name="Output 6 3 5" xfId="18398"/>
    <cellStyle name="Output 6 3 5 2" xfId="18399"/>
    <cellStyle name="Output 6 3 5 3" xfId="33195"/>
    <cellStyle name="Output 6 3 5 4" xfId="33196"/>
    <cellStyle name="Output 6 3 6" xfId="18400"/>
    <cellStyle name="Output 6 3 6 2" xfId="18401"/>
    <cellStyle name="Output 6 3 6 3" xfId="33197"/>
    <cellStyle name="Output 6 3 6 4" xfId="33198"/>
    <cellStyle name="Output 6 3 7" xfId="18402"/>
    <cellStyle name="Output 6 3 7 2" xfId="18403"/>
    <cellStyle name="Output 6 3 7 3" xfId="33199"/>
    <cellStyle name="Output 6 3 7 4" xfId="33200"/>
    <cellStyle name="Output 6 3 8" xfId="18404"/>
    <cellStyle name="Output 6 3 9" xfId="33201"/>
    <cellStyle name="Output 6 4" xfId="18405"/>
    <cellStyle name="Output 6 4 10" xfId="33202"/>
    <cellStyle name="Output 6 4 2" xfId="18406"/>
    <cellStyle name="Output 6 4 2 2" xfId="18407"/>
    <cellStyle name="Output 6 4 2 3" xfId="33203"/>
    <cellStyle name="Output 6 4 2 4" xfId="33204"/>
    <cellStyle name="Output 6 4 3" xfId="18408"/>
    <cellStyle name="Output 6 4 3 2" xfId="18409"/>
    <cellStyle name="Output 6 4 3 3" xfId="33205"/>
    <cellStyle name="Output 6 4 3 4" xfId="33206"/>
    <cellStyle name="Output 6 4 4" xfId="18410"/>
    <cellStyle name="Output 6 4 4 2" xfId="18411"/>
    <cellStyle name="Output 6 4 4 3" xfId="33207"/>
    <cellStyle name="Output 6 4 4 4" xfId="33208"/>
    <cellStyle name="Output 6 4 5" xfId="18412"/>
    <cellStyle name="Output 6 4 5 2" xfId="18413"/>
    <cellStyle name="Output 6 4 5 3" xfId="33209"/>
    <cellStyle name="Output 6 4 5 4" xfId="33210"/>
    <cellStyle name="Output 6 4 6" xfId="18414"/>
    <cellStyle name="Output 6 4 6 2" xfId="18415"/>
    <cellStyle name="Output 6 4 6 3" xfId="33211"/>
    <cellStyle name="Output 6 4 6 4" xfId="33212"/>
    <cellStyle name="Output 6 4 7" xfId="18416"/>
    <cellStyle name="Output 6 4 7 2" xfId="18417"/>
    <cellStyle name="Output 6 4 7 3" xfId="33213"/>
    <cellStyle name="Output 6 4 7 4" xfId="33214"/>
    <cellStyle name="Output 6 4 8" xfId="18418"/>
    <cellStyle name="Output 6 4 9" xfId="33215"/>
    <cellStyle name="Output 6 5" xfId="18419"/>
    <cellStyle name="Output 6 5 10" xfId="33216"/>
    <cellStyle name="Output 6 5 2" xfId="18420"/>
    <cellStyle name="Output 6 5 2 2" xfId="18421"/>
    <cellStyle name="Output 6 5 2 3" xfId="33217"/>
    <cellStyle name="Output 6 5 2 4" xfId="33218"/>
    <cellStyle name="Output 6 5 3" xfId="18422"/>
    <cellStyle name="Output 6 5 3 2" xfId="18423"/>
    <cellStyle name="Output 6 5 3 3" xfId="33219"/>
    <cellStyle name="Output 6 5 3 4" xfId="33220"/>
    <cellStyle name="Output 6 5 4" xfId="18424"/>
    <cellStyle name="Output 6 5 4 2" xfId="18425"/>
    <cellStyle name="Output 6 5 4 3" xfId="33221"/>
    <cellStyle name="Output 6 5 4 4" xfId="33222"/>
    <cellStyle name="Output 6 5 5" xfId="18426"/>
    <cellStyle name="Output 6 5 5 2" xfId="18427"/>
    <cellStyle name="Output 6 5 5 3" xfId="33223"/>
    <cellStyle name="Output 6 5 5 4" xfId="33224"/>
    <cellStyle name="Output 6 5 6" xfId="18428"/>
    <cellStyle name="Output 6 5 6 2" xfId="18429"/>
    <cellStyle name="Output 6 5 6 3" xfId="33225"/>
    <cellStyle name="Output 6 5 6 4" xfId="33226"/>
    <cellStyle name="Output 6 5 7" xfId="18430"/>
    <cellStyle name="Output 6 5 7 2" xfId="18431"/>
    <cellStyle name="Output 6 5 7 3" xfId="33227"/>
    <cellStyle name="Output 6 5 7 4" xfId="33228"/>
    <cellStyle name="Output 6 5 8" xfId="18432"/>
    <cellStyle name="Output 6 5 9" xfId="33229"/>
    <cellStyle name="Output 6 6" xfId="18433"/>
    <cellStyle name="Output 6 6 2" xfId="18434"/>
    <cellStyle name="Output 6 6 3" xfId="33230"/>
    <cellStyle name="Output 6 6 4" xfId="33231"/>
    <cellStyle name="Output 6 7" xfId="18435"/>
    <cellStyle name="Output 6 7 2" xfId="18436"/>
    <cellStyle name="Output 6 7 3" xfId="33232"/>
    <cellStyle name="Output 6 7 4" xfId="33233"/>
    <cellStyle name="Output 6 8" xfId="18437"/>
    <cellStyle name="Output 6 8 2" xfId="18438"/>
    <cellStyle name="Output 6 8 3" xfId="33234"/>
    <cellStyle name="Output 6 8 4" xfId="33235"/>
    <cellStyle name="Output 6 9" xfId="18439"/>
    <cellStyle name="Output 6 9 2" xfId="18440"/>
    <cellStyle name="Output 6 9 3" xfId="33236"/>
    <cellStyle name="Output 6 9 4" xfId="33237"/>
    <cellStyle name="Output 7" xfId="18441"/>
    <cellStyle name="Output 7 10" xfId="18442"/>
    <cellStyle name="Output 7 10 2" xfId="18443"/>
    <cellStyle name="Output 7 10 3" xfId="33238"/>
    <cellStyle name="Output 7 10 4" xfId="33239"/>
    <cellStyle name="Output 7 11" xfId="18444"/>
    <cellStyle name="Output 7 11 2" xfId="18445"/>
    <cellStyle name="Output 7 11 3" xfId="33240"/>
    <cellStyle name="Output 7 11 4" xfId="33241"/>
    <cellStyle name="Output 7 12" xfId="18446"/>
    <cellStyle name="Output 7 13" xfId="33242"/>
    <cellStyle name="Output 7 14" xfId="33243"/>
    <cellStyle name="Output 7 2" xfId="18447"/>
    <cellStyle name="Output 7 2 10" xfId="33244"/>
    <cellStyle name="Output 7 2 2" xfId="18448"/>
    <cellStyle name="Output 7 2 2 2" xfId="18449"/>
    <cellStyle name="Output 7 2 2 3" xfId="33245"/>
    <cellStyle name="Output 7 2 2 4" xfId="33246"/>
    <cellStyle name="Output 7 2 3" xfId="18450"/>
    <cellStyle name="Output 7 2 3 2" xfId="18451"/>
    <cellStyle name="Output 7 2 3 3" xfId="33247"/>
    <cellStyle name="Output 7 2 3 4" xfId="33248"/>
    <cellStyle name="Output 7 2 4" xfId="18452"/>
    <cellStyle name="Output 7 2 4 2" xfId="18453"/>
    <cellStyle name="Output 7 2 4 3" xfId="33249"/>
    <cellStyle name="Output 7 2 4 4" xfId="33250"/>
    <cellStyle name="Output 7 2 5" xfId="18454"/>
    <cellStyle name="Output 7 2 5 2" xfId="18455"/>
    <cellStyle name="Output 7 2 5 3" xfId="33251"/>
    <cellStyle name="Output 7 2 5 4" xfId="33252"/>
    <cellStyle name="Output 7 2 6" xfId="18456"/>
    <cellStyle name="Output 7 2 6 2" xfId="18457"/>
    <cellStyle name="Output 7 2 6 3" xfId="33253"/>
    <cellStyle name="Output 7 2 6 4" xfId="33254"/>
    <cellStyle name="Output 7 2 7" xfId="18458"/>
    <cellStyle name="Output 7 2 7 2" xfId="18459"/>
    <cellStyle name="Output 7 2 7 3" xfId="33255"/>
    <cellStyle name="Output 7 2 7 4" xfId="33256"/>
    <cellStyle name="Output 7 2 8" xfId="18460"/>
    <cellStyle name="Output 7 2 9" xfId="33257"/>
    <cellStyle name="Output 7 3" xfId="18461"/>
    <cellStyle name="Output 7 3 10" xfId="33258"/>
    <cellStyle name="Output 7 3 2" xfId="18462"/>
    <cellStyle name="Output 7 3 2 2" xfId="18463"/>
    <cellStyle name="Output 7 3 2 3" xfId="33259"/>
    <cellStyle name="Output 7 3 2 4" xfId="33260"/>
    <cellStyle name="Output 7 3 3" xfId="18464"/>
    <cellStyle name="Output 7 3 3 2" xfId="18465"/>
    <cellStyle name="Output 7 3 3 3" xfId="33261"/>
    <cellStyle name="Output 7 3 3 4" xfId="33262"/>
    <cellStyle name="Output 7 3 4" xfId="18466"/>
    <cellStyle name="Output 7 3 4 2" xfId="18467"/>
    <cellStyle name="Output 7 3 4 3" xfId="33263"/>
    <cellStyle name="Output 7 3 4 4" xfId="33264"/>
    <cellStyle name="Output 7 3 5" xfId="18468"/>
    <cellStyle name="Output 7 3 5 2" xfId="18469"/>
    <cellStyle name="Output 7 3 5 3" xfId="33265"/>
    <cellStyle name="Output 7 3 5 4" xfId="33266"/>
    <cellStyle name="Output 7 3 6" xfId="18470"/>
    <cellStyle name="Output 7 3 6 2" xfId="18471"/>
    <cellStyle name="Output 7 3 6 3" xfId="33267"/>
    <cellStyle name="Output 7 3 6 4" xfId="33268"/>
    <cellStyle name="Output 7 3 7" xfId="18472"/>
    <cellStyle name="Output 7 3 7 2" xfId="18473"/>
    <cellStyle name="Output 7 3 7 3" xfId="33269"/>
    <cellStyle name="Output 7 3 7 4" xfId="33270"/>
    <cellStyle name="Output 7 3 8" xfId="18474"/>
    <cellStyle name="Output 7 3 9" xfId="33271"/>
    <cellStyle name="Output 7 4" xfId="18475"/>
    <cellStyle name="Output 7 4 10" xfId="33272"/>
    <cellStyle name="Output 7 4 2" xfId="18476"/>
    <cellStyle name="Output 7 4 2 2" xfId="18477"/>
    <cellStyle name="Output 7 4 2 3" xfId="33273"/>
    <cellStyle name="Output 7 4 2 4" xfId="33274"/>
    <cellStyle name="Output 7 4 3" xfId="18478"/>
    <cellStyle name="Output 7 4 3 2" xfId="18479"/>
    <cellStyle name="Output 7 4 3 3" xfId="33275"/>
    <cellStyle name="Output 7 4 3 4" xfId="33276"/>
    <cellStyle name="Output 7 4 4" xfId="18480"/>
    <cellStyle name="Output 7 4 4 2" xfId="18481"/>
    <cellStyle name="Output 7 4 4 3" xfId="33277"/>
    <cellStyle name="Output 7 4 4 4" xfId="33278"/>
    <cellStyle name="Output 7 4 5" xfId="18482"/>
    <cellStyle name="Output 7 4 5 2" xfId="18483"/>
    <cellStyle name="Output 7 4 5 3" xfId="33279"/>
    <cellStyle name="Output 7 4 5 4" xfId="33280"/>
    <cellStyle name="Output 7 4 6" xfId="18484"/>
    <cellStyle name="Output 7 4 6 2" xfId="18485"/>
    <cellStyle name="Output 7 4 6 3" xfId="33281"/>
    <cellStyle name="Output 7 4 6 4" xfId="33282"/>
    <cellStyle name="Output 7 4 7" xfId="18486"/>
    <cellStyle name="Output 7 4 7 2" xfId="18487"/>
    <cellStyle name="Output 7 4 7 3" xfId="33283"/>
    <cellStyle name="Output 7 4 7 4" xfId="33284"/>
    <cellStyle name="Output 7 4 8" xfId="18488"/>
    <cellStyle name="Output 7 4 9" xfId="33285"/>
    <cellStyle name="Output 7 5" xfId="18489"/>
    <cellStyle name="Output 7 5 10" xfId="33286"/>
    <cellStyle name="Output 7 5 2" xfId="18490"/>
    <cellStyle name="Output 7 5 2 2" xfId="18491"/>
    <cellStyle name="Output 7 5 2 3" xfId="33287"/>
    <cellStyle name="Output 7 5 2 4" xfId="33288"/>
    <cellStyle name="Output 7 5 3" xfId="18492"/>
    <cellStyle name="Output 7 5 3 2" xfId="18493"/>
    <cellStyle name="Output 7 5 3 3" xfId="33289"/>
    <cellStyle name="Output 7 5 3 4" xfId="33290"/>
    <cellStyle name="Output 7 5 4" xfId="18494"/>
    <cellStyle name="Output 7 5 4 2" xfId="18495"/>
    <cellStyle name="Output 7 5 4 3" xfId="33291"/>
    <cellStyle name="Output 7 5 4 4" xfId="33292"/>
    <cellStyle name="Output 7 5 5" xfId="18496"/>
    <cellStyle name="Output 7 5 5 2" xfId="18497"/>
    <cellStyle name="Output 7 5 5 3" xfId="33293"/>
    <cellStyle name="Output 7 5 5 4" xfId="33294"/>
    <cellStyle name="Output 7 5 6" xfId="18498"/>
    <cellStyle name="Output 7 5 6 2" xfId="18499"/>
    <cellStyle name="Output 7 5 6 3" xfId="33295"/>
    <cellStyle name="Output 7 5 6 4" xfId="33296"/>
    <cellStyle name="Output 7 5 7" xfId="18500"/>
    <cellStyle name="Output 7 5 7 2" xfId="18501"/>
    <cellStyle name="Output 7 5 7 3" xfId="33297"/>
    <cellStyle name="Output 7 5 7 4" xfId="33298"/>
    <cellStyle name="Output 7 5 8" xfId="18502"/>
    <cellStyle name="Output 7 5 9" xfId="33299"/>
    <cellStyle name="Output 7 6" xfId="18503"/>
    <cellStyle name="Output 7 6 2" xfId="18504"/>
    <cellStyle name="Output 7 6 3" xfId="33300"/>
    <cellStyle name="Output 7 6 4" xfId="33301"/>
    <cellStyle name="Output 7 7" xfId="18505"/>
    <cellStyle name="Output 7 7 2" xfId="18506"/>
    <cellStyle name="Output 7 7 3" xfId="33302"/>
    <cellStyle name="Output 7 7 4" xfId="33303"/>
    <cellStyle name="Output 7 8" xfId="18507"/>
    <cellStyle name="Output 7 8 2" xfId="18508"/>
    <cellStyle name="Output 7 8 3" xfId="33304"/>
    <cellStyle name="Output 7 8 4" xfId="33305"/>
    <cellStyle name="Output 7 9" xfId="18509"/>
    <cellStyle name="Output 7 9 2" xfId="18510"/>
    <cellStyle name="Output 7 9 3" xfId="33306"/>
    <cellStyle name="Output 7 9 4" xfId="33307"/>
    <cellStyle name="Output 8" xfId="18511"/>
    <cellStyle name="Output 8 10" xfId="18512"/>
    <cellStyle name="Output 8 10 2" xfId="18513"/>
    <cellStyle name="Output 8 10 3" xfId="33308"/>
    <cellStyle name="Output 8 10 4" xfId="33309"/>
    <cellStyle name="Output 8 11" xfId="18514"/>
    <cellStyle name="Output 8 11 2" xfId="18515"/>
    <cellStyle name="Output 8 11 3" xfId="33310"/>
    <cellStyle name="Output 8 11 4" xfId="33311"/>
    <cellStyle name="Output 8 12" xfId="18516"/>
    <cellStyle name="Output 8 13" xfId="33312"/>
    <cellStyle name="Output 8 14" xfId="33313"/>
    <cellStyle name="Output 8 2" xfId="18517"/>
    <cellStyle name="Output 8 2 10" xfId="33314"/>
    <cellStyle name="Output 8 2 2" xfId="18518"/>
    <cellStyle name="Output 8 2 2 2" xfId="18519"/>
    <cellStyle name="Output 8 2 2 3" xfId="33315"/>
    <cellStyle name="Output 8 2 2 4" xfId="33316"/>
    <cellStyle name="Output 8 2 3" xfId="18520"/>
    <cellStyle name="Output 8 2 3 2" xfId="18521"/>
    <cellStyle name="Output 8 2 3 3" xfId="33317"/>
    <cellStyle name="Output 8 2 3 4" xfId="33318"/>
    <cellStyle name="Output 8 2 4" xfId="18522"/>
    <cellStyle name="Output 8 2 4 2" xfId="18523"/>
    <cellStyle name="Output 8 2 4 3" xfId="33319"/>
    <cellStyle name="Output 8 2 4 4" xfId="33320"/>
    <cellStyle name="Output 8 2 5" xfId="18524"/>
    <cellStyle name="Output 8 2 5 2" xfId="18525"/>
    <cellStyle name="Output 8 2 5 3" xfId="33321"/>
    <cellStyle name="Output 8 2 5 4" xfId="33322"/>
    <cellStyle name="Output 8 2 6" xfId="18526"/>
    <cellStyle name="Output 8 2 6 2" xfId="18527"/>
    <cellStyle name="Output 8 2 6 3" xfId="33323"/>
    <cellStyle name="Output 8 2 6 4" xfId="33324"/>
    <cellStyle name="Output 8 2 7" xfId="18528"/>
    <cellStyle name="Output 8 2 7 2" xfId="18529"/>
    <cellStyle name="Output 8 2 7 3" xfId="33325"/>
    <cellStyle name="Output 8 2 7 4" xfId="33326"/>
    <cellStyle name="Output 8 2 8" xfId="18530"/>
    <cellStyle name="Output 8 2 9" xfId="33327"/>
    <cellStyle name="Output 8 3" xfId="18531"/>
    <cellStyle name="Output 8 3 10" xfId="33328"/>
    <cellStyle name="Output 8 3 2" xfId="18532"/>
    <cellStyle name="Output 8 3 2 2" xfId="18533"/>
    <cellStyle name="Output 8 3 2 3" xfId="33329"/>
    <cellStyle name="Output 8 3 2 4" xfId="33330"/>
    <cellStyle name="Output 8 3 3" xfId="18534"/>
    <cellStyle name="Output 8 3 3 2" xfId="18535"/>
    <cellStyle name="Output 8 3 3 3" xfId="33331"/>
    <cellStyle name="Output 8 3 3 4" xfId="33332"/>
    <cellStyle name="Output 8 3 4" xfId="18536"/>
    <cellStyle name="Output 8 3 4 2" xfId="18537"/>
    <cellStyle name="Output 8 3 4 3" xfId="33333"/>
    <cellStyle name="Output 8 3 4 4" xfId="33334"/>
    <cellStyle name="Output 8 3 5" xfId="18538"/>
    <cellStyle name="Output 8 3 5 2" xfId="18539"/>
    <cellStyle name="Output 8 3 5 3" xfId="33335"/>
    <cellStyle name="Output 8 3 5 4" xfId="33336"/>
    <cellStyle name="Output 8 3 6" xfId="18540"/>
    <cellStyle name="Output 8 3 6 2" xfId="18541"/>
    <cellStyle name="Output 8 3 6 3" xfId="33337"/>
    <cellStyle name="Output 8 3 6 4" xfId="33338"/>
    <cellStyle name="Output 8 3 7" xfId="18542"/>
    <cellStyle name="Output 8 3 7 2" xfId="18543"/>
    <cellStyle name="Output 8 3 7 3" xfId="33339"/>
    <cellStyle name="Output 8 3 7 4" xfId="33340"/>
    <cellStyle name="Output 8 3 8" xfId="18544"/>
    <cellStyle name="Output 8 3 9" xfId="33341"/>
    <cellStyle name="Output 8 4" xfId="18545"/>
    <cellStyle name="Output 8 4 10" xfId="33342"/>
    <cellStyle name="Output 8 4 2" xfId="18546"/>
    <cellStyle name="Output 8 4 2 2" xfId="18547"/>
    <cellStyle name="Output 8 4 2 3" xfId="33343"/>
    <cellStyle name="Output 8 4 2 4" xfId="33344"/>
    <cellStyle name="Output 8 4 3" xfId="18548"/>
    <cellStyle name="Output 8 4 3 2" xfId="18549"/>
    <cellStyle name="Output 8 4 3 3" xfId="33345"/>
    <cellStyle name="Output 8 4 3 4" xfId="33346"/>
    <cellStyle name="Output 8 4 4" xfId="18550"/>
    <cellStyle name="Output 8 4 4 2" xfId="18551"/>
    <cellStyle name="Output 8 4 4 3" xfId="33347"/>
    <cellStyle name="Output 8 4 4 4" xfId="33348"/>
    <cellStyle name="Output 8 4 5" xfId="18552"/>
    <cellStyle name="Output 8 4 5 2" xfId="18553"/>
    <cellStyle name="Output 8 4 5 3" xfId="33349"/>
    <cellStyle name="Output 8 4 5 4" xfId="33350"/>
    <cellStyle name="Output 8 4 6" xfId="18554"/>
    <cellStyle name="Output 8 4 6 2" xfId="18555"/>
    <cellStyle name="Output 8 4 6 3" xfId="33351"/>
    <cellStyle name="Output 8 4 6 4" xfId="33352"/>
    <cellStyle name="Output 8 4 7" xfId="18556"/>
    <cellStyle name="Output 8 4 7 2" xfId="18557"/>
    <cellStyle name="Output 8 4 7 3" xfId="33353"/>
    <cellStyle name="Output 8 4 7 4" xfId="33354"/>
    <cellStyle name="Output 8 4 8" xfId="18558"/>
    <cellStyle name="Output 8 4 9" xfId="33355"/>
    <cellStyle name="Output 8 5" xfId="18559"/>
    <cellStyle name="Output 8 5 10" xfId="33356"/>
    <cellStyle name="Output 8 5 2" xfId="18560"/>
    <cellStyle name="Output 8 5 2 2" xfId="18561"/>
    <cellStyle name="Output 8 5 2 3" xfId="33357"/>
    <cellStyle name="Output 8 5 2 4" xfId="33358"/>
    <cellStyle name="Output 8 5 3" xfId="18562"/>
    <cellStyle name="Output 8 5 3 2" xfId="18563"/>
    <cellStyle name="Output 8 5 3 3" xfId="33359"/>
    <cellStyle name="Output 8 5 3 4" xfId="33360"/>
    <cellStyle name="Output 8 5 4" xfId="18564"/>
    <cellStyle name="Output 8 5 4 2" xfId="18565"/>
    <cellStyle name="Output 8 5 4 3" xfId="33361"/>
    <cellStyle name="Output 8 5 4 4" xfId="33362"/>
    <cellStyle name="Output 8 5 5" xfId="18566"/>
    <cellStyle name="Output 8 5 5 2" xfId="18567"/>
    <cellStyle name="Output 8 5 5 3" xfId="33363"/>
    <cellStyle name="Output 8 5 5 4" xfId="33364"/>
    <cellStyle name="Output 8 5 6" xfId="18568"/>
    <cellStyle name="Output 8 5 6 2" xfId="18569"/>
    <cellStyle name="Output 8 5 6 3" xfId="33365"/>
    <cellStyle name="Output 8 5 6 4" xfId="33366"/>
    <cellStyle name="Output 8 5 7" xfId="18570"/>
    <cellStyle name="Output 8 5 7 2" xfId="18571"/>
    <cellStyle name="Output 8 5 7 3" xfId="33367"/>
    <cellStyle name="Output 8 5 7 4" xfId="33368"/>
    <cellStyle name="Output 8 5 8" xfId="18572"/>
    <cellStyle name="Output 8 5 9" xfId="33369"/>
    <cellStyle name="Output 8 6" xfId="18573"/>
    <cellStyle name="Output 8 6 2" xfId="18574"/>
    <cellStyle name="Output 8 6 3" xfId="33370"/>
    <cellStyle name="Output 8 6 4" xfId="33371"/>
    <cellStyle name="Output 8 7" xfId="18575"/>
    <cellStyle name="Output 8 7 2" xfId="18576"/>
    <cellStyle name="Output 8 7 3" xfId="33372"/>
    <cellStyle name="Output 8 7 4" xfId="33373"/>
    <cellStyle name="Output 8 8" xfId="18577"/>
    <cellStyle name="Output 8 8 2" xfId="18578"/>
    <cellStyle name="Output 8 8 3" xfId="33374"/>
    <cellStyle name="Output 8 8 4" xfId="33375"/>
    <cellStyle name="Output 8 9" xfId="18579"/>
    <cellStyle name="Output 8 9 2" xfId="18580"/>
    <cellStyle name="Output 8 9 3" xfId="33376"/>
    <cellStyle name="Output 8 9 4" xfId="33377"/>
    <cellStyle name="Output 9" xfId="18581"/>
    <cellStyle name="Output 9 10" xfId="18582"/>
    <cellStyle name="Output 9 10 2" xfId="18583"/>
    <cellStyle name="Output 9 10 3" xfId="33378"/>
    <cellStyle name="Output 9 10 4" xfId="33379"/>
    <cellStyle name="Output 9 11" xfId="18584"/>
    <cellStyle name="Output 9 11 2" xfId="18585"/>
    <cellStyle name="Output 9 11 3" xfId="33380"/>
    <cellStyle name="Output 9 11 4" xfId="33381"/>
    <cellStyle name="Output 9 12" xfId="18586"/>
    <cellStyle name="Output 9 13" xfId="33382"/>
    <cellStyle name="Output 9 14" xfId="33383"/>
    <cellStyle name="Output 9 2" xfId="18587"/>
    <cellStyle name="Output 9 2 10" xfId="33384"/>
    <cellStyle name="Output 9 2 2" xfId="18588"/>
    <cellStyle name="Output 9 2 2 2" xfId="18589"/>
    <cellStyle name="Output 9 2 2 3" xfId="33385"/>
    <cellStyle name="Output 9 2 2 4" xfId="33386"/>
    <cellStyle name="Output 9 2 3" xfId="18590"/>
    <cellStyle name="Output 9 2 3 2" xfId="18591"/>
    <cellStyle name="Output 9 2 3 3" xfId="33387"/>
    <cellStyle name="Output 9 2 3 4" xfId="33388"/>
    <cellStyle name="Output 9 2 4" xfId="18592"/>
    <cellStyle name="Output 9 2 4 2" xfId="18593"/>
    <cellStyle name="Output 9 2 4 3" xfId="33389"/>
    <cellStyle name="Output 9 2 4 4" xfId="33390"/>
    <cellStyle name="Output 9 2 5" xfId="18594"/>
    <cellStyle name="Output 9 2 5 2" xfId="18595"/>
    <cellStyle name="Output 9 2 5 3" xfId="33391"/>
    <cellStyle name="Output 9 2 5 4" xfId="33392"/>
    <cellStyle name="Output 9 2 6" xfId="18596"/>
    <cellStyle name="Output 9 2 6 2" xfId="18597"/>
    <cellStyle name="Output 9 2 6 3" xfId="33393"/>
    <cellStyle name="Output 9 2 6 4" xfId="33394"/>
    <cellStyle name="Output 9 2 7" xfId="18598"/>
    <cellStyle name="Output 9 2 7 2" xfId="18599"/>
    <cellStyle name="Output 9 2 7 3" xfId="33395"/>
    <cellStyle name="Output 9 2 7 4" xfId="33396"/>
    <cellStyle name="Output 9 2 8" xfId="18600"/>
    <cellStyle name="Output 9 2 9" xfId="33397"/>
    <cellStyle name="Output 9 3" xfId="18601"/>
    <cellStyle name="Output 9 3 10" xfId="33398"/>
    <cellStyle name="Output 9 3 2" xfId="18602"/>
    <cellStyle name="Output 9 3 2 2" xfId="18603"/>
    <cellStyle name="Output 9 3 2 3" xfId="33399"/>
    <cellStyle name="Output 9 3 2 4" xfId="33400"/>
    <cellStyle name="Output 9 3 3" xfId="18604"/>
    <cellStyle name="Output 9 3 3 2" xfId="18605"/>
    <cellStyle name="Output 9 3 3 3" xfId="33401"/>
    <cellStyle name="Output 9 3 3 4" xfId="33402"/>
    <cellStyle name="Output 9 3 4" xfId="18606"/>
    <cellStyle name="Output 9 3 4 2" xfId="18607"/>
    <cellStyle name="Output 9 3 4 3" xfId="33403"/>
    <cellStyle name="Output 9 3 4 4" xfId="33404"/>
    <cellStyle name="Output 9 3 5" xfId="18608"/>
    <cellStyle name="Output 9 3 5 2" xfId="18609"/>
    <cellStyle name="Output 9 3 5 3" xfId="33405"/>
    <cellStyle name="Output 9 3 5 4" xfId="33406"/>
    <cellStyle name="Output 9 3 6" xfId="18610"/>
    <cellStyle name="Output 9 3 6 2" xfId="18611"/>
    <cellStyle name="Output 9 3 6 3" xfId="33407"/>
    <cellStyle name="Output 9 3 6 4" xfId="33408"/>
    <cellStyle name="Output 9 3 7" xfId="18612"/>
    <cellStyle name="Output 9 3 7 2" xfId="18613"/>
    <cellStyle name="Output 9 3 7 3" xfId="33409"/>
    <cellStyle name="Output 9 3 7 4" xfId="33410"/>
    <cellStyle name="Output 9 3 8" xfId="18614"/>
    <cellStyle name="Output 9 3 9" xfId="33411"/>
    <cellStyle name="Output 9 4" xfId="18615"/>
    <cellStyle name="Output 9 4 10" xfId="33412"/>
    <cellStyle name="Output 9 4 2" xfId="18616"/>
    <cellStyle name="Output 9 4 2 2" xfId="18617"/>
    <cellStyle name="Output 9 4 2 3" xfId="33413"/>
    <cellStyle name="Output 9 4 2 4" xfId="33414"/>
    <cellStyle name="Output 9 4 3" xfId="18618"/>
    <cellStyle name="Output 9 4 3 2" xfId="18619"/>
    <cellStyle name="Output 9 4 3 3" xfId="33415"/>
    <cellStyle name="Output 9 4 3 4" xfId="33416"/>
    <cellStyle name="Output 9 4 4" xfId="18620"/>
    <cellStyle name="Output 9 4 4 2" xfId="18621"/>
    <cellStyle name="Output 9 4 4 3" xfId="33417"/>
    <cellStyle name="Output 9 4 4 4" xfId="33418"/>
    <cellStyle name="Output 9 4 5" xfId="18622"/>
    <cellStyle name="Output 9 4 5 2" xfId="18623"/>
    <cellStyle name="Output 9 4 5 3" xfId="33419"/>
    <cellStyle name="Output 9 4 5 4" xfId="33420"/>
    <cellStyle name="Output 9 4 6" xfId="18624"/>
    <cellStyle name="Output 9 4 6 2" xfId="18625"/>
    <cellStyle name="Output 9 4 6 3" xfId="33421"/>
    <cellStyle name="Output 9 4 6 4" xfId="33422"/>
    <cellStyle name="Output 9 4 7" xfId="18626"/>
    <cellStyle name="Output 9 4 7 2" xfId="18627"/>
    <cellStyle name="Output 9 4 7 3" xfId="33423"/>
    <cellStyle name="Output 9 4 7 4" xfId="33424"/>
    <cellStyle name="Output 9 4 8" xfId="18628"/>
    <cellStyle name="Output 9 4 9" xfId="33425"/>
    <cellStyle name="Output 9 5" xfId="18629"/>
    <cellStyle name="Output 9 5 10" xfId="33426"/>
    <cellStyle name="Output 9 5 2" xfId="18630"/>
    <cellStyle name="Output 9 5 2 2" xfId="18631"/>
    <cellStyle name="Output 9 5 2 3" xfId="33427"/>
    <cellStyle name="Output 9 5 2 4" xfId="33428"/>
    <cellStyle name="Output 9 5 3" xfId="18632"/>
    <cellStyle name="Output 9 5 3 2" xfId="18633"/>
    <cellStyle name="Output 9 5 3 3" xfId="33429"/>
    <cellStyle name="Output 9 5 3 4" xfId="33430"/>
    <cellStyle name="Output 9 5 4" xfId="18634"/>
    <cellStyle name="Output 9 5 4 2" xfId="18635"/>
    <cellStyle name="Output 9 5 4 3" xfId="33431"/>
    <cellStyle name="Output 9 5 4 4" xfId="33432"/>
    <cellStyle name="Output 9 5 5" xfId="18636"/>
    <cellStyle name="Output 9 5 5 2" xfId="18637"/>
    <cellStyle name="Output 9 5 5 3" xfId="33433"/>
    <cellStyle name="Output 9 5 5 4" xfId="33434"/>
    <cellStyle name="Output 9 5 6" xfId="18638"/>
    <cellStyle name="Output 9 5 6 2" xfId="18639"/>
    <cellStyle name="Output 9 5 6 3" xfId="33435"/>
    <cellStyle name="Output 9 5 6 4" xfId="33436"/>
    <cellStyle name="Output 9 5 7" xfId="18640"/>
    <cellStyle name="Output 9 5 7 2" xfId="18641"/>
    <cellStyle name="Output 9 5 7 3" xfId="33437"/>
    <cellStyle name="Output 9 5 7 4" xfId="33438"/>
    <cellStyle name="Output 9 5 8" xfId="18642"/>
    <cellStyle name="Output 9 5 9" xfId="33439"/>
    <cellStyle name="Output 9 6" xfId="18643"/>
    <cellStyle name="Output 9 6 2" xfId="18644"/>
    <cellStyle name="Output 9 6 3" xfId="33440"/>
    <cellStyle name="Output 9 6 4" xfId="33441"/>
    <cellStyle name="Output 9 7" xfId="18645"/>
    <cellStyle name="Output 9 7 2" xfId="18646"/>
    <cellStyle name="Output 9 7 3" xfId="33442"/>
    <cellStyle name="Output 9 7 4" xfId="33443"/>
    <cellStyle name="Output 9 8" xfId="18647"/>
    <cellStyle name="Output 9 8 2" xfId="18648"/>
    <cellStyle name="Output 9 8 3" xfId="33444"/>
    <cellStyle name="Output 9 8 4" xfId="33445"/>
    <cellStyle name="Output 9 9" xfId="18649"/>
    <cellStyle name="Output 9 9 2" xfId="18650"/>
    <cellStyle name="Output 9 9 3" xfId="33446"/>
    <cellStyle name="Output 9 9 4" xfId="33447"/>
    <cellStyle name="Percent" xfId="10" builtinId="5"/>
    <cellStyle name="Percent 10" xfId="18651"/>
    <cellStyle name="Percent 10 2" xfId="18652"/>
    <cellStyle name="Percent 10 3" xfId="18653"/>
    <cellStyle name="Percent 11" xfId="18654"/>
    <cellStyle name="Percent 11 2" xfId="18655"/>
    <cellStyle name="Percent 12" xfId="18656"/>
    <cellStyle name="Percent 12 2" xfId="18657"/>
    <cellStyle name="Percent 13" xfId="18658"/>
    <cellStyle name="Percent 14" xfId="18659"/>
    <cellStyle name="Percent 14 10" xfId="18660"/>
    <cellStyle name="Percent 14 11" xfId="18661"/>
    <cellStyle name="Percent 14 2" xfId="18662"/>
    <cellStyle name="Percent 14 3" xfId="18663"/>
    <cellStyle name="Percent 14 4" xfId="18664"/>
    <cellStyle name="Percent 14 5" xfId="18665"/>
    <cellStyle name="Percent 14 6" xfId="18666"/>
    <cellStyle name="Percent 14 7" xfId="18667"/>
    <cellStyle name="Percent 14 8" xfId="18668"/>
    <cellStyle name="Percent 14 9" xfId="18669"/>
    <cellStyle name="Percent 15" xfId="18670"/>
    <cellStyle name="Percent 16" xfId="18671"/>
    <cellStyle name="Percent 19" xfId="18672"/>
    <cellStyle name="Percent 2" xfId="18673"/>
    <cellStyle name="Percent 2 10" xfId="18674"/>
    <cellStyle name="Percent 2 100" xfId="18675"/>
    <cellStyle name="Percent 2 101" xfId="18676"/>
    <cellStyle name="Percent 2 102" xfId="18677"/>
    <cellStyle name="Percent 2 103" xfId="18678"/>
    <cellStyle name="Percent 2 104" xfId="18679"/>
    <cellStyle name="Percent 2 105" xfId="18680"/>
    <cellStyle name="Percent 2 106" xfId="18681"/>
    <cellStyle name="Percent 2 107" xfId="18682"/>
    <cellStyle name="Percent 2 108" xfId="18683"/>
    <cellStyle name="Percent 2 109" xfId="18684"/>
    <cellStyle name="Percent 2 11" xfId="18685"/>
    <cellStyle name="Percent 2 110" xfId="18686"/>
    <cellStyle name="Percent 2 111" xfId="18687"/>
    <cellStyle name="Percent 2 12" xfId="18688"/>
    <cellStyle name="Percent 2 13" xfId="18689"/>
    <cellStyle name="Percent 2 14" xfId="18690"/>
    <cellStyle name="Percent 2 15" xfId="18691"/>
    <cellStyle name="Percent 2 16" xfId="18692"/>
    <cellStyle name="Percent 2 17" xfId="18693"/>
    <cellStyle name="Percent 2 18" xfId="18694"/>
    <cellStyle name="Percent 2 19" xfId="18695"/>
    <cellStyle name="Percent 2 2" xfId="18696"/>
    <cellStyle name="Percent 2 2 10" xfId="18697"/>
    <cellStyle name="Percent 2 2 10 2" xfId="18698"/>
    <cellStyle name="Percent 2 2 11" xfId="18699"/>
    <cellStyle name="Percent 2 2 12" xfId="18700"/>
    <cellStyle name="Percent 2 2 13" xfId="18701"/>
    <cellStyle name="Percent 2 2 14" xfId="18702"/>
    <cellStyle name="Percent 2 2 15" xfId="18703"/>
    <cellStyle name="Percent 2 2 15 2" xfId="18704"/>
    <cellStyle name="Percent 2 2 16" xfId="18705"/>
    <cellStyle name="Percent 2 2 17" xfId="18706"/>
    <cellStyle name="Percent 2 2 18" xfId="18707"/>
    <cellStyle name="Percent 2 2 19" xfId="18708"/>
    <cellStyle name="Percent 2 2 2" xfId="18709"/>
    <cellStyle name="Percent 2 2 2 2" xfId="18710"/>
    <cellStyle name="Percent 2 2 2 3" xfId="18711"/>
    <cellStyle name="Percent 2 2 2 4" xfId="18712"/>
    <cellStyle name="Percent 2 2 2 5" xfId="18713"/>
    <cellStyle name="Percent 2 2 20" xfId="18714"/>
    <cellStyle name="Percent 2 2 21" xfId="18715"/>
    <cellStyle name="Percent 2 2 22" xfId="18716"/>
    <cellStyle name="Percent 2 2 23" xfId="18717"/>
    <cellStyle name="Percent 2 2 24" xfId="18718"/>
    <cellStyle name="Percent 2 2 25" xfId="18719"/>
    <cellStyle name="Percent 2 2 26" xfId="18720"/>
    <cellStyle name="Percent 2 2 27" xfId="18721"/>
    <cellStyle name="Percent 2 2 28" xfId="18722"/>
    <cellStyle name="Percent 2 2 29" xfId="18723"/>
    <cellStyle name="Percent 2 2 3" xfId="18724"/>
    <cellStyle name="Percent 2 2 3 2" xfId="18725"/>
    <cellStyle name="Percent 2 2 3 3" xfId="18726"/>
    <cellStyle name="Percent 2 2 30" xfId="18727"/>
    <cellStyle name="Percent 2 2 31" xfId="18728"/>
    <cellStyle name="Percent 2 2 32" xfId="18729"/>
    <cellStyle name="Percent 2 2 33" xfId="18730"/>
    <cellStyle name="Percent 2 2 34" xfId="18731"/>
    <cellStyle name="Percent 2 2 35" xfId="18732"/>
    <cellStyle name="Percent 2 2 36" xfId="18733"/>
    <cellStyle name="Percent 2 2 37" xfId="18734"/>
    <cellStyle name="Percent 2 2 38" xfId="18735"/>
    <cellStyle name="Percent 2 2 39" xfId="18736"/>
    <cellStyle name="Percent 2 2 4" xfId="18737"/>
    <cellStyle name="Percent 2 2 4 2" xfId="18738"/>
    <cellStyle name="Percent 2 2 4 3" xfId="18739"/>
    <cellStyle name="Percent 2 2 40" xfId="18740"/>
    <cellStyle name="Percent 2 2 41" xfId="18741"/>
    <cellStyle name="Percent 2 2 42" xfId="18742"/>
    <cellStyle name="Percent 2 2 43" xfId="18743"/>
    <cellStyle name="Percent 2 2 44" xfId="18744"/>
    <cellStyle name="Percent 2 2 45" xfId="18745"/>
    <cellStyle name="Percent 2 2 46" xfId="18746"/>
    <cellStyle name="Percent 2 2 47" xfId="18747"/>
    <cellStyle name="Percent 2 2 48" xfId="18748"/>
    <cellStyle name="Percent 2 2 49" xfId="18749"/>
    <cellStyle name="Percent 2 2 5" xfId="18750"/>
    <cellStyle name="Percent 2 2 50" xfId="18751"/>
    <cellStyle name="Percent 2 2 51" xfId="18752"/>
    <cellStyle name="Percent 2 2 52" xfId="18753"/>
    <cellStyle name="Percent 2 2 53" xfId="18754"/>
    <cellStyle name="Percent 2 2 54" xfId="18755"/>
    <cellStyle name="Percent 2 2 55" xfId="18756"/>
    <cellStyle name="Percent 2 2 56" xfId="18757"/>
    <cellStyle name="Percent 2 2 57" xfId="18758"/>
    <cellStyle name="Percent 2 2 58" xfId="18759"/>
    <cellStyle name="Percent 2 2 59" xfId="18760"/>
    <cellStyle name="Percent 2 2 6" xfId="18761"/>
    <cellStyle name="Percent 2 2 60" xfId="18762"/>
    <cellStyle name="Percent 2 2 61" xfId="18763"/>
    <cellStyle name="Percent 2 2 62" xfId="18764"/>
    <cellStyle name="Percent 2 2 63" xfId="18765"/>
    <cellStyle name="Percent 2 2 64" xfId="18766"/>
    <cellStyle name="Percent 2 2 65" xfId="18767"/>
    <cellStyle name="Percent 2 2 66" xfId="18768"/>
    <cellStyle name="Percent 2 2 67" xfId="18769"/>
    <cellStyle name="Percent 2 2 68" xfId="18770"/>
    <cellStyle name="Percent 2 2 69" xfId="18771"/>
    <cellStyle name="Percent 2 2 7" xfId="18772"/>
    <cellStyle name="Percent 2 2 70" xfId="18773"/>
    <cellStyle name="Percent 2 2 71" xfId="18774"/>
    <cellStyle name="Percent 2 2 72" xfId="18775"/>
    <cellStyle name="Percent 2 2 73" xfId="18776"/>
    <cellStyle name="Percent 2 2 74" xfId="18777"/>
    <cellStyle name="Percent 2 2 75" xfId="18778"/>
    <cellStyle name="Percent 2 2 8" xfId="18779"/>
    <cellStyle name="Percent 2 2 9" xfId="18780"/>
    <cellStyle name="Percent 2 20" xfId="18781"/>
    <cellStyle name="Percent 2 21" xfId="18782"/>
    <cellStyle name="Percent 2 22" xfId="18783"/>
    <cellStyle name="Percent 2 23" xfId="18784"/>
    <cellStyle name="Percent 2 24" xfId="18785"/>
    <cellStyle name="Percent 2 25" xfId="18786"/>
    <cellStyle name="Percent 2 26" xfId="18787"/>
    <cellStyle name="Percent 2 27" xfId="18788"/>
    <cellStyle name="Percent 2 28" xfId="18789"/>
    <cellStyle name="Percent 2 29" xfId="18790"/>
    <cellStyle name="Percent 2 3" xfId="18791"/>
    <cellStyle name="Percent 2 3 2" xfId="18792"/>
    <cellStyle name="Percent 2 30" xfId="18793"/>
    <cellStyle name="Percent 2 31" xfId="18794"/>
    <cellStyle name="Percent 2 32" xfId="18795"/>
    <cellStyle name="Percent 2 33" xfId="18796"/>
    <cellStyle name="Percent 2 34" xfId="18797"/>
    <cellStyle name="Percent 2 35" xfId="18798"/>
    <cellStyle name="Percent 2 36" xfId="18799"/>
    <cellStyle name="Percent 2 37" xfId="18800"/>
    <cellStyle name="Percent 2 38" xfId="18801"/>
    <cellStyle name="Percent 2 39" xfId="18802"/>
    <cellStyle name="Percent 2 4" xfId="18803"/>
    <cellStyle name="Percent 2 40" xfId="18804"/>
    <cellStyle name="Percent 2 41" xfId="18805"/>
    <cellStyle name="Percent 2 42" xfId="18806"/>
    <cellStyle name="Percent 2 43" xfId="18807"/>
    <cellStyle name="Percent 2 44" xfId="18808"/>
    <cellStyle name="Percent 2 45" xfId="18809"/>
    <cellStyle name="Percent 2 46" xfId="18810"/>
    <cellStyle name="Percent 2 47" xfId="18811"/>
    <cellStyle name="Percent 2 48" xfId="18812"/>
    <cellStyle name="Percent 2 49" xfId="18813"/>
    <cellStyle name="Percent 2 5" xfId="18814"/>
    <cellStyle name="Percent 2 5 2" xfId="18815"/>
    <cellStyle name="Percent 2 5 3" xfId="18816"/>
    <cellStyle name="Percent 2 50" xfId="18817"/>
    <cellStyle name="Percent 2 51" xfId="18818"/>
    <cellStyle name="Percent 2 52" xfId="18819"/>
    <cellStyle name="Percent 2 53" xfId="18820"/>
    <cellStyle name="Percent 2 54" xfId="18821"/>
    <cellStyle name="Percent 2 55" xfId="18822"/>
    <cellStyle name="Percent 2 56" xfId="18823"/>
    <cellStyle name="Percent 2 57" xfId="18824"/>
    <cellStyle name="Percent 2 58" xfId="18825"/>
    <cellStyle name="Percent 2 59" xfId="18826"/>
    <cellStyle name="Percent 2 6" xfId="18827"/>
    <cellStyle name="Percent 2 6 2" xfId="18828"/>
    <cellStyle name="Percent 2 6 3" xfId="18829"/>
    <cellStyle name="Percent 2 60" xfId="18830"/>
    <cellStyle name="Percent 2 61" xfId="18831"/>
    <cellStyle name="Percent 2 62" xfId="18832"/>
    <cellStyle name="Percent 2 63" xfId="18833"/>
    <cellStyle name="Percent 2 64" xfId="18834"/>
    <cellStyle name="Percent 2 65" xfId="18835"/>
    <cellStyle name="Percent 2 66" xfId="18836"/>
    <cellStyle name="Percent 2 67" xfId="18837"/>
    <cellStyle name="Percent 2 68" xfId="18838"/>
    <cellStyle name="Percent 2 69" xfId="18839"/>
    <cellStyle name="Percent 2 7" xfId="18840"/>
    <cellStyle name="Percent 2 70" xfId="18841"/>
    <cellStyle name="Percent 2 71" xfId="18842"/>
    <cellStyle name="Percent 2 72" xfId="18843"/>
    <cellStyle name="Percent 2 73" xfId="18844"/>
    <cellStyle name="Percent 2 74" xfId="18845"/>
    <cellStyle name="Percent 2 75" xfId="18846"/>
    <cellStyle name="Percent 2 76" xfId="18847"/>
    <cellStyle name="Percent 2 77" xfId="18848"/>
    <cellStyle name="Percent 2 78" xfId="18849"/>
    <cellStyle name="Percent 2 79" xfId="18850"/>
    <cellStyle name="Percent 2 8" xfId="18851"/>
    <cellStyle name="Percent 2 80" xfId="18852"/>
    <cellStyle name="Percent 2 81" xfId="18853"/>
    <cellStyle name="Percent 2 82" xfId="18854"/>
    <cellStyle name="Percent 2 83" xfId="18855"/>
    <cellStyle name="Percent 2 84" xfId="18856"/>
    <cellStyle name="Percent 2 85" xfId="18857"/>
    <cellStyle name="Percent 2 86" xfId="18858"/>
    <cellStyle name="Percent 2 87" xfId="18859"/>
    <cellStyle name="Percent 2 88" xfId="18860"/>
    <cellStyle name="Percent 2 89" xfId="18861"/>
    <cellStyle name="Percent 2 9" xfId="18862"/>
    <cellStyle name="Percent 2 90" xfId="18863"/>
    <cellStyle name="Percent 2 91" xfId="18864"/>
    <cellStyle name="Percent 2 92" xfId="18865"/>
    <cellStyle name="Percent 2 93" xfId="18866"/>
    <cellStyle name="Percent 2 94" xfId="18867"/>
    <cellStyle name="Percent 2 95" xfId="18868"/>
    <cellStyle name="Percent 2 96" xfId="18869"/>
    <cellStyle name="Percent 2 97" xfId="18870"/>
    <cellStyle name="Percent 2 98" xfId="18871"/>
    <cellStyle name="Percent 2 99" xfId="18872"/>
    <cellStyle name="Percent 3" xfId="18873"/>
    <cellStyle name="Percent 3 10" xfId="18874"/>
    <cellStyle name="Percent 3 11" xfId="18875"/>
    <cellStyle name="Percent 3 12" xfId="18876"/>
    <cellStyle name="Percent 3 13" xfId="18877"/>
    <cellStyle name="Percent 3 14" xfId="18878"/>
    <cellStyle name="Percent 3 15" xfId="18879"/>
    <cellStyle name="Percent 3 16" xfId="18880"/>
    <cellStyle name="Percent 3 17" xfId="18881"/>
    <cellStyle name="Percent 3 18" xfId="18882"/>
    <cellStyle name="Percent 3 19" xfId="18883"/>
    <cellStyle name="Percent 3 2" xfId="18884"/>
    <cellStyle name="Percent 3 2 10" xfId="18885"/>
    <cellStyle name="Percent 3 2 11" xfId="18886"/>
    <cellStyle name="Percent 3 2 12" xfId="18887"/>
    <cellStyle name="Percent 3 2 13" xfId="18888"/>
    <cellStyle name="Percent 3 2 14" xfId="18889"/>
    <cellStyle name="Percent 3 2 15" xfId="18890"/>
    <cellStyle name="Percent 3 2 16" xfId="18891"/>
    <cellStyle name="Percent 3 2 17" xfId="18892"/>
    <cellStyle name="Percent 3 2 18" xfId="18893"/>
    <cellStyle name="Percent 3 2 19" xfId="18894"/>
    <cellStyle name="Percent 3 2 2" xfId="18895"/>
    <cellStyle name="Percent 3 2 20" xfId="18896"/>
    <cellStyle name="Percent 3 2 21" xfId="18897"/>
    <cellStyle name="Percent 3 2 22" xfId="18898"/>
    <cellStyle name="Percent 3 2 23" xfId="18899"/>
    <cellStyle name="Percent 3 2 3" xfId="18900"/>
    <cellStyle name="Percent 3 2 4" xfId="18901"/>
    <cellStyle name="Percent 3 2 5" xfId="18902"/>
    <cellStyle name="Percent 3 2 6" xfId="18903"/>
    <cellStyle name="Percent 3 2 7" xfId="18904"/>
    <cellStyle name="Percent 3 2 8" xfId="18905"/>
    <cellStyle name="Percent 3 2 9" xfId="18906"/>
    <cellStyle name="Percent 3 20" xfId="18907"/>
    <cellStyle name="Percent 3 21" xfId="18908"/>
    <cellStyle name="Percent 3 22" xfId="18909"/>
    <cellStyle name="Percent 3 23" xfId="18910"/>
    <cellStyle name="Percent 3 24" xfId="18911"/>
    <cellStyle name="Percent 3 25" xfId="18912"/>
    <cellStyle name="Percent 3 26" xfId="18913"/>
    <cellStyle name="Percent 3 27" xfId="33448"/>
    <cellStyle name="Percent 3 3" xfId="18914"/>
    <cellStyle name="Percent 3 4" xfId="18915"/>
    <cellStyle name="Percent 3 5" xfId="18916"/>
    <cellStyle name="Percent 3 6" xfId="18917"/>
    <cellStyle name="Percent 3 7" xfId="18918"/>
    <cellStyle name="Percent 3 8" xfId="18919"/>
    <cellStyle name="Percent 3 9" xfId="18920"/>
    <cellStyle name="Percent 4" xfId="18921"/>
    <cellStyle name="Percent 4 10" xfId="18922"/>
    <cellStyle name="Percent 4 11" xfId="18923"/>
    <cellStyle name="Percent 4 12" xfId="18924"/>
    <cellStyle name="Percent 4 13" xfId="18925"/>
    <cellStyle name="Percent 4 14" xfId="18926"/>
    <cellStyle name="Percent 4 15" xfId="18927"/>
    <cellStyle name="Percent 4 16" xfId="18928"/>
    <cellStyle name="Percent 4 17" xfId="18929"/>
    <cellStyle name="Percent 4 18" xfId="18930"/>
    <cellStyle name="Percent 4 19" xfId="18931"/>
    <cellStyle name="Percent 4 2" xfId="18932"/>
    <cellStyle name="Percent 4 2 10" xfId="18933"/>
    <cellStyle name="Percent 4 2 11" xfId="18934"/>
    <cellStyle name="Percent 4 2 12" xfId="18935"/>
    <cellStyle name="Percent 4 2 13" xfId="18936"/>
    <cellStyle name="Percent 4 2 14" xfId="18937"/>
    <cellStyle name="Percent 4 2 15" xfId="18938"/>
    <cellStyle name="Percent 4 2 16" xfId="18939"/>
    <cellStyle name="Percent 4 2 17" xfId="18940"/>
    <cellStyle name="Percent 4 2 18" xfId="18941"/>
    <cellStyle name="Percent 4 2 19" xfId="18942"/>
    <cellStyle name="Percent 4 2 2" xfId="18943"/>
    <cellStyle name="Percent 4 2 20" xfId="18944"/>
    <cellStyle name="Percent 4 2 21" xfId="18945"/>
    <cellStyle name="Percent 4 2 22" xfId="18946"/>
    <cellStyle name="Percent 4 2 23" xfId="18947"/>
    <cellStyle name="Percent 4 2 24" xfId="18948"/>
    <cellStyle name="Percent 4 2 3" xfId="18949"/>
    <cellStyle name="Percent 4 2 4" xfId="18950"/>
    <cellStyle name="Percent 4 2 5" xfId="18951"/>
    <cellStyle name="Percent 4 2 6" xfId="18952"/>
    <cellStyle name="Percent 4 2 7" xfId="18953"/>
    <cellStyle name="Percent 4 2 8" xfId="18954"/>
    <cellStyle name="Percent 4 2 9" xfId="18955"/>
    <cellStyle name="Percent 4 20" xfId="18956"/>
    <cellStyle name="Percent 4 21" xfId="18957"/>
    <cellStyle name="Percent 4 22" xfId="18958"/>
    <cellStyle name="Percent 4 23" xfId="18959"/>
    <cellStyle name="Percent 4 24" xfId="18960"/>
    <cellStyle name="Percent 4 25" xfId="18961"/>
    <cellStyle name="Percent 4 26" xfId="33449"/>
    <cellStyle name="Percent 4 3" xfId="18962"/>
    <cellStyle name="Percent 4 4" xfId="18963"/>
    <cellStyle name="Percent 4 5" xfId="18964"/>
    <cellStyle name="Percent 4 6" xfId="18965"/>
    <cellStyle name="Percent 4 7" xfId="18966"/>
    <cellStyle name="Percent 4 8" xfId="18967"/>
    <cellStyle name="Percent 4 9" xfId="18968"/>
    <cellStyle name="Percent 5" xfId="18969"/>
    <cellStyle name="Percent 5 10" xfId="18970"/>
    <cellStyle name="Percent 5 11" xfId="18971"/>
    <cellStyle name="Percent 5 12" xfId="18972"/>
    <cellStyle name="Percent 5 13" xfId="18973"/>
    <cellStyle name="Percent 5 14" xfId="18974"/>
    <cellStyle name="Percent 5 15" xfId="18975"/>
    <cellStyle name="Percent 5 16" xfId="18976"/>
    <cellStyle name="Percent 5 17" xfId="18977"/>
    <cellStyle name="Percent 5 18" xfId="18978"/>
    <cellStyle name="Percent 5 19" xfId="18979"/>
    <cellStyle name="Percent 5 2" xfId="18980"/>
    <cellStyle name="Percent 5 20" xfId="18981"/>
    <cellStyle name="Percent 5 21" xfId="18982"/>
    <cellStyle name="Percent 5 22" xfId="18983"/>
    <cellStyle name="Percent 5 23" xfId="18984"/>
    <cellStyle name="Percent 5 24" xfId="18985"/>
    <cellStyle name="Percent 5 25" xfId="18986"/>
    <cellStyle name="Percent 5 26" xfId="18987"/>
    <cellStyle name="Percent 5 27" xfId="18988"/>
    <cellStyle name="Percent 5 28" xfId="18989"/>
    <cellStyle name="Percent 5 29" xfId="18990"/>
    <cellStyle name="Percent 5 3" xfId="18991"/>
    <cellStyle name="Percent 5 30" xfId="18992"/>
    <cellStyle name="Percent 5 31" xfId="18993"/>
    <cellStyle name="Percent 5 32" xfId="18994"/>
    <cellStyle name="Percent 5 33" xfId="18995"/>
    <cellStyle name="Percent 5 34" xfId="18996"/>
    <cellStyle name="Percent 5 35" xfId="18997"/>
    <cellStyle name="Percent 5 36" xfId="18998"/>
    <cellStyle name="Percent 5 37" xfId="18999"/>
    <cellStyle name="Percent 5 38" xfId="19000"/>
    <cellStyle name="Percent 5 39" xfId="19001"/>
    <cellStyle name="Percent 5 4" xfId="19002"/>
    <cellStyle name="Percent 5 40" xfId="19003"/>
    <cellStyle name="Percent 5 41" xfId="19004"/>
    <cellStyle name="Percent 5 42" xfId="19005"/>
    <cellStyle name="Percent 5 43" xfId="19006"/>
    <cellStyle name="Percent 5 44" xfId="19007"/>
    <cellStyle name="Percent 5 45" xfId="19008"/>
    <cellStyle name="Percent 5 46" xfId="19009"/>
    <cellStyle name="Percent 5 47" xfId="19010"/>
    <cellStyle name="Percent 5 48" xfId="19011"/>
    <cellStyle name="Percent 5 49" xfId="19012"/>
    <cellStyle name="Percent 5 5" xfId="19013"/>
    <cellStyle name="Percent 5 50" xfId="19014"/>
    <cellStyle name="Percent 5 51" xfId="19015"/>
    <cellStyle name="Percent 5 52" xfId="19016"/>
    <cellStyle name="Percent 5 53" xfId="19017"/>
    <cellStyle name="Percent 5 54" xfId="19018"/>
    <cellStyle name="Percent 5 55" xfId="19019"/>
    <cellStyle name="Percent 5 56" xfId="19020"/>
    <cellStyle name="Percent 5 57" xfId="19021"/>
    <cellStyle name="Percent 5 58" xfId="19022"/>
    <cellStyle name="Percent 5 59" xfId="19023"/>
    <cellStyle name="Percent 5 6" xfId="19024"/>
    <cellStyle name="Percent 5 60" xfId="19025"/>
    <cellStyle name="Percent 5 61" xfId="19026"/>
    <cellStyle name="Percent 5 62" xfId="19027"/>
    <cellStyle name="Percent 5 63" xfId="19028"/>
    <cellStyle name="Percent 5 64" xfId="19029"/>
    <cellStyle name="Percent 5 65" xfId="19030"/>
    <cellStyle name="Percent 5 66" xfId="19031"/>
    <cellStyle name="Percent 5 67" xfId="19032"/>
    <cellStyle name="Percent 5 68" xfId="19033"/>
    <cellStyle name="Percent 5 69" xfId="19034"/>
    <cellStyle name="Percent 5 7" xfId="19035"/>
    <cellStyle name="Percent 5 70" xfId="19036"/>
    <cellStyle name="Percent 5 71" xfId="19037"/>
    <cellStyle name="Percent 5 72" xfId="19038"/>
    <cellStyle name="Percent 5 73" xfId="19039"/>
    <cellStyle name="Percent 5 74" xfId="19040"/>
    <cellStyle name="Percent 5 75" xfId="19041"/>
    <cellStyle name="Percent 5 76" xfId="19042"/>
    <cellStyle name="Percent 5 77" xfId="19043"/>
    <cellStyle name="Percent 5 78" xfId="19044"/>
    <cellStyle name="Percent 5 79" xfId="19045"/>
    <cellStyle name="Percent 5 8" xfId="19046"/>
    <cellStyle name="Percent 5 80" xfId="19047"/>
    <cellStyle name="Percent 5 81" xfId="19048"/>
    <cellStyle name="Percent 5 82" xfId="19049"/>
    <cellStyle name="Percent 5 83" xfId="19050"/>
    <cellStyle name="Percent 5 84" xfId="19051"/>
    <cellStyle name="Percent 5 85" xfId="19052"/>
    <cellStyle name="Percent 5 86" xfId="19053"/>
    <cellStyle name="Percent 5 87" xfId="19054"/>
    <cellStyle name="Percent 5 88" xfId="19055"/>
    <cellStyle name="Percent 5 89" xfId="19056"/>
    <cellStyle name="Percent 5 9" xfId="19057"/>
    <cellStyle name="Percent 5 90" xfId="19058"/>
    <cellStyle name="Percent 5 91" xfId="19059"/>
    <cellStyle name="Percent 5 92" xfId="19060"/>
    <cellStyle name="Percent 5 93" xfId="19061"/>
    <cellStyle name="Percent 5 94" xfId="19062"/>
    <cellStyle name="Percent 5 95" xfId="33450"/>
    <cellStyle name="Percent 6" xfId="19063"/>
    <cellStyle name="Percent 6 10" xfId="19064"/>
    <cellStyle name="Percent 6 11" xfId="19065"/>
    <cellStyle name="Percent 6 12" xfId="19066"/>
    <cellStyle name="Percent 6 13" xfId="19067"/>
    <cellStyle name="Percent 6 14" xfId="19068"/>
    <cellStyle name="Percent 6 15" xfId="19069"/>
    <cellStyle name="Percent 6 16" xfId="19070"/>
    <cellStyle name="Percent 6 17" xfId="19071"/>
    <cellStyle name="Percent 6 18" xfId="19072"/>
    <cellStyle name="Percent 6 19" xfId="19073"/>
    <cellStyle name="Percent 6 2" xfId="19074"/>
    <cellStyle name="Percent 6 20" xfId="19075"/>
    <cellStyle name="Percent 6 21" xfId="19076"/>
    <cellStyle name="Percent 6 22" xfId="19077"/>
    <cellStyle name="Percent 6 23" xfId="19078"/>
    <cellStyle name="Percent 6 3" xfId="19079"/>
    <cellStyle name="Percent 6 4" xfId="19080"/>
    <cellStyle name="Percent 6 5" xfId="19081"/>
    <cellStyle name="Percent 6 6" xfId="19082"/>
    <cellStyle name="Percent 6 7" xfId="19083"/>
    <cellStyle name="Percent 6 8" xfId="19084"/>
    <cellStyle name="Percent 6 9" xfId="19085"/>
    <cellStyle name="Percent 7" xfId="19086"/>
    <cellStyle name="Percent 7 10" xfId="19087"/>
    <cellStyle name="Percent 7 11" xfId="19088"/>
    <cellStyle name="Percent 7 12" xfId="19089"/>
    <cellStyle name="Percent 7 13" xfId="19090"/>
    <cellStyle name="Percent 7 14" xfId="19091"/>
    <cellStyle name="Percent 7 15" xfId="19092"/>
    <cellStyle name="Percent 7 16" xfId="19093"/>
    <cellStyle name="Percent 7 17" xfId="19094"/>
    <cellStyle name="Percent 7 18" xfId="19095"/>
    <cellStyle name="Percent 7 19" xfId="19096"/>
    <cellStyle name="Percent 7 2" xfId="19097"/>
    <cellStyle name="Percent 7 20" xfId="19098"/>
    <cellStyle name="Percent 7 21" xfId="19099"/>
    <cellStyle name="Percent 7 22" xfId="19100"/>
    <cellStyle name="Percent 7 23" xfId="19101"/>
    <cellStyle name="Percent 7 24" xfId="19102"/>
    <cellStyle name="Percent 7 25" xfId="19103"/>
    <cellStyle name="Percent 7 26" xfId="19104"/>
    <cellStyle name="Percent 7 27" xfId="19105"/>
    <cellStyle name="Percent 7 28" xfId="19106"/>
    <cellStyle name="Percent 7 29" xfId="19107"/>
    <cellStyle name="Percent 7 3" xfId="19108"/>
    <cellStyle name="Percent 7 30" xfId="19109"/>
    <cellStyle name="Percent 7 31" xfId="19110"/>
    <cellStyle name="Percent 7 32" xfId="19111"/>
    <cellStyle name="Percent 7 33" xfId="19112"/>
    <cellStyle name="Percent 7 34" xfId="19113"/>
    <cellStyle name="Percent 7 35" xfId="19114"/>
    <cellStyle name="Percent 7 36" xfId="19115"/>
    <cellStyle name="Percent 7 37" xfId="19116"/>
    <cellStyle name="Percent 7 38" xfId="19117"/>
    <cellStyle name="Percent 7 39" xfId="19118"/>
    <cellStyle name="Percent 7 4" xfId="19119"/>
    <cellStyle name="Percent 7 40" xfId="19120"/>
    <cellStyle name="Percent 7 41" xfId="19121"/>
    <cellStyle name="Percent 7 42" xfId="19122"/>
    <cellStyle name="Percent 7 43" xfId="19123"/>
    <cellStyle name="Percent 7 44" xfId="19124"/>
    <cellStyle name="Percent 7 45" xfId="19125"/>
    <cellStyle name="Percent 7 46" xfId="19126"/>
    <cellStyle name="Percent 7 47" xfId="19127"/>
    <cellStyle name="Percent 7 48" xfId="19128"/>
    <cellStyle name="Percent 7 49" xfId="19129"/>
    <cellStyle name="Percent 7 5" xfId="19130"/>
    <cellStyle name="Percent 7 50" xfId="19131"/>
    <cellStyle name="Percent 7 51" xfId="19132"/>
    <cellStyle name="Percent 7 52" xfId="19133"/>
    <cellStyle name="Percent 7 53" xfId="19134"/>
    <cellStyle name="Percent 7 54" xfId="19135"/>
    <cellStyle name="Percent 7 55" xfId="19136"/>
    <cellStyle name="Percent 7 56" xfId="19137"/>
    <cellStyle name="Percent 7 57" xfId="19138"/>
    <cellStyle name="Percent 7 58" xfId="19139"/>
    <cellStyle name="Percent 7 59" xfId="19140"/>
    <cellStyle name="Percent 7 6" xfId="19141"/>
    <cellStyle name="Percent 7 60" xfId="19142"/>
    <cellStyle name="Percent 7 61" xfId="19143"/>
    <cellStyle name="Percent 7 62" xfId="19144"/>
    <cellStyle name="Percent 7 63" xfId="19145"/>
    <cellStyle name="Percent 7 64" xfId="19146"/>
    <cellStyle name="Percent 7 65" xfId="19147"/>
    <cellStyle name="Percent 7 66" xfId="19148"/>
    <cellStyle name="Percent 7 67" xfId="19149"/>
    <cellStyle name="Percent 7 68" xfId="19150"/>
    <cellStyle name="Percent 7 69" xfId="19151"/>
    <cellStyle name="Percent 7 7" xfId="19152"/>
    <cellStyle name="Percent 7 70" xfId="19153"/>
    <cellStyle name="Percent 7 71" xfId="19154"/>
    <cellStyle name="Percent 7 72" xfId="19155"/>
    <cellStyle name="Percent 7 73" xfId="19156"/>
    <cellStyle name="Percent 7 74" xfId="19157"/>
    <cellStyle name="Percent 7 8" xfId="19158"/>
    <cellStyle name="Percent 7 9" xfId="19159"/>
    <cellStyle name="Percent 8" xfId="19160"/>
    <cellStyle name="Percent 8 10" xfId="19161"/>
    <cellStyle name="Percent 8 11" xfId="19162"/>
    <cellStyle name="Percent 8 12" xfId="19163"/>
    <cellStyle name="Percent 8 13" xfId="19164"/>
    <cellStyle name="Percent 8 14" xfId="19165"/>
    <cellStyle name="Percent 8 15" xfId="19166"/>
    <cellStyle name="Percent 8 16" xfId="19167"/>
    <cellStyle name="Percent 8 17" xfId="19168"/>
    <cellStyle name="Percent 8 18" xfId="19169"/>
    <cellStyle name="Percent 8 19" xfId="19170"/>
    <cellStyle name="Percent 8 2" xfId="19171"/>
    <cellStyle name="Percent 8 20" xfId="19172"/>
    <cellStyle name="Percent 8 21" xfId="19173"/>
    <cellStyle name="Percent 8 22" xfId="19174"/>
    <cellStyle name="Percent 8 23" xfId="19175"/>
    <cellStyle name="Percent 8 24" xfId="19176"/>
    <cellStyle name="Percent 8 25" xfId="19177"/>
    <cellStyle name="Percent 8 26" xfId="19178"/>
    <cellStyle name="Percent 8 27" xfId="19179"/>
    <cellStyle name="Percent 8 28" xfId="19180"/>
    <cellStyle name="Percent 8 29" xfId="19181"/>
    <cellStyle name="Percent 8 3" xfId="19182"/>
    <cellStyle name="Percent 8 30" xfId="19183"/>
    <cellStyle name="Percent 8 31" xfId="19184"/>
    <cellStyle name="Percent 8 32" xfId="19185"/>
    <cellStyle name="Percent 8 33" xfId="19186"/>
    <cellStyle name="Percent 8 34" xfId="19187"/>
    <cellStyle name="Percent 8 35" xfId="19188"/>
    <cellStyle name="Percent 8 36" xfId="19189"/>
    <cellStyle name="Percent 8 37" xfId="19190"/>
    <cellStyle name="Percent 8 38" xfId="19191"/>
    <cellStyle name="Percent 8 39" xfId="19192"/>
    <cellStyle name="Percent 8 4" xfId="19193"/>
    <cellStyle name="Percent 8 40" xfId="19194"/>
    <cellStyle name="Percent 8 41" xfId="19195"/>
    <cellStyle name="Percent 8 42" xfId="19196"/>
    <cellStyle name="Percent 8 43" xfId="19197"/>
    <cellStyle name="Percent 8 44" xfId="19198"/>
    <cellStyle name="Percent 8 45" xfId="19199"/>
    <cellStyle name="Percent 8 46" xfId="19200"/>
    <cellStyle name="Percent 8 47" xfId="19201"/>
    <cellStyle name="Percent 8 48" xfId="19202"/>
    <cellStyle name="Percent 8 49" xfId="19203"/>
    <cellStyle name="Percent 8 5" xfId="19204"/>
    <cellStyle name="Percent 8 50" xfId="19205"/>
    <cellStyle name="Percent 8 51" xfId="19206"/>
    <cellStyle name="Percent 8 52" xfId="19207"/>
    <cellStyle name="Percent 8 53" xfId="19208"/>
    <cellStyle name="Percent 8 54" xfId="19209"/>
    <cellStyle name="Percent 8 55" xfId="19210"/>
    <cellStyle name="Percent 8 56" xfId="19211"/>
    <cellStyle name="Percent 8 57" xfId="19212"/>
    <cellStyle name="Percent 8 58" xfId="19213"/>
    <cellStyle name="Percent 8 59" xfId="19214"/>
    <cellStyle name="Percent 8 6" xfId="19215"/>
    <cellStyle name="Percent 8 60" xfId="19216"/>
    <cellStyle name="Percent 8 61" xfId="19217"/>
    <cellStyle name="Percent 8 62" xfId="19218"/>
    <cellStyle name="Percent 8 63" xfId="19219"/>
    <cellStyle name="Percent 8 64" xfId="19220"/>
    <cellStyle name="Percent 8 65" xfId="19221"/>
    <cellStyle name="Percent 8 66" xfId="19222"/>
    <cellStyle name="Percent 8 67" xfId="19223"/>
    <cellStyle name="Percent 8 68" xfId="19224"/>
    <cellStyle name="Percent 8 69" xfId="19225"/>
    <cellStyle name="Percent 8 7" xfId="19226"/>
    <cellStyle name="Percent 8 70" xfId="19227"/>
    <cellStyle name="Percent 8 71" xfId="19228"/>
    <cellStyle name="Percent 8 72" xfId="19229"/>
    <cellStyle name="Percent 8 73" xfId="19230"/>
    <cellStyle name="Percent 8 74" xfId="19231"/>
    <cellStyle name="Percent 8 75" xfId="19232"/>
    <cellStyle name="Percent 8 8" xfId="19233"/>
    <cellStyle name="Percent 8 9" xfId="19234"/>
    <cellStyle name="Percent 9" xfId="19235"/>
    <cellStyle name="Percent 9 2" xfId="19236"/>
    <cellStyle name="Percent 9 3" xfId="19237"/>
    <cellStyle name="Result" xfId="19238"/>
    <cellStyle name="Result 2" xfId="19239"/>
    <cellStyle name="SAPBEXaggData" xfId="19240"/>
    <cellStyle name="SAPBEXaggData 2" xfId="19241"/>
    <cellStyle name="SAPBEXaggData 3" xfId="33451"/>
    <cellStyle name="SAPBEXaggDataEmph" xfId="19242"/>
    <cellStyle name="SAPBEXaggDataEmph 2" xfId="19243"/>
    <cellStyle name="SAPBEXaggDataEmph 3" xfId="33452"/>
    <cellStyle name="SAPBEXaggItem" xfId="19244"/>
    <cellStyle name="SAPBEXaggItem 2" xfId="19245"/>
    <cellStyle name="SAPBEXaggItem 3" xfId="33453"/>
    <cellStyle name="SAPBEXaggItemX" xfId="19246"/>
    <cellStyle name="SAPBEXaggItemX 2" xfId="19247"/>
    <cellStyle name="SAPBEXaggItemX 3" xfId="33454"/>
    <cellStyle name="SAPBEXchaText" xfId="19248"/>
    <cellStyle name="SAPBEXchaText 2" xfId="19249"/>
    <cellStyle name="SAPBEXchaText 3" xfId="19250"/>
    <cellStyle name="SAPBEXchaText 4" xfId="33455"/>
    <cellStyle name="SAPBEXexcBad7" xfId="19251"/>
    <cellStyle name="SAPBEXexcBad7 2" xfId="19252"/>
    <cellStyle name="SAPBEXexcBad7 3" xfId="33456"/>
    <cellStyle name="SAPBEXexcBad8" xfId="19253"/>
    <cellStyle name="SAPBEXexcBad8 2" xfId="19254"/>
    <cellStyle name="SAPBEXexcBad8 3" xfId="33457"/>
    <cellStyle name="SAPBEXexcBad9" xfId="19255"/>
    <cellStyle name="SAPBEXexcBad9 2" xfId="19256"/>
    <cellStyle name="SAPBEXexcBad9 3" xfId="33458"/>
    <cellStyle name="SAPBEXexcCritical4" xfId="19257"/>
    <cellStyle name="SAPBEXexcCritical4 2" xfId="19258"/>
    <cellStyle name="SAPBEXexcCritical4 3" xfId="33459"/>
    <cellStyle name="SAPBEXexcCritical5" xfId="19259"/>
    <cellStyle name="SAPBEXexcCritical5 2" xfId="19260"/>
    <cellStyle name="SAPBEXexcCritical5 3" xfId="33460"/>
    <cellStyle name="SAPBEXexcCritical6" xfId="19261"/>
    <cellStyle name="SAPBEXexcCritical6 2" xfId="19262"/>
    <cellStyle name="SAPBEXexcCritical6 3" xfId="33461"/>
    <cellStyle name="SAPBEXexcGood1" xfId="19263"/>
    <cellStyle name="SAPBEXexcGood1 2" xfId="19264"/>
    <cellStyle name="SAPBEXexcGood1 3" xfId="33462"/>
    <cellStyle name="SAPBEXexcGood2" xfId="19265"/>
    <cellStyle name="SAPBEXexcGood2 2" xfId="19266"/>
    <cellStyle name="SAPBEXexcGood2 3" xfId="33463"/>
    <cellStyle name="SAPBEXexcGood3" xfId="19267"/>
    <cellStyle name="SAPBEXexcGood3 2" xfId="19268"/>
    <cellStyle name="SAPBEXexcGood3 3" xfId="33464"/>
    <cellStyle name="SAPBEXfilterDrill" xfId="19269"/>
    <cellStyle name="SAPBEXfilterDrill 2" xfId="19270"/>
    <cellStyle name="SAPBEXfilterDrill 3" xfId="33465"/>
    <cellStyle name="SAPBEXfilterItem" xfId="19271"/>
    <cellStyle name="SAPBEXfilterItem 2" xfId="19272"/>
    <cellStyle name="SAPBEXfilterItem 3" xfId="33466"/>
    <cellStyle name="SAPBEXfilterText" xfId="19273"/>
    <cellStyle name="SAPBEXfilterText 2" xfId="19274"/>
    <cellStyle name="SAPBEXfilterText 3" xfId="33467"/>
    <cellStyle name="SAPBEXformats" xfId="19275"/>
    <cellStyle name="SAPBEXformats 2" xfId="19276"/>
    <cellStyle name="SAPBEXformats 3" xfId="33468"/>
    <cellStyle name="SAPBEXheaderItem" xfId="19277"/>
    <cellStyle name="SAPBEXheaderItem 2" xfId="19278"/>
    <cellStyle name="SAPBEXheaderItem 3" xfId="33469"/>
    <cellStyle name="SAPBEXheaderText" xfId="19279"/>
    <cellStyle name="SAPBEXheaderText 2" xfId="19280"/>
    <cellStyle name="SAPBEXheaderText 3" xfId="33470"/>
    <cellStyle name="SAPBEXHLevel0" xfId="19281"/>
    <cellStyle name="SAPBEXHLevel0 2" xfId="19282"/>
    <cellStyle name="SAPBEXHLevel0 3" xfId="33471"/>
    <cellStyle name="SAPBEXHLevel0X" xfId="19283"/>
    <cellStyle name="SAPBEXHLevel0X 2" xfId="19284"/>
    <cellStyle name="SAPBEXHLevel0X 3" xfId="33472"/>
    <cellStyle name="SAPBEXHLevel1" xfId="19285"/>
    <cellStyle name="SAPBEXHLevel1 2" xfId="19286"/>
    <cellStyle name="SAPBEXHLevel1 3" xfId="33473"/>
    <cellStyle name="SAPBEXHLevel1X" xfId="19287"/>
    <cellStyle name="SAPBEXHLevel1X 2" xfId="19288"/>
    <cellStyle name="SAPBEXHLevel1X 3" xfId="33474"/>
    <cellStyle name="SAPBEXHLevel2" xfId="19289"/>
    <cellStyle name="SAPBEXHLevel2 2" xfId="19290"/>
    <cellStyle name="SAPBEXHLevel2 3" xfId="33475"/>
    <cellStyle name="SAPBEXHLevel2X" xfId="19291"/>
    <cellStyle name="SAPBEXHLevel2X 2" xfId="19292"/>
    <cellStyle name="SAPBEXHLevel2X 3" xfId="33476"/>
    <cellStyle name="SAPBEXHLevel3" xfId="19293"/>
    <cellStyle name="SAPBEXHLevel3 2" xfId="19294"/>
    <cellStyle name="SAPBEXHLevel3 3" xfId="33477"/>
    <cellStyle name="SAPBEXHLevel3X" xfId="19295"/>
    <cellStyle name="SAPBEXHLevel3X 2" xfId="19296"/>
    <cellStyle name="SAPBEXHLevel3X 3" xfId="33478"/>
    <cellStyle name="SAPBEXinputData" xfId="19297"/>
    <cellStyle name="SAPBEXinputData 2" xfId="19298"/>
    <cellStyle name="SAPBEXinputData 3" xfId="33479"/>
    <cellStyle name="SAPBEXItemHeader" xfId="19299"/>
    <cellStyle name="SAPBEXItemHeader 2" xfId="19300"/>
    <cellStyle name="SAPBEXItemHeader 3" xfId="33480"/>
    <cellStyle name="SAPBEXresData" xfId="19301"/>
    <cellStyle name="SAPBEXresData 2" xfId="19302"/>
    <cellStyle name="SAPBEXresData 3" xfId="33481"/>
    <cellStyle name="SAPBEXresDataEmph" xfId="19303"/>
    <cellStyle name="SAPBEXresDataEmph 2" xfId="19304"/>
    <cellStyle name="SAPBEXresDataEmph 3" xfId="33482"/>
    <cellStyle name="SAPBEXresItem" xfId="19305"/>
    <cellStyle name="SAPBEXresItem 2" xfId="19306"/>
    <cellStyle name="SAPBEXresItem 3" xfId="33483"/>
    <cellStyle name="SAPBEXresItemX" xfId="19307"/>
    <cellStyle name="SAPBEXresItemX 2" xfId="19308"/>
    <cellStyle name="SAPBEXresItemX 3" xfId="33484"/>
    <cellStyle name="SAPBEXstdData" xfId="19309"/>
    <cellStyle name="SAPBEXstdData 2" xfId="19310"/>
    <cellStyle name="SAPBEXstdData 2 10" xfId="19311"/>
    <cellStyle name="SAPBEXstdData 2 10 10" xfId="19312"/>
    <cellStyle name="SAPBEXstdData 2 10 10 2" xfId="19313"/>
    <cellStyle name="SAPBEXstdData 2 10 10 3" xfId="33485"/>
    <cellStyle name="SAPBEXstdData 2 10 10 4" xfId="33486"/>
    <cellStyle name="SAPBEXstdData 2 10 11" xfId="19314"/>
    <cellStyle name="SAPBEXstdData 2 10 11 2" xfId="19315"/>
    <cellStyle name="SAPBEXstdData 2 10 11 3" xfId="33487"/>
    <cellStyle name="SAPBEXstdData 2 10 11 4" xfId="33488"/>
    <cellStyle name="SAPBEXstdData 2 10 12" xfId="19316"/>
    <cellStyle name="SAPBEXstdData 2 10 13" xfId="33489"/>
    <cellStyle name="SAPBEXstdData 2 10 14" xfId="33490"/>
    <cellStyle name="SAPBEXstdData 2 10 2" xfId="19317"/>
    <cellStyle name="SAPBEXstdData 2 10 2 10" xfId="33491"/>
    <cellStyle name="SAPBEXstdData 2 10 2 2" xfId="19318"/>
    <cellStyle name="SAPBEXstdData 2 10 2 2 2" xfId="19319"/>
    <cellStyle name="SAPBEXstdData 2 10 2 2 3" xfId="33492"/>
    <cellStyle name="SAPBEXstdData 2 10 2 2 4" xfId="33493"/>
    <cellStyle name="SAPBEXstdData 2 10 2 3" xfId="19320"/>
    <cellStyle name="SAPBEXstdData 2 10 2 3 2" xfId="19321"/>
    <cellStyle name="SAPBEXstdData 2 10 2 3 3" xfId="33494"/>
    <cellStyle name="SAPBEXstdData 2 10 2 3 4" xfId="33495"/>
    <cellStyle name="SAPBEXstdData 2 10 2 4" xfId="19322"/>
    <cellStyle name="SAPBEXstdData 2 10 2 4 2" xfId="19323"/>
    <cellStyle name="SAPBEXstdData 2 10 2 4 3" xfId="33496"/>
    <cellStyle name="SAPBEXstdData 2 10 2 4 4" xfId="33497"/>
    <cellStyle name="SAPBEXstdData 2 10 2 5" xfId="19324"/>
    <cellStyle name="SAPBEXstdData 2 10 2 5 2" xfId="19325"/>
    <cellStyle name="SAPBEXstdData 2 10 2 5 3" xfId="33498"/>
    <cellStyle name="SAPBEXstdData 2 10 2 5 4" xfId="33499"/>
    <cellStyle name="SAPBEXstdData 2 10 2 6" xfId="19326"/>
    <cellStyle name="SAPBEXstdData 2 10 2 6 2" xfId="19327"/>
    <cellStyle name="SAPBEXstdData 2 10 2 6 3" xfId="33500"/>
    <cellStyle name="SAPBEXstdData 2 10 2 6 4" xfId="33501"/>
    <cellStyle name="SAPBEXstdData 2 10 2 7" xfId="19328"/>
    <cellStyle name="SAPBEXstdData 2 10 2 7 2" xfId="19329"/>
    <cellStyle name="SAPBEXstdData 2 10 2 7 3" xfId="33502"/>
    <cellStyle name="SAPBEXstdData 2 10 2 7 4" xfId="33503"/>
    <cellStyle name="SAPBEXstdData 2 10 2 8" xfId="19330"/>
    <cellStyle name="SAPBEXstdData 2 10 2 9" xfId="33504"/>
    <cellStyle name="SAPBEXstdData 2 10 3" xfId="19331"/>
    <cellStyle name="SAPBEXstdData 2 10 3 10" xfId="33505"/>
    <cellStyle name="SAPBEXstdData 2 10 3 2" xfId="19332"/>
    <cellStyle name="SAPBEXstdData 2 10 3 2 2" xfId="19333"/>
    <cellStyle name="SAPBEXstdData 2 10 3 2 3" xfId="33506"/>
    <cellStyle name="SAPBEXstdData 2 10 3 2 4" xfId="33507"/>
    <cellStyle name="SAPBEXstdData 2 10 3 3" xfId="19334"/>
    <cellStyle name="SAPBEXstdData 2 10 3 3 2" xfId="19335"/>
    <cellStyle name="SAPBEXstdData 2 10 3 3 3" xfId="33508"/>
    <cellStyle name="SAPBEXstdData 2 10 3 3 4" xfId="33509"/>
    <cellStyle name="SAPBEXstdData 2 10 3 4" xfId="19336"/>
    <cellStyle name="SAPBEXstdData 2 10 3 4 2" xfId="19337"/>
    <cellStyle name="SAPBEXstdData 2 10 3 4 3" xfId="33510"/>
    <cellStyle name="SAPBEXstdData 2 10 3 4 4" xfId="33511"/>
    <cellStyle name="SAPBEXstdData 2 10 3 5" xfId="19338"/>
    <cellStyle name="SAPBEXstdData 2 10 3 5 2" xfId="19339"/>
    <cellStyle name="SAPBEXstdData 2 10 3 5 3" xfId="33512"/>
    <cellStyle name="SAPBEXstdData 2 10 3 5 4" xfId="33513"/>
    <cellStyle name="SAPBEXstdData 2 10 3 6" xfId="19340"/>
    <cellStyle name="SAPBEXstdData 2 10 3 6 2" xfId="19341"/>
    <cellStyle name="SAPBEXstdData 2 10 3 6 3" xfId="33514"/>
    <cellStyle name="SAPBEXstdData 2 10 3 6 4" xfId="33515"/>
    <cellStyle name="SAPBEXstdData 2 10 3 7" xfId="19342"/>
    <cellStyle name="SAPBEXstdData 2 10 3 7 2" xfId="19343"/>
    <cellStyle name="SAPBEXstdData 2 10 3 7 3" xfId="33516"/>
    <cellStyle name="SAPBEXstdData 2 10 3 7 4" xfId="33517"/>
    <cellStyle name="SAPBEXstdData 2 10 3 8" xfId="19344"/>
    <cellStyle name="SAPBEXstdData 2 10 3 9" xfId="33518"/>
    <cellStyle name="SAPBEXstdData 2 10 4" xfId="19345"/>
    <cellStyle name="SAPBEXstdData 2 10 4 10" xfId="33519"/>
    <cellStyle name="SAPBEXstdData 2 10 4 2" xfId="19346"/>
    <cellStyle name="SAPBEXstdData 2 10 4 2 2" xfId="19347"/>
    <cellStyle name="SAPBEXstdData 2 10 4 2 3" xfId="33520"/>
    <cellStyle name="SAPBEXstdData 2 10 4 2 4" xfId="33521"/>
    <cellStyle name="SAPBEXstdData 2 10 4 3" xfId="19348"/>
    <cellStyle name="SAPBEXstdData 2 10 4 3 2" xfId="19349"/>
    <cellStyle name="SAPBEXstdData 2 10 4 3 3" xfId="33522"/>
    <cellStyle name="SAPBEXstdData 2 10 4 3 4" xfId="33523"/>
    <cellStyle name="SAPBEXstdData 2 10 4 4" xfId="19350"/>
    <cellStyle name="SAPBEXstdData 2 10 4 4 2" xfId="19351"/>
    <cellStyle name="SAPBEXstdData 2 10 4 4 3" xfId="33524"/>
    <cellStyle name="SAPBEXstdData 2 10 4 4 4" xfId="33525"/>
    <cellStyle name="SAPBEXstdData 2 10 4 5" xfId="19352"/>
    <cellStyle name="SAPBEXstdData 2 10 4 5 2" xfId="19353"/>
    <cellStyle name="SAPBEXstdData 2 10 4 5 3" xfId="33526"/>
    <cellStyle name="SAPBEXstdData 2 10 4 5 4" xfId="33527"/>
    <cellStyle name="SAPBEXstdData 2 10 4 6" xfId="19354"/>
    <cellStyle name="SAPBEXstdData 2 10 4 6 2" xfId="19355"/>
    <cellStyle name="SAPBEXstdData 2 10 4 6 3" xfId="33528"/>
    <cellStyle name="SAPBEXstdData 2 10 4 6 4" xfId="33529"/>
    <cellStyle name="SAPBEXstdData 2 10 4 7" xfId="19356"/>
    <cellStyle name="SAPBEXstdData 2 10 4 7 2" xfId="19357"/>
    <cellStyle name="SAPBEXstdData 2 10 4 7 3" xfId="33530"/>
    <cellStyle name="SAPBEXstdData 2 10 4 7 4" xfId="33531"/>
    <cellStyle name="SAPBEXstdData 2 10 4 8" xfId="19358"/>
    <cellStyle name="SAPBEXstdData 2 10 4 9" xfId="33532"/>
    <cellStyle name="SAPBEXstdData 2 10 5" xfId="19359"/>
    <cellStyle name="SAPBEXstdData 2 10 5 10" xfId="33533"/>
    <cellStyle name="SAPBEXstdData 2 10 5 2" xfId="19360"/>
    <cellStyle name="SAPBEXstdData 2 10 5 2 2" xfId="19361"/>
    <cellStyle name="SAPBEXstdData 2 10 5 2 3" xfId="33534"/>
    <cellStyle name="SAPBEXstdData 2 10 5 2 4" xfId="33535"/>
    <cellStyle name="SAPBEXstdData 2 10 5 3" xfId="19362"/>
    <cellStyle name="SAPBEXstdData 2 10 5 3 2" xfId="19363"/>
    <cellStyle name="SAPBEXstdData 2 10 5 3 3" xfId="33536"/>
    <cellStyle name="SAPBEXstdData 2 10 5 3 4" xfId="33537"/>
    <cellStyle name="SAPBEXstdData 2 10 5 4" xfId="19364"/>
    <cellStyle name="SAPBEXstdData 2 10 5 4 2" xfId="19365"/>
    <cellStyle name="SAPBEXstdData 2 10 5 4 3" xfId="33538"/>
    <cellStyle name="SAPBEXstdData 2 10 5 4 4" xfId="33539"/>
    <cellStyle name="SAPBEXstdData 2 10 5 5" xfId="19366"/>
    <cellStyle name="SAPBEXstdData 2 10 5 5 2" xfId="19367"/>
    <cellStyle name="SAPBEXstdData 2 10 5 5 3" xfId="33540"/>
    <cellStyle name="SAPBEXstdData 2 10 5 5 4" xfId="33541"/>
    <cellStyle name="SAPBEXstdData 2 10 5 6" xfId="19368"/>
    <cellStyle name="SAPBEXstdData 2 10 5 6 2" xfId="19369"/>
    <cellStyle name="SAPBEXstdData 2 10 5 6 3" xfId="33542"/>
    <cellStyle name="SAPBEXstdData 2 10 5 6 4" xfId="33543"/>
    <cellStyle name="SAPBEXstdData 2 10 5 7" xfId="19370"/>
    <cellStyle name="SAPBEXstdData 2 10 5 7 2" xfId="19371"/>
    <cellStyle name="SAPBEXstdData 2 10 5 7 3" xfId="33544"/>
    <cellStyle name="SAPBEXstdData 2 10 5 7 4" xfId="33545"/>
    <cellStyle name="SAPBEXstdData 2 10 5 8" xfId="19372"/>
    <cellStyle name="SAPBEXstdData 2 10 5 9" xfId="33546"/>
    <cellStyle name="SAPBEXstdData 2 10 6" xfId="19373"/>
    <cellStyle name="SAPBEXstdData 2 10 6 2" xfId="19374"/>
    <cellStyle name="SAPBEXstdData 2 10 6 3" xfId="33547"/>
    <cellStyle name="SAPBEXstdData 2 10 6 4" xfId="33548"/>
    <cellStyle name="SAPBEXstdData 2 10 7" xfId="19375"/>
    <cellStyle name="SAPBEXstdData 2 10 7 2" xfId="19376"/>
    <cellStyle name="SAPBEXstdData 2 10 7 3" xfId="33549"/>
    <cellStyle name="SAPBEXstdData 2 10 7 4" xfId="33550"/>
    <cellStyle name="SAPBEXstdData 2 10 8" xfId="19377"/>
    <cellStyle name="SAPBEXstdData 2 10 8 2" xfId="19378"/>
    <cellStyle name="SAPBEXstdData 2 10 8 3" xfId="33551"/>
    <cellStyle name="SAPBEXstdData 2 10 8 4" xfId="33552"/>
    <cellStyle name="SAPBEXstdData 2 10 9" xfId="19379"/>
    <cellStyle name="SAPBEXstdData 2 10 9 2" xfId="19380"/>
    <cellStyle name="SAPBEXstdData 2 10 9 3" xfId="33553"/>
    <cellStyle name="SAPBEXstdData 2 10 9 4" xfId="33554"/>
    <cellStyle name="SAPBEXstdData 2 11" xfId="19381"/>
    <cellStyle name="SAPBEXstdData 2 11 10" xfId="19382"/>
    <cellStyle name="SAPBEXstdData 2 11 10 2" xfId="19383"/>
    <cellStyle name="SAPBEXstdData 2 11 10 3" xfId="33555"/>
    <cellStyle name="SAPBEXstdData 2 11 10 4" xfId="33556"/>
    <cellStyle name="SAPBEXstdData 2 11 11" xfId="19384"/>
    <cellStyle name="SAPBEXstdData 2 11 11 2" xfId="19385"/>
    <cellStyle name="SAPBEXstdData 2 11 11 3" xfId="33557"/>
    <cellStyle name="SAPBEXstdData 2 11 11 4" xfId="33558"/>
    <cellStyle name="SAPBEXstdData 2 11 12" xfId="19386"/>
    <cellStyle name="SAPBEXstdData 2 11 13" xfId="33559"/>
    <cellStyle name="SAPBEXstdData 2 11 14" xfId="33560"/>
    <cellStyle name="SAPBEXstdData 2 11 2" xfId="19387"/>
    <cellStyle name="SAPBEXstdData 2 11 2 10" xfId="33561"/>
    <cellStyle name="SAPBEXstdData 2 11 2 2" xfId="19388"/>
    <cellStyle name="SAPBEXstdData 2 11 2 2 2" xfId="19389"/>
    <cellStyle name="SAPBEXstdData 2 11 2 2 3" xfId="33562"/>
    <cellStyle name="SAPBEXstdData 2 11 2 2 4" xfId="33563"/>
    <cellStyle name="SAPBEXstdData 2 11 2 3" xfId="19390"/>
    <cellStyle name="SAPBEXstdData 2 11 2 3 2" xfId="19391"/>
    <cellStyle name="SAPBEXstdData 2 11 2 3 3" xfId="33564"/>
    <cellStyle name="SAPBEXstdData 2 11 2 3 4" xfId="33565"/>
    <cellStyle name="SAPBEXstdData 2 11 2 4" xfId="19392"/>
    <cellStyle name="SAPBEXstdData 2 11 2 4 2" xfId="19393"/>
    <cellStyle name="SAPBEXstdData 2 11 2 4 3" xfId="33566"/>
    <cellStyle name="SAPBEXstdData 2 11 2 4 4" xfId="33567"/>
    <cellStyle name="SAPBEXstdData 2 11 2 5" xfId="19394"/>
    <cellStyle name="SAPBEXstdData 2 11 2 5 2" xfId="19395"/>
    <cellStyle name="SAPBEXstdData 2 11 2 5 3" xfId="33568"/>
    <cellStyle name="SAPBEXstdData 2 11 2 5 4" xfId="33569"/>
    <cellStyle name="SAPBEXstdData 2 11 2 6" xfId="19396"/>
    <cellStyle name="SAPBEXstdData 2 11 2 6 2" xfId="19397"/>
    <cellStyle name="SAPBEXstdData 2 11 2 6 3" xfId="33570"/>
    <cellStyle name="SAPBEXstdData 2 11 2 6 4" xfId="33571"/>
    <cellStyle name="SAPBEXstdData 2 11 2 7" xfId="19398"/>
    <cellStyle name="SAPBEXstdData 2 11 2 7 2" xfId="19399"/>
    <cellStyle name="SAPBEXstdData 2 11 2 7 3" xfId="33572"/>
    <cellStyle name="SAPBEXstdData 2 11 2 7 4" xfId="33573"/>
    <cellStyle name="SAPBEXstdData 2 11 2 8" xfId="19400"/>
    <cellStyle name="SAPBEXstdData 2 11 2 9" xfId="33574"/>
    <cellStyle name="SAPBEXstdData 2 11 3" xfId="19401"/>
    <cellStyle name="SAPBEXstdData 2 11 3 10" xfId="33575"/>
    <cellStyle name="SAPBEXstdData 2 11 3 2" xfId="19402"/>
    <cellStyle name="SAPBEXstdData 2 11 3 2 2" xfId="19403"/>
    <cellStyle name="SAPBEXstdData 2 11 3 2 3" xfId="33576"/>
    <cellStyle name="SAPBEXstdData 2 11 3 2 4" xfId="33577"/>
    <cellStyle name="SAPBEXstdData 2 11 3 3" xfId="19404"/>
    <cellStyle name="SAPBEXstdData 2 11 3 3 2" xfId="19405"/>
    <cellStyle name="SAPBEXstdData 2 11 3 3 3" xfId="33578"/>
    <cellStyle name="SAPBEXstdData 2 11 3 3 4" xfId="33579"/>
    <cellStyle name="SAPBEXstdData 2 11 3 4" xfId="19406"/>
    <cellStyle name="SAPBEXstdData 2 11 3 4 2" xfId="19407"/>
    <cellStyle name="SAPBEXstdData 2 11 3 4 3" xfId="33580"/>
    <cellStyle name="SAPBEXstdData 2 11 3 4 4" xfId="33581"/>
    <cellStyle name="SAPBEXstdData 2 11 3 5" xfId="19408"/>
    <cellStyle name="SAPBEXstdData 2 11 3 5 2" xfId="19409"/>
    <cellStyle name="SAPBEXstdData 2 11 3 5 3" xfId="33582"/>
    <cellStyle name="SAPBEXstdData 2 11 3 5 4" xfId="33583"/>
    <cellStyle name="SAPBEXstdData 2 11 3 6" xfId="19410"/>
    <cellStyle name="SAPBEXstdData 2 11 3 6 2" xfId="19411"/>
    <cellStyle name="SAPBEXstdData 2 11 3 6 3" xfId="33584"/>
    <cellStyle name="SAPBEXstdData 2 11 3 6 4" xfId="33585"/>
    <cellStyle name="SAPBEXstdData 2 11 3 7" xfId="19412"/>
    <cellStyle name="SAPBEXstdData 2 11 3 7 2" xfId="19413"/>
    <cellStyle name="SAPBEXstdData 2 11 3 7 3" xfId="33586"/>
    <cellStyle name="SAPBEXstdData 2 11 3 7 4" xfId="33587"/>
    <cellStyle name="SAPBEXstdData 2 11 3 8" xfId="19414"/>
    <cellStyle name="SAPBEXstdData 2 11 3 9" xfId="33588"/>
    <cellStyle name="SAPBEXstdData 2 11 4" xfId="19415"/>
    <cellStyle name="SAPBEXstdData 2 11 4 10" xfId="33589"/>
    <cellStyle name="SAPBEXstdData 2 11 4 2" xfId="19416"/>
    <cellStyle name="SAPBEXstdData 2 11 4 2 2" xfId="19417"/>
    <cellStyle name="SAPBEXstdData 2 11 4 2 3" xfId="33590"/>
    <cellStyle name="SAPBEXstdData 2 11 4 2 4" xfId="33591"/>
    <cellStyle name="SAPBEXstdData 2 11 4 3" xfId="19418"/>
    <cellStyle name="SAPBEXstdData 2 11 4 3 2" xfId="19419"/>
    <cellStyle name="SAPBEXstdData 2 11 4 3 3" xfId="33592"/>
    <cellStyle name="SAPBEXstdData 2 11 4 3 4" xfId="33593"/>
    <cellStyle name="SAPBEXstdData 2 11 4 4" xfId="19420"/>
    <cellStyle name="SAPBEXstdData 2 11 4 4 2" xfId="19421"/>
    <cellStyle name="SAPBEXstdData 2 11 4 4 3" xfId="33594"/>
    <cellStyle name="SAPBEXstdData 2 11 4 4 4" xfId="33595"/>
    <cellStyle name="SAPBEXstdData 2 11 4 5" xfId="19422"/>
    <cellStyle name="SAPBEXstdData 2 11 4 5 2" xfId="19423"/>
    <cellStyle name="SAPBEXstdData 2 11 4 5 3" xfId="33596"/>
    <cellStyle name="SAPBEXstdData 2 11 4 5 4" xfId="33597"/>
    <cellStyle name="SAPBEXstdData 2 11 4 6" xfId="19424"/>
    <cellStyle name="SAPBEXstdData 2 11 4 6 2" xfId="19425"/>
    <cellStyle name="SAPBEXstdData 2 11 4 6 3" xfId="33598"/>
    <cellStyle name="SAPBEXstdData 2 11 4 6 4" xfId="33599"/>
    <cellStyle name="SAPBEXstdData 2 11 4 7" xfId="19426"/>
    <cellStyle name="SAPBEXstdData 2 11 4 7 2" xfId="19427"/>
    <cellStyle name="SAPBEXstdData 2 11 4 7 3" xfId="33600"/>
    <cellStyle name="SAPBEXstdData 2 11 4 7 4" xfId="33601"/>
    <cellStyle name="SAPBEXstdData 2 11 4 8" xfId="19428"/>
    <cellStyle name="SAPBEXstdData 2 11 4 9" xfId="33602"/>
    <cellStyle name="SAPBEXstdData 2 11 5" xfId="19429"/>
    <cellStyle name="SAPBEXstdData 2 11 5 10" xfId="33603"/>
    <cellStyle name="SAPBEXstdData 2 11 5 2" xfId="19430"/>
    <cellStyle name="SAPBEXstdData 2 11 5 2 2" xfId="19431"/>
    <cellStyle name="SAPBEXstdData 2 11 5 2 3" xfId="33604"/>
    <cellStyle name="SAPBEXstdData 2 11 5 2 4" xfId="33605"/>
    <cellStyle name="SAPBEXstdData 2 11 5 3" xfId="19432"/>
    <cellStyle name="SAPBEXstdData 2 11 5 3 2" xfId="19433"/>
    <cellStyle name="SAPBEXstdData 2 11 5 3 3" xfId="33606"/>
    <cellStyle name="SAPBEXstdData 2 11 5 3 4" xfId="33607"/>
    <cellStyle name="SAPBEXstdData 2 11 5 4" xfId="19434"/>
    <cellStyle name="SAPBEXstdData 2 11 5 4 2" xfId="19435"/>
    <cellStyle name="SAPBEXstdData 2 11 5 4 3" xfId="33608"/>
    <cellStyle name="SAPBEXstdData 2 11 5 4 4" xfId="33609"/>
    <cellStyle name="SAPBEXstdData 2 11 5 5" xfId="19436"/>
    <cellStyle name="SAPBEXstdData 2 11 5 5 2" xfId="19437"/>
    <cellStyle name="SAPBEXstdData 2 11 5 5 3" xfId="33610"/>
    <cellStyle name="SAPBEXstdData 2 11 5 5 4" xfId="33611"/>
    <cellStyle name="SAPBEXstdData 2 11 5 6" xfId="19438"/>
    <cellStyle name="SAPBEXstdData 2 11 5 6 2" xfId="19439"/>
    <cellStyle name="SAPBEXstdData 2 11 5 6 3" xfId="33612"/>
    <cellStyle name="SAPBEXstdData 2 11 5 6 4" xfId="33613"/>
    <cellStyle name="SAPBEXstdData 2 11 5 7" xfId="19440"/>
    <cellStyle name="SAPBEXstdData 2 11 5 7 2" xfId="19441"/>
    <cellStyle name="SAPBEXstdData 2 11 5 7 3" xfId="33614"/>
    <cellStyle name="SAPBEXstdData 2 11 5 7 4" xfId="33615"/>
    <cellStyle name="SAPBEXstdData 2 11 5 8" xfId="19442"/>
    <cellStyle name="SAPBEXstdData 2 11 5 9" xfId="33616"/>
    <cellStyle name="SAPBEXstdData 2 11 6" xfId="19443"/>
    <cellStyle name="SAPBEXstdData 2 11 6 2" xfId="19444"/>
    <cellStyle name="SAPBEXstdData 2 11 6 3" xfId="33617"/>
    <cellStyle name="SAPBEXstdData 2 11 6 4" xfId="33618"/>
    <cellStyle name="SAPBEXstdData 2 11 7" xfId="19445"/>
    <cellStyle name="SAPBEXstdData 2 11 7 2" xfId="19446"/>
    <cellStyle name="SAPBEXstdData 2 11 7 3" xfId="33619"/>
    <cellStyle name="SAPBEXstdData 2 11 7 4" xfId="33620"/>
    <cellStyle name="SAPBEXstdData 2 11 8" xfId="19447"/>
    <cellStyle name="SAPBEXstdData 2 11 8 2" xfId="19448"/>
    <cellStyle name="SAPBEXstdData 2 11 8 3" xfId="33621"/>
    <cellStyle name="SAPBEXstdData 2 11 8 4" xfId="33622"/>
    <cellStyle name="SAPBEXstdData 2 11 9" xfId="19449"/>
    <cellStyle name="SAPBEXstdData 2 11 9 2" xfId="19450"/>
    <cellStyle name="SAPBEXstdData 2 11 9 3" xfId="33623"/>
    <cellStyle name="SAPBEXstdData 2 11 9 4" xfId="33624"/>
    <cellStyle name="SAPBEXstdData 2 12" xfId="19451"/>
    <cellStyle name="SAPBEXstdData 2 12 10" xfId="19452"/>
    <cellStyle name="SAPBEXstdData 2 12 10 2" xfId="19453"/>
    <cellStyle name="SAPBEXstdData 2 12 10 3" xfId="33625"/>
    <cellStyle name="SAPBEXstdData 2 12 10 4" xfId="33626"/>
    <cellStyle name="SAPBEXstdData 2 12 11" xfId="19454"/>
    <cellStyle name="SAPBEXstdData 2 12 11 2" xfId="19455"/>
    <cellStyle name="SAPBEXstdData 2 12 11 3" xfId="33627"/>
    <cellStyle name="SAPBEXstdData 2 12 11 4" xfId="33628"/>
    <cellStyle name="SAPBEXstdData 2 12 12" xfId="19456"/>
    <cellStyle name="SAPBEXstdData 2 12 13" xfId="33629"/>
    <cellStyle name="SAPBEXstdData 2 12 14" xfId="33630"/>
    <cellStyle name="SAPBEXstdData 2 12 2" xfId="19457"/>
    <cellStyle name="SAPBEXstdData 2 12 2 10" xfId="33631"/>
    <cellStyle name="SAPBEXstdData 2 12 2 2" xfId="19458"/>
    <cellStyle name="SAPBEXstdData 2 12 2 2 2" xfId="19459"/>
    <cellStyle name="SAPBEXstdData 2 12 2 2 3" xfId="33632"/>
    <cellStyle name="SAPBEXstdData 2 12 2 2 4" xfId="33633"/>
    <cellStyle name="SAPBEXstdData 2 12 2 3" xfId="19460"/>
    <cellStyle name="SAPBEXstdData 2 12 2 3 2" xfId="19461"/>
    <cellStyle name="SAPBEXstdData 2 12 2 3 3" xfId="33634"/>
    <cellStyle name="SAPBEXstdData 2 12 2 3 4" xfId="33635"/>
    <cellStyle name="SAPBEXstdData 2 12 2 4" xfId="19462"/>
    <cellStyle name="SAPBEXstdData 2 12 2 4 2" xfId="19463"/>
    <cellStyle name="SAPBEXstdData 2 12 2 4 3" xfId="33636"/>
    <cellStyle name="SAPBEXstdData 2 12 2 4 4" xfId="33637"/>
    <cellStyle name="SAPBEXstdData 2 12 2 5" xfId="19464"/>
    <cellStyle name="SAPBEXstdData 2 12 2 5 2" xfId="19465"/>
    <cellStyle name="SAPBEXstdData 2 12 2 5 3" xfId="33638"/>
    <cellStyle name="SAPBEXstdData 2 12 2 5 4" xfId="33639"/>
    <cellStyle name="SAPBEXstdData 2 12 2 6" xfId="19466"/>
    <cellStyle name="SAPBEXstdData 2 12 2 6 2" xfId="19467"/>
    <cellStyle name="SAPBEXstdData 2 12 2 6 3" xfId="33640"/>
    <cellStyle name="SAPBEXstdData 2 12 2 6 4" xfId="33641"/>
    <cellStyle name="SAPBEXstdData 2 12 2 7" xfId="19468"/>
    <cellStyle name="SAPBEXstdData 2 12 2 7 2" xfId="19469"/>
    <cellStyle name="SAPBEXstdData 2 12 2 7 3" xfId="33642"/>
    <cellStyle name="SAPBEXstdData 2 12 2 7 4" xfId="33643"/>
    <cellStyle name="SAPBEXstdData 2 12 2 8" xfId="19470"/>
    <cellStyle name="SAPBEXstdData 2 12 2 9" xfId="33644"/>
    <cellStyle name="SAPBEXstdData 2 12 3" xfId="19471"/>
    <cellStyle name="SAPBEXstdData 2 12 3 10" xfId="33645"/>
    <cellStyle name="SAPBEXstdData 2 12 3 2" xfId="19472"/>
    <cellStyle name="SAPBEXstdData 2 12 3 2 2" xfId="19473"/>
    <cellStyle name="SAPBEXstdData 2 12 3 2 3" xfId="33646"/>
    <cellStyle name="SAPBEXstdData 2 12 3 2 4" xfId="33647"/>
    <cellStyle name="SAPBEXstdData 2 12 3 3" xfId="19474"/>
    <cellStyle name="SAPBEXstdData 2 12 3 3 2" xfId="19475"/>
    <cellStyle name="SAPBEXstdData 2 12 3 3 3" xfId="33648"/>
    <cellStyle name="SAPBEXstdData 2 12 3 3 4" xfId="33649"/>
    <cellStyle name="SAPBEXstdData 2 12 3 4" xfId="19476"/>
    <cellStyle name="SAPBEXstdData 2 12 3 4 2" xfId="19477"/>
    <cellStyle name="SAPBEXstdData 2 12 3 4 3" xfId="33650"/>
    <cellStyle name="SAPBEXstdData 2 12 3 4 4" xfId="33651"/>
    <cellStyle name="SAPBEXstdData 2 12 3 5" xfId="19478"/>
    <cellStyle name="SAPBEXstdData 2 12 3 5 2" xfId="19479"/>
    <cellStyle name="SAPBEXstdData 2 12 3 5 3" xfId="33652"/>
    <cellStyle name="SAPBEXstdData 2 12 3 5 4" xfId="33653"/>
    <cellStyle name="SAPBEXstdData 2 12 3 6" xfId="19480"/>
    <cellStyle name="SAPBEXstdData 2 12 3 6 2" xfId="19481"/>
    <cellStyle name="SAPBEXstdData 2 12 3 6 3" xfId="33654"/>
    <cellStyle name="SAPBEXstdData 2 12 3 6 4" xfId="33655"/>
    <cellStyle name="SAPBEXstdData 2 12 3 7" xfId="19482"/>
    <cellStyle name="SAPBEXstdData 2 12 3 7 2" xfId="19483"/>
    <cellStyle name="SAPBEXstdData 2 12 3 7 3" xfId="33656"/>
    <cellStyle name="SAPBEXstdData 2 12 3 7 4" xfId="33657"/>
    <cellStyle name="SAPBEXstdData 2 12 3 8" xfId="19484"/>
    <cellStyle name="SAPBEXstdData 2 12 3 9" xfId="33658"/>
    <cellStyle name="SAPBEXstdData 2 12 4" xfId="19485"/>
    <cellStyle name="SAPBEXstdData 2 12 4 10" xfId="33659"/>
    <cellStyle name="SAPBEXstdData 2 12 4 2" xfId="19486"/>
    <cellStyle name="SAPBEXstdData 2 12 4 2 2" xfId="19487"/>
    <cellStyle name="SAPBEXstdData 2 12 4 2 3" xfId="33660"/>
    <cellStyle name="SAPBEXstdData 2 12 4 2 4" xfId="33661"/>
    <cellStyle name="SAPBEXstdData 2 12 4 3" xfId="19488"/>
    <cellStyle name="SAPBEXstdData 2 12 4 3 2" xfId="19489"/>
    <cellStyle name="SAPBEXstdData 2 12 4 3 3" xfId="33662"/>
    <cellStyle name="SAPBEXstdData 2 12 4 3 4" xfId="33663"/>
    <cellStyle name="SAPBEXstdData 2 12 4 4" xfId="19490"/>
    <cellStyle name="SAPBEXstdData 2 12 4 4 2" xfId="19491"/>
    <cellStyle name="SAPBEXstdData 2 12 4 4 3" xfId="33664"/>
    <cellStyle name="SAPBEXstdData 2 12 4 4 4" xfId="33665"/>
    <cellStyle name="SAPBEXstdData 2 12 4 5" xfId="19492"/>
    <cellStyle name="SAPBEXstdData 2 12 4 5 2" xfId="19493"/>
    <cellStyle name="SAPBEXstdData 2 12 4 5 3" xfId="33666"/>
    <cellStyle name="SAPBEXstdData 2 12 4 5 4" xfId="33667"/>
    <cellStyle name="SAPBEXstdData 2 12 4 6" xfId="19494"/>
    <cellStyle name="SAPBEXstdData 2 12 4 6 2" xfId="19495"/>
    <cellStyle name="SAPBEXstdData 2 12 4 6 3" xfId="33668"/>
    <cellStyle name="SAPBEXstdData 2 12 4 6 4" xfId="33669"/>
    <cellStyle name="SAPBEXstdData 2 12 4 7" xfId="19496"/>
    <cellStyle name="SAPBEXstdData 2 12 4 7 2" xfId="19497"/>
    <cellStyle name="SAPBEXstdData 2 12 4 7 3" xfId="33670"/>
    <cellStyle name="SAPBEXstdData 2 12 4 7 4" xfId="33671"/>
    <cellStyle name="SAPBEXstdData 2 12 4 8" xfId="19498"/>
    <cellStyle name="SAPBEXstdData 2 12 4 9" xfId="33672"/>
    <cellStyle name="SAPBEXstdData 2 12 5" xfId="19499"/>
    <cellStyle name="SAPBEXstdData 2 12 5 10" xfId="33673"/>
    <cellStyle name="SAPBEXstdData 2 12 5 2" xfId="19500"/>
    <cellStyle name="SAPBEXstdData 2 12 5 2 2" xfId="19501"/>
    <cellStyle name="SAPBEXstdData 2 12 5 2 3" xfId="33674"/>
    <cellStyle name="SAPBEXstdData 2 12 5 2 4" xfId="33675"/>
    <cellStyle name="SAPBEXstdData 2 12 5 3" xfId="19502"/>
    <cellStyle name="SAPBEXstdData 2 12 5 3 2" xfId="19503"/>
    <cellStyle name="SAPBEXstdData 2 12 5 3 3" xfId="33676"/>
    <cellStyle name="SAPBEXstdData 2 12 5 3 4" xfId="33677"/>
    <cellStyle name="SAPBEXstdData 2 12 5 4" xfId="19504"/>
    <cellStyle name="SAPBEXstdData 2 12 5 4 2" xfId="19505"/>
    <cellStyle name="SAPBEXstdData 2 12 5 4 3" xfId="33678"/>
    <cellStyle name="SAPBEXstdData 2 12 5 4 4" xfId="33679"/>
    <cellStyle name="SAPBEXstdData 2 12 5 5" xfId="19506"/>
    <cellStyle name="SAPBEXstdData 2 12 5 5 2" xfId="19507"/>
    <cellStyle name="SAPBEXstdData 2 12 5 5 3" xfId="33680"/>
    <cellStyle name="SAPBEXstdData 2 12 5 5 4" xfId="33681"/>
    <cellStyle name="SAPBEXstdData 2 12 5 6" xfId="19508"/>
    <cellStyle name="SAPBEXstdData 2 12 5 6 2" xfId="19509"/>
    <cellStyle name="SAPBEXstdData 2 12 5 6 3" xfId="33682"/>
    <cellStyle name="SAPBEXstdData 2 12 5 6 4" xfId="33683"/>
    <cellStyle name="SAPBEXstdData 2 12 5 7" xfId="19510"/>
    <cellStyle name="SAPBEXstdData 2 12 5 7 2" xfId="19511"/>
    <cellStyle name="SAPBEXstdData 2 12 5 7 3" xfId="33684"/>
    <cellStyle name="SAPBEXstdData 2 12 5 7 4" xfId="33685"/>
    <cellStyle name="SAPBEXstdData 2 12 5 8" xfId="19512"/>
    <cellStyle name="SAPBEXstdData 2 12 5 9" xfId="33686"/>
    <cellStyle name="SAPBEXstdData 2 12 6" xfId="19513"/>
    <cellStyle name="SAPBEXstdData 2 12 6 2" xfId="19514"/>
    <cellStyle name="SAPBEXstdData 2 12 6 3" xfId="33687"/>
    <cellStyle name="SAPBEXstdData 2 12 6 4" xfId="33688"/>
    <cellStyle name="SAPBEXstdData 2 12 7" xfId="19515"/>
    <cellStyle name="SAPBEXstdData 2 12 7 2" xfId="19516"/>
    <cellStyle name="SAPBEXstdData 2 12 7 3" xfId="33689"/>
    <cellStyle name="SAPBEXstdData 2 12 7 4" xfId="33690"/>
    <cellStyle name="SAPBEXstdData 2 12 8" xfId="19517"/>
    <cellStyle name="SAPBEXstdData 2 12 8 2" xfId="19518"/>
    <cellStyle name="SAPBEXstdData 2 12 8 3" xfId="33691"/>
    <cellStyle name="SAPBEXstdData 2 12 8 4" xfId="33692"/>
    <cellStyle name="SAPBEXstdData 2 12 9" xfId="19519"/>
    <cellStyle name="SAPBEXstdData 2 12 9 2" xfId="19520"/>
    <cellStyle name="SAPBEXstdData 2 12 9 3" xfId="33693"/>
    <cellStyle name="SAPBEXstdData 2 12 9 4" xfId="33694"/>
    <cellStyle name="SAPBEXstdData 2 13" xfId="19521"/>
    <cellStyle name="SAPBEXstdData 2 13 10" xfId="33695"/>
    <cellStyle name="SAPBEXstdData 2 13 2" xfId="19522"/>
    <cellStyle name="SAPBEXstdData 2 13 2 2" xfId="19523"/>
    <cellStyle name="SAPBEXstdData 2 13 2 3" xfId="33696"/>
    <cellStyle name="SAPBEXstdData 2 13 2 4" xfId="33697"/>
    <cellStyle name="SAPBEXstdData 2 13 3" xfId="19524"/>
    <cellStyle name="SAPBEXstdData 2 13 3 2" xfId="19525"/>
    <cellStyle name="SAPBEXstdData 2 13 3 3" xfId="33698"/>
    <cellStyle name="SAPBEXstdData 2 13 3 4" xfId="33699"/>
    <cellStyle name="SAPBEXstdData 2 13 4" xfId="19526"/>
    <cellStyle name="SAPBEXstdData 2 13 4 2" xfId="19527"/>
    <cellStyle name="SAPBEXstdData 2 13 4 3" xfId="33700"/>
    <cellStyle name="SAPBEXstdData 2 13 4 4" xfId="33701"/>
    <cellStyle name="SAPBEXstdData 2 13 5" xfId="19528"/>
    <cellStyle name="SAPBEXstdData 2 13 5 2" xfId="19529"/>
    <cellStyle name="SAPBEXstdData 2 13 5 3" xfId="33702"/>
    <cellStyle name="SAPBEXstdData 2 13 5 4" xfId="33703"/>
    <cellStyle name="SAPBEXstdData 2 13 6" xfId="19530"/>
    <cellStyle name="SAPBEXstdData 2 13 6 2" xfId="19531"/>
    <cellStyle name="SAPBEXstdData 2 13 6 3" xfId="33704"/>
    <cellStyle name="SAPBEXstdData 2 13 6 4" xfId="33705"/>
    <cellStyle name="SAPBEXstdData 2 13 7" xfId="19532"/>
    <cellStyle name="SAPBEXstdData 2 13 7 2" xfId="19533"/>
    <cellStyle name="SAPBEXstdData 2 13 7 3" xfId="33706"/>
    <cellStyle name="SAPBEXstdData 2 13 7 4" xfId="33707"/>
    <cellStyle name="SAPBEXstdData 2 13 8" xfId="19534"/>
    <cellStyle name="SAPBEXstdData 2 13 9" xfId="33708"/>
    <cellStyle name="SAPBEXstdData 2 14" xfId="19535"/>
    <cellStyle name="SAPBEXstdData 2 14 10" xfId="33709"/>
    <cellStyle name="SAPBEXstdData 2 14 2" xfId="19536"/>
    <cellStyle name="SAPBEXstdData 2 14 2 2" xfId="19537"/>
    <cellStyle name="SAPBEXstdData 2 14 2 3" xfId="33710"/>
    <cellStyle name="SAPBEXstdData 2 14 2 4" xfId="33711"/>
    <cellStyle name="SAPBEXstdData 2 14 3" xfId="19538"/>
    <cellStyle name="SAPBEXstdData 2 14 3 2" xfId="19539"/>
    <cellStyle name="SAPBEXstdData 2 14 3 3" xfId="33712"/>
    <cellStyle name="SAPBEXstdData 2 14 3 4" xfId="33713"/>
    <cellStyle name="SAPBEXstdData 2 14 4" xfId="19540"/>
    <cellStyle name="SAPBEXstdData 2 14 4 2" xfId="19541"/>
    <cellStyle name="SAPBEXstdData 2 14 4 3" xfId="33714"/>
    <cellStyle name="SAPBEXstdData 2 14 4 4" xfId="33715"/>
    <cellStyle name="SAPBEXstdData 2 14 5" xfId="19542"/>
    <cellStyle name="SAPBEXstdData 2 14 5 2" xfId="19543"/>
    <cellStyle name="SAPBEXstdData 2 14 5 3" xfId="33716"/>
    <cellStyle name="SAPBEXstdData 2 14 5 4" xfId="33717"/>
    <cellStyle name="SAPBEXstdData 2 14 6" xfId="19544"/>
    <cellStyle name="SAPBEXstdData 2 14 6 2" xfId="19545"/>
    <cellStyle name="SAPBEXstdData 2 14 6 3" xfId="33718"/>
    <cellStyle name="SAPBEXstdData 2 14 6 4" xfId="33719"/>
    <cellStyle name="SAPBEXstdData 2 14 7" xfId="19546"/>
    <cellStyle name="SAPBEXstdData 2 14 7 2" xfId="19547"/>
    <cellStyle name="SAPBEXstdData 2 14 7 3" xfId="33720"/>
    <cellStyle name="SAPBEXstdData 2 14 7 4" xfId="33721"/>
    <cellStyle name="SAPBEXstdData 2 14 8" xfId="19548"/>
    <cellStyle name="SAPBEXstdData 2 14 9" xfId="33722"/>
    <cellStyle name="SAPBEXstdData 2 15" xfId="19549"/>
    <cellStyle name="SAPBEXstdData 2 15 10" xfId="33723"/>
    <cellStyle name="SAPBEXstdData 2 15 2" xfId="19550"/>
    <cellStyle name="SAPBEXstdData 2 15 2 2" xfId="19551"/>
    <cellStyle name="SAPBEXstdData 2 15 2 3" xfId="33724"/>
    <cellStyle name="SAPBEXstdData 2 15 2 4" xfId="33725"/>
    <cellStyle name="SAPBEXstdData 2 15 3" xfId="19552"/>
    <cellStyle name="SAPBEXstdData 2 15 3 2" xfId="19553"/>
    <cellStyle name="SAPBEXstdData 2 15 3 3" xfId="33726"/>
    <cellStyle name="SAPBEXstdData 2 15 3 4" xfId="33727"/>
    <cellStyle name="SAPBEXstdData 2 15 4" xfId="19554"/>
    <cellStyle name="SAPBEXstdData 2 15 4 2" xfId="19555"/>
    <cellStyle name="SAPBEXstdData 2 15 4 3" xfId="33728"/>
    <cellStyle name="SAPBEXstdData 2 15 4 4" xfId="33729"/>
    <cellStyle name="SAPBEXstdData 2 15 5" xfId="19556"/>
    <cellStyle name="SAPBEXstdData 2 15 5 2" xfId="19557"/>
    <cellStyle name="SAPBEXstdData 2 15 5 3" xfId="33730"/>
    <cellStyle name="SAPBEXstdData 2 15 5 4" xfId="33731"/>
    <cellStyle name="SAPBEXstdData 2 15 6" xfId="19558"/>
    <cellStyle name="SAPBEXstdData 2 15 6 2" xfId="19559"/>
    <cellStyle name="SAPBEXstdData 2 15 6 3" xfId="33732"/>
    <cellStyle name="SAPBEXstdData 2 15 6 4" xfId="33733"/>
    <cellStyle name="SAPBEXstdData 2 15 7" xfId="19560"/>
    <cellStyle name="SAPBEXstdData 2 15 7 2" xfId="19561"/>
    <cellStyle name="SAPBEXstdData 2 15 7 3" xfId="33734"/>
    <cellStyle name="SAPBEXstdData 2 15 7 4" xfId="33735"/>
    <cellStyle name="SAPBEXstdData 2 15 8" xfId="19562"/>
    <cellStyle name="SAPBEXstdData 2 15 9" xfId="33736"/>
    <cellStyle name="SAPBEXstdData 2 16" xfId="19563"/>
    <cellStyle name="SAPBEXstdData 2 16 10" xfId="33737"/>
    <cellStyle name="SAPBEXstdData 2 16 2" xfId="19564"/>
    <cellStyle name="SAPBEXstdData 2 16 2 2" xfId="19565"/>
    <cellStyle name="SAPBEXstdData 2 16 2 3" xfId="33738"/>
    <cellStyle name="SAPBEXstdData 2 16 2 4" xfId="33739"/>
    <cellStyle name="SAPBEXstdData 2 16 3" xfId="19566"/>
    <cellStyle name="SAPBEXstdData 2 16 3 2" xfId="19567"/>
    <cellStyle name="SAPBEXstdData 2 16 3 3" xfId="33740"/>
    <cellStyle name="SAPBEXstdData 2 16 3 4" xfId="33741"/>
    <cellStyle name="SAPBEXstdData 2 16 4" xfId="19568"/>
    <cellStyle name="SAPBEXstdData 2 16 4 2" xfId="19569"/>
    <cellStyle name="SAPBEXstdData 2 16 4 3" xfId="33742"/>
    <cellStyle name="SAPBEXstdData 2 16 4 4" xfId="33743"/>
    <cellStyle name="SAPBEXstdData 2 16 5" xfId="19570"/>
    <cellStyle name="SAPBEXstdData 2 16 5 2" xfId="19571"/>
    <cellStyle name="SAPBEXstdData 2 16 5 3" xfId="33744"/>
    <cellStyle name="SAPBEXstdData 2 16 5 4" xfId="33745"/>
    <cellStyle name="SAPBEXstdData 2 16 6" xfId="19572"/>
    <cellStyle name="SAPBEXstdData 2 16 6 2" xfId="19573"/>
    <cellStyle name="SAPBEXstdData 2 16 6 3" xfId="33746"/>
    <cellStyle name="SAPBEXstdData 2 16 6 4" xfId="33747"/>
    <cellStyle name="SAPBEXstdData 2 16 7" xfId="19574"/>
    <cellStyle name="SAPBEXstdData 2 16 7 2" xfId="19575"/>
    <cellStyle name="SAPBEXstdData 2 16 7 3" xfId="33748"/>
    <cellStyle name="SAPBEXstdData 2 16 7 4" xfId="33749"/>
    <cellStyle name="SAPBEXstdData 2 16 8" xfId="19576"/>
    <cellStyle name="SAPBEXstdData 2 16 9" xfId="33750"/>
    <cellStyle name="SAPBEXstdData 2 17" xfId="19577"/>
    <cellStyle name="SAPBEXstdData 2 17 2" xfId="19578"/>
    <cellStyle name="SAPBEXstdData 2 17 3" xfId="33751"/>
    <cellStyle name="SAPBEXstdData 2 17 4" xfId="33752"/>
    <cellStyle name="SAPBEXstdData 2 18" xfId="19579"/>
    <cellStyle name="SAPBEXstdData 2 18 2" xfId="19580"/>
    <cellStyle name="SAPBEXstdData 2 18 3" xfId="33753"/>
    <cellStyle name="SAPBEXstdData 2 18 4" xfId="33754"/>
    <cellStyle name="SAPBEXstdData 2 19" xfId="19581"/>
    <cellStyle name="SAPBEXstdData 2 19 2" xfId="19582"/>
    <cellStyle name="SAPBEXstdData 2 19 3" xfId="33755"/>
    <cellStyle name="SAPBEXstdData 2 19 4" xfId="33756"/>
    <cellStyle name="SAPBEXstdData 2 2" xfId="19583"/>
    <cellStyle name="SAPBEXstdData 2 2 10" xfId="19584"/>
    <cellStyle name="SAPBEXstdData 2 2 10 2" xfId="19585"/>
    <cellStyle name="SAPBEXstdData 2 2 10 3" xfId="33757"/>
    <cellStyle name="SAPBEXstdData 2 2 10 4" xfId="33758"/>
    <cellStyle name="SAPBEXstdData 2 2 11" xfId="19586"/>
    <cellStyle name="SAPBEXstdData 2 2 11 2" xfId="19587"/>
    <cellStyle name="SAPBEXstdData 2 2 11 3" xfId="33759"/>
    <cellStyle name="SAPBEXstdData 2 2 11 4" xfId="33760"/>
    <cellStyle name="SAPBEXstdData 2 2 12" xfId="19588"/>
    <cellStyle name="SAPBEXstdData 2 2 13" xfId="33761"/>
    <cellStyle name="SAPBEXstdData 2 2 14" xfId="33762"/>
    <cellStyle name="SAPBEXstdData 2 2 2" xfId="19589"/>
    <cellStyle name="SAPBEXstdData 2 2 2 10" xfId="33763"/>
    <cellStyle name="SAPBEXstdData 2 2 2 2" xfId="19590"/>
    <cellStyle name="SAPBEXstdData 2 2 2 2 2" xfId="19591"/>
    <cellStyle name="SAPBEXstdData 2 2 2 2 3" xfId="33764"/>
    <cellStyle name="SAPBEXstdData 2 2 2 2 4" xfId="33765"/>
    <cellStyle name="SAPBEXstdData 2 2 2 3" xfId="19592"/>
    <cellStyle name="SAPBEXstdData 2 2 2 3 2" xfId="19593"/>
    <cellStyle name="SAPBEXstdData 2 2 2 3 3" xfId="33766"/>
    <cellStyle name="SAPBEXstdData 2 2 2 3 4" xfId="33767"/>
    <cellStyle name="SAPBEXstdData 2 2 2 4" xfId="19594"/>
    <cellStyle name="SAPBEXstdData 2 2 2 4 2" xfId="19595"/>
    <cellStyle name="SAPBEXstdData 2 2 2 4 3" xfId="33768"/>
    <cellStyle name="SAPBEXstdData 2 2 2 4 4" xfId="33769"/>
    <cellStyle name="SAPBEXstdData 2 2 2 5" xfId="19596"/>
    <cellStyle name="SAPBEXstdData 2 2 2 5 2" xfId="19597"/>
    <cellStyle name="SAPBEXstdData 2 2 2 5 3" xfId="33770"/>
    <cellStyle name="SAPBEXstdData 2 2 2 5 4" xfId="33771"/>
    <cellStyle name="SAPBEXstdData 2 2 2 6" xfId="19598"/>
    <cellStyle name="SAPBEXstdData 2 2 2 6 2" xfId="19599"/>
    <cellStyle name="SAPBEXstdData 2 2 2 6 3" xfId="33772"/>
    <cellStyle name="SAPBEXstdData 2 2 2 6 4" xfId="33773"/>
    <cellStyle name="SAPBEXstdData 2 2 2 7" xfId="19600"/>
    <cellStyle name="SAPBEXstdData 2 2 2 7 2" xfId="19601"/>
    <cellStyle name="SAPBEXstdData 2 2 2 7 3" xfId="33774"/>
    <cellStyle name="SAPBEXstdData 2 2 2 7 4" xfId="33775"/>
    <cellStyle name="SAPBEXstdData 2 2 2 8" xfId="19602"/>
    <cellStyle name="SAPBEXstdData 2 2 2 9" xfId="33776"/>
    <cellStyle name="SAPBEXstdData 2 2 3" xfId="19603"/>
    <cellStyle name="SAPBEXstdData 2 2 3 10" xfId="33777"/>
    <cellStyle name="SAPBEXstdData 2 2 3 2" xfId="19604"/>
    <cellStyle name="SAPBEXstdData 2 2 3 2 2" xfId="19605"/>
    <cellStyle name="SAPBEXstdData 2 2 3 2 3" xfId="33778"/>
    <cellStyle name="SAPBEXstdData 2 2 3 2 4" xfId="33779"/>
    <cellStyle name="SAPBEXstdData 2 2 3 3" xfId="19606"/>
    <cellStyle name="SAPBEXstdData 2 2 3 3 2" xfId="19607"/>
    <cellStyle name="SAPBEXstdData 2 2 3 3 3" xfId="33780"/>
    <cellStyle name="SAPBEXstdData 2 2 3 3 4" xfId="33781"/>
    <cellStyle name="SAPBEXstdData 2 2 3 4" xfId="19608"/>
    <cellStyle name="SAPBEXstdData 2 2 3 4 2" xfId="19609"/>
    <cellStyle name="SAPBEXstdData 2 2 3 4 3" xfId="33782"/>
    <cellStyle name="SAPBEXstdData 2 2 3 4 4" xfId="33783"/>
    <cellStyle name="SAPBEXstdData 2 2 3 5" xfId="19610"/>
    <cellStyle name="SAPBEXstdData 2 2 3 5 2" xfId="19611"/>
    <cellStyle name="SAPBEXstdData 2 2 3 5 3" xfId="33784"/>
    <cellStyle name="SAPBEXstdData 2 2 3 5 4" xfId="33785"/>
    <cellStyle name="SAPBEXstdData 2 2 3 6" xfId="19612"/>
    <cellStyle name="SAPBEXstdData 2 2 3 6 2" xfId="19613"/>
    <cellStyle name="SAPBEXstdData 2 2 3 6 3" xfId="33786"/>
    <cellStyle name="SAPBEXstdData 2 2 3 6 4" xfId="33787"/>
    <cellStyle name="SAPBEXstdData 2 2 3 7" xfId="19614"/>
    <cellStyle name="SAPBEXstdData 2 2 3 7 2" xfId="19615"/>
    <cellStyle name="SAPBEXstdData 2 2 3 7 3" xfId="33788"/>
    <cellStyle name="SAPBEXstdData 2 2 3 7 4" xfId="33789"/>
    <cellStyle name="SAPBEXstdData 2 2 3 8" xfId="19616"/>
    <cellStyle name="SAPBEXstdData 2 2 3 9" xfId="33790"/>
    <cellStyle name="SAPBEXstdData 2 2 4" xfId="19617"/>
    <cellStyle name="SAPBEXstdData 2 2 4 10" xfId="33791"/>
    <cellStyle name="SAPBEXstdData 2 2 4 2" xfId="19618"/>
    <cellStyle name="SAPBEXstdData 2 2 4 2 2" xfId="19619"/>
    <cellStyle name="SAPBEXstdData 2 2 4 2 3" xfId="33792"/>
    <cellStyle name="SAPBEXstdData 2 2 4 2 4" xfId="33793"/>
    <cellStyle name="SAPBEXstdData 2 2 4 3" xfId="19620"/>
    <cellStyle name="SAPBEXstdData 2 2 4 3 2" xfId="19621"/>
    <cellStyle name="SAPBEXstdData 2 2 4 3 3" xfId="33794"/>
    <cellStyle name="SAPBEXstdData 2 2 4 3 4" xfId="33795"/>
    <cellStyle name="SAPBEXstdData 2 2 4 4" xfId="19622"/>
    <cellStyle name="SAPBEXstdData 2 2 4 4 2" xfId="19623"/>
    <cellStyle name="SAPBEXstdData 2 2 4 4 3" xfId="33796"/>
    <cellStyle name="SAPBEXstdData 2 2 4 4 4" xfId="33797"/>
    <cellStyle name="SAPBEXstdData 2 2 4 5" xfId="19624"/>
    <cellStyle name="SAPBEXstdData 2 2 4 5 2" xfId="19625"/>
    <cellStyle name="SAPBEXstdData 2 2 4 5 3" xfId="33798"/>
    <cellStyle name="SAPBEXstdData 2 2 4 5 4" xfId="33799"/>
    <cellStyle name="SAPBEXstdData 2 2 4 6" xfId="19626"/>
    <cellStyle name="SAPBEXstdData 2 2 4 6 2" xfId="19627"/>
    <cellStyle name="SAPBEXstdData 2 2 4 6 3" xfId="33800"/>
    <cellStyle name="SAPBEXstdData 2 2 4 6 4" xfId="33801"/>
    <cellStyle name="SAPBEXstdData 2 2 4 7" xfId="19628"/>
    <cellStyle name="SAPBEXstdData 2 2 4 7 2" xfId="19629"/>
    <cellStyle name="SAPBEXstdData 2 2 4 7 3" xfId="33802"/>
    <cellStyle name="SAPBEXstdData 2 2 4 7 4" xfId="33803"/>
    <cellStyle name="SAPBEXstdData 2 2 4 8" xfId="19630"/>
    <cellStyle name="SAPBEXstdData 2 2 4 9" xfId="33804"/>
    <cellStyle name="SAPBEXstdData 2 2 5" xfId="19631"/>
    <cellStyle name="SAPBEXstdData 2 2 5 10" xfId="33805"/>
    <cellStyle name="SAPBEXstdData 2 2 5 2" xfId="19632"/>
    <cellStyle name="SAPBEXstdData 2 2 5 2 2" xfId="19633"/>
    <cellStyle name="SAPBEXstdData 2 2 5 2 3" xfId="33806"/>
    <cellStyle name="SAPBEXstdData 2 2 5 2 4" xfId="33807"/>
    <cellStyle name="SAPBEXstdData 2 2 5 3" xfId="19634"/>
    <cellStyle name="SAPBEXstdData 2 2 5 3 2" xfId="19635"/>
    <cellStyle name="SAPBEXstdData 2 2 5 3 3" xfId="33808"/>
    <cellStyle name="SAPBEXstdData 2 2 5 3 4" xfId="33809"/>
    <cellStyle name="SAPBEXstdData 2 2 5 4" xfId="19636"/>
    <cellStyle name="SAPBEXstdData 2 2 5 4 2" xfId="19637"/>
    <cellStyle name="SAPBEXstdData 2 2 5 4 3" xfId="33810"/>
    <cellStyle name="SAPBEXstdData 2 2 5 4 4" xfId="33811"/>
    <cellStyle name="SAPBEXstdData 2 2 5 5" xfId="19638"/>
    <cellStyle name="SAPBEXstdData 2 2 5 5 2" xfId="19639"/>
    <cellStyle name="SAPBEXstdData 2 2 5 5 3" xfId="33812"/>
    <cellStyle name="SAPBEXstdData 2 2 5 5 4" xfId="33813"/>
    <cellStyle name="SAPBEXstdData 2 2 5 6" xfId="19640"/>
    <cellStyle name="SAPBEXstdData 2 2 5 6 2" xfId="19641"/>
    <cellStyle name="SAPBEXstdData 2 2 5 6 3" xfId="33814"/>
    <cellStyle name="SAPBEXstdData 2 2 5 6 4" xfId="33815"/>
    <cellStyle name="SAPBEXstdData 2 2 5 7" xfId="19642"/>
    <cellStyle name="SAPBEXstdData 2 2 5 7 2" xfId="19643"/>
    <cellStyle name="SAPBEXstdData 2 2 5 7 3" xfId="33816"/>
    <cellStyle name="SAPBEXstdData 2 2 5 7 4" xfId="33817"/>
    <cellStyle name="SAPBEXstdData 2 2 5 8" xfId="19644"/>
    <cellStyle name="SAPBEXstdData 2 2 5 9" xfId="33818"/>
    <cellStyle name="SAPBEXstdData 2 2 6" xfId="19645"/>
    <cellStyle name="SAPBEXstdData 2 2 6 2" xfId="19646"/>
    <cellStyle name="SAPBEXstdData 2 2 6 3" xfId="33819"/>
    <cellStyle name="SAPBEXstdData 2 2 6 4" xfId="33820"/>
    <cellStyle name="SAPBEXstdData 2 2 7" xfId="19647"/>
    <cellStyle name="SAPBEXstdData 2 2 7 2" xfId="19648"/>
    <cellStyle name="SAPBEXstdData 2 2 7 3" xfId="33821"/>
    <cellStyle name="SAPBEXstdData 2 2 7 4" xfId="33822"/>
    <cellStyle name="SAPBEXstdData 2 2 8" xfId="19649"/>
    <cellStyle name="SAPBEXstdData 2 2 8 2" xfId="19650"/>
    <cellStyle name="SAPBEXstdData 2 2 8 3" xfId="33823"/>
    <cellStyle name="SAPBEXstdData 2 2 8 4" xfId="33824"/>
    <cellStyle name="SAPBEXstdData 2 2 9" xfId="19651"/>
    <cellStyle name="SAPBEXstdData 2 2 9 2" xfId="19652"/>
    <cellStyle name="SAPBEXstdData 2 2 9 3" xfId="33825"/>
    <cellStyle name="SAPBEXstdData 2 2 9 4" xfId="33826"/>
    <cellStyle name="SAPBEXstdData 2 20" xfId="19653"/>
    <cellStyle name="SAPBEXstdData 2 20 2" xfId="19654"/>
    <cellStyle name="SAPBEXstdData 2 20 3" xfId="33827"/>
    <cellStyle name="SAPBEXstdData 2 20 4" xfId="33828"/>
    <cellStyle name="SAPBEXstdData 2 21" xfId="19655"/>
    <cellStyle name="SAPBEXstdData 2 21 2" xfId="19656"/>
    <cellStyle name="SAPBEXstdData 2 21 3" xfId="33829"/>
    <cellStyle name="SAPBEXstdData 2 21 4" xfId="33830"/>
    <cellStyle name="SAPBEXstdData 2 22" xfId="19657"/>
    <cellStyle name="SAPBEXstdData 2 22 2" xfId="19658"/>
    <cellStyle name="SAPBEXstdData 2 22 3" xfId="33831"/>
    <cellStyle name="SAPBEXstdData 2 22 4" xfId="33832"/>
    <cellStyle name="SAPBEXstdData 2 23" xfId="19659"/>
    <cellStyle name="SAPBEXstdData 2 24" xfId="33833"/>
    <cellStyle name="SAPBEXstdData 2 25" xfId="33834"/>
    <cellStyle name="SAPBEXstdData 2 3" xfId="19660"/>
    <cellStyle name="SAPBEXstdData 2 3 10" xfId="19661"/>
    <cellStyle name="SAPBEXstdData 2 3 10 2" xfId="19662"/>
    <cellStyle name="SAPBEXstdData 2 3 10 3" xfId="33835"/>
    <cellStyle name="SAPBEXstdData 2 3 10 4" xfId="33836"/>
    <cellStyle name="SAPBEXstdData 2 3 11" xfId="19663"/>
    <cellStyle name="SAPBEXstdData 2 3 11 2" xfId="19664"/>
    <cellStyle name="SAPBEXstdData 2 3 11 3" xfId="33837"/>
    <cellStyle name="SAPBEXstdData 2 3 11 4" xfId="33838"/>
    <cellStyle name="SAPBEXstdData 2 3 12" xfId="19665"/>
    <cellStyle name="SAPBEXstdData 2 3 13" xfId="33839"/>
    <cellStyle name="SAPBEXstdData 2 3 14" xfId="33840"/>
    <cellStyle name="SAPBEXstdData 2 3 2" xfId="19666"/>
    <cellStyle name="SAPBEXstdData 2 3 2 10" xfId="33841"/>
    <cellStyle name="SAPBEXstdData 2 3 2 2" xfId="19667"/>
    <cellStyle name="SAPBEXstdData 2 3 2 2 2" xfId="19668"/>
    <cellStyle name="SAPBEXstdData 2 3 2 2 3" xfId="33842"/>
    <cellStyle name="SAPBEXstdData 2 3 2 2 4" xfId="33843"/>
    <cellStyle name="SAPBEXstdData 2 3 2 3" xfId="19669"/>
    <cellStyle name="SAPBEXstdData 2 3 2 3 2" xfId="19670"/>
    <cellStyle name="SAPBEXstdData 2 3 2 3 3" xfId="33844"/>
    <cellStyle name="SAPBEXstdData 2 3 2 3 4" xfId="33845"/>
    <cellStyle name="SAPBEXstdData 2 3 2 4" xfId="19671"/>
    <cellStyle name="SAPBEXstdData 2 3 2 4 2" xfId="19672"/>
    <cellStyle name="SAPBEXstdData 2 3 2 4 3" xfId="33846"/>
    <cellStyle name="SAPBEXstdData 2 3 2 4 4" xfId="33847"/>
    <cellStyle name="SAPBEXstdData 2 3 2 5" xfId="19673"/>
    <cellStyle name="SAPBEXstdData 2 3 2 5 2" xfId="19674"/>
    <cellStyle name="SAPBEXstdData 2 3 2 5 3" xfId="33848"/>
    <cellStyle name="SAPBEXstdData 2 3 2 5 4" xfId="33849"/>
    <cellStyle name="SAPBEXstdData 2 3 2 6" xfId="19675"/>
    <cellStyle name="SAPBEXstdData 2 3 2 6 2" xfId="19676"/>
    <cellStyle name="SAPBEXstdData 2 3 2 6 3" xfId="33850"/>
    <cellStyle name="SAPBEXstdData 2 3 2 6 4" xfId="33851"/>
    <cellStyle name="SAPBEXstdData 2 3 2 7" xfId="19677"/>
    <cellStyle name="SAPBEXstdData 2 3 2 7 2" xfId="19678"/>
    <cellStyle name="SAPBEXstdData 2 3 2 7 3" xfId="33852"/>
    <cellStyle name="SAPBEXstdData 2 3 2 7 4" xfId="33853"/>
    <cellStyle name="SAPBEXstdData 2 3 2 8" xfId="19679"/>
    <cellStyle name="SAPBEXstdData 2 3 2 9" xfId="33854"/>
    <cellStyle name="SAPBEXstdData 2 3 3" xfId="19680"/>
    <cellStyle name="SAPBEXstdData 2 3 3 10" xfId="33855"/>
    <cellStyle name="SAPBEXstdData 2 3 3 2" xfId="19681"/>
    <cellStyle name="SAPBEXstdData 2 3 3 2 2" xfId="19682"/>
    <cellStyle name="SAPBEXstdData 2 3 3 2 3" xfId="33856"/>
    <cellStyle name="SAPBEXstdData 2 3 3 2 4" xfId="33857"/>
    <cellStyle name="SAPBEXstdData 2 3 3 3" xfId="19683"/>
    <cellStyle name="SAPBEXstdData 2 3 3 3 2" xfId="19684"/>
    <cellStyle name="SAPBEXstdData 2 3 3 3 3" xfId="33858"/>
    <cellStyle name="SAPBEXstdData 2 3 3 3 4" xfId="33859"/>
    <cellStyle name="SAPBEXstdData 2 3 3 4" xfId="19685"/>
    <cellStyle name="SAPBEXstdData 2 3 3 4 2" xfId="19686"/>
    <cellStyle name="SAPBEXstdData 2 3 3 4 3" xfId="33860"/>
    <cellStyle name="SAPBEXstdData 2 3 3 4 4" xfId="33861"/>
    <cellStyle name="SAPBEXstdData 2 3 3 5" xfId="19687"/>
    <cellStyle name="SAPBEXstdData 2 3 3 5 2" xfId="19688"/>
    <cellStyle name="SAPBEXstdData 2 3 3 5 3" xfId="33862"/>
    <cellStyle name="SAPBEXstdData 2 3 3 5 4" xfId="33863"/>
    <cellStyle name="SAPBEXstdData 2 3 3 6" xfId="19689"/>
    <cellStyle name="SAPBEXstdData 2 3 3 6 2" xfId="19690"/>
    <cellStyle name="SAPBEXstdData 2 3 3 6 3" xfId="33864"/>
    <cellStyle name="SAPBEXstdData 2 3 3 6 4" xfId="33865"/>
    <cellStyle name="SAPBEXstdData 2 3 3 7" xfId="19691"/>
    <cellStyle name="SAPBEXstdData 2 3 3 7 2" xfId="19692"/>
    <cellStyle name="SAPBEXstdData 2 3 3 7 3" xfId="33866"/>
    <cellStyle name="SAPBEXstdData 2 3 3 7 4" xfId="33867"/>
    <cellStyle name="SAPBEXstdData 2 3 3 8" xfId="19693"/>
    <cellStyle name="SAPBEXstdData 2 3 3 9" xfId="33868"/>
    <cellStyle name="SAPBEXstdData 2 3 4" xfId="19694"/>
    <cellStyle name="SAPBEXstdData 2 3 4 10" xfId="33869"/>
    <cellStyle name="SAPBEXstdData 2 3 4 2" xfId="19695"/>
    <cellStyle name="SAPBEXstdData 2 3 4 2 2" xfId="19696"/>
    <cellStyle name="SAPBEXstdData 2 3 4 2 3" xfId="33870"/>
    <cellStyle name="SAPBEXstdData 2 3 4 2 4" xfId="33871"/>
    <cellStyle name="SAPBEXstdData 2 3 4 3" xfId="19697"/>
    <cellStyle name="SAPBEXstdData 2 3 4 3 2" xfId="19698"/>
    <cellStyle name="SAPBEXstdData 2 3 4 3 3" xfId="33872"/>
    <cellStyle name="SAPBEXstdData 2 3 4 3 4" xfId="33873"/>
    <cellStyle name="SAPBEXstdData 2 3 4 4" xfId="19699"/>
    <cellStyle name="SAPBEXstdData 2 3 4 4 2" xfId="19700"/>
    <cellStyle name="SAPBEXstdData 2 3 4 4 3" xfId="33874"/>
    <cellStyle name="SAPBEXstdData 2 3 4 4 4" xfId="33875"/>
    <cellStyle name="SAPBEXstdData 2 3 4 5" xfId="19701"/>
    <cellStyle name="SAPBEXstdData 2 3 4 5 2" xfId="19702"/>
    <cellStyle name="SAPBEXstdData 2 3 4 5 3" xfId="33876"/>
    <cellStyle name="SAPBEXstdData 2 3 4 5 4" xfId="33877"/>
    <cellStyle name="SAPBEXstdData 2 3 4 6" xfId="19703"/>
    <cellStyle name="SAPBEXstdData 2 3 4 6 2" xfId="19704"/>
    <cellStyle name="SAPBEXstdData 2 3 4 6 3" xfId="33878"/>
    <cellStyle name="SAPBEXstdData 2 3 4 6 4" xfId="33879"/>
    <cellStyle name="SAPBEXstdData 2 3 4 7" xfId="19705"/>
    <cellStyle name="SAPBEXstdData 2 3 4 7 2" xfId="19706"/>
    <cellStyle name="SAPBEXstdData 2 3 4 7 3" xfId="33880"/>
    <cellStyle name="SAPBEXstdData 2 3 4 7 4" xfId="33881"/>
    <cellStyle name="SAPBEXstdData 2 3 4 8" xfId="19707"/>
    <cellStyle name="SAPBEXstdData 2 3 4 9" xfId="33882"/>
    <cellStyle name="SAPBEXstdData 2 3 5" xfId="19708"/>
    <cellStyle name="SAPBEXstdData 2 3 5 10" xfId="33883"/>
    <cellStyle name="SAPBEXstdData 2 3 5 2" xfId="19709"/>
    <cellStyle name="SAPBEXstdData 2 3 5 2 2" xfId="19710"/>
    <cellStyle name="SAPBEXstdData 2 3 5 2 3" xfId="33884"/>
    <cellStyle name="SAPBEXstdData 2 3 5 2 4" xfId="33885"/>
    <cellStyle name="SAPBEXstdData 2 3 5 3" xfId="19711"/>
    <cellStyle name="SAPBEXstdData 2 3 5 3 2" xfId="19712"/>
    <cellStyle name="SAPBEXstdData 2 3 5 3 3" xfId="33886"/>
    <cellStyle name="SAPBEXstdData 2 3 5 3 4" xfId="33887"/>
    <cellStyle name="SAPBEXstdData 2 3 5 4" xfId="19713"/>
    <cellStyle name="SAPBEXstdData 2 3 5 4 2" xfId="19714"/>
    <cellStyle name="SAPBEXstdData 2 3 5 4 3" xfId="33888"/>
    <cellStyle name="SAPBEXstdData 2 3 5 4 4" xfId="33889"/>
    <cellStyle name="SAPBEXstdData 2 3 5 5" xfId="19715"/>
    <cellStyle name="SAPBEXstdData 2 3 5 5 2" xfId="19716"/>
    <cellStyle name="SAPBEXstdData 2 3 5 5 3" xfId="33890"/>
    <cellStyle name="SAPBEXstdData 2 3 5 5 4" xfId="33891"/>
    <cellStyle name="SAPBEXstdData 2 3 5 6" xfId="19717"/>
    <cellStyle name="SAPBEXstdData 2 3 5 6 2" xfId="19718"/>
    <cellStyle name="SAPBEXstdData 2 3 5 6 3" xfId="33892"/>
    <cellStyle name="SAPBEXstdData 2 3 5 6 4" xfId="33893"/>
    <cellStyle name="SAPBEXstdData 2 3 5 7" xfId="19719"/>
    <cellStyle name="SAPBEXstdData 2 3 5 7 2" xfId="19720"/>
    <cellStyle name="SAPBEXstdData 2 3 5 7 3" xfId="33894"/>
    <cellStyle name="SAPBEXstdData 2 3 5 7 4" xfId="33895"/>
    <cellStyle name="SAPBEXstdData 2 3 5 8" xfId="19721"/>
    <cellStyle name="SAPBEXstdData 2 3 5 9" xfId="33896"/>
    <cellStyle name="SAPBEXstdData 2 3 6" xfId="19722"/>
    <cellStyle name="SAPBEXstdData 2 3 6 2" xfId="19723"/>
    <cellStyle name="SAPBEXstdData 2 3 6 3" xfId="33897"/>
    <cellStyle name="SAPBEXstdData 2 3 6 4" xfId="33898"/>
    <cellStyle name="SAPBEXstdData 2 3 7" xfId="19724"/>
    <cellStyle name="SAPBEXstdData 2 3 7 2" xfId="19725"/>
    <cellStyle name="SAPBEXstdData 2 3 7 3" xfId="33899"/>
    <cellStyle name="SAPBEXstdData 2 3 7 4" xfId="33900"/>
    <cellStyle name="SAPBEXstdData 2 3 8" xfId="19726"/>
    <cellStyle name="SAPBEXstdData 2 3 8 2" xfId="19727"/>
    <cellStyle name="SAPBEXstdData 2 3 8 3" xfId="33901"/>
    <cellStyle name="SAPBEXstdData 2 3 8 4" xfId="33902"/>
    <cellStyle name="SAPBEXstdData 2 3 9" xfId="19728"/>
    <cellStyle name="SAPBEXstdData 2 3 9 2" xfId="19729"/>
    <cellStyle name="SAPBEXstdData 2 3 9 3" xfId="33903"/>
    <cellStyle name="SAPBEXstdData 2 3 9 4" xfId="33904"/>
    <cellStyle name="SAPBEXstdData 2 4" xfId="19730"/>
    <cellStyle name="SAPBEXstdData 2 4 10" xfId="19731"/>
    <cellStyle name="SAPBEXstdData 2 4 10 2" xfId="19732"/>
    <cellStyle name="SAPBEXstdData 2 4 10 3" xfId="33905"/>
    <cellStyle name="SAPBEXstdData 2 4 10 4" xfId="33906"/>
    <cellStyle name="SAPBEXstdData 2 4 11" xfId="19733"/>
    <cellStyle name="SAPBEXstdData 2 4 11 2" xfId="19734"/>
    <cellStyle name="SAPBEXstdData 2 4 11 3" xfId="33907"/>
    <cellStyle name="SAPBEXstdData 2 4 11 4" xfId="33908"/>
    <cellStyle name="SAPBEXstdData 2 4 12" xfId="19735"/>
    <cellStyle name="SAPBEXstdData 2 4 13" xfId="33909"/>
    <cellStyle name="SAPBEXstdData 2 4 14" xfId="33910"/>
    <cellStyle name="SAPBEXstdData 2 4 2" xfId="19736"/>
    <cellStyle name="SAPBEXstdData 2 4 2 10" xfId="33911"/>
    <cellStyle name="SAPBEXstdData 2 4 2 2" xfId="19737"/>
    <cellStyle name="SAPBEXstdData 2 4 2 2 2" xfId="19738"/>
    <cellStyle name="SAPBEXstdData 2 4 2 2 3" xfId="33912"/>
    <cellStyle name="SAPBEXstdData 2 4 2 2 4" xfId="33913"/>
    <cellStyle name="SAPBEXstdData 2 4 2 3" xfId="19739"/>
    <cellStyle name="SAPBEXstdData 2 4 2 3 2" xfId="19740"/>
    <cellStyle name="SAPBEXstdData 2 4 2 3 3" xfId="33914"/>
    <cellStyle name="SAPBEXstdData 2 4 2 3 4" xfId="33915"/>
    <cellStyle name="SAPBEXstdData 2 4 2 4" xfId="19741"/>
    <cellStyle name="SAPBEXstdData 2 4 2 4 2" xfId="19742"/>
    <cellStyle name="SAPBEXstdData 2 4 2 4 3" xfId="33916"/>
    <cellStyle name="SAPBEXstdData 2 4 2 4 4" xfId="33917"/>
    <cellStyle name="SAPBEXstdData 2 4 2 5" xfId="19743"/>
    <cellStyle name="SAPBEXstdData 2 4 2 5 2" xfId="19744"/>
    <cellStyle name="SAPBEXstdData 2 4 2 5 3" xfId="33918"/>
    <cellStyle name="SAPBEXstdData 2 4 2 5 4" xfId="33919"/>
    <cellStyle name="SAPBEXstdData 2 4 2 6" xfId="19745"/>
    <cellStyle name="SAPBEXstdData 2 4 2 6 2" xfId="19746"/>
    <cellStyle name="SAPBEXstdData 2 4 2 6 3" xfId="33920"/>
    <cellStyle name="SAPBEXstdData 2 4 2 6 4" xfId="33921"/>
    <cellStyle name="SAPBEXstdData 2 4 2 7" xfId="19747"/>
    <cellStyle name="SAPBEXstdData 2 4 2 7 2" xfId="19748"/>
    <cellStyle name="SAPBEXstdData 2 4 2 7 3" xfId="33922"/>
    <cellStyle name="SAPBEXstdData 2 4 2 7 4" xfId="33923"/>
    <cellStyle name="SAPBEXstdData 2 4 2 8" xfId="19749"/>
    <cellStyle name="SAPBEXstdData 2 4 2 9" xfId="33924"/>
    <cellStyle name="SAPBEXstdData 2 4 3" xfId="19750"/>
    <cellStyle name="SAPBEXstdData 2 4 3 10" xfId="33925"/>
    <cellStyle name="SAPBEXstdData 2 4 3 2" xfId="19751"/>
    <cellStyle name="SAPBEXstdData 2 4 3 2 2" xfId="19752"/>
    <cellStyle name="SAPBEXstdData 2 4 3 2 3" xfId="33926"/>
    <cellStyle name="SAPBEXstdData 2 4 3 2 4" xfId="33927"/>
    <cellStyle name="SAPBEXstdData 2 4 3 3" xfId="19753"/>
    <cellStyle name="SAPBEXstdData 2 4 3 3 2" xfId="19754"/>
    <cellStyle name="SAPBEXstdData 2 4 3 3 3" xfId="33928"/>
    <cellStyle name="SAPBEXstdData 2 4 3 3 4" xfId="33929"/>
    <cellStyle name="SAPBEXstdData 2 4 3 4" xfId="19755"/>
    <cellStyle name="SAPBEXstdData 2 4 3 4 2" xfId="19756"/>
    <cellStyle name="SAPBEXstdData 2 4 3 4 3" xfId="33930"/>
    <cellStyle name="SAPBEXstdData 2 4 3 4 4" xfId="33931"/>
    <cellStyle name="SAPBEXstdData 2 4 3 5" xfId="19757"/>
    <cellStyle name="SAPBEXstdData 2 4 3 5 2" xfId="19758"/>
    <cellStyle name="SAPBEXstdData 2 4 3 5 3" xfId="33932"/>
    <cellStyle name="SAPBEXstdData 2 4 3 5 4" xfId="33933"/>
    <cellStyle name="SAPBEXstdData 2 4 3 6" xfId="19759"/>
    <cellStyle name="SAPBEXstdData 2 4 3 6 2" xfId="19760"/>
    <cellStyle name="SAPBEXstdData 2 4 3 6 3" xfId="33934"/>
    <cellStyle name="SAPBEXstdData 2 4 3 6 4" xfId="33935"/>
    <cellStyle name="SAPBEXstdData 2 4 3 7" xfId="19761"/>
    <cellStyle name="SAPBEXstdData 2 4 3 7 2" xfId="19762"/>
    <cellStyle name="SAPBEXstdData 2 4 3 7 3" xfId="33936"/>
    <cellStyle name="SAPBEXstdData 2 4 3 7 4" xfId="33937"/>
    <cellStyle name="SAPBEXstdData 2 4 3 8" xfId="19763"/>
    <cellStyle name="SAPBEXstdData 2 4 3 9" xfId="33938"/>
    <cellStyle name="SAPBEXstdData 2 4 4" xfId="19764"/>
    <cellStyle name="SAPBEXstdData 2 4 4 10" xfId="33939"/>
    <cellStyle name="SAPBEXstdData 2 4 4 2" xfId="19765"/>
    <cellStyle name="SAPBEXstdData 2 4 4 2 2" xfId="19766"/>
    <cellStyle name="SAPBEXstdData 2 4 4 2 3" xfId="33940"/>
    <cellStyle name="SAPBEXstdData 2 4 4 2 4" xfId="33941"/>
    <cellStyle name="SAPBEXstdData 2 4 4 3" xfId="19767"/>
    <cellStyle name="SAPBEXstdData 2 4 4 3 2" xfId="19768"/>
    <cellStyle name="SAPBEXstdData 2 4 4 3 3" xfId="33942"/>
    <cellStyle name="SAPBEXstdData 2 4 4 3 4" xfId="33943"/>
    <cellStyle name="SAPBEXstdData 2 4 4 4" xfId="19769"/>
    <cellStyle name="SAPBEXstdData 2 4 4 4 2" xfId="19770"/>
    <cellStyle name="SAPBEXstdData 2 4 4 4 3" xfId="33944"/>
    <cellStyle name="SAPBEXstdData 2 4 4 4 4" xfId="33945"/>
    <cellStyle name="SAPBEXstdData 2 4 4 5" xfId="19771"/>
    <cellStyle name="SAPBEXstdData 2 4 4 5 2" xfId="19772"/>
    <cellStyle name="SAPBEXstdData 2 4 4 5 3" xfId="33946"/>
    <cellStyle name="SAPBEXstdData 2 4 4 5 4" xfId="33947"/>
    <cellStyle name="SAPBEXstdData 2 4 4 6" xfId="19773"/>
    <cellStyle name="SAPBEXstdData 2 4 4 6 2" xfId="19774"/>
    <cellStyle name="SAPBEXstdData 2 4 4 6 3" xfId="33948"/>
    <cellStyle name="SAPBEXstdData 2 4 4 6 4" xfId="33949"/>
    <cellStyle name="SAPBEXstdData 2 4 4 7" xfId="19775"/>
    <cellStyle name="SAPBEXstdData 2 4 4 7 2" xfId="19776"/>
    <cellStyle name="SAPBEXstdData 2 4 4 7 3" xfId="33950"/>
    <cellStyle name="SAPBEXstdData 2 4 4 7 4" xfId="33951"/>
    <cellStyle name="SAPBEXstdData 2 4 4 8" xfId="19777"/>
    <cellStyle name="SAPBEXstdData 2 4 4 9" xfId="33952"/>
    <cellStyle name="SAPBEXstdData 2 4 5" xfId="19778"/>
    <cellStyle name="SAPBEXstdData 2 4 5 10" xfId="33953"/>
    <cellStyle name="SAPBEXstdData 2 4 5 2" xfId="19779"/>
    <cellStyle name="SAPBEXstdData 2 4 5 2 2" xfId="19780"/>
    <cellStyle name="SAPBEXstdData 2 4 5 2 3" xfId="33954"/>
    <cellStyle name="SAPBEXstdData 2 4 5 2 4" xfId="33955"/>
    <cellStyle name="SAPBEXstdData 2 4 5 3" xfId="19781"/>
    <cellStyle name="SAPBEXstdData 2 4 5 3 2" xfId="19782"/>
    <cellStyle name="SAPBEXstdData 2 4 5 3 3" xfId="33956"/>
    <cellStyle name="SAPBEXstdData 2 4 5 3 4" xfId="33957"/>
    <cellStyle name="SAPBEXstdData 2 4 5 4" xfId="19783"/>
    <cellStyle name="SAPBEXstdData 2 4 5 4 2" xfId="19784"/>
    <cellStyle name="SAPBEXstdData 2 4 5 4 3" xfId="33958"/>
    <cellStyle name="SAPBEXstdData 2 4 5 4 4" xfId="33959"/>
    <cellStyle name="SAPBEXstdData 2 4 5 5" xfId="19785"/>
    <cellStyle name="SAPBEXstdData 2 4 5 5 2" xfId="19786"/>
    <cellStyle name="SAPBEXstdData 2 4 5 5 3" xfId="33960"/>
    <cellStyle name="SAPBEXstdData 2 4 5 5 4" xfId="33961"/>
    <cellStyle name="SAPBEXstdData 2 4 5 6" xfId="19787"/>
    <cellStyle name="SAPBEXstdData 2 4 5 6 2" xfId="19788"/>
    <cellStyle name="SAPBEXstdData 2 4 5 6 3" xfId="33962"/>
    <cellStyle name="SAPBEXstdData 2 4 5 6 4" xfId="33963"/>
    <cellStyle name="SAPBEXstdData 2 4 5 7" xfId="19789"/>
    <cellStyle name="SAPBEXstdData 2 4 5 7 2" xfId="19790"/>
    <cellStyle name="SAPBEXstdData 2 4 5 7 3" xfId="33964"/>
    <cellStyle name="SAPBEXstdData 2 4 5 7 4" xfId="33965"/>
    <cellStyle name="SAPBEXstdData 2 4 5 8" xfId="19791"/>
    <cellStyle name="SAPBEXstdData 2 4 5 9" xfId="33966"/>
    <cellStyle name="SAPBEXstdData 2 4 6" xfId="19792"/>
    <cellStyle name="SAPBEXstdData 2 4 6 2" xfId="19793"/>
    <cellStyle name="SAPBEXstdData 2 4 6 3" xfId="33967"/>
    <cellStyle name="SAPBEXstdData 2 4 6 4" xfId="33968"/>
    <cellStyle name="SAPBEXstdData 2 4 7" xfId="19794"/>
    <cellStyle name="SAPBEXstdData 2 4 7 2" xfId="19795"/>
    <cellStyle name="SAPBEXstdData 2 4 7 3" xfId="33969"/>
    <cellStyle name="SAPBEXstdData 2 4 7 4" xfId="33970"/>
    <cellStyle name="SAPBEXstdData 2 4 8" xfId="19796"/>
    <cellStyle name="SAPBEXstdData 2 4 8 2" xfId="19797"/>
    <cellStyle name="SAPBEXstdData 2 4 8 3" xfId="33971"/>
    <cellStyle name="SAPBEXstdData 2 4 8 4" xfId="33972"/>
    <cellStyle name="SAPBEXstdData 2 4 9" xfId="19798"/>
    <cellStyle name="SAPBEXstdData 2 4 9 2" xfId="19799"/>
    <cellStyle name="SAPBEXstdData 2 4 9 3" xfId="33973"/>
    <cellStyle name="SAPBEXstdData 2 4 9 4" xfId="33974"/>
    <cellStyle name="SAPBEXstdData 2 5" xfId="19800"/>
    <cellStyle name="SAPBEXstdData 2 5 10" xfId="19801"/>
    <cellStyle name="SAPBEXstdData 2 5 10 2" xfId="19802"/>
    <cellStyle name="SAPBEXstdData 2 5 10 3" xfId="33975"/>
    <cellStyle name="SAPBEXstdData 2 5 10 4" xfId="33976"/>
    <cellStyle name="SAPBEXstdData 2 5 11" xfId="19803"/>
    <cellStyle name="SAPBEXstdData 2 5 11 2" xfId="19804"/>
    <cellStyle name="SAPBEXstdData 2 5 11 3" xfId="33977"/>
    <cellStyle name="SAPBEXstdData 2 5 11 4" xfId="33978"/>
    <cellStyle name="SAPBEXstdData 2 5 12" xfId="19805"/>
    <cellStyle name="SAPBEXstdData 2 5 13" xfId="33979"/>
    <cellStyle name="SAPBEXstdData 2 5 14" xfId="33980"/>
    <cellStyle name="SAPBEXstdData 2 5 2" xfId="19806"/>
    <cellStyle name="SAPBEXstdData 2 5 2 10" xfId="33981"/>
    <cellStyle name="SAPBEXstdData 2 5 2 2" xfId="19807"/>
    <cellStyle name="SAPBEXstdData 2 5 2 2 2" xfId="19808"/>
    <cellStyle name="SAPBEXstdData 2 5 2 2 3" xfId="33982"/>
    <cellStyle name="SAPBEXstdData 2 5 2 2 4" xfId="33983"/>
    <cellStyle name="SAPBEXstdData 2 5 2 3" xfId="19809"/>
    <cellStyle name="SAPBEXstdData 2 5 2 3 2" xfId="19810"/>
    <cellStyle name="SAPBEXstdData 2 5 2 3 3" xfId="33984"/>
    <cellStyle name="SAPBEXstdData 2 5 2 3 4" xfId="33985"/>
    <cellStyle name="SAPBEXstdData 2 5 2 4" xfId="19811"/>
    <cellStyle name="SAPBEXstdData 2 5 2 4 2" xfId="19812"/>
    <cellStyle name="SAPBEXstdData 2 5 2 4 3" xfId="33986"/>
    <cellStyle name="SAPBEXstdData 2 5 2 4 4" xfId="33987"/>
    <cellStyle name="SAPBEXstdData 2 5 2 5" xfId="19813"/>
    <cellStyle name="SAPBEXstdData 2 5 2 5 2" xfId="19814"/>
    <cellStyle name="SAPBEXstdData 2 5 2 5 3" xfId="33988"/>
    <cellStyle name="SAPBEXstdData 2 5 2 5 4" xfId="33989"/>
    <cellStyle name="SAPBEXstdData 2 5 2 6" xfId="19815"/>
    <cellStyle name="SAPBEXstdData 2 5 2 6 2" xfId="19816"/>
    <cellStyle name="SAPBEXstdData 2 5 2 6 3" xfId="33990"/>
    <cellStyle name="SAPBEXstdData 2 5 2 6 4" xfId="33991"/>
    <cellStyle name="SAPBEXstdData 2 5 2 7" xfId="19817"/>
    <cellStyle name="SAPBEXstdData 2 5 2 7 2" xfId="19818"/>
    <cellStyle name="SAPBEXstdData 2 5 2 7 3" xfId="33992"/>
    <cellStyle name="SAPBEXstdData 2 5 2 7 4" xfId="33993"/>
    <cellStyle name="SAPBEXstdData 2 5 2 8" xfId="19819"/>
    <cellStyle name="SAPBEXstdData 2 5 2 9" xfId="33994"/>
    <cellStyle name="SAPBEXstdData 2 5 3" xfId="19820"/>
    <cellStyle name="SAPBEXstdData 2 5 3 10" xfId="33995"/>
    <cellStyle name="SAPBEXstdData 2 5 3 2" xfId="19821"/>
    <cellStyle name="SAPBEXstdData 2 5 3 2 2" xfId="19822"/>
    <cellStyle name="SAPBEXstdData 2 5 3 2 3" xfId="33996"/>
    <cellStyle name="SAPBEXstdData 2 5 3 2 4" xfId="33997"/>
    <cellStyle name="SAPBEXstdData 2 5 3 3" xfId="19823"/>
    <cellStyle name="SAPBEXstdData 2 5 3 3 2" xfId="19824"/>
    <cellStyle name="SAPBEXstdData 2 5 3 3 3" xfId="33998"/>
    <cellStyle name="SAPBEXstdData 2 5 3 3 4" xfId="33999"/>
    <cellStyle name="SAPBEXstdData 2 5 3 4" xfId="19825"/>
    <cellStyle name="SAPBEXstdData 2 5 3 4 2" xfId="19826"/>
    <cellStyle name="SAPBEXstdData 2 5 3 4 3" xfId="34000"/>
    <cellStyle name="SAPBEXstdData 2 5 3 4 4" xfId="34001"/>
    <cellStyle name="SAPBEXstdData 2 5 3 5" xfId="19827"/>
    <cellStyle name="SAPBEXstdData 2 5 3 5 2" xfId="19828"/>
    <cellStyle name="SAPBEXstdData 2 5 3 5 3" xfId="34002"/>
    <cellStyle name="SAPBEXstdData 2 5 3 5 4" xfId="34003"/>
    <cellStyle name="SAPBEXstdData 2 5 3 6" xfId="19829"/>
    <cellStyle name="SAPBEXstdData 2 5 3 6 2" xfId="19830"/>
    <cellStyle name="SAPBEXstdData 2 5 3 6 3" xfId="34004"/>
    <cellStyle name="SAPBEXstdData 2 5 3 6 4" xfId="34005"/>
    <cellStyle name="SAPBEXstdData 2 5 3 7" xfId="19831"/>
    <cellStyle name="SAPBEXstdData 2 5 3 7 2" xfId="19832"/>
    <cellStyle name="SAPBEXstdData 2 5 3 7 3" xfId="34006"/>
    <cellStyle name="SAPBEXstdData 2 5 3 7 4" xfId="34007"/>
    <cellStyle name="SAPBEXstdData 2 5 3 8" xfId="19833"/>
    <cellStyle name="SAPBEXstdData 2 5 3 9" xfId="34008"/>
    <cellStyle name="SAPBEXstdData 2 5 4" xfId="19834"/>
    <cellStyle name="SAPBEXstdData 2 5 4 10" xfId="34009"/>
    <cellStyle name="SAPBEXstdData 2 5 4 2" xfId="19835"/>
    <cellStyle name="SAPBEXstdData 2 5 4 2 2" xfId="19836"/>
    <cellStyle name="SAPBEXstdData 2 5 4 2 3" xfId="34010"/>
    <cellStyle name="SAPBEXstdData 2 5 4 2 4" xfId="34011"/>
    <cellStyle name="SAPBEXstdData 2 5 4 3" xfId="19837"/>
    <cellStyle name="SAPBEXstdData 2 5 4 3 2" xfId="19838"/>
    <cellStyle name="SAPBEXstdData 2 5 4 3 3" xfId="34012"/>
    <cellStyle name="SAPBEXstdData 2 5 4 3 4" xfId="34013"/>
    <cellStyle name="SAPBEXstdData 2 5 4 4" xfId="19839"/>
    <cellStyle name="SAPBEXstdData 2 5 4 4 2" xfId="19840"/>
    <cellStyle name="SAPBEXstdData 2 5 4 4 3" xfId="34014"/>
    <cellStyle name="SAPBEXstdData 2 5 4 4 4" xfId="34015"/>
    <cellStyle name="SAPBEXstdData 2 5 4 5" xfId="19841"/>
    <cellStyle name="SAPBEXstdData 2 5 4 5 2" xfId="19842"/>
    <cellStyle name="SAPBEXstdData 2 5 4 5 3" xfId="34016"/>
    <cellStyle name="SAPBEXstdData 2 5 4 5 4" xfId="34017"/>
    <cellStyle name="SAPBEXstdData 2 5 4 6" xfId="19843"/>
    <cellStyle name="SAPBEXstdData 2 5 4 6 2" xfId="19844"/>
    <cellStyle name="SAPBEXstdData 2 5 4 6 3" xfId="34018"/>
    <cellStyle name="SAPBEXstdData 2 5 4 6 4" xfId="34019"/>
    <cellStyle name="SAPBEXstdData 2 5 4 7" xfId="19845"/>
    <cellStyle name="SAPBEXstdData 2 5 4 7 2" xfId="19846"/>
    <cellStyle name="SAPBEXstdData 2 5 4 7 3" xfId="34020"/>
    <cellStyle name="SAPBEXstdData 2 5 4 7 4" xfId="34021"/>
    <cellStyle name="SAPBEXstdData 2 5 4 8" xfId="19847"/>
    <cellStyle name="SAPBEXstdData 2 5 4 9" xfId="34022"/>
    <cellStyle name="SAPBEXstdData 2 5 5" xfId="19848"/>
    <cellStyle name="SAPBEXstdData 2 5 5 10" xfId="34023"/>
    <cellStyle name="SAPBEXstdData 2 5 5 2" xfId="19849"/>
    <cellStyle name="SAPBEXstdData 2 5 5 2 2" xfId="19850"/>
    <cellStyle name="SAPBEXstdData 2 5 5 2 3" xfId="34024"/>
    <cellStyle name="SAPBEXstdData 2 5 5 2 4" xfId="34025"/>
    <cellStyle name="SAPBEXstdData 2 5 5 3" xfId="19851"/>
    <cellStyle name="SAPBEXstdData 2 5 5 3 2" xfId="19852"/>
    <cellStyle name="SAPBEXstdData 2 5 5 3 3" xfId="34026"/>
    <cellStyle name="SAPBEXstdData 2 5 5 3 4" xfId="34027"/>
    <cellStyle name="SAPBEXstdData 2 5 5 4" xfId="19853"/>
    <cellStyle name="SAPBEXstdData 2 5 5 4 2" xfId="19854"/>
    <cellStyle name="SAPBEXstdData 2 5 5 4 3" xfId="34028"/>
    <cellStyle name="SAPBEXstdData 2 5 5 4 4" xfId="34029"/>
    <cellStyle name="SAPBEXstdData 2 5 5 5" xfId="19855"/>
    <cellStyle name="SAPBEXstdData 2 5 5 5 2" xfId="19856"/>
    <cellStyle name="SAPBEXstdData 2 5 5 5 3" xfId="34030"/>
    <cellStyle name="SAPBEXstdData 2 5 5 5 4" xfId="34031"/>
    <cellStyle name="SAPBEXstdData 2 5 5 6" xfId="19857"/>
    <cellStyle name="SAPBEXstdData 2 5 5 6 2" xfId="19858"/>
    <cellStyle name="SAPBEXstdData 2 5 5 6 3" xfId="34032"/>
    <cellStyle name="SAPBEXstdData 2 5 5 6 4" xfId="34033"/>
    <cellStyle name="SAPBEXstdData 2 5 5 7" xfId="19859"/>
    <cellStyle name="SAPBEXstdData 2 5 5 7 2" xfId="19860"/>
    <cellStyle name="SAPBEXstdData 2 5 5 7 3" xfId="34034"/>
    <cellStyle name="SAPBEXstdData 2 5 5 7 4" xfId="34035"/>
    <cellStyle name="SAPBEXstdData 2 5 5 8" xfId="19861"/>
    <cellStyle name="SAPBEXstdData 2 5 5 9" xfId="34036"/>
    <cellStyle name="SAPBEXstdData 2 5 6" xfId="19862"/>
    <cellStyle name="SAPBEXstdData 2 5 6 2" xfId="19863"/>
    <cellStyle name="SAPBEXstdData 2 5 6 3" xfId="34037"/>
    <cellStyle name="SAPBEXstdData 2 5 6 4" xfId="34038"/>
    <cellStyle name="SAPBEXstdData 2 5 7" xfId="19864"/>
    <cellStyle name="SAPBEXstdData 2 5 7 2" xfId="19865"/>
    <cellStyle name="SAPBEXstdData 2 5 7 3" xfId="34039"/>
    <cellStyle name="SAPBEXstdData 2 5 7 4" xfId="34040"/>
    <cellStyle name="SAPBEXstdData 2 5 8" xfId="19866"/>
    <cellStyle name="SAPBEXstdData 2 5 8 2" xfId="19867"/>
    <cellStyle name="SAPBEXstdData 2 5 8 3" xfId="34041"/>
    <cellStyle name="SAPBEXstdData 2 5 8 4" xfId="34042"/>
    <cellStyle name="SAPBEXstdData 2 5 9" xfId="19868"/>
    <cellStyle name="SAPBEXstdData 2 5 9 2" xfId="19869"/>
    <cellStyle name="SAPBEXstdData 2 5 9 3" xfId="34043"/>
    <cellStyle name="SAPBEXstdData 2 5 9 4" xfId="34044"/>
    <cellStyle name="SAPBEXstdData 2 6" xfId="19870"/>
    <cellStyle name="SAPBEXstdData 2 6 10" xfId="19871"/>
    <cellStyle name="SAPBEXstdData 2 6 10 2" xfId="19872"/>
    <cellStyle name="SAPBEXstdData 2 6 10 3" xfId="34045"/>
    <cellStyle name="SAPBEXstdData 2 6 10 4" xfId="34046"/>
    <cellStyle name="SAPBEXstdData 2 6 11" xfId="19873"/>
    <cellStyle name="SAPBEXstdData 2 6 11 2" xfId="19874"/>
    <cellStyle name="SAPBEXstdData 2 6 11 3" xfId="34047"/>
    <cellStyle name="SAPBEXstdData 2 6 11 4" xfId="34048"/>
    <cellStyle name="SAPBEXstdData 2 6 12" xfId="19875"/>
    <cellStyle name="SAPBEXstdData 2 6 13" xfId="34049"/>
    <cellStyle name="SAPBEXstdData 2 6 14" xfId="34050"/>
    <cellStyle name="SAPBEXstdData 2 6 2" xfId="19876"/>
    <cellStyle name="SAPBEXstdData 2 6 2 10" xfId="34051"/>
    <cellStyle name="SAPBEXstdData 2 6 2 2" xfId="19877"/>
    <cellStyle name="SAPBEXstdData 2 6 2 2 2" xfId="19878"/>
    <cellStyle name="SAPBEXstdData 2 6 2 2 3" xfId="34052"/>
    <cellStyle name="SAPBEXstdData 2 6 2 2 4" xfId="34053"/>
    <cellStyle name="SAPBEXstdData 2 6 2 3" xfId="19879"/>
    <cellStyle name="SAPBEXstdData 2 6 2 3 2" xfId="19880"/>
    <cellStyle name="SAPBEXstdData 2 6 2 3 3" xfId="34054"/>
    <cellStyle name="SAPBEXstdData 2 6 2 3 4" xfId="34055"/>
    <cellStyle name="SAPBEXstdData 2 6 2 4" xfId="19881"/>
    <cellStyle name="SAPBEXstdData 2 6 2 4 2" xfId="19882"/>
    <cellStyle name="SAPBEXstdData 2 6 2 4 3" xfId="34056"/>
    <cellStyle name="SAPBEXstdData 2 6 2 4 4" xfId="34057"/>
    <cellStyle name="SAPBEXstdData 2 6 2 5" xfId="19883"/>
    <cellStyle name="SAPBEXstdData 2 6 2 5 2" xfId="19884"/>
    <cellStyle name="SAPBEXstdData 2 6 2 5 3" xfId="34058"/>
    <cellStyle name="SAPBEXstdData 2 6 2 5 4" xfId="34059"/>
    <cellStyle name="SAPBEXstdData 2 6 2 6" xfId="19885"/>
    <cellStyle name="SAPBEXstdData 2 6 2 6 2" xfId="19886"/>
    <cellStyle name="SAPBEXstdData 2 6 2 6 3" xfId="34060"/>
    <cellStyle name="SAPBEXstdData 2 6 2 6 4" xfId="34061"/>
    <cellStyle name="SAPBEXstdData 2 6 2 7" xfId="19887"/>
    <cellStyle name="SAPBEXstdData 2 6 2 7 2" xfId="19888"/>
    <cellStyle name="SAPBEXstdData 2 6 2 7 3" xfId="34062"/>
    <cellStyle name="SAPBEXstdData 2 6 2 7 4" xfId="34063"/>
    <cellStyle name="SAPBEXstdData 2 6 2 8" xfId="19889"/>
    <cellStyle name="SAPBEXstdData 2 6 2 9" xfId="34064"/>
    <cellStyle name="SAPBEXstdData 2 6 3" xfId="19890"/>
    <cellStyle name="SAPBEXstdData 2 6 3 10" xfId="34065"/>
    <cellStyle name="SAPBEXstdData 2 6 3 2" xfId="19891"/>
    <cellStyle name="SAPBEXstdData 2 6 3 2 2" xfId="19892"/>
    <cellStyle name="SAPBEXstdData 2 6 3 2 3" xfId="34066"/>
    <cellStyle name="SAPBEXstdData 2 6 3 2 4" xfId="34067"/>
    <cellStyle name="SAPBEXstdData 2 6 3 3" xfId="19893"/>
    <cellStyle name="SAPBEXstdData 2 6 3 3 2" xfId="19894"/>
    <cellStyle name="SAPBEXstdData 2 6 3 3 3" xfId="34068"/>
    <cellStyle name="SAPBEXstdData 2 6 3 3 4" xfId="34069"/>
    <cellStyle name="SAPBEXstdData 2 6 3 4" xfId="19895"/>
    <cellStyle name="SAPBEXstdData 2 6 3 4 2" xfId="19896"/>
    <cellStyle name="SAPBEXstdData 2 6 3 4 3" xfId="34070"/>
    <cellStyle name="SAPBEXstdData 2 6 3 4 4" xfId="34071"/>
    <cellStyle name="SAPBEXstdData 2 6 3 5" xfId="19897"/>
    <cellStyle name="SAPBEXstdData 2 6 3 5 2" xfId="19898"/>
    <cellStyle name="SAPBEXstdData 2 6 3 5 3" xfId="34072"/>
    <cellStyle name="SAPBEXstdData 2 6 3 5 4" xfId="34073"/>
    <cellStyle name="SAPBEXstdData 2 6 3 6" xfId="19899"/>
    <cellStyle name="SAPBEXstdData 2 6 3 6 2" xfId="19900"/>
    <cellStyle name="SAPBEXstdData 2 6 3 6 3" xfId="34074"/>
    <cellStyle name="SAPBEXstdData 2 6 3 6 4" xfId="34075"/>
    <cellStyle name="SAPBEXstdData 2 6 3 7" xfId="19901"/>
    <cellStyle name="SAPBEXstdData 2 6 3 7 2" xfId="19902"/>
    <cellStyle name="SAPBEXstdData 2 6 3 7 3" xfId="34076"/>
    <cellStyle name="SAPBEXstdData 2 6 3 7 4" xfId="34077"/>
    <cellStyle name="SAPBEXstdData 2 6 3 8" xfId="19903"/>
    <cellStyle name="SAPBEXstdData 2 6 3 9" xfId="34078"/>
    <cellStyle name="SAPBEXstdData 2 6 4" xfId="19904"/>
    <cellStyle name="SAPBEXstdData 2 6 4 10" xfId="34079"/>
    <cellStyle name="SAPBEXstdData 2 6 4 2" xfId="19905"/>
    <cellStyle name="SAPBEXstdData 2 6 4 2 2" xfId="19906"/>
    <cellStyle name="SAPBEXstdData 2 6 4 2 3" xfId="34080"/>
    <cellStyle name="SAPBEXstdData 2 6 4 2 4" xfId="34081"/>
    <cellStyle name="SAPBEXstdData 2 6 4 3" xfId="19907"/>
    <cellStyle name="SAPBEXstdData 2 6 4 3 2" xfId="19908"/>
    <cellStyle name="SAPBEXstdData 2 6 4 3 3" xfId="34082"/>
    <cellStyle name="SAPBEXstdData 2 6 4 3 4" xfId="34083"/>
    <cellStyle name="SAPBEXstdData 2 6 4 4" xfId="19909"/>
    <cellStyle name="SAPBEXstdData 2 6 4 4 2" xfId="19910"/>
    <cellStyle name="SAPBEXstdData 2 6 4 4 3" xfId="34084"/>
    <cellStyle name="SAPBEXstdData 2 6 4 4 4" xfId="34085"/>
    <cellStyle name="SAPBEXstdData 2 6 4 5" xfId="19911"/>
    <cellStyle name="SAPBEXstdData 2 6 4 5 2" xfId="19912"/>
    <cellStyle name="SAPBEXstdData 2 6 4 5 3" xfId="34086"/>
    <cellStyle name="SAPBEXstdData 2 6 4 5 4" xfId="34087"/>
    <cellStyle name="SAPBEXstdData 2 6 4 6" xfId="19913"/>
    <cellStyle name="SAPBEXstdData 2 6 4 6 2" xfId="19914"/>
    <cellStyle name="SAPBEXstdData 2 6 4 6 3" xfId="34088"/>
    <cellStyle name="SAPBEXstdData 2 6 4 6 4" xfId="34089"/>
    <cellStyle name="SAPBEXstdData 2 6 4 7" xfId="19915"/>
    <cellStyle name="SAPBEXstdData 2 6 4 7 2" xfId="19916"/>
    <cellStyle name="SAPBEXstdData 2 6 4 7 3" xfId="34090"/>
    <cellStyle name="SAPBEXstdData 2 6 4 7 4" xfId="34091"/>
    <cellStyle name="SAPBEXstdData 2 6 4 8" xfId="19917"/>
    <cellStyle name="SAPBEXstdData 2 6 4 9" xfId="34092"/>
    <cellStyle name="SAPBEXstdData 2 6 5" xfId="19918"/>
    <cellStyle name="SAPBEXstdData 2 6 5 10" xfId="34093"/>
    <cellStyle name="SAPBEXstdData 2 6 5 2" xfId="19919"/>
    <cellStyle name="SAPBEXstdData 2 6 5 2 2" xfId="19920"/>
    <cellStyle name="SAPBEXstdData 2 6 5 2 3" xfId="34094"/>
    <cellStyle name="SAPBEXstdData 2 6 5 2 4" xfId="34095"/>
    <cellStyle name="SAPBEXstdData 2 6 5 3" xfId="19921"/>
    <cellStyle name="SAPBEXstdData 2 6 5 3 2" xfId="19922"/>
    <cellStyle name="SAPBEXstdData 2 6 5 3 3" xfId="34096"/>
    <cellStyle name="SAPBEXstdData 2 6 5 3 4" xfId="34097"/>
    <cellStyle name="SAPBEXstdData 2 6 5 4" xfId="19923"/>
    <cellStyle name="SAPBEXstdData 2 6 5 4 2" xfId="19924"/>
    <cellStyle name="SAPBEXstdData 2 6 5 4 3" xfId="34098"/>
    <cellStyle name="SAPBEXstdData 2 6 5 4 4" xfId="34099"/>
    <cellStyle name="SAPBEXstdData 2 6 5 5" xfId="19925"/>
    <cellStyle name="SAPBEXstdData 2 6 5 5 2" xfId="19926"/>
    <cellStyle name="SAPBEXstdData 2 6 5 5 3" xfId="34100"/>
    <cellStyle name="SAPBEXstdData 2 6 5 5 4" xfId="34101"/>
    <cellStyle name="SAPBEXstdData 2 6 5 6" xfId="19927"/>
    <cellStyle name="SAPBEXstdData 2 6 5 6 2" xfId="19928"/>
    <cellStyle name="SAPBEXstdData 2 6 5 6 3" xfId="34102"/>
    <cellStyle name="SAPBEXstdData 2 6 5 6 4" xfId="34103"/>
    <cellStyle name="SAPBEXstdData 2 6 5 7" xfId="19929"/>
    <cellStyle name="SAPBEXstdData 2 6 5 7 2" xfId="19930"/>
    <cellStyle name="SAPBEXstdData 2 6 5 7 3" xfId="34104"/>
    <cellStyle name="SAPBEXstdData 2 6 5 7 4" xfId="34105"/>
    <cellStyle name="SAPBEXstdData 2 6 5 8" xfId="19931"/>
    <cellStyle name="SAPBEXstdData 2 6 5 9" xfId="34106"/>
    <cellStyle name="SAPBEXstdData 2 6 6" xfId="19932"/>
    <cellStyle name="SAPBEXstdData 2 6 6 2" xfId="19933"/>
    <cellStyle name="SAPBEXstdData 2 6 6 3" xfId="34107"/>
    <cellStyle name="SAPBEXstdData 2 6 6 4" xfId="34108"/>
    <cellStyle name="SAPBEXstdData 2 6 7" xfId="19934"/>
    <cellStyle name="SAPBEXstdData 2 6 7 2" xfId="19935"/>
    <cellStyle name="SAPBEXstdData 2 6 7 3" xfId="34109"/>
    <cellStyle name="SAPBEXstdData 2 6 7 4" xfId="34110"/>
    <cellStyle name="SAPBEXstdData 2 6 8" xfId="19936"/>
    <cellStyle name="SAPBEXstdData 2 6 8 2" xfId="19937"/>
    <cellStyle name="SAPBEXstdData 2 6 8 3" xfId="34111"/>
    <cellStyle name="SAPBEXstdData 2 6 8 4" xfId="34112"/>
    <cellStyle name="SAPBEXstdData 2 6 9" xfId="19938"/>
    <cellStyle name="SAPBEXstdData 2 6 9 2" xfId="19939"/>
    <cellStyle name="SAPBEXstdData 2 6 9 3" xfId="34113"/>
    <cellStyle name="SAPBEXstdData 2 6 9 4" xfId="34114"/>
    <cellStyle name="SAPBEXstdData 2 7" xfId="19940"/>
    <cellStyle name="SAPBEXstdData 2 7 10" xfId="19941"/>
    <cellStyle name="SAPBEXstdData 2 7 10 2" xfId="19942"/>
    <cellStyle name="SAPBEXstdData 2 7 10 3" xfId="34115"/>
    <cellStyle name="SAPBEXstdData 2 7 10 4" xfId="34116"/>
    <cellStyle name="SAPBEXstdData 2 7 11" xfId="19943"/>
    <cellStyle name="SAPBEXstdData 2 7 11 2" xfId="19944"/>
    <cellStyle name="SAPBEXstdData 2 7 11 3" xfId="34117"/>
    <cellStyle name="SAPBEXstdData 2 7 11 4" xfId="34118"/>
    <cellStyle name="SAPBEXstdData 2 7 12" xfId="19945"/>
    <cellStyle name="SAPBEXstdData 2 7 13" xfId="34119"/>
    <cellStyle name="SAPBEXstdData 2 7 14" xfId="34120"/>
    <cellStyle name="SAPBEXstdData 2 7 2" xfId="19946"/>
    <cellStyle name="SAPBEXstdData 2 7 2 10" xfId="34121"/>
    <cellStyle name="SAPBEXstdData 2 7 2 2" xfId="19947"/>
    <cellStyle name="SAPBEXstdData 2 7 2 2 2" xfId="19948"/>
    <cellStyle name="SAPBEXstdData 2 7 2 2 3" xfId="34122"/>
    <cellStyle name="SAPBEXstdData 2 7 2 2 4" xfId="34123"/>
    <cellStyle name="SAPBEXstdData 2 7 2 3" xfId="19949"/>
    <cellStyle name="SAPBEXstdData 2 7 2 3 2" xfId="19950"/>
    <cellStyle name="SAPBEXstdData 2 7 2 3 3" xfId="34124"/>
    <cellStyle name="SAPBEXstdData 2 7 2 3 4" xfId="34125"/>
    <cellStyle name="SAPBEXstdData 2 7 2 4" xfId="19951"/>
    <cellStyle name="SAPBEXstdData 2 7 2 4 2" xfId="19952"/>
    <cellStyle name="SAPBEXstdData 2 7 2 4 3" xfId="34126"/>
    <cellStyle name="SAPBEXstdData 2 7 2 4 4" xfId="34127"/>
    <cellStyle name="SAPBEXstdData 2 7 2 5" xfId="19953"/>
    <cellStyle name="SAPBEXstdData 2 7 2 5 2" xfId="19954"/>
    <cellStyle name="SAPBEXstdData 2 7 2 5 3" xfId="34128"/>
    <cellStyle name="SAPBEXstdData 2 7 2 5 4" xfId="34129"/>
    <cellStyle name="SAPBEXstdData 2 7 2 6" xfId="19955"/>
    <cellStyle name="SAPBEXstdData 2 7 2 6 2" xfId="19956"/>
    <cellStyle name="SAPBEXstdData 2 7 2 6 3" xfId="34130"/>
    <cellStyle name="SAPBEXstdData 2 7 2 6 4" xfId="34131"/>
    <cellStyle name="SAPBEXstdData 2 7 2 7" xfId="19957"/>
    <cellStyle name="SAPBEXstdData 2 7 2 7 2" xfId="19958"/>
    <cellStyle name="SAPBEXstdData 2 7 2 7 3" xfId="34132"/>
    <cellStyle name="SAPBEXstdData 2 7 2 7 4" xfId="34133"/>
    <cellStyle name="SAPBEXstdData 2 7 2 8" xfId="19959"/>
    <cellStyle name="SAPBEXstdData 2 7 2 9" xfId="34134"/>
    <cellStyle name="SAPBEXstdData 2 7 3" xfId="19960"/>
    <cellStyle name="SAPBEXstdData 2 7 3 10" xfId="34135"/>
    <cellStyle name="SAPBEXstdData 2 7 3 2" xfId="19961"/>
    <cellStyle name="SAPBEXstdData 2 7 3 2 2" xfId="19962"/>
    <cellStyle name="SAPBEXstdData 2 7 3 2 3" xfId="34136"/>
    <cellStyle name="SAPBEXstdData 2 7 3 2 4" xfId="34137"/>
    <cellStyle name="SAPBEXstdData 2 7 3 3" xfId="19963"/>
    <cellStyle name="SAPBEXstdData 2 7 3 3 2" xfId="19964"/>
    <cellStyle name="SAPBEXstdData 2 7 3 3 3" xfId="34138"/>
    <cellStyle name="SAPBEXstdData 2 7 3 3 4" xfId="34139"/>
    <cellStyle name="SAPBEXstdData 2 7 3 4" xfId="19965"/>
    <cellStyle name="SAPBEXstdData 2 7 3 4 2" xfId="19966"/>
    <cellStyle name="SAPBEXstdData 2 7 3 4 3" xfId="34140"/>
    <cellStyle name="SAPBEXstdData 2 7 3 4 4" xfId="34141"/>
    <cellStyle name="SAPBEXstdData 2 7 3 5" xfId="19967"/>
    <cellStyle name="SAPBEXstdData 2 7 3 5 2" xfId="19968"/>
    <cellStyle name="SAPBEXstdData 2 7 3 5 3" xfId="34142"/>
    <cellStyle name="SAPBEXstdData 2 7 3 5 4" xfId="34143"/>
    <cellStyle name="SAPBEXstdData 2 7 3 6" xfId="19969"/>
    <cellStyle name="SAPBEXstdData 2 7 3 6 2" xfId="19970"/>
    <cellStyle name="SAPBEXstdData 2 7 3 6 3" xfId="34144"/>
    <cellStyle name="SAPBEXstdData 2 7 3 6 4" xfId="34145"/>
    <cellStyle name="SAPBEXstdData 2 7 3 7" xfId="19971"/>
    <cellStyle name="SAPBEXstdData 2 7 3 7 2" xfId="19972"/>
    <cellStyle name="SAPBEXstdData 2 7 3 7 3" xfId="34146"/>
    <cellStyle name="SAPBEXstdData 2 7 3 7 4" xfId="34147"/>
    <cellStyle name="SAPBEXstdData 2 7 3 8" xfId="19973"/>
    <cellStyle name="SAPBEXstdData 2 7 3 9" xfId="34148"/>
    <cellStyle name="SAPBEXstdData 2 7 4" xfId="19974"/>
    <cellStyle name="SAPBEXstdData 2 7 4 10" xfId="34149"/>
    <cellStyle name="SAPBEXstdData 2 7 4 2" xfId="19975"/>
    <cellStyle name="SAPBEXstdData 2 7 4 2 2" xfId="19976"/>
    <cellStyle name="SAPBEXstdData 2 7 4 2 3" xfId="34150"/>
    <cellStyle name="SAPBEXstdData 2 7 4 2 4" xfId="34151"/>
    <cellStyle name="SAPBEXstdData 2 7 4 3" xfId="19977"/>
    <cellStyle name="SAPBEXstdData 2 7 4 3 2" xfId="19978"/>
    <cellStyle name="SAPBEXstdData 2 7 4 3 3" xfId="34152"/>
    <cellStyle name="SAPBEXstdData 2 7 4 3 4" xfId="34153"/>
    <cellStyle name="SAPBEXstdData 2 7 4 4" xfId="19979"/>
    <cellStyle name="SAPBEXstdData 2 7 4 4 2" xfId="19980"/>
    <cellStyle name="SAPBEXstdData 2 7 4 4 3" xfId="34154"/>
    <cellStyle name="SAPBEXstdData 2 7 4 4 4" xfId="34155"/>
    <cellStyle name="SAPBEXstdData 2 7 4 5" xfId="19981"/>
    <cellStyle name="SAPBEXstdData 2 7 4 5 2" xfId="19982"/>
    <cellStyle name="SAPBEXstdData 2 7 4 5 3" xfId="34156"/>
    <cellStyle name="SAPBEXstdData 2 7 4 5 4" xfId="34157"/>
    <cellStyle name="SAPBEXstdData 2 7 4 6" xfId="19983"/>
    <cellStyle name="SAPBEXstdData 2 7 4 6 2" xfId="19984"/>
    <cellStyle name="SAPBEXstdData 2 7 4 6 3" xfId="34158"/>
    <cellStyle name="SAPBEXstdData 2 7 4 6 4" xfId="34159"/>
    <cellStyle name="SAPBEXstdData 2 7 4 7" xfId="19985"/>
    <cellStyle name="SAPBEXstdData 2 7 4 7 2" xfId="19986"/>
    <cellStyle name="SAPBEXstdData 2 7 4 7 3" xfId="34160"/>
    <cellStyle name="SAPBEXstdData 2 7 4 7 4" xfId="34161"/>
    <cellStyle name="SAPBEXstdData 2 7 4 8" xfId="19987"/>
    <cellStyle name="SAPBEXstdData 2 7 4 9" xfId="34162"/>
    <cellStyle name="SAPBEXstdData 2 7 5" xfId="19988"/>
    <cellStyle name="SAPBEXstdData 2 7 5 10" xfId="34163"/>
    <cellStyle name="SAPBEXstdData 2 7 5 2" xfId="19989"/>
    <cellStyle name="SAPBEXstdData 2 7 5 2 2" xfId="19990"/>
    <cellStyle name="SAPBEXstdData 2 7 5 2 3" xfId="34164"/>
    <cellStyle name="SAPBEXstdData 2 7 5 2 4" xfId="34165"/>
    <cellStyle name="SAPBEXstdData 2 7 5 3" xfId="19991"/>
    <cellStyle name="SAPBEXstdData 2 7 5 3 2" xfId="19992"/>
    <cellStyle name="SAPBEXstdData 2 7 5 3 3" xfId="34166"/>
    <cellStyle name="SAPBEXstdData 2 7 5 3 4" xfId="34167"/>
    <cellStyle name="SAPBEXstdData 2 7 5 4" xfId="19993"/>
    <cellStyle name="SAPBEXstdData 2 7 5 4 2" xfId="19994"/>
    <cellStyle name="SAPBEXstdData 2 7 5 4 3" xfId="34168"/>
    <cellStyle name="SAPBEXstdData 2 7 5 4 4" xfId="34169"/>
    <cellStyle name="SAPBEXstdData 2 7 5 5" xfId="19995"/>
    <cellStyle name="SAPBEXstdData 2 7 5 5 2" xfId="19996"/>
    <cellStyle name="SAPBEXstdData 2 7 5 5 3" xfId="34170"/>
    <cellStyle name="SAPBEXstdData 2 7 5 5 4" xfId="34171"/>
    <cellStyle name="SAPBEXstdData 2 7 5 6" xfId="19997"/>
    <cellStyle name="SAPBEXstdData 2 7 5 6 2" xfId="19998"/>
    <cellStyle name="SAPBEXstdData 2 7 5 6 3" xfId="34172"/>
    <cellStyle name="SAPBEXstdData 2 7 5 6 4" xfId="34173"/>
    <cellStyle name="SAPBEXstdData 2 7 5 7" xfId="19999"/>
    <cellStyle name="SAPBEXstdData 2 7 5 7 2" xfId="20000"/>
    <cellStyle name="SAPBEXstdData 2 7 5 7 3" xfId="34174"/>
    <cellStyle name="SAPBEXstdData 2 7 5 7 4" xfId="34175"/>
    <cellStyle name="SAPBEXstdData 2 7 5 8" xfId="20001"/>
    <cellStyle name="SAPBEXstdData 2 7 5 9" xfId="34176"/>
    <cellStyle name="SAPBEXstdData 2 7 6" xfId="20002"/>
    <cellStyle name="SAPBEXstdData 2 7 6 2" xfId="20003"/>
    <cellStyle name="SAPBEXstdData 2 7 6 3" xfId="34177"/>
    <cellStyle name="SAPBEXstdData 2 7 6 4" xfId="34178"/>
    <cellStyle name="SAPBEXstdData 2 7 7" xfId="20004"/>
    <cellStyle name="SAPBEXstdData 2 7 7 2" xfId="20005"/>
    <cellStyle name="SAPBEXstdData 2 7 7 3" xfId="34179"/>
    <cellStyle name="SAPBEXstdData 2 7 7 4" xfId="34180"/>
    <cellStyle name="SAPBEXstdData 2 7 8" xfId="20006"/>
    <cellStyle name="SAPBEXstdData 2 7 8 2" xfId="20007"/>
    <cellStyle name="SAPBEXstdData 2 7 8 3" xfId="34181"/>
    <cellStyle name="SAPBEXstdData 2 7 8 4" xfId="34182"/>
    <cellStyle name="SAPBEXstdData 2 7 9" xfId="20008"/>
    <cellStyle name="SAPBEXstdData 2 7 9 2" xfId="20009"/>
    <cellStyle name="SAPBEXstdData 2 7 9 3" xfId="34183"/>
    <cellStyle name="SAPBEXstdData 2 7 9 4" xfId="34184"/>
    <cellStyle name="SAPBEXstdData 2 8" xfId="20010"/>
    <cellStyle name="SAPBEXstdData 2 8 10" xfId="20011"/>
    <cellStyle name="SAPBEXstdData 2 8 10 2" xfId="20012"/>
    <cellStyle name="SAPBEXstdData 2 8 10 3" xfId="34185"/>
    <cellStyle name="SAPBEXstdData 2 8 10 4" xfId="34186"/>
    <cellStyle name="SAPBEXstdData 2 8 11" xfId="20013"/>
    <cellStyle name="SAPBEXstdData 2 8 11 2" xfId="20014"/>
    <cellStyle name="SAPBEXstdData 2 8 11 3" xfId="34187"/>
    <cellStyle name="SAPBEXstdData 2 8 11 4" xfId="34188"/>
    <cellStyle name="SAPBEXstdData 2 8 12" xfId="20015"/>
    <cellStyle name="SAPBEXstdData 2 8 13" xfId="34189"/>
    <cellStyle name="SAPBEXstdData 2 8 14" xfId="34190"/>
    <cellStyle name="SAPBEXstdData 2 8 2" xfId="20016"/>
    <cellStyle name="SAPBEXstdData 2 8 2 10" xfId="34191"/>
    <cellStyle name="SAPBEXstdData 2 8 2 2" xfId="20017"/>
    <cellStyle name="SAPBEXstdData 2 8 2 2 2" xfId="20018"/>
    <cellStyle name="SAPBEXstdData 2 8 2 2 3" xfId="34192"/>
    <cellStyle name="SAPBEXstdData 2 8 2 2 4" xfId="34193"/>
    <cellStyle name="SAPBEXstdData 2 8 2 3" xfId="20019"/>
    <cellStyle name="SAPBEXstdData 2 8 2 3 2" xfId="20020"/>
    <cellStyle name="SAPBEXstdData 2 8 2 3 3" xfId="34194"/>
    <cellStyle name="SAPBEXstdData 2 8 2 3 4" xfId="34195"/>
    <cellStyle name="SAPBEXstdData 2 8 2 4" xfId="20021"/>
    <cellStyle name="SAPBEXstdData 2 8 2 4 2" xfId="20022"/>
    <cellStyle name="SAPBEXstdData 2 8 2 4 3" xfId="34196"/>
    <cellStyle name="SAPBEXstdData 2 8 2 4 4" xfId="34197"/>
    <cellStyle name="SAPBEXstdData 2 8 2 5" xfId="20023"/>
    <cellStyle name="SAPBEXstdData 2 8 2 5 2" xfId="20024"/>
    <cellStyle name="SAPBEXstdData 2 8 2 5 3" xfId="34198"/>
    <cellStyle name="SAPBEXstdData 2 8 2 5 4" xfId="34199"/>
    <cellStyle name="SAPBEXstdData 2 8 2 6" xfId="20025"/>
    <cellStyle name="SAPBEXstdData 2 8 2 6 2" xfId="20026"/>
    <cellStyle name="SAPBEXstdData 2 8 2 6 3" xfId="34200"/>
    <cellStyle name="SAPBEXstdData 2 8 2 6 4" xfId="34201"/>
    <cellStyle name="SAPBEXstdData 2 8 2 7" xfId="20027"/>
    <cellStyle name="SAPBEXstdData 2 8 2 7 2" xfId="20028"/>
    <cellStyle name="SAPBEXstdData 2 8 2 7 3" xfId="34202"/>
    <cellStyle name="SAPBEXstdData 2 8 2 7 4" xfId="34203"/>
    <cellStyle name="SAPBEXstdData 2 8 2 8" xfId="20029"/>
    <cellStyle name="SAPBEXstdData 2 8 2 9" xfId="34204"/>
    <cellStyle name="SAPBEXstdData 2 8 3" xfId="20030"/>
    <cellStyle name="SAPBEXstdData 2 8 3 10" xfId="34205"/>
    <cellStyle name="SAPBEXstdData 2 8 3 2" xfId="20031"/>
    <cellStyle name="SAPBEXstdData 2 8 3 2 2" xfId="20032"/>
    <cellStyle name="SAPBEXstdData 2 8 3 2 3" xfId="34206"/>
    <cellStyle name="SAPBEXstdData 2 8 3 2 4" xfId="34207"/>
    <cellStyle name="SAPBEXstdData 2 8 3 3" xfId="20033"/>
    <cellStyle name="SAPBEXstdData 2 8 3 3 2" xfId="20034"/>
    <cellStyle name="SAPBEXstdData 2 8 3 3 3" xfId="34208"/>
    <cellStyle name="SAPBEXstdData 2 8 3 3 4" xfId="34209"/>
    <cellStyle name="SAPBEXstdData 2 8 3 4" xfId="20035"/>
    <cellStyle name="SAPBEXstdData 2 8 3 4 2" xfId="20036"/>
    <cellStyle name="SAPBEXstdData 2 8 3 4 3" xfId="34210"/>
    <cellStyle name="SAPBEXstdData 2 8 3 4 4" xfId="34211"/>
    <cellStyle name="SAPBEXstdData 2 8 3 5" xfId="20037"/>
    <cellStyle name="SAPBEXstdData 2 8 3 5 2" xfId="20038"/>
    <cellStyle name="SAPBEXstdData 2 8 3 5 3" xfId="34212"/>
    <cellStyle name="SAPBEXstdData 2 8 3 5 4" xfId="34213"/>
    <cellStyle name="SAPBEXstdData 2 8 3 6" xfId="20039"/>
    <cellStyle name="SAPBEXstdData 2 8 3 6 2" xfId="20040"/>
    <cellStyle name="SAPBEXstdData 2 8 3 6 3" xfId="34214"/>
    <cellStyle name="SAPBEXstdData 2 8 3 6 4" xfId="34215"/>
    <cellStyle name="SAPBEXstdData 2 8 3 7" xfId="20041"/>
    <cellStyle name="SAPBEXstdData 2 8 3 7 2" xfId="20042"/>
    <cellStyle name="SAPBEXstdData 2 8 3 7 3" xfId="34216"/>
    <cellStyle name="SAPBEXstdData 2 8 3 7 4" xfId="34217"/>
    <cellStyle name="SAPBEXstdData 2 8 3 8" xfId="20043"/>
    <cellStyle name="SAPBEXstdData 2 8 3 9" xfId="34218"/>
    <cellStyle name="SAPBEXstdData 2 8 4" xfId="20044"/>
    <cellStyle name="SAPBEXstdData 2 8 4 10" xfId="34219"/>
    <cellStyle name="SAPBEXstdData 2 8 4 2" xfId="20045"/>
    <cellStyle name="SAPBEXstdData 2 8 4 2 2" xfId="20046"/>
    <cellStyle name="SAPBEXstdData 2 8 4 2 3" xfId="34220"/>
    <cellStyle name="SAPBEXstdData 2 8 4 2 4" xfId="34221"/>
    <cellStyle name="SAPBEXstdData 2 8 4 3" xfId="20047"/>
    <cellStyle name="SAPBEXstdData 2 8 4 3 2" xfId="20048"/>
    <cellStyle name="SAPBEXstdData 2 8 4 3 3" xfId="34222"/>
    <cellStyle name="SAPBEXstdData 2 8 4 3 4" xfId="34223"/>
    <cellStyle name="SAPBEXstdData 2 8 4 4" xfId="20049"/>
    <cellStyle name="SAPBEXstdData 2 8 4 4 2" xfId="20050"/>
    <cellStyle name="SAPBEXstdData 2 8 4 4 3" xfId="34224"/>
    <cellStyle name="SAPBEXstdData 2 8 4 4 4" xfId="34225"/>
    <cellStyle name="SAPBEXstdData 2 8 4 5" xfId="20051"/>
    <cellStyle name="SAPBEXstdData 2 8 4 5 2" xfId="20052"/>
    <cellStyle name="SAPBEXstdData 2 8 4 5 3" xfId="34226"/>
    <cellStyle name="SAPBEXstdData 2 8 4 5 4" xfId="34227"/>
    <cellStyle name="SAPBEXstdData 2 8 4 6" xfId="20053"/>
    <cellStyle name="SAPBEXstdData 2 8 4 6 2" xfId="20054"/>
    <cellStyle name="SAPBEXstdData 2 8 4 6 3" xfId="34228"/>
    <cellStyle name="SAPBEXstdData 2 8 4 6 4" xfId="34229"/>
    <cellStyle name="SAPBEXstdData 2 8 4 7" xfId="20055"/>
    <cellStyle name="SAPBEXstdData 2 8 4 7 2" xfId="20056"/>
    <cellStyle name="SAPBEXstdData 2 8 4 7 3" xfId="34230"/>
    <cellStyle name="SAPBEXstdData 2 8 4 7 4" xfId="34231"/>
    <cellStyle name="SAPBEXstdData 2 8 4 8" xfId="20057"/>
    <cellStyle name="SAPBEXstdData 2 8 4 9" xfId="34232"/>
    <cellStyle name="SAPBEXstdData 2 8 5" xfId="20058"/>
    <cellStyle name="SAPBEXstdData 2 8 5 10" xfId="34233"/>
    <cellStyle name="SAPBEXstdData 2 8 5 2" xfId="20059"/>
    <cellStyle name="SAPBEXstdData 2 8 5 2 2" xfId="20060"/>
    <cellStyle name="SAPBEXstdData 2 8 5 2 3" xfId="34234"/>
    <cellStyle name="SAPBEXstdData 2 8 5 2 4" xfId="34235"/>
    <cellStyle name="SAPBEXstdData 2 8 5 3" xfId="20061"/>
    <cellStyle name="SAPBEXstdData 2 8 5 3 2" xfId="20062"/>
    <cellStyle name="SAPBEXstdData 2 8 5 3 3" xfId="34236"/>
    <cellStyle name="SAPBEXstdData 2 8 5 3 4" xfId="34237"/>
    <cellStyle name="SAPBEXstdData 2 8 5 4" xfId="20063"/>
    <cellStyle name="SAPBEXstdData 2 8 5 4 2" xfId="20064"/>
    <cellStyle name="SAPBEXstdData 2 8 5 4 3" xfId="34238"/>
    <cellStyle name="SAPBEXstdData 2 8 5 4 4" xfId="34239"/>
    <cellStyle name="SAPBEXstdData 2 8 5 5" xfId="20065"/>
    <cellStyle name="SAPBEXstdData 2 8 5 5 2" xfId="20066"/>
    <cellStyle name="SAPBEXstdData 2 8 5 5 3" xfId="34240"/>
    <cellStyle name="SAPBEXstdData 2 8 5 5 4" xfId="34241"/>
    <cellStyle name="SAPBEXstdData 2 8 5 6" xfId="20067"/>
    <cellStyle name="SAPBEXstdData 2 8 5 6 2" xfId="20068"/>
    <cellStyle name="SAPBEXstdData 2 8 5 6 3" xfId="34242"/>
    <cellStyle name="SAPBEXstdData 2 8 5 6 4" xfId="34243"/>
    <cellStyle name="SAPBEXstdData 2 8 5 7" xfId="20069"/>
    <cellStyle name="SAPBEXstdData 2 8 5 7 2" xfId="20070"/>
    <cellStyle name="SAPBEXstdData 2 8 5 7 3" xfId="34244"/>
    <cellStyle name="SAPBEXstdData 2 8 5 7 4" xfId="34245"/>
    <cellStyle name="SAPBEXstdData 2 8 5 8" xfId="20071"/>
    <cellStyle name="SAPBEXstdData 2 8 5 9" xfId="34246"/>
    <cellStyle name="SAPBEXstdData 2 8 6" xfId="20072"/>
    <cellStyle name="SAPBEXstdData 2 8 6 2" xfId="20073"/>
    <cellStyle name="SAPBEXstdData 2 8 6 3" xfId="34247"/>
    <cellStyle name="SAPBEXstdData 2 8 6 4" xfId="34248"/>
    <cellStyle name="SAPBEXstdData 2 8 7" xfId="20074"/>
    <cellStyle name="SAPBEXstdData 2 8 7 2" xfId="20075"/>
    <cellStyle name="SAPBEXstdData 2 8 7 3" xfId="34249"/>
    <cellStyle name="SAPBEXstdData 2 8 7 4" xfId="34250"/>
    <cellStyle name="SAPBEXstdData 2 8 8" xfId="20076"/>
    <cellStyle name="SAPBEXstdData 2 8 8 2" xfId="20077"/>
    <cellStyle name="SAPBEXstdData 2 8 8 3" xfId="34251"/>
    <cellStyle name="SAPBEXstdData 2 8 8 4" xfId="34252"/>
    <cellStyle name="SAPBEXstdData 2 8 9" xfId="20078"/>
    <cellStyle name="SAPBEXstdData 2 8 9 2" xfId="20079"/>
    <cellStyle name="SAPBEXstdData 2 8 9 3" xfId="34253"/>
    <cellStyle name="SAPBEXstdData 2 8 9 4" xfId="34254"/>
    <cellStyle name="SAPBEXstdData 2 9" xfId="20080"/>
    <cellStyle name="SAPBEXstdData 2 9 10" xfId="20081"/>
    <cellStyle name="SAPBEXstdData 2 9 10 2" xfId="20082"/>
    <cellStyle name="SAPBEXstdData 2 9 10 3" xfId="34255"/>
    <cellStyle name="SAPBEXstdData 2 9 10 4" xfId="34256"/>
    <cellStyle name="SAPBEXstdData 2 9 11" xfId="20083"/>
    <cellStyle name="SAPBEXstdData 2 9 11 2" xfId="20084"/>
    <cellStyle name="SAPBEXstdData 2 9 11 3" xfId="34257"/>
    <cellStyle name="SAPBEXstdData 2 9 11 4" xfId="34258"/>
    <cellStyle name="SAPBEXstdData 2 9 12" xfId="20085"/>
    <cellStyle name="SAPBEXstdData 2 9 13" xfId="34259"/>
    <cellStyle name="SAPBEXstdData 2 9 14" xfId="34260"/>
    <cellStyle name="SAPBEXstdData 2 9 2" xfId="20086"/>
    <cellStyle name="SAPBEXstdData 2 9 2 10" xfId="34261"/>
    <cellStyle name="SAPBEXstdData 2 9 2 2" xfId="20087"/>
    <cellStyle name="SAPBEXstdData 2 9 2 2 2" xfId="20088"/>
    <cellStyle name="SAPBEXstdData 2 9 2 2 3" xfId="34262"/>
    <cellStyle name="SAPBEXstdData 2 9 2 2 4" xfId="34263"/>
    <cellStyle name="SAPBEXstdData 2 9 2 3" xfId="20089"/>
    <cellStyle name="SAPBEXstdData 2 9 2 3 2" xfId="20090"/>
    <cellStyle name="SAPBEXstdData 2 9 2 3 3" xfId="34264"/>
    <cellStyle name="SAPBEXstdData 2 9 2 3 4" xfId="34265"/>
    <cellStyle name="SAPBEXstdData 2 9 2 4" xfId="20091"/>
    <cellStyle name="SAPBEXstdData 2 9 2 4 2" xfId="20092"/>
    <cellStyle name="SAPBEXstdData 2 9 2 4 3" xfId="34266"/>
    <cellStyle name="SAPBEXstdData 2 9 2 4 4" xfId="34267"/>
    <cellStyle name="SAPBEXstdData 2 9 2 5" xfId="20093"/>
    <cellStyle name="SAPBEXstdData 2 9 2 5 2" xfId="20094"/>
    <cellStyle name="SAPBEXstdData 2 9 2 5 3" xfId="34268"/>
    <cellStyle name="SAPBEXstdData 2 9 2 5 4" xfId="34269"/>
    <cellStyle name="SAPBEXstdData 2 9 2 6" xfId="20095"/>
    <cellStyle name="SAPBEXstdData 2 9 2 6 2" xfId="20096"/>
    <cellStyle name="SAPBEXstdData 2 9 2 6 3" xfId="34270"/>
    <cellStyle name="SAPBEXstdData 2 9 2 6 4" xfId="34271"/>
    <cellStyle name="SAPBEXstdData 2 9 2 7" xfId="20097"/>
    <cellStyle name="SAPBEXstdData 2 9 2 7 2" xfId="20098"/>
    <cellStyle name="SAPBEXstdData 2 9 2 7 3" xfId="34272"/>
    <cellStyle name="SAPBEXstdData 2 9 2 7 4" xfId="34273"/>
    <cellStyle name="SAPBEXstdData 2 9 2 8" xfId="20099"/>
    <cellStyle name="SAPBEXstdData 2 9 2 9" xfId="34274"/>
    <cellStyle name="SAPBEXstdData 2 9 3" xfId="20100"/>
    <cellStyle name="SAPBEXstdData 2 9 3 10" xfId="34275"/>
    <cellStyle name="SAPBEXstdData 2 9 3 2" xfId="20101"/>
    <cellStyle name="SAPBEXstdData 2 9 3 2 2" xfId="20102"/>
    <cellStyle name="SAPBEXstdData 2 9 3 2 3" xfId="34276"/>
    <cellStyle name="SAPBEXstdData 2 9 3 2 4" xfId="34277"/>
    <cellStyle name="SAPBEXstdData 2 9 3 3" xfId="20103"/>
    <cellStyle name="SAPBEXstdData 2 9 3 3 2" xfId="20104"/>
    <cellStyle name="SAPBEXstdData 2 9 3 3 3" xfId="34278"/>
    <cellStyle name="SAPBEXstdData 2 9 3 3 4" xfId="34279"/>
    <cellStyle name="SAPBEXstdData 2 9 3 4" xfId="20105"/>
    <cellStyle name="SAPBEXstdData 2 9 3 4 2" xfId="20106"/>
    <cellStyle name="SAPBEXstdData 2 9 3 4 3" xfId="34280"/>
    <cellStyle name="SAPBEXstdData 2 9 3 4 4" xfId="34281"/>
    <cellStyle name="SAPBEXstdData 2 9 3 5" xfId="20107"/>
    <cellStyle name="SAPBEXstdData 2 9 3 5 2" xfId="20108"/>
    <cellStyle name="SAPBEXstdData 2 9 3 5 3" xfId="34282"/>
    <cellStyle name="SAPBEXstdData 2 9 3 5 4" xfId="34283"/>
    <cellStyle name="SAPBEXstdData 2 9 3 6" xfId="20109"/>
    <cellStyle name="SAPBEXstdData 2 9 3 6 2" xfId="20110"/>
    <cellStyle name="SAPBEXstdData 2 9 3 6 3" xfId="34284"/>
    <cellStyle name="SAPBEXstdData 2 9 3 6 4" xfId="34285"/>
    <cellStyle name="SAPBEXstdData 2 9 3 7" xfId="20111"/>
    <cellStyle name="SAPBEXstdData 2 9 3 7 2" xfId="20112"/>
    <cellStyle name="SAPBEXstdData 2 9 3 7 3" xfId="34286"/>
    <cellStyle name="SAPBEXstdData 2 9 3 7 4" xfId="34287"/>
    <cellStyle name="SAPBEXstdData 2 9 3 8" xfId="20113"/>
    <cellStyle name="SAPBEXstdData 2 9 3 9" xfId="34288"/>
    <cellStyle name="SAPBEXstdData 2 9 4" xfId="20114"/>
    <cellStyle name="SAPBEXstdData 2 9 4 10" xfId="34289"/>
    <cellStyle name="SAPBEXstdData 2 9 4 2" xfId="20115"/>
    <cellStyle name="SAPBEXstdData 2 9 4 2 2" xfId="20116"/>
    <cellStyle name="SAPBEXstdData 2 9 4 2 3" xfId="34290"/>
    <cellStyle name="SAPBEXstdData 2 9 4 2 4" xfId="34291"/>
    <cellStyle name="SAPBEXstdData 2 9 4 3" xfId="20117"/>
    <cellStyle name="SAPBEXstdData 2 9 4 3 2" xfId="20118"/>
    <cellStyle name="SAPBEXstdData 2 9 4 3 3" xfId="34292"/>
    <cellStyle name="SAPBEXstdData 2 9 4 3 4" xfId="34293"/>
    <cellStyle name="SAPBEXstdData 2 9 4 4" xfId="20119"/>
    <cellStyle name="SAPBEXstdData 2 9 4 4 2" xfId="20120"/>
    <cellStyle name="SAPBEXstdData 2 9 4 4 3" xfId="34294"/>
    <cellStyle name="SAPBEXstdData 2 9 4 4 4" xfId="34295"/>
    <cellStyle name="SAPBEXstdData 2 9 4 5" xfId="20121"/>
    <cellStyle name="SAPBEXstdData 2 9 4 5 2" xfId="20122"/>
    <cellStyle name="SAPBEXstdData 2 9 4 5 3" xfId="34296"/>
    <cellStyle name="SAPBEXstdData 2 9 4 5 4" xfId="34297"/>
    <cellStyle name="SAPBEXstdData 2 9 4 6" xfId="20123"/>
    <cellStyle name="SAPBEXstdData 2 9 4 6 2" xfId="20124"/>
    <cellStyle name="SAPBEXstdData 2 9 4 6 3" xfId="34298"/>
    <cellStyle name="SAPBEXstdData 2 9 4 6 4" xfId="34299"/>
    <cellStyle name="SAPBEXstdData 2 9 4 7" xfId="20125"/>
    <cellStyle name="SAPBEXstdData 2 9 4 7 2" xfId="20126"/>
    <cellStyle name="SAPBEXstdData 2 9 4 7 3" xfId="34300"/>
    <cellStyle name="SAPBEXstdData 2 9 4 7 4" xfId="34301"/>
    <cellStyle name="SAPBEXstdData 2 9 4 8" xfId="20127"/>
    <cellStyle name="SAPBEXstdData 2 9 4 9" xfId="34302"/>
    <cellStyle name="SAPBEXstdData 2 9 5" xfId="20128"/>
    <cellStyle name="SAPBEXstdData 2 9 5 10" xfId="34303"/>
    <cellStyle name="SAPBEXstdData 2 9 5 2" xfId="20129"/>
    <cellStyle name="SAPBEXstdData 2 9 5 2 2" xfId="20130"/>
    <cellStyle name="SAPBEXstdData 2 9 5 2 3" xfId="34304"/>
    <cellStyle name="SAPBEXstdData 2 9 5 2 4" xfId="34305"/>
    <cellStyle name="SAPBEXstdData 2 9 5 3" xfId="20131"/>
    <cellStyle name="SAPBEXstdData 2 9 5 3 2" xfId="20132"/>
    <cellStyle name="SAPBEXstdData 2 9 5 3 3" xfId="34306"/>
    <cellStyle name="SAPBEXstdData 2 9 5 3 4" xfId="34307"/>
    <cellStyle name="SAPBEXstdData 2 9 5 4" xfId="20133"/>
    <cellStyle name="SAPBEXstdData 2 9 5 4 2" xfId="20134"/>
    <cellStyle name="SAPBEXstdData 2 9 5 4 3" xfId="34308"/>
    <cellStyle name="SAPBEXstdData 2 9 5 4 4" xfId="34309"/>
    <cellStyle name="SAPBEXstdData 2 9 5 5" xfId="20135"/>
    <cellStyle name="SAPBEXstdData 2 9 5 5 2" xfId="20136"/>
    <cellStyle name="SAPBEXstdData 2 9 5 5 3" xfId="34310"/>
    <cellStyle name="SAPBEXstdData 2 9 5 5 4" xfId="34311"/>
    <cellStyle name="SAPBEXstdData 2 9 5 6" xfId="20137"/>
    <cellStyle name="SAPBEXstdData 2 9 5 6 2" xfId="20138"/>
    <cellStyle name="SAPBEXstdData 2 9 5 6 3" xfId="34312"/>
    <cellStyle name="SAPBEXstdData 2 9 5 6 4" xfId="34313"/>
    <cellStyle name="SAPBEXstdData 2 9 5 7" xfId="20139"/>
    <cellStyle name="SAPBEXstdData 2 9 5 7 2" xfId="20140"/>
    <cellStyle name="SAPBEXstdData 2 9 5 7 3" xfId="34314"/>
    <cellStyle name="SAPBEXstdData 2 9 5 7 4" xfId="34315"/>
    <cellStyle name="SAPBEXstdData 2 9 5 8" xfId="20141"/>
    <cellStyle name="SAPBEXstdData 2 9 5 9" xfId="34316"/>
    <cellStyle name="SAPBEXstdData 2 9 6" xfId="20142"/>
    <cellStyle name="SAPBEXstdData 2 9 6 2" xfId="20143"/>
    <cellStyle name="SAPBEXstdData 2 9 6 3" xfId="34317"/>
    <cellStyle name="SAPBEXstdData 2 9 6 4" xfId="34318"/>
    <cellStyle name="SAPBEXstdData 2 9 7" xfId="20144"/>
    <cellStyle name="SAPBEXstdData 2 9 7 2" xfId="20145"/>
    <cellStyle name="SAPBEXstdData 2 9 7 3" xfId="34319"/>
    <cellStyle name="SAPBEXstdData 2 9 7 4" xfId="34320"/>
    <cellStyle name="SAPBEXstdData 2 9 8" xfId="20146"/>
    <cellStyle name="SAPBEXstdData 2 9 8 2" xfId="20147"/>
    <cellStyle name="SAPBEXstdData 2 9 8 3" xfId="34321"/>
    <cellStyle name="SAPBEXstdData 2 9 8 4" xfId="34322"/>
    <cellStyle name="SAPBEXstdData 2 9 9" xfId="20148"/>
    <cellStyle name="SAPBEXstdData 2 9 9 2" xfId="20149"/>
    <cellStyle name="SAPBEXstdData 2 9 9 3" xfId="34323"/>
    <cellStyle name="SAPBEXstdData 2 9 9 4" xfId="34324"/>
    <cellStyle name="SAPBEXstdData 3" xfId="20150"/>
    <cellStyle name="SAPBEXstdData 4" xfId="34325"/>
    <cellStyle name="SAPBEXstdDataEmph" xfId="20151"/>
    <cellStyle name="SAPBEXstdDataEmph 2" xfId="20152"/>
    <cellStyle name="SAPBEXstdDataEmph 2 10" xfId="20153"/>
    <cellStyle name="SAPBEXstdDataEmph 2 10 10" xfId="20154"/>
    <cellStyle name="SAPBEXstdDataEmph 2 10 10 2" xfId="20155"/>
    <cellStyle name="SAPBEXstdDataEmph 2 10 10 3" xfId="34326"/>
    <cellStyle name="SAPBEXstdDataEmph 2 10 10 4" xfId="34327"/>
    <cellStyle name="SAPBEXstdDataEmph 2 10 11" xfId="20156"/>
    <cellStyle name="SAPBEXstdDataEmph 2 10 11 2" xfId="20157"/>
    <cellStyle name="SAPBEXstdDataEmph 2 10 11 3" xfId="34328"/>
    <cellStyle name="SAPBEXstdDataEmph 2 10 11 4" xfId="34329"/>
    <cellStyle name="SAPBEXstdDataEmph 2 10 12" xfId="20158"/>
    <cellStyle name="SAPBEXstdDataEmph 2 10 13" xfId="34330"/>
    <cellStyle name="SAPBEXstdDataEmph 2 10 14" xfId="34331"/>
    <cellStyle name="SAPBEXstdDataEmph 2 10 2" xfId="20159"/>
    <cellStyle name="SAPBEXstdDataEmph 2 10 2 10" xfId="34332"/>
    <cellStyle name="SAPBEXstdDataEmph 2 10 2 2" xfId="20160"/>
    <cellStyle name="SAPBEXstdDataEmph 2 10 2 2 2" xfId="20161"/>
    <cellStyle name="SAPBEXstdDataEmph 2 10 2 2 3" xfId="34333"/>
    <cellStyle name="SAPBEXstdDataEmph 2 10 2 2 4" xfId="34334"/>
    <cellStyle name="SAPBEXstdDataEmph 2 10 2 3" xfId="20162"/>
    <cellStyle name="SAPBEXstdDataEmph 2 10 2 3 2" xfId="20163"/>
    <cellStyle name="SAPBEXstdDataEmph 2 10 2 3 3" xfId="34335"/>
    <cellStyle name="SAPBEXstdDataEmph 2 10 2 3 4" xfId="34336"/>
    <cellStyle name="SAPBEXstdDataEmph 2 10 2 4" xfId="20164"/>
    <cellStyle name="SAPBEXstdDataEmph 2 10 2 4 2" xfId="20165"/>
    <cellStyle name="SAPBEXstdDataEmph 2 10 2 4 3" xfId="34337"/>
    <cellStyle name="SAPBEXstdDataEmph 2 10 2 4 4" xfId="34338"/>
    <cellStyle name="SAPBEXstdDataEmph 2 10 2 5" xfId="20166"/>
    <cellStyle name="SAPBEXstdDataEmph 2 10 2 5 2" xfId="20167"/>
    <cellStyle name="SAPBEXstdDataEmph 2 10 2 5 3" xfId="34339"/>
    <cellStyle name="SAPBEXstdDataEmph 2 10 2 5 4" xfId="34340"/>
    <cellStyle name="SAPBEXstdDataEmph 2 10 2 6" xfId="20168"/>
    <cellStyle name="SAPBEXstdDataEmph 2 10 2 6 2" xfId="20169"/>
    <cellStyle name="SAPBEXstdDataEmph 2 10 2 6 3" xfId="34341"/>
    <cellStyle name="SAPBEXstdDataEmph 2 10 2 6 4" xfId="34342"/>
    <cellStyle name="SAPBEXstdDataEmph 2 10 2 7" xfId="20170"/>
    <cellStyle name="SAPBEXstdDataEmph 2 10 2 7 2" xfId="20171"/>
    <cellStyle name="SAPBEXstdDataEmph 2 10 2 7 3" xfId="34343"/>
    <cellStyle name="SAPBEXstdDataEmph 2 10 2 7 4" xfId="34344"/>
    <cellStyle name="SAPBEXstdDataEmph 2 10 2 8" xfId="20172"/>
    <cellStyle name="SAPBEXstdDataEmph 2 10 2 9" xfId="34345"/>
    <cellStyle name="SAPBEXstdDataEmph 2 10 3" xfId="20173"/>
    <cellStyle name="SAPBEXstdDataEmph 2 10 3 10" xfId="34346"/>
    <cellStyle name="SAPBEXstdDataEmph 2 10 3 2" xfId="20174"/>
    <cellStyle name="SAPBEXstdDataEmph 2 10 3 2 2" xfId="20175"/>
    <cellStyle name="SAPBEXstdDataEmph 2 10 3 2 3" xfId="34347"/>
    <cellStyle name="SAPBEXstdDataEmph 2 10 3 2 4" xfId="34348"/>
    <cellStyle name="SAPBEXstdDataEmph 2 10 3 3" xfId="20176"/>
    <cellStyle name="SAPBEXstdDataEmph 2 10 3 3 2" xfId="20177"/>
    <cellStyle name="SAPBEXstdDataEmph 2 10 3 3 3" xfId="34349"/>
    <cellStyle name="SAPBEXstdDataEmph 2 10 3 3 4" xfId="34350"/>
    <cellStyle name="SAPBEXstdDataEmph 2 10 3 4" xfId="20178"/>
    <cellStyle name="SAPBEXstdDataEmph 2 10 3 4 2" xfId="20179"/>
    <cellStyle name="SAPBEXstdDataEmph 2 10 3 4 3" xfId="34351"/>
    <cellStyle name="SAPBEXstdDataEmph 2 10 3 4 4" xfId="34352"/>
    <cellStyle name="SAPBEXstdDataEmph 2 10 3 5" xfId="20180"/>
    <cellStyle name="SAPBEXstdDataEmph 2 10 3 5 2" xfId="20181"/>
    <cellStyle name="SAPBEXstdDataEmph 2 10 3 5 3" xfId="34353"/>
    <cellStyle name="SAPBEXstdDataEmph 2 10 3 5 4" xfId="34354"/>
    <cellStyle name="SAPBEXstdDataEmph 2 10 3 6" xfId="20182"/>
    <cellStyle name="SAPBEXstdDataEmph 2 10 3 6 2" xfId="20183"/>
    <cellStyle name="SAPBEXstdDataEmph 2 10 3 6 3" xfId="34355"/>
    <cellStyle name="SAPBEXstdDataEmph 2 10 3 6 4" xfId="34356"/>
    <cellStyle name="SAPBEXstdDataEmph 2 10 3 7" xfId="20184"/>
    <cellStyle name="SAPBEXstdDataEmph 2 10 3 7 2" xfId="20185"/>
    <cellStyle name="SAPBEXstdDataEmph 2 10 3 7 3" xfId="34357"/>
    <cellStyle name="SAPBEXstdDataEmph 2 10 3 7 4" xfId="34358"/>
    <cellStyle name="SAPBEXstdDataEmph 2 10 3 8" xfId="20186"/>
    <cellStyle name="SAPBEXstdDataEmph 2 10 3 9" xfId="34359"/>
    <cellStyle name="SAPBEXstdDataEmph 2 10 4" xfId="20187"/>
    <cellStyle name="SAPBEXstdDataEmph 2 10 4 10" xfId="34360"/>
    <cellStyle name="SAPBEXstdDataEmph 2 10 4 2" xfId="20188"/>
    <cellStyle name="SAPBEXstdDataEmph 2 10 4 2 2" xfId="20189"/>
    <cellStyle name="SAPBEXstdDataEmph 2 10 4 2 3" xfId="34361"/>
    <cellStyle name="SAPBEXstdDataEmph 2 10 4 2 4" xfId="34362"/>
    <cellStyle name="SAPBEXstdDataEmph 2 10 4 3" xfId="20190"/>
    <cellStyle name="SAPBEXstdDataEmph 2 10 4 3 2" xfId="20191"/>
    <cellStyle name="SAPBEXstdDataEmph 2 10 4 3 3" xfId="34363"/>
    <cellStyle name="SAPBEXstdDataEmph 2 10 4 3 4" xfId="34364"/>
    <cellStyle name="SAPBEXstdDataEmph 2 10 4 4" xfId="20192"/>
    <cellStyle name="SAPBEXstdDataEmph 2 10 4 4 2" xfId="20193"/>
    <cellStyle name="SAPBEXstdDataEmph 2 10 4 4 3" xfId="34365"/>
    <cellStyle name="SAPBEXstdDataEmph 2 10 4 4 4" xfId="34366"/>
    <cellStyle name="SAPBEXstdDataEmph 2 10 4 5" xfId="20194"/>
    <cellStyle name="SAPBEXstdDataEmph 2 10 4 5 2" xfId="20195"/>
    <cellStyle name="SAPBEXstdDataEmph 2 10 4 5 3" xfId="34367"/>
    <cellStyle name="SAPBEXstdDataEmph 2 10 4 5 4" xfId="34368"/>
    <cellStyle name="SAPBEXstdDataEmph 2 10 4 6" xfId="20196"/>
    <cellStyle name="SAPBEXstdDataEmph 2 10 4 6 2" xfId="20197"/>
    <cellStyle name="SAPBEXstdDataEmph 2 10 4 6 3" xfId="34369"/>
    <cellStyle name="SAPBEXstdDataEmph 2 10 4 6 4" xfId="34370"/>
    <cellStyle name="SAPBEXstdDataEmph 2 10 4 7" xfId="20198"/>
    <cellStyle name="SAPBEXstdDataEmph 2 10 4 7 2" xfId="20199"/>
    <cellStyle name="SAPBEXstdDataEmph 2 10 4 7 3" xfId="34371"/>
    <cellStyle name="SAPBEXstdDataEmph 2 10 4 7 4" xfId="34372"/>
    <cellStyle name="SAPBEXstdDataEmph 2 10 4 8" xfId="20200"/>
    <cellStyle name="SAPBEXstdDataEmph 2 10 4 9" xfId="34373"/>
    <cellStyle name="SAPBEXstdDataEmph 2 10 5" xfId="20201"/>
    <cellStyle name="SAPBEXstdDataEmph 2 10 5 10" xfId="34374"/>
    <cellStyle name="SAPBEXstdDataEmph 2 10 5 2" xfId="20202"/>
    <cellStyle name="SAPBEXstdDataEmph 2 10 5 2 2" xfId="20203"/>
    <cellStyle name="SAPBEXstdDataEmph 2 10 5 2 3" xfId="34375"/>
    <cellStyle name="SAPBEXstdDataEmph 2 10 5 2 4" xfId="34376"/>
    <cellStyle name="SAPBEXstdDataEmph 2 10 5 3" xfId="20204"/>
    <cellStyle name="SAPBEXstdDataEmph 2 10 5 3 2" xfId="20205"/>
    <cellStyle name="SAPBEXstdDataEmph 2 10 5 3 3" xfId="34377"/>
    <cellStyle name="SAPBEXstdDataEmph 2 10 5 3 4" xfId="34378"/>
    <cellStyle name="SAPBEXstdDataEmph 2 10 5 4" xfId="20206"/>
    <cellStyle name="SAPBEXstdDataEmph 2 10 5 4 2" xfId="20207"/>
    <cellStyle name="SAPBEXstdDataEmph 2 10 5 4 3" xfId="34379"/>
    <cellStyle name="SAPBEXstdDataEmph 2 10 5 4 4" xfId="34380"/>
    <cellStyle name="SAPBEXstdDataEmph 2 10 5 5" xfId="20208"/>
    <cellStyle name="SAPBEXstdDataEmph 2 10 5 5 2" xfId="20209"/>
    <cellStyle name="SAPBEXstdDataEmph 2 10 5 5 3" xfId="34381"/>
    <cellStyle name="SAPBEXstdDataEmph 2 10 5 5 4" xfId="34382"/>
    <cellStyle name="SAPBEXstdDataEmph 2 10 5 6" xfId="20210"/>
    <cellStyle name="SAPBEXstdDataEmph 2 10 5 6 2" xfId="20211"/>
    <cellStyle name="SAPBEXstdDataEmph 2 10 5 6 3" xfId="34383"/>
    <cellStyle name="SAPBEXstdDataEmph 2 10 5 6 4" xfId="34384"/>
    <cellStyle name="SAPBEXstdDataEmph 2 10 5 7" xfId="20212"/>
    <cellStyle name="SAPBEXstdDataEmph 2 10 5 7 2" xfId="20213"/>
    <cellStyle name="SAPBEXstdDataEmph 2 10 5 7 3" xfId="34385"/>
    <cellStyle name="SAPBEXstdDataEmph 2 10 5 7 4" xfId="34386"/>
    <cellStyle name="SAPBEXstdDataEmph 2 10 5 8" xfId="20214"/>
    <cellStyle name="SAPBEXstdDataEmph 2 10 5 9" xfId="34387"/>
    <cellStyle name="SAPBEXstdDataEmph 2 10 6" xfId="20215"/>
    <cellStyle name="SAPBEXstdDataEmph 2 10 6 2" xfId="20216"/>
    <cellStyle name="SAPBEXstdDataEmph 2 10 6 3" xfId="34388"/>
    <cellStyle name="SAPBEXstdDataEmph 2 10 6 4" xfId="34389"/>
    <cellStyle name="SAPBEXstdDataEmph 2 10 7" xfId="20217"/>
    <cellStyle name="SAPBEXstdDataEmph 2 10 7 2" xfId="20218"/>
    <cellStyle name="SAPBEXstdDataEmph 2 10 7 3" xfId="34390"/>
    <cellStyle name="SAPBEXstdDataEmph 2 10 7 4" xfId="34391"/>
    <cellStyle name="SAPBEXstdDataEmph 2 10 8" xfId="20219"/>
    <cellStyle name="SAPBEXstdDataEmph 2 10 8 2" xfId="20220"/>
    <cellStyle name="SAPBEXstdDataEmph 2 10 8 3" xfId="34392"/>
    <cellStyle name="SAPBEXstdDataEmph 2 10 8 4" xfId="34393"/>
    <cellStyle name="SAPBEXstdDataEmph 2 10 9" xfId="20221"/>
    <cellStyle name="SAPBEXstdDataEmph 2 10 9 2" xfId="20222"/>
    <cellStyle name="SAPBEXstdDataEmph 2 10 9 3" xfId="34394"/>
    <cellStyle name="SAPBEXstdDataEmph 2 10 9 4" xfId="34395"/>
    <cellStyle name="SAPBEXstdDataEmph 2 11" xfId="20223"/>
    <cellStyle name="SAPBEXstdDataEmph 2 11 10" xfId="20224"/>
    <cellStyle name="SAPBEXstdDataEmph 2 11 10 2" xfId="20225"/>
    <cellStyle name="SAPBEXstdDataEmph 2 11 10 3" xfId="34396"/>
    <cellStyle name="SAPBEXstdDataEmph 2 11 10 4" xfId="34397"/>
    <cellStyle name="SAPBEXstdDataEmph 2 11 11" xfId="20226"/>
    <cellStyle name="SAPBEXstdDataEmph 2 11 11 2" xfId="20227"/>
    <cellStyle name="SAPBEXstdDataEmph 2 11 11 3" xfId="34398"/>
    <cellStyle name="SAPBEXstdDataEmph 2 11 11 4" xfId="34399"/>
    <cellStyle name="SAPBEXstdDataEmph 2 11 12" xfId="20228"/>
    <cellStyle name="SAPBEXstdDataEmph 2 11 13" xfId="34400"/>
    <cellStyle name="SAPBEXstdDataEmph 2 11 14" xfId="34401"/>
    <cellStyle name="SAPBEXstdDataEmph 2 11 2" xfId="20229"/>
    <cellStyle name="SAPBEXstdDataEmph 2 11 2 10" xfId="34402"/>
    <cellStyle name="SAPBEXstdDataEmph 2 11 2 2" xfId="20230"/>
    <cellStyle name="SAPBEXstdDataEmph 2 11 2 2 2" xfId="20231"/>
    <cellStyle name="SAPBEXstdDataEmph 2 11 2 2 3" xfId="34403"/>
    <cellStyle name="SAPBEXstdDataEmph 2 11 2 2 4" xfId="34404"/>
    <cellStyle name="SAPBEXstdDataEmph 2 11 2 3" xfId="20232"/>
    <cellStyle name="SAPBEXstdDataEmph 2 11 2 3 2" xfId="20233"/>
    <cellStyle name="SAPBEXstdDataEmph 2 11 2 3 3" xfId="34405"/>
    <cellStyle name="SAPBEXstdDataEmph 2 11 2 3 4" xfId="34406"/>
    <cellStyle name="SAPBEXstdDataEmph 2 11 2 4" xfId="20234"/>
    <cellStyle name="SAPBEXstdDataEmph 2 11 2 4 2" xfId="20235"/>
    <cellStyle name="SAPBEXstdDataEmph 2 11 2 4 3" xfId="34407"/>
    <cellStyle name="SAPBEXstdDataEmph 2 11 2 4 4" xfId="34408"/>
    <cellStyle name="SAPBEXstdDataEmph 2 11 2 5" xfId="20236"/>
    <cellStyle name="SAPBEXstdDataEmph 2 11 2 5 2" xfId="20237"/>
    <cellStyle name="SAPBEXstdDataEmph 2 11 2 5 3" xfId="34409"/>
    <cellStyle name="SAPBEXstdDataEmph 2 11 2 5 4" xfId="34410"/>
    <cellStyle name="SAPBEXstdDataEmph 2 11 2 6" xfId="20238"/>
    <cellStyle name="SAPBEXstdDataEmph 2 11 2 6 2" xfId="20239"/>
    <cellStyle name="SAPBEXstdDataEmph 2 11 2 6 3" xfId="34411"/>
    <cellStyle name="SAPBEXstdDataEmph 2 11 2 6 4" xfId="34412"/>
    <cellStyle name="SAPBEXstdDataEmph 2 11 2 7" xfId="20240"/>
    <cellStyle name="SAPBEXstdDataEmph 2 11 2 7 2" xfId="20241"/>
    <cellStyle name="SAPBEXstdDataEmph 2 11 2 7 3" xfId="34413"/>
    <cellStyle name="SAPBEXstdDataEmph 2 11 2 7 4" xfId="34414"/>
    <cellStyle name="SAPBEXstdDataEmph 2 11 2 8" xfId="20242"/>
    <cellStyle name="SAPBEXstdDataEmph 2 11 2 9" xfId="34415"/>
    <cellStyle name="SAPBEXstdDataEmph 2 11 3" xfId="20243"/>
    <cellStyle name="SAPBEXstdDataEmph 2 11 3 10" xfId="34416"/>
    <cellStyle name="SAPBEXstdDataEmph 2 11 3 2" xfId="20244"/>
    <cellStyle name="SAPBEXstdDataEmph 2 11 3 2 2" xfId="20245"/>
    <cellStyle name="SAPBEXstdDataEmph 2 11 3 2 3" xfId="34417"/>
    <cellStyle name="SAPBEXstdDataEmph 2 11 3 2 4" xfId="34418"/>
    <cellStyle name="SAPBEXstdDataEmph 2 11 3 3" xfId="20246"/>
    <cellStyle name="SAPBEXstdDataEmph 2 11 3 3 2" xfId="20247"/>
    <cellStyle name="SAPBEXstdDataEmph 2 11 3 3 3" xfId="34419"/>
    <cellStyle name="SAPBEXstdDataEmph 2 11 3 3 4" xfId="34420"/>
    <cellStyle name="SAPBEXstdDataEmph 2 11 3 4" xfId="20248"/>
    <cellStyle name="SAPBEXstdDataEmph 2 11 3 4 2" xfId="20249"/>
    <cellStyle name="SAPBEXstdDataEmph 2 11 3 4 3" xfId="34421"/>
    <cellStyle name="SAPBEXstdDataEmph 2 11 3 4 4" xfId="34422"/>
    <cellStyle name="SAPBEXstdDataEmph 2 11 3 5" xfId="20250"/>
    <cellStyle name="SAPBEXstdDataEmph 2 11 3 5 2" xfId="20251"/>
    <cellStyle name="SAPBEXstdDataEmph 2 11 3 5 3" xfId="34423"/>
    <cellStyle name="SAPBEXstdDataEmph 2 11 3 5 4" xfId="34424"/>
    <cellStyle name="SAPBEXstdDataEmph 2 11 3 6" xfId="20252"/>
    <cellStyle name="SAPBEXstdDataEmph 2 11 3 6 2" xfId="20253"/>
    <cellStyle name="SAPBEXstdDataEmph 2 11 3 6 3" xfId="34425"/>
    <cellStyle name="SAPBEXstdDataEmph 2 11 3 6 4" xfId="34426"/>
    <cellStyle name="SAPBEXstdDataEmph 2 11 3 7" xfId="20254"/>
    <cellStyle name="SAPBEXstdDataEmph 2 11 3 7 2" xfId="20255"/>
    <cellStyle name="SAPBEXstdDataEmph 2 11 3 7 3" xfId="34427"/>
    <cellStyle name="SAPBEXstdDataEmph 2 11 3 7 4" xfId="34428"/>
    <cellStyle name="SAPBEXstdDataEmph 2 11 3 8" xfId="20256"/>
    <cellStyle name="SAPBEXstdDataEmph 2 11 3 9" xfId="34429"/>
    <cellStyle name="SAPBEXstdDataEmph 2 11 4" xfId="20257"/>
    <cellStyle name="SAPBEXstdDataEmph 2 11 4 10" xfId="34430"/>
    <cellStyle name="SAPBEXstdDataEmph 2 11 4 2" xfId="20258"/>
    <cellStyle name="SAPBEXstdDataEmph 2 11 4 2 2" xfId="20259"/>
    <cellStyle name="SAPBEXstdDataEmph 2 11 4 2 3" xfId="34431"/>
    <cellStyle name="SAPBEXstdDataEmph 2 11 4 2 4" xfId="34432"/>
    <cellStyle name="SAPBEXstdDataEmph 2 11 4 3" xfId="20260"/>
    <cellStyle name="SAPBEXstdDataEmph 2 11 4 3 2" xfId="20261"/>
    <cellStyle name="SAPBEXstdDataEmph 2 11 4 3 3" xfId="34433"/>
    <cellStyle name="SAPBEXstdDataEmph 2 11 4 3 4" xfId="34434"/>
    <cellStyle name="SAPBEXstdDataEmph 2 11 4 4" xfId="20262"/>
    <cellStyle name="SAPBEXstdDataEmph 2 11 4 4 2" xfId="20263"/>
    <cellStyle name="SAPBEXstdDataEmph 2 11 4 4 3" xfId="34435"/>
    <cellStyle name="SAPBEXstdDataEmph 2 11 4 4 4" xfId="34436"/>
    <cellStyle name="SAPBEXstdDataEmph 2 11 4 5" xfId="20264"/>
    <cellStyle name="SAPBEXstdDataEmph 2 11 4 5 2" xfId="20265"/>
    <cellStyle name="SAPBEXstdDataEmph 2 11 4 5 3" xfId="34437"/>
    <cellStyle name="SAPBEXstdDataEmph 2 11 4 5 4" xfId="34438"/>
    <cellStyle name="SAPBEXstdDataEmph 2 11 4 6" xfId="20266"/>
    <cellStyle name="SAPBEXstdDataEmph 2 11 4 6 2" xfId="20267"/>
    <cellStyle name="SAPBEXstdDataEmph 2 11 4 6 3" xfId="34439"/>
    <cellStyle name="SAPBEXstdDataEmph 2 11 4 6 4" xfId="34440"/>
    <cellStyle name="SAPBEXstdDataEmph 2 11 4 7" xfId="20268"/>
    <cellStyle name="SAPBEXstdDataEmph 2 11 4 7 2" xfId="20269"/>
    <cellStyle name="SAPBEXstdDataEmph 2 11 4 7 3" xfId="34441"/>
    <cellStyle name="SAPBEXstdDataEmph 2 11 4 7 4" xfId="34442"/>
    <cellStyle name="SAPBEXstdDataEmph 2 11 4 8" xfId="20270"/>
    <cellStyle name="SAPBEXstdDataEmph 2 11 4 9" xfId="34443"/>
    <cellStyle name="SAPBEXstdDataEmph 2 11 5" xfId="20271"/>
    <cellStyle name="SAPBEXstdDataEmph 2 11 5 10" xfId="34444"/>
    <cellStyle name="SAPBEXstdDataEmph 2 11 5 2" xfId="20272"/>
    <cellStyle name="SAPBEXstdDataEmph 2 11 5 2 2" xfId="20273"/>
    <cellStyle name="SAPBEXstdDataEmph 2 11 5 2 3" xfId="34445"/>
    <cellStyle name="SAPBEXstdDataEmph 2 11 5 2 4" xfId="34446"/>
    <cellStyle name="SAPBEXstdDataEmph 2 11 5 3" xfId="20274"/>
    <cellStyle name="SAPBEXstdDataEmph 2 11 5 3 2" xfId="20275"/>
    <cellStyle name="SAPBEXstdDataEmph 2 11 5 3 3" xfId="34447"/>
    <cellStyle name="SAPBEXstdDataEmph 2 11 5 3 4" xfId="34448"/>
    <cellStyle name="SAPBEXstdDataEmph 2 11 5 4" xfId="20276"/>
    <cellStyle name="SAPBEXstdDataEmph 2 11 5 4 2" xfId="20277"/>
    <cellStyle name="SAPBEXstdDataEmph 2 11 5 4 3" xfId="34449"/>
    <cellStyle name="SAPBEXstdDataEmph 2 11 5 4 4" xfId="34450"/>
    <cellStyle name="SAPBEXstdDataEmph 2 11 5 5" xfId="20278"/>
    <cellStyle name="SAPBEXstdDataEmph 2 11 5 5 2" xfId="20279"/>
    <cellStyle name="SAPBEXstdDataEmph 2 11 5 5 3" xfId="34451"/>
    <cellStyle name="SAPBEXstdDataEmph 2 11 5 5 4" xfId="34452"/>
    <cellStyle name="SAPBEXstdDataEmph 2 11 5 6" xfId="20280"/>
    <cellStyle name="SAPBEXstdDataEmph 2 11 5 6 2" xfId="20281"/>
    <cellStyle name="SAPBEXstdDataEmph 2 11 5 6 3" xfId="34453"/>
    <cellStyle name="SAPBEXstdDataEmph 2 11 5 6 4" xfId="34454"/>
    <cellStyle name="SAPBEXstdDataEmph 2 11 5 7" xfId="20282"/>
    <cellStyle name="SAPBEXstdDataEmph 2 11 5 7 2" xfId="20283"/>
    <cellStyle name="SAPBEXstdDataEmph 2 11 5 7 3" xfId="34455"/>
    <cellStyle name="SAPBEXstdDataEmph 2 11 5 7 4" xfId="34456"/>
    <cellStyle name="SAPBEXstdDataEmph 2 11 5 8" xfId="20284"/>
    <cellStyle name="SAPBEXstdDataEmph 2 11 5 9" xfId="34457"/>
    <cellStyle name="SAPBEXstdDataEmph 2 11 6" xfId="20285"/>
    <cellStyle name="SAPBEXstdDataEmph 2 11 6 2" xfId="20286"/>
    <cellStyle name="SAPBEXstdDataEmph 2 11 6 3" xfId="34458"/>
    <cellStyle name="SAPBEXstdDataEmph 2 11 6 4" xfId="34459"/>
    <cellStyle name="SAPBEXstdDataEmph 2 11 7" xfId="20287"/>
    <cellStyle name="SAPBEXstdDataEmph 2 11 7 2" xfId="20288"/>
    <cellStyle name="SAPBEXstdDataEmph 2 11 7 3" xfId="34460"/>
    <cellStyle name="SAPBEXstdDataEmph 2 11 7 4" xfId="34461"/>
    <cellStyle name="SAPBEXstdDataEmph 2 11 8" xfId="20289"/>
    <cellStyle name="SAPBEXstdDataEmph 2 11 8 2" xfId="20290"/>
    <cellStyle name="SAPBEXstdDataEmph 2 11 8 3" xfId="34462"/>
    <cellStyle name="SAPBEXstdDataEmph 2 11 8 4" xfId="34463"/>
    <cellStyle name="SAPBEXstdDataEmph 2 11 9" xfId="20291"/>
    <cellStyle name="SAPBEXstdDataEmph 2 11 9 2" xfId="20292"/>
    <cellStyle name="SAPBEXstdDataEmph 2 11 9 3" xfId="34464"/>
    <cellStyle name="SAPBEXstdDataEmph 2 11 9 4" xfId="34465"/>
    <cellStyle name="SAPBEXstdDataEmph 2 12" xfId="20293"/>
    <cellStyle name="SAPBEXstdDataEmph 2 12 10" xfId="20294"/>
    <cellStyle name="SAPBEXstdDataEmph 2 12 10 2" xfId="20295"/>
    <cellStyle name="SAPBEXstdDataEmph 2 12 10 3" xfId="34466"/>
    <cellStyle name="SAPBEXstdDataEmph 2 12 10 4" xfId="34467"/>
    <cellStyle name="SAPBEXstdDataEmph 2 12 11" xfId="20296"/>
    <cellStyle name="SAPBEXstdDataEmph 2 12 11 2" xfId="20297"/>
    <cellStyle name="SAPBEXstdDataEmph 2 12 11 3" xfId="34468"/>
    <cellStyle name="SAPBEXstdDataEmph 2 12 11 4" xfId="34469"/>
    <cellStyle name="SAPBEXstdDataEmph 2 12 12" xfId="20298"/>
    <cellStyle name="SAPBEXstdDataEmph 2 12 13" xfId="34470"/>
    <cellStyle name="SAPBEXstdDataEmph 2 12 14" xfId="34471"/>
    <cellStyle name="SAPBEXstdDataEmph 2 12 2" xfId="20299"/>
    <cellStyle name="SAPBEXstdDataEmph 2 12 2 10" xfId="34472"/>
    <cellStyle name="SAPBEXstdDataEmph 2 12 2 2" xfId="20300"/>
    <cellStyle name="SAPBEXstdDataEmph 2 12 2 2 2" xfId="20301"/>
    <cellStyle name="SAPBEXstdDataEmph 2 12 2 2 3" xfId="34473"/>
    <cellStyle name="SAPBEXstdDataEmph 2 12 2 2 4" xfId="34474"/>
    <cellStyle name="SAPBEXstdDataEmph 2 12 2 3" xfId="20302"/>
    <cellStyle name="SAPBEXstdDataEmph 2 12 2 3 2" xfId="20303"/>
    <cellStyle name="SAPBEXstdDataEmph 2 12 2 3 3" xfId="34475"/>
    <cellStyle name="SAPBEXstdDataEmph 2 12 2 3 4" xfId="34476"/>
    <cellStyle name="SAPBEXstdDataEmph 2 12 2 4" xfId="20304"/>
    <cellStyle name="SAPBEXstdDataEmph 2 12 2 4 2" xfId="20305"/>
    <cellStyle name="SAPBEXstdDataEmph 2 12 2 4 3" xfId="34477"/>
    <cellStyle name="SAPBEXstdDataEmph 2 12 2 4 4" xfId="34478"/>
    <cellStyle name="SAPBEXstdDataEmph 2 12 2 5" xfId="20306"/>
    <cellStyle name="SAPBEXstdDataEmph 2 12 2 5 2" xfId="20307"/>
    <cellStyle name="SAPBEXstdDataEmph 2 12 2 5 3" xfId="34479"/>
    <cellStyle name="SAPBEXstdDataEmph 2 12 2 5 4" xfId="34480"/>
    <cellStyle name="SAPBEXstdDataEmph 2 12 2 6" xfId="20308"/>
    <cellStyle name="SAPBEXstdDataEmph 2 12 2 6 2" xfId="20309"/>
    <cellStyle name="SAPBEXstdDataEmph 2 12 2 6 3" xfId="34481"/>
    <cellStyle name="SAPBEXstdDataEmph 2 12 2 6 4" xfId="34482"/>
    <cellStyle name="SAPBEXstdDataEmph 2 12 2 7" xfId="20310"/>
    <cellStyle name="SAPBEXstdDataEmph 2 12 2 7 2" xfId="20311"/>
    <cellStyle name="SAPBEXstdDataEmph 2 12 2 7 3" xfId="34483"/>
    <cellStyle name="SAPBEXstdDataEmph 2 12 2 7 4" xfId="34484"/>
    <cellStyle name="SAPBEXstdDataEmph 2 12 2 8" xfId="20312"/>
    <cellStyle name="SAPBEXstdDataEmph 2 12 2 9" xfId="34485"/>
    <cellStyle name="SAPBEXstdDataEmph 2 12 3" xfId="20313"/>
    <cellStyle name="SAPBEXstdDataEmph 2 12 3 10" xfId="34486"/>
    <cellStyle name="SAPBEXstdDataEmph 2 12 3 2" xfId="20314"/>
    <cellStyle name="SAPBEXstdDataEmph 2 12 3 2 2" xfId="20315"/>
    <cellStyle name="SAPBEXstdDataEmph 2 12 3 2 3" xfId="34487"/>
    <cellStyle name="SAPBEXstdDataEmph 2 12 3 2 4" xfId="34488"/>
    <cellStyle name="SAPBEXstdDataEmph 2 12 3 3" xfId="20316"/>
    <cellStyle name="SAPBEXstdDataEmph 2 12 3 3 2" xfId="20317"/>
    <cellStyle name="SAPBEXstdDataEmph 2 12 3 3 3" xfId="34489"/>
    <cellStyle name="SAPBEXstdDataEmph 2 12 3 3 4" xfId="34490"/>
    <cellStyle name="SAPBEXstdDataEmph 2 12 3 4" xfId="20318"/>
    <cellStyle name="SAPBEXstdDataEmph 2 12 3 4 2" xfId="20319"/>
    <cellStyle name="SAPBEXstdDataEmph 2 12 3 4 3" xfId="34491"/>
    <cellStyle name="SAPBEXstdDataEmph 2 12 3 4 4" xfId="34492"/>
    <cellStyle name="SAPBEXstdDataEmph 2 12 3 5" xfId="20320"/>
    <cellStyle name="SAPBEXstdDataEmph 2 12 3 5 2" xfId="20321"/>
    <cellStyle name="SAPBEXstdDataEmph 2 12 3 5 3" xfId="34493"/>
    <cellStyle name="SAPBEXstdDataEmph 2 12 3 5 4" xfId="34494"/>
    <cellStyle name="SAPBEXstdDataEmph 2 12 3 6" xfId="20322"/>
    <cellStyle name="SAPBEXstdDataEmph 2 12 3 6 2" xfId="20323"/>
    <cellStyle name="SAPBEXstdDataEmph 2 12 3 6 3" xfId="34495"/>
    <cellStyle name="SAPBEXstdDataEmph 2 12 3 6 4" xfId="34496"/>
    <cellStyle name="SAPBEXstdDataEmph 2 12 3 7" xfId="20324"/>
    <cellStyle name="SAPBEXstdDataEmph 2 12 3 7 2" xfId="20325"/>
    <cellStyle name="SAPBEXstdDataEmph 2 12 3 7 3" xfId="34497"/>
    <cellStyle name="SAPBEXstdDataEmph 2 12 3 7 4" xfId="34498"/>
    <cellStyle name="SAPBEXstdDataEmph 2 12 3 8" xfId="20326"/>
    <cellStyle name="SAPBEXstdDataEmph 2 12 3 9" xfId="34499"/>
    <cellStyle name="SAPBEXstdDataEmph 2 12 4" xfId="20327"/>
    <cellStyle name="SAPBEXstdDataEmph 2 12 4 10" xfId="34500"/>
    <cellStyle name="SAPBEXstdDataEmph 2 12 4 2" xfId="20328"/>
    <cellStyle name="SAPBEXstdDataEmph 2 12 4 2 2" xfId="20329"/>
    <cellStyle name="SAPBEXstdDataEmph 2 12 4 2 3" xfId="34501"/>
    <cellStyle name="SAPBEXstdDataEmph 2 12 4 2 4" xfId="34502"/>
    <cellStyle name="SAPBEXstdDataEmph 2 12 4 3" xfId="20330"/>
    <cellStyle name="SAPBEXstdDataEmph 2 12 4 3 2" xfId="20331"/>
    <cellStyle name="SAPBEXstdDataEmph 2 12 4 3 3" xfId="34503"/>
    <cellStyle name="SAPBEXstdDataEmph 2 12 4 3 4" xfId="34504"/>
    <cellStyle name="SAPBEXstdDataEmph 2 12 4 4" xfId="20332"/>
    <cellStyle name="SAPBEXstdDataEmph 2 12 4 4 2" xfId="20333"/>
    <cellStyle name="SAPBEXstdDataEmph 2 12 4 4 3" xfId="34505"/>
    <cellStyle name="SAPBEXstdDataEmph 2 12 4 4 4" xfId="34506"/>
    <cellStyle name="SAPBEXstdDataEmph 2 12 4 5" xfId="20334"/>
    <cellStyle name="SAPBEXstdDataEmph 2 12 4 5 2" xfId="20335"/>
    <cellStyle name="SAPBEXstdDataEmph 2 12 4 5 3" xfId="34507"/>
    <cellStyle name="SAPBEXstdDataEmph 2 12 4 5 4" xfId="34508"/>
    <cellStyle name="SAPBEXstdDataEmph 2 12 4 6" xfId="20336"/>
    <cellStyle name="SAPBEXstdDataEmph 2 12 4 6 2" xfId="20337"/>
    <cellStyle name="SAPBEXstdDataEmph 2 12 4 6 3" xfId="34509"/>
    <cellStyle name="SAPBEXstdDataEmph 2 12 4 6 4" xfId="34510"/>
    <cellStyle name="SAPBEXstdDataEmph 2 12 4 7" xfId="20338"/>
    <cellStyle name="SAPBEXstdDataEmph 2 12 4 7 2" xfId="20339"/>
    <cellStyle name="SAPBEXstdDataEmph 2 12 4 7 3" xfId="34511"/>
    <cellStyle name="SAPBEXstdDataEmph 2 12 4 7 4" xfId="34512"/>
    <cellStyle name="SAPBEXstdDataEmph 2 12 4 8" xfId="20340"/>
    <cellStyle name="SAPBEXstdDataEmph 2 12 4 9" xfId="34513"/>
    <cellStyle name="SAPBEXstdDataEmph 2 12 5" xfId="20341"/>
    <cellStyle name="SAPBEXstdDataEmph 2 12 5 10" xfId="34514"/>
    <cellStyle name="SAPBEXstdDataEmph 2 12 5 2" xfId="20342"/>
    <cellStyle name="SAPBEXstdDataEmph 2 12 5 2 2" xfId="20343"/>
    <cellStyle name="SAPBEXstdDataEmph 2 12 5 2 3" xfId="34515"/>
    <cellStyle name="SAPBEXstdDataEmph 2 12 5 2 4" xfId="34516"/>
    <cellStyle name="SAPBEXstdDataEmph 2 12 5 3" xfId="20344"/>
    <cellStyle name="SAPBEXstdDataEmph 2 12 5 3 2" xfId="20345"/>
    <cellStyle name="SAPBEXstdDataEmph 2 12 5 3 3" xfId="34517"/>
    <cellStyle name="SAPBEXstdDataEmph 2 12 5 3 4" xfId="34518"/>
    <cellStyle name="SAPBEXstdDataEmph 2 12 5 4" xfId="20346"/>
    <cellStyle name="SAPBEXstdDataEmph 2 12 5 4 2" xfId="20347"/>
    <cellStyle name="SAPBEXstdDataEmph 2 12 5 4 3" xfId="34519"/>
    <cellStyle name="SAPBEXstdDataEmph 2 12 5 4 4" xfId="34520"/>
    <cellStyle name="SAPBEXstdDataEmph 2 12 5 5" xfId="20348"/>
    <cellStyle name="SAPBEXstdDataEmph 2 12 5 5 2" xfId="20349"/>
    <cellStyle name="SAPBEXstdDataEmph 2 12 5 5 3" xfId="34521"/>
    <cellStyle name="SAPBEXstdDataEmph 2 12 5 5 4" xfId="34522"/>
    <cellStyle name="SAPBEXstdDataEmph 2 12 5 6" xfId="20350"/>
    <cellStyle name="SAPBEXstdDataEmph 2 12 5 6 2" xfId="20351"/>
    <cellStyle name="SAPBEXstdDataEmph 2 12 5 6 3" xfId="34523"/>
    <cellStyle name="SAPBEXstdDataEmph 2 12 5 6 4" xfId="34524"/>
    <cellStyle name="SAPBEXstdDataEmph 2 12 5 7" xfId="20352"/>
    <cellStyle name="SAPBEXstdDataEmph 2 12 5 7 2" xfId="20353"/>
    <cellStyle name="SAPBEXstdDataEmph 2 12 5 7 3" xfId="34525"/>
    <cellStyle name="SAPBEXstdDataEmph 2 12 5 7 4" xfId="34526"/>
    <cellStyle name="SAPBEXstdDataEmph 2 12 5 8" xfId="20354"/>
    <cellStyle name="SAPBEXstdDataEmph 2 12 5 9" xfId="34527"/>
    <cellStyle name="SAPBEXstdDataEmph 2 12 6" xfId="20355"/>
    <cellStyle name="SAPBEXstdDataEmph 2 12 6 2" xfId="20356"/>
    <cellStyle name="SAPBEXstdDataEmph 2 12 6 3" xfId="34528"/>
    <cellStyle name="SAPBEXstdDataEmph 2 12 6 4" xfId="34529"/>
    <cellStyle name="SAPBEXstdDataEmph 2 12 7" xfId="20357"/>
    <cellStyle name="SAPBEXstdDataEmph 2 12 7 2" xfId="20358"/>
    <cellStyle name="SAPBEXstdDataEmph 2 12 7 3" xfId="34530"/>
    <cellStyle name="SAPBEXstdDataEmph 2 12 7 4" xfId="34531"/>
    <cellStyle name="SAPBEXstdDataEmph 2 12 8" xfId="20359"/>
    <cellStyle name="SAPBEXstdDataEmph 2 12 8 2" xfId="20360"/>
    <cellStyle name="SAPBEXstdDataEmph 2 12 8 3" xfId="34532"/>
    <cellStyle name="SAPBEXstdDataEmph 2 12 8 4" xfId="34533"/>
    <cellStyle name="SAPBEXstdDataEmph 2 12 9" xfId="20361"/>
    <cellStyle name="SAPBEXstdDataEmph 2 12 9 2" xfId="20362"/>
    <cellStyle name="SAPBEXstdDataEmph 2 12 9 3" xfId="34534"/>
    <cellStyle name="SAPBEXstdDataEmph 2 12 9 4" xfId="34535"/>
    <cellStyle name="SAPBEXstdDataEmph 2 13" xfId="20363"/>
    <cellStyle name="SAPBEXstdDataEmph 2 13 10" xfId="34536"/>
    <cellStyle name="SAPBEXstdDataEmph 2 13 2" xfId="20364"/>
    <cellStyle name="SAPBEXstdDataEmph 2 13 2 2" xfId="20365"/>
    <cellStyle name="SAPBEXstdDataEmph 2 13 2 3" xfId="34537"/>
    <cellStyle name="SAPBEXstdDataEmph 2 13 2 4" xfId="34538"/>
    <cellStyle name="SAPBEXstdDataEmph 2 13 3" xfId="20366"/>
    <cellStyle name="SAPBEXstdDataEmph 2 13 3 2" xfId="20367"/>
    <cellStyle name="SAPBEXstdDataEmph 2 13 3 3" xfId="34539"/>
    <cellStyle name="SAPBEXstdDataEmph 2 13 3 4" xfId="34540"/>
    <cellStyle name="SAPBEXstdDataEmph 2 13 4" xfId="20368"/>
    <cellStyle name="SAPBEXstdDataEmph 2 13 4 2" xfId="20369"/>
    <cellStyle name="SAPBEXstdDataEmph 2 13 4 3" xfId="34541"/>
    <cellStyle name="SAPBEXstdDataEmph 2 13 4 4" xfId="34542"/>
    <cellStyle name="SAPBEXstdDataEmph 2 13 5" xfId="20370"/>
    <cellStyle name="SAPBEXstdDataEmph 2 13 5 2" xfId="20371"/>
    <cellStyle name="SAPBEXstdDataEmph 2 13 5 3" xfId="34543"/>
    <cellStyle name="SAPBEXstdDataEmph 2 13 5 4" xfId="34544"/>
    <cellStyle name="SAPBEXstdDataEmph 2 13 6" xfId="20372"/>
    <cellStyle name="SAPBEXstdDataEmph 2 13 6 2" xfId="20373"/>
    <cellStyle name="SAPBEXstdDataEmph 2 13 6 3" xfId="34545"/>
    <cellStyle name="SAPBEXstdDataEmph 2 13 6 4" xfId="34546"/>
    <cellStyle name="SAPBEXstdDataEmph 2 13 7" xfId="20374"/>
    <cellStyle name="SAPBEXstdDataEmph 2 13 7 2" xfId="20375"/>
    <cellStyle name="SAPBEXstdDataEmph 2 13 7 3" xfId="34547"/>
    <cellStyle name="SAPBEXstdDataEmph 2 13 7 4" xfId="34548"/>
    <cellStyle name="SAPBEXstdDataEmph 2 13 8" xfId="20376"/>
    <cellStyle name="SAPBEXstdDataEmph 2 13 9" xfId="34549"/>
    <cellStyle name="SAPBEXstdDataEmph 2 14" xfId="20377"/>
    <cellStyle name="SAPBEXstdDataEmph 2 14 10" xfId="34550"/>
    <cellStyle name="SAPBEXstdDataEmph 2 14 2" xfId="20378"/>
    <cellStyle name="SAPBEXstdDataEmph 2 14 2 2" xfId="20379"/>
    <cellStyle name="SAPBEXstdDataEmph 2 14 2 3" xfId="34551"/>
    <cellStyle name="SAPBEXstdDataEmph 2 14 2 4" xfId="34552"/>
    <cellStyle name="SAPBEXstdDataEmph 2 14 3" xfId="20380"/>
    <cellStyle name="SAPBEXstdDataEmph 2 14 3 2" xfId="20381"/>
    <cellStyle name="SAPBEXstdDataEmph 2 14 3 3" xfId="34553"/>
    <cellStyle name="SAPBEXstdDataEmph 2 14 3 4" xfId="34554"/>
    <cellStyle name="SAPBEXstdDataEmph 2 14 4" xfId="20382"/>
    <cellStyle name="SAPBEXstdDataEmph 2 14 4 2" xfId="20383"/>
    <cellStyle name="SAPBEXstdDataEmph 2 14 4 3" xfId="34555"/>
    <cellStyle name="SAPBEXstdDataEmph 2 14 4 4" xfId="34556"/>
    <cellStyle name="SAPBEXstdDataEmph 2 14 5" xfId="20384"/>
    <cellStyle name="SAPBEXstdDataEmph 2 14 5 2" xfId="20385"/>
    <cellStyle name="SAPBEXstdDataEmph 2 14 5 3" xfId="34557"/>
    <cellStyle name="SAPBEXstdDataEmph 2 14 5 4" xfId="34558"/>
    <cellStyle name="SAPBEXstdDataEmph 2 14 6" xfId="20386"/>
    <cellStyle name="SAPBEXstdDataEmph 2 14 6 2" xfId="20387"/>
    <cellStyle name="SAPBEXstdDataEmph 2 14 6 3" xfId="34559"/>
    <cellStyle name="SAPBEXstdDataEmph 2 14 6 4" xfId="34560"/>
    <cellStyle name="SAPBEXstdDataEmph 2 14 7" xfId="20388"/>
    <cellStyle name="SAPBEXstdDataEmph 2 14 7 2" xfId="20389"/>
    <cellStyle name="SAPBEXstdDataEmph 2 14 7 3" xfId="34561"/>
    <cellStyle name="SAPBEXstdDataEmph 2 14 7 4" xfId="34562"/>
    <cellStyle name="SAPBEXstdDataEmph 2 14 8" xfId="20390"/>
    <cellStyle name="SAPBEXstdDataEmph 2 14 9" xfId="34563"/>
    <cellStyle name="SAPBEXstdDataEmph 2 15" xfId="20391"/>
    <cellStyle name="SAPBEXstdDataEmph 2 15 10" xfId="34564"/>
    <cellStyle name="SAPBEXstdDataEmph 2 15 2" xfId="20392"/>
    <cellStyle name="SAPBEXstdDataEmph 2 15 2 2" xfId="20393"/>
    <cellStyle name="SAPBEXstdDataEmph 2 15 2 3" xfId="34565"/>
    <cellStyle name="SAPBEXstdDataEmph 2 15 2 4" xfId="34566"/>
    <cellStyle name="SAPBEXstdDataEmph 2 15 3" xfId="20394"/>
    <cellStyle name="SAPBEXstdDataEmph 2 15 3 2" xfId="20395"/>
    <cellStyle name="SAPBEXstdDataEmph 2 15 3 3" xfId="34567"/>
    <cellStyle name="SAPBEXstdDataEmph 2 15 3 4" xfId="34568"/>
    <cellStyle name="SAPBEXstdDataEmph 2 15 4" xfId="20396"/>
    <cellStyle name="SAPBEXstdDataEmph 2 15 4 2" xfId="20397"/>
    <cellStyle name="SAPBEXstdDataEmph 2 15 4 3" xfId="34569"/>
    <cellStyle name="SAPBEXstdDataEmph 2 15 4 4" xfId="34570"/>
    <cellStyle name="SAPBEXstdDataEmph 2 15 5" xfId="20398"/>
    <cellStyle name="SAPBEXstdDataEmph 2 15 5 2" xfId="20399"/>
    <cellStyle name="SAPBEXstdDataEmph 2 15 5 3" xfId="34571"/>
    <cellStyle name="SAPBEXstdDataEmph 2 15 5 4" xfId="34572"/>
    <cellStyle name="SAPBEXstdDataEmph 2 15 6" xfId="20400"/>
    <cellStyle name="SAPBEXstdDataEmph 2 15 6 2" xfId="20401"/>
    <cellStyle name="SAPBEXstdDataEmph 2 15 6 3" xfId="34573"/>
    <cellStyle name="SAPBEXstdDataEmph 2 15 6 4" xfId="34574"/>
    <cellStyle name="SAPBEXstdDataEmph 2 15 7" xfId="20402"/>
    <cellStyle name="SAPBEXstdDataEmph 2 15 7 2" xfId="20403"/>
    <cellStyle name="SAPBEXstdDataEmph 2 15 7 3" xfId="34575"/>
    <cellStyle name="SAPBEXstdDataEmph 2 15 7 4" xfId="34576"/>
    <cellStyle name="SAPBEXstdDataEmph 2 15 8" xfId="20404"/>
    <cellStyle name="SAPBEXstdDataEmph 2 15 9" xfId="34577"/>
    <cellStyle name="SAPBEXstdDataEmph 2 16" xfId="20405"/>
    <cellStyle name="SAPBEXstdDataEmph 2 16 10" xfId="34578"/>
    <cellStyle name="SAPBEXstdDataEmph 2 16 2" xfId="20406"/>
    <cellStyle name="SAPBEXstdDataEmph 2 16 2 2" xfId="20407"/>
    <cellStyle name="SAPBEXstdDataEmph 2 16 2 3" xfId="34579"/>
    <cellStyle name="SAPBEXstdDataEmph 2 16 2 4" xfId="34580"/>
    <cellStyle name="SAPBEXstdDataEmph 2 16 3" xfId="20408"/>
    <cellStyle name="SAPBEXstdDataEmph 2 16 3 2" xfId="20409"/>
    <cellStyle name="SAPBEXstdDataEmph 2 16 3 3" xfId="34581"/>
    <cellStyle name="SAPBEXstdDataEmph 2 16 3 4" xfId="34582"/>
    <cellStyle name="SAPBEXstdDataEmph 2 16 4" xfId="20410"/>
    <cellStyle name="SAPBEXstdDataEmph 2 16 4 2" xfId="20411"/>
    <cellStyle name="SAPBEXstdDataEmph 2 16 4 3" xfId="34583"/>
    <cellStyle name="SAPBEXstdDataEmph 2 16 4 4" xfId="34584"/>
    <cellStyle name="SAPBEXstdDataEmph 2 16 5" xfId="20412"/>
    <cellStyle name="SAPBEXstdDataEmph 2 16 5 2" xfId="20413"/>
    <cellStyle name="SAPBEXstdDataEmph 2 16 5 3" xfId="34585"/>
    <cellStyle name="SAPBEXstdDataEmph 2 16 5 4" xfId="34586"/>
    <cellStyle name="SAPBEXstdDataEmph 2 16 6" xfId="20414"/>
    <cellStyle name="SAPBEXstdDataEmph 2 16 6 2" xfId="20415"/>
    <cellStyle name="SAPBEXstdDataEmph 2 16 6 3" xfId="34587"/>
    <cellStyle name="SAPBEXstdDataEmph 2 16 6 4" xfId="34588"/>
    <cellStyle name="SAPBEXstdDataEmph 2 16 7" xfId="20416"/>
    <cellStyle name="SAPBEXstdDataEmph 2 16 7 2" xfId="20417"/>
    <cellStyle name="SAPBEXstdDataEmph 2 16 7 3" xfId="34589"/>
    <cellStyle name="SAPBEXstdDataEmph 2 16 7 4" xfId="34590"/>
    <cellStyle name="SAPBEXstdDataEmph 2 16 8" xfId="20418"/>
    <cellStyle name="SAPBEXstdDataEmph 2 16 9" xfId="34591"/>
    <cellStyle name="SAPBEXstdDataEmph 2 17" xfId="20419"/>
    <cellStyle name="SAPBEXstdDataEmph 2 17 2" xfId="20420"/>
    <cellStyle name="SAPBEXstdDataEmph 2 17 3" xfId="34592"/>
    <cellStyle name="SAPBEXstdDataEmph 2 17 4" xfId="34593"/>
    <cellStyle name="SAPBEXstdDataEmph 2 18" xfId="20421"/>
    <cellStyle name="SAPBEXstdDataEmph 2 18 2" xfId="20422"/>
    <cellStyle name="SAPBEXstdDataEmph 2 18 3" xfId="34594"/>
    <cellStyle name="SAPBEXstdDataEmph 2 18 4" xfId="34595"/>
    <cellStyle name="SAPBEXstdDataEmph 2 19" xfId="20423"/>
    <cellStyle name="SAPBEXstdDataEmph 2 19 2" xfId="20424"/>
    <cellStyle name="SAPBEXstdDataEmph 2 19 3" xfId="34596"/>
    <cellStyle name="SAPBEXstdDataEmph 2 19 4" xfId="34597"/>
    <cellStyle name="SAPBEXstdDataEmph 2 2" xfId="20425"/>
    <cellStyle name="SAPBEXstdDataEmph 2 2 10" xfId="20426"/>
    <cellStyle name="SAPBEXstdDataEmph 2 2 10 2" xfId="20427"/>
    <cellStyle name="SAPBEXstdDataEmph 2 2 10 3" xfId="34598"/>
    <cellStyle name="SAPBEXstdDataEmph 2 2 10 4" xfId="34599"/>
    <cellStyle name="SAPBEXstdDataEmph 2 2 11" xfId="20428"/>
    <cellStyle name="SAPBEXstdDataEmph 2 2 11 2" xfId="20429"/>
    <cellStyle name="SAPBEXstdDataEmph 2 2 11 3" xfId="34600"/>
    <cellStyle name="SAPBEXstdDataEmph 2 2 11 4" xfId="34601"/>
    <cellStyle name="SAPBEXstdDataEmph 2 2 12" xfId="20430"/>
    <cellStyle name="SAPBEXstdDataEmph 2 2 13" xfId="34602"/>
    <cellStyle name="SAPBEXstdDataEmph 2 2 14" xfId="34603"/>
    <cellStyle name="SAPBEXstdDataEmph 2 2 2" xfId="20431"/>
    <cellStyle name="SAPBEXstdDataEmph 2 2 2 10" xfId="34604"/>
    <cellStyle name="SAPBEXstdDataEmph 2 2 2 2" xfId="20432"/>
    <cellStyle name="SAPBEXstdDataEmph 2 2 2 2 2" xfId="20433"/>
    <cellStyle name="SAPBEXstdDataEmph 2 2 2 2 3" xfId="34605"/>
    <cellStyle name="SAPBEXstdDataEmph 2 2 2 2 4" xfId="34606"/>
    <cellStyle name="SAPBEXstdDataEmph 2 2 2 3" xfId="20434"/>
    <cellStyle name="SAPBEXstdDataEmph 2 2 2 3 2" xfId="20435"/>
    <cellStyle name="SAPBEXstdDataEmph 2 2 2 3 3" xfId="34607"/>
    <cellStyle name="SAPBEXstdDataEmph 2 2 2 3 4" xfId="34608"/>
    <cellStyle name="SAPBEXstdDataEmph 2 2 2 4" xfId="20436"/>
    <cellStyle name="SAPBEXstdDataEmph 2 2 2 4 2" xfId="20437"/>
    <cellStyle name="SAPBEXstdDataEmph 2 2 2 4 3" xfId="34609"/>
    <cellStyle name="SAPBEXstdDataEmph 2 2 2 4 4" xfId="34610"/>
    <cellStyle name="SAPBEXstdDataEmph 2 2 2 5" xfId="20438"/>
    <cellStyle name="SAPBEXstdDataEmph 2 2 2 5 2" xfId="20439"/>
    <cellStyle name="SAPBEXstdDataEmph 2 2 2 5 3" xfId="34611"/>
    <cellStyle name="SAPBEXstdDataEmph 2 2 2 5 4" xfId="34612"/>
    <cellStyle name="SAPBEXstdDataEmph 2 2 2 6" xfId="20440"/>
    <cellStyle name="SAPBEXstdDataEmph 2 2 2 6 2" xfId="20441"/>
    <cellStyle name="SAPBEXstdDataEmph 2 2 2 6 3" xfId="34613"/>
    <cellStyle name="SAPBEXstdDataEmph 2 2 2 6 4" xfId="34614"/>
    <cellStyle name="SAPBEXstdDataEmph 2 2 2 7" xfId="20442"/>
    <cellStyle name="SAPBEXstdDataEmph 2 2 2 7 2" xfId="20443"/>
    <cellStyle name="SAPBEXstdDataEmph 2 2 2 7 3" xfId="34615"/>
    <cellStyle name="SAPBEXstdDataEmph 2 2 2 7 4" xfId="34616"/>
    <cellStyle name="SAPBEXstdDataEmph 2 2 2 8" xfId="20444"/>
    <cellStyle name="SAPBEXstdDataEmph 2 2 2 9" xfId="34617"/>
    <cellStyle name="SAPBEXstdDataEmph 2 2 3" xfId="20445"/>
    <cellStyle name="SAPBEXstdDataEmph 2 2 3 10" xfId="34618"/>
    <cellStyle name="SAPBEXstdDataEmph 2 2 3 2" xfId="20446"/>
    <cellStyle name="SAPBEXstdDataEmph 2 2 3 2 2" xfId="20447"/>
    <cellStyle name="SAPBEXstdDataEmph 2 2 3 2 3" xfId="34619"/>
    <cellStyle name="SAPBEXstdDataEmph 2 2 3 2 4" xfId="34620"/>
    <cellStyle name="SAPBEXstdDataEmph 2 2 3 3" xfId="20448"/>
    <cellStyle name="SAPBEXstdDataEmph 2 2 3 3 2" xfId="20449"/>
    <cellStyle name="SAPBEXstdDataEmph 2 2 3 3 3" xfId="34621"/>
    <cellStyle name="SAPBEXstdDataEmph 2 2 3 3 4" xfId="34622"/>
    <cellStyle name="SAPBEXstdDataEmph 2 2 3 4" xfId="20450"/>
    <cellStyle name="SAPBEXstdDataEmph 2 2 3 4 2" xfId="20451"/>
    <cellStyle name="SAPBEXstdDataEmph 2 2 3 4 3" xfId="34623"/>
    <cellStyle name="SAPBEXstdDataEmph 2 2 3 4 4" xfId="34624"/>
    <cellStyle name="SAPBEXstdDataEmph 2 2 3 5" xfId="20452"/>
    <cellStyle name="SAPBEXstdDataEmph 2 2 3 5 2" xfId="20453"/>
    <cellStyle name="SAPBEXstdDataEmph 2 2 3 5 3" xfId="34625"/>
    <cellStyle name="SAPBEXstdDataEmph 2 2 3 5 4" xfId="34626"/>
    <cellStyle name="SAPBEXstdDataEmph 2 2 3 6" xfId="20454"/>
    <cellStyle name="SAPBEXstdDataEmph 2 2 3 6 2" xfId="20455"/>
    <cellStyle name="SAPBEXstdDataEmph 2 2 3 6 3" xfId="34627"/>
    <cellStyle name="SAPBEXstdDataEmph 2 2 3 6 4" xfId="34628"/>
    <cellStyle name="SAPBEXstdDataEmph 2 2 3 7" xfId="20456"/>
    <cellStyle name="SAPBEXstdDataEmph 2 2 3 7 2" xfId="20457"/>
    <cellStyle name="SAPBEXstdDataEmph 2 2 3 7 3" xfId="34629"/>
    <cellStyle name="SAPBEXstdDataEmph 2 2 3 7 4" xfId="34630"/>
    <cellStyle name="SAPBEXstdDataEmph 2 2 3 8" xfId="20458"/>
    <cellStyle name="SAPBEXstdDataEmph 2 2 3 9" xfId="34631"/>
    <cellStyle name="SAPBEXstdDataEmph 2 2 4" xfId="20459"/>
    <cellStyle name="SAPBEXstdDataEmph 2 2 4 10" xfId="34632"/>
    <cellStyle name="SAPBEXstdDataEmph 2 2 4 2" xfId="20460"/>
    <cellStyle name="SAPBEXstdDataEmph 2 2 4 2 2" xfId="20461"/>
    <cellStyle name="SAPBEXstdDataEmph 2 2 4 2 3" xfId="34633"/>
    <cellStyle name="SAPBEXstdDataEmph 2 2 4 2 4" xfId="34634"/>
    <cellStyle name="SAPBEXstdDataEmph 2 2 4 3" xfId="20462"/>
    <cellStyle name="SAPBEXstdDataEmph 2 2 4 3 2" xfId="20463"/>
    <cellStyle name="SAPBEXstdDataEmph 2 2 4 3 3" xfId="34635"/>
    <cellStyle name="SAPBEXstdDataEmph 2 2 4 3 4" xfId="34636"/>
    <cellStyle name="SAPBEXstdDataEmph 2 2 4 4" xfId="20464"/>
    <cellStyle name="SAPBEXstdDataEmph 2 2 4 4 2" xfId="20465"/>
    <cellStyle name="SAPBEXstdDataEmph 2 2 4 4 3" xfId="34637"/>
    <cellStyle name="SAPBEXstdDataEmph 2 2 4 4 4" xfId="34638"/>
    <cellStyle name="SAPBEXstdDataEmph 2 2 4 5" xfId="20466"/>
    <cellStyle name="SAPBEXstdDataEmph 2 2 4 5 2" xfId="20467"/>
    <cellStyle name="SAPBEXstdDataEmph 2 2 4 5 3" xfId="34639"/>
    <cellStyle name="SAPBEXstdDataEmph 2 2 4 5 4" xfId="34640"/>
    <cellStyle name="SAPBEXstdDataEmph 2 2 4 6" xfId="20468"/>
    <cellStyle name="SAPBEXstdDataEmph 2 2 4 6 2" xfId="20469"/>
    <cellStyle name="SAPBEXstdDataEmph 2 2 4 6 3" xfId="34641"/>
    <cellStyle name="SAPBEXstdDataEmph 2 2 4 6 4" xfId="34642"/>
    <cellStyle name="SAPBEXstdDataEmph 2 2 4 7" xfId="20470"/>
    <cellStyle name="SAPBEXstdDataEmph 2 2 4 7 2" xfId="20471"/>
    <cellStyle name="SAPBEXstdDataEmph 2 2 4 7 3" xfId="34643"/>
    <cellStyle name="SAPBEXstdDataEmph 2 2 4 7 4" xfId="34644"/>
    <cellStyle name="SAPBEXstdDataEmph 2 2 4 8" xfId="20472"/>
    <cellStyle name="SAPBEXstdDataEmph 2 2 4 9" xfId="34645"/>
    <cellStyle name="SAPBEXstdDataEmph 2 2 5" xfId="20473"/>
    <cellStyle name="SAPBEXstdDataEmph 2 2 5 10" xfId="34646"/>
    <cellStyle name="SAPBEXstdDataEmph 2 2 5 2" xfId="20474"/>
    <cellStyle name="SAPBEXstdDataEmph 2 2 5 2 2" xfId="20475"/>
    <cellStyle name="SAPBEXstdDataEmph 2 2 5 2 3" xfId="34647"/>
    <cellStyle name="SAPBEXstdDataEmph 2 2 5 2 4" xfId="34648"/>
    <cellStyle name="SAPBEXstdDataEmph 2 2 5 3" xfId="20476"/>
    <cellStyle name="SAPBEXstdDataEmph 2 2 5 3 2" xfId="20477"/>
    <cellStyle name="SAPBEXstdDataEmph 2 2 5 3 3" xfId="34649"/>
    <cellStyle name="SAPBEXstdDataEmph 2 2 5 3 4" xfId="34650"/>
    <cellStyle name="SAPBEXstdDataEmph 2 2 5 4" xfId="20478"/>
    <cellStyle name="SAPBEXstdDataEmph 2 2 5 4 2" xfId="20479"/>
    <cellStyle name="SAPBEXstdDataEmph 2 2 5 4 3" xfId="34651"/>
    <cellStyle name="SAPBEXstdDataEmph 2 2 5 4 4" xfId="34652"/>
    <cellStyle name="SAPBEXstdDataEmph 2 2 5 5" xfId="20480"/>
    <cellStyle name="SAPBEXstdDataEmph 2 2 5 5 2" xfId="20481"/>
    <cellStyle name="SAPBEXstdDataEmph 2 2 5 5 3" xfId="34653"/>
    <cellStyle name="SAPBEXstdDataEmph 2 2 5 5 4" xfId="34654"/>
    <cellStyle name="SAPBEXstdDataEmph 2 2 5 6" xfId="20482"/>
    <cellStyle name="SAPBEXstdDataEmph 2 2 5 6 2" xfId="20483"/>
    <cellStyle name="SAPBEXstdDataEmph 2 2 5 6 3" xfId="34655"/>
    <cellStyle name="SAPBEXstdDataEmph 2 2 5 6 4" xfId="34656"/>
    <cellStyle name="SAPBEXstdDataEmph 2 2 5 7" xfId="20484"/>
    <cellStyle name="SAPBEXstdDataEmph 2 2 5 7 2" xfId="20485"/>
    <cellStyle name="SAPBEXstdDataEmph 2 2 5 7 3" xfId="34657"/>
    <cellStyle name="SAPBEXstdDataEmph 2 2 5 7 4" xfId="34658"/>
    <cellStyle name="SAPBEXstdDataEmph 2 2 5 8" xfId="20486"/>
    <cellStyle name="SAPBEXstdDataEmph 2 2 5 9" xfId="34659"/>
    <cellStyle name="SAPBEXstdDataEmph 2 2 6" xfId="20487"/>
    <cellStyle name="SAPBEXstdDataEmph 2 2 6 2" xfId="20488"/>
    <cellStyle name="SAPBEXstdDataEmph 2 2 6 3" xfId="34660"/>
    <cellStyle name="SAPBEXstdDataEmph 2 2 6 4" xfId="34661"/>
    <cellStyle name="SAPBEXstdDataEmph 2 2 7" xfId="20489"/>
    <cellStyle name="SAPBEXstdDataEmph 2 2 7 2" xfId="20490"/>
    <cellStyle name="SAPBEXstdDataEmph 2 2 7 3" xfId="34662"/>
    <cellStyle name="SAPBEXstdDataEmph 2 2 7 4" xfId="34663"/>
    <cellStyle name="SAPBEXstdDataEmph 2 2 8" xfId="20491"/>
    <cellStyle name="SAPBEXstdDataEmph 2 2 8 2" xfId="20492"/>
    <cellStyle name="SAPBEXstdDataEmph 2 2 8 3" xfId="34664"/>
    <cellStyle name="SAPBEXstdDataEmph 2 2 8 4" xfId="34665"/>
    <cellStyle name="SAPBEXstdDataEmph 2 2 9" xfId="20493"/>
    <cellStyle name="SAPBEXstdDataEmph 2 2 9 2" xfId="20494"/>
    <cellStyle name="SAPBEXstdDataEmph 2 2 9 3" xfId="34666"/>
    <cellStyle name="SAPBEXstdDataEmph 2 2 9 4" xfId="34667"/>
    <cellStyle name="SAPBEXstdDataEmph 2 20" xfId="20495"/>
    <cellStyle name="SAPBEXstdDataEmph 2 20 2" xfId="20496"/>
    <cellStyle name="SAPBEXstdDataEmph 2 20 3" xfId="34668"/>
    <cellStyle name="SAPBEXstdDataEmph 2 20 4" xfId="34669"/>
    <cellStyle name="SAPBEXstdDataEmph 2 21" xfId="20497"/>
    <cellStyle name="SAPBEXstdDataEmph 2 21 2" xfId="20498"/>
    <cellStyle name="SAPBEXstdDataEmph 2 21 3" xfId="34670"/>
    <cellStyle name="SAPBEXstdDataEmph 2 21 4" xfId="34671"/>
    <cellStyle name="SAPBEXstdDataEmph 2 22" xfId="20499"/>
    <cellStyle name="SAPBEXstdDataEmph 2 22 2" xfId="20500"/>
    <cellStyle name="SAPBEXstdDataEmph 2 22 3" xfId="34672"/>
    <cellStyle name="SAPBEXstdDataEmph 2 22 4" xfId="34673"/>
    <cellStyle name="SAPBEXstdDataEmph 2 23" xfId="20501"/>
    <cellStyle name="SAPBEXstdDataEmph 2 24" xfId="34674"/>
    <cellStyle name="SAPBEXstdDataEmph 2 25" xfId="34675"/>
    <cellStyle name="SAPBEXstdDataEmph 2 3" xfId="20502"/>
    <cellStyle name="SAPBEXstdDataEmph 2 3 10" xfId="20503"/>
    <cellStyle name="SAPBEXstdDataEmph 2 3 10 2" xfId="20504"/>
    <cellStyle name="SAPBEXstdDataEmph 2 3 10 3" xfId="34676"/>
    <cellStyle name="SAPBEXstdDataEmph 2 3 10 4" xfId="34677"/>
    <cellStyle name="SAPBEXstdDataEmph 2 3 11" xfId="20505"/>
    <cellStyle name="SAPBEXstdDataEmph 2 3 11 2" xfId="20506"/>
    <cellStyle name="SAPBEXstdDataEmph 2 3 11 3" xfId="34678"/>
    <cellStyle name="SAPBEXstdDataEmph 2 3 11 4" xfId="34679"/>
    <cellStyle name="SAPBEXstdDataEmph 2 3 12" xfId="20507"/>
    <cellStyle name="SAPBEXstdDataEmph 2 3 13" xfId="34680"/>
    <cellStyle name="SAPBEXstdDataEmph 2 3 14" xfId="34681"/>
    <cellStyle name="SAPBEXstdDataEmph 2 3 2" xfId="20508"/>
    <cellStyle name="SAPBEXstdDataEmph 2 3 2 10" xfId="34682"/>
    <cellStyle name="SAPBEXstdDataEmph 2 3 2 2" xfId="20509"/>
    <cellStyle name="SAPBEXstdDataEmph 2 3 2 2 2" xfId="20510"/>
    <cellStyle name="SAPBEXstdDataEmph 2 3 2 2 3" xfId="34683"/>
    <cellStyle name="SAPBEXstdDataEmph 2 3 2 2 4" xfId="34684"/>
    <cellStyle name="SAPBEXstdDataEmph 2 3 2 3" xfId="20511"/>
    <cellStyle name="SAPBEXstdDataEmph 2 3 2 3 2" xfId="20512"/>
    <cellStyle name="SAPBEXstdDataEmph 2 3 2 3 3" xfId="34685"/>
    <cellStyle name="SAPBEXstdDataEmph 2 3 2 3 4" xfId="34686"/>
    <cellStyle name="SAPBEXstdDataEmph 2 3 2 4" xfId="20513"/>
    <cellStyle name="SAPBEXstdDataEmph 2 3 2 4 2" xfId="20514"/>
    <cellStyle name="SAPBEXstdDataEmph 2 3 2 4 3" xfId="34687"/>
    <cellStyle name="SAPBEXstdDataEmph 2 3 2 4 4" xfId="34688"/>
    <cellStyle name="SAPBEXstdDataEmph 2 3 2 5" xfId="20515"/>
    <cellStyle name="SAPBEXstdDataEmph 2 3 2 5 2" xfId="20516"/>
    <cellStyle name="SAPBEXstdDataEmph 2 3 2 5 3" xfId="34689"/>
    <cellStyle name="SAPBEXstdDataEmph 2 3 2 5 4" xfId="34690"/>
    <cellStyle name="SAPBEXstdDataEmph 2 3 2 6" xfId="20517"/>
    <cellStyle name="SAPBEXstdDataEmph 2 3 2 6 2" xfId="20518"/>
    <cellStyle name="SAPBEXstdDataEmph 2 3 2 6 3" xfId="34691"/>
    <cellStyle name="SAPBEXstdDataEmph 2 3 2 6 4" xfId="34692"/>
    <cellStyle name="SAPBEXstdDataEmph 2 3 2 7" xfId="20519"/>
    <cellStyle name="SAPBEXstdDataEmph 2 3 2 7 2" xfId="20520"/>
    <cellStyle name="SAPBEXstdDataEmph 2 3 2 7 3" xfId="34693"/>
    <cellStyle name="SAPBEXstdDataEmph 2 3 2 7 4" xfId="34694"/>
    <cellStyle name="SAPBEXstdDataEmph 2 3 2 8" xfId="20521"/>
    <cellStyle name="SAPBEXstdDataEmph 2 3 2 9" xfId="34695"/>
    <cellStyle name="SAPBEXstdDataEmph 2 3 3" xfId="20522"/>
    <cellStyle name="SAPBEXstdDataEmph 2 3 3 10" xfId="34696"/>
    <cellStyle name="SAPBEXstdDataEmph 2 3 3 2" xfId="20523"/>
    <cellStyle name="SAPBEXstdDataEmph 2 3 3 2 2" xfId="20524"/>
    <cellStyle name="SAPBEXstdDataEmph 2 3 3 2 3" xfId="34697"/>
    <cellStyle name="SAPBEXstdDataEmph 2 3 3 2 4" xfId="34698"/>
    <cellStyle name="SAPBEXstdDataEmph 2 3 3 3" xfId="20525"/>
    <cellStyle name="SAPBEXstdDataEmph 2 3 3 3 2" xfId="20526"/>
    <cellStyle name="SAPBEXstdDataEmph 2 3 3 3 3" xfId="34699"/>
    <cellStyle name="SAPBEXstdDataEmph 2 3 3 3 4" xfId="34700"/>
    <cellStyle name="SAPBEXstdDataEmph 2 3 3 4" xfId="20527"/>
    <cellStyle name="SAPBEXstdDataEmph 2 3 3 4 2" xfId="20528"/>
    <cellStyle name="SAPBEXstdDataEmph 2 3 3 4 3" xfId="34701"/>
    <cellStyle name="SAPBEXstdDataEmph 2 3 3 4 4" xfId="34702"/>
    <cellStyle name="SAPBEXstdDataEmph 2 3 3 5" xfId="20529"/>
    <cellStyle name="SAPBEXstdDataEmph 2 3 3 5 2" xfId="20530"/>
    <cellStyle name="SAPBEXstdDataEmph 2 3 3 5 3" xfId="34703"/>
    <cellStyle name="SAPBEXstdDataEmph 2 3 3 5 4" xfId="34704"/>
    <cellStyle name="SAPBEXstdDataEmph 2 3 3 6" xfId="20531"/>
    <cellStyle name="SAPBEXstdDataEmph 2 3 3 6 2" xfId="20532"/>
    <cellStyle name="SAPBEXstdDataEmph 2 3 3 6 3" xfId="34705"/>
    <cellStyle name="SAPBEXstdDataEmph 2 3 3 6 4" xfId="34706"/>
    <cellStyle name="SAPBEXstdDataEmph 2 3 3 7" xfId="20533"/>
    <cellStyle name="SAPBEXstdDataEmph 2 3 3 7 2" xfId="20534"/>
    <cellStyle name="SAPBEXstdDataEmph 2 3 3 7 3" xfId="34707"/>
    <cellStyle name="SAPBEXstdDataEmph 2 3 3 7 4" xfId="34708"/>
    <cellStyle name="SAPBEXstdDataEmph 2 3 3 8" xfId="20535"/>
    <cellStyle name="SAPBEXstdDataEmph 2 3 3 9" xfId="34709"/>
    <cellStyle name="SAPBEXstdDataEmph 2 3 4" xfId="20536"/>
    <cellStyle name="SAPBEXstdDataEmph 2 3 4 10" xfId="34710"/>
    <cellStyle name="SAPBEXstdDataEmph 2 3 4 2" xfId="20537"/>
    <cellStyle name="SAPBEXstdDataEmph 2 3 4 2 2" xfId="20538"/>
    <cellStyle name="SAPBEXstdDataEmph 2 3 4 2 3" xfId="34711"/>
    <cellStyle name="SAPBEXstdDataEmph 2 3 4 2 4" xfId="34712"/>
    <cellStyle name="SAPBEXstdDataEmph 2 3 4 3" xfId="20539"/>
    <cellStyle name="SAPBEXstdDataEmph 2 3 4 3 2" xfId="20540"/>
    <cellStyle name="SAPBEXstdDataEmph 2 3 4 3 3" xfId="34713"/>
    <cellStyle name="SAPBEXstdDataEmph 2 3 4 3 4" xfId="34714"/>
    <cellStyle name="SAPBEXstdDataEmph 2 3 4 4" xfId="20541"/>
    <cellStyle name="SAPBEXstdDataEmph 2 3 4 4 2" xfId="20542"/>
    <cellStyle name="SAPBEXstdDataEmph 2 3 4 4 3" xfId="34715"/>
    <cellStyle name="SAPBEXstdDataEmph 2 3 4 4 4" xfId="34716"/>
    <cellStyle name="SAPBEXstdDataEmph 2 3 4 5" xfId="20543"/>
    <cellStyle name="SAPBEXstdDataEmph 2 3 4 5 2" xfId="20544"/>
    <cellStyle name="SAPBEXstdDataEmph 2 3 4 5 3" xfId="34717"/>
    <cellStyle name="SAPBEXstdDataEmph 2 3 4 5 4" xfId="34718"/>
    <cellStyle name="SAPBEXstdDataEmph 2 3 4 6" xfId="20545"/>
    <cellStyle name="SAPBEXstdDataEmph 2 3 4 6 2" xfId="20546"/>
    <cellStyle name="SAPBEXstdDataEmph 2 3 4 6 3" xfId="34719"/>
    <cellStyle name="SAPBEXstdDataEmph 2 3 4 6 4" xfId="34720"/>
    <cellStyle name="SAPBEXstdDataEmph 2 3 4 7" xfId="20547"/>
    <cellStyle name="SAPBEXstdDataEmph 2 3 4 7 2" xfId="20548"/>
    <cellStyle name="SAPBEXstdDataEmph 2 3 4 7 3" xfId="34721"/>
    <cellStyle name="SAPBEXstdDataEmph 2 3 4 7 4" xfId="34722"/>
    <cellStyle name="SAPBEXstdDataEmph 2 3 4 8" xfId="20549"/>
    <cellStyle name="SAPBEXstdDataEmph 2 3 4 9" xfId="34723"/>
    <cellStyle name="SAPBEXstdDataEmph 2 3 5" xfId="20550"/>
    <cellStyle name="SAPBEXstdDataEmph 2 3 5 10" xfId="34724"/>
    <cellStyle name="SAPBEXstdDataEmph 2 3 5 2" xfId="20551"/>
    <cellStyle name="SAPBEXstdDataEmph 2 3 5 2 2" xfId="20552"/>
    <cellStyle name="SAPBEXstdDataEmph 2 3 5 2 3" xfId="34725"/>
    <cellStyle name="SAPBEXstdDataEmph 2 3 5 2 4" xfId="34726"/>
    <cellStyle name="SAPBEXstdDataEmph 2 3 5 3" xfId="20553"/>
    <cellStyle name="SAPBEXstdDataEmph 2 3 5 3 2" xfId="20554"/>
    <cellStyle name="SAPBEXstdDataEmph 2 3 5 3 3" xfId="34727"/>
    <cellStyle name="SAPBEXstdDataEmph 2 3 5 3 4" xfId="34728"/>
    <cellStyle name="SAPBEXstdDataEmph 2 3 5 4" xfId="20555"/>
    <cellStyle name="SAPBEXstdDataEmph 2 3 5 4 2" xfId="20556"/>
    <cellStyle name="SAPBEXstdDataEmph 2 3 5 4 3" xfId="34729"/>
    <cellStyle name="SAPBEXstdDataEmph 2 3 5 4 4" xfId="34730"/>
    <cellStyle name="SAPBEXstdDataEmph 2 3 5 5" xfId="20557"/>
    <cellStyle name="SAPBEXstdDataEmph 2 3 5 5 2" xfId="20558"/>
    <cellStyle name="SAPBEXstdDataEmph 2 3 5 5 3" xfId="34731"/>
    <cellStyle name="SAPBEXstdDataEmph 2 3 5 5 4" xfId="34732"/>
    <cellStyle name="SAPBEXstdDataEmph 2 3 5 6" xfId="20559"/>
    <cellStyle name="SAPBEXstdDataEmph 2 3 5 6 2" xfId="20560"/>
    <cellStyle name="SAPBEXstdDataEmph 2 3 5 6 3" xfId="34733"/>
    <cellStyle name="SAPBEXstdDataEmph 2 3 5 6 4" xfId="34734"/>
    <cellStyle name="SAPBEXstdDataEmph 2 3 5 7" xfId="20561"/>
    <cellStyle name="SAPBEXstdDataEmph 2 3 5 7 2" xfId="20562"/>
    <cellStyle name="SAPBEXstdDataEmph 2 3 5 7 3" xfId="34735"/>
    <cellStyle name="SAPBEXstdDataEmph 2 3 5 7 4" xfId="34736"/>
    <cellStyle name="SAPBEXstdDataEmph 2 3 5 8" xfId="20563"/>
    <cellStyle name="SAPBEXstdDataEmph 2 3 5 9" xfId="34737"/>
    <cellStyle name="SAPBEXstdDataEmph 2 3 6" xfId="20564"/>
    <cellStyle name="SAPBEXstdDataEmph 2 3 6 2" xfId="20565"/>
    <cellStyle name="SAPBEXstdDataEmph 2 3 6 3" xfId="34738"/>
    <cellStyle name="SAPBEXstdDataEmph 2 3 6 4" xfId="34739"/>
    <cellStyle name="SAPBEXstdDataEmph 2 3 7" xfId="20566"/>
    <cellStyle name="SAPBEXstdDataEmph 2 3 7 2" xfId="20567"/>
    <cellStyle name="SAPBEXstdDataEmph 2 3 7 3" xfId="34740"/>
    <cellStyle name="SAPBEXstdDataEmph 2 3 7 4" xfId="34741"/>
    <cellStyle name="SAPBEXstdDataEmph 2 3 8" xfId="20568"/>
    <cellStyle name="SAPBEXstdDataEmph 2 3 8 2" xfId="20569"/>
    <cellStyle name="SAPBEXstdDataEmph 2 3 8 3" xfId="34742"/>
    <cellStyle name="SAPBEXstdDataEmph 2 3 8 4" xfId="34743"/>
    <cellStyle name="SAPBEXstdDataEmph 2 3 9" xfId="20570"/>
    <cellStyle name="SAPBEXstdDataEmph 2 3 9 2" xfId="20571"/>
    <cellStyle name="SAPBEXstdDataEmph 2 3 9 3" xfId="34744"/>
    <cellStyle name="SAPBEXstdDataEmph 2 3 9 4" xfId="34745"/>
    <cellStyle name="SAPBEXstdDataEmph 2 4" xfId="20572"/>
    <cellStyle name="SAPBEXstdDataEmph 2 4 10" xfId="20573"/>
    <cellStyle name="SAPBEXstdDataEmph 2 4 10 2" xfId="20574"/>
    <cellStyle name="SAPBEXstdDataEmph 2 4 10 3" xfId="34746"/>
    <cellStyle name="SAPBEXstdDataEmph 2 4 10 4" xfId="34747"/>
    <cellStyle name="SAPBEXstdDataEmph 2 4 11" xfId="20575"/>
    <cellStyle name="SAPBEXstdDataEmph 2 4 11 2" xfId="20576"/>
    <cellStyle name="SAPBEXstdDataEmph 2 4 11 3" xfId="34748"/>
    <cellStyle name="SAPBEXstdDataEmph 2 4 11 4" xfId="34749"/>
    <cellStyle name="SAPBEXstdDataEmph 2 4 12" xfId="20577"/>
    <cellStyle name="SAPBEXstdDataEmph 2 4 13" xfId="34750"/>
    <cellStyle name="SAPBEXstdDataEmph 2 4 14" xfId="34751"/>
    <cellStyle name="SAPBEXstdDataEmph 2 4 2" xfId="20578"/>
    <cellStyle name="SAPBEXstdDataEmph 2 4 2 10" xfId="34752"/>
    <cellStyle name="SAPBEXstdDataEmph 2 4 2 2" xfId="20579"/>
    <cellStyle name="SAPBEXstdDataEmph 2 4 2 2 2" xfId="20580"/>
    <cellStyle name="SAPBEXstdDataEmph 2 4 2 2 3" xfId="34753"/>
    <cellStyle name="SAPBEXstdDataEmph 2 4 2 2 4" xfId="34754"/>
    <cellStyle name="SAPBEXstdDataEmph 2 4 2 3" xfId="20581"/>
    <cellStyle name="SAPBEXstdDataEmph 2 4 2 3 2" xfId="20582"/>
    <cellStyle name="SAPBEXstdDataEmph 2 4 2 3 3" xfId="34755"/>
    <cellStyle name="SAPBEXstdDataEmph 2 4 2 3 4" xfId="34756"/>
    <cellStyle name="SAPBEXstdDataEmph 2 4 2 4" xfId="20583"/>
    <cellStyle name="SAPBEXstdDataEmph 2 4 2 4 2" xfId="20584"/>
    <cellStyle name="SAPBEXstdDataEmph 2 4 2 4 3" xfId="34757"/>
    <cellStyle name="SAPBEXstdDataEmph 2 4 2 4 4" xfId="34758"/>
    <cellStyle name="SAPBEXstdDataEmph 2 4 2 5" xfId="20585"/>
    <cellStyle name="SAPBEXstdDataEmph 2 4 2 5 2" xfId="20586"/>
    <cellStyle name="SAPBEXstdDataEmph 2 4 2 5 3" xfId="34759"/>
    <cellStyle name="SAPBEXstdDataEmph 2 4 2 5 4" xfId="34760"/>
    <cellStyle name="SAPBEXstdDataEmph 2 4 2 6" xfId="20587"/>
    <cellStyle name="SAPBEXstdDataEmph 2 4 2 6 2" xfId="20588"/>
    <cellStyle name="SAPBEXstdDataEmph 2 4 2 6 3" xfId="34761"/>
    <cellStyle name="SAPBEXstdDataEmph 2 4 2 6 4" xfId="34762"/>
    <cellStyle name="SAPBEXstdDataEmph 2 4 2 7" xfId="20589"/>
    <cellStyle name="SAPBEXstdDataEmph 2 4 2 7 2" xfId="20590"/>
    <cellStyle name="SAPBEXstdDataEmph 2 4 2 7 3" xfId="34763"/>
    <cellStyle name="SAPBEXstdDataEmph 2 4 2 7 4" xfId="34764"/>
    <cellStyle name="SAPBEXstdDataEmph 2 4 2 8" xfId="20591"/>
    <cellStyle name="SAPBEXstdDataEmph 2 4 2 9" xfId="34765"/>
    <cellStyle name="SAPBEXstdDataEmph 2 4 3" xfId="20592"/>
    <cellStyle name="SAPBEXstdDataEmph 2 4 3 10" xfId="34766"/>
    <cellStyle name="SAPBEXstdDataEmph 2 4 3 2" xfId="20593"/>
    <cellStyle name="SAPBEXstdDataEmph 2 4 3 2 2" xfId="20594"/>
    <cellStyle name="SAPBEXstdDataEmph 2 4 3 2 3" xfId="34767"/>
    <cellStyle name="SAPBEXstdDataEmph 2 4 3 2 4" xfId="34768"/>
    <cellStyle name="SAPBEXstdDataEmph 2 4 3 3" xfId="20595"/>
    <cellStyle name="SAPBEXstdDataEmph 2 4 3 3 2" xfId="20596"/>
    <cellStyle name="SAPBEXstdDataEmph 2 4 3 3 3" xfId="34769"/>
    <cellStyle name="SAPBEXstdDataEmph 2 4 3 3 4" xfId="34770"/>
    <cellStyle name="SAPBEXstdDataEmph 2 4 3 4" xfId="20597"/>
    <cellStyle name="SAPBEXstdDataEmph 2 4 3 4 2" xfId="20598"/>
    <cellStyle name="SAPBEXstdDataEmph 2 4 3 4 3" xfId="34771"/>
    <cellStyle name="SAPBEXstdDataEmph 2 4 3 4 4" xfId="34772"/>
    <cellStyle name="SAPBEXstdDataEmph 2 4 3 5" xfId="20599"/>
    <cellStyle name="SAPBEXstdDataEmph 2 4 3 5 2" xfId="20600"/>
    <cellStyle name="SAPBEXstdDataEmph 2 4 3 5 3" xfId="34773"/>
    <cellStyle name="SAPBEXstdDataEmph 2 4 3 5 4" xfId="34774"/>
    <cellStyle name="SAPBEXstdDataEmph 2 4 3 6" xfId="20601"/>
    <cellStyle name="SAPBEXstdDataEmph 2 4 3 6 2" xfId="20602"/>
    <cellStyle name="SAPBEXstdDataEmph 2 4 3 6 3" xfId="34775"/>
    <cellStyle name="SAPBEXstdDataEmph 2 4 3 6 4" xfId="34776"/>
    <cellStyle name="SAPBEXstdDataEmph 2 4 3 7" xfId="20603"/>
    <cellStyle name="SAPBEXstdDataEmph 2 4 3 7 2" xfId="20604"/>
    <cellStyle name="SAPBEXstdDataEmph 2 4 3 7 3" xfId="34777"/>
    <cellStyle name="SAPBEXstdDataEmph 2 4 3 7 4" xfId="34778"/>
    <cellStyle name="SAPBEXstdDataEmph 2 4 3 8" xfId="20605"/>
    <cellStyle name="SAPBEXstdDataEmph 2 4 3 9" xfId="34779"/>
    <cellStyle name="SAPBEXstdDataEmph 2 4 4" xfId="20606"/>
    <cellStyle name="SAPBEXstdDataEmph 2 4 4 10" xfId="34780"/>
    <cellStyle name="SAPBEXstdDataEmph 2 4 4 2" xfId="20607"/>
    <cellStyle name="SAPBEXstdDataEmph 2 4 4 2 2" xfId="20608"/>
    <cellStyle name="SAPBEXstdDataEmph 2 4 4 2 3" xfId="34781"/>
    <cellStyle name="SAPBEXstdDataEmph 2 4 4 2 4" xfId="34782"/>
    <cellStyle name="SAPBEXstdDataEmph 2 4 4 3" xfId="20609"/>
    <cellStyle name="SAPBEXstdDataEmph 2 4 4 3 2" xfId="20610"/>
    <cellStyle name="SAPBEXstdDataEmph 2 4 4 3 3" xfId="34783"/>
    <cellStyle name="SAPBEXstdDataEmph 2 4 4 3 4" xfId="34784"/>
    <cellStyle name="SAPBEXstdDataEmph 2 4 4 4" xfId="20611"/>
    <cellStyle name="SAPBEXstdDataEmph 2 4 4 4 2" xfId="20612"/>
    <cellStyle name="SAPBEXstdDataEmph 2 4 4 4 3" xfId="34785"/>
    <cellStyle name="SAPBEXstdDataEmph 2 4 4 4 4" xfId="34786"/>
    <cellStyle name="SAPBEXstdDataEmph 2 4 4 5" xfId="20613"/>
    <cellStyle name="SAPBEXstdDataEmph 2 4 4 5 2" xfId="20614"/>
    <cellStyle name="SAPBEXstdDataEmph 2 4 4 5 3" xfId="34787"/>
    <cellStyle name="SAPBEXstdDataEmph 2 4 4 5 4" xfId="34788"/>
    <cellStyle name="SAPBEXstdDataEmph 2 4 4 6" xfId="20615"/>
    <cellStyle name="SAPBEXstdDataEmph 2 4 4 6 2" xfId="20616"/>
    <cellStyle name="SAPBEXstdDataEmph 2 4 4 6 3" xfId="34789"/>
    <cellStyle name="SAPBEXstdDataEmph 2 4 4 6 4" xfId="34790"/>
    <cellStyle name="SAPBEXstdDataEmph 2 4 4 7" xfId="20617"/>
    <cellStyle name="SAPBEXstdDataEmph 2 4 4 7 2" xfId="20618"/>
    <cellStyle name="SAPBEXstdDataEmph 2 4 4 7 3" xfId="34791"/>
    <cellStyle name="SAPBEXstdDataEmph 2 4 4 7 4" xfId="34792"/>
    <cellStyle name="SAPBEXstdDataEmph 2 4 4 8" xfId="20619"/>
    <cellStyle name="SAPBEXstdDataEmph 2 4 4 9" xfId="34793"/>
    <cellStyle name="SAPBEXstdDataEmph 2 4 5" xfId="20620"/>
    <cellStyle name="SAPBEXstdDataEmph 2 4 5 10" xfId="34794"/>
    <cellStyle name="SAPBEXstdDataEmph 2 4 5 2" xfId="20621"/>
    <cellStyle name="SAPBEXstdDataEmph 2 4 5 2 2" xfId="20622"/>
    <cellStyle name="SAPBEXstdDataEmph 2 4 5 2 3" xfId="34795"/>
    <cellStyle name="SAPBEXstdDataEmph 2 4 5 2 4" xfId="34796"/>
    <cellStyle name="SAPBEXstdDataEmph 2 4 5 3" xfId="20623"/>
    <cellStyle name="SAPBEXstdDataEmph 2 4 5 3 2" xfId="20624"/>
    <cellStyle name="SAPBEXstdDataEmph 2 4 5 3 3" xfId="34797"/>
    <cellStyle name="SAPBEXstdDataEmph 2 4 5 3 4" xfId="34798"/>
    <cellStyle name="SAPBEXstdDataEmph 2 4 5 4" xfId="20625"/>
    <cellStyle name="SAPBEXstdDataEmph 2 4 5 4 2" xfId="20626"/>
    <cellStyle name="SAPBEXstdDataEmph 2 4 5 4 3" xfId="34799"/>
    <cellStyle name="SAPBEXstdDataEmph 2 4 5 4 4" xfId="34800"/>
    <cellStyle name="SAPBEXstdDataEmph 2 4 5 5" xfId="20627"/>
    <cellStyle name="SAPBEXstdDataEmph 2 4 5 5 2" xfId="20628"/>
    <cellStyle name="SAPBEXstdDataEmph 2 4 5 5 3" xfId="34801"/>
    <cellStyle name="SAPBEXstdDataEmph 2 4 5 5 4" xfId="34802"/>
    <cellStyle name="SAPBEXstdDataEmph 2 4 5 6" xfId="20629"/>
    <cellStyle name="SAPBEXstdDataEmph 2 4 5 6 2" xfId="20630"/>
    <cellStyle name="SAPBEXstdDataEmph 2 4 5 6 3" xfId="34803"/>
    <cellStyle name="SAPBEXstdDataEmph 2 4 5 6 4" xfId="34804"/>
    <cellStyle name="SAPBEXstdDataEmph 2 4 5 7" xfId="20631"/>
    <cellStyle name="SAPBEXstdDataEmph 2 4 5 7 2" xfId="20632"/>
    <cellStyle name="SAPBEXstdDataEmph 2 4 5 7 3" xfId="34805"/>
    <cellStyle name="SAPBEXstdDataEmph 2 4 5 7 4" xfId="34806"/>
    <cellStyle name="SAPBEXstdDataEmph 2 4 5 8" xfId="20633"/>
    <cellStyle name="SAPBEXstdDataEmph 2 4 5 9" xfId="34807"/>
    <cellStyle name="SAPBEXstdDataEmph 2 4 6" xfId="20634"/>
    <cellStyle name="SAPBEXstdDataEmph 2 4 6 2" xfId="20635"/>
    <cellStyle name="SAPBEXstdDataEmph 2 4 6 3" xfId="34808"/>
    <cellStyle name="SAPBEXstdDataEmph 2 4 6 4" xfId="34809"/>
    <cellStyle name="SAPBEXstdDataEmph 2 4 7" xfId="20636"/>
    <cellStyle name="SAPBEXstdDataEmph 2 4 7 2" xfId="20637"/>
    <cellStyle name="SAPBEXstdDataEmph 2 4 7 3" xfId="34810"/>
    <cellStyle name="SAPBEXstdDataEmph 2 4 7 4" xfId="34811"/>
    <cellStyle name="SAPBEXstdDataEmph 2 4 8" xfId="20638"/>
    <cellStyle name="SAPBEXstdDataEmph 2 4 8 2" xfId="20639"/>
    <cellStyle name="SAPBEXstdDataEmph 2 4 8 3" xfId="34812"/>
    <cellStyle name="SAPBEXstdDataEmph 2 4 8 4" xfId="34813"/>
    <cellStyle name="SAPBEXstdDataEmph 2 4 9" xfId="20640"/>
    <cellStyle name="SAPBEXstdDataEmph 2 4 9 2" xfId="20641"/>
    <cellStyle name="SAPBEXstdDataEmph 2 4 9 3" xfId="34814"/>
    <cellStyle name="SAPBEXstdDataEmph 2 4 9 4" xfId="34815"/>
    <cellStyle name="SAPBEXstdDataEmph 2 5" xfId="20642"/>
    <cellStyle name="SAPBEXstdDataEmph 2 5 10" xfId="20643"/>
    <cellStyle name="SAPBEXstdDataEmph 2 5 10 2" xfId="20644"/>
    <cellStyle name="SAPBEXstdDataEmph 2 5 10 3" xfId="34816"/>
    <cellStyle name="SAPBEXstdDataEmph 2 5 10 4" xfId="34817"/>
    <cellStyle name="SAPBEXstdDataEmph 2 5 11" xfId="20645"/>
    <cellStyle name="SAPBEXstdDataEmph 2 5 11 2" xfId="20646"/>
    <cellStyle name="SAPBEXstdDataEmph 2 5 11 3" xfId="34818"/>
    <cellStyle name="SAPBEXstdDataEmph 2 5 11 4" xfId="34819"/>
    <cellStyle name="SAPBEXstdDataEmph 2 5 12" xfId="20647"/>
    <cellStyle name="SAPBEXstdDataEmph 2 5 13" xfId="34820"/>
    <cellStyle name="SAPBEXstdDataEmph 2 5 14" xfId="34821"/>
    <cellStyle name="SAPBEXstdDataEmph 2 5 2" xfId="20648"/>
    <cellStyle name="SAPBEXstdDataEmph 2 5 2 10" xfId="34822"/>
    <cellStyle name="SAPBEXstdDataEmph 2 5 2 2" xfId="20649"/>
    <cellStyle name="SAPBEXstdDataEmph 2 5 2 2 2" xfId="20650"/>
    <cellStyle name="SAPBEXstdDataEmph 2 5 2 2 3" xfId="34823"/>
    <cellStyle name="SAPBEXstdDataEmph 2 5 2 2 4" xfId="34824"/>
    <cellStyle name="SAPBEXstdDataEmph 2 5 2 3" xfId="20651"/>
    <cellStyle name="SAPBEXstdDataEmph 2 5 2 3 2" xfId="20652"/>
    <cellStyle name="SAPBEXstdDataEmph 2 5 2 3 3" xfId="34825"/>
    <cellStyle name="SAPBEXstdDataEmph 2 5 2 3 4" xfId="34826"/>
    <cellStyle name="SAPBEXstdDataEmph 2 5 2 4" xfId="20653"/>
    <cellStyle name="SAPBEXstdDataEmph 2 5 2 4 2" xfId="20654"/>
    <cellStyle name="SAPBEXstdDataEmph 2 5 2 4 3" xfId="34827"/>
    <cellStyle name="SAPBEXstdDataEmph 2 5 2 4 4" xfId="34828"/>
    <cellStyle name="SAPBEXstdDataEmph 2 5 2 5" xfId="20655"/>
    <cellStyle name="SAPBEXstdDataEmph 2 5 2 5 2" xfId="20656"/>
    <cellStyle name="SAPBEXstdDataEmph 2 5 2 5 3" xfId="34829"/>
    <cellStyle name="SAPBEXstdDataEmph 2 5 2 5 4" xfId="34830"/>
    <cellStyle name="SAPBEXstdDataEmph 2 5 2 6" xfId="20657"/>
    <cellStyle name="SAPBEXstdDataEmph 2 5 2 6 2" xfId="20658"/>
    <cellStyle name="SAPBEXstdDataEmph 2 5 2 6 3" xfId="34831"/>
    <cellStyle name="SAPBEXstdDataEmph 2 5 2 6 4" xfId="34832"/>
    <cellStyle name="SAPBEXstdDataEmph 2 5 2 7" xfId="20659"/>
    <cellStyle name="SAPBEXstdDataEmph 2 5 2 7 2" xfId="20660"/>
    <cellStyle name="SAPBEXstdDataEmph 2 5 2 7 3" xfId="34833"/>
    <cellStyle name="SAPBEXstdDataEmph 2 5 2 7 4" xfId="34834"/>
    <cellStyle name="SAPBEXstdDataEmph 2 5 2 8" xfId="20661"/>
    <cellStyle name="SAPBEXstdDataEmph 2 5 2 9" xfId="34835"/>
    <cellStyle name="SAPBEXstdDataEmph 2 5 3" xfId="20662"/>
    <cellStyle name="SAPBEXstdDataEmph 2 5 3 10" xfId="34836"/>
    <cellStyle name="SAPBEXstdDataEmph 2 5 3 2" xfId="20663"/>
    <cellStyle name="SAPBEXstdDataEmph 2 5 3 2 2" xfId="20664"/>
    <cellStyle name="SAPBEXstdDataEmph 2 5 3 2 3" xfId="34837"/>
    <cellStyle name="SAPBEXstdDataEmph 2 5 3 2 4" xfId="34838"/>
    <cellStyle name="SAPBEXstdDataEmph 2 5 3 3" xfId="20665"/>
    <cellStyle name="SAPBEXstdDataEmph 2 5 3 3 2" xfId="20666"/>
    <cellStyle name="SAPBEXstdDataEmph 2 5 3 3 3" xfId="34839"/>
    <cellStyle name="SAPBEXstdDataEmph 2 5 3 3 4" xfId="34840"/>
    <cellStyle name="SAPBEXstdDataEmph 2 5 3 4" xfId="20667"/>
    <cellStyle name="SAPBEXstdDataEmph 2 5 3 4 2" xfId="20668"/>
    <cellStyle name="SAPBEXstdDataEmph 2 5 3 4 3" xfId="34841"/>
    <cellStyle name="SAPBEXstdDataEmph 2 5 3 4 4" xfId="34842"/>
    <cellStyle name="SAPBEXstdDataEmph 2 5 3 5" xfId="20669"/>
    <cellStyle name="SAPBEXstdDataEmph 2 5 3 5 2" xfId="20670"/>
    <cellStyle name="SAPBEXstdDataEmph 2 5 3 5 3" xfId="34843"/>
    <cellStyle name="SAPBEXstdDataEmph 2 5 3 5 4" xfId="34844"/>
    <cellStyle name="SAPBEXstdDataEmph 2 5 3 6" xfId="20671"/>
    <cellStyle name="SAPBEXstdDataEmph 2 5 3 6 2" xfId="20672"/>
    <cellStyle name="SAPBEXstdDataEmph 2 5 3 6 3" xfId="34845"/>
    <cellStyle name="SAPBEXstdDataEmph 2 5 3 6 4" xfId="34846"/>
    <cellStyle name="SAPBEXstdDataEmph 2 5 3 7" xfId="20673"/>
    <cellStyle name="SAPBEXstdDataEmph 2 5 3 7 2" xfId="20674"/>
    <cellStyle name="SAPBEXstdDataEmph 2 5 3 7 3" xfId="34847"/>
    <cellStyle name="SAPBEXstdDataEmph 2 5 3 7 4" xfId="34848"/>
    <cellStyle name="SAPBEXstdDataEmph 2 5 3 8" xfId="20675"/>
    <cellStyle name="SAPBEXstdDataEmph 2 5 3 9" xfId="34849"/>
    <cellStyle name="SAPBEXstdDataEmph 2 5 4" xfId="20676"/>
    <cellStyle name="SAPBEXstdDataEmph 2 5 4 10" xfId="34850"/>
    <cellStyle name="SAPBEXstdDataEmph 2 5 4 2" xfId="20677"/>
    <cellStyle name="SAPBEXstdDataEmph 2 5 4 2 2" xfId="20678"/>
    <cellStyle name="SAPBEXstdDataEmph 2 5 4 2 3" xfId="34851"/>
    <cellStyle name="SAPBEXstdDataEmph 2 5 4 2 4" xfId="34852"/>
    <cellStyle name="SAPBEXstdDataEmph 2 5 4 3" xfId="20679"/>
    <cellStyle name="SAPBEXstdDataEmph 2 5 4 3 2" xfId="20680"/>
    <cellStyle name="SAPBEXstdDataEmph 2 5 4 3 3" xfId="34853"/>
    <cellStyle name="SAPBEXstdDataEmph 2 5 4 3 4" xfId="34854"/>
    <cellStyle name="SAPBEXstdDataEmph 2 5 4 4" xfId="20681"/>
    <cellStyle name="SAPBEXstdDataEmph 2 5 4 4 2" xfId="20682"/>
    <cellStyle name="SAPBEXstdDataEmph 2 5 4 4 3" xfId="34855"/>
    <cellStyle name="SAPBEXstdDataEmph 2 5 4 4 4" xfId="34856"/>
    <cellStyle name="SAPBEXstdDataEmph 2 5 4 5" xfId="20683"/>
    <cellStyle name="SAPBEXstdDataEmph 2 5 4 5 2" xfId="20684"/>
    <cellStyle name="SAPBEXstdDataEmph 2 5 4 5 3" xfId="34857"/>
    <cellStyle name="SAPBEXstdDataEmph 2 5 4 5 4" xfId="34858"/>
    <cellStyle name="SAPBEXstdDataEmph 2 5 4 6" xfId="20685"/>
    <cellStyle name="SAPBEXstdDataEmph 2 5 4 6 2" xfId="20686"/>
    <cellStyle name="SAPBEXstdDataEmph 2 5 4 6 3" xfId="34859"/>
    <cellStyle name="SAPBEXstdDataEmph 2 5 4 6 4" xfId="34860"/>
    <cellStyle name="SAPBEXstdDataEmph 2 5 4 7" xfId="20687"/>
    <cellStyle name="SAPBEXstdDataEmph 2 5 4 7 2" xfId="20688"/>
    <cellStyle name="SAPBEXstdDataEmph 2 5 4 7 3" xfId="34861"/>
    <cellStyle name="SAPBEXstdDataEmph 2 5 4 7 4" xfId="34862"/>
    <cellStyle name="SAPBEXstdDataEmph 2 5 4 8" xfId="20689"/>
    <cellStyle name="SAPBEXstdDataEmph 2 5 4 9" xfId="34863"/>
    <cellStyle name="SAPBEXstdDataEmph 2 5 5" xfId="20690"/>
    <cellStyle name="SAPBEXstdDataEmph 2 5 5 10" xfId="34864"/>
    <cellStyle name="SAPBEXstdDataEmph 2 5 5 2" xfId="20691"/>
    <cellStyle name="SAPBEXstdDataEmph 2 5 5 2 2" xfId="20692"/>
    <cellStyle name="SAPBEXstdDataEmph 2 5 5 2 3" xfId="34865"/>
    <cellStyle name="SAPBEXstdDataEmph 2 5 5 2 4" xfId="34866"/>
    <cellStyle name="SAPBEXstdDataEmph 2 5 5 3" xfId="20693"/>
    <cellStyle name="SAPBEXstdDataEmph 2 5 5 3 2" xfId="20694"/>
    <cellStyle name="SAPBEXstdDataEmph 2 5 5 3 3" xfId="34867"/>
    <cellStyle name="SAPBEXstdDataEmph 2 5 5 3 4" xfId="34868"/>
    <cellStyle name="SAPBEXstdDataEmph 2 5 5 4" xfId="20695"/>
    <cellStyle name="SAPBEXstdDataEmph 2 5 5 4 2" xfId="20696"/>
    <cellStyle name="SAPBEXstdDataEmph 2 5 5 4 3" xfId="34869"/>
    <cellStyle name="SAPBEXstdDataEmph 2 5 5 4 4" xfId="34870"/>
    <cellStyle name="SAPBEXstdDataEmph 2 5 5 5" xfId="20697"/>
    <cellStyle name="SAPBEXstdDataEmph 2 5 5 5 2" xfId="20698"/>
    <cellStyle name="SAPBEXstdDataEmph 2 5 5 5 3" xfId="34871"/>
    <cellStyle name="SAPBEXstdDataEmph 2 5 5 5 4" xfId="34872"/>
    <cellStyle name="SAPBEXstdDataEmph 2 5 5 6" xfId="20699"/>
    <cellStyle name="SAPBEXstdDataEmph 2 5 5 6 2" xfId="20700"/>
    <cellStyle name="SAPBEXstdDataEmph 2 5 5 6 3" xfId="34873"/>
    <cellStyle name="SAPBEXstdDataEmph 2 5 5 6 4" xfId="34874"/>
    <cellStyle name="SAPBEXstdDataEmph 2 5 5 7" xfId="20701"/>
    <cellStyle name="SAPBEXstdDataEmph 2 5 5 7 2" xfId="20702"/>
    <cellStyle name="SAPBEXstdDataEmph 2 5 5 7 3" xfId="34875"/>
    <cellStyle name="SAPBEXstdDataEmph 2 5 5 7 4" xfId="34876"/>
    <cellStyle name="SAPBEXstdDataEmph 2 5 5 8" xfId="20703"/>
    <cellStyle name="SAPBEXstdDataEmph 2 5 5 9" xfId="34877"/>
    <cellStyle name="SAPBEXstdDataEmph 2 5 6" xfId="20704"/>
    <cellStyle name="SAPBEXstdDataEmph 2 5 6 2" xfId="20705"/>
    <cellStyle name="SAPBEXstdDataEmph 2 5 6 3" xfId="34878"/>
    <cellStyle name="SAPBEXstdDataEmph 2 5 6 4" xfId="34879"/>
    <cellStyle name="SAPBEXstdDataEmph 2 5 7" xfId="20706"/>
    <cellStyle name="SAPBEXstdDataEmph 2 5 7 2" xfId="20707"/>
    <cellStyle name="SAPBEXstdDataEmph 2 5 7 3" xfId="34880"/>
    <cellStyle name="SAPBEXstdDataEmph 2 5 7 4" xfId="34881"/>
    <cellStyle name="SAPBEXstdDataEmph 2 5 8" xfId="20708"/>
    <cellStyle name="SAPBEXstdDataEmph 2 5 8 2" xfId="20709"/>
    <cellStyle name="SAPBEXstdDataEmph 2 5 8 3" xfId="34882"/>
    <cellStyle name="SAPBEXstdDataEmph 2 5 8 4" xfId="34883"/>
    <cellStyle name="SAPBEXstdDataEmph 2 5 9" xfId="20710"/>
    <cellStyle name="SAPBEXstdDataEmph 2 5 9 2" xfId="20711"/>
    <cellStyle name="SAPBEXstdDataEmph 2 5 9 3" xfId="34884"/>
    <cellStyle name="SAPBEXstdDataEmph 2 5 9 4" xfId="34885"/>
    <cellStyle name="SAPBEXstdDataEmph 2 6" xfId="20712"/>
    <cellStyle name="SAPBEXstdDataEmph 2 6 10" xfId="20713"/>
    <cellStyle name="SAPBEXstdDataEmph 2 6 10 2" xfId="20714"/>
    <cellStyle name="SAPBEXstdDataEmph 2 6 10 3" xfId="34886"/>
    <cellStyle name="SAPBEXstdDataEmph 2 6 10 4" xfId="34887"/>
    <cellStyle name="SAPBEXstdDataEmph 2 6 11" xfId="20715"/>
    <cellStyle name="SAPBEXstdDataEmph 2 6 11 2" xfId="20716"/>
    <cellStyle name="SAPBEXstdDataEmph 2 6 11 3" xfId="34888"/>
    <cellStyle name="SAPBEXstdDataEmph 2 6 11 4" xfId="34889"/>
    <cellStyle name="SAPBEXstdDataEmph 2 6 12" xfId="20717"/>
    <cellStyle name="SAPBEXstdDataEmph 2 6 13" xfId="34890"/>
    <cellStyle name="SAPBEXstdDataEmph 2 6 14" xfId="34891"/>
    <cellStyle name="SAPBEXstdDataEmph 2 6 2" xfId="20718"/>
    <cellStyle name="SAPBEXstdDataEmph 2 6 2 10" xfId="34892"/>
    <cellStyle name="SAPBEXstdDataEmph 2 6 2 2" xfId="20719"/>
    <cellStyle name="SAPBEXstdDataEmph 2 6 2 2 2" xfId="20720"/>
    <cellStyle name="SAPBEXstdDataEmph 2 6 2 2 3" xfId="34893"/>
    <cellStyle name="SAPBEXstdDataEmph 2 6 2 2 4" xfId="34894"/>
    <cellStyle name="SAPBEXstdDataEmph 2 6 2 3" xfId="20721"/>
    <cellStyle name="SAPBEXstdDataEmph 2 6 2 3 2" xfId="20722"/>
    <cellStyle name="SAPBEXstdDataEmph 2 6 2 3 3" xfId="34895"/>
    <cellStyle name="SAPBEXstdDataEmph 2 6 2 3 4" xfId="34896"/>
    <cellStyle name="SAPBEXstdDataEmph 2 6 2 4" xfId="20723"/>
    <cellStyle name="SAPBEXstdDataEmph 2 6 2 4 2" xfId="20724"/>
    <cellStyle name="SAPBEXstdDataEmph 2 6 2 4 3" xfId="34897"/>
    <cellStyle name="SAPBEXstdDataEmph 2 6 2 4 4" xfId="34898"/>
    <cellStyle name="SAPBEXstdDataEmph 2 6 2 5" xfId="20725"/>
    <cellStyle name="SAPBEXstdDataEmph 2 6 2 5 2" xfId="20726"/>
    <cellStyle name="SAPBEXstdDataEmph 2 6 2 5 3" xfId="34899"/>
    <cellStyle name="SAPBEXstdDataEmph 2 6 2 5 4" xfId="34900"/>
    <cellStyle name="SAPBEXstdDataEmph 2 6 2 6" xfId="20727"/>
    <cellStyle name="SAPBEXstdDataEmph 2 6 2 6 2" xfId="20728"/>
    <cellStyle name="SAPBEXstdDataEmph 2 6 2 6 3" xfId="34901"/>
    <cellStyle name="SAPBEXstdDataEmph 2 6 2 6 4" xfId="34902"/>
    <cellStyle name="SAPBEXstdDataEmph 2 6 2 7" xfId="20729"/>
    <cellStyle name="SAPBEXstdDataEmph 2 6 2 7 2" xfId="20730"/>
    <cellStyle name="SAPBEXstdDataEmph 2 6 2 7 3" xfId="34903"/>
    <cellStyle name="SAPBEXstdDataEmph 2 6 2 7 4" xfId="34904"/>
    <cellStyle name="SAPBEXstdDataEmph 2 6 2 8" xfId="20731"/>
    <cellStyle name="SAPBEXstdDataEmph 2 6 2 9" xfId="34905"/>
    <cellStyle name="SAPBEXstdDataEmph 2 6 3" xfId="20732"/>
    <cellStyle name="SAPBEXstdDataEmph 2 6 3 10" xfId="34906"/>
    <cellStyle name="SAPBEXstdDataEmph 2 6 3 2" xfId="20733"/>
    <cellStyle name="SAPBEXstdDataEmph 2 6 3 2 2" xfId="20734"/>
    <cellStyle name="SAPBEXstdDataEmph 2 6 3 2 3" xfId="34907"/>
    <cellStyle name="SAPBEXstdDataEmph 2 6 3 2 4" xfId="34908"/>
    <cellStyle name="SAPBEXstdDataEmph 2 6 3 3" xfId="20735"/>
    <cellStyle name="SAPBEXstdDataEmph 2 6 3 3 2" xfId="20736"/>
    <cellStyle name="SAPBEXstdDataEmph 2 6 3 3 3" xfId="34909"/>
    <cellStyle name="SAPBEXstdDataEmph 2 6 3 3 4" xfId="34910"/>
    <cellStyle name="SAPBEXstdDataEmph 2 6 3 4" xfId="20737"/>
    <cellStyle name="SAPBEXstdDataEmph 2 6 3 4 2" xfId="20738"/>
    <cellStyle name="SAPBEXstdDataEmph 2 6 3 4 3" xfId="34911"/>
    <cellStyle name="SAPBEXstdDataEmph 2 6 3 4 4" xfId="34912"/>
    <cellStyle name="SAPBEXstdDataEmph 2 6 3 5" xfId="20739"/>
    <cellStyle name="SAPBEXstdDataEmph 2 6 3 5 2" xfId="20740"/>
    <cellStyle name="SAPBEXstdDataEmph 2 6 3 5 3" xfId="34913"/>
    <cellStyle name="SAPBEXstdDataEmph 2 6 3 5 4" xfId="34914"/>
    <cellStyle name="SAPBEXstdDataEmph 2 6 3 6" xfId="20741"/>
    <cellStyle name="SAPBEXstdDataEmph 2 6 3 6 2" xfId="20742"/>
    <cellStyle name="SAPBEXstdDataEmph 2 6 3 6 3" xfId="34915"/>
    <cellStyle name="SAPBEXstdDataEmph 2 6 3 6 4" xfId="34916"/>
    <cellStyle name="SAPBEXstdDataEmph 2 6 3 7" xfId="20743"/>
    <cellStyle name="SAPBEXstdDataEmph 2 6 3 7 2" xfId="20744"/>
    <cellStyle name="SAPBEXstdDataEmph 2 6 3 7 3" xfId="34917"/>
    <cellStyle name="SAPBEXstdDataEmph 2 6 3 7 4" xfId="34918"/>
    <cellStyle name="SAPBEXstdDataEmph 2 6 3 8" xfId="20745"/>
    <cellStyle name="SAPBEXstdDataEmph 2 6 3 9" xfId="34919"/>
    <cellStyle name="SAPBEXstdDataEmph 2 6 4" xfId="20746"/>
    <cellStyle name="SAPBEXstdDataEmph 2 6 4 10" xfId="34920"/>
    <cellStyle name="SAPBEXstdDataEmph 2 6 4 2" xfId="20747"/>
    <cellStyle name="SAPBEXstdDataEmph 2 6 4 2 2" xfId="20748"/>
    <cellStyle name="SAPBEXstdDataEmph 2 6 4 2 3" xfId="34921"/>
    <cellStyle name="SAPBEXstdDataEmph 2 6 4 2 4" xfId="34922"/>
    <cellStyle name="SAPBEXstdDataEmph 2 6 4 3" xfId="20749"/>
    <cellStyle name="SAPBEXstdDataEmph 2 6 4 3 2" xfId="20750"/>
    <cellStyle name="SAPBEXstdDataEmph 2 6 4 3 3" xfId="34923"/>
    <cellStyle name="SAPBEXstdDataEmph 2 6 4 3 4" xfId="34924"/>
    <cellStyle name="SAPBEXstdDataEmph 2 6 4 4" xfId="20751"/>
    <cellStyle name="SAPBEXstdDataEmph 2 6 4 4 2" xfId="20752"/>
    <cellStyle name="SAPBEXstdDataEmph 2 6 4 4 3" xfId="34925"/>
    <cellStyle name="SAPBEXstdDataEmph 2 6 4 4 4" xfId="34926"/>
    <cellStyle name="SAPBEXstdDataEmph 2 6 4 5" xfId="20753"/>
    <cellStyle name="SAPBEXstdDataEmph 2 6 4 5 2" xfId="20754"/>
    <cellStyle name="SAPBEXstdDataEmph 2 6 4 5 3" xfId="34927"/>
    <cellStyle name="SAPBEXstdDataEmph 2 6 4 5 4" xfId="34928"/>
    <cellStyle name="SAPBEXstdDataEmph 2 6 4 6" xfId="20755"/>
    <cellStyle name="SAPBEXstdDataEmph 2 6 4 6 2" xfId="20756"/>
    <cellStyle name="SAPBEXstdDataEmph 2 6 4 6 3" xfId="34929"/>
    <cellStyle name="SAPBEXstdDataEmph 2 6 4 6 4" xfId="34930"/>
    <cellStyle name="SAPBEXstdDataEmph 2 6 4 7" xfId="20757"/>
    <cellStyle name="SAPBEXstdDataEmph 2 6 4 7 2" xfId="20758"/>
    <cellStyle name="SAPBEXstdDataEmph 2 6 4 7 3" xfId="34931"/>
    <cellStyle name="SAPBEXstdDataEmph 2 6 4 7 4" xfId="34932"/>
    <cellStyle name="SAPBEXstdDataEmph 2 6 4 8" xfId="20759"/>
    <cellStyle name="SAPBEXstdDataEmph 2 6 4 9" xfId="34933"/>
    <cellStyle name="SAPBEXstdDataEmph 2 6 5" xfId="20760"/>
    <cellStyle name="SAPBEXstdDataEmph 2 6 5 10" xfId="34934"/>
    <cellStyle name="SAPBEXstdDataEmph 2 6 5 2" xfId="20761"/>
    <cellStyle name="SAPBEXstdDataEmph 2 6 5 2 2" xfId="20762"/>
    <cellStyle name="SAPBEXstdDataEmph 2 6 5 2 3" xfId="34935"/>
    <cellStyle name="SAPBEXstdDataEmph 2 6 5 2 4" xfId="34936"/>
    <cellStyle name="SAPBEXstdDataEmph 2 6 5 3" xfId="20763"/>
    <cellStyle name="SAPBEXstdDataEmph 2 6 5 3 2" xfId="20764"/>
    <cellStyle name="SAPBEXstdDataEmph 2 6 5 3 3" xfId="34937"/>
    <cellStyle name="SAPBEXstdDataEmph 2 6 5 3 4" xfId="34938"/>
    <cellStyle name="SAPBEXstdDataEmph 2 6 5 4" xfId="20765"/>
    <cellStyle name="SAPBEXstdDataEmph 2 6 5 4 2" xfId="20766"/>
    <cellStyle name="SAPBEXstdDataEmph 2 6 5 4 3" xfId="34939"/>
    <cellStyle name="SAPBEXstdDataEmph 2 6 5 4 4" xfId="34940"/>
    <cellStyle name="SAPBEXstdDataEmph 2 6 5 5" xfId="20767"/>
    <cellStyle name="SAPBEXstdDataEmph 2 6 5 5 2" xfId="20768"/>
    <cellStyle name="SAPBEXstdDataEmph 2 6 5 5 3" xfId="34941"/>
    <cellStyle name="SAPBEXstdDataEmph 2 6 5 5 4" xfId="34942"/>
    <cellStyle name="SAPBEXstdDataEmph 2 6 5 6" xfId="20769"/>
    <cellStyle name="SAPBEXstdDataEmph 2 6 5 6 2" xfId="20770"/>
    <cellStyle name="SAPBEXstdDataEmph 2 6 5 6 3" xfId="34943"/>
    <cellStyle name="SAPBEXstdDataEmph 2 6 5 6 4" xfId="34944"/>
    <cellStyle name="SAPBEXstdDataEmph 2 6 5 7" xfId="20771"/>
    <cellStyle name="SAPBEXstdDataEmph 2 6 5 7 2" xfId="20772"/>
    <cellStyle name="SAPBEXstdDataEmph 2 6 5 7 3" xfId="34945"/>
    <cellStyle name="SAPBEXstdDataEmph 2 6 5 7 4" xfId="34946"/>
    <cellStyle name="SAPBEXstdDataEmph 2 6 5 8" xfId="20773"/>
    <cellStyle name="SAPBEXstdDataEmph 2 6 5 9" xfId="34947"/>
    <cellStyle name="SAPBEXstdDataEmph 2 6 6" xfId="20774"/>
    <cellStyle name="SAPBEXstdDataEmph 2 6 6 2" xfId="20775"/>
    <cellStyle name="SAPBEXstdDataEmph 2 6 6 3" xfId="34948"/>
    <cellStyle name="SAPBEXstdDataEmph 2 6 6 4" xfId="34949"/>
    <cellStyle name="SAPBEXstdDataEmph 2 6 7" xfId="20776"/>
    <cellStyle name="SAPBEXstdDataEmph 2 6 7 2" xfId="20777"/>
    <cellStyle name="SAPBEXstdDataEmph 2 6 7 3" xfId="34950"/>
    <cellStyle name="SAPBEXstdDataEmph 2 6 7 4" xfId="34951"/>
    <cellStyle name="SAPBEXstdDataEmph 2 6 8" xfId="20778"/>
    <cellStyle name="SAPBEXstdDataEmph 2 6 8 2" xfId="20779"/>
    <cellStyle name="SAPBEXstdDataEmph 2 6 8 3" xfId="34952"/>
    <cellStyle name="SAPBEXstdDataEmph 2 6 8 4" xfId="34953"/>
    <cellStyle name="SAPBEXstdDataEmph 2 6 9" xfId="20780"/>
    <cellStyle name="SAPBEXstdDataEmph 2 6 9 2" xfId="20781"/>
    <cellStyle name="SAPBEXstdDataEmph 2 6 9 3" xfId="34954"/>
    <cellStyle name="SAPBEXstdDataEmph 2 6 9 4" xfId="34955"/>
    <cellStyle name="SAPBEXstdDataEmph 2 7" xfId="20782"/>
    <cellStyle name="SAPBEXstdDataEmph 2 7 10" xfId="20783"/>
    <cellStyle name="SAPBEXstdDataEmph 2 7 10 2" xfId="20784"/>
    <cellStyle name="SAPBEXstdDataEmph 2 7 10 3" xfId="34956"/>
    <cellStyle name="SAPBEXstdDataEmph 2 7 10 4" xfId="34957"/>
    <cellStyle name="SAPBEXstdDataEmph 2 7 11" xfId="20785"/>
    <cellStyle name="SAPBEXstdDataEmph 2 7 11 2" xfId="20786"/>
    <cellStyle name="SAPBEXstdDataEmph 2 7 11 3" xfId="34958"/>
    <cellStyle name="SAPBEXstdDataEmph 2 7 11 4" xfId="34959"/>
    <cellStyle name="SAPBEXstdDataEmph 2 7 12" xfId="20787"/>
    <cellStyle name="SAPBEXstdDataEmph 2 7 13" xfId="34960"/>
    <cellStyle name="SAPBEXstdDataEmph 2 7 14" xfId="34961"/>
    <cellStyle name="SAPBEXstdDataEmph 2 7 2" xfId="20788"/>
    <cellStyle name="SAPBEXstdDataEmph 2 7 2 10" xfId="34962"/>
    <cellStyle name="SAPBEXstdDataEmph 2 7 2 2" xfId="20789"/>
    <cellStyle name="SAPBEXstdDataEmph 2 7 2 2 2" xfId="20790"/>
    <cellStyle name="SAPBEXstdDataEmph 2 7 2 2 3" xfId="34963"/>
    <cellStyle name="SAPBEXstdDataEmph 2 7 2 2 4" xfId="34964"/>
    <cellStyle name="SAPBEXstdDataEmph 2 7 2 3" xfId="20791"/>
    <cellStyle name="SAPBEXstdDataEmph 2 7 2 3 2" xfId="20792"/>
    <cellStyle name="SAPBEXstdDataEmph 2 7 2 3 3" xfId="34965"/>
    <cellStyle name="SAPBEXstdDataEmph 2 7 2 3 4" xfId="34966"/>
    <cellStyle name="SAPBEXstdDataEmph 2 7 2 4" xfId="20793"/>
    <cellStyle name="SAPBEXstdDataEmph 2 7 2 4 2" xfId="20794"/>
    <cellStyle name="SAPBEXstdDataEmph 2 7 2 4 3" xfId="34967"/>
    <cellStyle name="SAPBEXstdDataEmph 2 7 2 4 4" xfId="34968"/>
    <cellStyle name="SAPBEXstdDataEmph 2 7 2 5" xfId="20795"/>
    <cellStyle name="SAPBEXstdDataEmph 2 7 2 5 2" xfId="20796"/>
    <cellStyle name="SAPBEXstdDataEmph 2 7 2 5 3" xfId="34969"/>
    <cellStyle name="SAPBEXstdDataEmph 2 7 2 5 4" xfId="34970"/>
    <cellStyle name="SAPBEXstdDataEmph 2 7 2 6" xfId="20797"/>
    <cellStyle name="SAPBEXstdDataEmph 2 7 2 6 2" xfId="20798"/>
    <cellStyle name="SAPBEXstdDataEmph 2 7 2 6 3" xfId="34971"/>
    <cellStyle name="SAPBEXstdDataEmph 2 7 2 6 4" xfId="34972"/>
    <cellStyle name="SAPBEXstdDataEmph 2 7 2 7" xfId="20799"/>
    <cellStyle name="SAPBEXstdDataEmph 2 7 2 7 2" xfId="20800"/>
    <cellStyle name="SAPBEXstdDataEmph 2 7 2 7 3" xfId="34973"/>
    <cellStyle name="SAPBEXstdDataEmph 2 7 2 7 4" xfId="34974"/>
    <cellStyle name="SAPBEXstdDataEmph 2 7 2 8" xfId="20801"/>
    <cellStyle name="SAPBEXstdDataEmph 2 7 2 9" xfId="34975"/>
    <cellStyle name="SAPBEXstdDataEmph 2 7 3" xfId="20802"/>
    <cellStyle name="SAPBEXstdDataEmph 2 7 3 10" xfId="34976"/>
    <cellStyle name="SAPBEXstdDataEmph 2 7 3 2" xfId="20803"/>
    <cellStyle name="SAPBEXstdDataEmph 2 7 3 2 2" xfId="20804"/>
    <cellStyle name="SAPBEXstdDataEmph 2 7 3 2 3" xfId="34977"/>
    <cellStyle name="SAPBEXstdDataEmph 2 7 3 2 4" xfId="34978"/>
    <cellStyle name="SAPBEXstdDataEmph 2 7 3 3" xfId="20805"/>
    <cellStyle name="SAPBEXstdDataEmph 2 7 3 3 2" xfId="20806"/>
    <cellStyle name="SAPBEXstdDataEmph 2 7 3 3 3" xfId="34979"/>
    <cellStyle name="SAPBEXstdDataEmph 2 7 3 3 4" xfId="34980"/>
    <cellStyle name="SAPBEXstdDataEmph 2 7 3 4" xfId="20807"/>
    <cellStyle name="SAPBEXstdDataEmph 2 7 3 4 2" xfId="20808"/>
    <cellStyle name="SAPBEXstdDataEmph 2 7 3 4 3" xfId="34981"/>
    <cellStyle name="SAPBEXstdDataEmph 2 7 3 4 4" xfId="34982"/>
    <cellStyle name="SAPBEXstdDataEmph 2 7 3 5" xfId="20809"/>
    <cellStyle name="SAPBEXstdDataEmph 2 7 3 5 2" xfId="20810"/>
    <cellStyle name="SAPBEXstdDataEmph 2 7 3 5 3" xfId="34983"/>
    <cellStyle name="SAPBEXstdDataEmph 2 7 3 5 4" xfId="34984"/>
    <cellStyle name="SAPBEXstdDataEmph 2 7 3 6" xfId="20811"/>
    <cellStyle name="SAPBEXstdDataEmph 2 7 3 6 2" xfId="20812"/>
    <cellStyle name="SAPBEXstdDataEmph 2 7 3 6 3" xfId="34985"/>
    <cellStyle name="SAPBEXstdDataEmph 2 7 3 6 4" xfId="34986"/>
    <cellStyle name="SAPBEXstdDataEmph 2 7 3 7" xfId="20813"/>
    <cellStyle name="SAPBEXstdDataEmph 2 7 3 7 2" xfId="20814"/>
    <cellStyle name="SAPBEXstdDataEmph 2 7 3 7 3" xfId="34987"/>
    <cellStyle name="SAPBEXstdDataEmph 2 7 3 7 4" xfId="34988"/>
    <cellStyle name="SAPBEXstdDataEmph 2 7 3 8" xfId="20815"/>
    <cellStyle name="SAPBEXstdDataEmph 2 7 3 9" xfId="34989"/>
    <cellStyle name="SAPBEXstdDataEmph 2 7 4" xfId="20816"/>
    <cellStyle name="SAPBEXstdDataEmph 2 7 4 10" xfId="34990"/>
    <cellStyle name="SAPBEXstdDataEmph 2 7 4 2" xfId="20817"/>
    <cellStyle name="SAPBEXstdDataEmph 2 7 4 2 2" xfId="20818"/>
    <cellStyle name="SAPBEXstdDataEmph 2 7 4 2 3" xfId="34991"/>
    <cellStyle name="SAPBEXstdDataEmph 2 7 4 2 4" xfId="34992"/>
    <cellStyle name="SAPBEXstdDataEmph 2 7 4 3" xfId="20819"/>
    <cellStyle name="SAPBEXstdDataEmph 2 7 4 3 2" xfId="20820"/>
    <cellStyle name="SAPBEXstdDataEmph 2 7 4 3 3" xfId="34993"/>
    <cellStyle name="SAPBEXstdDataEmph 2 7 4 3 4" xfId="34994"/>
    <cellStyle name="SAPBEXstdDataEmph 2 7 4 4" xfId="20821"/>
    <cellStyle name="SAPBEXstdDataEmph 2 7 4 4 2" xfId="20822"/>
    <cellStyle name="SAPBEXstdDataEmph 2 7 4 4 3" xfId="34995"/>
    <cellStyle name="SAPBEXstdDataEmph 2 7 4 4 4" xfId="34996"/>
    <cellStyle name="SAPBEXstdDataEmph 2 7 4 5" xfId="20823"/>
    <cellStyle name="SAPBEXstdDataEmph 2 7 4 5 2" xfId="20824"/>
    <cellStyle name="SAPBEXstdDataEmph 2 7 4 5 3" xfId="34997"/>
    <cellStyle name="SAPBEXstdDataEmph 2 7 4 5 4" xfId="34998"/>
    <cellStyle name="SAPBEXstdDataEmph 2 7 4 6" xfId="20825"/>
    <cellStyle name="SAPBEXstdDataEmph 2 7 4 6 2" xfId="20826"/>
    <cellStyle name="SAPBEXstdDataEmph 2 7 4 6 3" xfId="34999"/>
    <cellStyle name="SAPBEXstdDataEmph 2 7 4 6 4" xfId="35000"/>
    <cellStyle name="SAPBEXstdDataEmph 2 7 4 7" xfId="20827"/>
    <cellStyle name="SAPBEXstdDataEmph 2 7 4 7 2" xfId="20828"/>
    <cellStyle name="SAPBEXstdDataEmph 2 7 4 7 3" xfId="35001"/>
    <cellStyle name="SAPBEXstdDataEmph 2 7 4 7 4" xfId="35002"/>
    <cellStyle name="SAPBEXstdDataEmph 2 7 4 8" xfId="20829"/>
    <cellStyle name="SAPBEXstdDataEmph 2 7 4 9" xfId="35003"/>
    <cellStyle name="SAPBEXstdDataEmph 2 7 5" xfId="20830"/>
    <cellStyle name="SAPBEXstdDataEmph 2 7 5 10" xfId="35004"/>
    <cellStyle name="SAPBEXstdDataEmph 2 7 5 2" xfId="20831"/>
    <cellStyle name="SAPBEXstdDataEmph 2 7 5 2 2" xfId="20832"/>
    <cellStyle name="SAPBEXstdDataEmph 2 7 5 2 3" xfId="35005"/>
    <cellStyle name="SAPBEXstdDataEmph 2 7 5 2 4" xfId="35006"/>
    <cellStyle name="SAPBEXstdDataEmph 2 7 5 3" xfId="20833"/>
    <cellStyle name="SAPBEXstdDataEmph 2 7 5 3 2" xfId="20834"/>
    <cellStyle name="SAPBEXstdDataEmph 2 7 5 3 3" xfId="35007"/>
    <cellStyle name="SAPBEXstdDataEmph 2 7 5 3 4" xfId="35008"/>
    <cellStyle name="SAPBEXstdDataEmph 2 7 5 4" xfId="20835"/>
    <cellStyle name="SAPBEXstdDataEmph 2 7 5 4 2" xfId="20836"/>
    <cellStyle name="SAPBEXstdDataEmph 2 7 5 4 3" xfId="35009"/>
    <cellStyle name="SAPBEXstdDataEmph 2 7 5 4 4" xfId="35010"/>
    <cellStyle name="SAPBEXstdDataEmph 2 7 5 5" xfId="20837"/>
    <cellStyle name="SAPBEXstdDataEmph 2 7 5 5 2" xfId="20838"/>
    <cellStyle name="SAPBEXstdDataEmph 2 7 5 5 3" xfId="35011"/>
    <cellStyle name="SAPBEXstdDataEmph 2 7 5 5 4" xfId="35012"/>
    <cellStyle name="SAPBEXstdDataEmph 2 7 5 6" xfId="20839"/>
    <cellStyle name="SAPBEXstdDataEmph 2 7 5 6 2" xfId="20840"/>
    <cellStyle name="SAPBEXstdDataEmph 2 7 5 6 3" xfId="35013"/>
    <cellStyle name="SAPBEXstdDataEmph 2 7 5 6 4" xfId="35014"/>
    <cellStyle name="SAPBEXstdDataEmph 2 7 5 7" xfId="20841"/>
    <cellStyle name="SAPBEXstdDataEmph 2 7 5 7 2" xfId="20842"/>
    <cellStyle name="SAPBEXstdDataEmph 2 7 5 7 3" xfId="35015"/>
    <cellStyle name="SAPBEXstdDataEmph 2 7 5 7 4" xfId="35016"/>
    <cellStyle name="SAPBEXstdDataEmph 2 7 5 8" xfId="20843"/>
    <cellStyle name="SAPBEXstdDataEmph 2 7 5 9" xfId="35017"/>
    <cellStyle name="SAPBEXstdDataEmph 2 7 6" xfId="20844"/>
    <cellStyle name="SAPBEXstdDataEmph 2 7 6 2" xfId="20845"/>
    <cellStyle name="SAPBEXstdDataEmph 2 7 6 3" xfId="35018"/>
    <cellStyle name="SAPBEXstdDataEmph 2 7 6 4" xfId="35019"/>
    <cellStyle name="SAPBEXstdDataEmph 2 7 7" xfId="20846"/>
    <cellStyle name="SAPBEXstdDataEmph 2 7 7 2" xfId="20847"/>
    <cellStyle name="SAPBEXstdDataEmph 2 7 7 3" xfId="35020"/>
    <cellStyle name="SAPBEXstdDataEmph 2 7 7 4" xfId="35021"/>
    <cellStyle name="SAPBEXstdDataEmph 2 7 8" xfId="20848"/>
    <cellStyle name="SAPBEXstdDataEmph 2 7 8 2" xfId="20849"/>
    <cellStyle name="SAPBEXstdDataEmph 2 7 8 3" xfId="35022"/>
    <cellStyle name="SAPBEXstdDataEmph 2 7 8 4" xfId="35023"/>
    <cellStyle name="SAPBEXstdDataEmph 2 7 9" xfId="20850"/>
    <cellStyle name="SAPBEXstdDataEmph 2 7 9 2" xfId="20851"/>
    <cellStyle name="SAPBEXstdDataEmph 2 7 9 3" xfId="35024"/>
    <cellStyle name="SAPBEXstdDataEmph 2 7 9 4" xfId="35025"/>
    <cellStyle name="SAPBEXstdDataEmph 2 8" xfId="20852"/>
    <cellStyle name="SAPBEXstdDataEmph 2 8 10" xfId="20853"/>
    <cellStyle name="SAPBEXstdDataEmph 2 8 10 2" xfId="20854"/>
    <cellStyle name="SAPBEXstdDataEmph 2 8 10 3" xfId="35026"/>
    <cellStyle name="SAPBEXstdDataEmph 2 8 10 4" xfId="35027"/>
    <cellStyle name="SAPBEXstdDataEmph 2 8 11" xfId="20855"/>
    <cellStyle name="SAPBEXstdDataEmph 2 8 11 2" xfId="20856"/>
    <cellStyle name="SAPBEXstdDataEmph 2 8 11 3" xfId="35028"/>
    <cellStyle name="SAPBEXstdDataEmph 2 8 11 4" xfId="35029"/>
    <cellStyle name="SAPBEXstdDataEmph 2 8 12" xfId="20857"/>
    <cellStyle name="SAPBEXstdDataEmph 2 8 13" xfId="35030"/>
    <cellStyle name="SAPBEXstdDataEmph 2 8 14" xfId="35031"/>
    <cellStyle name="SAPBEXstdDataEmph 2 8 2" xfId="20858"/>
    <cellStyle name="SAPBEXstdDataEmph 2 8 2 10" xfId="35032"/>
    <cellStyle name="SAPBEXstdDataEmph 2 8 2 2" xfId="20859"/>
    <cellStyle name="SAPBEXstdDataEmph 2 8 2 2 2" xfId="20860"/>
    <cellStyle name="SAPBEXstdDataEmph 2 8 2 2 3" xfId="35033"/>
    <cellStyle name="SAPBEXstdDataEmph 2 8 2 2 4" xfId="35034"/>
    <cellStyle name="SAPBEXstdDataEmph 2 8 2 3" xfId="20861"/>
    <cellStyle name="SAPBEXstdDataEmph 2 8 2 3 2" xfId="20862"/>
    <cellStyle name="SAPBEXstdDataEmph 2 8 2 3 3" xfId="35035"/>
    <cellStyle name="SAPBEXstdDataEmph 2 8 2 3 4" xfId="35036"/>
    <cellStyle name="SAPBEXstdDataEmph 2 8 2 4" xfId="20863"/>
    <cellStyle name="SAPBEXstdDataEmph 2 8 2 4 2" xfId="20864"/>
    <cellStyle name="SAPBEXstdDataEmph 2 8 2 4 3" xfId="35037"/>
    <cellStyle name="SAPBEXstdDataEmph 2 8 2 4 4" xfId="35038"/>
    <cellStyle name="SAPBEXstdDataEmph 2 8 2 5" xfId="20865"/>
    <cellStyle name="SAPBEXstdDataEmph 2 8 2 5 2" xfId="20866"/>
    <cellStyle name="SAPBEXstdDataEmph 2 8 2 5 3" xfId="35039"/>
    <cellStyle name="SAPBEXstdDataEmph 2 8 2 5 4" xfId="35040"/>
    <cellStyle name="SAPBEXstdDataEmph 2 8 2 6" xfId="20867"/>
    <cellStyle name="SAPBEXstdDataEmph 2 8 2 6 2" xfId="20868"/>
    <cellStyle name="SAPBEXstdDataEmph 2 8 2 6 3" xfId="35041"/>
    <cellStyle name="SAPBEXstdDataEmph 2 8 2 6 4" xfId="35042"/>
    <cellStyle name="SAPBEXstdDataEmph 2 8 2 7" xfId="20869"/>
    <cellStyle name="SAPBEXstdDataEmph 2 8 2 7 2" xfId="20870"/>
    <cellStyle name="SAPBEXstdDataEmph 2 8 2 7 3" xfId="35043"/>
    <cellStyle name="SAPBEXstdDataEmph 2 8 2 7 4" xfId="35044"/>
    <cellStyle name="SAPBEXstdDataEmph 2 8 2 8" xfId="20871"/>
    <cellStyle name="SAPBEXstdDataEmph 2 8 2 9" xfId="35045"/>
    <cellStyle name="SAPBEXstdDataEmph 2 8 3" xfId="20872"/>
    <cellStyle name="SAPBEXstdDataEmph 2 8 3 10" xfId="35046"/>
    <cellStyle name="SAPBEXstdDataEmph 2 8 3 2" xfId="20873"/>
    <cellStyle name="SAPBEXstdDataEmph 2 8 3 2 2" xfId="20874"/>
    <cellStyle name="SAPBEXstdDataEmph 2 8 3 2 3" xfId="35047"/>
    <cellStyle name="SAPBEXstdDataEmph 2 8 3 2 4" xfId="35048"/>
    <cellStyle name="SAPBEXstdDataEmph 2 8 3 3" xfId="20875"/>
    <cellStyle name="SAPBEXstdDataEmph 2 8 3 3 2" xfId="20876"/>
    <cellStyle name="SAPBEXstdDataEmph 2 8 3 3 3" xfId="35049"/>
    <cellStyle name="SAPBEXstdDataEmph 2 8 3 3 4" xfId="35050"/>
    <cellStyle name="SAPBEXstdDataEmph 2 8 3 4" xfId="20877"/>
    <cellStyle name="SAPBEXstdDataEmph 2 8 3 4 2" xfId="20878"/>
    <cellStyle name="SAPBEXstdDataEmph 2 8 3 4 3" xfId="35051"/>
    <cellStyle name="SAPBEXstdDataEmph 2 8 3 4 4" xfId="35052"/>
    <cellStyle name="SAPBEXstdDataEmph 2 8 3 5" xfId="20879"/>
    <cellStyle name="SAPBEXstdDataEmph 2 8 3 5 2" xfId="20880"/>
    <cellStyle name="SAPBEXstdDataEmph 2 8 3 5 3" xfId="35053"/>
    <cellStyle name="SAPBEXstdDataEmph 2 8 3 5 4" xfId="35054"/>
    <cellStyle name="SAPBEXstdDataEmph 2 8 3 6" xfId="20881"/>
    <cellStyle name="SAPBEXstdDataEmph 2 8 3 6 2" xfId="20882"/>
    <cellStyle name="SAPBEXstdDataEmph 2 8 3 6 3" xfId="35055"/>
    <cellStyle name="SAPBEXstdDataEmph 2 8 3 6 4" xfId="35056"/>
    <cellStyle name="SAPBEXstdDataEmph 2 8 3 7" xfId="20883"/>
    <cellStyle name="SAPBEXstdDataEmph 2 8 3 7 2" xfId="20884"/>
    <cellStyle name="SAPBEXstdDataEmph 2 8 3 7 3" xfId="35057"/>
    <cellStyle name="SAPBEXstdDataEmph 2 8 3 7 4" xfId="35058"/>
    <cellStyle name="SAPBEXstdDataEmph 2 8 3 8" xfId="20885"/>
    <cellStyle name="SAPBEXstdDataEmph 2 8 3 9" xfId="35059"/>
    <cellStyle name="SAPBEXstdDataEmph 2 8 4" xfId="20886"/>
    <cellStyle name="SAPBEXstdDataEmph 2 8 4 10" xfId="35060"/>
    <cellStyle name="SAPBEXstdDataEmph 2 8 4 2" xfId="20887"/>
    <cellStyle name="SAPBEXstdDataEmph 2 8 4 2 2" xfId="20888"/>
    <cellStyle name="SAPBEXstdDataEmph 2 8 4 2 3" xfId="35061"/>
    <cellStyle name="SAPBEXstdDataEmph 2 8 4 2 4" xfId="35062"/>
    <cellStyle name="SAPBEXstdDataEmph 2 8 4 3" xfId="20889"/>
    <cellStyle name="SAPBEXstdDataEmph 2 8 4 3 2" xfId="20890"/>
    <cellStyle name="SAPBEXstdDataEmph 2 8 4 3 3" xfId="35063"/>
    <cellStyle name="SAPBEXstdDataEmph 2 8 4 3 4" xfId="35064"/>
    <cellStyle name="SAPBEXstdDataEmph 2 8 4 4" xfId="20891"/>
    <cellStyle name="SAPBEXstdDataEmph 2 8 4 4 2" xfId="20892"/>
    <cellStyle name="SAPBEXstdDataEmph 2 8 4 4 3" xfId="35065"/>
    <cellStyle name="SAPBEXstdDataEmph 2 8 4 4 4" xfId="35066"/>
    <cellStyle name="SAPBEXstdDataEmph 2 8 4 5" xfId="20893"/>
    <cellStyle name="SAPBEXstdDataEmph 2 8 4 5 2" xfId="20894"/>
    <cellStyle name="SAPBEXstdDataEmph 2 8 4 5 3" xfId="35067"/>
    <cellStyle name="SAPBEXstdDataEmph 2 8 4 5 4" xfId="35068"/>
    <cellStyle name="SAPBEXstdDataEmph 2 8 4 6" xfId="20895"/>
    <cellStyle name="SAPBEXstdDataEmph 2 8 4 6 2" xfId="20896"/>
    <cellStyle name="SAPBEXstdDataEmph 2 8 4 6 3" xfId="35069"/>
    <cellStyle name="SAPBEXstdDataEmph 2 8 4 6 4" xfId="35070"/>
    <cellStyle name="SAPBEXstdDataEmph 2 8 4 7" xfId="20897"/>
    <cellStyle name="SAPBEXstdDataEmph 2 8 4 7 2" xfId="20898"/>
    <cellStyle name="SAPBEXstdDataEmph 2 8 4 7 3" xfId="35071"/>
    <cellStyle name="SAPBEXstdDataEmph 2 8 4 7 4" xfId="35072"/>
    <cellStyle name="SAPBEXstdDataEmph 2 8 4 8" xfId="20899"/>
    <cellStyle name="SAPBEXstdDataEmph 2 8 4 9" xfId="35073"/>
    <cellStyle name="SAPBEXstdDataEmph 2 8 5" xfId="20900"/>
    <cellStyle name="SAPBEXstdDataEmph 2 8 5 10" xfId="35074"/>
    <cellStyle name="SAPBEXstdDataEmph 2 8 5 2" xfId="20901"/>
    <cellStyle name="SAPBEXstdDataEmph 2 8 5 2 2" xfId="20902"/>
    <cellStyle name="SAPBEXstdDataEmph 2 8 5 2 3" xfId="35075"/>
    <cellStyle name="SAPBEXstdDataEmph 2 8 5 2 4" xfId="35076"/>
    <cellStyle name="SAPBEXstdDataEmph 2 8 5 3" xfId="20903"/>
    <cellStyle name="SAPBEXstdDataEmph 2 8 5 3 2" xfId="20904"/>
    <cellStyle name="SAPBEXstdDataEmph 2 8 5 3 3" xfId="35077"/>
    <cellStyle name="SAPBEXstdDataEmph 2 8 5 3 4" xfId="35078"/>
    <cellStyle name="SAPBEXstdDataEmph 2 8 5 4" xfId="20905"/>
    <cellStyle name="SAPBEXstdDataEmph 2 8 5 4 2" xfId="20906"/>
    <cellStyle name="SAPBEXstdDataEmph 2 8 5 4 3" xfId="35079"/>
    <cellStyle name="SAPBEXstdDataEmph 2 8 5 4 4" xfId="35080"/>
    <cellStyle name="SAPBEXstdDataEmph 2 8 5 5" xfId="20907"/>
    <cellStyle name="SAPBEXstdDataEmph 2 8 5 5 2" xfId="20908"/>
    <cellStyle name="SAPBEXstdDataEmph 2 8 5 5 3" xfId="35081"/>
    <cellStyle name="SAPBEXstdDataEmph 2 8 5 5 4" xfId="35082"/>
    <cellStyle name="SAPBEXstdDataEmph 2 8 5 6" xfId="20909"/>
    <cellStyle name="SAPBEXstdDataEmph 2 8 5 6 2" xfId="20910"/>
    <cellStyle name="SAPBEXstdDataEmph 2 8 5 6 3" xfId="35083"/>
    <cellStyle name="SAPBEXstdDataEmph 2 8 5 6 4" xfId="35084"/>
    <cellStyle name="SAPBEXstdDataEmph 2 8 5 7" xfId="20911"/>
    <cellStyle name="SAPBEXstdDataEmph 2 8 5 7 2" xfId="20912"/>
    <cellStyle name="SAPBEXstdDataEmph 2 8 5 7 3" xfId="35085"/>
    <cellStyle name="SAPBEXstdDataEmph 2 8 5 7 4" xfId="35086"/>
    <cellStyle name="SAPBEXstdDataEmph 2 8 5 8" xfId="20913"/>
    <cellStyle name="SAPBEXstdDataEmph 2 8 5 9" xfId="35087"/>
    <cellStyle name="SAPBEXstdDataEmph 2 8 6" xfId="20914"/>
    <cellStyle name="SAPBEXstdDataEmph 2 8 6 2" xfId="20915"/>
    <cellStyle name="SAPBEXstdDataEmph 2 8 6 3" xfId="35088"/>
    <cellStyle name="SAPBEXstdDataEmph 2 8 6 4" xfId="35089"/>
    <cellStyle name="SAPBEXstdDataEmph 2 8 7" xfId="20916"/>
    <cellStyle name="SAPBEXstdDataEmph 2 8 7 2" xfId="20917"/>
    <cellStyle name="SAPBEXstdDataEmph 2 8 7 3" xfId="35090"/>
    <cellStyle name="SAPBEXstdDataEmph 2 8 7 4" xfId="35091"/>
    <cellStyle name="SAPBEXstdDataEmph 2 8 8" xfId="20918"/>
    <cellStyle name="SAPBEXstdDataEmph 2 8 8 2" xfId="20919"/>
    <cellStyle name="SAPBEXstdDataEmph 2 8 8 3" xfId="35092"/>
    <cellStyle name="SAPBEXstdDataEmph 2 8 8 4" xfId="35093"/>
    <cellStyle name="SAPBEXstdDataEmph 2 8 9" xfId="20920"/>
    <cellStyle name="SAPBEXstdDataEmph 2 8 9 2" xfId="20921"/>
    <cellStyle name="SAPBEXstdDataEmph 2 8 9 3" xfId="35094"/>
    <cellStyle name="SAPBEXstdDataEmph 2 8 9 4" xfId="35095"/>
    <cellStyle name="SAPBEXstdDataEmph 2 9" xfId="20922"/>
    <cellStyle name="SAPBEXstdDataEmph 2 9 10" xfId="20923"/>
    <cellStyle name="SAPBEXstdDataEmph 2 9 10 2" xfId="20924"/>
    <cellStyle name="SAPBEXstdDataEmph 2 9 10 3" xfId="35096"/>
    <cellStyle name="SAPBEXstdDataEmph 2 9 10 4" xfId="35097"/>
    <cellStyle name="SAPBEXstdDataEmph 2 9 11" xfId="20925"/>
    <cellStyle name="SAPBEXstdDataEmph 2 9 11 2" xfId="20926"/>
    <cellStyle name="SAPBEXstdDataEmph 2 9 11 3" xfId="35098"/>
    <cellStyle name="SAPBEXstdDataEmph 2 9 11 4" xfId="35099"/>
    <cellStyle name="SAPBEXstdDataEmph 2 9 12" xfId="20927"/>
    <cellStyle name="SAPBEXstdDataEmph 2 9 13" xfId="35100"/>
    <cellStyle name="SAPBEXstdDataEmph 2 9 14" xfId="35101"/>
    <cellStyle name="SAPBEXstdDataEmph 2 9 2" xfId="20928"/>
    <cellStyle name="SAPBEXstdDataEmph 2 9 2 10" xfId="35102"/>
    <cellStyle name="SAPBEXstdDataEmph 2 9 2 2" xfId="20929"/>
    <cellStyle name="SAPBEXstdDataEmph 2 9 2 2 2" xfId="20930"/>
    <cellStyle name="SAPBEXstdDataEmph 2 9 2 2 3" xfId="35103"/>
    <cellStyle name="SAPBEXstdDataEmph 2 9 2 2 4" xfId="35104"/>
    <cellStyle name="SAPBEXstdDataEmph 2 9 2 3" xfId="20931"/>
    <cellStyle name="SAPBEXstdDataEmph 2 9 2 3 2" xfId="20932"/>
    <cellStyle name="SAPBEXstdDataEmph 2 9 2 3 3" xfId="35105"/>
    <cellStyle name="SAPBEXstdDataEmph 2 9 2 3 4" xfId="35106"/>
    <cellStyle name="SAPBEXstdDataEmph 2 9 2 4" xfId="20933"/>
    <cellStyle name="SAPBEXstdDataEmph 2 9 2 4 2" xfId="20934"/>
    <cellStyle name="SAPBEXstdDataEmph 2 9 2 4 3" xfId="35107"/>
    <cellStyle name="SAPBEXstdDataEmph 2 9 2 4 4" xfId="35108"/>
    <cellStyle name="SAPBEXstdDataEmph 2 9 2 5" xfId="20935"/>
    <cellStyle name="SAPBEXstdDataEmph 2 9 2 5 2" xfId="20936"/>
    <cellStyle name="SAPBEXstdDataEmph 2 9 2 5 3" xfId="35109"/>
    <cellStyle name="SAPBEXstdDataEmph 2 9 2 5 4" xfId="35110"/>
    <cellStyle name="SAPBEXstdDataEmph 2 9 2 6" xfId="20937"/>
    <cellStyle name="SAPBEXstdDataEmph 2 9 2 6 2" xfId="20938"/>
    <cellStyle name="SAPBEXstdDataEmph 2 9 2 6 3" xfId="35111"/>
    <cellStyle name="SAPBEXstdDataEmph 2 9 2 6 4" xfId="35112"/>
    <cellStyle name="SAPBEXstdDataEmph 2 9 2 7" xfId="20939"/>
    <cellStyle name="SAPBEXstdDataEmph 2 9 2 7 2" xfId="20940"/>
    <cellStyle name="SAPBEXstdDataEmph 2 9 2 7 3" xfId="35113"/>
    <cellStyle name="SAPBEXstdDataEmph 2 9 2 7 4" xfId="35114"/>
    <cellStyle name="SAPBEXstdDataEmph 2 9 2 8" xfId="20941"/>
    <cellStyle name="SAPBEXstdDataEmph 2 9 2 9" xfId="35115"/>
    <cellStyle name="SAPBEXstdDataEmph 2 9 3" xfId="20942"/>
    <cellStyle name="SAPBEXstdDataEmph 2 9 3 10" xfId="35116"/>
    <cellStyle name="SAPBEXstdDataEmph 2 9 3 2" xfId="20943"/>
    <cellStyle name="SAPBEXstdDataEmph 2 9 3 2 2" xfId="20944"/>
    <cellStyle name="SAPBEXstdDataEmph 2 9 3 2 3" xfId="35117"/>
    <cellStyle name="SAPBEXstdDataEmph 2 9 3 2 4" xfId="35118"/>
    <cellStyle name="SAPBEXstdDataEmph 2 9 3 3" xfId="20945"/>
    <cellStyle name="SAPBEXstdDataEmph 2 9 3 3 2" xfId="20946"/>
    <cellStyle name="SAPBEXstdDataEmph 2 9 3 3 3" xfId="35119"/>
    <cellStyle name="SAPBEXstdDataEmph 2 9 3 3 4" xfId="35120"/>
    <cellStyle name="SAPBEXstdDataEmph 2 9 3 4" xfId="20947"/>
    <cellStyle name="SAPBEXstdDataEmph 2 9 3 4 2" xfId="20948"/>
    <cellStyle name="SAPBEXstdDataEmph 2 9 3 4 3" xfId="35121"/>
    <cellStyle name="SAPBEXstdDataEmph 2 9 3 4 4" xfId="35122"/>
    <cellStyle name="SAPBEXstdDataEmph 2 9 3 5" xfId="20949"/>
    <cellStyle name="SAPBEXstdDataEmph 2 9 3 5 2" xfId="20950"/>
    <cellStyle name="SAPBEXstdDataEmph 2 9 3 5 3" xfId="35123"/>
    <cellStyle name="SAPBEXstdDataEmph 2 9 3 5 4" xfId="35124"/>
    <cellStyle name="SAPBEXstdDataEmph 2 9 3 6" xfId="20951"/>
    <cellStyle name="SAPBEXstdDataEmph 2 9 3 6 2" xfId="20952"/>
    <cellStyle name="SAPBEXstdDataEmph 2 9 3 6 3" xfId="35125"/>
    <cellStyle name="SAPBEXstdDataEmph 2 9 3 6 4" xfId="35126"/>
    <cellStyle name="SAPBEXstdDataEmph 2 9 3 7" xfId="20953"/>
    <cellStyle name="SAPBEXstdDataEmph 2 9 3 7 2" xfId="20954"/>
    <cellStyle name="SAPBEXstdDataEmph 2 9 3 7 3" xfId="35127"/>
    <cellStyle name="SAPBEXstdDataEmph 2 9 3 7 4" xfId="35128"/>
    <cellStyle name="SAPBEXstdDataEmph 2 9 3 8" xfId="20955"/>
    <cellStyle name="SAPBEXstdDataEmph 2 9 3 9" xfId="35129"/>
    <cellStyle name="SAPBEXstdDataEmph 2 9 4" xfId="20956"/>
    <cellStyle name="SAPBEXstdDataEmph 2 9 4 10" xfId="35130"/>
    <cellStyle name="SAPBEXstdDataEmph 2 9 4 2" xfId="20957"/>
    <cellStyle name="SAPBEXstdDataEmph 2 9 4 2 2" xfId="20958"/>
    <cellStyle name="SAPBEXstdDataEmph 2 9 4 2 3" xfId="35131"/>
    <cellStyle name="SAPBEXstdDataEmph 2 9 4 2 4" xfId="35132"/>
    <cellStyle name="SAPBEXstdDataEmph 2 9 4 3" xfId="20959"/>
    <cellStyle name="SAPBEXstdDataEmph 2 9 4 3 2" xfId="20960"/>
    <cellStyle name="SAPBEXstdDataEmph 2 9 4 3 3" xfId="35133"/>
    <cellStyle name="SAPBEXstdDataEmph 2 9 4 3 4" xfId="35134"/>
    <cellStyle name="SAPBEXstdDataEmph 2 9 4 4" xfId="20961"/>
    <cellStyle name="SAPBEXstdDataEmph 2 9 4 4 2" xfId="20962"/>
    <cellStyle name="SAPBEXstdDataEmph 2 9 4 4 3" xfId="35135"/>
    <cellStyle name="SAPBEXstdDataEmph 2 9 4 4 4" xfId="35136"/>
    <cellStyle name="SAPBEXstdDataEmph 2 9 4 5" xfId="20963"/>
    <cellStyle name="SAPBEXstdDataEmph 2 9 4 5 2" xfId="20964"/>
    <cellStyle name="SAPBEXstdDataEmph 2 9 4 5 3" xfId="35137"/>
    <cellStyle name="SAPBEXstdDataEmph 2 9 4 5 4" xfId="35138"/>
    <cellStyle name="SAPBEXstdDataEmph 2 9 4 6" xfId="20965"/>
    <cellStyle name="SAPBEXstdDataEmph 2 9 4 6 2" xfId="20966"/>
    <cellStyle name="SAPBEXstdDataEmph 2 9 4 6 3" xfId="35139"/>
    <cellStyle name="SAPBEXstdDataEmph 2 9 4 6 4" xfId="35140"/>
    <cellStyle name="SAPBEXstdDataEmph 2 9 4 7" xfId="20967"/>
    <cellStyle name="SAPBEXstdDataEmph 2 9 4 7 2" xfId="20968"/>
    <cellStyle name="SAPBEXstdDataEmph 2 9 4 7 3" xfId="35141"/>
    <cellStyle name="SAPBEXstdDataEmph 2 9 4 7 4" xfId="35142"/>
    <cellStyle name="SAPBEXstdDataEmph 2 9 4 8" xfId="20969"/>
    <cellStyle name="SAPBEXstdDataEmph 2 9 4 9" xfId="35143"/>
    <cellStyle name="SAPBEXstdDataEmph 2 9 5" xfId="20970"/>
    <cellStyle name="SAPBEXstdDataEmph 2 9 5 10" xfId="35144"/>
    <cellStyle name="SAPBEXstdDataEmph 2 9 5 2" xfId="20971"/>
    <cellStyle name="SAPBEXstdDataEmph 2 9 5 2 2" xfId="20972"/>
    <cellStyle name="SAPBEXstdDataEmph 2 9 5 2 3" xfId="35145"/>
    <cellStyle name="SAPBEXstdDataEmph 2 9 5 2 4" xfId="35146"/>
    <cellStyle name="SAPBEXstdDataEmph 2 9 5 3" xfId="20973"/>
    <cellStyle name="SAPBEXstdDataEmph 2 9 5 3 2" xfId="20974"/>
    <cellStyle name="SAPBEXstdDataEmph 2 9 5 3 3" xfId="35147"/>
    <cellStyle name="SAPBEXstdDataEmph 2 9 5 3 4" xfId="35148"/>
    <cellStyle name="SAPBEXstdDataEmph 2 9 5 4" xfId="20975"/>
    <cellStyle name="SAPBEXstdDataEmph 2 9 5 4 2" xfId="20976"/>
    <cellStyle name="SAPBEXstdDataEmph 2 9 5 4 3" xfId="35149"/>
    <cellStyle name="SAPBEXstdDataEmph 2 9 5 4 4" xfId="35150"/>
    <cellStyle name="SAPBEXstdDataEmph 2 9 5 5" xfId="20977"/>
    <cellStyle name="SAPBEXstdDataEmph 2 9 5 5 2" xfId="20978"/>
    <cellStyle name="SAPBEXstdDataEmph 2 9 5 5 3" xfId="35151"/>
    <cellStyle name="SAPBEXstdDataEmph 2 9 5 5 4" xfId="35152"/>
    <cellStyle name="SAPBEXstdDataEmph 2 9 5 6" xfId="20979"/>
    <cellStyle name="SAPBEXstdDataEmph 2 9 5 6 2" xfId="20980"/>
    <cellStyle name="SAPBEXstdDataEmph 2 9 5 6 3" xfId="35153"/>
    <cellStyle name="SAPBEXstdDataEmph 2 9 5 6 4" xfId="35154"/>
    <cellStyle name="SAPBEXstdDataEmph 2 9 5 7" xfId="20981"/>
    <cellStyle name="SAPBEXstdDataEmph 2 9 5 7 2" xfId="20982"/>
    <cellStyle name="SAPBEXstdDataEmph 2 9 5 7 3" xfId="35155"/>
    <cellStyle name="SAPBEXstdDataEmph 2 9 5 7 4" xfId="35156"/>
    <cellStyle name="SAPBEXstdDataEmph 2 9 5 8" xfId="20983"/>
    <cellStyle name="SAPBEXstdDataEmph 2 9 5 9" xfId="35157"/>
    <cellStyle name="SAPBEXstdDataEmph 2 9 6" xfId="20984"/>
    <cellStyle name="SAPBEXstdDataEmph 2 9 6 2" xfId="20985"/>
    <cellStyle name="SAPBEXstdDataEmph 2 9 6 3" xfId="35158"/>
    <cellStyle name="SAPBEXstdDataEmph 2 9 6 4" xfId="35159"/>
    <cellStyle name="SAPBEXstdDataEmph 2 9 7" xfId="20986"/>
    <cellStyle name="SAPBEXstdDataEmph 2 9 7 2" xfId="20987"/>
    <cellStyle name="SAPBEXstdDataEmph 2 9 7 3" xfId="35160"/>
    <cellStyle name="SAPBEXstdDataEmph 2 9 7 4" xfId="35161"/>
    <cellStyle name="SAPBEXstdDataEmph 2 9 8" xfId="20988"/>
    <cellStyle name="SAPBEXstdDataEmph 2 9 8 2" xfId="20989"/>
    <cellStyle name="SAPBEXstdDataEmph 2 9 8 3" xfId="35162"/>
    <cellStyle name="SAPBEXstdDataEmph 2 9 8 4" xfId="35163"/>
    <cellStyle name="SAPBEXstdDataEmph 2 9 9" xfId="20990"/>
    <cellStyle name="SAPBEXstdDataEmph 2 9 9 2" xfId="20991"/>
    <cellStyle name="SAPBEXstdDataEmph 2 9 9 3" xfId="35164"/>
    <cellStyle name="SAPBEXstdDataEmph 2 9 9 4" xfId="35165"/>
    <cellStyle name="SAPBEXstdDataEmph 3" xfId="20992"/>
    <cellStyle name="SAPBEXstdDataEmph 4" xfId="35166"/>
    <cellStyle name="SAPBEXstdItem" xfId="20993"/>
    <cellStyle name="SAPBEXstdItem 2" xfId="20994"/>
    <cellStyle name="SAPBEXstdItem 2 10" xfId="20995"/>
    <cellStyle name="SAPBEXstdItem 2 10 10" xfId="20996"/>
    <cellStyle name="SAPBEXstdItem 2 10 10 2" xfId="20997"/>
    <cellStyle name="SAPBEXstdItem 2 10 10 3" xfId="35167"/>
    <cellStyle name="SAPBEXstdItem 2 10 10 4" xfId="35168"/>
    <cellStyle name="SAPBEXstdItem 2 10 11" xfId="20998"/>
    <cellStyle name="SAPBEXstdItem 2 10 11 2" xfId="20999"/>
    <cellStyle name="SAPBEXstdItem 2 10 11 3" xfId="35169"/>
    <cellStyle name="SAPBEXstdItem 2 10 11 4" xfId="35170"/>
    <cellStyle name="SAPBEXstdItem 2 10 12" xfId="21000"/>
    <cellStyle name="SAPBEXstdItem 2 10 13" xfId="35171"/>
    <cellStyle name="SAPBEXstdItem 2 10 14" xfId="35172"/>
    <cellStyle name="SAPBEXstdItem 2 10 2" xfId="21001"/>
    <cellStyle name="SAPBEXstdItem 2 10 2 10" xfId="35173"/>
    <cellStyle name="SAPBEXstdItem 2 10 2 2" xfId="21002"/>
    <cellStyle name="SAPBEXstdItem 2 10 2 2 2" xfId="21003"/>
    <cellStyle name="SAPBEXstdItem 2 10 2 2 3" xfId="35174"/>
    <cellStyle name="SAPBEXstdItem 2 10 2 2 4" xfId="35175"/>
    <cellStyle name="SAPBEXstdItem 2 10 2 3" xfId="21004"/>
    <cellStyle name="SAPBEXstdItem 2 10 2 3 2" xfId="21005"/>
    <cellStyle name="SAPBEXstdItem 2 10 2 3 3" xfId="35176"/>
    <cellStyle name="SAPBEXstdItem 2 10 2 3 4" xfId="35177"/>
    <cellStyle name="SAPBEXstdItem 2 10 2 4" xfId="21006"/>
    <cellStyle name="SAPBEXstdItem 2 10 2 4 2" xfId="21007"/>
    <cellStyle name="SAPBEXstdItem 2 10 2 4 3" xfId="35178"/>
    <cellStyle name="SAPBEXstdItem 2 10 2 4 4" xfId="35179"/>
    <cellStyle name="SAPBEXstdItem 2 10 2 5" xfId="21008"/>
    <cellStyle name="SAPBEXstdItem 2 10 2 5 2" xfId="21009"/>
    <cellStyle name="SAPBEXstdItem 2 10 2 5 3" xfId="35180"/>
    <cellStyle name="SAPBEXstdItem 2 10 2 5 4" xfId="35181"/>
    <cellStyle name="SAPBEXstdItem 2 10 2 6" xfId="21010"/>
    <cellStyle name="SAPBEXstdItem 2 10 2 6 2" xfId="21011"/>
    <cellStyle name="SAPBEXstdItem 2 10 2 6 3" xfId="35182"/>
    <cellStyle name="SAPBEXstdItem 2 10 2 6 4" xfId="35183"/>
    <cellStyle name="SAPBEXstdItem 2 10 2 7" xfId="21012"/>
    <cellStyle name="SAPBEXstdItem 2 10 2 7 2" xfId="21013"/>
    <cellStyle name="SAPBEXstdItem 2 10 2 7 3" xfId="35184"/>
    <cellStyle name="SAPBEXstdItem 2 10 2 7 4" xfId="35185"/>
    <cellStyle name="SAPBEXstdItem 2 10 2 8" xfId="21014"/>
    <cellStyle name="SAPBEXstdItem 2 10 2 9" xfId="35186"/>
    <cellStyle name="SAPBEXstdItem 2 10 3" xfId="21015"/>
    <cellStyle name="SAPBEXstdItem 2 10 3 10" xfId="35187"/>
    <cellStyle name="SAPBEXstdItem 2 10 3 2" xfId="21016"/>
    <cellStyle name="SAPBEXstdItem 2 10 3 2 2" xfId="21017"/>
    <cellStyle name="SAPBEXstdItem 2 10 3 2 3" xfId="35188"/>
    <cellStyle name="SAPBEXstdItem 2 10 3 2 4" xfId="35189"/>
    <cellStyle name="SAPBEXstdItem 2 10 3 3" xfId="21018"/>
    <cellStyle name="SAPBEXstdItem 2 10 3 3 2" xfId="21019"/>
    <cellStyle name="SAPBEXstdItem 2 10 3 3 3" xfId="35190"/>
    <cellStyle name="SAPBEXstdItem 2 10 3 3 4" xfId="35191"/>
    <cellStyle name="SAPBEXstdItem 2 10 3 4" xfId="21020"/>
    <cellStyle name="SAPBEXstdItem 2 10 3 4 2" xfId="21021"/>
    <cellStyle name="SAPBEXstdItem 2 10 3 4 3" xfId="35192"/>
    <cellStyle name="SAPBEXstdItem 2 10 3 4 4" xfId="35193"/>
    <cellStyle name="SAPBEXstdItem 2 10 3 5" xfId="21022"/>
    <cellStyle name="SAPBEXstdItem 2 10 3 5 2" xfId="21023"/>
    <cellStyle name="SAPBEXstdItem 2 10 3 5 3" xfId="35194"/>
    <cellStyle name="SAPBEXstdItem 2 10 3 5 4" xfId="35195"/>
    <cellStyle name="SAPBEXstdItem 2 10 3 6" xfId="21024"/>
    <cellStyle name="SAPBEXstdItem 2 10 3 6 2" xfId="21025"/>
    <cellStyle name="SAPBEXstdItem 2 10 3 6 3" xfId="35196"/>
    <cellStyle name="SAPBEXstdItem 2 10 3 6 4" xfId="35197"/>
    <cellStyle name="SAPBEXstdItem 2 10 3 7" xfId="21026"/>
    <cellStyle name="SAPBEXstdItem 2 10 3 7 2" xfId="21027"/>
    <cellStyle name="SAPBEXstdItem 2 10 3 7 3" xfId="35198"/>
    <cellStyle name="SAPBEXstdItem 2 10 3 7 4" xfId="35199"/>
    <cellStyle name="SAPBEXstdItem 2 10 3 8" xfId="21028"/>
    <cellStyle name="SAPBEXstdItem 2 10 3 9" xfId="35200"/>
    <cellStyle name="SAPBEXstdItem 2 10 4" xfId="21029"/>
    <cellStyle name="SAPBEXstdItem 2 10 4 10" xfId="35201"/>
    <cellStyle name="SAPBEXstdItem 2 10 4 2" xfId="21030"/>
    <cellStyle name="SAPBEXstdItem 2 10 4 2 2" xfId="21031"/>
    <cellStyle name="SAPBEXstdItem 2 10 4 2 3" xfId="35202"/>
    <cellStyle name="SAPBEXstdItem 2 10 4 2 4" xfId="35203"/>
    <cellStyle name="SAPBEXstdItem 2 10 4 3" xfId="21032"/>
    <cellStyle name="SAPBEXstdItem 2 10 4 3 2" xfId="21033"/>
    <cellStyle name="SAPBEXstdItem 2 10 4 3 3" xfId="35204"/>
    <cellStyle name="SAPBEXstdItem 2 10 4 3 4" xfId="35205"/>
    <cellStyle name="SAPBEXstdItem 2 10 4 4" xfId="21034"/>
    <cellStyle name="SAPBEXstdItem 2 10 4 4 2" xfId="21035"/>
    <cellStyle name="SAPBEXstdItem 2 10 4 4 3" xfId="35206"/>
    <cellStyle name="SAPBEXstdItem 2 10 4 4 4" xfId="35207"/>
    <cellStyle name="SAPBEXstdItem 2 10 4 5" xfId="21036"/>
    <cellStyle name="SAPBEXstdItem 2 10 4 5 2" xfId="21037"/>
    <cellStyle name="SAPBEXstdItem 2 10 4 5 3" xfId="35208"/>
    <cellStyle name="SAPBEXstdItem 2 10 4 5 4" xfId="35209"/>
    <cellStyle name="SAPBEXstdItem 2 10 4 6" xfId="21038"/>
    <cellStyle name="SAPBEXstdItem 2 10 4 6 2" xfId="21039"/>
    <cellStyle name="SAPBEXstdItem 2 10 4 6 3" xfId="35210"/>
    <cellStyle name="SAPBEXstdItem 2 10 4 6 4" xfId="35211"/>
    <cellStyle name="SAPBEXstdItem 2 10 4 7" xfId="21040"/>
    <cellStyle name="SAPBEXstdItem 2 10 4 7 2" xfId="21041"/>
    <cellStyle name="SAPBEXstdItem 2 10 4 7 3" xfId="35212"/>
    <cellStyle name="SAPBEXstdItem 2 10 4 7 4" xfId="35213"/>
    <cellStyle name="SAPBEXstdItem 2 10 4 8" xfId="21042"/>
    <cellStyle name="SAPBEXstdItem 2 10 4 9" xfId="35214"/>
    <cellStyle name="SAPBEXstdItem 2 10 5" xfId="21043"/>
    <cellStyle name="SAPBEXstdItem 2 10 5 10" xfId="35215"/>
    <cellStyle name="SAPBEXstdItem 2 10 5 2" xfId="21044"/>
    <cellStyle name="SAPBEXstdItem 2 10 5 2 2" xfId="21045"/>
    <cellStyle name="SAPBEXstdItem 2 10 5 2 3" xfId="35216"/>
    <cellStyle name="SAPBEXstdItem 2 10 5 2 4" xfId="35217"/>
    <cellStyle name="SAPBEXstdItem 2 10 5 3" xfId="21046"/>
    <cellStyle name="SAPBEXstdItem 2 10 5 3 2" xfId="21047"/>
    <cellStyle name="SAPBEXstdItem 2 10 5 3 3" xfId="35218"/>
    <cellStyle name="SAPBEXstdItem 2 10 5 3 4" xfId="35219"/>
    <cellStyle name="SAPBEXstdItem 2 10 5 4" xfId="21048"/>
    <cellStyle name="SAPBEXstdItem 2 10 5 4 2" xfId="21049"/>
    <cellStyle name="SAPBEXstdItem 2 10 5 4 3" xfId="35220"/>
    <cellStyle name="SAPBEXstdItem 2 10 5 4 4" xfId="35221"/>
    <cellStyle name="SAPBEXstdItem 2 10 5 5" xfId="21050"/>
    <cellStyle name="SAPBEXstdItem 2 10 5 5 2" xfId="21051"/>
    <cellStyle name="SAPBEXstdItem 2 10 5 5 3" xfId="35222"/>
    <cellStyle name="SAPBEXstdItem 2 10 5 5 4" xfId="35223"/>
    <cellStyle name="SAPBEXstdItem 2 10 5 6" xfId="21052"/>
    <cellStyle name="SAPBEXstdItem 2 10 5 6 2" xfId="21053"/>
    <cellStyle name="SAPBEXstdItem 2 10 5 6 3" xfId="35224"/>
    <cellStyle name="SAPBEXstdItem 2 10 5 6 4" xfId="35225"/>
    <cellStyle name="SAPBEXstdItem 2 10 5 7" xfId="21054"/>
    <cellStyle name="SAPBEXstdItem 2 10 5 7 2" xfId="21055"/>
    <cellStyle name="SAPBEXstdItem 2 10 5 7 3" xfId="35226"/>
    <cellStyle name="SAPBEXstdItem 2 10 5 7 4" xfId="35227"/>
    <cellStyle name="SAPBEXstdItem 2 10 5 8" xfId="21056"/>
    <cellStyle name="SAPBEXstdItem 2 10 5 9" xfId="35228"/>
    <cellStyle name="SAPBEXstdItem 2 10 6" xfId="21057"/>
    <cellStyle name="SAPBEXstdItem 2 10 6 2" xfId="21058"/>
    <cellStyle name="SAPBEXstdItem 2 10 6 3" xfId="35229"/>
    <cellStyle name="SAPBEXstdItem 2 10 6 4" xfId="35230"/>
    <cellStyle name="SAPBEXstdItem 2 10 7" xfId="21059"/>
    <cellStyle name="SAPBEXstdItem 2 10 7 2" xfId="21060"/>
    <cellStyle name="SAPBEXstdItem 2 10 7 3" xfId="35231"/>
    <cellStyle name="SAPBEXstdItem 2 10 7 4" xfId="35232"/>
    <cellStyle name="SAPBEXstdItem 2 10 8" xfId="21061"/>
    <cellStyle name="SAPBEXstdItem 2 10 8 2" xfId="21062"/>
    <cellStyle name="SAPBEXstdItem 2 10 8 3" xfId="35233"/>
    <cellStyle name="SAPBEXstdItem 2 10 8 4" xfId="35234"/>
    <cellStyle name="SAPBEXstdItem 2 10 9" xfId="21063"/>
    <cellStyle name="SAPBEXstdItem 2 10 9 2" xfId="21064"/>
    <cellStyle name="SAPBEXstdItem 2 10 9 3" xfId="35235"/>
    <cellStyle name="SAPBEXstdItem 2 10 9 4" xfId="35236"/>
    <cellStyle name="SAPBEXstdItem 2 11" xfId="21065"/>
    <cellStyle name="SAPBEXstdItem 2 11 10" xfId="21066"/>
    <cellStyle name="SAPBEXstdItem 2 11 10 2" xfId="21067"/>
    <cellStyle name="SAPBEXstdItem 2 11 10 3" xfId="35237"/>
    <cellStyle name="SAPBEXstdItem 2 11 10 4" xfId="35238"/>
    <cellStyle name="SAPBEXstdItem 2 11 11" xfId="21068"/>
    <cellStyle name="SAPBEXstdItem 2 11 11 2" xfId="21069"/>
    <cellStyle name="SAPBEXstdItem 2 11 11 3" xfId="35239"/>
    <cellStyle name="SAPBEXstdItem 2 11 11 4" xfId="35240"/>
    <cellStyle name="SAPBEXstdItem 2 11 12" xfId="21070"/>
    <cellStyle name="SAPBEXstdItem 2 11 13" xfId="35241"/>
    <cellStyle name="SAPBEXstdItem 2 11 14" xfId="35242"/>
    <cellStyle name="SAPBEXstdItem 2 11 2" xfId="21071"/>
    <cellStyle name="SAPBEXstdItem 2 11 2 10" xfId="35243"/>
    <cellStyle name="SAPBEXstdItem 2 11 2 2" xfId="21072"/>
    <cellStyle name="SAPBEXstdItem 2 11 2 2 2" xfId="21073"/>
    <cellStyle name="SAPBEXstdItem 2 11 2 2 3" xfId="35244"/>
    <cellStyle name="SAPBEXstdItem 2 11 2 2 4" xfId="35245"/>
    <cellStyle name="SAPBEXstdItem 2 11 2 3" xfId="21074"/>
    <cellStyle name="SAPBEXstdItem 2 11 2 3 2" xfId="21075"/>
    <cellStyle name="SAPBEXstdItem 2 11 2 3 3" xfId="35246"/>
    <cellStyle name="SAPBEXstdItem 2 11 2 3 4" xfId="35247"/>
    <cellStyle name="SAPBEXstdItem 2 11 2 4" xfId="21076"/>
    <cellStyle name="SAPBEXstdItem 2 11 2 4 2" xfId="21077"/>
    <cellStyle name="SAPBEXstdItem 2 11 2 4 3" xfId="35248"/>
    <cellStyle name="SAPBEXstdItem 2 11 2 4 4" xfId="35249"/>
    <cellStyle name="SAPBEXstdItem 2 11 2 5" xfId="21078"/>
    <cellStyle name="SAPBEXstdItem 2 11 2 5 2" xfId="21079"/>
    <cellStyle name="SAPBEXstdItem 2 11 2 5 3" xfId="35250"/>
    <cellStyle name="SAPBEXstdItem 2 11 2 5 4" xfId="35251"/>
    <cellStyle name="SAPBEXstdItem 2 11 2 6" xfId="21080"/>
    <cellStyle name="SAPBEXstdItem 2 11 2 6 2" xfId="21081"/>
    <cellStyle name="SAPBEXstdItem 2 11 2 6 3" xfId="35252"/>
    <cellStyle name="SAPBEXstdItem 2 11 2 6 4" xfId="35253"/>
    <cellStyle name="SAPBEXstdItem 2 11 2 7" xfId="21082"/>
    <cellStyle name="SAPBEXstdItem 2 11 2 7 2" xfId="21083"/>
    <cellStyle name="SAPBEXstdItem 2 11 2 7 3" xfId="35254"/>
    <cellStyle name="SAPBEXstdItem 2 11 2 7 4" xfId="35255"/>
    <cellStyle name="SAPBEXstdItem 2 11 2 8" xfId="21084"/>
    <cellStyle name="SAPBEXstdItem 2 11 2 9" xfId="35256"/>
    <cellStyle name="SAPBEXstdItem 2 11 3" xfId="21085"/>
    <cellStyle name="SAPBEXstdItem 2 11 3 10" xfId="35257"/>
    <cellStyle name="SAPBEXstdItem 2 11 3 2" xfId="21086"/>
    <cellStyle name="SAPBEXstdItem 2 11 3 2 2" xfId="21087"/>
    <cellStyle name="SAPBEXstdItem 2 11 3 2 3" xfId="35258"/>
    <cellStyle name="SAPBEXstdItem 2 11 3 2 4" xfId="35259"/>
    <cellStyle name="SAPBEXstdItem 2 11 3 3" xfId="21088"/>
    <cellStyle name="SAPBEXstdItem 2 11 3 3 2" xfId="21089"/>
    <cellStyle name="SAPBEXstdItem 2 11 3 3 3" xfId="35260"/>
    <cellStyle name="SAPBEXstdItem 2 11 3 3 4" xfId="35261"/>
    <cellStyle name="SAPBEXstdItem 2 11 3 4" xfId="21090"/>
    <cellStyle name="SAPBEXstdItem 2 11 3 4 2" xfId="21091"/>
    <cellStyle name="SAPBEXstdItem 2 11 3 4 3" xfId="35262"/>
    <cellStyle name="SAPBEXstdItem 2 11 3 4 4" xfId="35263"/>
    <cellStyle name="SAPBEXstdItem 2 11 3 5" xfId="21092"/>
    <cellStyle name="SAPBEXstdItem 2 11 3 5 2" xfId="21093"/>
    <cellStyle name="SAPBEXstdItem 2 11 3 5 3" xfId="35264"/>
    <cellStyle name="SAPBEXstdItem 2 11 3 5 4" xfId="35265"/>
    <cellStyle name="SAPBEXstdItem 2 11 3 6" xfId="21094"/>
    <cellStyle name="SAPBEXstdItem 2 11 3 6 2" xfId="21095"/>
    <cellStyle name="SAPBEXstdItem 2 11 3 6 3" xfId="35266"/>
    <cellStyle name="SAPBEXstdItem 2 11 3 6 4" xfId="35267"/>
    <cellStyle name="SAPBEXstdItem 2 11 3 7" xfId="21096"/>
    <cellStyle name="SAPBEXstdItem 2 11 3 7 2" xfId="21097"/>
    <cellStyle name="SAPBEXstdItem 2 11 3 7 3" xfId="35268"/>
    <cellStyle name="SAPBEXstdItem 2 11 3 7 4" xfId="35269"/>
    <cellStyle name="SAPBEXstdItem 2 11 3 8" xfId="21098"/>
    <cellStyle name="SAPBEXstdItem 2 11 3 9" xfId="35270"/>
    <cellStyle name="SAPBEXstdItem 2 11 4" xfId="21099"/>
    <cellStyle name="SAPBEXstdItem 2 11 4 10" xfId="35271"/>
    <cellStyle name="SAPBEXstdItem 2 11 4 2" xfId="21100"/>
    <cellStyle name="SAPBEXstdItem 2 11 4 2 2" xfId="21101"/>
    <cellStyle name="SAPBEXstdItem 2 11 4 2 3" xfId="35272"/>
    <cellStyle name="SAPBEXstdItem 2 11 4 2 4" xfId="35273"/>
    <cellStyle name="SAPBEXstdItem 2 11 4 3" xfId="21102"/>
    <cellStyle name="SAPBEXstdItem 2 11 4 3 2" xfId="21103"/>
    <cellStyle name="SAPBEXstdItem 2 11 4 3 3" xfId="35274"/>
    <cellStyle name="SAPBEXstdItem 2 11 4 3 4" xfId="35275"/>
    <cellStyle name="SAPBEXstdItem 2 11 4 4" xfId="21104"/>
    <cellStyle name="SAPBEXstdItem 2 11 4 4 2" xfId="21105"/>
    <cellStyle name="SAPBEXstdItem 2 11 4 4 3" xfId="35276"/>
    <cellStyle name="SAPBEXstdItem 2 11 4 4 4" xfId="35277"/>
    <cellStyle name="SAPBEXstdItem 2 11 4 5" xfId="21106"/>
    <cellStyle name="SAPBEXstdItem 2 11 4 5 2" xfId="21107"/>
    <cellStyle name="SAPBEXstdItem 2 11 4 5 3" xfId="35278"/>
    <cellStyle name="SAPBEXstdItem 2 11 4 5 4" xfId="35279"/>
    <cellStyle name="SAPBEXstdItem 2 11 4 6" xfId="21108"/>
    <cellStyle name="SAPBEXstdItem 2 11 4 6 2" xfId="21109"/>
    <cellStyle name="SAPBEXstdItem 2 11 4 6 3" xfId="35280"/>
    <cellStyle name="SAPBEXstdItem 2 11 4 6 4" xfId="35281"/>
    <cellStyle name="SAPBEXstdItem 2 11 4 7" xfId="21110"/>
    <cellStyle name="SAPBEXstdItem 2 11 4 7 2" xfId="21111"/>
    <cellStyle name="SAPBEXstdItem 2 11 4 7 3" xfId="35282"/>
    <cellStyle name="SAPBEXstdItem 2 11 4 7 4" xfId="35283"/>
    <cellStyle name="SAPBEXstdItem 2 11 4 8" xfId="21112"/>
    <cellStyle name="SAPBEXstdItem 2 11 4 9" xfId="35284"/>
    <cellStyle name="SAPBEXstdItem 2 11 5" xfId="21113"/>
    <cellStyle name="SAPBEXstdItem 2 11 5 10" xfId="35285"/>
    <cellStyle name="SAPBEXstdItem 2 11 5 2" xfId="21114"/>
    <cellStyle name="SAPBEXstdItem 2 11 5 2 2" xfId="21115"/>
    <cellStyle name="SAPBEXstdItem 2 11 5 2 3" xfId="35286"/>
    <cellStyle name="SAPBEXstdItem 2 11 5 2 4" xfId="35287"/>
    <cellStyle name="SAPBEXstdItem 2 11 5 3" xfId="21116"/>
    <cellStyle name="SAPBEXstdItem 2 11 5 3 2" xfId="21117"/>
    <cellStyle name="SAPBEXstdItem 2 11 5 3 3" xfId="35288"/>
    <cellStyle name="SAPBEXstdItem 2 11 5 3 4" xfId="35289"/>
    <cellStyle name="SAPBEXstdItem 2 11 5 4" xfId="21118"/>
    <cellStyle name="SAPBEXstdItem 2 11 5 4 2" xfId="21119"/>
    <cellStyle name="SAPBEXstdItem 2 11 5 4 3" xfId="35290"/>
    <cellStyle name="SAPBEXstdItem 2 11 5 4 4" xfId="35291"/>
    <cellStyle name="SAPBEXstdItem 2 11 5 5" xfId="21120"/>
    <cellStyle name="SAPBEXstdItem 2 11 5 5 2" xfId="21121"/>
    <cellStyle name="SAPBEXstdItem 2 11 5 5 3" xfId="35292"/>
    <cellStyle name="SAPBEXstdItem 2 11 5 5 4" xfId="35293"/>
    <cellStyle name="SAPBEXstdItem 2 11 5 6" xfId="21122"/>
    <cellStyle name="SAPBEXstdItem 2 11 5 6 2" xfId="21123"/>
    <cellStyle name="SAPBEXstdItem 2 11 5 6 3" xfId="35294"/>
    <cellStyle name="SAPBEXstdItem 2 11 5 6 4" xfId="35295"/>
    <cellStyle name="SAPBEXstdItem 2 11 5 7" xfId="21124"/>
    <cellStyle name="SAPBEXstdItem 2 11 5 7 2" xfId="21125"/>
    <cellStyle name="SAPBEXstdItem 2 11 5 7 3" xfId="35296"/>
    <cellStyle name="SAPBEXstdItem 2 11 5 7 4" xfId="35297"/>
    <cellStyle name="SAPBEXstdItem 2 11 5 8" xfId="21126"/>
    <cellStyle name="SAPBEXstdItem 2 11 5 9" xfId="35298"/>
    <cellStyle name="SAPBEXstdItem 2 11 6" xfId="21127"/>
    <cellStyle name="SAPBEXstdItem 2 11 6 2" xfId="21128"/>
    <cellStyle name="SAPBEXstdItem 2 11 6 3" xfId="35299"/>
    <cellStyle name="SAPBEXstdItem 2 11 6 4" xfId="35300"/>
    <cellStyle name="SAPBEXstdItem 2 11 7" xfId="21129"/>
    <cellStyle name="SAPBEXstdItem 2 11 7 2" xfId="21130"/>
    <cellStyle name="SAPBEXstdItem 2 11 7 3" xfId="35301"/>
    <cellStyle name="SAPBEXstdItem 2 11 7 4" xfId="35302"/>
    <cellStyle name="SAPBEXstdItem 2 11 8" xfId="21131"/>
    <cellStyle name="SAPBEXstdItem 2 11 8 2" xfId="21132"/>
    <cellStyle name="SAPBEXstdItem 2 11 8 3" xfId="35303"/>
    <cellStyle name="SAPBEXstdItem 2 11 8 4" xfId="35304"/>
    <cellStyle name="SAPBEXstdItem 2 11 9" xfId="21133"/>
    <cellStyle name="SAPBEXstdItem 2 11 9 2" xfId="21134"/>
    <cellStyle name="SAPBEXstdItem 2 11 9 3" xfId="35305"/>
    <cellStyle name="SAPBEXstdItem 2 11 9 4" xfId="35306"/>
    <cellStyle name="SAPBEXstdItem 2 12" xfId="21135"/>
    <cellStyle name="SAPBEXstdItem 2 12 10" xfId="21136"/>
    <cellStyle name="SAPBEXstdItem 2 12 10 2" xfId="21137"/>
    <cellStyle name="SAPBEXstdItem 2 12 10 3" xfId="35307"/>
    <cellStyle name="SAPBEXstdItem 2 12 10 4" xfId="35308"/>
    <cellStyle name="SAPBEXstdItem 2 12 11" xfId="21138"/>
    <cellStyle name="SAPBEXstdItem 2 12 11 2" xfId="21139"/>
    <cellStyle name="SAPBEXstdItem 2 12 11 3" xfId="35309"/>
    <cellStyle name="SAPBEXstdItem 2 12 11 4" xfId="35310"/>
    <cellStyle name="SAPBEXstdItem 2 12 12" xfId="21140"/>
    <cellStyle name="SAPBEXstdItem 2 12 13" xfId="35311"/>
    <cellStyle name="SAPBEXstdItem 2 12 14" xfId="35312"/>
    <cellStyle name="SAPBEXstdItem 2 12 2" xfId="21141"/>
    <cellStyle name="SAPBEXstdItem 2 12 2 10" xfId="35313"/>
    <cellStyle name="SAPBEXstdItem 2 12 2 2" xfId="21142"/>
    <cellStyle name="SAPBEXstdItem 2 12 2 2 2" xfId="21143"/>
    <cellStyle name="SAPBEXstdItem 2 12 2 2 3" xfId="35314"/>
    <cellStyle name="SAPBEXstdItem 2 12 2 2 4" xfId="35315"/>
    <cellStyle name="SAPBEXstdItem 2 12 2 3" xfId="21144"/>
    <cellStyle name="SAPBEXstdItem 2 12 2 3 2" xfId="21145"/>
    <cellStyle name="SAPBEXstdItem 2 12 2 3 3" xfId="35316"/>
    <cellStyle name="SAPBEXstdItem 2 12 2 3 4" xfId="35317"/>
    <cellStyle name="SAPBEXstdItem 2 12 2 4" xfId="21146"/>
    <cellStyle name="SAPBEXstdItem 2 12 2 4 2" xfId="21147"/>
    <cellStyle name="SAPBEXstdItem 2 12 2 4 3" xfId="35318"/>
    <cellStyle name="SAPBEXstdItem 2 12 2 4 4" xfId="35319"/>
    <cellStyle name="SAPBEXstdItem 2 12 2 5" xfId="21148"/>
    <cellStyle name="SAPBEXstdItem 2 12 2 5 2" xfId="21149"/>
    <cellStyle name="SAPBEXstdItem 2 12 2 5 3" xfId="35320"/>
    <cellStyle name="SAPBEXstdItem 2 12 2 5 4" xfId="35321"/>
    <cellStyle name="SAPBEXstdItem 2 12 2 6" xfId="21150"/>
    <cellStyle name="SAPBEXstdItem 2 12 2 6 2" xfId="21151"/>
    <cellStyle name="SAPBEXstdItem 2 12 2 6 3" xfId="35322"/>
    <cellStyle name="SAPBEXstdItem 2 12 2 6 4" xfId="35323"/>
    <cellStyle name="SAPBEXstdItem 2 12 2 7" xfId="21152"/>
    <cellStyle name="SAPBEXstdItem 2 12 2 7 2" xfId="21153"/>
    <cellStyle name="SAPBEXstdItem 2 12 2 7 3" xfId="35324"/>
    <cellStyle name="SAPBEXstdItem 2 12 2 7 4" xfId="35325"/>
    <cellStyle name="SAPBEXstdItem 2 12 2 8" xfId="21154"/>
    <cellStyle name="SAPBEXstdItem 2 12 2 9" xfId="35326"/>
    <cellStyle name="SAPBEXstdItem 2 12 3" xfId="21155"/>
    <cellStyle name="SAPBEXstdItem 2 12 3 10" xfId="35327"/>
    <cellStyle name="SAPBEXstdItem 2 12 3 2" xfId="21156"/>
    <cellStyle name="SAPBEXstdItem 2 12 3 2 2" xfId="21157"/>
    <cellStyle name="SAPBEXstdItem 2 12 3 2 3" xfId="35328"/>
    <cellStyle name="SAPBEXstdItem 2 12 3 2 4" xfId="35329"/>
    <cellStyle name="SAPBEXstdItem 2 12 3 3" xfId="21158"/>
    <cellStyle name="SAPBEXstdItem 2 12 3 3 2" xfId="21159"/>
    <cellStyle name="SAPBEXstdItem 2 12 3 3 3" xfId="35330"/>
    <cellStyle name="SAPBEXstdItem 2 12 3 3 4" xfId="35331"/>
    <cellStyle name="SAPBEXstdItem 2 12 3 4" xfId="21160"/>
    <cellStyle name="SAPBEXstdItem 2 12 3 4 2" xfId="21161"/>
    <cellStyle name="SAPBEXstdItem 2 12 3 4 3" xfId="35332"/>
    <cellStyle name="SAPBEXstdItem 2 12 3 4 4" xfId="35333"/>
    <cellStyle name="SAPBEXstdItem 2 12 3 5" xfId="21162"/>
    <cellStyle name="SAPBEXstdItem 2 12 3 5 2" xfId="21163"/>
    <cellStyle name="SAPBEXstdItem 2 12 3 5 3" xfId="35334"/>
    <cellStyle name="SAPBEXstdItem 2 12 3 5 4" xfId="35335"/>
    <cellStyle name="SAPBEXstdItem 2 12 3 6" xfId="21164"/>
    <cellStyle name="SAPBEXstdItem 2 12 3 6 2" xfId="21165"/>
    <cellStyle name="SAPBEXstdItem 2 12 3 6 3" xfId="35336"/>
    <cellStyle name="SAPBEXstdItem 2 12 3 6 4" xfId="35337"/>
    <cellStyle name="SAPBEXstdItem 2 12 3 7" xfId="21166"/>
    <cellStyle name="SAPBEXstdItem 2 12 3 7 2" xfId="21167"/>
    <cellStyle name="SAPBEXstdItem 2 12 3 7 3" xfId="35338"/>
    <cellStyle name="SAPBEXstdItem 2 12 3 7 4" xfId="35339"/>
    <cellStyle name="SAPBEXstdItem 2 12 3 8" xfId="21168"/>
    <cellStyle name="SAPBEXstdItem 2 12 3 9" xfId="35340"/>
    <cellStyle name="SAPBEXstdItem 2 12 4" xfId="21169"/>
    <cellStyle name="SAPBEXstdItem 2 12 4 10" xfId="35341"/>
    <cellStyle name="SAPBEXstdItem 2 12 4 2" xfId="21170"/>
    <cellStyle name="SAPBEXstdItem 2 12 4 2 2" xfId="21171"/>
    <cellStyle name="SAPBEXstdItem 2 12 4 2 3" xfId="35342"/>
    <cellStyle name="SAPBEXstdItem 2 12 4 2 4" xfId="35343"/>
    <cellStyle name="SAPBEXstdItem 2 12 4 3" xfId="21172"/>
    <cellStyle name="SAPBEXstdItem 2 12 4 3 2" xfId="21173"/>
    <cellStyle name="SAPBEXstdItem 2 12 4 3 3" xfId="35344"/>
    <cellStyle name="SAPBEXstdItem 2 12 4 3 4" xfId="35345"/>
    <cellStyle name="SAPBEXstdItem 2 12 4 4" xfId="21174"/>
    <cellStyle name="SAPBEXstdItem 2 12 4 4 2" xfId="21175"/>
    <cellStyle name="SAPBEXstdItem 2 12 4 4 3" xfId="35346"/>
    <cellStyle name="SAPBEXstdItem 2 12 4 4 4" xfId="35347"/>
    <cellStyle name="SAPBEXstdItem 2 12 4 5" xfId="21176"/>
    <cellStyle name="SAPBEXstdItem 2 12 4 5 2" xfId="21177"/>
    <cellStyle name="SAPBEXstdItem 2 12 4 5 3" xfId="35348"/>
    <cellStyle name="SAPBEXstdItem 2 12 4 5 4" xfId="35349"/>
    <cellStyle name="SAPBEXstdItem 2 12 4 6" xfId="21178"/>
    <cellStyle name="SAPBEXstdItem 2 12 4 6 2" xfId="21179"/>
    <cellStyle name="SAPBEXstdItem 2 12 4 6 3" xfId="35350"/>
    <cellStyle name="SAPBEXstdItem 2 12 4 6 4" xfId="35351"/>
    <cellStyle name="SAPBEXstdItem 2 12 4 7" xfId="21180"/>
    <cellStyle name="SAPBEXstdItem 2 12 4 7 2" xfId="21181"/>
    <cellStyle name="SAPBEXstdItem 2 12 4 7 3" xfId="35352"/>
    <cellStyle name="SAPBEXstdItem 2 12 4 7 4" xfId="35353"/>
    <cellStyle name="SAPBEXstdItem 2 12 4 8" xfId="21182"/>
    <cellStyle name="SAPBEXstdItem 2 12 4 9" xfId="35354"/>
    <cellStyle name="SAPBEXstdItem 2 12 5" xfId="21183"/>
    <cellStyle name="SAPBEXstdItem 2 12 5 10" xfId="35355"/>
    <cellStyle name="SAPBEXstdItem 2 12 5 2" xfId="21184"/>
    <cellStyle name="SAPBEXstdItem 2 12 5 2 2" xfId="21185"/>
    <cellStyle name="SAPBEXstdItem 2 12 5 2 3" xfId="35356"/>
    <cellStyle name="SAPBEXstdItem 2 12 5 2 4" xfId="35357"/>
    <cellStyle name="SAPBEXstdItem 2 12 5 3" xfId="21186"/>
    <cellStyle name="SAPBEXstdItem 2 12 5 3 2" xfId="21187"/>
    <cellStyle name="SAPBEXstdItem 2 12 5 3 3" xfId="35358"/>
    <cellStyle name="SAPBEXstdItem 2 12 5 3 4" xfId="35359"/>
    <cellStyle name="SAPBEXstdItem 2 12 5 4" xfId="21188"/>
    <cellStyle name="SAPBEXstdItem 2 12 5 4 2" xfId="21189"/>
    <cellStyle name="SAPBEXstdItem 2 12 5 4 3" xfId="35360"/>
    <cellStyle name="SAPBEXstdItem 2 12 5 4 4" xfId="35361"/>
    <cellStyle name="SAPBEXstdItem 2 12 5 5" xfId="21190"/>
    <cellStyle name="SAPBEXstdItem 2 12 5 5 2" xfId="21191"/>
    <cellStyle name="SAPBEXstdItem 2 12 5 5 3" xfId="35362"/>
    <cellStyle name="SAPBEXstdItem 2 12 5 5 4" xfId="35363"/>
    <cellStyle name="SAPBEXstdItem 2 12 5 6" xfId="21192"/>
    <cellStyle name="SAPBEXstdItem 2 12 5 6 2" xfId="21193"/>
    <cellStyle name="SAPBEXstdItem 2 12 5 6 3" xfId="35364"/>
    <cellStyle name="SAPBEXstdItem 2 12 5 6 4" xfId="35365"/>
    <cellStyle name="SAPBEXstdItem 2 12 5 7" xfId="21194"/>
    <cellStyle name="SAPBEXstdItem 2 12 5 7 2" xfId="21195"/>
    <cellStyle name="SAPBEXstdItem 2 12 5 7 3" xfId="35366"/>
    <cellStyle name="SAPBEXstdItem 2 12 5 7 4" xfId="35367"/>
    <cellStyle name="SAPBEXstdItem 2 12 5 8" xfId="21196"/>
    <cellStyle name="SAPBEXstdItem 2 12 5 9" xfId="35368"/>
    <cellStyle name="SAPBEXstdItem 2 12 6" xfId="21197"/>
    <cellStyle name="SAPBEXstdItem 2 12 6 2" xfId="21198"/>
    <cellStyle name="SAPBEXstdItem 2 12 6 3" xfId="35369"/>
    <cellStyle name="SAPBEXstdItem 2 12 6 4" xfId="35370"/>
    <cellStyle name="SAPBEXstdItem 2 12 7" xfId="21199"/>
    <cellStyle name="SAPBEXstdItem 2 12 7 2" xfId="21200"/>
    <cellStyle name="SAPBEXstdItem 2 12 7 3" xfId="35371"/>
    <cellStyle name="SAPBEXstdItem 2 12 7 4" xfId="35372"/>
    <cellStyle name="SAPBEXstdItem 2 12 8" xfId="21201"/>
    <cellStyle name="SAPBEXstdItem 2 12 8 2" xfId="21202"/>
    <cellStyle name="SAPBEXstdItem 2 12 8 3" xfId="35373"/>
    <cellStyle name="SAPBEXstdItem 2 12 8 4" xfId="35374"/>
    <cellStyle name="SAPBEXstdItem 2 12 9" xfId="21203"/>
    <cellStyle name="SAPBEXstdItem 2 12 9 2" xfId="21204"/>
    <cellStyle name="SAPBEXstdItem 2 12 9 3" xfId="35375"/>
    <cellStyle name="SAPBEXstdItem 2 12 9 4" xfId="35376"/>
    <cellStyle name="SAPBEXstdItem 2 13" xfId="21205"/>
    <cellStyle name="SAPBEXstdItem 2 13 10" xfId="35377"/>
    <cellStyle name="SAPBEXstdItem 2 13 2" xfId="21206"/>
    <cellStyle name="SAPBEXstdItem 2 13 2 2" xfId="21207"/>
    <cellStyle name="SAPBEXstdItem 2 13 2 3" xfId="35378"/>
    <cellStyle name="SAPBEXstdItem 2 13 2 4" xfId="35379"/>
    <cellStyle name="SAPBEXstdItem 2 13 3" xfId="21208"/>
    <cellStyle name="SAPBEXstdItem 2 13 3 2" xfId="21209"/>
    <cellStyle name="SAPBEXstdItem 2 13 3 3" xfId="35380"/>
    <cellStyle name="SAPBEXstdItem 2 13 3 4" xfId="35381"/>
    <cellStyle name="SAPBEXstdItem 2 13 4" xfId="21210"/>
    <cellStyle name="SAPBEXstdItem 2 13 4 2" xfId="21211"/>
    <cellStyle name="SAPBEXstdItem 2 13 4 3" xfId="35382"/>
    <cellStyle name="SAPBEXstdItem 2 13 4 4" xfId="35383"/>
    <cellStyle name="SAPBEXstdItem 2 13 5" xfId="21212"/>
    <cellStyle name="SAPBEXstdItem 2 13 5 2" xfId="21213"/>
    <cellStyle name="SAPBEXstdItem 2 13 5 3" xfId="35384"/>
    <cellStyle name="SAPBEXstdItem 2 13 5 4" xfId="35385"/>
    <cellStyle name="SAPBEXstdItem 2 13 6" xfId="21214"/>
    <cellStyle name="SAPBEXstdItem 2 13 6 2" xfId="21215"/>
    <cellStyle name="SAPBEXstdItem 2 13 6 3" xfId="35386"/>
    <cellStyle name="SAPBEXstdItem 2 13 6 4" xfId="35387"/>
    <cellStyle name="SAPBEXstdItem 2 13 7" xfId="21216"/>
    <cellStyle name="SAPBEXstdItem 2 13 7 2" xfId="21217"/>
    <cellStyle name="SAPBEXstdItem 2 13 7 3" xfId="35388"/>
    <cellStyle name="SAPBEXstdItem 2 13 7 4" xfId="35389"/>
    <cellStyle name="SAPBEXstdItem 2 13 8" xfId="21218"/>
    <cellStyle name="SAPBEXstdItem 2 13 9" xfId="35390"/>
    <cellStyle name="SAPBEXstdItem 2 14" xfId="21219"/>
    <cellStyle name="SAPBEXstdItem 2 14 10" xfId="35391"/>
    <cellStyle name="SAPBEXstdItem 2 14 2" xfId="21220"/>
    <cellStyle name="SAPBEXstdItem 2 14 2 2" xfId="21221"/>
    <cellStyle name="SAPBEXstdItem 2 14 2 3" xfId="35392"/>
    <cellStyle name="SAPBEXstdItem 2 14 2 4" xfId="35393"/>
    <cellStyle name="SAPBEXstdItem 2 14 3" xfId="21222"/>
    <cellStyle name="SAPBEXstdItem 2 14 3 2" xfId="21223"/>
    <cellStyle name="SAPBEXstdItem 2 14 3 3" xfId="35394"/>
    <cellStyle name="SAPBEXstdItem 2 14 3 4" xfId="35395"/>
    <cellStyle name="SAPBEXstdItem 2 14 4" xfId="21224"/>
    <cellStyle name="SAPBEXstdItem 2 14 4 2" xfId="21225"/>
    <cellStyle name="SAPBEXstdItem 2 14 4 3" xfId="35396"/>
    <cellStyle name="SAPBEXstdItem 2 14 4 4" xfId="35397"/>
    <cellStyle name="SAPBEXstdItem 2 14 5" xfId="21226"/>
    <cellStyle name="SAPBEXstdItem 2 14 5 2" xfId="21227"/>
    <cellStyle name="SAPBEXstdItem 2 14 5 3" xfId="35398"/>
    <cellStyle name="SAPBEXstdItem 2 14 5 4" xfId="35399"/>
    <cellStyle name="SAPBEXstdItem 2 14 6" xfId="21228"/>
    <cellStyle name="SAPBEXstdItem 2 14 6 2" xfId="21229"/>
    <cellStyle name="SAPBEXstdItem 2 14 6 3" xfId="35400"/>
    <cellStyle name="SAPBEXstdItem 2 14 6 4" xfId="35401"/>
    <cellStyle name="SAPBEXstdItem 2 14 7" xfId="21230"/>
    <cellStyle name="SAPBEXstdItem 2 14 7 2" xfId="21231"/>
    <cellStyle name="SAPBEXstdItem 2 14 7 3" xfId="35402"/>
    <cellStyle name="SAPBEXstdItem 2 14 7 4" xfId="35403"/>
    <cellStyle name="SAPBEXstdItem 2 14 8" xfId="21232"/>
    <cellStyle name="SAPBEXstdItem 2 14 9" xfId="35404"/>
    <cellStyle name="SAPBEXstdItem 2 15" xfId="21233"/>
    <cellStyle name="SAPBEXstdItem 2 15 10" xfId="35405"/>
    <cellStyle name="SAPBEXstdItem 2 15 2" xfId="21234"/>
    <cellStyle name="SAPBEXstdItem 2 15 2 2" xfId="21235"/>
    <cellStyle name="SAPBEXstdItem 2 15 2 3" xfId="35406"/>
    <cellStyle name="SAPBEXstdItem 2 15 2 4" xfId="35407"/>
    <cellStyle name="SAPBEXstdItem 2 15 3" xfId="21236"/>
    <cellStyle name="SAPBEXstdItem 2 15 3 2" xfId="21237"/>
    <cellStyle name="SAPBEXstdItem 2 15 3 3" xfId="35408"/>
    <cellStyle name="SAPBEXstdItem 2 15 3 4" xfId="35409"/>
    <cellStyle name="SAPBEXstdItem 2 15 4" xfId="21238"/>
    <cellStyle name="SAPBEXstdItem 2 15 4 2" xfId="21239"/>
    <cellStyle name="SAPBEXstdItem 2 15 4 3" xfId="35410"/>
    <cellStyle name="SAPBEXstdItem 2 15 4 4" xfId="35411"/>
    <cellStyle name="SAPBEXstdItem 2 15 5" xfId="21240"/>
    <cellStyle name="SAPBEXstdItem 2 15 5 2" xfId="21241"/>
    <cellStyle name="SAPBEXstdItem 2 15 5 3" xfId="35412"/>
    <cellStyle name="SAPBEXstdItem 2 15 5 4" xfId="35413"/>
    <cellStyle name="SAPBEXstdItem 2 15 6" xfId="21242"/>
    <cellStyle name="SAPBEXstdItem 2 15 6 2" xfId="21243"/>
    <cellStyle name="SAPBEXstdItem 2 15 6 3" xfId="35414"/>
    <cellStyle name="SAPBEXstdItem 2 15 6 4" xfId="35415"/>
    <cellStyle name="SAPBEXstdItem 2 15 7" xfId="21244"/>
    <cellStyle name="SAPBEXstdItem 2 15 7 2" xfId="21245"/>
    <cellStyle name="SAPBEXstdItem 2 15 7 3" xfId="35416"/>
    <cellStyle name="SAPBEXstdItem 2 15 7 4" xfId="35417"/>
    <cellStyle name="SAPBEXstdItem 2 15 8" xfId="21246"/>
    <cellStyle name="SAPBEXstdItem 2 15 9" xfId="35418"/>
    <cellStyle name="SAPBEXstdItem 2 16" xfId="21247"/>
    <cellStyle name="SAPBEXstdItem 2 16 10" xfId="35419"/>
    <cellStyle name="SAPBEXstdItem 2 16 2" xfId="21248"/>
    <cellStyle name="SAPBEXstdItem 2 16 2 2" xfId="21249"/>
    <cellStyle name="SAPBEXstdItem 2 16 2 3" xfId="35420"/>
    <cellStyle name="SAPBEXstdItem 2 16 2 4" xfId="35421"/>
    <cellStyle name="SAPBEXstdItem 2 16 3" xfId="21250"/>
    <cellStyle name="SAPBEXstdItem 2 16 3 2" xfId="21251"/>
    <cellStyle name="SAPBEXstdItem 2 16 3 3" xfId="35422"/>
    <cellStyle name="SAPBEXstdItem 2 16 3 4" xfId="35423"/>
    <cellStyle name="SAPBEXstdItem 2 16 4" xfId="21252"/>
    <cellStyle name="SAPBEXstdItem 2 16 4 2" xfId="21253"/>
    <cellStyle name="SAPBEXstdItem 2 16 4 3" xfId="35424"/>
    <cellStyle name="SAPBEXstdItem 2 16 4 4" xfId="35425"/>
    <cellStyle name="SAPBEXstdItem 2 16 5" xfId="21254"/>
    <cellStyle name="SAPBEXstdItem 2 16 5 2" xfId="21255"/>
    <cellStyle name="SAPBEXstdItem 2 16 5 3" xfId="35426"/>
    <cellStyle name="SAPBEXstdItem 2 16 5 4" xfId="35427"/>
    <cellStyle name="SAPBEXstdItem 2 16 6" xfId="21256"/>
    <cellStyle name="SAPBEXstdItem 2 16 6 2" xfId="21257"/>
    <cellStyle name="SAPBEXstdItem 2 16 6 3" xfId="35428"/>
    <cellStyle name="SAPBEXstdItem 2 16 6 4" xfId="35429"/>
    <cellStyle name="SAPBEXstdItem 2 16 7" xfId="21258"/>
    <cellStyle name="SAPBEXstdItem 2 16 7 2" xfId="21259"/>
    <cellStyle name="SAPBEXstdItem 2 16 7 3" xfId="35430"/>
    <cellStyle name="SAPBEXstdItem 2 16 7 4" xfId="35431"/>
    <cellStyle name="SAPBEXstdItem 2 16 8" xfId="21260"/>
    <cellStyle name="SAPBEXstdItem 2 16 9" xfId="35432"/>
    <cellStyle name="SAPBEXstdItem 2 17" xfId="21261"/>
    <cellStyle name="SAPBEXstdItem 2 17 2" xfId="21262"/>
    <cellStyle name="SAPBEXstdItem 2 17 3" xfId="35433"/>
    <cellStyle name="SAPBEXstdItem 2 17 4" xfId="35434"/>
    <cellStyle name="SAPBEXstdItem 2 18" xfId="21263"/>
    <cellStyle name="SAPBEXstdItem 2 18 2" xfId="21264"/>
    <cellStyle name="SAPBEXstdItem 2 18 3" xfId="35435"/>
    <cellStyle name="SAPBEXstdItem 2 18 4" xfId="35436"/>
    <cellStyle name="SAPBEXstdItem 2 19" xfId="21265"/>
    <cellStyle name="SAPBEXstdItem 2 19 2" xfId="21266"/>
    <cellStyle name="SAPBEXstdItem 2 19 3" xfId="35437"/>
    <cellStyle name="SAPBEXstdItem 2 19 4" xfId="35438"/>
    <cellStyle name="SAPBEXstdItem 2 2" xfId="21267"/>
    <cellStyle name="SAPBEXstdItem 2 2 10" xfId="21268"/>
    <cellStyle name="SAPBEXstdItem 2 2 10 2" xfId="21269"/>
    <cellStyle name="SAPBEXstdItem 2 2 10 3" xfId="35439"/>
    <cellStyle name="SAPBEXstdItem 2 2 10 4" xfId="35440"/>
    <cellStyle name="SAPBEXstdItem 2 2 11" xfId="21270"/>
    <cellStyle name="SAPBEXstdItem 2 2 11 2" xfId="21271"/>
    <cellStyle name="SAPBEXstdItem 2 2 11 3" xfId="35441"/>
    <cellStyle name="SAPBEXstdItem 2 2 11 4" xfId="35442"/>
    <cellStyle name="SAPBEXstdItem 2 2 12" xfId="21272"/>
    <cellStyle name="SAPBEXstdItem 2 2 13" xfId="35443"/>
    <cellStyle name="SAPBEXstdItem 2 2 14" xfId="35444"/>
    <cellStyle name="SAPBEXstdItem 2 2 2" xfId="21273"/>
    <cellStyle name="SAPBEXstdItem 2 2 2 10" xfId="35445"/>
    <cellStyle name="SAPBEXstdItem 2 2 2 2" xfId="21274"/>
    <cellStyle name="SAPBEXstdItem 2 2 2 2 2" xfId="21275"/>
    <cellStyle name="SAPBEXstdItem 2 2 2 2 3" xfId="35446"/>
    <cellStyle name="SAPBEXstdItem 2 2 2 2 4" xfId="35447"/>
    <cellStyle name="SAPBEXstdItem 2 2 2 3" xfId="21276"/>
    <cellStyle name="SAPBEXstdItem 2 2 2 3 2" xfId="21277"/>
    <cellStyle name="SAPBEXstdItem 2 2 2 3 3" xfId="35448"/>
    <cellStyle name="SAPBEXstdItem 2 2 2 3 4" xfId="35449"/>
    <cellStyle name="SAPBEXstdItem 2 2 2 4" xfId="21278"/>
    <cellStyle name="SAPBEXstdItem 2 2 2 4 2" xfId="21279"/>
    <cellStyle name="SAPBEXstdItem 2 2 2 4 3" xfId="35450"/>
    <cellStyle name="SAPBEXstdItem 2 2 2 4 4" xfId="35451"/>
    <cellStyle name="SAPBEXstdItem 2 2 2 5" xfId="21280"/>
    <cellStyle name="SAPBEXstdItem 2 2 2 5 2" xfId="21281"/>
    <cellStyle name="SAPBEXstdItem 2 2 2 5 3" xfId="35452"/>
    <cellStyle name="SAPBEXstdItem 2 2 2 5 4" xfId="35453"/>
    <cellStyle name="SAPBEXstdItem 2 2 2 6" xfId="21282"/>
    <cellStyle name="SAPBEXstdItem 2 2 2 6 2" xfId="21283"/>
    <cellStyle name="SAPBEXstdItem 2 2 2 6 3" xfId="35454"/>
    <cellStyle name="SAPBEXstdItem 2 2 2 6 4" xfId="35455"/>
    <cellStyle name="SAPBEXstdItem 2 2 2 7" xfId="21284"/>
    <cellStyle name="SAPBEXstdItem 2 2 2 7 2" xfId="21285"/>
    <cellStyle name="SAPBEXstdItem 2 2 2 7 3" xfId="35456"/>
    <cellStyle name="SAPBEXstdItem 2 2 2 7 4" xfId="35457"/>
    <cellStyle name="SAPBEXstdItem 2 2 2 8" xfId="21286"/>
    <cellStyle name="SAPBEXstdItem 2 2 2 9" xfId="35458"/>
    <cellStyle name="SAPBEXstdItem 2 2 3" xfId="21287"/>
    <cellStyle name="SAPBEXstdItem 2 2 3 10" xfId="35459"/>
    <cellStyle name="SAPBEXstdItem 2 2 3 2" xfId="21288"/>
    <cellStyle name="SAPBEXstdItem 2 2 3 2 2" xfId="21289"/>
    <cellStyle name="SAPBEXstdItem 2 2 3 2 3" xfId="35460"/>
    <cellStyle name="SAPBEXstdItem 2 2 3 2 4" xfId="35461"/>
    <cellStyle name="SAPBEXstdItem 2 2 3 3" xfId="21290"/>
    <cellStyle name="SAPBEXstdItem 2 2 3 3 2" xfId="21291"/>
    <cellStyle name="SAPBEXstdItem 2 2 3 3 3" xfId="35462"/>
    <cellStyle name="SAPBEXstdItem 2 2 3 3 4" xfId="35463"/>
    <cellStyle name="SAPBEXstdItem 2 2 3 4" xfId="21292"/>
    <cellStyle name="SAPBEXstdItem 2 2 3 4 2" xfId="21293"/>
    <cellStyle name="SAPBEXstdItem 2 2 3 4 3" xfId="35464"/>
    <cellStyle name="SAPBEXstdItem 2 2 3 4 4" xfId="35465"/>
    <cellStyle name="SAPBEXstdItem 2 2 3 5" xfId="21294"/>
    <cellStyle name="SAPBEXstdItem 2 2 3 5 2" xfId="21295"/>
    <cellStyle name="SAPBEXstdItem 2 2 3 5 3" xfId="35466"/>
    <cellStyle name="SAPBEXstdItem 2 2 3 5 4" xfId="35467"/>
    <cellStyle name="SAPBEXstdItem 2 2 3 6" xfId="21296"/>
    <cellStyle name="SAPBEXstdItem 2 2 3 6 2" xfId="21297"/>
    <cellStyle name="SAPBEXstdItem 2 2 3 6 3" xfId="35468"/>
    <cellStyle name="SAPBEXstdItem 2 2 3 6 4" xfId="35469"/>
    <cellStyle name="SAPBEXstdItem 2 2 3 7" xfId="21298"/>
    <cellStyle name="SAPBEXstdItem 2 2 3 7 2" xfId="21299"/>
    <cellStyle name="SAPBEXstdItem 2 2 3 7 3" xfId="35470"/>
    <cellStyle name="SAPBEXstdItem 2 2 3 7 4" xfId="35471"/>
    <cellStyle name="SAPBEXstdItem 2 2 3 8" xfId="21300"/>
    <cellStyle name="SAPBEXstdItem 2 2 3 9" xfId="35472"/>
    <cellStyle name="SAPBEXstdItem 2 2 4" xfId="21301"/>
    <cellStyle name="SAPBEXstdItem 2 2 4 10" xfId="35473"/>
    <cellStyle name="SAPBEXstdItem 2 2 4 2" xfId="21302"/>
    <cellStyle name="SAPBEXstdItem 2 2 4 2 2" xfId="21303"/>
    <cellStyle name="SAPBEXstdItem 2 2 4 2 3" xfId="35474"/>
    <cellStyle name="SAPBEXstdItem 2 2 4 2 4" xfId="35475"/>
    <cellStyle name="SAPBEXstdItem 2 2 4 3" xfId="21304"/>
    <cellStyle name="SAPBEXstdItem 2 2 4 3 2" xfId="21305"/>
    <cellStyle name="SAPBEXstdItem 2 2 4 3 3" xfId="35476"/>
    <cellStyle name="SAPBEXstdItem 2 2 4 3 4" xfId="35477"/>
    <cellStyle name="SAPBEXstdItem 2 2 4 4" xfId="21306"/>
    <cellStyle name="SAPBEXstdItem 2 2 4 4 2" xfId="21307"/>
    <cellStyle name="SAPBEXstdItem 2 2 4 4 3" xfId="35478"/>
    <cellStyle name="SAPBEXstdItem 2 2 4 4 4" xfId="35479"/>
    <cellStyle name="SAPBEXstdItem 2 2 4 5" xfId="21308"/>
    <cellStyle name="SAPBEXstdItem 2 2 4 5 2" xfId="21309"/>
    <cellStyle name="SAPBEXstdItem 2 2 4 5 3" xfId="35480"/>
    <cellStyle name="SAPBEXstdItem 2 2 4 5 4" xfId="35481"/>
    <cellStyle name="SAPBEXstdItem 2 2 4 6" xfId="21310"/>
    <cellStyle name="SAPBEXstdItem 2 2 4 6 2" xfId="21311"/>
    <cellStyle name="SAPBEXstdItem 2 2 4 6 3" xfId="35482"/>
    <cellStyle name="SAPBEXstdItem 2 2 4 6 4" xfId="35483"/>
    <cellStyle name="SAPBEXstdItem 2 2 4 7" xfId="21312"/>
    <cellStyle name="SAPBEXstdItem 2 2 4 7 2" xfId="21313"/>
    <cellStyle name="SAPBEXstdItem 2 2 4 7 3" xfId="35484"/>
    <cellStyle name="SAPBEXstdItem 2 2 4 7 4" xfId="35485"/>
    <cellStyle name="SAPBEXstdItem 2 2 4 8" xfId="21314"/>
    <cellStyle name="SAPBEXstdItem 2 2 4 9" xfId="35486"/>
    <cellStyle name="SAPBEXstdItem 2 2 5" xfId="21315"/>
    <cellStyle name="SAPBEXstdItem 2 2 5 10" xfId="35487"/>
    <cellStyle name="SAPBEXstdItem 2 2 5 2" xfId="21316"/>
    <cellStyle name="SAPBEXstdItem 2 2 5 2 2" xfId="21317"/>
    <cellStyle name="SAPBEXstdItem 2 2 5 2 3" xfId="35488"/>
    <cellStyle name="SAPBEXstdItem 2 2 5 2 4" xfId="35489"/>
    <cellStyle name="SAPBEXstdItem 2 2 5 3" xfId="21318"/>
    <cellStyle name="SAPBEXstdItem 2 2 5 3 2" xfId="21319"/>
    <cellStyle name="SAPBEXstdItem 2 2 5 3 3" xfId="35490"/>
    <cellStyle name="SAPBEXstdItem 2 2 5 3 4" xfId="35491"/>
    <cellStyle name="SAPBEXstdItem 2 2 5 4" xfId="21320"/>
    <cellStyle name="SAPBEXstdItem 2 2 5 4 2" xfId="21321"/>
    <cellStyle name="SAPBEXstdItem 2 2 5 4 3" xfId="35492"/>
    <cellStyle name="SAPBEXstdItem 2 2 5 4 4" xfId="35493"/>
    <cellStyle name="SAPBEXstdItem 2 2 5 5" xfId="21322"/>
    <cellStyle name="SAPBEXstdItem 2 2 5 5 2" xfId="21323"/>
    <cellStyle name="SAPBEXstdItem 2 2 5 5 3" xfId="35494"/>
    <cellStyle name="SAPBEXstdItem 2 2 5 5 4" xfId="35495"/>
    <cellStyle name="SAPBEXstdItem 2 2 5 6" xfId="21324"/>
    <cellStyle name="SAPBEXstdItem 2 2 5 6 2" xfId="21325"/>
    <cellStyle name="SAPBEXstdItem 2 2 5 6 3" xfId="35496"/>
    <cellStyle name="SAPBEXstdItem 2 2 5 6 4" xfId="35497"/>
    <cellStyle name="SAPBEXstdItem 2 2 5 7" xfId="21326"/>
    <cellStyle name="SAPBEXstdItem 2 2 5 7 2" xfId="21327"/>
    <cellStyle name="SAPBEXstdItem 2 2 5 7 3" xfId="35498"/>
    <cellStyle name="SAPBEXstdItem 2 2 5 7 4" xfId="35499"/>
    <cellStyle name="SAPBEXstdItem 2 2 5 8" xfId="21328"/>
    <cellStyle name="SAPBEXstdItem 2 2 5 9" xfId="35500"/>
    <cellStyle name="SAPBEXstdItem 2 2 6" xfId="21329"/>
    <cellStyle name="SAPBEXstdItem 2 2 6 2" xfId="21330"/>
    <cellStyle name="SAPBEXstdItem 2 2 6 3" xfId="35501"/>
    <cellStyle name="SAPBEXstdItem 2 2 6 4" xfId="35502"/>
    <cellStyle name="SAPBEXstdItem 2 2 7" xfId="21331"/>
    <cellStyle name="SAPBEXstdItem 2 2 7 2" xfId="21332"/>
    <cellStyle name="SAPBEXstdItem 2 2 7 3" xfId="35503"/>
    <cellStyle name="SAPBEXstdItem 2 2 7 4" xfId="35504"/>
    <cellStyle name="SAPBEXstdItem 2 2 8" xfId="21333"/>
    <cellStyle name="SAPBEXstdItem 2 2 8 2" xfId="21334"/>
    <cellStyle name="SAPBEXstdItem 2 2 8 3" xfId="35505"/>
    <cellStyle name="SAPBEXstdItem 2 2 8 4" xfId="35506"/>
    <cellStyle name="SAPBEXstdItem 2 2 9" xfId="21335"/>
    <cellStyle name="SAPBEXstdItem 2 2 9 2" xfId="21336"/>
    <cellStyle name="SAPBEXstdItem 2 2 9 3" xfId="35507"/>
    <cellStyle name="SAPBEXstdItem 2 2 9 4" xfId="35508"/>
    <cellStyle name="SAPBEXstdItem 2 20" xfId="21337"/>
    <cellStyle name="SAPBEXstdItem 2 20 2" xfId="21338"/>
    <cellStyle name="SAPBEXstdItem 2 20 3" xfId="35509"/>
    <cellStyle name="SAPBEXstdItem 2 20 4" xfId="35510"/>
    <cellStyle name="SAPBEXstdItem 2 21" xfId="21339"/>
    <cellStyle name="SAPBEXstdItem 2 21 2" xfId="21340"/>
    <cellStyle name="SAPBEXstdItem 2 21 3" xfId="35511"/>
    <cellStyle name="SAPBEXstdItem 2 21 4" xfId="35512"/>
    <cellStyle name="SAPBEXstdItem 2 22" xfId="21341"/>
    <cellStyle name="SAPBEXstdItem 2 22 2" xfId="21342"/>
    <cellStyle name="SAPBEXstdItem 2 22 3" xfId="35513"/>
    <cellStyle name="SAPBEXstdItem 2 22 4" xfId="35514"/>
    <cellStyle name="SAPBEXstdItem 2 23" xfId="21343"/>
    <cellStyle name="SAPBEXstdItem 2 24" xfId="35515"/>
    <cellStyle name="SAPBEXstdItem 2 25" xfId="35516"/>
    <cellStyle name="SAPBEXstdItem 2 3" xfId="21344"/>
    <cellStyle name="SAPBEXstdItem 2 3 10" xfId="21345"/>
    <cellStyle name="SAPBEXstdItem 2 3 10 2" xfId="21346"/>
    <cellStyle name="SAPBEXstdItem 2 3 10 3" xfId="35517"/>
    <cellStyle name="SAPBEXstdItem 2 3 10 4" xfId="35518"/>
    <cellStyle name="SAPBEXstdItem 2 3 11" xfId="21347"/>
    <cellStyle name="SAPBEXstdItem 2 3 11 2" xfId="21348"/>
    <cellStyle name="SAPBEXstdItem 2 3 11 3" xfId="35519"/>
    <cellStyle name="SAPBEXstdItem 2 3 11 4" xfId="35520"/>
    <cellStyle name="SAPBEXstdItem 2 3 12" xfId="21349"/>
    <cellStyle name="SAPBEXstdItem 2 3 13" xfId="35521"/>
    <cellStyle name="SAPBEXstdItem 2 3 14" xfId="35522"/>
    <cellStyle name="SAPBEXstdItem 2 3 2" xfId="21350"/>
    <cellStyle name="SAPBEXstdItem 2 3 2 10" xfId="35523"/>
    <cellStyle name="SAPBEXstdItem 2 3 2 2" xfId="21351"/>
    <cellStyle name="SAPBEXstdItem 2 3 2 2 2" xfId="21352"/>
    <cellStyle name="SAPBEXstdItem 2 3 2 2 3" xfId="35524"/>
    <cellStyle name="SAPBEXstdItem 2 3 2 2 4" xfId="35525"/>
    <cellStyle name="SAPBEXstdItem 2 3 2 3" xfId="21353"/>
    <cellStyle name="SAPBEXstdItem 2 3 2 3 2" xfId="21354"/>
    <cellStyle name="SAPBEXstdItem 2 3 2 3 3" xfId="35526"/>
    <cellStyle name="SAPBEXstdItem 2 3 2 3 4" xfId="35527"/>
    <cellStyle name="SAPBEXstdItem 2 3 2 4" xfId="21355"/>
    <cellStyle name="SAPBEXstdItem 2 3 2 4 2" xfId="21356"/>
    <cellStyle name="SAPBEXstdItem 2 3 2 4 3" xfId="35528"/>
    <cellStyle name="SAPBEXstdItem 2 3 2 4 4" xfId="35529"/>
    <cellStyle name="SAPBEXstdItem 2 3 2 5" xfId="21357"/>
    <cellStyle name="SAPBEXstdItem 2 3 2 5 2" xfId="21358"/>
    <cellStyle name="SAPBEXstdItem 2 3 2 5 3" xfId="35530"/>
    <cellStyle name="SAPBEXstdItem 2 3 2 5 4" xfId="35531"/>
    <cellStyle name="SAPBEXstdItem 2 3 2 6" xfId="21359"/>
    <cellStyle name="SAPBEXstdItem 2 3 2 6 2" xfId="21360"/>
    <cellStyle name="SAPBEXstdItem 2 3 2 6 3" xfId="35532"/>
    <cellStyle name="SAPBEXstdItem 2 3 2 6 4" xfId="35533"/>
    <cellStyle name="SAPBEXstdItem 2 3 2 7" xfId="21361"/>
    <cellStyle name="SAPBEXstdItem 2 3 2 7 2" xfId="21362"/>
    <cellStyle name="SAPBEXstdItem 2 3 2 7 3" xfId="35534"/>
    <cellStyle name="SAPBEXstdItem 2 3 2 7 4" xfId="35535"/>
    <cellStyle name="SAPBEXstdItem 2 3 2 8" xfId="21363"/>
    <cellStyle name="SAPBEXstdItem 2 3 2 9" xfId="35536"/>
    <cellStyle name="SAPBEXstdItem 2 3 3" xfId="21364"/>
    <cellStyle name="SAPBEXstdItem 2 3 3 10" xfId="35537"/>
    <cellStyle name="SAPBEXstdItem 2 3 3 2" xfId="21365"/>
    <cellStyle name="SAPBEXstdItem 2 3 3 2 2" xfId="21366"/>
    <cellStyle name="SAPBEXstdItem 2 3 3 2 3" xfId="35538"/>
    <cellStyle name="SAPBEXstdItem 2 3 3 2 4" xfId="35539"/>
    <cellStyle name="SAPBEXstdItem 2 3 3 3" xfId="21367"/>
    <cellStyle name="SAPBEXstdItem 2 3 3 3 2" xfId="21368"/>
    <cellStyle name="SAPBEXstdItem 2 3 3 3 3" xfId="35540"/>
    <cellStyle name="SAPBEXstdItem 2 3 3 3 4" xfId="35541"/>
    <cellStyle name="SAPBEXstdItem 2 3 3 4" xfId="21369"/>
    <cellStyle name="SAPBEXstdItem 2 3 3 4 2" xfId="21370"/>
    <cellStyle name="SAPBEXstdItem 2 3 3 4 3" xfId="35542"/>
    <cellStyle name="SAPBEXstdItem 2 3 3 4 4" xfId="35543"/>
    <cellStyle name="SAPBEXstdItem 2 3 3 5" xfId="21371"/>
    <cellStyle name="SAPBEXstdItem 2 3 3 5 2" xfId="21372"/>
    <cellStyle name="SAPBEXstdItem 2 3 3 5 3" xfId="35544"/>
    <cellStyle name="SAPBEXstdItem 2 3 3 5 4" xfId="35545"/>
    <cellStyle name="SAPBEXstdItem 2 3 3 6" xfId="21373"/>
    <cellStyle name="SAPBEXstdItem 2 3 3 6 2" xfId="21374"/>
    <cellStyle name="SAPBEXstdItem 2 3 3 6 3" xfId="35546"/>
    <cellStyle name="SAPBEXstdItem 2 3 3 6 4" xfId="35547"/>
    <cellStyle name="SAPBEXstdItem 2 3 3 7" xfId="21375"/>
    <cellStyle name="SAPBEXstdItem 2 3 3 7 2" xfId="21376"/>
    <cellStyle name="SAPBEXstdItem 2 3 3 7 3" xfId="35548"/>
    <cellStyle name="SAPBEXstdItem 2 3 3 7 4" xfId="35549"/>
    <cellStyle name="SAPBEXstdItem 2 3 3 8" xfId="21377"/>
    <cellStyle name="SAPBEXstdItem 2 3 3 9" xfId="35550"/>
    <cellStyle name="SAPBEXstdItem 2 3 4" xfId="21378"/>
    <cellStyle name="SAPBEXstdItem 2 3 4 10" xfId="35551"/>
    <cellStyle name="SAPBEXstdItem 2 3 4 2" xfId="21379"/>
    <cellStyle name="SAPBEXstdItem 2 3 4 2 2" xfId="21380"/>
    <cellStyle name="SAPBEXstdItem 2 3 4 2 3" xfId="35552"/>
    <cellStyle name="SAPBEXstdItem 2 3 4 2 4" xfId="35553"/>
    <cellStyle name="SAPBEXstdItem 2 3 4 3" xfId="21381"/>
    <cellStyle name="SAPBEXstdItem 2 3 4 3 2" xfId="21382"/>
    <cellStyle name="SAPBEXstdItem 2 3 4 3 3" xfId="35554"/>
    <cellStyle name="SAPBEXstdItem 2 3 4 3 4" xfId="35555"/>
    <cellStyle name="SAPBEXstdItem 2 3 4 4" xfId="21383"/>
    <cellStyle name="SAPBEXstdItem 2 3 4 4 2" xfId="21384"/>
    <cellStyle name="SAPBEXstdItem 2 3 4 4 3" xfId="35556"/>
    <cellStyle name="SAPBEXstdItem 2 3 4 4 4" xfId="35557"/>
    <cellStyle name="SAPBEXstdItem 2 3 4 5" xfId="21385"/>
    <cellStyle name="SAPBEXstdItem 2 3 4 5 2" xfId="21386"/>
    <cellStyle name="SAPBEXstdItem 2 3 4 5 3" xfId="35558"/>
    <cellStyle name="SAPBEXstdItem 2 3 4 5 4" xfId="35559"/>
    <cellStyle name="SAPBEXstdItem 2 3 4 6" xfId="21387"/>
    <cellStyle name="SAPBEXstdItem 2 3 4 6 2" xfId="21388"/>
    <cellStyle name="SAPBEXstdItem 2 3 4 6 3" xfId="35560"/>
    <cellStyle name="SAPBEXstdItem 2 3 4 6 4" xfId="35561"/>
    <cellStyle name="SAPBEXstdItem 2 3 4 7" xfId="21389"/>
    <cellStyle name="SAPBEXstdItem 2 3 4 7 2" xfId="21390"/>
    <cellStyle name="SAPBEXstdItem 2 3 4 7 3" xfId="35562"/>
    <cellStyle name="SAPBEXstdItem 2 3 4 7 4" xfId="35563"/>
    <cellStyle name="SAPBEXstdItem 2 3 4 8" xfId="21391"/>
    <cellStyle name="SAPBEXstdItem 2 3 4 9" xfId="35564"/>
    <cellStyle name="SAPBEXstdItem 2 3 5" xfId="21392"/>
    <cellStyle name="SAPBEXstdItem 2 3 5 10" xfId="35565"/>
    <cellStyle name="SAPBEXstdItem 2 3 5 2" xfId="21393"/>
    <cellStyle name="SAPBEXstdItem 2 3 5 2 2" xfId="21394"/>
    <cellStyle name="SAPBEXstdItem 2 3 5 2 3" xfId="35566"/>
    <cellStyle name="SAPBEXstdItem 2 3 5 2 4" xfId="35567"/>
    <cellStyle name="SAPBEXstdItem 2 3 5 3" xfId="21395"/>
    <cellStyle name="SAPBEXstdItem 2 3 5 3 2" xfId="21396"/>
    <cellStyle name="SAPBEXstdItem 2 3 5 3 3" xfId="35568"/>
    <cellStyle name="SAPBEXstdItem 2 3 5 3 4" xfId="35569"/>
    <cellStyle name="SAPBEXstdItem 2 3 5 4" xfId="21397"/>
    <cellStyle name="SAPBEXstdItem 2 3 5 4 2" xfId="21398"/>
    <cellStyle name="SAPBEXstdItem 2 3 5 4 3" xfId="35570"/>
    <cellStyle name="SAPBEXstdItem 2 3 5 4 4" xfId="35571"/>
    <cellStyle name="SAPBEXstdItem 2 3 5 5" xfId="21399"/>
    <cellStyle name="SAPBEXstdItem 2 3 5 5 2" xfId="21400"/>
    <cellStyle name="SAPBEXstdItem 2 3 5 5 3" xfId="35572"/>
    <cellStyle name="SAPBEXstdItem 2 3 5 5 4" xfId="35573"/>
    <cellStyle name="SAPBEXstdItem 2 3 5 6" xfId="21401"/>
    <cellStyle name="SAPBEXstdItem 2 3 5 6 2" xfId="21402"/>
    <cellStyle name="SAPBEXstdItem 2 3 5 6 3" xfId="35574"/>
    <cellStyle name="SAPBEXstdItem 2 3 5 6 4" xfId="35575"/>
    <cellStyle name="SAPBEXstdItem 2 3 5 7" xfId="21403"/>
    <cellStyle name="SAPBEXstdItem 2 3 5 7 2" xfId="21404"/>
    <cellStyle name="SAPBEXstdItem 2 3 5 7 3" xfId="35576"/>
    <cellStyle name="SAPBEXstdItem 2 3 5 7 4" xfId="35577"/>
    <cellStyle name="SAPBEXstdItem 2 3 5 8" xfId="21405"/>
    <cellStyle name="SAPBEXstdItem 2 3 5 9" xfId="35578"/>
    <cellStyle name="SAPBEXstdItem 2 3 6" xfId="21406"/>
    <cellStyle name="SAPBEXstdItem 2 3 6 2" xfId="21407"/>
    <cellStyle name="SAPBEXstdItem 2 3 6 3" xfId="35579"/>
    <cellStyle name="SAPBEXstdItem 2 3 6 4" xfId="35580"/>
    <cellStyle name="SAPBEXstdItem 2 3 7" xfId="21408"/>
    <cellStyle name="SAPBEXstdItem 2 3 7 2" xfId="21409"/>
    <cellStyle name="SAPBEXstdItem 2 3 7 3" xfId="35581"/>
    <cellStyle name="SAPBEXstdItem 2 3 7 4" xfId="35582"/>
    <cellStyle name="SAPBEXstdItem 2 3 8" xfId="21410"/>
    <cellStyle name="SAPBEXstdItem 2 3 8 2" xfId="21411"/>
    <cellStyle name="SAPBEXstdItem 2 3 8 3" xfId="35583"/>
    <cellStyle name="SAPBEXstdItem 2 3 8 4" xfId="35584"/>
    <cellStyle name="SAPBEXstdItem 2 3 9" xfId="21412"/>
    <cellStyle name="SAPBEXstdItem 2 3 9 2" xfId="21413"/>
    <cellStyle name="SAPBEXstdItem 2 3 9 3" xfId="35585"/>
    <cellStyle name="SAPBEXstdItem 2 3 9 4" xfId="35586"/>
    <cellStyle name="SAPBEXstdItem 2 4" xfId="21414"/>
    <cellStyle name="SAPBEXstdItem 2 4 10" xfId="21415"/>
    <cellStyle name="SAPBEXstdItem 2 4 10 2" xfId="21416"/>
    <cellStyle name="SAPBEXstdItem 2 4 10 3" xfId="35587"/>
    <cellStyle name="SAPBEXstdItem 2 4 10 4" xfId="35588"/>
    <cellStyle name="SAPBEXstdItem 2 4 11" xfId="21417"/>
    <cellStyle name="SAPBEXstdItem 2 4 11 2" xfId="21418"/>
    <cellStyle name="SAPBEXstdItem 2 4 11 3" xfId="35589"/>
    <cellStyle name="SAPBEXstdItem 2 4 11 4" xfId="35590"/>
    <cellStyle name="SAPBEXstdItem 2 4 12" xfId="21419"/>
    <cellStyle name="SAPBEXstdItem 2 4 13" xfId="35591"/>
    <cellStyle name="SAPBEXstdItem 2 4 14" xfId="35592"/>
    <cellStyle name="SAPBEXstdItem 2 4 2" xfId="21420"/>
    <cellStyle name="SAPBEXstdItem 2 4 2 10" xfId="35593"/>
    <cellStyle name="SAPBEXstdItem 2 4 2 2" xfId="21421"/>
    <cellStyle name="SAPBEXstdItem 2 4 2 2 2" xfId="21422"/>
    <cellStyle name="SAPBEXstdItem 2 4 2 2 3" xfId="35594"/>
    <cellStyle name="SAPBEXstdItem 2 4 2 2 4" xfId="35595"/>
    <cellStyle name="SAPBEXstdItem 2 4 2 3" xfId="21423"/>
    <cellStyle name="SAPBEXstdItem 2 4 2 3 2" xfId="21424"/>
    <cellStyle name="SAPBEXstdItem 2 4 2 3 3" xfId="35596"/>
    <cellStyle name="SAPBEXstdItem 2 4 2 3 4" xfId="35597"/>
    <cellStyle name="SAPBEXstdItem 2 4 2 4" xfId="21425"/>
    <cellStyle name="SAPBEXstdItem 2 4 2 4 2" xfId="21426"/>
    <cellStyle name="SAPBEXstdItem 2 4 2 4 3" xfId="35598"/>
    <cellStyle name="SAPBEXstdItem 2 4 2 4 4" xfId="35599"/>
    <cellStyle name="SAPBEXstdItem 2 4 2 5" xfId="21427"/>
    <cellStyle name="SAPBEXstdItem 2 4 2 5 2" xfId="21428"/>
    <cellStyle name="SAPBEXstdItem 2 4 2 5 3" xfId="35600"/>
    <cellStyle name="SAPBEXstdItem 2 4 2 5 4" xfId="35601"/>
    <cellStyle name="SAPBEXstdItem 2 4 2 6" xfId="21429"/>
    <cellStyle name="SAPBEXstdItem 2 4 2 6 2" xfId="21430"/>
    <cellStyle name="SAPBEXstdItem 2 4 2 6 3" xfId="35602"/>
    <cellStyle name="SAPBEXstdItem 2 4 2 6 4" xfId="35603"/>
    <cellStyle name="SAPBEXstdItem 2 4 2 7" xfId="21431"/>
    <cellStyle name="SAPBEXstdItem 2 4 2 7 2" xfId="21432"/>
    <cellStyle name="SAPBEXstdItem 2 4 2 7 3" xfId="35604"/>
    <cellStyle name="SAPBEXstdItem 2 4 2 7 4" xfId="35605"/>
    <cellStyle name="SAPBEXstdItem 2 4 2 8" xfId="21433"/>
    <cellStyle name="SAPBEXstdItem 2 4 2 9" xfId="35606"/>
    <cellStyle name="SAPBEXstdItem 2 4 3" xfId="21434"/>
    <cellStyle name="SAPBEXstdItem 2 4 3 10" xfId="35607"/>
    <cellStyle name="SAPBEXstdItem 2 4 3 2" xfId="21435"/>
    <cellStyle name="SAPBEXstdItem 2 4 3 2 2" xfId="21436"/>
    <cellStyle name="SAPBEXstdItem 2 4 3 2 3" xfId="35608"/>
    <cellStyle name="SAPBEXstdItem 2 4 3 2 4" xfId="35609"/>
    <cellStyle name="SAPBEXstdItem 2 4 3 3" xfId="21437"/>
    <cellStyle name="SAPBEXstdItem 2 4 3 3 2" xfId="21438"/>
    <cellStyle name="SAPBEXstdItem 2 4 3 3 3" xfId="35610"/>
    <cellStyle name="SAPBEXstdItem 2 4 3 3 4" xfId="35611"/>
    <cellStyle name="SAPBEXstdItem 2 4 3 4" xfId="21439"/>
    <cellStyle name="SAPBEXstdItem 2 4 3 4 2" xfId="21440"/>
    <cellStyle name="SAPBEXstdItem 2 4 3 4 3" xfId="35612"/>
    <cellStyle name="SAPBEXstdItem 2 4 3 4 4" xfId="35613"/>
    <cellStyle name="SAPBEXstdItem 2 4 3 5" xfId="21441"/>
    <cellStyle name="SAPBEXstdItem 2 4 3 5 2" xfId="21442"/>
    <cellStyle name="SAPBEXstdItem 2 4 3 5 3" xfId="35614"/>
    <cellStyle name="SAPBEXstdItem 2 4 3 5 4" xfId="35615"/>
    <cellStyle name="SAPBEXstdItem 2 4 3 6" xfId="21443"/>
    <cellStyle name="SAPBEXstdItem 2 4 3 6 2" xfId="21444"/>
    <cellStyle name="SAPBEXstdItem 2 4 3 6 3" xfId="35616"/>
    <cellStyle name="SAPBEXstdItem 2 4 3 6 4" xfId="35617"/>
    <cellStyle name="SAPBEXstdItem 2 4 3 7" xfId="21445"/>
    <cellStyle name="SAPBEXstdItem 2 4 3 7 2" xfId="21446"/>
    <cellStyle name="SAPBEXstdItem 2 4 3 7 3" xfId="35618"/>
    <cellStyle name="SAPBEXstdItem 2 4 3 7 4" xfId="35619"/>
    <cellStyle name="SAPBEXstdItem 2 4 3 8" xfId="21447"/>
    <cellStyle name="SAPBEXstdItem 2 4 3 9" xfId="35620"/>
    <cellStyle name="SAPBEXstdItem 2 4 4" xfId="21448"/>
    <cellStyle name="SAPBEXstdItem 2 4 4 10" xfId="35621"/>
    <cellStyle name="SAPBEXstdItem 2 4 4 2" xfId="21449"/>
    <cellStyle name="SAPBEXstdItem 2 4 4 2 2" xfId="21450"/>
    <cellStyle name="SAPBEXstdItem 2 4 4 2 3" xfId="35622"/>
    <cellStyle name="SAPBEXstdItem 2 4 4 2 4" xfId="35623"/>
    <cellStyle name="SAPBEXstdItem 2 4 4 3" xfId="21451"/>
    <cellStyle name="SAPBEXstdItem 2 4 4 3 2" xfId="21452"/>
    <cellStyle name="SAPBEXstdItem 2 4 4 3 3" xfId="35624"/>
    <cellStyle name="SAPBEXstdItem 2 4 4 3 4" xfId="35625"/>
    <cellStyle name="SAPBEXstdItem 2 4 4 4" xfId="21453"/>
    <cellStyle name="SAPBEXstdItem 2 4 4 4 2" xfId="21454"/>
    <cellStyle name="SAPBEXstdItem 2 4 4 4 3" xfId="35626"/>
    <cellStyle name="SAPBEXstdItem 2 4 4 4 4" xfId="35627"/>
    <cellStyle name="SAPBEXstdItem 2 4 4 5" xfId="21455"/>
    <cellStyle name="SAPBEXstdItem 2 4 4 5 2" xfId="21456"/>
    <cellStyle name="SAPBEXstdItem 2 4 4 5 3" xfId="35628"/>
    <cellStyle name="SAPBEXstdItem 2 4 4 5 4" xfId="35629"/>
    <cellStyle name="SAPBEXstdItem 2 4 4 6" xfId="21457"/>
    <cellStyle name="SAPBEXstdItem 2 4 4 6 2" xfId="21458"/>
    <cellStyle name="SAPBEXstdItem 2 4 4 6 3" xfId="35630"/>
    <cellStyle name="SAPBEXstdItem 2 4 4 6 4" xfId="35631"/>
    <cellStyle name="SAPBEXstdItem 2 4 4 7" xfId="21459"/>
    <cellStyle name="SAPBEXstdItem 2 4 4 7 2" xfId="21460"/>
    <cellStyle name="SAPBEXstdItem 2 4 4 7 3" xfId="35632"/>
    <cellStyle name="SAPBEXstdItem 2 4 4 7 4" xfId="35633"/>
    <cellStyle name="SAPBEXstdItem 2 4 4 8" xfId="21461"/>
    <cellStyle name="SAPBEXstdItem 2 4 4 9" xfId="35634"/>
    <cellStyle name="SAPBEXstdItem 2 4 5" xfId="21462"/>
    <cellStyle name="SAPBEXstdItem 2 4 5 10" xfId="35635"/>
    <cellStyle name="SAPBEXstdItem 2 4 5 2" xfId="21463"/>
    <cellStyle name="SAPBEXstdItem 2 4 5 2 2" xfId="21464"/>
    <cellStyle name="SAPBEXstdItem 2 4 5 2 3" xfId="35636"/>
    <cellStyle name="SAPBEXstdItem 2 4 5 2 4" xfId="35637"/>
    <cellStyle name="SAPBEXstdItem 2 4 5 3" xfId="21465"/>
    <cellStyle name="SAPBEXstdItem 2 4 5 3 2" xfId="21466"/>
    <cellStyle name="SAPBEXstdItem 2 4 5 3 3" xfId="35638"/>
    <cellStyle name="SAPBEXstdItem 2 4 5 3 4" xfId="35639"/>
    <cellStyle name="SAPBEXstdItem 2 4 5 4" xfId="21467"/>
    <cellStyle name="SAPBEXstdItem 2 4 5 4 2" xfId="21468"/>
    <cellStyle name="SAPBEXstdItem 2 4 5 4 3" xfId="35640"/>
    <cellStyle name="SAPBEXstdItem 2 4 5 4 4" xfId="35641"/>
    <cellStyle name="SAPBEXstdItem 2 4 5 5" xfId="21469"/>
    <cellStyle name="SAPBEXstdItem 2 4 5 5 2" xfId="21470"/>
    <cellStyle name="SAPBEXstdItem 2 4 5 5 3" xfId="35642"/>
    <cellStyle name="SAPBEXstdItem 2 4 5 5 4" xfId="35643"/>
    <cellStyle name="SAPBEXstdItem 2 4 5 6" xfId="21471"/>
    <cellStyle name="SAPBEXstdItem 2 4 5 6 2" xfId="21472"/>
    <cellStyle name="SAPBEXstdItem 2 4 5 6 3" xfId="35644"/>
    <cellStyle name="SAPBEXstdItem 2 4 5 6 4" xfId="35645"/>
    <cellStyle name="SAPBEXstdItem 2 4 5 7" xfId="21473"/>
    <cellStyle name="SAPBEXstdItem 2 4 5 7 2" xfId="21474"/>
    <cellStyle name="SAPBEXstdItem 2 4 5 7 3" xfId="35646"/>
    <cellStyle name="SAPBEXstdItem 2 4 5 7 4" xfId="35647"/>
    <cellStyle name="SAPBEXstdItem 2 4 5 8" xfId="21475"/>
    <cellStyle name="SAPBEXstdItem 2 4 5 9" xfId="35648"/>
    <cellStyle name="SAPBEXstdItem 2 4 6" xfId="21476"/>
    <cellStyle name="SAPBEXstdItem 2 4 6 2" xfId="21477"/>
    <cellStyle name="SAPBEXstdItem 2 4 6 3" xfId="35649"/>
    <cellStyle name="SAPBEXstdItem 2 4 6 4" xfId="35650"/>
    <cellStyle name="SAPBEXstdItem 2 4 7" xfId="21478"/>
    <cellStyle name="SAPBEXstdItem 2 4 7 2" xfId="21479"/>
    <cellStyle name="SAPBEXstdItem 2 4 7 3" xfId="35651"/>
    <cellStyle name="SAPBEXstdItem 2 4 7 4" xfId="35652"/>
    <cellStyle name="SAPBEXstdItem 2 4 8" xfId="21480"/>
    <cellStyle name="SAPBEXstdItem 2 4 8 2" xfId="21481"/>
    <cellStyle name="SAPBEXstdItem 2 4 8 3" xfId="35653"/>
    <cellStyle name="SAPBEXstdItem 2 4 8 4" xfId="35654"/>
    <cellStyle name="SAPBEXstdItem 2 4 9" xfId="21482"/>
    <cellStyle name="SAPBEXstdItem 2 4 9 2" xfId="21483"/>
    <cellStyle name="SAPBEXstdItem 2 4 9 3" xfId="35655"/>
    <cellStyle name="SAPBEXstdItem 2 4 9 4" xfId="35656"/>
    <cellStyle name="SAPBEXstdItem 2 5" xfId="21484"/>
    <cellStyle name="SAPBEXstdItem 2 5 10" xfId="21485"/>
    <cellStyle name="SAPBEXstdItem 2 5 10 2" xfId="21486"/>
    <cellStyle name="SAPBEXstdItem 2 5 10 3" xfId="35657"/>
    <cellStyle name="SAPBEXstdItem 2 5 10 4" xfId="35658"/>
    <cellStyle name="SAPBEXstdItem 2 5 11" xfId="21487"/>
    <cellStyle name="SAPBEXstdItem 2 5 11 2" xfId="21488"/>
    <cellStyle name="SAPBEXstdItem 2 5 11 3" xfId="35659"/>
    <cellStyle name="SAPBEXstdItem 2 5 11 4" xfId="35660"/>
    <cellStyle name="SAPBEXstdItem 2 5 12" xfId="21489"/>
    <cellStyle name="SAPBEXstdItem 2 5 13" xfId="35661"/>
    <cellStyle name="SAPBEXstdItem 2 5 14" xfId="35662"/>
    <cellStyle name="SAPBEXstdItem 2 5 2" xfId="21490"/>
    <cellStyle name="SAPBEXstdItem 2 5 2 10" xfId="35663"/>
    <cellStyle name="SAPBEXstdItem 2 5 2 2" xfId="21491"/>
    <cellStyle name="SAPBEXstdItem 2 5 2 2 2" xfId="21492"/>
    <cellStyle name="SAPBEXstdItem 2 5 2 2 3" xfId="35664"/>
    <cellStyle name="SAPBEXstdItem 2 5 2 2 4" xfId="35665"/>
    <cellStyle name="SAPBEXstdItem 2 5 2 3" xfId="21493"/>
    <cellStyle name="SAPBEXstdItem 2 5 2 3 2" xfId="21494"/>
    <cellStyle name="SAPBEXstdItem 2 5 2 3 3" xfId="35666"/>
    <cellStyle name="SAPBEXstdItem 2 5 2 3 4" xfId="35667"/>
    <cellStyle name="SAPBEXstdItem 2 5 2 4" xfId="21495"/>
    <cellStyle name="SAPBEXstdItem 2 5 2 4 2" xfId="21496"/>
    <cellStyle name="SAPBEXstdItem 2 5 2 4 3" xfId="35668"/>
    <cellStyle name="SAPBEXstdItem 2 5 2 4 4" xfId="35669"/>
    <cellStyle name="SAPBEXstdItem 2 5 2 5" xfId="21497"/>
    <cellStyle name="SAPBEXstdItem 2 5 2 5 2" xfId="21498"/>
    <cellStyle name="SAPBEXstdItem 2 5 2 5 3" xfId="35670"/>
    <cellStyle name="SAPBEXstdItem 2 5 2 5 4" xfId="35671"/>
    <cellStyle name="SAPBEXstdItem 2 5 2 6" xfId="21499"/>
    <cellStyle name="SAPBEXstdItem 2 5 2 6 2" xfId="21500"/>
    <cellStyle name="SAPBEXstdItem 2 5 2 6 3" xfId="35672"/>
    <cellStyle name="SAPBEXstdItem 2 5 2 6 4" xfId="35673"/>
    <cellStyle name="SAPBEXstdItem 2 5 2 7" xfId="21501"/>
    <cellStyle name="SAPBEXstdItem 2 5 2 7 2" xfId="21502"/>
    <cellStyle name="SAPBEXstdItem 2 5 2 7 3" xfId="35674"/>
    <cellStyle name="SAPBEXstdItem 2 5 2 7 4" xfId="35675"/>
    <cellStyle name="SAPBEXstdItem 2 5 2 8" xfId="21503"/>
    <cellStyle name="SAPBEXstdItem 2 5 2 9" xfId="35676"/>
    <cellStyle name="SAPBEXstdItem 2 5 3" xfId="21504"/>
    <cellStyle name="SAPBEXstdItem 2 5 3 10" xfId="35677"/>
    <cellStyle name="SAPBEXstdItem 2 5 3 2" xfId="21505"/>
    <cellStyle name="SAPBEXstdItem 2 5 3 2 2" xfId="21506"/>
    <cellStyle name="SAPBEXstdItem 2 5 3 2 3" xfId="35678"/>
    <cellStyle name="SAPBEXstdItem 2 5 3 2 4" xfId="35679"/>
    <cellStyle name="SAPBEXstdItem 2 5 3 3" xfId="21507"/>
    <cellStyle name="SAPBEXstdItem 2 5 3 3 2" xfId="21508"/>
    <cellStyle name="SAPBEXstdItem 2 5 3 3 3" xfId="35680"/>
    <cellStyle name="SAPBEXstdItem 2 5 3 3 4" xfId="35681"/>
    <cellStyle name="SAPBEXstdItem 2 5 3 4" xfId="21509"/>
    <cellStyle name="SAPBEXstdItem 2 5 3 4 2" xfId="21510"/>
    <cellStyle name="SAPBEXstdItem 2 5 3 4 3" xfId="35682"/>
    <cellStyle name="SAPBEXstdItem 2 5 3 4 4" xfId="35683"/>
    <cellStyle name="SAPBEXstdItem 2 5 3 5" xfId="21511"/>
    <cellStyle name="SAPBEXstdItem 2 5 3 5 2" xfId="21512"/>
    <cellStyle name="SAPBEXstdItem 2 5 3 5 3" xfId="35684"/>
    <cellStyle name="SAPBEXstdItem 2 5 3 5 4" xfId="35685"/>
    <cellStyle name="SAPBEXstdItem 2 5 3 6" xfId="21513"/>
    <cellStyle name="SAPBEXstdItem 2 5 3 6 2" xfId="21514"/>
    <cellStyle name="SAPBEXstdItem 2 5 3 6 3" xfId="35686"/>
    <cellStyle name="SAPBEXstdItem 2 5 3 6 4" xfId="35687"/>
    <cellStyle name="SAPBEXstdItem 2 5 3 7" xfId="21515"/>
    <cellStyle name="SAPBEXstdItem 2 5 3 7 2" xfId="21516"/>
    <cellStyle name="SAPBEXstdItem 2 5 3 7 3" xfId="35688"/>
    <cellStyle name="SAPBEXstdItem 2 5 3 7 4" xfId="35689"/>
    <cellStyle name="SAPBEXstdItem 2 5 3 8" xfId="21517"/>
    <cellStyle name="SAPBEXstdItem 2 5 3 9" xfId="35690"/>
    <cellStyle name="SAPBEXstdItem 2 5 4" xfId="21518"/>
    <cellStyle name="SAPBEXstdItem 2 5 4 10" xfId="35691"/>
    <cellStyle name="SAPBEXstdItem 2 5 4 2" xfId="21519"/>
    <cellStyle name="SAPBEXstdItem 2 5 4 2 2" xfId="21520"/>
    <cellStyle name="SAPBEXstdItem 2 5 4 2 3" xfId="35692"/>
    <cellStyle name="SAPBEXstdItem 2 5 4 2 4" xfId="35693"/>
    <cellStyle name="SAPBEXstdItem 2 5 4 3" xfId="21521"/>
    <cellStyle name="SAPBEXstdItem 2 5 4 3 2" xfId="21522"/>
    <cellStyle name="SAPBEXstdItem 2 5 4 3 3" xfId="35694"/>
    <cellStyle name="SAPBEXstdItem 2 5 4 3 4" xfId="35695"/>
    <cellStyle name="SAPBEXstdItem 2 5 4 4" xfId="21523"/>
    <cellStyle name="SAPBEXstdItem 2 5 4 4 2" xfId="21524"/>
    <cellStyle name="SAPBEXstdItem 2 5 4 4 3" xfId="35696"/>
    <cellStyle name="SAPBEXstdItem 2 5 4 4 4" xfId="35697"/>
    <cellStyle name="SAPBEXstdItem 2 5 4 5" xfId="21525"/>
    <cellStyle name="SAPBEXstdItem 2 5 4 5 2" xfId="21526"/>
    <cellStyle name="SAPBEXstdItem 2 5 4 5 3" xfId="35698"/>
    <cellStyle name="SAPBEXstdItem 2 5 4 5 4" xfId="35699"/>
    <cellStyle name="SAPBEXstdItem 2 5 4 6" xfId="21527"/>
    <cellStyle name="SAPBEXstdItem 2 5 4 6 2" xfId="21528"/>
    <cellStyle name="SAPBEXstdItem 2 5 4 6 3" xfId="35700"/>
    <cellStyle name="SAPBEXstdItem 2 5 4 6 4" xfId="35701"/>
    <cellStyle name="SAPBEXstdItem 2 5 4 7" xfId="21529"/>
    <cellStyle name="SAPBEXstdItem 2 5 4 7 2" xfId="21530"/>
    <cellStyle name="SAPBEXstdItem 2 5 4 7 3" xfId="35702"/>
    <cellStyle name="SAPBEXstdItem 2 5 4 7 4" xfId="35703"/>
    <cellStyle name="SAPBEXstdItem 2 5 4 8" xfId="21531"/>
    <cellStyle name="SAPBEXstdItem 2 5 4 9" xfId="35704"/>
    <cellStyle name="SAPBEXstdItem 2 5 5" xfId="21532"/>
    <cellStyle name="SAPBEXstdItem 2 5 5 10" xfId="35705"/>
    <cellStyle name="SAPBEXstdItem 2 5 5 2" xfId="21533"/>
    <cellStyle name="SAPBEXstdItem 2 5 5 2 2" xfId="21534"/>
    <cellStyle name="SAPBEXstdItem 2 5 5 2 3" xfId="35706"/>
    <cellStyle name="SAPBEXstdItem 2 5 5 2 4" xfId="35707"/>
    <cellStyle name="SAPBEXstdItem 2 5 5 3" xfId="21535"/>
    <cellStyle name="SAPBEXstdItem 2 5 5 3 2" xfId="21536"/>
    <cellStyle name="SAPBEXstdItem 2 5 5 3 3" xfId="35708"/>
    <cellStyle name="SAPBEXstdItem 2 5 5 3 4" xfId="35709"/>
    <cellStyle name="SAPBEXstdItem 2 5 5 4" xfId="21537"/>
    <cellStyle name="SAPBEXstdItem 2 5 5 4 2" xfId="21538"/>
    <cellStyle name="SAPBEXstdItem 2 5 5 4 3" xfId="35710"/>
    <cellStyle name="SAPBEXstdItem 2 5 5 4 4" xfId="35711"/>
    <cellStyle name="SAPBEXstdItem 2 5 5 5" xfId="21539"/>
    <cellStyle name="SAPBEXstdItem 2 5 5 5 2" xfId="21540"/>
    <cellStyle name="SAPBEXstdItem 2 5 5 5 3" xfId="35712"/>
    <cellStyle name="SAPBEXstdItem 2 5 5 5 4" xfId="35713"/>
    <cellStyle name="SAPBEXstdItem 2 5 5 6" xfId="21541"/>
    <cellStyle name="SAPBEXstdItem 2 5 5 6 2" xfId="21542"/>
    <cellStyle name="SAPBEXstdItem 2 5 5 6 3" xfId="35714"/>
    <cellStyle name="SAPBEXstdItem 2 5 5 6 4" xfId="35715"/>
    <cellStyle name="SAPBEXstdItem 2 5 5 7" xfId="21543"/>
    <cellStyle name="SAPBEXstdItem 2 5 5 7 2" xfId="21544"/>
    <cellStyle name="SAPBEXstdItem 2 5 5 7 3" xfId="35716"/>
    <cellStyle name="SAPBEXstdItem 2 5 5 7 4" xfId="35717"/>
    <cellStyle name="SAPBEXstdItem 2 5 5 8" xfId="21545"/>
    <cellStyle name="SAPBEXstdItem 2 5 5 9" xfId="35718"/>
    <cellStyle name="SAPBEXstdItem 2 5 6" xfId="21546"/>
    <cellStyle name="SAPBEXstdItem 2 5 6 2" xfId="21547"/>
    <cellStyle name="SAPBEXstdItem 2 5 6 3" xfId="35719"/>
    <cellStyle name="SAPBEXstdItem 2 5 6 4" xfId="35720"/>
    <cellStyle name="SAPBEXstdItem 2 5 7" xfId="21548"/>
    <cellStyle name="SAPBEXstdItem 2 5 7 2" xfId="21549"/>
    <cellStyle name="SAPBEXstdItem 2 5 7 3" xfId="35721"/>
    <cellStyle name="SAPBEXstdItem 2 5 7 4" xfId="35722"/>
    <cellStyle name="SAPBEXstdItem 2 5 8" xfId="21550"/>
    <cellStyle name="SAPBEXstdItem 2 5 8 2" xfId="21551"/>
    <cellStyle name="SAPBEXstdItem 2 5 8 3" xfId="35723"/>
    <cellStyle name="SAPBEXstdItem 2 5 8 4" xfId="35724"/>
    <cellStyle name="SAPBEXstdItem 2 5 9" xfId="21552"/>
    <cellStyle name="SAPBEXstdItem 2 5 9 2" xfId="21553"/>
    <cellStyle name="SAPBEXstdItem 2 5 9 3" xfId="35725"/>
    <cellStyle name="SAPBEXstdItem 2 5 9 4" xfId="35726"/>
    <cellStyle name="SAPBEXstdItem 2 6" xfId="21554"/>
    <cellStyle name="SAPBEXstdItem 2 6 10" xfId="21555"/>
    <cellStyle name="SAPBEXstdItem 2 6 10 2" xfId="21556"/>
    <cellStyle name="SAPBEXstdItem 2 6 10 3" xfId="35727"/>
    <cellStyle name="SAPBEXstdItem 2 6 10 4" xfId="35728"/>
    <cellStyle name="SAPBEXstdItem 2 6 11" xfId="21557"/>
    <cellStyle name="SAPBEXstdItem 2 6 11 2" xfId="21558"/>
    <cellStyle name="SAPBEXstdItem 2 6 11 3" xfId="35729"/>
    <cellStyle name="SAPBEXstdItem 2 6 11 4" xfId="35730"/>
    <cellStyle name="SAPBEXstdItem 2 6 12" xfId="21559"/>
    <cellStyle name="SAPBEXstdItem 2 6 13" xfId="35731"/>
    <cellStyle name="SAPBEXstdItem 2 6 14" xfId="35732"/>
    <cellStyle name="SAPBEXstdItem 2 6 2" xfId="21560"/>
    <cellStyle name="SAPBEXstdItem 2 6 2 10" xfId="35733"/>
    <cellStyle name="SAPBEXstdItem 2 6 2 2" xfId="21561"/>
    <cellStyle name="SAPBEXstdItem 2 6 2 2 2" xfId="21562"/>
    <cellStyle name="SAPBEXstdItem 2 6 2 2 3" xfId="35734"/>
    <cellStyle name="SAPBEXstdItem 2 6 2 2 4" xfId="35735"/>
    <cellStyle name="SAPBEXstdItem 2 6 2 3" xfId="21563"/>
    <cellStyle name="SAPBEXstdItem 2 6 2 3 2" xfId="21564"/>
    <cellStyle name="SAPBEXstdItem 2 6 2 3 3" xfId="35736"/>
    <cellStyle name="SAPBEXstdItem 2 6 2 3 4" xfId="35737"/>
    <cellStyle name="SAPBEXstdItem 2 6 2 4" xfId="21565"/>
    <cellStyle name="SAPBEXstdItem 2 6 2 4 2" xfId="21566"/>
    <cellStyle name="SAPBEXstdItem 2 6 2 4 3" xfId="35738"/>
    <cellStyle name="SAPBEXstdItem 2 6 2 4 4" xfId="35739"/>
    <cellStyle name="SAPBEXstdItem 2 6 2 5" xfId="21567"/>
    <cellStyle name="SAPBEXstdItem 2 6 2 5 2" xfId="21568"/>
    <cellStyle name="SAPBEXstdItem 2 6 2 5 3" xfId="35740"/>
    <cellStyle name="SAPBEXstdItem 2 6 2 5 4" xfId="35741"/>
    <cellStyle name="SAPBEXstdItem 2 6 2 6" xfId="21569"/>
    <cellStyle name="SAPBEXstdItem 2 6 2 6 2" xfId="21570"/>
    <cellStyle name="SAPBEXstdItem 2 6 2 6 3" xfId="35742"/>
    <cellStyle name="SAPBEXstdItem 2 6 2 6 4" xfId="35743"/>
    <cellStyle name="SAPBEXstdItem 2 6 2 7" xfId="21571"/>
    <cellStyle name="SAPBEXstdItem 2 6 2 7 2" xfId="21572"/>
    <cellStyle name="SAPBEXstdItem 2 6 2 7 3" xfId="35744"/>
    <cellStyle name="SAPBEXstdItem 2 6 2 7 4" xfId="35745"/>
    <cellStyle name="SAPBEXstdItem 2 6 2 8" xfId="21573"/>
    <cellStyle name="SAPBEXstdItem 2 6 2 9" xfId="35746"/>
    <cellStyle name="SAPBEXstdItem 2 6 3" xfId="21574"/>
    <cellStyle name="SAPBEXstdItem 2 6 3 10" xfId="35747"/>
    <cellStyle name="SAPBEXstdItem 2 6 3 2" xfId="21575"/>
    <cellStyle name="SAPBEXstdItem 2 6 3 2 2" xfId="21576"/>
    <cellStyle name="SAPBEXstdItem 2 6 3 2 3" xfId="35748"/>
    <cellStyle name="SAPBEXstdItem 2 6 3 2 4" xfId="35749"/>
    <cellStyle name="SAPBEXstdItem 2 6 3 3" xfId="21577"/>
    <cellStyle name="SAPBEXstdItem 2 6 3 3 2" xfId="21578"/>
    <cellStyle name="SAPBEXstdItem 2 6 3 3 3" xfId="35750"/>
    <cellStyle name="SAPBEXstdItem 2 6 3 3 4" xfId="35751"/>
    <cellStyle name="SAPBEXstdItem 2 6 3 4" xfId="21579"/>
    <cellStyle name="SAPBEXstdItem 2 6 3 4 2" xfId="21580"/>
    <cellStyle name="SAPBEXstdItem 2 6 3 4 3" xfId="35752"/>
    <cellStyle name="SAPBEXstdItem 2 6 3 4 4" xfId="35753"/>
    <cellStyle name="SAPBEXstdItem 2 6 3 5" xfId="21581"/>
    <cellStyle name="SAPBEXstdItem 2 6 3 5 2" xfId="21582"/>
    <cellStyle name="SAPBEXstdItem 2 6 3 5 3" xfId="35754"/>
    <cellStyle name="SAPBEXstdItem 2 6 3 5 4" xfId="35755"/>
    <cellStyle name="SAPBEXstdItem 2 6 3 6" xfId="21583"/>
    <cellStyle name="SAPBEXstdItem 2 6 3 6 2" xfId="21584"/>
    <cellStyle name="SAPBEXstdItem 2 6 3 6 3" xfId="35756"/>
    <cellStyle name="SAPBEXstdItem 2 6 3 6 4" xfId="35757"/>
    <cellStyle name="SAPBEXstdItem 2 6 3 7" xfId="21585"/>
    <cellStyle name="SAPBEXstdItem 2 6 3 7 2" xfId="21586"/>
    <cellStyle name="SAPBEXstdItem 2 6 3 7 3" xfId="35758"/>
    <cellStyle name="SAPBEXstdItem 2 6 3 7 4" xfId="35759"/>
    <cellStyle name="SAPBEXstdItem 2 6 3 8" xfId="21587"/>
    <cellStyle name="SAPBEXstdItem 2 6 3 9" xfId="35760"/>
    <cellStyle name="SAPBEXstdItem 2 6 4" xfId="21588"/>
    <cellStyle name="SAPBEXstdItem 2 6 4 10" xfId="35761"/>
    <cellStyle name="SAPBEXstdItem 2 6 4 2" xfId="21589"/>
    <cellStyle name="SAPBEXstdItem 2 6 4 2 2" xfId="21590"/>
    <cellStyle name="SAPBEXstdItem 2 6 4 2 3" xfId="35762"/>
    <cellStyle name="SAPBEXstdItem 2 6 4 2 4" xfId="35763"/>
    <cellStyle name="SAPBEXstdItem 2 6 4 3" xfId="21591"/>
    <cellStyle name="SAPBEXstdItem 2 6 4 3 2" xfId="21592"/>
    <cellStyle name="SAPBEXstdItem 2 6 4 3 3" xfId="35764"/>
    <cellStyle name="SAPBEXstdItem 2 6 4 3 4" xfId="35765"/>
    <cellStyle name="SAPBEXstdItem 2 6 4 4" xfId="21593"/>
    <cellStyle name="SAPBEXstdItem 2 6 4 4 2" xfId="21594"/>
    <cellStyle name="SAPBEXstdItem 2 6 4 4 3" xfId="35766"/>
    <cellStyle name="SAPBEXstdItem 2 6 4 4 4" xfId="35767"/>
    <cellStyle name="SAPBEXstdItem 2 6 4 5" xfId="21595"/>
    <cellStyle name="SAPBEXstdItem 2 6 4 5 2" xfId="21596"/>
    <cellStyle name="SAPBEXstdItem 2 6 4 5 3" xfId="35768"/>
    <cellStyle name="SAPBEXstdItem 2 6 4 5 4" xfId="35769"/>
    <cellStyle name="SAPBEXstdItem 2 6 4 6" xfId="21597"/>
    <cellStyle name="SAPBEXstdItem 2 6 4 6 2" xfId="21598"/>
    <cellStyle name="SAPBEXstdItem 2 6 4 6 3" xfId="35770"/>
    <cellStyle name="SAPBEXstdItem 2 6 4 6 4" xfId="35771"/>
    <cellStyle name="SAPBEXstdItem 2 6 4 7" xfId="21599"/>
    <cellStyle name="SAPBEXstdItem 2 6 4 7 2" xfId="21600"/>
    <cellStyle name="SAPBEXstdItem 2 6 4 7 3" xfId="35772"/>
    <cellStyle name="SAPBEXstdItem 2 6 4 7 4" xfId="35773"/>
    <cellStyle name="SAPBEXstdItem 2 6 4 8" xfId="21601"/>
    <cellStyle name="SAPBEXstdItem 2 6 4 9" xfId="35774"/>
    <cellStyle name="SAPBEXstdItem 2 6 5" xfId="21602"/>
    <cellStyle name="SAPBEXstdItem 2 6 5 10" xfId="35775"/>
    <cellStyle name="SAPBEXstdItem 2 6 5 2" xfId="21603"/>
    <cellStyle name="SAPBEXstdItem 2 6 5 2 2" xfId="21604"/>
    <cellStyle name="SAPBEXstdItem 2 6 5 2 3" xfId="35776"/>
    <cellStyle name="SAPBEXstdItem 2 6 5 2 4" xfId="35777"/>
    <cellStyle name="SAPBEXstdItem 2 6 5 3" xfId="21605"/>
    <cellStyle name="SAPBEXstdItem 2 6 5 3 2" xfId="21606"/>
    <cellStyle name="SAPBEXstdItem 2 6 5 3 3" xfId="35778"/>
    <cellStyle name="SAPBEXstdItem 2 6 5 3 4" xfId="35779"/>
    <cellStyle name="SAPBEXstdItem 2 6 5 4" xfId="21607"/>
    <cellStyle name="SAPBEXstdItem 2 6 5 4 2" xfId="21608"/>
    <cellStyle name="SAPBEXstdItem 2 6 5 4 3" xfId="35780"/>
    <cellStyle name="SAPBEXstdItem 2 6 5 4 4" xfId="35781"/>
    <cellStyle name="SAPBEXstdItem 2 6 5 5" xfId="21609"/>
    <cellStyle name="SAPBEXstdItem 2 6 5 5 2" xfId="21610"/>
    <cellStyle name="SAPBEXstdItem 2 6 5 5 3" xfId="35782"/>
    <cellStyle name="SAPBEXstdItem 2 6 5 5 4" xfId="35783"/>
    <cellStyle name="SAPBEXstdItem 2 6 5 6" xfId="21611"/>
    <cellStyle name="SAPBEXstdItem 2 6 5 6 2" xfId="21612"/>
    <cellStyle name="SAPBEXstdItem 2 6 5 6 3" xfId="35784"/>
    <cellStyle name="SAPBEXstdItem 2 6 5 6 4" xfId="35785"/>
    <cellStyle name="SAPBEXstdItem 2 6 5 7" xfId="21613"/>
    <cellStyle name="SAPBEXstdItem 2 6 5 7 2" xfId="21614"/>
    <cellStyle name="SAPBEXstdItem 2 6 5 7 3" xfId="35786"/>
    <cellStyle name="SAPBEXstdItem 2 6 5 7 4" xfId="35787"/>
    <cellStyle name="SAPBEXstdItem 2 6 5 8" xfId="21615"/>
    <cellStyle name="SAPBEXstdItem 2 6 5 9" xfId="35788"/>
    <cellStyle name="SAPBEXstdItem 2 6 6" xfId="21616"/>
    <cellStyle name="SAPBEXstdItem 2 6 6 2" xfId="21617"/>
    <cellStyle name="SAPBEXstdItem 2 6 6 3" xfId="35789"/>
    <cellStyle name="SAPBEXstdItem 2 6 6 4" xfId="35790"/>
    <cellStyle name="SAPBEXstdItem 2 6 7" xfId="21618"/>
    <cellStyle name="SAPBEXstdItem 2 6 7 2" xfId="21619"/>
    <cellStyle name="SAPBEXstdItem 2 6 7 3" xfId="35791"/>
    <cellStyle name="SAPBEXstdItem 2 6 7 4" xfId="35792"/>
    <cellStyle name="SAPBEXstdItem 2 6 8" xfId="21620"/>
    <cellStyle name="SAPBEXstdItem 2 6 8 2" xfId="21621"/>
    <cellStyle name="SAPBEXstdItem 2 6 8 3" xfId="35793"/>
    <cellStyle name="SAPBEXstdItem 2 6 8 4" xfId="35794"/>
    <cellStyle name="SAPBEXstdItem 2 6 9" xfId="21622"/>
    <cellStyle name="SAPBEXstdItem 2 6 9 2" xfId="21623"/>
    <cellStyle name="SAPBEXstdItem 2 6 9 3" xfId="35795"/>
    <cellStyle name="SAPBEXstdItem 2 6 9 4" xfId="35796"/>
    <cellStyle name="SAPBEXstdItem 2 7" xfId="21624"/>
    <cellStyle name="SAPBEXstdItem 2 7 10" xfId="21625"/>
    <cellStyle name="SAPBEXstdItem 2 7 10 2" xfId="21626"/>
    <cellStyle name="SAPBEXstdItem 2 7 10 3" xfId="35797"/>
    <cellStyle name="SAPBEXstdItem 2 7 10 4" xfId="35798"/>
    <cellStyle name="SAPBEXstdItem 2 7 11" xfId="21627"/>
    <cellStyle name="SAPBEXstdItem 2 7 11 2" xfId="21628"/>
    <cellStyle name="SAPBEXstdItem 2 7 11 3" xfId="35799"/>
    <cellStyle name="SAPBEXstdItem 2 7 11 4" xfId="35800"/>
    <cellStyle name="SAPBEXstdItem 2 7 12" xfId="21629"/>
    <cellStyle name="SAPBEXstdItem 2 7 13" xfId="35801"/>
    <cellStyle name="SAPBEXstdItem 2 7 14" xfId="35802"/>
    <cellStyle name="SAPBEXstdItem 2 7 2" xfId="21630"/>
    <cellStyle name="SAPBEXstdItem 2 7 2 10" xfId="35803"/>
    <cellStyle name="SAPBEXstdItem 2 7 2 2" xfId="21631"/>
    <cellStyle name="SAPBEXstdItem 2 7 2 2 2" xfId="21632"/>
    <cellStyle name="SAPBEXstdItem 2 7 2 2 3" xfId="35804"/>
    <cellStyle name="SAPBEXstdItem 2 7 2 2 4" xfId="35805"/>
    <cellStyle name="SAPBEXstdItem 2 7 2 3" xfId="21633"/>
    <cellStyle name="SAPBEXstdItem 2 7 2 3 2" xfId="21634"/>
    <cellStyle name="SAPBEXstdItem 2 7 2 3 3" xfId="35806"/>
    <cellStyle name="SAPBEXstdItem 2 7 2 3 4" xfId="35807"/>
    <cellStyle name="SAPBEXstdItem 2 7 2 4" xfId="21635"/>
    <cellStyle name="SAPBEXstdItem 2 7 2 4 2" xfId="21636"/>
    <cellStyle name="SAPBEXstdItem 2 7 2 4 3" xfId="35808"/>
    <cellStyle name="SAPBEXstdItem 2 7 2 4 4" xfId="35809"/>
    <cellStyle name="SAPBEXstdItem 2 7 2 5" xfId="21637"/>
    <cellStyle name="SAPBEXstdItem 2 7 2 5 2" xfId="21638"/>
    <cellStyle name="SAPBEXstdItem 2 7 2 5 3" xfId="35810"/>
    <cellStyle name="SAPBEXstdItem 2 7 2 5 4" xfId="35811"/>
    <cellStyle name="SAPBEXstdItem 2 7 2 6" xfId="21639"/>
    <cellStyle name="SAPBEXstdItem 2 7 2 6 2" xfId="21640"/>
    <cellStyle name="SAPBEXstdItem 2 7 2 6 3" xfId="35812"/>
    <cellStyle name="SAPBEXstdItem 2 7 2 6 4" xfId="35813"/>
    <cellStyle name="SAPBEXstdItem 2 7 2 7" xfId="21641"/>
    <cellStyle name="SAPBEXstdItem 2 7 2 7 2" xfId="21642"/>
    <cellStyle name="SAPBEXstdItem 2 7 2 7 3" xfId="35814"/>
    <cellStyle name="SAPBEXstdItem 2 7 2 7 4" xfId="35815"/>
    <cellStyle name="SAPBEXstdItem 2 7 2 8" xfId="21643"/>
    <cellStyle name="SAPBEXstdItem 2 7 2 9" xfId="35816"/>
    <cellStyle name="SAPBEXstdItem 2 7 3" xfId="21644"/>
    <cellStyle name="SAPBEXstdItem 2 7 3 10" xfId="35817"/>
    <cellStyle name="SAPBEXstdItem 2 7 3 2" xfId="21645"/>
    <cellStyle name="SAPBEXstdItem 2 7 3 2 2" xfId="21646"/>
    <cellStyle name="SAPBEXstdItem 2 7 3 2 3" xfId="35818"/>
    <cellStyle name="SAPBEXstdItem 2 7 3 2 4" xfId="35819"/>
    <cellStyle name="SAPBEXstdItem 2 7 3 3" xfId="21647"/>
    <cellStyle name="SAPBEXstdItem 2 7 3 3 2" xfId="21648"/>
    <cellStyle name="SAPBEXstdItem 2 7 3 3 3" xfId="35820"/>
    <cellStyle name="SAPBEXstdItem 2 7 3 3 4" xfId="35821"/>
    <cellStyle name="SAPBEXstdItem 2 7 3 4" xfId="21649"/>
    <cellStyle name="SAPBEXstdItem 2 7 3 4 2" xfId="21650"/>
    <cellStyle name="SAPBEXstdItem 2 7 3 4 3" xfId="35822"/>
    <cellStyle name="SAPBEXstdItem 2 7 3 4 4" xfId="35823"/>
    <cellStyle name="SAPBEXstdItem 2 7 3 5" xfId="21651"/>
    <cellStyle name="SAPBEXstdItem 2 7 3 5 2" xfId="21652"/>
    <cellStyle name="SAPBEXstdItem 2 7 3 5 3" xfId="35824"/>
    <cellStyle name="SAPBEXstdItem 2 7 3 5 4" xfId="35825"/>
    <cellStyle name="SAPBEXstdItem 2 7 3 6" xfId="21653"/>
    <cellStyle name="SAPBEXstdItem 2 7 3 6 2" xfId="21654"/>
    <cellStyle name="SAPBEXstdItem 2 7 3 6 3" xfId="35826"/>
    <cellStyle name="SAPBEXstdItem 2 7 3 6 4" xfId="35827"/>
    <cellStyle name="SAPBEXstdItem 2 7 3 7" xfId="21655"/>
    <cellStyle name="SAPBEXstdItem 2 7 3 7 2" xfId="21656"/>
    <cellStyle name="SAPBEXstdItem 2 7 3 7 3" xfId="35828"/>
    <cellStyle name="SAPBEXstdItem 2 7 3 7 4" xfId="35829"/>
    <cellStyle name="SAPBEXstdItem 2 7 3 8" xfId="21657"/>
    <cellStyle name="SAPBEXstdItem 2 7 3 9" xfId="35830"/>
    <cellStyle name="SAPBEXstdItem 2 7 4" xfId="21658"/>
    <cellStyle name="SAPBEXstdItem 2 7 4 10" xfId="35831"/>
    <cellStyle name="SAPBEXstdItem 2 7 4 2" xfId="21659"/>
    <cellStyle name="SAPBEXstdItem 2 7 4 2 2" xfId="21660"/>
    <cellStyle name="SAPBEXstdItem 2 7 4 2 3" xfId="35832"/>
    <cellStyle name="SAPBEXstdItem 2 7 4 2 4" xfId="35833"/>
    <cellStyle name="SAPBEXstdItem 2 7 4 3" xfId="21661"/>
    <cellStyle name="SAPBEXstdItem 2 7 4 3 2" xfId="21662"/>
    <cellStyle name="SAPBEXstdItem 2 7 4 3 3" xfId="35834"/>
    <cellStyle name="SAPBEXstdItem 2 7 4 3 4" xfId="35835"/>
    <cellStyle name="SAPBEXstdItem 2 7 4 4" xfId="21663"/>
    <cellStyle name="SAPBEXstdItem 2 7 4 4 2" xfId="21664"/>
    <cellStyle name="SAPBEXstdItem 2 7 4 4 3" xfId="35836"/>
    <cellStyle name="SAPBEXstdItem 2 7 4 4 4" xfId="35837"/>
    <cellStyle name="SAPBEXstdItem 2 7 4 5" xfId="21665"/>
    <cellStyle name="SAPBEXstdItem 2 7 4 5 2" xfId="21666"/>
    <cellStyle name="SAPBEXstdItem 2 7 4 5 3" xfId="35838"/>
    <cellStyle name="SAPBEXstdItem 2 7 4 5 4" xfId="35839"/>
    <cellStyle name="SAPBEXstdItem 2 7 4 6" xfId="21667"/>
    <cellStyle name="SAPBEXstdItem 2 7 4 6 2" xfId="21668"/>
    <cellStyle name="SAPBEXstdItem 2 7 4 6 3" xfId="35840"/>
    <cellStyle name="SAPBEXstdItem 2 7 4 6 4" xfId="35841"/>
    <cellStyle name="SAPBEXstdItem 2 7 4 7" xfId="21669"/>
    <cellStyle name="SAPBEXstdItem 2 7 4 7 2" xfId="21670"/>
    <cellStyle name="SAPBEXstdItem 2 7 4 7 3" xfId="35842"/>
    <cellStyle name="SAPBEXstdItem 2 7 4 7 4" xfId="35843"/>
    <cellStyle name="SAPBEXstdItem 2 7 4 8" xfId="21671"/>
    <cellStyle name="SAPBEXstdItem 2 7 4 9" xfId="35844"/>
    <cellStyle name="SAPBEXstdItem 2 7 5" xfId="21672"/>
    <cellStyle name="SAPBEXstdItem 2 7 5 10" xfId="35845"/>
    <cellStyle name="SAPBEXstdItem 2 7 5 2" xfId="21673"/>
    <cellStyle name="SAPBEXstdItem 2 7 5 2 2" xfId="21674"/>
    <cellStyle name="SAPBEXstdItem 2 7 5 2 3" xfId="35846"/>
    <cellStyle name="SAPBEXstdItem 2 7 5 2 4" xfId="35847"/>
    <cellStyle name="SAPBEXstdItem 2 7 5 3" xfId="21675"/>
    <cellStyle name="SAPBEXstdItem 2 7 5 3 2" xfId="21676"/>
    <cellStyle name="SAPBEXstdItem 2 7 5 3 3" xfId="35848"/>
    <cellStyle name="SAPBEXstdItem 2 7 5 3 4" xfId="35849"/>
    <cellStyle name="SAPBEXstdItem 2 7 5 4" xfId="21677"/>
    <cellStyle name="SAPBEXstdItem 2 7 5 4 2" xfId="21678"/>
    <cellStyle name="SAPBEXstdItem 2 7 5 4 3" xfId="35850"/>
    <cellStyle name="SAPBEXstdItem 2 7 5 4 4" xfId="35851"/>
    <cellStyle name="SAPBEXstdItem 2 7 5 5" xfId="21679"/>
    <cellStyle name="SAPBEXstdItem 2 7 5 5 2" xfId="21680"/>
    <cellStyle name="SAPBEXstdItem 2 7 5 5 3" xfId="35852"/>
    <cellStyle name="SAPBEXstdItem 2 7 5 5 4" xfId="35853"/>
    <cellStyle name="SAPBEXstdItem 2 7 5 6" xfId="21681"/>
    <cellStyle name="SAPBEXstdItem 2 7 5 6 2" xfId="21682"/>
    <cellStyle name="SAPBEXstdItem 2 7 5 6 3" xfId="35854"/>
    <cellStyle name="SAPBEXstdItem 2 7 5 6 4" xfId="35855"/>
    <cellStyle name="SAPBEXstdItem 2 7 5 7" xfId="21683"/>
    <cellStyle name="SAPBEXstdItem 2 7 5 7 2" xfId="21684"/>
    <cellStyle name="SAPBEXstdItem 2 7 5 7 3" xfId="35856"/>
    <cellStyle name="SAPBEXstdItem 2 7 5 7 4" xfId="35857"/>
    <cellStyle name="SAPBEXstdItem 2 7 5 8" xfId="21685"/>
    <cellStyle name="SAPBEXstdItem 2 7 5 9" xfId="35858"/>
    <cellStyle name="SAPBEXstdItem 2 7 6" xfId="21686"/>
    <cellStyle name="SAPBEXstdItem 2 7 6 2" xfId="21687"/>
    <cellStyle name="SAPBEXstdItem 2 7 6 3" xfId="35859"/>
    <cellStyle name="SAPBEXstdItem 2 7 6 4" xfId="35860"/>
    <cellStyle name="SAPBEXstdItem 2 7 7" xfId="21688"/>
    <cellStyle name="SAPBEXstdItem 2 7 7 2" xfId="21689"/>
    <cellStyle name="SAPBEXstdItem 2 7 7 3" xfId="35861"/>
    <cellStyle name="SAPBEXstdItem 2 7 7 4" xfId="35862"/>
    <cellStyle name="SAPBEXstdItem 2 7 8" xfId="21690"/>
    <cellStyle name="SAPBEXstdItem 2 7 8 2" xfId="21691"/>
    <cellStyle name="SAPBEXstdItem 2 7 8 3" xfId="35863"/>
    <cellStyle name="SAPBEXstdItem 2 7 8 4" xfId="35864"/>
    <cellStyle name="SAPBEXstdItem 2 7 9" xfId="21692"/>
    <cellStyle name="SAPBEXstdItem 2 7 9 2" xfId="21693"/>
    <cellStyle name="SAPBEXstdItem 2 7 9 3" xfId="35865"/>
    <cellStyle name="SAPBEXstdItem 2 7 9 4" xfId="35866"/>
    <cellStyle name="SAPBEXstdItem 2 8" xfId="21694"/>
    <cellStyle name="SAPBEXstdItem 2 8 10" xfId="21695"/>
    <cellStyle name="SAPBEXstdItem 2 8 10 2" xfId="21696"/>
    <cellStyle name="SAPBEXstdItem 2 8 10 3" xfId="35867"/>
    <cellStyle name="SAPBEXstdItem 2 8 10 4" xfId="35868"/>
    <cellStyle name="SAPBEXstdItem 2 8 11" xfId="21697"/>
    <cellStyle name="SAPBEXstdItem 2 8 11 2" xfId="21698"/>
    <cellStyle name="SAPBEXstdItem 2 8 11 3" xfId="35869"/>
    <cellStyle name="SAPBEXstdItem 2 8 11 4" xfId="35870"/>
    <cellStyle name="SAPBEXstdItem 2 8 12" xfId="21699"/>
    <cellStyle name="SAPBEXstdItem 2 8 13" xfId="35871"/>
    <cellStyle name="SAPBEXstdItem 2 8 14" xfId="35872"/>
    <cellStyle name="SAPBEXstdItem 2 8 2" xfId="21700"/>
    <cellStyle name="SAPBEXstdItem 2 8 2 10" xfId="35873"/>
    <cellStyle name="SAPBEXstdItem 2 8 2 2" xfId="21701"/>
    <cellStyle name="SAPBEXstdItem 2 8 2 2 2" xfId="21702"/>
    <cellStyle name="SAPBEXstdItem 2 8 2 2 3" xfId="35874"/>
    <cellStyle name="SAPBEXstdItem 2 8 2 2 4" xfId="35875"/>
    <cellStyle name="SAPBEXstdItem 2 8 2 3" xfId="21703"/>
    <cellStyle name="SAPBEXstdItem 2 8 2 3 2" xfId="21704"/>
    <cellStyle name="SAPBEXstdItem 2 8 2 3 3" xfId="35876"/>
    <cellStyle name="SAPBEXstdItem 2 8 2 3 4" xfId="35877"/>
    <cellStyle name="SAPBEXstdItem 2 8 2 4" xfId="21705"/>
    <cellStyle name="SAPBEXstdItem 2 8 2 4 2" xfId="21706"/>
    <cellStyle name="SAPBEXstdItem 2 8 2 4 3" xfId="35878"/>
    <cellStyle name="SAPBEXstdItem 2 8 2 4 4" xfId="35879"/>
    <cellStyle name="SAPBEXstdItem 2 8 2 5" xfId="21707"/>
    <cellStyle name="SAPBEXstdItem 2 8 2 5 2" xfId="21708"/>
    <cellStyle name="SAPBEXstdItem 2 8 2 5 3" xfId="35880"/>
    <cellStyle name="SAPBEXstdItem 2 8 2 5 4" xfId="35881"/>
    <cellStyle name="SAPBEXstdItem 2 8 2 6" xfId="21709"/>
    <cellStyle name="SAPBEXstdItem 2 8 2 6 2" xfId="21710"/>
    <cellStyle name="SAPBEXstdItem 2 8 2 6 3" xfId="35882"/>
    <cellStyle name="SAPBEXstdItem 2 8 2 6 4" xfId="35883"/>
    <cellStyle name="SAPBEXstdItem 2 8 2 7" xfId="21711"/>
    <cellStyle name="SAPBEXstdItem 2 8 2 7 2" xfId="21712"/>
    <cellStyle name="SAPBEXstdItem 2 8 2 7 3" xfId="35884"/>
    <cellStyle name="SAPBEXstdItem 2 8 2 7 4" xfId="35885"/>
    <cellStyle name="SAPBEXstdItem 2 8 2 8" xfId="21713"/>
    <cellStyle name="SAPBEXstdItem 2 8 2 9" xfId="35886"/>
    <cellStyle name="SAPBEXstdItem 2 8 3" xfId="21714"/>
    <cellStyle name="SAPBEXstdItem 2 8 3 10" xfId="35887"/>
    <cellStyle name="SAPBEXstdItem 2 8 3 2" xfId="21715"/>
    <cellStyle name="SAPBEXstdItem 2 8 3 2 2" xfId="21716"/>
    <cellStyle name="SAPBEXstdItem 2 8 3 2 3" xfId="35888"/>
    <cellStyle name="SAPBEXstdItem 2 8 3 2 4" xfId="35889"/>
    <cellStyle name="SAPBEXstdItem 2 8 3 3" xfId="21717"/>
    <cellStyle name="SAPBEXstdItem 2 8 3 3 2" xfId="21718"/>
    <cellStyle name="SAPBEXstdItem 2 8 3 3 3" xfId="35890"/>
    <cellStyle name="SAPBEXstdItem 2 8 3 3 4" xfId="35891"/>
    <cellStyle name="SAPBEXstdItem 2 8 3 4" xfId="21719"/>
    <cellStyle name="SAPBEXstdItem 2 8 3 4 2" xfId="21720"/>
    <cellStyle name="SAPBEXstdItem 2 8 3 4 3" xfId="35892"/>
    <cellStyle name="SAPBEXstdItem 2 8 3 4 4" xfId="35893"/>
    <cellStyle name="SAPBEXstdItem 2 8 3 5" xfId="21721"/>
    <cellStyle name="SAPBEXstdItem 2 8 3 5 2" xfId="21722"/>
    <cellStyle name="SAPBEXstdItem 2 8 3 5 3" xfId="35894"/>
    <cellStyle name="SAPBEXstdItem 2 8 3 5 4" xfId="35895"/>
    <cellStyle name="SAPBEXstdItem 2 8 3 6" xfId="21723"/>
    <cellStyle name="SAPBEXstdItem 2 8 3 6 2" xfId="21724"/>
    <cellStyle name="SAPBEXstdItem 2 8 3 6 3" xfId="35896"/>
    <cellStyle name="SAPBEXstdItem 2 8 3 6 4" xfId="35897"/>
    <cellStyle name="SAPBEXstdItem 2 8 3 7" xfId="21725"/>
    <cellStyle name="SAPBEXstdItem 2 8 3 7 2" xfId="21726"/>
    <cellStyle name="SAPBEXstdItem 2 8 3 7 3" xfId="35898"/>
    <cellStyle name="SAPBEXstdItem 2 8 3 7 4" xfId="35899"/>
    <cellStyle name="SAPBEXstdItem 2 8 3 8" xfId="21727"/>
    <cellStyle name="SAPBEXstdItem 2 8 3 9" xfId="35900"/>
    <cellStyle name="SAPBEXstdItem 2 8 4" xfId="21728"/>
    <cellStyle name="SAPBEXstdItem 2 8 4 10" xfId="35901"/>
    <cellStyle name="SAPBEXstdItem 2 8 4 2" xfId="21729"/>
    <cellStyle name="SAPBEXstdItem 2 8 4 2 2" xfId="21730"/>
    <cellStyle name="SAPBEXstdItem 2 8 4 2 3" xfId="35902"/>
    <cellStyle name="SAPBEXstdItem 2 8 4 2 4" xfId="35903"/>
    <cellStyle name="SAPBEXstdItem 2 8 4 3" xfId="21731"/>
    <cellStyle name="SAPBEXstdItem 2 8 4 3 2" xfId="21732"/>
    <cellStyle name="SAPBEXstdItem 2 8 4 3 3" xfId="35904"/>
    <cellStyle name="SAPBEXstdItem 2 8 4 3 4" xfId="35905"/>
    <cellStyle name="SAPBEXstdItem 2 8 4 4" xfId="21733"/>
    <cellStyle name="SAPBEXstdItem 2 8 4 4 2" xfId="21734"/>
    <cellStyle name="SAPBEXstdItem 2 8 4 4 3" xfId="35906"/>
    <cellStyle name="SAPBEXstdItem 2 8 4 4 4" xfId="35907"/>
    <cellStyle name="SAPBEXstdItem 2 8 4 5" xfId="21735"/>
    <cellStyle name="SAPBEXstdItem 2 8 4 5 2" xfId="21736"/>
    <cellStyle name="SAPBEXstdItem 2 8 4 5 3" xfId="35908"/>
    <cellStyle name="SAPBEXstdItem 2 8 4 5 4" xfId="35909"/>
    <cellStyle name="SAPBEXstdItem 2 8 4 6" xfId="21737"/>
    <cellStyle name="SAPBEXstdItem 2 8 4 6 2" xfId="21738"/>
    <cellStyle name="SAPBEXstdItem 2 8 4 6 3" xfId="35910"/>
    <cellStyle name="SAPBEXstdItem 2 8 4 6 4" xfId="35911"/>
    <cellStyle name="SAPBEXstdItem 2 8 4 7" xfId="21739"/>
    <cellStyle name="SAPBEXstdItem 2 8 4 7 2" xfId="21740"/>
    <cellStyle name="SAPBEXstdItem 2 8 4 7 3" xfId="35912"/>
    <cellStyle name="SAPBEXstdItem 2 8 4 7 4" xfId="35913"/>
    <cellStyle name="SAPBEXstdItem 2 8 4 8" xfId="21741"/>
    <cellStyle name="SAPBEXstdItem 2 8 4 9" xfId="35914"/>
    <cellStyle name="SAPBEXstdItem 2 8 5" xfId="21742"/>
    <cellStyle name="SAPBEXstdItem 2 8 5 10" xfId="35915"/>
    <cellStyle name="SAPBEXstdItem 2 8 5 2" xfId="21743"/>
    <cellStyle name="SAPBEXstdItem 2 8 5 2 2" xfId="21744"/>
    <cellStyle name="SAPBEXstdItem 2 8 5 2 3" xfId="35916"/>
    <cellStyle name="SAPBEXstdItem 2 8 5 2 4" xfId="35917"/>
    <cellStyle name="SAPBEXstdItem 2 8 5 3" xfId="21745"/>
    <cellStyle name="SAPBEXstdItem 2 8 5 3 2" xfId="21746"/>
    <cellStyle name="SAPBEXstdItem 2 8 5 3 3" xfId="35918"/>
    <cellStyle name="SAPBEXstdItem 2 8 5 3 4" xfId="35919"/>
    <cellStyle name="SAPBEXstdItem 2 8 5 4" xfId="21747"/>
    <cellStyle name="SAPBEXstdItem 2 8 5 4 2" xfId="21748"/>
    <cellStyle name="SAPBEXstdItem 2 8 5 4 3" xfId="35920"/>
    <cellStyle name="SAPBEXstdItem 2 8 5 4 4" xfId="35921"/>
    <cellStyle name="SAPBEXstdItem 2 8 5 5" xfId="21749"/>
    <cellStyle name="SAPBEXstdItem 2 8 5 5 2" xfId="21750"/>
    <cellStyle name="SAPBEXstdItem 2 8 5 5 3" xfId="35922"/>
    <cellStyle name="SAPBEXstdItem 2 8 5 5 4" xfId="35923"/>
    <cellStyle name="SAPBEXstdItem 2 8 5 6" xfId="21751"/>
    <cellStyle name="SAPBEXstdItem 2 8 5 6 2" xfId="21752"/>
    <cellStyle name="SAPBEXstdItem 2 8 5 6 3" xfId="35924"/>
    <cellStyle name="SAPBEXstdItem 2 8 5 6 4" xfId="35925"/>
    <cellStyle name="SAPBEXstdItem 2 8 5 7" xfId="21753"/>
    <cellStyle name="SAPBEXstdItem 2 8 5 7 2" xfId="21754"/>
    <cellStyle name="SAPBEXstdItem 2 8 5 7 3" xfId="35926"/>
    <cellStyle name="SAPBEXstdItem 2 8 5 7 4" xfId="35927"/>
    <cellStyle name="SAPBEXstdItem 2 8 5 8" xfId="21755"/>
    <cellStyle name="SAPBEXstdItem 2 8 5 9" xfId="35928"/>
    <cellStyle name="SAPBEXstdItem 2 8 6" xfId="21756"/>
    <cellStyle name="SAPBEXstdItem 2 8 6 2" xfId="21757"/>
    <cellStyle name="SAPBEXstdItem 2 8 6 3" xfId="35929"/>
    <cellStyle name="SAPBEXstdItem 2 8 6 4" xfId="35930"/>
    <cellStyle name="SAPBEXstdItem 2 8 7" xfId="21758"/>
    <cellStyle name="SAPBEXstdItem 2 8 7 2" xfId="21759"/>
    <cellStyle name="SAPBEXstdItem 2 8 7 3" xfId="35931"/>
    <cellStyle name="SAPBEXstdItem 2 8 7 4" xfId="35932"/>
    <cellStyle name="SAPBEXstdItem 2 8 8" xfId="21760"/>
    <cellStyle name="SAPBEXstdItem 2 8 8 2" xfId="21761"/>
    <cellStyle name="SAPBEXstdItem 2 8 8 3" xfId="35933"/>
    <cellStyle name="SAPBEXstdItem 2 8 8 4" xfId="35934"/>
    <cellStyle name="SAPBEXstdItem 2 8 9" xfId="21762"/>
    <cellStyle name="SAPBEXstdItem 2 8 9 2" xfId="21763"/>
    <cellStyle name="SAPBEXstdItem 2 8 9 3" xfId="35935"/>
    <cellStyle name="SAPBEXstdItem 2 8 9 4" xfId="35936"/>
    <cellStyle name="SAPBEXstdItem 2 9" xfId="21764"/>
    <cellStyle name="SAPBEXstdItem 2 9 10" xfId="21765"/>
    <cellStyle name="SAPBEXstdItem 2 9 10 2" xfId="21766"/>
    <cellStyle name="SAPBEXstdItem 2 9 10 3" xfId="35937"/>
    <cellStyle name="SAPBEXstdItem 2 9 10 4" xfId="35938"/>
    <cellStyle name="SAPBEXstdItem 2 9 11" xfId="21767"/>
    <cellStyle name="SAPBEXstdItem 2 9 11 2" xfId="21768"/>
    <cellStyle name="SAPBEXstdItem 2 9 11 3" xfId="35939"/>
    <cellStyle name="SAPBEXstdItem 2 9 11 4" xfId="35940"/>
    <cellStyle name="SAPBEXstdItem 2 9 12" xfId="21769"/>
    <cellStyle name="SAPBEXstdItem 2 9 13" xfId="35941"/>
    <cellStyle name="SAPBEXstdItem 2 9 14" xfId="35942"/>
    <cellStyle name="SAPBEXstdItem 2 9 2" xfId="21770"/>
    <cellStyle name="SAPBEXstdItem 2 9 2 10" xfId="35943"/>
    <cellStyle name="SAPBEXstdItem 2 9 2 2" xfId="21771"/>
    <cellStyle name="SAPBEXstdItem 2 9 2 2 2" xfId="21772"/>
    <cellStyle name="SAPBEXstdItem 2 9 2 2 3" xfId="35944"/>
    <cellStyle name="SAPBEXstdItem 2 9 2 2 4" xfId="35945"/>
    <cellStyle name="SAPBEXstdItem 2 9 2 3" xfId="21773"/>
    <cellStyle name="SAPBEXstdItem 2 9 2 3 2" xfId="21774"/>
    <cellStyle name="SAPBEXstdItem 2 9 2 3 3" xfId="35946"/>
    <cellStyle name="SAPBEXstdItem 2 9 2 3 4" xfId="35947"/>
    <cellStyle name="SAPBEXstdItem 2 9 2 4" xfId="21775"/>
    <cellStyle name="SAPBEXstdItem 2 9 2 4 2" xfId="21776"/>
    <cellStyle name="SAPBEXstdItem 2 9 2 4 3" xfId="35948"/>
    <cellStyle name="SAPBEXstdItem 2 9 2 4 4" xfId="35949"/>
    <cellStyle name="SAPBEXstdItem 2 9 2 5" xfId="21777"/>
    <cellStyle name="SAPBEXstdItem 2 9 2 5 2" xfId="21778"/>
    <cellStyle name="SAPBEXstdItem 2 9 2 5 3" xfId="35950"/>
    <cellStyle name="SAPBEXstdItem 2 9 2 5 4" xfId="35951"/>
    <cellStyle name="SAPBEXstdItem 2 9 2 6" xfId="21779"/>
    <cellStyle name="SAPBEXstdItem 2 9 2 6 2" xfId="21780"/>
    <cellStyle name="SAPBEXstdItem 2 9 2 6 3" xfId="35952"/>
    <cellStyle name="SAPBEXstdItem 2 9 2 6 4" xfId="35953"/>
    <cellStyle name="SAPBEXstdItem 2 9 2 7" xfId="21781"/>
    <cellStyle name="SAPBEXstdItem 2 9 2 7 2" xfId="21782"/>
    <cellStyle name="SAPBEXstdItem 2 9 2 7 3" xfId="35954"/>
    <cellStyle name="SAPBEXstdItem 2 9 2 7 4" xfId="35955"/>
    <cellStyle name="SAPBEXstdItem 2 9 2 8" xfId="21783"/>
    <cellStyle name="SAPBEXstdItem 2 9 2 9" xfId="35956"/>
    <cellStyle name="SAPBEXstdItem 2 9 3" xfId="21784"/>
    <cellStyle name="SAPBEXstdItem 2 9 3 10" xfId="35957"/>
    <cellStyle name="SAPBEXstdItem 2 9 3 2" xfId="21785"/>
    <cellStyle name="SAPBEXstdItem 2 9 3 2 2" xfId="21786"/>
    <cellStyle name="SAPBEXstdItem 2 9 3 2 3" xfId="35958"/>
    <cellStyle name="SAPBEXstdItem 2 9 3 2 4" xfId="35959"/>
    <cellStyle name="SAPBEXstdItem 2 9 3 3" xfId="21787"/>
    <cellStyle name="SAPBEXstdItem 2 9 3 3 2" xfId="21788"/>
    <cellStyle name="SAPBEXstdItem 2 9 3 3 3" xfId="35960"/>
    <cellStyle name="SAPBEXstdItem 2 9 3 3 4" xfId="35961"/>
    <cellStyle name="SAPBEXstdItem 2 9 3 4" xfId="21789"/>
    <cellStyle name="SAPBEXstdItem 2 9 3 4 2" xfId="21790"/>
    <cellStyle name="SAPBEXstdItem 2 9 3 4 3" xfId="35962"/>
    <cellStyle name="SAPBEXstdItem 2 9 3 4 4" xfId="35963"/>
    <cellStyle name="SAPBEXstdItem 2 9 3 5" xfId="21791"/>
    <cellStyle name="SAPBEXstdItem 2 9 3 5 2" xfId="21792"/>
    <cellStyle name="SAPBEXstdItem 2 9 3 5 3" xfId="35964"/>
    <cellStyle name="SAPBEXstdItem 2 9 3 5 4" xfId="35965"/>
    <cellStyle name="SAPBEXstdItem 2 9 3 6" xfId="21793"/>
    <cellStyle name="SAPBEXstdItem 2 9 3 6 2" xfId="21794"/>
    <cellStyle name="SAPBEXstdItem 2 9 3 6 3" xfId="35966"/>
    <cellStyle name="SAPBEXstdItem 2 9 3 6 4" xfId="35967"/>
    <cellStyle name="SAPBEXstdItem 2 9 3 7" xfId="21795"/>
    <cellStyle name="SAPBEXstdItem 2 9 3 7 2" xfId="21796"/>
    <cellStyle name="SAPBEXstdItem 2 9 3 7 3" xfId="35968"/>
    <cellStyle name="SAPBEXstdItem 2 9 3 7 4" xfId="35969"/>
    <cellStyle name="SAPBEXstdItem 2 9 3 8" xfId="21797"/>
    <cellStyle name="SAPBEXstdItem 2 9 3 9" xfId="35970"/>
    <cellStyle name="SAPBEXstdItem 2 9 4" xfId="21798"/>
    <cellStyle name="SAPBEXstdItem 2 9 4 10" xfId="35971"/>
    <cellStyle name="SAPBEXstdItem 2 9 4 2" xfId="21799"/>
    <cellStyle name="SAPBEXstdItem 2 9 4 2 2" xfId="21800"/>
    <cellStyle name="SAPBEXstdItem 2 9 4 2 3" xfId="35972"/>
    <cellStyle name="SAPBEXstdItem 2 9 4 2 4" xfId="35973"/>
    <cellStyle name="SAPBEXstdItem 2 9 4 3" xfId="21801"/>
    <cellStyle name="SAPBEXstdItem 2 9 4 3 2" xfId="21802"/>
    <cellStyle name="SAPBEXstdItem 2 9 4 3 3" xfId="35974"/>
    <cellStyle name="SAPBEXstdItem 2 9 4 3 4" xfId="35975"/>
    <cellStyle name="SAPBEXstdItem 2 9 4 4" xfId="21803"/>
    <cellStyle name="SAPBEXstdItem 2 9 4 4 2" xfId="21804"/>
    <cellStyle name="SAPBEXstdItem 2 9 4 4 3" xfId="35976"/>
    <cellStyle name="SAPBEXstdItem 2 9 4 4 4" xfId="35977"/>
    <cellStyle name="SAPBEXstdItem 2 9 4 5" xfId="21805"/>
    <cellStyle name="SAPBEXstdItem 2 9 4 5 2" xfId="21806"/>
    <cellStyle name="SAPBEXstdItem 2 9 4 5 3" xfId="35978"/>
    <cellStyle name="SAPBEXstdItem 2 9 4 5 4" xfId="35979"/>
    <cellStyle name="SAPBEXstdItem 2 9 4 6" xfId="21807"/>
    <cellStyle name="SAPBEXstdItem 2 9 4 6 2" xfId="21808"/>
    <cellStyle name="SAPBEXstdItem 2 9 4 6 3" xfId="35980"/>
    <cellStyle name="SAPBEXstdItem 2 9 4 6 4" xfId="35981"/>
    <cellStyle name="SAPBEXstdItem 2 9 4 7" xfId="21809"/>
    <cellStyle name="SAPBEXstdItem 2 9 4 7 2" xfId="21810"/>
    <cellStyle name="SAPBEXstdItem 2 9 4 7 3" xfId="35982"/>
    <cellStyle name="SAPBEXstdItem 2 9 4 7 4" xfId="35983"/>
    <cellStyle name="SAPBEXstdItem 2 9 4 8" xfId="21811"/>
    <cellStyle name="SAPBEXstdItem 2 9 4 9" xfId="35984"/>
    <cellStyle name="SAPBEXstdItem 2 9 5" xfId="21812"/>
    <cellStyle name="SAPBEXstdItem 2 9 5 10" xfId="35985"/>
    <cellStyle name="SAPBEXstdItem 2 9 5 2" xfId="21813"/>
    <cellStyle name="SAPBEXstdItem 2 9 5 2 2" xfId="21814"/>
    <cellStyle name="SAPBEXstdItem 2 9 5 2 3" xfId="35986"/>
    <cellStyle name="SAPBEXstdItem 2 9 5 2 4" xfId="35987"/>
    <cellStyle name="SAPBEXstdItem 2 9 5 3" xfId="21815"/>
    <cellStyle name="SAPBEXstdItem 2 9 5 3 2" xfId="21816"/>
    <cellStyle name="SAPBEXstdItem 2 9 5 3 3" xfId="35988"/>
    <cellStyle name="SAPBEXstdItem 2 9 5 3 4" xfId="35989"/>
    <cellStyle name="SAPBEXstdItem 2 9 5 4" xfId="21817"/>
    <cellStyle name="SAPBEXstdItem 2 9 5 4 2" xfId="21818"/>
    <cellStyle name="SAPBEXstdItem 2 9 5 4 3" xfId="35990"/>
    <cellStyle name="SAPBEXstdItem 2 9 5 4 4" xfId="35991"/>
    <cellStyle name="SAPBEXstdItem 2 9 5 5" xfId="21819"/>
    <cellStyle name="SAPBEXstdItem 2 9 5 5 2" xfId="21820"/>
    <cellStyle name="SAPBEXstdItem 2 9 5 5 3" xfId="35992"/>
    <cellStyle name="SAPBEXstdItem 2 9 5 5 4" xfId="35993"/>
    <cellStyle name="SAPBEXstdItem 2 9 5 6" xfId="21821"/>
    <cellStyle name="SAPBEXstdItem 2 9 5 6 2" xfId="21822"/>
    <cellStyle name="SAPBEXstdItem 2 9 5 6 3" xfId="35994"/>
    <cellStyle name="SAPBEXstdItem 2 9 5 6 4" xfId="35995"/>
    <cellStyle name="SAPBEXstdItem 2 9 5 7" xfId="21823"/>
    <cellStyle name="SAPBEXstdItem 2 9 5 7 2" xfId="21824"/>
    <cellStyle name="SAPBEXstdItem 2 9 5 7 3" xfId="35996"/>
    <cellStyle name="SAPBEXstdItem 2 9 5 7 4" xfId="35997"/>
    <cellStyle name="SAPBEXstdItem 2 9 5 8" xfId="21825"/>
    <cellStyle name="SAPBEXstdItem 2 9 5 9" xfId="35998"/>
    <cellStyle name="SAPBEXstdItem 2 9 6" xfId="21826"/>
    <cellStyle name="SAPBEXstdItem 2 9 6 2" xfId="21827"/>
    <cellStyle name="SAPBEXstdItem 2 9 6 3" xfId="35999"/>
    <cellStyle name="SAPBEXstdItem 2 9 6 4" xfId="36000"/>
    <cellStyle name="SAPBEXstdItem 2 9 7" xfId="21828"/>
    <cellStyle name="SAPBEXstdItem 2 9 7 2" xfId="21829"/>
    <cellStyle name="SAPBEXstdItem 2 9 7 3" xfId="36001"/>
    <cellStyle name="SAPBEXstdItem 2 9 7 4" xfId="36002"/>
    <cellStyle name="SAPBEXstdItem 2 9 8" xfId="21830"/>
    <cellStyle name="SAPBEXstdItem 2 9 8 2" xfId="21831"/>
    <cellStyle name="SAPBEXstdItem 2 9 8 3" xfId="36003"/>
    <cellStyle name="SAPBEXstdItem 2 9 8 4" xfId="36004"/>
    <cellStyle name="SAPBEXstdItem 2 9 9" xfId="21832"/>
    <cellStyle name="SAPBEXstdItem 2 9 9 2" xfId="21833"/>
    <cellStyle name="SAPBEXstdItem 2 9 9 3" xfId="36005"/>
    <cellStyle name="SAPBEXstdItem 2 9 9 4" xfId="36006"/>
    <cellStyle name="SAPBEXstdItem 3" xfId="21834"/>
    <cellStyle name="SAPBEXstdItem 4" xfId="36007"/>
    <cellStyle name="SAPBEXstdItemX" xfId="21835"/>
    <cellStyle name="SAPBEXstdItemX 2" xfId="21836"/>
    <cellStyle name="SAPBEXstdItemX 3" xfId="36008"/>
    <cellStyle name="SAPBEXtitle" xfId="21837"/>
    <cellStyle name="SAPBEXtitle 2" xfId="21838"/>
    <cellStyle name="SAPBEXtitle 3" xfId="36009"/>
    <cellStyle name="SAPBEXunassignedItem" xfId="21839"/>
    <cellStyle name="SAPBEXunassignedItem 2" xfId="21840"/>
    <cellStyle name="SAPBEXunassignedItem 3" xfId="36010"/>
    <cellStyle name="SAPBEXundefined" xfId="21841"/>
    <cellStyle name="SAPBEXundefined 2" xfId="21842"/>
    <cellStyle name="SAPBEXundefined 3" xfId="36011"/>
    <cellStyle name="Sheet Title" xfId="21843"/>
    <cellStyle name="Style 1" xfId="21844"/>
    <cellStyle name="Style 1 10" xfId="21845"/>
    <cellStyle name="Style 1 2" xfId="21846"/>
    <cellStyle name="Style 1 2 2" xfId="21847"/>
    <cellStyle name="Style 1 2 2 2" xfId="21848"/>
    <cellStyle name="Style 1 2 2 3" xfId="21849"/>
    <cellStyle name="Style 1 2 2 4" xfId="21850"/>
    <cellStyle name="Style 1 2 2 5" xfId="21851"/>
    <cellStyle name="Style 1 2 3" xfId="21852"/>
    <cellStyle name="Style 1 2 4" xfId="21853"/>
    <cellStyle name="Style 1 2 5" xfId="21854"/>
    <cellStyle name="Style 1 3" xfId="21855"/>
    <cellStyle name="Style 1 4" xfId="21856"/>
    <cellStyle name="Style 1 5" xfId="21857"/>
    <cellStyle name="Style 1 6" xfId="21858"/>
    <cellStyle name="Style 1 7" xfId="21859"/>
    <cellStyle name="Style 1 8" xfId="21860"/>
    <cellStyle name="Style 1 9" xfId="21861"/>
    <cellStyle name="Title 10" xfId="21862"/>
    <cellStyle name="Title 11" xfId="21863"/>
    <cellStyle name="Title 12" xfId="21864"/>
    <cellStyle name="Title 13" xfId="21865"/>
    <cellStyle name="Title 14" xfId="21866"/>
    <cellStyle name="Title 15" xfId="21867"/>
    <cellStyle name="Title 16" xfId="21868"/>
    <cellStyle name="Title 17" xfId="21869"/>
    <cellStyle name="Title 17 2" xfId="21870"/>
    <cellStyle name="Title 17 3" xfId="21871"/>
    <cellStyle name="Title 17 4" xfId="21872"/>
    <cellStyle name="Title 17 5" xfId="21873"/>
    <cellStyle name="Title 18" xfId="21874"/>
    <cellStyle name="Title 18 2" xfId="21875"/>
    <cellStyle name="Title 18 3" xfId="21876"/>
    <cellStyle name="Title 18 4" xfId="21877"/>
    <cellStyle name="Title 18 5" xfId="21878"/>
    <cellStyle name="Title 19" xfId="21879"/>
    <cellStyle name="Title 19 2" xfId="21880"/>
    <cellStyle name="Title 19 3" xfId="21881"/>
    <cellStyle name="Title 19 4" xfId="21882"/>
    <cellStyle name="Title 19 5" xfId="21883"/>
    <cellStyle name="Title 2" xfId="21884"/>
    <cellStyle name="Title 2 2" xfId="36012"/>
    <cellStyle name="Title 20" xfId="21885"/>
    <cellStyle name="Title 20 2" xfId="21886"/>
    <cellStyle name="Title 20 3" xfId="21887"/>
    <cellStyle name="Title 20 4" xfId="21888"/>
    <cellStyle name="Title 20 5" xfId="21889"/>
    <cellStyle name="Title 21" xfId="21890"/>
    <cellStyle name="Title 21 2" xfId="21891"/>
    <cellStyle name="Title 21 3" xfId="21892"/>
    <cellStyle name="Title 21 4" xfId="21893"/>
    <cellStyle name="Title 21 5" xfId="21894"/>
    <cellStyle name="Title 22" xfId="21895"/>
    <cellStyle name="Title 22 2" xfId="21896"/>
    <cellStyle name="Title 22 3" xfId="21897"/>
    <cellStyle name="Title 22 4" xfId="21898"/>
    <cellStyle name="Title 22 5" xfId="21899"/>
    <cellStyle name="Title 23" xfId="21900"/>
    <cellStyle name="Title 24" xfId="21901"/>
    <cellStyle name="Title 25" xfId="21902"/>
    <cellStyle name="Title 26" xfId="21903"/>
    <cellStyle name="Title 3" xfId="21904"/>
    <cellStyle name="Title 4" xfId="21905"/>
    <cellStyle name="Title 5" xfId="21906"/>
    <cellStyle name="Title 6" xfId="21907"/>
    <cellStyle name="Title 7" xfId="21908"/>
    <cellStyle name="Title 8" xfId="21909"/>
    <cellStyle name="Title 9" xfId="21910"/>
    <cellStyle name="Total 10" xfId="21911"/>
    <cellStyle name="Total 10 10" xfId="21912"/>
    <cellStyle name="Total 10 10 2" xfId="21913"/>
    <cellStyle name="Total 10 10 3" xfId="36013"/>
    <cellStyle name="Total 10 10 4" xfId="36014"/>
    <cellStyle name="Total 10 11" xfId="21914"/>
    <cellStyle name="Total 10 11 2" xfId="21915"/>
    <cellStyle name="Total 10 11 3" xfId="36015"/>
    <cellStyle name="Total 10 11 4" xfId="36016"/>
    <cellStyle name="Total 10 12" xfId="21916"/>
    <cellStyle name="Total 10 13" xfId="36017"/>
    <cellStyle name="Total 10 14" xfId="36018"/>
    <cellStyle name="Total 10 2" xfId="21917"/>
    <cellStyle name="Total 10 2 10" xfId="36019"/>
    <cellStyle name="Total 10 2 2" xfId="21918"/>
    <cellStyle name="Total 10 2 2 2" xfId="21919"/>
    <cellStyle name="Total 10 2 2 3" xfId="36020"/>
    <cellStyle name="Total 10 2 2 4" xfId="36021"/>
    <cellStyle name="Total 10 2 3" xfId="21920"/>
    <cellStyle name="Total 10 2 3 2" xfId="21921"/>
    <cellStyle name="Total 10 2 3 3" xfId="36022"/>
    <cellStyle name="Total 10 2 3 4" xfId="36023"/>
    <cellStyle name="Total 10 2 4" xfId="21922"/>
    <cellStyle name="Total 10 2 4 2" xfId="21923"/>
    <cellStyle name="Total 10 2 4 3" xfId="36024"/>
    <cellStyle name="Total 10 2 4 4" xfId="36025"/>
    <cellStyle name="Total 10 2 5" xfId="21924"/>
    <cellStyle name="Total 10 2 5 2" xfId="21925"/>
    <cellStyle name="Total 10 2 5 3" xfId="36026"/>
    <cellStyle name="Total 10 2 5 4" xfId="36027"/>
    <cellStyle name="Total 10 2 6" xfId="21926"/>
    <cellStyle name="Total 10 2 6 2" xfId="21927"/>
    <cellStyle name="Total 10 2 6 3" xfId="36028"/>
    <cellStyle name="Total 10 2 6 4" xfId="36029"/>
    <cellStyle name="Total 10 2 7" xfId="21928"/>
    <cellStyle name="Total 10 2 7 2" xfId="21929"/>
    <cellStyle name="Total 10 2 7 3" xfId="36030"/>
    <cellStyle name="Total 10 2 7 4" xfId="36031"/>
    <cellStyle name="Total 10 2 8" xfId="21930"/>
    <cellStyle name="Total 10 2 9" xfId="36032"/>
    <cellStyle name="Total 10 3" xfId="21931"/>
    <cellStyle name="Total 10 3 10" xfId="36033"/>
    <cellStyle name="Total 10 3 2" xfId="21932"/>
    <cellStyle name="Total 10 3 2 2" xfId="21933"/>
    <cellStyle name="Total 10 3 2 3" xfId="36034"/>
    <cellStyle name="Total 10 3 2 4" xfId="36035"/>
    <cellStyle name="Total 10 3 3" xfId="21934"/>
    <cellStyle name="Total 10 3 3 2" xfId="21935"/>
    <cellStyle name="Total 10 3 3 3" xfId="36036"/>
    <cellStyle name="Total 10 3 3 4" xfId="36037"/>
    <cellStyle name="Total 10 3 4" xfId="21936"/>
    <cellStyle name="Total 10 3 4 2" xfId="21937"/>
    <cellStyle name="Total 10 3 4 3" xfId="36038"/>
    <cellStyle name="Total 10 3 4 4" xfId="36039"/>
    <cellStyle name="Total 10 3 5" xfId="21938"/>
    <cellStyle name="Total 10 3 5 2" xfId="21939"/>
    <cellStyle name="Total 10 3 5 3" xfId="36040"/>
    <cellStyle name="Total 10 3 5 4" xfId="36041"/>
    <cellStyle name="Total 10 3 6" xfId="21940"/>
    <cellStyle name="Total 10 3 6 2" xfId="21941"/>
    <cellStyle name="Total 10 3 6 3" xfId="36042"/>
    <cellStyle name="Total 10 3 6 4" xfId="36043"/>
    <cellStyle name="Total 10 3 7" xfId="21942"/>
    <cellStyle name="Total 10 3 7 2" xfId="21943"/>
    <cellStyle name="Total 10 3 7 3" xfId="36044"/>
    <cellStyle name="Total 10 3 7 4" xfId="36045"/>
    <cellStyle name="Total 10 3 8" xfId="21944"/>
    <cellStyle name="Total 10 3 9" xfId="36046"/>
    <cellStyle name="Total 10 4" xfId="21945"/>
    <cellStyle name="Total 10 4 10" xfId="36047"/>
    <cellStyle name="Total 10 4 2" xfId="21946"/>
    <cellStyle name="Total 10 4 2 2" xfId="21947"/>
    <cellStyle name="Total 10 4 2 3" xfId="36048"/>
    <cellStyle name="Total 10 4 2 4" xfId="36049"/>
    <cellStyle name="Total 10 4 3" xfId="21948"/>
    <cellStyle name="Total 10 4 3 2" xfId="21949"/>
    <cellStyle name="Total 10 4 3 3" xfId="36050"/>
    <cellStyle name="Total 10 4 3 4" xfId="36051"/>
    <cellStyle name="Total 10 4 4" xfId="21950"/>
    <cellStyle name="Total 10 4 4 2" xfId="21951"/>
    <cellStyle name="Total 10 4 4 3" xfId="36052"/>
    <cellStyle name="Total 10 4 4 4" xfId="36053"/>
    <cellStyle name="Total 10 4 5" xfId="21952"/>
    <cellStyle name="Total 10 4 5 2" xfId="21953"/>
    <cellStyle name="Total 10 4 5 3" xfId="36054"/>
    <cellStyle name="Total 10 4 5 4" xfId="36055"/>
    <cellStyle name="Total 10 4 6" xfId="21954"/>
    <cellStyle name="Total 10 4 6 2" xfId="21955"/>
    <cellStyle name="Total 10 4 6 3" xfId="36056"/>
    <cellStyle name="Total 10 4 6 4" xfId="36057"/>
    <cellStyle name="Total 10 4 7" xfId="21956"/>
    <cellStyle name="Total 10 4 7 2" xfId="21957"/>
    <cellStyle name="Total 10 4 7 3" xfId="36058"/>
    <cellStyle name="Total 10 4 7 4" xfId="36059"/>
    <cellStyle name="Total 10 4 8" xfId="21958"/>
    <cellStyle name="Total 10 4 9" xfId="36060"/>
    <cellStyle name="Total 10 5" xfId="21959"/>
    <cellStyle name="Total 10 5 10" xfId="36061"/>
    <cellStyle name="Total 10 5 2" xfId="21960"/>
    <cellStyle name="Total 10 5 2 2" xfId="21961"/>
    <cellStyle name="Total 10 5 2 3" xfId="36062"/>
    <cellStyle name="Total 10 5 2 4" xfId="36063"/>
    <cellStyle name="Total 10 5 3" xfId="21962"/>
    <cellStyle name="Total 10 5 3 2" xfId="21963"/>
    <cellStyle name="Total 10 5 3 3" xfId="36064"/>
    <cellStyle name="Total 10 5 3 4" xfId="36065"/>
    <cellStyle name="Total 10 5 4" xfId="21964"/>
    <cellStyle name="Total 10 5 4 2" xfId="21965"/>
    <cellStyle name="Total 10 5 4 3" xfId="36066"/>
    <cellStyle name="Total 10 5 4 4" xfId="36067"/>
    <cellStyle name="Total 10 5 5" xfId="21966"/>
    <cellStyle name="Total 10 5 5 2" xfId="21967"/>
    <cellStyle name="Total 10 5 5 3" xfId="36068"/>
    <cellStyle name="Total 10 5 5 4" xfId="36069"/>
    <cellStyle name="Total 10 5 6" xfId="21968"/>
    <cellStyle name="Total 10 5 6 2" xfId="21969"/>
    <cellStyle name="Total 10 5 6 3" xfId="36070"/>
    <cellStyle name="Total 10 5 6 4" xfId="36071"/>
    <cellStyle name="Total 10 5 7" xfId="21970"/>
    <cellStyle name="Total 10 5 7 2" xfId="21971"/>
    <cellStyle name="Total 10 5 7 3" xfId="36072"/>
    <cellStyle name="Total 10 5 7 4" xfId="36073"/>
    <cellStyle name="Total 10 5 8" xfId="21972"/>
    <cellStyle name="Total 10 5 9" xfId="36074"/>
    <cellStyle name="Total 10 6" xfId="21973"/>
    <cellStyle name="Total 10 6 2" xfId="21974"/>
    <cellStyle name="Total 10 6 3" xfId="36075"/>
    <cellStyle name="Total 10 6 4" xfId="36076"/>
    <cellStyle name="Total 10 7" xfId="21975"/>
    <cellStyle name="Total 10 7 2" xfId="21976"/>
    <cellStyle name="Total 10 7 3" xfId="36077"/>
    <cellStyle name="Total 10 7 4" xfId="36078"/>
    <cellStyle name="Total 10 8" xfId="21977"/>
    <cellStyle name="Total 10 8 2" xfId="21978"/>
    <cellStyle name="Total 10 8 3" xfId="36079"/>
    <cellStyle name="Total 10 8 4" xfId="36080"/>
    <cellStyle name="Total 10 9" xfId="21979"/>
    <cellStyle name="Total 10 9 2" xfId="21980"/>
    <cellStyle name="Total 10 9 3" xfId="36081"/>
    <cellStyle name="Total 10 9 4" xfId="36082"/>
    <cellStyle name="Total 11" xfId="21981"/>
    <cellStyle name="Total 11 10" xfId="21982"/>
    <cellStyle name="Total 11 10 2" xfId="21983"/>
    <cellStyle name="Total 11 10 3" xfId="36083"/>
    <cellStyle name="Total 11 10 4" xfId="36084"/>
    <cellStyle name="Total 11 11" xfId="21984"/>
    <cellStyle name="Total 11 11 2" xfId="21985"/>
    <cellStyle name="Total 11 11 3" xfId="36085"/>
    <cellStyle name="Total 11 11 4" xfId="36086"/>
    <cellStyle name="Total 11 12" xfId="21986"/>
    <cellStyle name="Total 11 13" xfId="36087"/>
    <cellStyle name="Total 11 14" xfId="36088"/>
    <cellStyle name="Total 11 2" xfId="21987"/>
    <cellStyle name="Total 11 2 10" xfId="36089"/>
    <cellStyle name="Total 11 2 2" xfId="21988"/>
    <cellStyle name="Total 11 2 2 2" xfId="21989"/>
    <cellStyle name="Total 11 2 2 3" xfId="36090"/>
    <cellStyle name="Total 11 2 2 4" xfId="36091"/>
    <cellStyle name="Total 11 2 3" xfId="21990"/>
    <cellStyle name="Total 11 2 3 2" xfId="21991"/>
    <cellStyle name="Total 11 2 3 3" xfId="36092"/>
    <cellStyle name="Total 11 2 3 4" xfId="36093"/>
    <cellStyle name="Total 11 2 4" xfId="21992"/>
    <cellStyle name="Total 11 2 4 2" xfId="21993"/>
    <cellStyle name="Total 11 2 4 3" xfId="36094"/>
    <cellStyle name="Total 11 2 4 4" xfId="36095"/>
    <cellStyle name="Total 11 2 5" xfId="21994"/>
    <cellStyle name="Total 11 2 5 2" xfId="21995"/>
    <cellStyle name="Total 11 2 5 3" xfId="36096"/>
    <cellStyle name="Total 11 2 5 4" xfId="36097"/>
    <cellStyle name="Total 11 2 6" xfId="21996"/>
    <cellStyle name="Total 11 2 6 2" xfId="21997"/>
    <cellStyle name="Total 11 2 6 3" xfId="36098"/>
    <cellStyle name="Total 11 2 6 4" xfId="36099"/>
    <cellStyle name="Total 11 2 7" xfId="21998"/>
    <cellStyle name="Total 11 2 7 2" xfId="21999"/>
    <cellStyle name="Total 11 2 7 3" xfId="36100"/>
    <cellStyle name="Total 11 2 7 4" xfId="36101"/>
    <cellStyle name="Total 11 2 8" xfId="22000"/>
    <cellStyle name="Total 11 2 9" xfId="36102"/>
    <cellStyle name="Total 11 3" xfId="22001"/>
    <cellStyle name="Total 11 3 10" xfId="36103"/>
    <cellStyle name="Total 11 3 2" xfId="22002"/>
    <cellStyle name="Total 11 3 2 2" xfId="22003"/>
    <cellStyle name="Total 11 3 2 3" xfId="36104"/>
    <cellStyle name="Total 11 3 2 4" xfId="36105"/>
    <cellStyle name="Total 11 3 3" xfId="22004"/>
    <cellStyle name="Total 11 3 3 2" xfId="22005"/>
    <cellStyle name="Total 11 3 3 3" xfId="36106"/>
    <cellStyle name="Total 11 3 3 4" xfId="36107"/>
    <cellStyle name="Total 11 3 4" xfId="22006"/>
    <cellStyle name="Total 11 3 4 2" xfId="22007"/>
    <cellStyle name="Total 11 3 4 3" xfId="36108"/>
    <cellStyle name="Total 11 3 4 4" xfId="36109"/>
    <cellStyle name="Total 11 3 5" xfId="22008"/>
    <cellStyle name="Total 11 3 5 2" xfId="22009"/>
    <cellStyle name="Total 11 3 5 3" xfId="36110"/>
    <cellStyle name="Total 11 3 5 4" xfId="36111"/>
    <cellStyle name="Total 11 3 6" xfId="22010"/>
    <cellStyle name="Total 11 3 6 2" xfId="22011"/>
    <cellStyle name="Total 11 3 6 3" xfId="36112"/>
    <cellStyle name="Total 11 3 6 4" xfId="36113"/>
    <cellStyle name="Total 11 3 7" xfId="22012"/>
    <cellStyle name="Total 11 3 7 2" xfId="22013"/>
    <cellStyle name="Total 11 3 7 3" xfId="36114"/>
    <cellStyle name="Total 11 3 7 4" xfId="36115"/>
    <cellStyle name="Total 11 3 8" xfId="22014"/>
    <cellStyle name="Total 11 3 9" xfId="36116"/>
    <cellStyle name="Total 11 4" xfId="22015"/>
    <cellStyle name="Total 11 4 10" xfId="36117"/>
    <cellStyle name="Total 11 4 2" xfId="22016"/>
    <cellStyle name="Total 11 4 2 2" xfId="22017"/>
    <cellStyle name="Total 11 4 2 3" xfId="36118"/>
    <cellStyle name="Total 11 4 2 4" xfId="36119"/>
    <cellStyle name="Total 11 4 3" xfId="22018"/>
    <cellStyle name="Total 11 4 3 2" xfId="22019"/>
    <cellStyle name="Total 11 4 3 3" xfId="36120"/>
    <cellStyle name="Total 11 4 3 4" xfId="36121"/>
    <cellStyle name="Total 11 4 4" xfId="22020"/>
    <cellStyle name="Total 11 4 4 2" xfId="22021"/>
    <cellStyle name="Total 11 4 4 3" xfId="36122"/>
    <cellStyle name="Total 11 4 4 4" xfId="36123"/>
    <cellStyle name="Total 11 4 5" xfId="22022"/>
    <cellStyle name="Total 11 4 5 2" xfId="22023"/>
    <cellStyle name="Total 11 4 5 3" xfId="36124"/>
    <cellStyle name="Total 11 4 5 4" xfId="36125"/>
    <cellStyle name="Total 11 4 6" xfId="22024"/>
    <cellStyle name="Total 11 4 6 2" xfId="22025"/>
    <cellStyle name="Total 11 4 6 3" xfId="36126"/>
    <cellStyle name="Total 11 4 6 4" xfId="36127"/>
    <cellStyle name="Total 11 4 7" xfId="22026"/>
    <cellStyle name="Total 11 4 7 2" xfId="22027"/>
    <cellStyle name="Total 11 4 7 3" xfId="36128"/>
    <cellStyle name="Total 11 4 7 4" xfId="36129"/>
    <cellStyle name="Total 11 4 8" xfId="22028"/>
    <cellStyle name="Total 11 4 9" xfId="36130"/>
    <cellStyle name="Total 11 5" xfId="22029"/>
    <cellStyle name="Total 11 5 10" xfId="36131"/>
    <cellStyle name="Total 11 5 2" xfId="22030"/>
    <cellStyle name="Total 11 5 2 2" xfId="22031"/>
    <cellStyle name="Total 11 5 2 3" xfId="36132"/>
    <cellStyle name="Total 11 5 2 4" xfId="36133"/>
    <cellStyle name="Total 11 5 3" xfId="22032"/>
    <cellStyle name="Total 11 5 3 2" xfId="22033"/>
    <cellStyle name="Total 11 5 3 3" xfId="36134"/>
    <cellStyle name="Total 11 5 3 4" xfId="36135"/>
    <cellStyle name="Total 11 5 4" xfId="22034"/>
    <cellStyle name="Total 11 5 4 2" xfId="22035"/>
    <cellStyle name="Total 11 5 4 3" xfId="36136"/>
    <cellStyle name="Total 11 5 4 4" xfId="36137"/>
    <cellStyle name="Total 11 5 5" xfId="22036"/>
    <cellStyle name="Total 11 5 5 2" xfId="22037"/>
    <cellStyle name="Total 11 5 5 3" xfId="36138"/>
    <cellStyle name="Total 11 5 5 4" xfId="36139"/>
    <cellStyle name="Total 11 5 6" xfId="22038"/>
    <cellStyle name="Total 11 5 6 2" xfId="22039"/>
    <cellStyle name="Total 11 5 6 3" xfId="36140"/>
    <cellStyle name="Total 11 5 6 4" xfId="36141"/>
    <cellStyle name="Total 11 5 7" xfId="22040"/>
    <cellStyle name="Total 11 5 7 2" xfId="22041"/>
    <cellStyle name="Total 11 5 7 3" xfId="36142"/>
    <cellStyle name="Total 11 5 7 4" xfId="36143"/>
    <cellStyle name="Total 11 5 8" xfId="22042"/>
    <cellStyle name="Total 11 5 9" xfId="36144"/>
    <cellStyle name="Total 11 6" xfId="22043"/>
    <cellStyle name="Total 11 6 2" xfId="22044"/>
    <cellStyle name="Total 11 6 3" xfId="36145"/>
    <cellStyle name="Total 11 6 4" xfId="36146"/>
    <cellStyle name="Total 11 7" xfId="22045"/>
    <cellStyle name="Total 11 7 2" xfId="22046"/>
    <cellStyle name="Total 11 7 3" xfId="36147"/>
    <cellStyle name="Total 11 7 4" xfId="36148"/>
    <cellStyle name="Total 11 8" xfId="22047"/>
    <cellStyle name="Total 11 8 2" xfId="22048"/>
    <cellStyle name="Total 11 8 3" xfId="36149"/>
    <cellStyle name="Total 11 8 4" xfId="36150"/>
    <cellStyle name="Total 11 9" xfId="22049"/>
    <cellStyle name="Total 11 9 2" xfId="22050"/>
    <cellStyle name="Total 11 9 3" xfId="36151"/>
    <cellStyle name="Total 11 9 4" xfId="36152"/>
    <cellStyle name="Total 12" xfId="22051"/>
    <cellStyle name="Total 12 10" xfId="22052"/>
    <cellStyle name="Total 12 10 2" xfId="22053"/>
    <cellStyle name="Total 12 10 3" xfId="36153"/>
    <cellStyle name="Total 12 10 4" xfId="36154"/>
    <cellStyle name="Total 12 11" xfId="22054"/>
    <cellStyle name="Total 12 11 2" xfId="22055"/>
    <cellStyle name="Total 12 11 3" xfId="36155"/>
    <cellStyle name="Total 12 11 4" xfId="36156"/>
    <cellStyle name="Total 12 12" xfId="22056"/>
    <cellStyle name="Total 12 13" xfId="36157"/>
    <cellStyle name="Total 12 14" xfId="36158"/>
    <cellStyle name="Total 12 2" xfId="22057"/>
    <cellStyle name="Total 12 2 10" xfId="36159"/>
    <cellStyle name="Total 12 2 2" xfId="22058"/>
    <cellStyle name="Total 12 2 2 2" xfId="22059"/>
    <cellStyle name="Total 12 2 2 3" xfId="36160"/>
    <cellStyle name="Total 12 2 2 4" xfId="36161"/>
    <cellStyle name="Total 12 2 3" xfId="22060"/>
    <cellStyle name="Total 12 2 3 2" xfId="22061"/>
    <cellStyle name="Total 12 2 3 3" xfId="36162"/>
    <cellStyle name="Total 12 2 3 4" xfId="36163"/>
    <cellStyle name="Total 12 2 4" xfId="22062"/>
    <cellStyle name="Total 12 2 4 2" xfId="22063"/>
    <cellStyle name="Total 12 2 4 3" xfId="36164"/>
    <cellStyle name="Total 12 2 4 4" xfId="36165"/>
    <cellStyle name="Total 12 2 5" xfId="22064"/>
    <cellStyle name="Total 12 2 5 2" xfId="22065"/>
    <cellStyle name="Total 12 2 5 3" xfId="36166"/>
    <cellStyle name="Total 12 2 5 4" xfId="36167"/>
    <cellStyle name="Total 12 2 6" xfId="22066"/>
    <cellStyle name="Total 12 2 6 2" xfId="22067"/>
    <cellStyle name="Total 12 2 6 3" xfId="36168"/>
    <cellStyle name="Total 12 2 6 4" xfId="36169"/>
    <cellStyle name="Total 12 2 7" xfId="22068"/>
    <cellStyle name="Total 12 2 7 2" xfId="22069"/>
    <cellStyle name="Total 12 2 7 3" xfId="36170"/>
    <cellStyle name="Total 12 2 7 4" xfId="36171"/>
    <cellStyle name="Total 12 2 8" xfId="22070"/>
    <cellStyle name="Total 12 2 9" xfId="36172"/>
    <cellStyle name="Total 12 3" xfId="22071"/>
    <cellStyle name="Total 12 3 10" xfId="36173"/>
    <cellStyle name="Total 12 3 2" xfId="22072"/>
    <cellStyle name="Total 12 3 2 2" xfId="22073"/>
    <cellStyle name="Total 12 3 2 3" xfId="36174"/>
    <cellStyle name="Total 12 3 2 4" xfId="36175"/>
    <cellStyle name="Total 12 3 3" xfId="22074"/>
    <cellStyle name="Total 12 3 3 2" xfId="22075"/>
    <cellStyle name="Total 12 3 3 3" xfId="36176"/>
    <cellStyle name="Total 12 3 3 4" xfId="36177"/>
    <cellStyle name="Total 12 3 4" xfId="22076"/>
    <cellStyle name="Total 12 3 4 2" xfId="22077"/>
    <cellStyle name="Total 12 3 4 3" xfId="36178"/>
    <cellStyle name="Total 12 3 4 4" xfId="36179"/>
    <cellStyle name="Total 12 3 5" xfId="22078"/>
    <cellStyle name="Total 12 3 5 2" xfId="22079"/>
    <cellStyle name="Total 12 3 5 3" xfId="36180"/>
    <cellStyle name="Total 12 3 5 4" xfId="36181"/>
    <cellStyle name="Total 12 3 6" xfId="22080"/>
    <cellStyle name="Total 12 3 6 2" xfId="22081"/>
    <cellStyle name="Total 12 3 6 3" xfId="36182"/>
    <cellStyle name="Total 12 3 6 4" xfId="36183"/>
    <cellStyle name="Total 12 3 7" xfId="22082"/>
    <cellStyle name="Total 12 3 7 2" xfId="22083"/>
    <cellStyle name="Total 12 3 7 3" xfId="36184"/>
    <cellStyle name="Total 12 3 7 4" xfId="36185"/>
    <cellStyle name="Total 12 3 8" xfId="22084"/>
    <cellStyle name="Total 12 3 9" xfId="36186"/>
    <cellStyle name="Total 12 4" xfId="22085"/>
    <cellStyle name="Total 12 4 10" xfId="36187"/>
    <cellStyle name="Total 12 4 2" xfId="22086"/>
    <cellStyle name="Total 12 4 2 2" xfId="22087"/>
    <cellStyle name="Total 12 4 2 3" xfId="36188"/>
    <cellStyle name="Total 12 4 2 4" xfId="36189"/>
    <cellStyle name="Total 12 4 3" xfId="22088"/>
    <cellStyle name="Total 12 4 3 2" xfId="22089"/>
    <cellStyle name="Total 12 4 3 3" xfId="36190"/>
    <cellStyle name="Total 12 4 3 4" xfId="36191"/>
    <cellStyle name="Total 12 4 4" xfId="22090"/>
    <cellStyle name="Total 12 4 4 2" xfId="22091"/>
    <cellStyle name="Total 12 4 4 3" xfId="36192"/>
    <cellStyle name="Total 12 4 4 4" xfId="36193"/>
    <cellStyle name="Total 12 4 5" xfId="22092"/>
    <cellStyle name="Total 12 4 5 2" xfId="22093"/>
    <cellStyle name="Total 12 4 5 3" xfId="36194"/>
    <cellStyle name="Total 12 4 5 4" xfId="36195"/>
    <cellStyle name="Total 12 4 6" xfId="22094"/>
    <cellStyle name="Total 12 4 6 2" xfId="22095"/>
    <cellStyle name="Total 12 4 6 3" xfId="36196"/>
    <cellStyle name="Total 12 4 6 4" xfId="36197"/>
    <cellStyle name="Total 12 4 7" xfId="22096"/>
    <cellStyle name="Total 12 4 7 2" xfId="22097"/>
    <cellStyle name="Total 12 4 7 3" xfId="36198"/>
    <cellStyle name="Total 12 4 7 4" xfId="36199"/>
    <cellStyle name="Total 12 4 8" xfId="22098"/>
    <cellStyle name="Total 12 4 9" xfId="36200"/>
    <cellStyle name="Total 12 5" xfId="22099"/>
    <cellStyle name="Total 12 5 10" xfId="36201"/>
    <cellStyle name="Total 12 5 2" xfId="22100"/>
    <cellStyle name="Total 12 5 2 2" xfId="22101"/>
    <cellStyle name="Total 12 5 2 3" xfId="36202"/>
    <cellStyle name="Total 12 5 2 4" xfId="36203"/>
    <cellStyle name="Total 12 5 3" xfId="22102"/>
    <cellStyle name="Total 12 5 3 2" xfId="22103"/>
    <cellStyle name="Total 12 5 3 3" xfId="36204"/>
    <cellStyle name="Total 12 5 3 4" xfId="36205"/>
    <cellStyle name="Total 12 5 4" xfId="22104"/>
    <cellStyle name="Total 12 5 4 2" xfId="22105"/>
    <cellStyle name="Total 12 5 4 3" xfId="36206"/>
    <cellStyle name="Total 12 5 4 4" xfId="36207"/>
    <cellStyle name="Total 12 5 5" xfId="22106"/>
    <cellStyle name="Total 12 5 5 2" xfId="22107"/>
    <cellStyle name="Total 12 5 5 3" xfId="36208"/>
    <cellStyle name="Total 12 5 5 4" xfId="36209"/>
    <cellStyle name="Total 12 5 6" xfId="22108"/>
    <cellStyle name="Total 12 5 6 2" xfId="22109"/>
    <cellStyle name="Total 12 5 6 3" xfId="36210"/>
    <cellStyle name="Total 12 5 6 4" xfId="36211"/>
    <cellStyle name="Total 12 5 7" xfId="22110"/>
    <cellStyle name="Total 12 5 7 2" xfId="22111"/>
    <cellStyle name="Total 12 5 7 3" xfId="36212"/>
    <cellStyle name="Total 12 5 7 4" xfId="36213"/>
    <cellStyle name="Total 12 5 8" xfId="22112"/>
    <cellStyle name="Total 12 5 9" xfId="36214"/>
    <cellStyle name="Total 12 6" xfId="22113"/>
    <cellStyle name="Total 12 6 2" xfId="22114"/>
    <cellStyle name="Total 12 6 3" xfId="36215"/>
    <cellStyle name="Total 12 6 4" xfId="36216"/>
    <cellStyle name="Total 12 7" xfId="22115"/>
    <cellStyle name="Total 12 7 2" xfId="22116"/>
    <cellStyle name="Total 12 7 3" xfId="36217"/>
    <cellStyle name="Total 12 7 4" xfId="36218"/>
    <cellStyle name="Total 12 8" xfId="22117"/>
    <cellStyle name="Total 12 8 2" xfId="22118"/>
    <cellStyle name="Total 12 8 3" xfId="36219"/>
    <cellStyle name="Total 12 8 4" xfId="36220"/>
    <cellStyle name="Total 12 9" xfId="22119"/>
    <cellStyle name="Total 12 9 2" xfId="22120"/>
    <cellStyle name="Total 12 9 3" xfId="36221"/>
    <cellStyle name="Total 12 9 4" xfId="36222"/>
    <cellStyle name="Total 13" xfId="22121"/>
    <cellStyle name="Total 13 10" xfId="22122"/>
    <cellStyle name="Total 13 10 2" xfId="22123"/>
    <cellStyle name="Total 13 10 3" xfId="36223"/>
    <cellStyle name="Total 13 10 4" xfId="36224"/>
    <cellStyle name="Total 13 11" xfId="22124"/>
    <cellStyle name="Total 13 11 2" xfId="22125"/>
    <cellStyle name="Total 13 11 3" xfId="36225"/>
    <cellStyle name="Total 13 11 4" xfId="36226"/>
    <cellStyle name="Total 13 12" xfId="22126"/>
    <cellStyle name="Total 13 13" xfId="36227"/>
    <cellStyle name="Total 13 14" xfId="36228"/>
    <cellStyle name="Total 13 2" xfId="22127"/>
    <cellStyle name="Total 13 2 10" xfId="36229"/>
    <cellStyle name="Total 13 2 2" xfId="22128"/>
    <cellStyle name="Total 13 2 2 2" xfId="22129"/>
    <cellStyle name="Total 13 2 2 3" xfId="36230"/>
    <cellStyle name="Total 13 2 2 4" xfId="36231"/>
    <cellStyle name="Total 13 2 3" xfId="22130"/>
    <cellStyle name="Total 13 2 3 2" xfId="22131"/>
    <cellStyle name="Total 13 2 3 3" xfId="36232"/>
    <cellStyle name="Total 13 2 3 4" xfId="36233"/>
    <cellStyle name="Total 13 2 4" xfId="22132"/>
    <cellStyle name="Total 13 2 4 2" xfId="22133"/>
    <cellStyle name="Total 13 2 4 3" xfId="36234"/>
    <cellStyle name="Total 13 2 4 4" xfId="36235"/>
    <cellStyle name="Total 13 2 5" xfId="22134"/>
    <cellStyle name="Total 13 2 5 2" xfId="22135"/>
    <cellStyle name="Total 13 2 5 3" xfId="36236"/>
    <cellStyle name="Total 13 2 5 4" xfId="36237"/>
    <cellStyle name="Total 13 2 6" xfId="22136"/>
    <cellStyle name="Total 13 2 6 2" xfId="22137"/>
    <cellStyle name="Total 13 2 6 3" xfId="36238"/>
    <cellStyle name="Total 13 2 6 4" xfId="36239"/>
    <cellStyle name="Total 13 2 7" xfId="22138"/>
    <cellStyle name="Total 13 2 7 2" xfId="22139"/>
    <cellStyle name="Total 13 2 7 3" xfId="36240"/>
    <cellStyle name="Total 13 2 7 4" xfId="36241"/>
    <cellStyle name="Total 13 2 8" xfId="22140"/>
    <cellStyle name="Total 13 2 9" xfId="36242"/>
    <cellStyle name="Total 13 3" xfId="22141"/>
    <cellStyle name="Total 13 3 10" xfId="36243"/>
    <cellStyle name="Total 13 3 2" xfId="22142"/>
    <cellStyle name="Total 13 3 2 2" xfId="22143"/>
    <cellStyle name="Total 13 3 2 3" xfId="36244"/>
    <cellStyle name="Total 13 3 2 4" xfId="36245"/>
    <cellStyle name="Total 13 3 3" xfId="22144"/>
    <cellStyle name="Total 13 3 3 2" xfId="22145"/>
    <cellStyle name="Total 13 3 3 3" xfId="36246"/>
    <cellStyle name="Total 13 3 3 4" xfId="36247"/>
    <cellStyle name="Total 13 3 4" xfId="22146"/>
    <cellStyle name="Total 13 3 4 2" xfId="22147"/>
    <cellStyle name="Total 13 3 4 3" xfId="36248"/>
    <cellStyle name="Total 13 3 4 4" xfId="36249"/>
    <cellStyle name="Total 13 3 5" xfId="22148"/>
    <cellStyle name="Total 13 3 5 2" xfId="22149"/>
    <cellStyle name="Total 13 3 5 3" xfId="36250"/>
    <cellStyle name="Total 13 3 5 4" xfId="36251"/>
    <cellStyle name="Total 13 3 6" xfId="22150"/>
    <cellStyle name="Total 13 3 6 2" xfId="22151"/>
    <cellStyle name="Total 13 3 6 3" xfId="36252"/>
    <cellStyle name="Total 13 3 6 4" xfId="36253"/>
    <cellStyle name="Total 13 3 7" xfId="22152"/>
    <cellStyle name="Total 13 3 7 2" xfId="22153"/>
    <cellStyle name="Total 13 3 7 3" xfId="36254"/>
    <cellStyle name="Total 13 3 7 4" xfId="36255"/>
    <cellStyle name="Total 13 3 8" xfId="22154"/>
    <cellStyle name="Total 13 3 9" xfId="36256"/>
    <cellStyle name="Total 13 4" xfId="22155"/>
    <cellStyle name="Total 13 4 10" xfId="36257"/>
    <cellStyle name="Total 13 4 2" xfId="22156"/>
    <cellStyle name="Total 13 4 2 2" xfId="22157"/>
    <cellStyle name="Total 13 4 2 3" xfId="36258"/>
    <cellStyle name="Total 13 4 2 4" xfId="36259"/>
    <cellStyle name="Total 13 4 3" xfId="22158"/>
    <cellStyle name="Total 13 4 3 2" xfId="22159"/>
    <cellStyle name="Total 13 4 3 3" xfId="36260"/>
    <cellStyle name="Total 13 4 3 4" xfId="36261"/>
    <cellStyle name="Total 13 4 4" xfId="22160"/>
    <cellStyle name="Total 13 4 4 2" xfId="22161"/>
    <cellStyle name="Total 13 4 4 3" xfId="36262"/>
    <cellStyle name="Total 13 4 4 4" xfId="36263"/>
    <cellStyle name="Total 13 4 5" xfId="22162"/>
    <cellStyle name="Total 13 4 5 2" xfId="22163"/>
    <cellStyle name="Total 13 4 5 3" xfId="36264"/>
    <cellStyle name="Total 13 4 5 4" xfId="36265"/>
    <cellStyle name="Total 13 4 6" xfId="22164"/>
    <cellStyle name="Total 13 4 6 2" xfId="22165"/>
    <cellStyle name="Total 13 4 6 3" xfId="36266"/>
    <cellStyle name="Total 13 4 6 4" xfId="36267"/>
    <cellStyle name="Total 13 4 7" xfId="22166"/>
    <cellStyle name="Total 13 4 7 2" xfId="22167"/>
    <cellStyle name="Total 13 4 7 3" xfId="36268"/>
    <cellStyle name="Total 13 4 7 4" xfId="36269"/>
    <cellStyle name="Total 13 4 8" xfId="22168"/>
    <cellStyle name="Total 13 4 9" xfId="36270"/>
    <cellStyle name="Total 13 5" xfId="22169"/>
    <cellStyle name="Total 13 5 10" xfId="36271"/>
    <cellStyle name="Total 13 5 2" xfId="22170"/>
    <cellStyle name="Total 13 5 2 2" xfId="22171"/>
    <cellStyle name="Total 13 5 2 3" xfId="36272"/>
    <cellStyle name="Total 13 5 2 4" xfId="36273"/>
    <cellStyle name="Total 13 5 3" xfId="22172"/>
    <cellStyle name="Total 13 5 3 2" xfId="22173"/>
    <cellStyle name="Total 13 5 3 3" xfId="36274"/>
    <cellStyle name="Total 13 5 3 4" xfId="36275"/>
    <cellStyle name="Total 13 5 4" xfId="22174"/>
    <cellStyle name="Total 13 5 4 2" xfId="22175"/>
    <cellStyle name="Total 13 5 4 3" xfId="36276"/>
    <cellStyle name="Total 13 5 4 4" xfId="36277"/>
    <cellStyle name="Total 13 5 5" xfId="22176"/>
    <cellStyle name="Total 13 5 5 2" xfId="22177"/>
    <cellStyle name="Total 13 5 5 3" xfId="36278"/>
    <cellStyle name="Total 13 5 5 4" xfId="36279"/>
    <cellStyle name="Total 13 5 6" xfId="22178"/>
    <cellStyle name="Total 13 5 6 2" xfId="22179"/>
    <cellStyle name="Total 13 5 6 3" xfId="36280"/>
    <cellStyle name="Total 13 5 6 4" xfId="36281"/>
    <cellStyle name="Total 13 5 7" xfId="22180"/>
    <cellStyle name="Total 13 5 7 2" xfId="22181"/>
    <cellStyle name="Total 13 5 7 3" xfId="36282"/>
    <cellStyle name="Total 13 5 7 4" xfId="36283"/>
    <cellStyle name="Total 13 5 8" xfId="22182"/>
    <cellStyle name="Total 13 5 9" xfId="36284"/>
    <cellStyle name="Total 13 6" xfId="22183"/>
    <cellStyle name="Total 13 6 2" xfId="22184"/>
    <cellStyle name="Total 13 6 3" xfId="36285"/>
    <cellStyle name="Total 13 6 4" xfId="36286"/>
    <cellStyle name="Total 13 7" xfId="22185"/>
    <cellStyle name="Total 13 7 2" xfId="22186"/>
    <cellStyle name="Total 13 7 3" xfId="36287"/>
    <cellStyle name="Total 13 7 4" xfId="36288"/>
    <cellStyle name="Total 13 8" xfId="22187"/>
    <cellStyle name="Total 13 8 2" xfId="22188"/>
    <cellStyle name="Total 13 8 3" xfId="36289"/>
    <cellStyle name="Total 13 8 4" xfId="36290"/>
    <cellStyle name="Total 13 9" xfId="22189"/>
    <cellStyle name="Total 13 9 2" xfId="22190"/>
    <cellStyle name="Total 13 9 3" xfId="36291"/>
    <cellStyle name="Total 13 9 4" xfId="36292"/>
    <cellStyle name="Total 14" xfId="22191"/>
    <cellStyle name="Total 14 10" xfId="22192"/>
    <cellStyle name="Total 14 10 2" xfId="22193"/>
    <cellStyle name="Total 14 10 3" xfId="36293"/>
    <cellStyle name="Total 14 10 4" xfId="36294"/>
    <cellStyle name="Total 14 11" xfId="22194"/>
    <cellStyle name="Total 14 11 2" xfId="22195"/>
    <cellStyle name="Total 14 11 3" xfId="36295"/>
    <cellStyle name="Total 14 11 4" xfId="36296"/>
    <cellStyle name="Total 14 12" xfId="22196"/>
    <cellStyle name="Total 14 13" xfId="36297"/>
    <cellStyle name="Total 14 14" xfId="36298"/>
    <cellStyle name="Total 14 2" xfId="22197"/>
    <cellStyle name="Total 14 2 10" xfId="36299"/>
    <cellStyle name="Total 14 2 2" xfId="22198"/>
    <cellStyle name="Total 14 2 2 2" xfId="22199"/>
    <cellStyle name="Total 14 2 2 3" xfId="36300"/>
    <cellStyle name="Total 14 2 2 4" xfId="36301"/>
    <cellStyle name="Total 14 2 3" xfId="22200"/>
    <cellStyle name="Total 14 2 3 2" xfId="22201"/>
    <cellStyle name="Total 14 2 3 3" xfId="36302"/>
    <cellStyle name="Total 14 2 3 4" xfId="36303"/>
    <cellStyle name="Total 14 2 4" xfId="22202"/>
    <cellStyle name="Total 14 2 4 2" xfId="22203"/>
    <cellStyle name="Total 14 2 4 3" xfId="36304"/>
    <cellStyle name="Total 14 2 4 4" xfId="36305"/>
    <cellStyle name="Total 14 2 5" xfId="22204"/>
    <cellStyle name="Total 14 2 5 2" xfId="22205"/>
    <cellStyle name="Total 14 2 5 3" xfId="36306"/>
    <cellStyle name="Total 14 2 5 4" xfId="36307"/>
    <cellStyle name="Total 14 2 6" xfId="22206"/>
    <cellStyle name="Total 14 2 6 2" xfId="22207"/>
    <cellStyle name="Total 14 2 6 3" xfId="36308"/>
    <cellStyle name="Total 14 2 6 4" xfId="36309"/>
    <cellStyle name="Total 14 2 7" xfId="22208"/>
    <cellStyle name="Total 14 2 7 2" xfId="22209"/>
    <cellStyle name="Total 14 2 7 3" xfId="36310"/>
    <cellStyle name="Total 14 2 7 4" xfId="36311"/>
    <cellStyle name="Total 14 2 8" xfId="22210"/>
    <cellStyle name="Total 14 2 9" xfId="36312"/>
    <cellStyle name="Total 14 3" xfId="22211"/>
    <cellStyle name="Total 14 3 10" xfId="36313"/>
    <cellStyle name="Total 14 3 2" xfId="22212"/>
    <cellStyle name="Total 14 3 2 2" xfId="22213"/>
    <cellStyle name="Total 14 3 2 3" xfId="36314"/>
    <cellStyle name="Total 14 3 2 4" xfId="36315"/>
    <cellStyle name="Total 14 3 3" xfId="22214"/>
    <cellStyle name="Total 14 3 3 2" xfId="22215"/>
    <cellStyle name="Total 14 3 3 3" xfId="36316"/>
    <cellStyle name="Total 14 3 3 4" xfId="36317"/>
    <cellStyle name="Total 14 3 4" xfId="22216"/>
    <cellStyle name="Total 14 3 4 2" xfId="22217"/>
    <cellStyle name="Total 14 3 4 3" xfId="36318"/>
    <cellStyle name="Total 14 3 4 4" xfId="36319"/>
    <cellStyle name="Total 14 3 5" xfId="22218"/>
    <cellStyle name="Total 14 3 5 2" xfId="22219"/>
    <cellStyle name="Total 14 3 5 3" xfId="36320"/>
    <cellStyle name="Total 14 3 5 4" xfId="36321"/>
    <cellStyle name="Total 14 3 6" xfId="22220"/>
    <cellStyle name="Total 14 3 6 2" xfId="22221"/>
    <cellStyle name="Total 14 3 6 3" xfId="36322"/>
    <cellStyle name="Total 14 3 6 4" xfId="36323"/>
    <cellStyle name="Total 14 3 7" xfId="22222"/>
    <cellStyle name="Total 14 3 7 2" xfId="22223"/>
    <cellStyle name="Total 14 3 7 3" xfId="36324"/>
    <cellStyle name="Total 14 3 7 4" xfId="36325"/>
    <cellStyle name="Total 14 3 8" xfId="22224"/>
    <cellStyle name="Total 14 3 9" xfId="36326"/>
    <cellStyle name="Total 14 4" xfId="22225"/>
    <cellStyle name="Total 14 4 10" xfId="36327"/>
    <cellStyle name="Total 14 4 2" xfId="22226"/>
    <cellStyle name="Total 14 4 2 2" xfId="22227"/>
    <cellStyle name="Total 14 4 2 3" xfId="36328"/>
    <cellStyle name="Total 14 4 2 4" xfId="36329"/>
    <cellStyle name="Total 14 4 3" xfId="22228"/>
    <cellStyle name="Total 14 4 3 2" xfId="22229"/>
    <cellStyle name="Total 14 4 3 3" xfId="36330"/>
    <cellStyle name="Total 14 4 3 4" xfId="36331"/>
    <cellStyle name="Total 14 4 4" xfId="22230"/>
    <cellStyle name="Total 14 4 4 2" xfId="22231"/>
    <cellStyle name="Total 14 4 4 3" xfId="36332"/>
    <cellStyle name="Total 14 4 4 4" xfId="36333"/>
    <cellStyle name="Total 14 4 5" xfId="22232"/>
    <cellStyle name="Total 14 4 5 2" xfId="22233"/>
    <cellStyle name="Total 14 4 5 3" xfId="36334"/>
    <cellStyle name="Total 14 4 5 4" xfId="36335"/>
    <cellStyle name="Total 14 4 6" xfId="22234"/>
    <cellStyle name="Total 14 4 6 2" xfId="22235"/>
    <cellStyle name="Total 14 4 6 3" xfId="36336"/>
    <cellStyle name="Total 14 4 6 4" xfId="36337"/>
    <cellStyle name="Total 14 4 7" xfId="22236"/>
    <cellStyle name="Total 14 4 7 2" xfId="22237"/>
    <cellStyle name="Total 14 4 7 3" xfId="36338"/>
    <cellStyle name="Total 14 4 7 4" xfId="36339"/>
    <cellStyle name="Total 14 4 8" xfId="22238"/>
    <cellStyle name="Total 14 4 9" xfId="36340"/>
    <cellStyle name="Total 14 5" xfId="22239"/>
    <cellStyle name="Total 14 5 10" xfId="36341"/>
    <cellStyle name="Total 14 5 2" xfId="22240"/>
    <cellStyle name="Total 14 5 2 2" xfId="22241"/>
    <cellStyle name="Total 14 5 2 3" xfId="36342"/>
    <cellStyle name="Total 14 5 2 4" xfId="36343"/>
    <cellStyle name="Total 14 5 3" xfId="22242"/>
    <cellStyle name="Total 14 5 3 2" xfId="22243"/>
    <cellStyle name="Total 14 5 3 3" xfId="36344"/>
    <cellStyle name="Total 14 5 3 4" xfId="36345"/>
    <cellStyle name="Total 14 5 4" xfId="22244"/>
    <cellStyle name="Total 14 5 4 2" xfId="22245"/>
    <cellStyle name="Total 14 5 4 3" xfId="36346"/>
    <cellStyle name="Total 14 5 4 4" xfId="36347"/>
    <cellStyle name="Total 14 5 5" xfId="22246"/>
    <cellStyle name="Total 14 5 5 2" xfId="22247"/>
    <cellStyle name="Total 14 5 5 3" xfId="36348"/>
    <cellStyle name="Total 14 5 5 4" xfId="36349"/>
    <cellStyle name="Total 14 5 6" xfId="22248"/>
    <cellStyle name="Total 14 5 6 2" xfId="22249"/>
    <cellStyle name="Total 14 5 6 3" xfId="36350"/>
    <cellStyle name="Total 14 5 6 4" xfId="36351"/>
    <cellStyle name="Total 14 5 7" xfId="22250"/>
    <cellStyle name="Total 14 5 7 2" xfId="22251"/>
    <cellStyle name="Total 14 5 7 3" xfId="36352"/>
    <cellStyle name="Total 14 5 7 4" xfId="36353"/>
    <cellStyle name="Total 14 5 8" xfId="22252"/>
    <cellStyle name="Total 14 5 9" xfId="36354"/>
    <cellStyle name="Total 14 6" xfId="22253"/>
    <cellStyle name="Total 14 6 2" xfId="22254"/>
    <cellStyle name="Total 14 6 3" xfId="36355"/>
    <cellStyle name="Total 14 6 4" xfId="36356"/>
    <cellStyle name="Total 14 7" xfId="22255"/>
    <cellStyle name="Total 14 7 2" xfId="22256"/>
    <cellStyle name="Total 14 7 3" xfId="36357"/>
    <cellStyle name="Total 14 7 4" xfId="36358"/>
    <cellStyle name="Total 14 8" xfId="22257"/>
    <cellStyle name="Total 14 8 2" xfId="22258"/>
    <cellStyle name="Total 14 8 3" xfId="36359"/>
    <cellStyle name="Total 14 8 4" xfId="36360"/>
    <cellStyle name="Total 14 9" xfId="22259"/>
    <cellStyle name="Total 14 9 2" xfId="22260"/>
    <cellStyle name="Total 14 9 3" xfId="36361"/>
    <cellStyle name="Total 14 9 4" xfId="36362"/>
    <cellStyle name="Total 15" xfId="22261"/>
    <cellStyle name="Total 15 10" xfId="22262"/>
    <cellStyle name="Total 15 10 2" xfId="22263"/>
    <cellStyle name="Total 15 10 3" xfId="36363"/>
    <cellStyle name="Total 15 10 4" xfId="36364"/>
    <cellStyle name="Total 15 11" xfId="22264"/>
    <cellStyle name="Total 15 11 2" xfId="22265"/>
    <cellStyle name="Total 15 11 3" xfId="36365"/>
    <cellStyle name="Total 15 11 4" xfId="36366"/>
    <cellStyle name="Total 15 12" xfId="22266"/>
    <cellStyle name="Total 15 13" xfId="36367"/>
    <cellStyle name="Total 15 14" xfId="36368"/>
    <cellStyle name="Total 15 2" xfId="22267"/>
    <cellStyle name="Total 15 2 10" xfId="36369"/>
    <cellStyle name="Total 15 2 2" xfId="22268"/>
    <cellStyle name="Total 15 2 2 2" xfId="22269"/>
    <cellStyle name="Total 15 2 2 3" xfId="36370"/>
    <cellStyle name="Total 15 2 2 4" xfId="36371"/>
    <cellStyle name="Total 15 2 3" xfId="22270"/>
    <cellStyle name="Total 15 2 3 2" xfId="22271"/>
    <cellStyle name="Total 15 2 3 3" xfId="36372"/>
    <cellStyle name="Total 15 2 3 4" xfId="36373"/>
    <cellStyle name="Total 15 2 4" xfId="22272"/>
    <cellStyle name="Total 15 2 4 2" xfId="22273"/>
    <cellStyle name="Total 15 2 4 3" xfId="36374"/>
    <cellStyle name="Total 15 2 4 4" xfId="36375"/>
    <cellStyle name="Total 15 2 5" xfId="22274"/>
    <cellStyle name="Total 15 2 5 2" xfId="22275"/>
    <cellStyle name="Total 15 2 5 3" xfId="36376"/>
    <cellStyle name="Total 15 2 5 4" xfId="36377"/>
    <cellStyle name="Total 15 2 6" xfId="22276"/>
    <cellStyle name="Total 15 2 6 2" xfId="22277"/>
    <cellStyle name="Total 15 2 6 3" xfId="36378"/>
    <cellStyle name="Total 15 2 6 4" xfId="36379"/>
    <cellStyle name="Total 15 2 7" xfId="22278"/>
    <cellStyle name="Total 15 2 7 2" xfId="22279"/>
    <cellStyle name="Total 15 2 7 3" xfId="36380"/>
    <cellStyle name="Total 15 2 7 4" xfId="36381"/>
    <cellStyle name="Total 15 2 8" xfId="22280"/>
    <cellStyle name="Total 15 2 9" xfId="36382"/>
    <cellStyle name="Total 15 3" xfId="22281"/>
    <cellStyle name="Total 15 3 10" xfId="36383"/>
    <cellStyle name="Total 15 3 2" xfId="22282"/>
    <cellStyle name="Total 15 3 2 2" xfId="22283"/>
    <cellStyle name="Total 15 3 2 3" xfId="36384"/>
    <cellStyle name="Total 15 3 2 4" xfId="36385"/>
    <cellStyle name="Total 15 3 3" xfId="22284"/>
    <cellStyle name="Total 15 3 3 2" xfId="22285"/>
    <cellStyle name="Total 15 3 3 3" xfId="36386"/>
    <cellStyle name="Total 15 3 3 4" xfId="36387"/>
    <cellStyle name="Total 15 3 4" xfId="22286"/>
    <cellStyle name="Total 15 3 4 2" xfId="22287"/>
    <cellStyle name="Total 15 3 4 3" xfId="36388"/>
    <cellStyle name="Total 15 3 4 4" xfId="36389"/>
    <cellStyle name="Total 15 3 5" xfId="22288"/>
    <cellStyle name="Total 15 3 5 2" xfId="22289"/>
    <cellStyle name="Total 15 3 5 3" xfId="36390"/>
    <cellStyle name="Total 15 3 5 4" xfId="36391"/>
    <cellStyle name="Total 15 3 6" xfId="22290"/>
    <cellStyle name="Total 15 3 6 2" xfId="22291"/>
    <cellStyle name="Total 15 3 6 3" xfId="36392"/>
    <cellStyle name="Total 15 3 6 4" xfId="36393"/>
    <cellStyle name="Total 15 3 7" xfId="22292"/>
    <cellStyle name="Total 15 3 7 2" xfId="22293"/>
    <cellStyle name="Total 15 3 7 3" xfId="36394"/>
    <cellStyle name="Total 15 3 7 4" xfId="36395"/>
    <cellStyle name="Total 15 3 8" xfId="22294"/>
    <cellStyle name="Total 15 3 9" xfId="36396"/>
    <cellStyle name="Total 15 4" xfId="22295"/>
    <cellStyle name="Total 15 4 10" xfId="36397"/>
    <cellStyle name="Total 15 4 2" xfId="22296"/>
    <cellStyle name="Total 15 4 2 2" xfId="22297"/>
    <cellStyle name="Total 15 4 2 3" xfId="36398"/>
    <cellStyle name="Total 15 4 2 4" xfId="36399"/>
    <cellStyle name="Total 15 4 3" xfId="22298"/>
    <cellStyle name="Total 15 4 3 2" xfId="22299"/>
    <cellStyle name="Total 15 4 3 3" xfId="36400"/>
    <cellStyle name="Total 15 4 3 4" xfId="36401"/>
    <cellStyle name="Total 15 4 4" xfId="22300"/>
    <cellStyle name="Total 15 4 4 2" xfId="22301"/>
    <cellStyle name="Total 15 4 4 3" xfId="36402"/>
    <cellStyle name="Total 15 4 4 4" xfId="36403"/>
    <cellStyle name="Total 15 4 5" xfId="22302"/>
    <cellStyle name="Total 15 4 5 2" xfId="22303"/>
    <cellStyle name="Total 15 4 5 3" xfId="36404"/>
    <cellStyle name="Total 15 4 5 4" xfId="36405"/>
    <cellStyle name="Total 15 4 6" xfId="22304"/>
    <cellStyle name="Total 15 4 6 2" xfId="22305"/>
    <cellStyle name="Total 15 4 6 3" xfId="36406"/>
    <cellStyle name="Total 15 4 6 4" xfId="36407"/>
    <cellStyle name="Total 15 4 7" xfId="22306"/>
    <cellStyle name="Total 15 4 7 2" xfId="22307"/>
    <cellStyle name="Total 15 4 7 3" xfId="36408"/>
    <cellStyle name="Total 15 4 7 4" xfId="36409"/>
    <cellStyle name="Total 15 4 8" xfId="22308"/>
    <cellStyle name="Total 15 4 9" xfId="36410"/>
    <cellStyle name="Total 15 5" xfId="22309"/>
    <cellStyle name="Total 15 5 10" xfId="36411"/>
    <cellStyle name="Total 15 5 2" xfId="22310"/>
    <cellStyle name="Total 15 5 2 2" xfId="22311"/>
    <cellStyle name="Total 15 5 2 3" xfId="36412"/>
    <cellStyle name="Total 15 5 2 4" xfId="36413"/>
    <cellStyle name="Total 15 5 3" xfId="22312"/>
    <cellStyle name="Total 15 5 3 2" xfId="22313"/>
    <cellStyle name="Total 15 5 3 3" xfId="36414"/>
    <cellStyle name="Total 15 5 3 4" xfId="36415"/>
    <cellStyle name="Total 15 5 4" xfId="22314"/>
    <cellStyle name="Total 15 5 4 2" xfId="22315"/>
    <cellStyle name="Total 15 5 4 3" xfId="36416"/>
    <cellStyle name="Total 15 5 4 4" xfId="36417"/>
    <cellStyle name="Total 15 5 5" xfId="22316"/>
    <cellStyle name="Total 15 5 5 2" xfId="22317"/>
    <cellStyle name="Total 15 5 5 3" xfId="36418"/>
    <cellStyle name="Total 15 5 5 4" xfId="36419"/>
    <cellStyle name="Total 15 5 6" xfId="22318"/>
    <cellStyle name="Total 15 5 6 2" xfId="22319"/>
    <cellStyle name="Total 15 5 6 3" xfId="36420"/>
    <cellStyle name="Total 15 5 6 4" xfId="36421"/>
    <cellStyle name="Total 15 5 7" xfId="22320"/>
    <cellStyle name="Total 15 5 7 2" xfId="22321"/>
    <cellStyle name="Total 15 5 7 3" xfId="36422"/>
    <cellStyle name="Total 15 5 7 4" xfId="36423"/>
    <cellStyle name="Total 15 5 8" xfId="22322"/>
    <cellStyle name="Total 15 5 9" xfId="36424"/>
    <cellStyle name="Total 15 6" xfId="22323"/>
    <cellStyle name="Total 15 6 2" xfId="22324"/>
    <cellStyle name="Total 15 6 3" xfId="36425"/>
    <cellStyle name="Total 15 6 4" xfId="36426"/>
    <cellStyle name="Total 15 7" xfId="22325"/>
    <cellStyle name="Total 15 7 2" xfId="22326"/>
    <cellStyle name="Total 15 7 3" xfId="36427"/>
    <cellStyle name="Total 15 7 4" xfId="36428"/>
    <cellStyle name="Total 15 8" xfId="22327"/>
    <cellStyle name="Total 15 8 2" xfId="22328"/>
    <cellStyle name="Total 15 8 3" xfId="36429"/>
    <cellStyle name="Total 15 8 4" xfId="36430"/>
    <cellStyle name="Total 15 9" xfId="22329"/>
    <cellStyle name="Total 15 9 2" xfId="22330"/>
    <cellStyle name="Total 15 9 3" xfId="36431"/>
    <cellStyle name="Total 15 9 4" xfId="36432"/>
    <cellStyle name="Total 16" xfId="22331"/>
    <cellStyle name="Total 16 10" xfId="22332"/>
    <cellStyle name="Total 16 10 2" xfId="22333"/>
    <cellStyle name="Total 16 10 3" xfId="36433"/>
    <cellStyle name="Total 16 10 4" xfId="36434"/>
    <cellStyle name="Total 16 11" xfId="22334"/>
    <cellStyle name="Total 16 11 2" xfId="22335"/>
    <cellStyle name="Total 16 11 3" xfId="36435"/>
    <cellStyle name="Total 16 11 4" xfId="36436"/>
    <cellStyle name="Total 16 12" xfId="22336"/>
    <cellStyle name="Total 16 13" xfId="36437"/>
    <cellStyle name="Total 16 14" xfId="36438"/>
    <cellStyle name="Total 16 2" xfId="22337"/>
    <cellStyle name="Total 16 2 10" xfId="36439"/>
    <cellStyle name="Total 16 2 2" xfId="22338"/>
    <cellStyle name="Total 16 2 2 2" xfId="22339"/>
    <cellStyle name="Total 16 2 2 3" xfId="36440"/>
    <cellStyle name="Total 16 2 2 4" xfId="36441"/>
    <cellStyle name="Total 16 2 3" xfId="22340"/>
    <cellStyle name="Total 16 2 3 2" xfId="22341"/>
    <cellStyle name="Total 16 2 3 3" xfId="36442"/>
    <cellStyle name="Total 16 2 3 4" xfId="36443"/>
    <cellStyle name="Total 16 2 4" xfId="22342"/>
    <cellStyle name="Total 16 2 4 2" xfId="22343"/>
    <cellStyle name="Total 16 2 4 3" xfId="36444"/>
    <cellStyle name="Total 16 2 4 4" xfId="36445"/>
    <cellStyle name="Total 16 2 5" xfId="22344"/>
    <cellStyle name="Total 16 2 5 2" xfId="22345"/>
    <cellStyle name="Total 16 2 5 3" xfId="36446"/>
    <cellStyle name="Total 16 2 5 4" xfId="36447"/>
    <cellStyle name="Total 16 2 6" xfId="22346"/>
    <cellStyle name="Total 16 2 6 2" xfId="22347"/>
    <cellStyle name="Total 16 2 6 3" xfId="36448"/>
    <cellStyle name="Total 16 2 6 4" xfId="36449"/>
    <cellStyle name="Total 16 2 7" xfId="22348"/>
    <cellStyle name="Total 16 2 7 2" xfId="22349"/>
    <cellStyle name="Total 16 2 7 3" xfId="36450"/>
    <cellStyle name="Total 16 2 7 4" xfId="36451"/>
    <cellStyle name="Total 16 2 8" xfId="22350"/>
    <cellStyle name="Total 16 2 9" xfId="36452"/>
    <cellStyle name="Total 16 3" xfId="22351"/>
    <cellStyle name="Total 16 3 10" xfId="36453"/>
    <cellStyle name="Total 16 3 2" xfId="22352"/>
    <cellStyle name="Total 16 3 2 2" xfId="22353"/>
    <cellStyle name="Total 16 3 2 3" xfId="36454"/>
    <cellStyle name="Total 16 3 2 4" xfId="36455"/>
    <cellStyle name="Total 16 3 3" xfId="22354"/>
    <cellStyle name="Total 16 3 3 2" xfId="22355"/>
    <cellStyle name="Total 16 3 3 3" xfId="36456"/>
    <cellStyle name="Total 16 3 3 4" xfId="36457"/>
    <cellStyle name="Total 16 3 4" xfId="22356"/>
    <cellStyle name="Total 16 3 4 2" xfId="22357"/>
    <cellStyle name="Total 16 3 4 3" xfId="36458"/>
    <cellStyle name="Total 16 3 4 4" xfId="36459"/>
    <cellStyle name="Total 16 3 5" xfId="22358"/>
    <cellStyle name="Total 16 3 5 2" xfId="22359"/>
    <cellStyle name="Total 16 3 5 3" xfId="36460"/>
    <cellStyle name="Total 16 3 5 4" xfId="36461"/>
    <cellStyle name="Total 16 3 6" xfId="22360"/>
    <cellStyle name="Total 16 3 6 2" xfId="22361"/>
    <cellStyle name="Total 16 3 6 3" xfId="36462"/>
    <cellStyle name="Total 16 3 6 4" xfId="36463"/>
    <cellStyle name="Total 16 3 7" xfId="22362"/>
    <cellStyle name="Total 16 3 7 2" xfId="22363"/>
    <cellStyle name="Total 16 3 7 3" xfId="36464"/>
    <cellStyle name="Total 16 3 7 4" xfId="36465"/>
    <cellStyle name="Total 16 3 8" xfId="22364"/>
    <cellStyle name="Total 16 3 9" xfId="36466"/>
    <cellStyle name="Total 16 4" xfId="22365"/>
    <cellStyle name="Total 16 4 10" xfId="36467"/>
    <cellStyle name="Total 16 4 2" xfId="22366"/>
    <cellStyle name="Total 16 4 2 2" xfId="22367"/>
    <cellStyle name="Total 16 4 2 3" xfId="36468"/>
    <cellStyle name="Total 16 4 2 4" xfId="36469"/>
    <cellStyle name="Total 16 4 3" xfId="22368"/>
    <cellStyle name="Total 16 4 3 2" xfId="22369"/>
    <cellStyle name="Total 16 4 3 3" xfId="36470"/>
    <cellStyle name="Total 16 4 3 4" xfId="36471"/>
    <cellStyle name="Total 16 4 4" xfId="22370"/>
    <cellStyle name="Total 16 4 4 2" xfId="22371"/>
    <cellStyle name="Total 16 4 4 3" xfId="36472"/>
    <cellStyle name="Total 16 4 4 4" xfId="36473"/>
    <cellStyle name="Total 16 4 5" xfId="22372"/>
    <cellStyle name="Total 16 4 5 2" xfId="22373"/>
    <cellStyle name="Total 16 4 5 3" xfId="36474"/>
    <cellStyle name="Total 16 4 5 4" xfId="36475"/>
    <cellStyle name="Total 16 4 6" xfId="22374"/>
    <cellStyle name="Total 16 4 6 2" xfId="22375"/>
    <cellStyle name="Total 16 4 6 3" xfId="36476"/>
    <cellStyle name="Total 16 4 6 4" xfId="36477"/>
    <cellStyle name="Total 16 4 7" xfId="22376"/>
    <cellStyle name="Total 16 4 7 2" xfId="22377"/>
    <cellStyle name="Total 16 4 7 3" xfId="36478"/>
    <cellStyle name="Total 16 4 7 4" xfId="36479"/>
    <cellStyle name="Total 16 4 8" xfId="22378"/>
    <cellStyle name="Total 16 4 9" xfId="36480"/>
    <cellStyle name="Total 16 5" xfId="22379"/>
    <cellStyle name="Total 16 5 10" xfId="36481"/>
    <cellStyle name="Total 16 5 2" xfId="22380"/>
    <cellStyle name="Total 16 5 2 2" xfId="22381"/>
    <cellStyle name="Total 16 5 2 3" xfId="36482"/>
    <cellStyle name="Total 16 5 2 4" xfId="36483"/>
    <cellStyle name="Total 16 5 3" xfId="22382"/>
    <cellStyle name="Total 16 5 3 2" xfId="22383"/>
    <cellStyle name="Total 16 5 3 3" xfId="36484"/>
    <cellStyle name="Total 16 5 3 4" xfId="36485"/>
    <cellStyle name="Total 16 5 4" xfId="22384"/>
    <cellStyle name="Total 16 5 4 2" xfId="22385"/>
    <cellStyle name="Total 16 5 4 3" xfId="36486"/>
    <cellStyle name="Total 16 5 4 4" xfId="36487"/>
    <cellStyle name="Total 16 5 5" xfId="22386"/>
    <cellStyle name="Total 16 5 5 2" xfId="22387"/>
    <cellStyle name="Total 16 5 5 3" xfId="36488"/>
    <cellStyle name="Total 16 5 5 4" xfId="36489"/>
    <cellStyle name="Total 16 5 6" xfId="22388"/>
    <cellStyle name="Total 16 5 6 2" xfId="22389"/>
    <cellStyle name="Total 16 5 6 3" xfId="36490"/>
    <cellStyle name="Total 16 5 6 4" xfId="36491"/>
    <cellStyle name="Total 16 5 7" xfId="22390"/>
    <cellStyle name="Total 16 5 7 2" xfId="22391"/>
    <cellStyle name="Total 16 5 7 3" xfId="36492"/>
    <cellStyle name="Total 16 5 7 4" xfId="36493"/>
    <cellStyle name="Total 16 5 8" xfId="22392"/>
    <cellStyle name="Total 16 5 9" xfId="36494"/>
    <cellStyle name="Total 16 6" xfId="22393"/>
    <cellStyle name="Total 16 6 2" xfId="22394"/>
    <cellStyle name="Total 16 6 3" xfId="36495"/>
    <cellStyle name="Total 16 6 4" xfId="36496"/>
    <cellStyle name="Total 16 7" xfId="22395"/>
    <cellStyle name="Total 16 7 2" xfId="22396"/>
    <cellStyle name="Total 16 7 3" xfId="36497"/>
    <cellStyle name="Total 16 7 4" xfId="36498"/>
    <cellStyle name="Total 16 8" xfId="22397"/>
    <cellStyle name="Total 16 8 2" xfId="22398"/>
    <cellStyle name="Total 16 8 3" xfId="36499"/>
    <cellStyle name="Total 16 8 4" xfId="36500"/>
    <cellStyle name="Total 16 9" xfId="22399"/>
    <cellStyle name="Total 16 9 2" xfId="22400"/>
    <cellStyle name="Total 16 9 3" xfId="36501"/>
    <cellStyle name="Total 16 9 4" xfId="36502"/>
    <cellStyle name="Total 17" xfId="22401"/>
    <cellStyle name="Total 17 10" xfId="22402"/>
    <cellStyle name="Total 17 10 2" xfId="22403"/>
    <cellStyle name="Total 17 10 3" xfId="36503"/>
    <cellStyle name="Total 17 10 4" xfId="36504"/>
    <cellStyle name="Total 17 11" xfId="22404"/>
    <cellStyle name="Total 17 11 2" xfId="22405"/>
    <cellStyle name="Total 17 11 3" xfId="36505"/>
    <cellStyle name="Total 17 11 4" xfId="36506"/>
    <cellStyle name="Total 17 12" xfId="22406"/>
    <cellStyle name="Total 17 13" xfId="36507"/>
    <cellStyle name="Total 17 14" xfId="36508"/>
    <cellStyle name="Total 17 2" xfId="22407"/>
    <cellStyle name="Total 17 2 10" xfId="36509"/>
    <cellStyle name="Total 17 2 2" xfId="22408"/>
    <cellStyle name="Total 17 2 2 2" xfId="22409"/>
    <cellStyle name="Total 17 2 2 3" xfId="36510"/>
    <cellStyle name="Total 17 2 2 4" xfId="36511"/>
    <cellStyle name="Total 17 2 3" xfId="22410"/>
    <cellStyle name="Total 17 2 3 2" xfId="22411"/>
    <cellStyle name="Total 17 2 3 3" xfId="36512"/>
    <cellStyle name="Total 17 2 3 4" xfId="36513"/>
    <cellStyle name="Total 17 2 4" xfId="22412"/>
    <cellStyle name="Total 17 2 4 2" xfId="22413"/>
    <cellStyle name="Total 17 2 4 3" xfId="36514"/>
    <cellStyle name="Total 17 2 4 4" xfId="36515"/>
    <cellStyle name="Total 17 2 5" xfId="22414"/>
    <cellStyle name="Total 17 2 5 2" xfId="22415"/>
    <cellStyle name="Total 17 2 5 3" xfId="36516"/>
    <cellStyle name="Total 17 2 5 4" xfId="36517"/>
    <cellStyle name="Total 17 2 6" xfId="22416"/>
    <cellStyle name="Total 17 2 6 2" xfId="22417"/>
    <cellStyle name="Total 17 2 6 3" xfId="36518"/>
    <cellStyle name="Total 17 2 6 4" xfId="36519"/>
    <cellStyle name="Total 17 2 7" xfId="22418"/>
    <cellStyle name="Total 17 2 7 2" xfId="22419"/>
    <cellStyle name="Total 17 2 7 3" xfId="36520"/>
    <cellStyle name="Total 17 2 7 4" xfId="36521"/>
    <cellStyle name="Total 17 2 8" xfId="22420"/>
    <cellStyle name="Total 17 2 9" xfId="36522"/>
    <cellStyle name="Total 17 3" xfId="22421"/>
    <cellStyle name="Total 17 3 10" xfId="36523"/>
    <cellStyle name="Total 17 3 2" xfId="22422"/>
    <cellStyle name="Total 17 3 2 2" xfId="22423"/>
    <cellStyle name="Total 17 3 2 3" xfId="36524"/>
    <cellStyle name="Total 17 3 2 4" xfId="36525"/>
    <cellStyle name="Total 17 3 3" xfId="22424"/>
    <cellStyle name="Total 17 3 3 2" xfId="22425"/>
    <cellStyle name="Total 17 3 3 3" xfId="36526"/>
    <cellStyle name="Total 17 3 3 4" xfId="36527"/>
    <cellStyle name="Total 17 3 4" xfId="22426"/>
    <cellStyle name="Total 17 3 4 2" xfId="22427"/>
    <cellStyle name="Total 17 3 4 3" xfId="36528"/>
    <cellStyle name="Total 17 3 4 4" xfId="36529"/>
    <cellStyle name="Total 17 3 5" xfId="22428"/>
    <cellStyle name="Total 17 3 5 2" xfId="22429"/>
    <cellStyle name="Total 17 3 5 3" xfId="36530"/>
    <cellStyle name="Total 17 3 5 4" xfId="36531"/>
    <cellStyle name="Total 17 3 6" xfId="22430"/>
    <cellStyle name="Total 17 3 6 2" xfId="22431"/>
    <cellStyle name="Total 17 3 6 3" xfId="36532"/>
    <cellStyle name="Total 17 3 6 4" xfId="36533"/>
    <cellStyle name="Total 17 3 7" xfId="22432"/>
    <cellStyle name="Total 17 3 7 2" xfId="22433"/>
    <cellStyle name="Total 17 3 7 3" xfId="36534"/>
    <cellStyle name="Total 17 3 7 4" xfId="36535"/>
    <cellStyle name="Total 17 3 8" xfId="22434"/>
    <cellStyle name="Total 17 3 9" xfId="36536"/>
    <cellStyle name="Total 17 4" xfId="22435"/>
    <cellStyle name="Total 17 4 10" xfId="36537"/>
    <cellStyle name="Total 17 4 2" xfId="22436"/>
    <cellStyle name="Total 17 4 2 2" xfId="22437"/>
    <cellStyle name="Total 17 4 2 3" xfId="36538"/>
    <cellStyle name="Total 17 4 2 4" xfId="36539"/>
    <cellStyle name="Total 17 4 3" xfId="22438"/>
    <cellStyle name="Total 17 4 3 2" xfId="22439"/>
    <cellStyle name="Total 17 4 3 3" xfId="36540"/>
    <cellStyle name="Total 17 4 3 4" xfId="36541"/>
    <cellStyle name="Total 17 4 4" xfId="22440"/>
    <cellStyle name="Total 17 4 4 2" xfId="22441"/>
    <cellStyle name="Total 17 4 4 3" xfId="36542"/>
    <cellStyle name="Total 17 4 4 4" xfId="36543"/>
    <cellStyle name="Total 17 4 5" xfId="22442"/>
    <cellStyle name="Total 17 4 5 2" xfId="22443"/>
    <cellStyle name="Total 17 4 5 3" xfId="36544"/>
    <cellStyle name="Total 17 4 5 4" xfId="36545"/>
    <cellStyle name="Total 17 4 6" xfId="22444"/>
    <cellStyle name="Total 17 4 6 2" xfId="22445"/>
    <cellStyle name="Total 17 4 6 3" xfId="36546"/>
    <cellStyle name="Total 17 4 6 4" xfId="36547"/>
    <cellStyle name="Total 17 4 7" xfId="22446"/>
    <cellStyle name="Total 17 4 7 2" xfId="22447"/>
    <cellStyle name="Total 17 4 7 3" xfId="36548"/>
    <cellStyle name="Total 17 4 7 4" xfId="36549"/>
    <cellStyle name="Total 17 4 8" xfId="22448"/>
    <cellStyle name="Total 17 4 9" xfId="36550"/>
    <cellStyle name="Total 17 5" xfId="22449"/>
    <cellStyle name="Total 17 5 10" xfId="36551"/>
    <cellStyle name="Total 17 5 2" xfId="22450"/>
    <cellStyle name="Total 17 5 2 2" xfId="22451"/>
    <cellStyle name="Total 17 5 2 3" xfId="36552"/>
    <cellStyle name="Total 17 5 2 4" xfId="36553"/>
    <cellStyle name="Total 17 5 3" xfId="22452"/>
    <cellStyle name="Total 17 5 3 2" xfId="22453"/>
    <cellStyle name="Total 17 5 3 3" xfId="36554"/>
    <cellStyle name="Total 17 5 3 4" xfId="36555"/>
    <cellStyle name="Total 17 5 4" xfId="22454"/>
    <cellStyle name="Total 17 5 4 2" xfId="22455"/>
    <cellStyle name="Total 17 5 4 3" xfId="36556"/>
    <cellStyle name="Total 17 5 4 4" xfId="36557"/>
    <cellStyle name="Total 17 5 5" xfId="22456"/>
    <cellStyle name="Total 17 5 5 2" xfId="22457"/>
    <cellStyle name="Total 17 5 5 3" xfId="36558"/>
    <cellStyle name="Total 17 5 5 4" xfId="36559"/>
    <cellStyle name="Total 17 5 6" xfId="22458"/>
    <cellStyle name="Total 17 5 6 2" xfId="22459"/>
    <cellStyle name="Total 17 5 6 3" xfId="36560"/>
    <cellStyle name="Total 17 5 6 4" xfId="36561"/>
    <cellStyle name="Total 17 5 7" xfId="22460"/>
    <cellStyle name="Total 17 5 7 2" xfId="22461"/>
    <cellStyle name="Total 17 5 7 3" xfId="36562"/>
    <cellStyle name="Total 17 5 7 4" xfId="36563"/>
    <cellStyle name="Total 17 5 8" xfId="22462"/>
    <cellStyle name="Total 17 5 9" xfId="36564"/>
    <cellStyle name="Total 17 6" xfId="22463"/>
    <cellStyle name="Total 17 6 2" xfId="22464"/>
    <cellStyle name="Total 17 6 3" xfId="36565"/>
    <cellStyle name="Total 17 6 4" xfId="36566"/>
    <cellStyle name="Total 17 7" xfId="22465"/>
    <cellStyle name="Total 17 7 2" xfId="22466"/>
    <cellStyle name="Total 17 7 3" xfId="36567"/>
    <cellStyle name="Total 17 7 4" xfId="36568"/>
    <cellStyle name="Total 17 8" xfId="22467"/>
    <cellStyle name="Total 17 8 2" xfId="22468"/>
    <cellStyle name="Total 17 8 3" xfId="36569"/>
    <cellStyle name="Total 17 8 4" xfId="36570"/>
    <cellStyle name="Total 17 9" xfId="22469"/>
    <cellStyle name="Total 17 9 2" xfId="22470"/>
    <cellStyle name="Total 17 9 3" xfId="36571"/>
    <cellStyle name="Total 17 9 4" xfId="36572"/>
    <cellStyle name="Total 18" xfId="22471"/>
    <cellStyle name="Total 18 10" xfId="22472"/>
    <cellStyle name="Total 18 10 2" xfId="22473"/>
    <cellStyle name="Total 18 10 3" xfId="36573"/>
    <cellStyle name="Total 18 10 4" xfId="36574"/>
    <cellStyle name="Total 18 11" xfId="22474"/>
    <cellStyle name="Total 18 11 2" xfId="22475"/>
    <cellStyle name="Total 18 11 3" xfId="36575"/>
    <cellStyle name="Total 18 11 4" xfId="36576"/>
    <cellStyle name="Total 18 12" xfId="22476"/>
    <cellStyle name="Total 18 13" xfId="36577"/>
    <cellStyle name="Total 18 14" xfId="36578"/>
    <cellStyle name="Total 18 2" xfId="22477"/>
    <cellStyle name="Total 18 2 10" xfId="36579"/>
    <cellStyle name="Total 18 2 2" xfId="22478"/>
    <cellStyle name="Total 18 2 2 2" xfId="22479"/>
    <cellStyle name="Total 18 2 2 3" xfId="36580"/>
    <cellStyle name="Total 18 2 2 4" xfId="36581"/>
    <cellStyle name="Total 18 2 3" xfId="22480"/>
    <cellStyle name="Total 18 2 3 2" xfId="22481"/>
    <cellStyle name="Total 18 2 3 3" xfId="36582"/>
    <cellStyle name="Total 18 2 3 4" xfId="36583"/>
    <cellStyle name="Total 18 2 4" xfId="22482"/>
    <cellStyle name="Total 18 2 4 2" xfId="22483"/>
    <cellStyle name="Total 18 2 4 3" xfId="36584"/>
    <cellStyle name="Total 18 2 4 4" xfId="36585"/>
    <cellStyle name="Total 18 2 5" xfId="22484"/>
    <cellStyle name="Total 18 2 5 2" xfId="22485"/>
    <cellStyle name="Total 18 2 5 3" xfId="36586"/>
    <cellStyle name="Total 18 2 5 4" xfId="36587"/>
    <cellStyle name="Total 18 2 6" xfId="22486"/>
    <cellStyle name="Total 18 2 6 2" xfId="22487"/>
    <cellStyle name="Total 18 2 6 3" xfId="36588"/>
    <cellStyle name="Total 18 2 6 4" xfId="36589"/>
    <cellStyle name="Total 18 2 7" xfId="22488"/>
    <cellStyle name="Total 18 2 7 2" xfId="22489"/>
    <cellStyle name="Total 18 2 7 3" xfId="36590"/>
    <cellStyle name="Total 18 2 7 4" xfId="36591"/>
    <cellStyle name="Total 18 2 8" xfId="22490"/>
    <cellStyle name="Total 18 2 9" xfId="36592"/>
    <cellStyle name="Total 18 3" xfId="22491"/>
    <cellStyle name="Total 18 3 10" xfId="36593"/>
    <cellStyle name="Total 18 3 2" xfId="22492"/>
    <cellStyle name="Total 18 3 2 2" xfId="22493"/>
    <cellStyle name="Total 18 3 2 3" xfId="36594"/>
    <cellStyle name="Total 18 3 2 4" xfId="36595"/>
    <cellStyle name="Total 18 3 3" xfId="22494"/>
    <cellStyle name="Total 18 3 3 2" xfId="22495"/>
    <cellStyle name="Total 18 3 3 3" xfId="36596"/>
    <cellStyle name="Total 18 3 3 4" xfId="36597"/>
    <cellStyle name="Total 18 3 4" xfId="22496"/>
    <cellStyle name="Total 18 3 4 2" xfId="22497"/>
    <cellStyle name="Total 18 3 4 3" xfId="36598"/>
    <cellStyle name="Total 18 3 4 4" xfId="36599"/>
    <cellStyle name="Total 18 3 5" xfId="22498"/>
    <cellStyle name="Total 18 3 5 2" xfId="22499"/>
    <cellStyle name="Total 18 3 5 3" xfId="36600"/>
    <cellStyle name="Total 18 3 5 4" xfId="36601"/>
    <cellStyle name="Total 18 3 6" xfId="22500"/>
    <cellStyle name="Total 18 3 6 2" xfId="22501"/>
    <cellStyle name="Total 18 3 6 3" xfId="36602"/>
    <cellStyle name="Total 18 3 6 4" xfId="36603"/>
    <cellStyle name="Total 18 3 7" xfId="22502"/>
    <cellStyle name="Total 18 3 7 2" xfId="22503"/>
    <cellStyle name="Total 18 3 7 3" xfId="36604"/>
    <cellStyle name="Total 18 3 7 4" xfId="36605"/>
    <cellStyle name="Total 18 3 8" xfId="22504"/>
    <cellStyle name="Total 18 3 9" xfId="36606"/>
    <cellStyle name="Total 18 4" xfId="22505"/>
    <cellStyle name="Total 18 4 10" xfId="36607"/>
    <cellStyle name="Total 18 4 2" xfId="22506"/>
    <cellStyle name="Total 18 4 2 2" xfId="22507"/>
    <cellStyle name="Total 18 4 2 3" xfId="36608"/>
    <cellStyle name="Total 18 4 2 4" xfId="36609"/>
    <cellStyle name="Total 18 4 3" xfId="22508"/>
    <cellStyle name="Total 18 4 3 2" xfId="22509"/>
    <cellStyle name="Total 18 4 3 3" xfId="36610"/>
    <cellStyle name="Total 18 4 3 4" xfId="36611"/>
    <cellStyle name="Total 18 4 4" xfId="22510"/>
    <cellStyle name="Total 18 4 4 2" xfId="22511"/>
    <cellStyle name="Total 18 4 4 3" xfId="36612"/>
    <cellStyle name="Total 18 4 4 4" xfId="36613"/>
    <cellStyle name="Total 18 4 5" xfId="22512"/>
    <cellStyle name="Total 18 4 5 2" xfId="22513"/>
    <cellStyle name="Total 18 4 5 3" xfId="36614"/>
    <cellStyle name="Total 18 4 5 4" xfId="36615"/>
    <cellStyle name="Total 18 4 6" xfId="22514"/>
    <cellStyle name="Total 18 4 6 2" xfId="22515"/>
    <cellStyle name="Total 18 4 6 3" xfId="36616"/>
    <cellStyle name="Total 18 4 6 4" xfId="36617"/>
    <cellStyle name="Total 18 4 7" xfId="22516"/>
    <cellStyle name="Total 18 4 7 2" xfId="22517"/>
    <cellStyle name="Total 18 4 7 3" xfId="36618"/>
    <cellStyle name="Total 18 4 7 4" xfId="36619"/>
    <cellStyle name="Total 18 4 8" xfId="22518"/>
    <cellStyle name="Total 18 4 9" xfId="36620"/>
    <cellStyle name="Total 18 5" xfId="22519"/>
    <cellStyle name="Total 18 5 10" xfId="36621"/>
    <cellStyle name="Total 18 5 2" xfId="22520"/>
    <cellStyle name="Total 18 5 2 2" xfId="22521"/>
    <cellStyle name="Total 18 5 2 3" xfId="36622"/>
    <cellStyle name="Total 18 5 2 4" xfId="36623"/>
    <cellStyle name="Total 18 5 3" xfId="22522"/>
    <cellStyle name="Total 18 5 3 2" xfId="22523"/>
    <cellStyle name="Total 18 5 3 3" xfId="36624"/>
    <cellStyle name="Total 18 5 3 4" xfId="36625"/>
    <cellStyle name="Total 18 5 4" xfId="22524"/>
    <cellStyle name="Total 18 5 4 2" xfId="22525"/>
    <cellStyle name="Total 18 5 4 3" xfId="36626"/>
    <cellStyle name="Total 18 5 4 4" xfId="36627"/>
    <cellStyle name="Total 18 5 5" xfId="22526"/>
    <cellStyle name="Total 18 5 5 2" xfId="22527"/>
    <cellStyle name="Total 18 5 5 3" xfId="36628"/>
    <cellStyle name="Total 18 5 5 4" xfId="36629"/>
    <cellStyle name="Total 18 5 6" xfId="22528"/>
    <cellStyle name="Total 18 5 6 2" xfId="22529"/>
    <cellStyle name="Total 18 5 6 3" xfId="36630"/>
    <cellStyle name="Total 18 5 6 4" xfId="36631"/>
    <cellStyle name="Total 18 5 7" xfId="22530"/>
    <cellStyle name="Total 18 5 7 2" xfId="22531"/>
    <cellStyle name="Total 18 5 7 3" xfId="36632"/>
    <cellStyle name="Total 18 5 7 4" xfId="36633"/>
    <cellStyle name="Total 18 5 8" xfId="22532"/>
    <cellStyle name="Total 18 5 9" xfId="36634"/>
    <cellStyle name="Total 18 6" xfId="22533"/>
    <cellStyle name="Total 18 6 2" xfId="22534"/>
    <cellStyle name="Total 18 6 3" xfId="36635"/>
    <cellStyle name="Total 18 6 4" xfId="36636"/>
    <cellStyle name="Total 18 7" xfId="22535"/>
    <cellStyle name="Total 18 7 2" xfId="22536"/>
    <cellStyle name="Total 18 7 3" xfId="36637"/>
    <cellStyle name="Total 18 7 4" xfId="36638"/>
    <cellStyle name="Total 18 8" xfId="22537"/>
    <cellStyle name="Total 18 8 2" xfId="22538"/>
    <cellStyle name="Total 18 8 3" xfId="36639"/>
    <cellStyle name="Total 18 8 4" xfId="36640"/>
    <cellStyle name="Total 18 9" xfId="22539"/>
    <cellStyle name="Total 18 9 2" xfId="22540"/>
    <cellStyle name="Total 18 9 3" xfId="36641"/>
    <cellStyle name="Total 18 9 4" xfId="36642"/>
    <cellStyle name="Total 19" xfId="22541"/>
    <cellStyle name="Total 19 10" xfId="22542"/>
    <cellStyle name="Total 19 10 2" xfId="22543"/>
    <cellStyle name="Total 19 10 3" xfId="36643"/>
    <cellStyle name="Total 19 10 4" xfId="36644"/>
    <cellStyle name="Total 19 11" xfId="22544"/>
    <cellStyle name="Total 19 11 2" xfId="22545"/>
    <cellStyle name="Total 19 11 3" xfId="36645"/>
    <cellStyle name="Total 19 11 4" xfId="36646"/>
    <cellStyle name="Total 19 12" xfId="22546"/>
    <cellStyle name="Total 19 13" xfId="36647"/>
    <cellStyle name="Total 19 14" xfId="36648"/>
    <cellStyle name="Total 19 2" xfId="22547"/>
    <cellStyle name="Total 19 2 10" xfId="36649"/>
    <cellStyle name="Total 19 2 2" xfId="22548"/>
    <cellStyle name="Total 19 2 2 2" xfId="22549"/>
    <cellStyle name="Total 19 2 2 3" xfId="36650"/>
    <cellStyle name="Total 19 2 2 4" xfId="36651"/>
    <cellStyle name="Total 19 2 3" xfId="22550"/>
    <cellStyle name="Total 19 2 3 2" xfId="22551"/>
    <cellStyle name="Total 19 2 3 3" xfId="36652"/>
    <cellStyle name="Total 19 2 3 4" xfId="36653"/>
    <cellStyle name="Total 19 2 4" xfId="22552"/>
    <cellStyle name="Total 19 2 4 2" xfId="22553"/>
    <cellStyle name="Total 19 2 4 3" xfId="36654"/>
    <cellStyle name="Total 19 2 4 4" xfId="36655"/>
    <cellStyle name="Total 19 2 5" xfId="22554"/>
    <cellStyle name="Total 19 2 5 2" xfId="22555"/>
    <cellStyle name="Total 19 2 5 3" xfId="36656"/>
    <cellStyle name="Total 19 2 5 4" xfId="36657"/>
    <cellStyle name="Total 19 2 6" xfId="22556"/>
    <cellStyle name="Total 19 2 6 2" xfId="22557"/>
    <cellStyle name="Total 19 2 6 3" xfId="36658"/>
    <cellStyle name="Total 19 2 6 4" xfId="36659"/>
    <cellStyle name="Total 19 2 7" xfId="22558"/>
    <cellStyle name="Total 19 2 7 2" xfId="22559"/>
    <cellStyle name="Total 19 2 7 3" xfId="36660"/>
    <cellStyle name="Total 19 2 7 4" xfId="36661"/>
    <cellStyle name="Total 19 2 8" xfId="22560"/>
    <cellStyle name="Total 19 2 9" xfId="36662"/>
    <cellStyle name="Total 19 3" xfId="22561"/>
    <cellStyle name="Total 19 3 10" xfId="36663"/>
    <cellStyle name="Total 19 3 2" xfId="22562"/>
    <cellStyle name="Total 19 3 2 2" xfId="22563"/>
    <cellStyle name="Total 19 3 2 3" xfId="36664"/>
    <cellStyle name="Total 19 3 2 4" xfId="36665"/>
    <cellStyle name="Total 19 3 3" xfId="22564"/>
    <cellStyle name="Total 19 3 3 2" xfId="22565"/>
    <cellStyle name="Total 19 3 3 3" xfId="36666"/>
    <cellStyle name="Total 19 3 3 4" xfId="36667"/>
    <cellStyle name="Total 19 3 4" xfId="22566"/>
    <cellStyle name="Total 19 3 4 2" xfId="22567"/>
    <cellStyle name="Total 19 3 4 3" xfId="36668"/>
    <cellStyle name="Total 19 3 4 4" xfId="36669"/>
    <cellStyle name="Total 19 3 5" xfId="22568"/>
    <cellStyle name="Total 19 3 5 2" xfId="22569"/>
    <cellStyle name="Total 19 3 5 3" xfId="36670"/>
    <cellStyle name="Total 19 3 5 4" xfId="36671"/>
    <cellStyle name="Total 19 3 6" xfId="22570"/>
    <cellStyle name="Total 19 3 6 2" xfId="22571"/>
    <cellStyle name="Total 19 3 6 3" xfId="36672"/>
    <cellStyle name="Total 19 3 6 4" xfId="36673"/>
    <cellStyle name="Total 19 3 7" xfId="22572"/>
    <cellStyle name="Total 19 3 7 2" xfId="22573"/>
    <cellStyle name="Total 19 3 7 3" xfId="36674"/>
    <cellStyle name="Total 19 3 7 4" xfId="36675"/>
    <cellStyle name="Total 19 3 8" xfId="22574"/>
    <cellStyle name="Total 19 3 9" xfId="36676"/>
    <cellStyle name="Total 19 4" xfId="22575"/>
    <cellStyle name="Total 19 4 10" xfId="36677"/>
    <cellStyle name="Total 19 4 2" xfId="22576"/>
    <cellStyle name="Total 19 4 2 2" xfId="22577"/>
    <cellStyle name="Total 19 4 2 3" xfId="36678"/>
    <cellStyle name="Total 19 4 2 4" xfId="36679"/>
    <cellStyle name="Total 19 4 3" xfId="22578"/>
    <cellStyle name="Total 19 4 3 2" xfId="22579"/>
    <cellStyle name="Total 19 4 3 3" xfId="36680"/>
    <cellStyle name="Total 19 4 3 4" xfId="36681"/>
    <cellStyle name="Total 19 4 4" xfId="22580"/>
    <cellStyle name="Total 19 4 4 2" xfId="22581"/>
    <cellStyle name="Total 19 4 4 3" xfId="36682"/>
    <cellStyle name="Total 19 4 4 4" xfId="36683"/>
    <cellStyle name="Total 19 4 5" xfId="22582"/>
    <cellStyle name="Total 19 4 5 2" xfId="22583"/>
    <cellStyle name="Total 19 4 5 3" xfId="36684"/>
    <cellStyle name="Total 19 4 5 4" xfId="36685"/>
    <cellStyle name="Total 19 4 6" xfId="22584"/>
    <cellStyle name="Total 19 4 6 2" xfId="22585"/>
    <cellStyle name="Total 19 4 6 3" xfId="36686"/>
    <cellStyle name="Total 19 4 6 4" xfId="36687"/>
    <cellStyle name="Total 19 4 7" xfId="22586"/>
    <cellStyle name="Total 19 4 7 2" xfId="22587"/>
    <cellStyle name="Total 19 4 7 3" xfId="36688"/>
    <cellStyle name="Total 19 4 7 4" xfId="36689"/>
    <cellStyle name="Total 19 4 8" xfId="22588"/>
    <cellStyle name="Total 19 4 9" xfId="36690"/>
    <cellStyle name="Total 19 5" xfId="22589"/>
    <cellStyle name="Total 19 5 10" xfId="36691"/>
    <cellStyle name="Total 19 5 2" xfId="22590"/>
    <cellStyle name="Total 19 5 2 2" xfId="22591"/>
    <cellStyle name="Total 19 5 2 3" xfId="36692"/>
    <cellStyle name="Total 19 5 2 4" xfId="36693"/>
    <cellStyle name="Total 19 5 3" xfId="22592"/>
    <cellStyle name="Total 19 5 3 2" xfId="22593"/>
    <cellStyle name="Total 19 5 3 3" xfId="36694"/>
    <cellStyle name="Total 19 5 3 4" xfId="36695"/>
    <cellStyle name="Total 19 5 4" xfId="22594"/>
    <cellStyle name="Total 19 5 4 2" xfId="22595"/>
    <cellStyle name="Total 19 5 4 3" xfId="36696"/>
    <cellStyle name="Total 19 5 4 4" xfId="36697"/>
    <cellStyle name="Total 19 5 5" xfId="22596"/>
    <cellStyle name="Total 19 5 5 2" xfId="22597"/>
    <cellStyle name="Total 19 5 5 3" xfId="36698"/>
    <cellStyle name="Total 19 5 5 4" xfId="36699"/>
    <cellStyle name="Total 19 5 6" xfId="22598"/>
    <cellStyle name="Total 19 5 6 2" xfId="22599"/>
    <cellStyle name="Total 19 5 6 3" xfId="36700"/>
    <cellStyle name="Total 19 5 6 4" xfId="36701"/>
    <cellStyle name="Total 19 5 7" xfId="22600"/>
    <cellStyle name="Total 19 5 7 2" xfId="22601"/>
    <cellStyle name="Total 19 5 7 3" xfId="36702"/>
    <cellStyle name="Total 19 5 7 4" xfId="36703"/>
    <cellStyle name="Total 19 5 8" xfId="22602"/>
    <cellStyle name="Total 19 5 9" xfId="36704"/>
    <cellStyle name="Total 19 6" xfId="22603"/>
    <cellStyle name="Total 19 6 2" xfId="22604"/>
    <cellStyle name="Total 19 6 3" xfId="36705"/>
    <cellStyle name="Total 19 6 4" xfId="36706"/>
    <cellStyle name="Total 19 7" xfId="22605"/>
    <cellStyle name="Total 19 7 2" xfId="22606"/>
    <cellStyle name="Total 19 7 3" xfId="36707"/>
    <cellStyle name="Total 19 7 4" xfId="36708"/>
    <cellStyle name="Total 19 8" xfId="22607"/>
    <cellStyle name="Total 19 8 2" xfId="22608"/>
    <cellStyle name="Total 19 8 3" xfId="36709"/>
    <cellStyle name="Total 19 8 4" xfId="36710"/>
    <cellStyle name="Total 19 9" xfId="22609"/>
    <cellStyle name="Total 19 9 2" xfId="22610"/>
    <cellStyle name="Total 19 9 3" xfId="36711"/>
    <cellStyle name="Total 19 9 4" xfId="36712"/>
    <cellStyle name="Total 2" xfId="22611"/>
    <cellStyle name="Total 2 10" xfId="22612"/>
    <cellStyle name="Total 2 10 2" xfId="22613"/>
    <cellStyle name="Total 2 10 3" xfId="36713"/>
    <cellStyle name="Total 2 10 4" xfId="36714"/>
    <cellStyle name="Total 2 11" xfId="22614"/>
    <cellStyle name="Total 2 11 2" xfId="22615"/>
    <cellStyle name="Total 2 11 3" xfId="36715"/>
    <cellStyle name="Total 2 11 4" xfId="36716"/>
    <cellStyle name="Total 2 12" xfId="22616"/>
    <cellStyle name="Total 2 12 2" xfId="22617"/>
    <cellStyle name="Total 2 12 3" xfId="36717"/>
    <cellStyle name="Total 2 13" xfId="22618"/>
    <cellStyle name="Total 2 14" xfId="36718"/>
    <cellStyle name="Total 2 15" xfId="36719"/>
    <cellStyle name="Total 2 16" xfId="36720"/>
    <cellStyle name="Total 2 2" xfId="22619"/>
    <cellStyle name="Total 2 2 10" xfId="36721"/>
    <cellStyle name="Total 2 2 2" xfId="22620"/>
    <cellStyle name="Total 2 2 2 2" xfId="22621"/>
    <cellStyle name="Total 2 2 2 3" xfId="36722"/>
    <cellStyle name="Total 2 2 2 4" xfId="36723"/>
    <cellStyle name="Total 2 2 3" xfId="22622"/>
    <cellStyle name="Total 2 2 3 2" xfId="22623"/>
    <cellStyle name="Total 2 2 3 3" xfId="36724"/>
    <cellStyle name="Total 2 2 3 4" xfId="36725"/>
    <cellStyle name="Total 2 2 4" xfId="22624"/>
    <cellStyle name="Total 2 2 4 2" xfId="22625"/>
    <cellStyle name="Total 2 2 4 3" xfId="36726"/>
    <cellStyle name="Total 2 2 4 4" xfId="36727"/>
    <cellStyle name="Total 2 2 5" xfId="22626"/>
    <cellStyle name="Total 2 2 5 2" xfId="22627"/>
    <cellStyle name="Total 2 2 5 3" xfId="36728"/>
    <cellStyle name="Total 2 2 5 4" xfId="36729"/>
    <cellStyle name="Total 2 2 6" xfId="22628"/>
    <cellStyle name="Total 2 2 6 2" xfId="22629"/>
    <cellStyle name="Total 2 2 6 3" xfId="36730"/>
    <cellStyle name="Total 2 2 6 4" xfId="36731"/>
    <cellStyle name="Total 2 2 7" xfId="22630"/>
    <cellStyle name="Total 2 2 7 2" xfId="22631"/>
    <cellStyle name="Total 2 2 7 3" xfId="36732"/>
    <cellStyle name="Total 2 2 7 4" xfId="36733"/>
    <cellStyle name="Total 2 2 8" xfId="22632"/>
    <cellStyle name="Total 2 2 9" xfId="36734"/>
    <cellStyle name="Total 2 3" xfId="22633"/>
    <cellStyle name="Total 2 3 10" xfId="36735"/>
    <cellStyle name="Total 2 3 2" xfId="22634"/>
    <cellStyle name="Total 2 3 2 2" xfId="22635"/>
    <cellStyle name="Total 2 3 2 3" xfId="36736"/>
    <cellStyle name="Total 2 3 2 4" xfId="36737"/>
    <cellStyle name="Total 2 3 3" xfId="22636"/>
    <cellStyle name="Total 2 3 3 2" xfId="22637"/>
    <cellStyle name="Total 2 3 3 3" xfId="36738"/>
    <cellStyle name="Total 2 3 3 4" xfId="36739"/>
    <cellStyle name="Total 2 3 4" xfId="22638"/>
    <cellStyle name="Total 2 3 4 2" xfId="22639"/>
    <cellStyle name="Total 2 3 4 3" xfId="36740"/>
    <cellStyle name="Total 2 3 4 4" xfId="36741"/>
    <cellStyle name="Total 2 3 5" xfId="22640"/>
    <cellStyle name="Total 2 3 5 2" xfId="22641"/>
    <cellStyle name="Total 2 3 5 3" xfId="36742"/>
    <cellStyle name="Total 2 3 5 4" xfId="36743"/>
    <cellStyle name="Total 2 3 6" xfId="22642"/>
    <cellStyle name="Total 2 3 6 2" xfId="22643"/>
    <cellStyle name="Total 2 3 6 3" xfId="36744"/>
    <cellStyle name="Total 2 3 6 4" xfId="36745"/>
    <cellStyle name="Total 2 3 7" xfId="22644"/>
    <cellStyle name="Total 2 3 7 2" xfId="22645"/>
    <cellStyle name="Total 2 3 7 3" xfId="36746"/>
    <cellStyle name="Total 2 3 7 4" xfId="36747"/>
    <cellStyle name="Total 2 3 8" xfId="22646"/>
    <cellStyle name="Total 2 3 9" xfId="36748"/>
    <cellStyle name="Total 2 4" xfId="22647"/>
    <cellStyle name="Total 2 4 10" xfId="36749"/>
    <cellStyle name="Total 2 4 2" xfId="22648"/>
    <cellStyle name="Total 2 4 2 2" xfId="22649"/>
    <cellStyle name="Total 2 4 2 3" xfId="36750"/>
    <cellStyle name="Total 2 4 2 4" xfId="36751"/>
    <cellStyle name="Total 2 4 3" xfId="22650"/>
    <cellStyle name="Total 2 4 3 2" xfId="22651"/>
    <cellStyle name="Total 2 4 3 3" xfId="36752"/>
    <cellStyle name="Total 2 4 3 4" xfId="36753"/>
    <cellStyle name="Total 2 4 4" xfId="22652"/>
    <cellStyle name="Total 2 4 4 2" xfId="22653"/>
    <cellStyle name="Total 2 4 4 3" xfId="36754"/>
    <cellStyle name="Total 2 4 4 4" xfId="36755"/>
    <cellStyle name="Total 2 4 5" xfId="22654"/>
    <cellStyle name="Total 2 4 5 2" xfId="22655"/>
    <cellStyle name="Total 2 4 5 3" xfId="36756"/>
    <cellStyle name="Total 2 4 5 4" xfId="36757"/>
    <cellStyle name="Total 2 4 6" xfId="22656"/>
    <cellStyle name="Total 2 4 6 2" xfId="22657"/>
    <cellStyle name="Total 2 4 6 3" xfId="36758"/>
    <cellStyle name="Total 2 4 6 4" xfId="36759"/>
    <cellStyle name="Total 2 4 7" xfId="22658"/>
    <cellStyle name="Total 2 4 7 2" xfId="22659"/>
    <cellStyle name="Total 2 4 7 3" xfId="36760"/>
    <cellStyle name="Total 2 4 7 4" xfId="36761"/>
    <cellStyle name="Total 2 4 8" xfId="22660"/>
    <cellStyle name="Total 2 4 9" xfId="36762"/>
    <cellStyle name="Total 2 5" xfId="22661"/>
    <cellStyle name="Total 2 5 10" xfId="36763"/>
    <cellStyle name="Total 2 5 2" xfId="22662"/>
    <cellStyle name="Total 2 5 2 2" xfId="22663"/>
    <cellStyle name="Total 2 5 2 3" xfId="36764"/>
    <cellStyle name="Total 2 5 2 4" xfId="36765"/>
    <cellStyle name="Total 2 5 3" xfId="22664"/>
    <cellStyle name="Total 2 5 3 2" xfId="22665"/>
    <cellStyle name="Total 2 5 3 3" xfId="36766"/>
    <cellStyle name="Total 2 5 3 4" xfId="36767"/>
    <cellStyle name="Total 2 5 4" xfId="22666"/>
    <cellStyle name="Total 2 5 4 2" xfId="22667"/>
    <cellStyle name="Total 2 5 4 3" xfId="36768"/>
    <cellStyle name="Total 2 5 4 4" xfId="36769"/>
    <cellStyle name="Total 2 5 5" xfId="22668"/>
    <cellStyle name="Total 2 5 5 2" xfId="22669"/>
    <cellStyle name="Total 2 5 5 3" xfId="36770"/>
    <cellStyle name="Total 2 5 5 4" xfId="36771"/>
    <cellStyle name="Total 2 5 6" xfId="22670"/>
    <cellStyle name="Total 2 5 6 2" xfId="22671"/>
    <cellStyle name="Total 2 5 6 3" xfId="36772"/>
    <cellStyle name="Total 2 5 6 4" xfId="36773"/>
    <cellStyle name="Total 2 5 7" xfId="22672"/>
    <cellStyle name="Total 2 5 7 2" xfId="22673"/>
    <cellStyle name="Total 2 5 7 3" xfId="36774"/>
    <cellStyle name="Total 2 5 7 4" xfId="36775"/>
    <cellStyle name="Total 2 5 8" xfId="22674"/>
    <cellStyle name="Total 2 5 9" xfId="36776"/>
    <cellStyle name="Total 2 6" xfId="22675"/>
    <cellStyle name="Total 2 6 2" xfId="22676"/>
    <cellStyle name="Total 2 6 3" xfId="36777"/>
    <cellStyle name="Total 2 6 4" xfId="36778"/>
    <cellStyle name="Total 2 7" xfId="22677"/>
    <cellStyle name="Total 2 7 2" xfId="22678"/>
    <cellStyle name="Total 2 7 3" xfId="36779"/>
    <cellStyle name="Total 2 7 4" xfId="36780"/>
    <cellStyle name="Total 2 8" xfId="22679"/>
    <cellStyle name="Total 2 8 2" xfId="22680"/>
    <cellStyle name="Total 2 8 3" xfId="36781"/>
    <cellStyle name="Total 2 8 4" xfId="36782"/>
    <cellStyle name="Total 2 9" xfId="22681"/>
    <cellStyle name="Total 2 9 2" xfId="22682"/>
    <cellStyle name="Total 2 9 3" xfId="36783"/>
    <cellStyle name="Total 2 9 4" xfId="36784"/>
    <cellStyle name="Total 20" xfId="22683"/>
    <cellStyle name="Total 20 10" xfId="22684"/>
    <cellStyle name="Total 20 10 2" xfId="22685"/>
    <cellStyle name="Total 20 10 3" xfId="36785"/>
    <cellStyle name="Total 20 10 4" xfId="36786"/>
    <cellStyle name="Total 20 11" xfId="22686"/>
    <cellStyle name="Total 20 11 2" xfId="22687"/>
    <cellStyle name="Total 20 11 3" xfId="36787"/>
    <cellStyle name="Total 20 11 4" xfId="36788"/>
    <cellStyle name="Total 20 12" xfId="22688"/>
    <cellStyle name="Total 20 13" xfId="36789"/>
    <cellStyle name="Total 20 14" xfId="36790"/>
    <cellStyle name="Total 20 2" xfId="22689"/>
    <cellStyle name="Total 20 2 10" xfId="36791"/>
    <cellStyle name="Total 20 2 2" xfId="22690"/>
    <cellStyle name="Total 20 2 2 2" xfId="22691"/>
    <cellStyle name="Total 20 2 2 3" xfId="36792"/>
    <cellStyle name="Total 20 2 2 4" xfId="36793"/>
    <cellStyle name="Total 20 2 3" xfId="22692"/>
    <cellStyle name="Total 20 2 3 2" xfId="22693"/>
    <cellStyle name="Total 20 2 3 3" xfId="36794"/>
    <cellStyle name="Total 20 2 3 4" xfId="36795"/>
    <cellStyle name="Total 20 2 4" xfId="22694"/>
    <cellStyle name="Total 20 2 4 2" xfId="22695"/>
    <cellStyle name="Total 20 2 4 3" xfId="36796"/>
    <cellStyle name="Total 20 2 4 4" xfId="36797"/>
    <cellStyle name="Total 20 2 5" xfId="22696"/>
    <cellStyle name="Total 20 2 5 2" xfId="22697"/>
    <cellStyle name="Total 20 2 5 3" xfId="36798"/>
    <cellStyle name="Total 20 2 5 4" xfId="36799"/>
    <cellStyle name="Total 20 2 6" xfId="22698"/>
    <cellStyle name="Total 20 2 6 2" xfId="22699"/>
    <cellStyle name="Total 20 2 6 3" xfId="36800"/>
    <cellStyle name="Total 20 2 6 4" xfId="36801"/>
    <cellStyle name="Total 20 2 7" xfId="22700"/>
    <cellStyle name="Total 20 2 7 2" xfId="22701"/>
    <cellStyle name="Total 20 2 7 3" xfId="36802"/>
    <cellStyle name="Total 20 2 7 4" xfId="36803"/>
    <cellStyle name="Total 20 2 8" xfId="22702"/>
    <cellStyle name="Total 20 2 9" xfId="36804"/>
    <cellStyle name="Total 20 3" xfId="22703"/>
    <cellStyle name="Total 20 3 10" xfId="36805"/>
    <cellStyle name="Total 20 3 2" xfId="22704"/>
    <cellStyle name="Total 20 3 2 2" xfId="22705"/>
    <cellStyle name="Total 20 3 2 3" xfId="36806"/>
    <cellStyle name="Total 20 3 2 4" xfId="36807"/>
    <cellStyle name="Total 20 3 3" xfId="22706"/>
    <cellStyle name="Total 20 3 3 2" xfId="22707"/>
    <cellStyle name="Total 20 3 3 3" xfId="36808"/>
    <cellStyle name="Total 20 3 3 4" xfId="36809"/>
    <cellStyle name="Total 20 3 4" xfId="22708"/>
    <cellStyle name="Total 20 3 4 2" xfId="22709"/>
    <cellStyle name="Total 20 3 4 3" xfId="36810"/>
    <cellStyle name="Total 20 3 4 4" xfId="36811"/>
    <cellStyle name="Total 20 3 5" xfId="22710"/>
    <cellStyle name="Total 20 3 5 2" xfId="22711"/>
    <cellStyle name="Total 20 3 5 3" xfId="36812"/>
    <cellStyle name="Total 20 3 5 4" xfId="36813"/>
    <cellStyle name="Total 20 3 6" xfId="22712"/>
    <cellStyle name="Total 20 3 6 2" xfId="22713"/>
    <cellStyle name="Total 20 3 6 3" xfId="36814"/>
    <cellStyle name="Total 20 3 6 4" xfId="36815"/>
    <cellStyle name="Total 20 3 7" xfId="22714"/>
    <cellStyle name="Total 20 3 7 2" xfId="22715"/>
    <cellStyle name="Total 20 3 7 3" xfId="36816"/>
    <cellStyle name="Total 20 3 7 4" xfId="36817"/>
    <cellStyle name="Total 20 3 8" xfId="22716"/>
    <cellStyle name="Total 20 3 9" xfId="36818"/>
    <cellStyle name="Total 20 4" xfId="22717"/>
    <cellStyle name="Total 20 4 10" xfId="36819"/>
    <cellStyle name="Total 20 4 2" xfId="22718"/>
    <cellStyle name="Total 20 4 2 2" xfId="22719"/>
    <cellStyle name="Total 20 4 2 3" xfId="36820"/>
    <cellStyle name="Total 20 4 2 4" xfId="36821"/>
    <cellStyle name="Total 20 4 3" xfId="22720"/>
    <cellStyle name="Total 20 4 3 2" xfId="22721"/>
    <cellStyle name="Total 20 4 3 3" xfId="36822"/>
    <cellStyle name="Total 20 4 3 4" xfId="36823"/>
    <cellStyle name="Total 20 4 4" xfId="22722"/>
    <cellStyle name="Total 20 4 4 2" xfId="22723"/>
    <cellStyle name="Total 20 4 4 3" xfId="36824"/>
    <cellStyle name="Total 20 4 4 4" xfId="36825"/>
    <cellStyle name="Total 20 4 5" xfId="22724"/>
    <cellStyle name="Total 20 4 5 2" xfId="22725"/>
    <cellStyle name="Total 20 4 5 3" xfId="36826"/>
    <cellStyle name="Total 20 4 5 4" xfId="36827"/>
    <cellStyle name="Total 20 4 6" xfId="22726"/>
    <cellStyle name="Total 20 4 6 2" xfId="22727"/>
    <cellStyle name="Total 20 4 6 3" xfId="36828"/>
    <cellStyle name="Total 20 4 6 4" xfId="36829"/>
    <cellStyle name="Total 20 4 7" xfId="22728"/>
    <cellStyle name="Total 20 4 7 2" xfId="22729"/>
    <cellStyle name="Total 20 4 7 3" xfId="36830"/>
    <cellStyle name="Total 20 4 7 4" xfId="36831"/>
    <cellStyle name="Total 20 4 8" xfId="22730"/>
    <cellStyle name="Total 20 4 9" xfId="36832"/>
    <cellStyle name="Total 20 5" xfId="22731"/>
    <cellStyle name="Total 20 5 10" xfId="36833"/>
    <cellStyle name="Total 20 5 2" xfId="22732"/>
    <cellStyle name="Total 20 5 2 2" xfId="22733"/>
    <cellStyle name="Total 20 5 2 3" xfId="36834"/>
    <cellStyle name="Total 20 5 2 4" xfId="36835"/>
    <cellStyle name="Total 20 5 3" xfId="22734"/>
    <cellStyle name="Total 20 5 3 2" xfId="22735"/>
    <cellStyle name="Total 20 5 3 3" xfId="36836"/>
    <cellStyle name="Total 20 5 3 4" xfId="36837"/>
    <cellStyle name="Total 20 5 4" xfId="22736"/>
    <cellStyle name="Total 20 5 4 2" xfId="22737"/>
    <cellStyle name="Total 20 5 4 3" xfId="36838"/>
    <cellStyle name="Total 20 5 4 4" xfId="36839"/>
    <cellStyle name="Total 20 5 5" xfId="22738"/>
    <cellStyle name="Total 20 5 5 2" xfId="22739"/>
    <cellStyle name="Total 20 5 5 3" xfId="36840"/>
    <cellStyle name="Total 20 5 5 4" xfId="36841"/>
    <cellStyle name="Total 20 5 6" xfId="22740"/>
    <cellStyle name="Total 20 5 6 2" xfId="22741"/>
    <cellStyle name="Total 20 5 6 3" xfId="36842"/>
    <cellStyle name="Total 20 5 6 4" xfId="36843"/>
    <cellStyle name="Total 20 5 7" xfId="22742"/>
    <cellStyle name="Total 20 5 7 2" xfId="22743"/>
    <cellStyle name="Total 20 5 7 3" xfId="36844"/>
    <cellStyle name="Total 20 5 7 4" xfId="36845"/>
    <cellStyle name="Total 20 5 8" xfId="22744"/>
    <cellStyle name="Total 20 5 9" xfId="36846"/>
    <cellStyle name="Total 20 6" xfId="22745"/>
    <cellStyle name="Total 20 6 2" xfId="22746"/>
    <cellStyle name="Total 20 6 3" xfId="36847"/>
    <cellStyle name="Total 20 6 4" xfId="36848"/>
    <cellStyle name="Total 20 7" xfId="22747"/>
    <cellStyle name="Total 20 7 2" xfId="22748"/>
    <cellStyle name="Total 20 7 3" xfId="36849"/>
    <cellStyle name="Total 20 7 4" xfId="36850"/>
    <cellStyle name="Total 20 8" xfId="22749"/>
    <cellStyle name="Total 20 8 2" xfId="22750"/>
    <cellStyle name="Total 20 8 3" xfId="36851"/>
    <cellStyle name="Total 20 8 4" xfId="36852"/>
    <cellStyle name="Total 20 9" xfId="22751"/>
    <cellStyle name="Total 20 9 2" xfId="22752"/>
    <cellStyle name="Total 20 9 3" xfId="36853"/>
    <cellStyle name="Total 20 9 4" xfId="36854"/>
    <cellStyle name="Total 21" xfId="22753"/>
    <cellStyle name="Total 21 10" xfId="22754"/>
    <cellStyle name="Total 21 10 2" xfId="22755"/>
    <cellStyle name="Total 21 10 3" xfId="36855"/>
    <cellStyle name="Total 21 10 4" xfId="36856"/>
    <cellStyle name="Total 21 11" xfId="22756"/>
    <cellStyle name="Total 21 11 2" xfId="22757"/>
    <cellStyle name="Total 21 11 3" xfId="36857"/>
    <cellStyle name="Total 21 11 4" xfId="36858"/>
    <cellStyle name="Total 21 12" xfId="22758"/>
    <cellStyle name="Total 21 13" xfId="36859"/>
    <cellStyle name="Total 21 14" xfId="36860"/>
    <cellStyle name="Total 21 2" xfId="22759"/>
    <cellStyle name="Total 21 2 10" xfId="36861"/>
    <cellStyle name="Total 21 2 2" xfId="22760"/>
    <cellStyle name="Total 21 2 2 2" xfId="22761"/>
    <cellStyle name="Total 21 2 2 3" xfId="36862"/>
    <cellStyle name="Total 21 2 2 4" xfId="36863"/>
    <cellStyle name="Total 21 2 3" xfId="22762"/>
    <cellStyle name="Total 21 2 3 2" xfId="22763"/>
    <cellStyle name="Total 21 2 3 3" xfId="36864"/>
    <cellStyle name="Total 21 2 3 4" xfId="36865"/>
    <cellStyle name="Total 21 2 4" xfId="22764"/>
    <cellStyle name="Total 21 2 4 2" xfId="22765"/>
    <cellStyle name="Total 21 2 4 3" xfId="36866"/>
    <cellStyle name="Total 21 2 4 4" xfId="36867"/>
    <cellStyle name="Total 21 2 5" xfId="22766"/>
    <cellStyle name="Total 21 2 5 2" xfId="22767"/>
    <cellStyle name="Total 21 2 5 3" xfId="36868"/>
    <cellStyle name="Total 21 2 5 4" xfId="36869"/>
    <cellStyle name="Total 21 2 6" xfId="22768"/>
    <cellStyle name="Total 21 2 6 2" xfId="22769"/>
    <cellStyle name="Total 21 2 6 3" xfId="36870"/>
    <cellStyle name="Total 21 2 6 4" xfId="36871"/>
    <cellStyle name="Total 21 2 7" xfId="22770"/>
    <cellStyle name="Total 21 2 7 2" xfId="22771"/>
    <cellStyle name="Total 21 2 7 3" xfId="36872"/>
    <cellStyle name="Total 21 2 7 4" xfId="36873"/>
    <cellStyle name="Total 21 2 8" xfId="22772"/>
    <cellStyle name="Total 21 2 9" xfId="36874"/>
    <cellStyle name="Total 21 3" xfId="22773"/>
    <cellStyle name="Total 21 3 10" xfId="36875"/>
    <cellStyle name="Total 21 3 2" xfId="22774"/>
    <cellStyle name="Total 21 3 2 2" xfId="22775"/>
    <cellStyle name="Total 21 3 2 3" xfId="36876"/>
    <cellStyle name="Total 21 3 2 4" xfId="36877"/>
    <cellStyle name="Total 21 3 3" xfId="22776"/>
    <cellStyle name="Total 21 3 3 2" xfId="22777"/>
    <cellStyle name="Total 21 3 3 3" xfId="36878"/>
    <cellStyle name="Total 21 3 3 4" xfId="36879"/>
    <cellStyle name="Total 21 3 4" xfId="22778"/>
    <cellStyle name="Total 21 3 4 2" xfId="22779"/>
    <cellStyle name="Total 21 3 4 3" xfId="36880"/>
    <cellStyle name="Total 21 3 4 4" xfId="36881"/>
    <cellStyle name="Total 21 3 5" xfId="22780"/>
    <cellStyle name="Total 21 3 5 2" xfId="22781"/>
    <cellStyle name="Total 21 3 5 3" xfId="36882"/>
    <cellStyle name="Total 21 3 5 4" xfId="36883"/>
    <cellStyle name="Total 21 3 6" xfId="22782"/>
    <cellStyle name="Total 21 3 6 2" xfId="22783"/>
    <cellStyle name="Total 21 3 6 3" xfId="36884"/>
    <cellStyle name="Total 21 3 6 4" xfId="36885"/>
    <cellStyle name="Total 21 3 7" xfId="22784"/>
    <cellStyle name="Total 21 3 7 2" xfId="22785"/>
    <cellStyle name="Total 21 3 7 3" xfId="36886"/>
    <cellStyle name="Total 21 3 7 4" xfId="36887"/>
    <cellStyle name="Total 21 3 8" xfId="22786"/>
    <cellStyle name="Total 21 3 9" xfId="36888"/>
    <cellStyle name="Total 21 4" xfId="22787"/>
    <cellStyle name="Total 21 4 10" xfId="36889"/>
    <cellStyle name="Total 21 4 2" xfId="22788"/>
    <cellStyle name="Total 21 4 2 2" xfId="22789"/>
    <cellStyle name="Total 21 4 2 3" xfId="36890"/>
    <cellStyle name="Total 21 4 2 4" xfId="36891"/>
    <cellStyle name="Total 21 4 3" xfId="22790"/>
    <cellStyle name="Total 21 4 3 2" xfId="22791"/>
    <cellStyle name="Total 21 4 3 3" xfId="36892"/>
    <cellStyle name="Total 21 4 3 4" xfId="36893"/>
    <cellStyle name="Total 21 4 4" xfId="22792"/>
    <cellStyle name="Total 21 4 4 2" xfId="22793"/>
    <cellStyle name="Total 21 4 4 3" xfId="36894"/>
    <cellStyle name="Total 21 4 4 4" xfId="36895"/>
    <cellStyle name="Total 21 4 5" xfId="22794"/>
    <cellStyle name="Total 21 4 5 2" xfId="22795"/>
    <cellStyle name="Total 21 4 5 3" xfId="36896"/>
    <cellStyle name="Total 21 4 5 4" xfId="36897"/>
    <cellStyle name="Total 21 4 6" xfId="22796"/>
    <cellStyle name="Total 21 4 6 2" xfId="22797"/>
    <cellStyle name="Total 21 4 6 3" xfId="36898"/>
    <cellStyle name="Total 21 4 6 4" xfId="36899"/>
    <cellStyle name="Total 21 4 7" xfId="22798"/>
    <cellStyle name="Total 21 4 7 2" xfId="22799"/>
    <cellStyle name="Total 21 4 7 3" xfId="36900"/>
    <cellStyle name="Total 21 4 7 4" xfId="36901"/>
    <cellStyle name="Total 21 4 8" xfId="22800"/>
    <cellStyle name="Total 21 4 9" xfId="36902"/>
    <cellStyle name="Total 21 5" xfId="22801"/>
    <cellStyle name="Total 21 5 10" xfId="36903"/>
    <cellStyle name="Total 21 5 2" xfId="22802"/>
    <cellStyle name="Total 21 5 2 2" xfId="22803"/>
    <cellStyle name="Total 21 5 2 3" xfId="36904"/>
    <cellStyle name="Total 21 5 2 4" xfId="36905"/>
    <cellStyle name="Total 21 5 3" xfId="22804"/>
    <cellStyle name="Total 21 5 3 2" xfId="22805"/>
    <cellStyle name="Total 21 5 3 3" xfId="36906"/>
    <cellStyle name="Total 21 5 3 4" xfId="36907"/>
    <cellStyle name="Total 21 5 4" xfId="22806"/>
    <cellStyle name="Total 21 5 4 2" xfId="22807"/>
    <cellStyle name="Total 21 5 4 3" xfId="36908"/>
    <cellStyle name="Total 21 5 4 4" xfId="36909"/>
    <cellStyle name="Total 21 5 5" xfId="22808"/>
    <cellStyle name="Total 21 5 5 2" xfId="22809"/>
    <cellStyle name="Total 21 5 5 3" xfId="36910"/>
    <cellStyle name="Total 21 5 5 4" xfId="36911"/>
    <cellStyle name="Total 21 5 6" xfId="22810"/>
    <cellStyle name="Total 21 5 6 2" xfId="22811"/>
    <cellStyle name="Total 21 5 6 3" xfId="36912"/>
    <cellStyle name="Total 21 5 6 4" xfId="36913"/>
    <cellStyle name="Total 21 5 7" xfId="22812"/>
    <cellStyle name="Total 21 5 7 2" xfId="22813"/>
    <cellStyle name="Total 21 5 7 3" xfId="36914"/>
    <cellStyle name="Total 21 5 7 4" xfId="36915"/>
    <cellStyle name="Total 21 5 8" xfId="22814"/>
    <cellStyle name="Total 21 5 9" xfId="36916"/>
    <cellStyle name="Total 21 6" xfId="22815"/>
    <cellStyle name="Total 21 6 2" xfId="22816"/>
    <cellStyle name="Total 21 6 3" xfId="36917"/>
    <cellStyle name="Total 21 6 4" xfId="36918"/>
    <cellStyle name="Total 21 7" xfId="22817"/>
    <cellStyle name="Total 21 7 2" xfId="22818"/>
    <cellStyle name="Total 21 7 3" xfId="36919"/>
    <cellStyle name="Total 21 7 4" xfId="36920"/>
    <cellStyle name="Total 21 8" xfId="22819"/>
    <cellStyle name="Total 21 8 2" xfId="22820"/>
    <cellStyle name="Total 21 8 3" xfId="36921"/>
    <cellStyle name="Total 21 8 4" xfId="36922"/>
    <cellStyle name="Total 21 9" xfId="22821"/>
    <cellStyle name="Total 21 9 2" xfId="22822"/>
    <cellStyle name="Total 21 9 3" xfId="36923"/>
    <cellStyle name="Total 21 9 4" xfId="36924"/>
    <cellStyle name="Total 22" xfId="22823"/>
    <cellStyle name="Total 22 10" xfId="22824"/>
    <cellStyle name="Total 22 10 2" xfId="22825"/>
    <cellStyle name="Total 22 10 3" xfId="36925"/>
    <cellStyle name="Total 22 10 4" xfId="36926"/>
    <cellStyle name="Total 22 11" xfId="22826"/>
    <cellStyle name="Total 22 11 2" xfId="22827"/>
    <cellStyle name="Total 22 11 3" xfId="36927"/>
    <cellStyle name="Total 22 11 4" xfId="36928"/>
    <cellStyle name="Total 22 12" xfId="22828"/>
    <cellStyle name="Total 22 13" xfId="36929"/>
    <cellStyle name="Total 22 14" xfId="36930"/>
    <cellStyle name="Total 22 2" xfId="22829"/>
    <cellStyle name="Total 22 2 10" xfId="36931"/>
    <cellStyle name="Total 22 2 2" xfId="22830"/>
    <cellStyle name="Total 22 2 2 2" xfId="22831"/>
    <cellStyle name="Total 22 2 2 3" xfId="36932"/>
    <cellStyle name="Total 22 2 2 4" xfId="36933"/>
    <cellStyle name="Total 22 2 3" xfId="22832"/>
    <cellStyle name="Total 22 2 3 2" xfId="22833"/>
    <cellStyle name="Total 22 2 3 3" xfId="36934"/>
    <cellStyle name="Total 22 2 3 4" xfId="36935"/>
    <cellStyle name="Total 22 2 4" xfId="22834"/>
    <cellStyle name="Total 22 2 4 2" xfId="22835"/>
    <cellStyle name="Total 22 2 4 3" xfId="36936"/>
    <cellStyle name="Total 22 2 4 4" xfId="36937"/>
    <cellStyle name="Total 22 2 5" xfId="22836"/>
    <cellStyle name="Total 22 2 5 2" xfId="22837"/>
    <cellStyle name="Total 22 2 5 3" xfId="36938"/>
    <cellStyle name="Total 22 2 5 4" xfId="36939"/>
    <cellStyle name="Total 22 2 6" xfId="22838"/>
    <cellStyle name="Total 22 2 6 2" xfId="22839"/>
    <cellStyle name="Total 22 2 6 3" xfId="36940"/>
    <cellStyle name="Total 22 2 6 4" xfId="36941"/>
    <cellStyle name="Total 22 2 7" xfId="22840"/>
    <cellStyle name="Total 22 2 7 2" xfId="22841"/>
    <cellStyle name="Total 22 2 7 3" xfId="36942"/>
    <cellStyle name="Total 22 2 7 4" xfId="36943"/>
    <cellStyle name="Total 22 2 8" xfId="22842"/>
    <cellStyle name="Total 22 2 9" xfId="36944"/>
    <cellStyle name="Total 22 3" xfId="22843"/>
    <cellStyle name="Total 22 3 10" xfId="36945"/>
    <cellStyle name="Total 22 3 2" xfId="22844"/>
    <cellStyle name="Total 22 3 2 2" xfId="22845"/>
    <cellStyle name="Total 22 3 2 3" xfId="36946"/>
    <cellStyle name="Total 22 3 2 4" xfId="36947"/>
    <cellStyle name="Total 22 3 3" xfId="22846"/>
    <cellStyle name="Total 22 3 3 2" xfId="22847"/>
    <cellStyle name="Total 22 3 3 3" xfId="36948"/>
    <cellStyle name="Total 22 3 3 4" xfId="36949"/>
    <cellStyle name="Total 22 3 4" xfId="22848"/>
    <cellStyle name="Total 22 3 4 2" xfId="22849"/>
    <cellStyle name="Total 22 3 4 3" xfId="36950"/>
    <cellStyle name="Total 22 3 4 4" xfId="36951"/>
    <cellStyle name="Total 22 3 5" xfId="22850"/>
    <cellStyle name="Total 22 3 5 2" xfId="22851"/>
    <cellStyle name="Total 22 3 5 3" xfId="36952"/>
    <cellStyle name="Total 22 3 5 4" xfId="36953"/>
    <cellStyle name="Total 22 3 6" xfId="22852"/>
    <cellStyle name="Total 22 3 6 2" xfId="22853"/>
    <cellStyle name="Total 22 3 6 3" xfId="36954"/>
    <cellStyle name="Total 22 3 6 4" xfId="36955"/>
    <cellStyle name="Total 22 3 7" xfId="22854"/>
    <cellStyle name="Total 22 3 7 2" xfId="22855"/>
    <cellStyle name="Total 22 3 7 3" xfId="36956"/>
    <cellStyle name="Total 22 3 7 4" xfId="36957"/>
    <cellStyle name="Total 22 3 8" xfId="22856"/>
    <cellStyle name="Total 22 3 9" xfId="36958"/>
    <cellStyle name="Total 22 4" xfId="22857"/>
    <cellStyle name="Total 22 4 10" xfId="36959"/>
    <cellStyle name="Total 22 4 2" xfId="22858"/>
    <cellStyle name="Total 22 4 2 2" xfId="22859"/>
    <cellStyle name="Total 22 4 2 3" xfId="36960"/>
    <cellStyle name="Total 22 4 2 4" xfId="36961"/>
    <cellStyle name="Total 22 4 3" xfId="22860"/>
    <cellStyle name="Total 22 4 3 2" xfId="22861"/>
    <cellStyle name="Total 22 4 3 3" xfId="36962"/>
    <cellStyle name="Total 22 4 3 4" xfId="36963"/>
    <cellStyle name="Total 22 4 4" xfId="22862"/>
    <cellStyle name="Total 22 4 4 2" xfId="22863"/>
    <cellStyle name="Total 22 4 4 3" xfId="36964"/>
    <cellStyle name="Total 22 4 4 4" xfId="36965"/>
    <cellStyle name="Total 22 4 5" xfId="22864"/>
    <cellStyle name="Total 22 4 5 2" xfId="22865"/>
    <cellStyle name="Total 22 4 5 3" xfId="36966"/>
    <cellStyle name="Total 22 4 5 4" xfId="36967"/>
    <cellStyle name="Total 22 4 6" xfId="22866"/>
    <cellStyle name="Total 22 4 6 2" xfId="22867"/>
    <cellStyle name="Total 22 4 6 3" xfId="36968"/>
    <cellStyle name="Total 22 4 6 4" xfId="36969"/>
    <cellStyle name="Total 22 4 7" xfId="22868"/>
    <cellStyle name="Total 22 4 7 2" xfId="22869"/>
    <cellStyle name="Total 22 4 7 3" xfId="36970"/>
    <cellStyle name="Total 22 4 7 4" xfId="36971"/>
    <cellStyle name="Total 22 4 8" xfId="22870"/>
    <cellStyle name="Total 22 4 9" xfId="36972"/>
    <cellStyle name="Total 22 5" xfId="22871"/>
    <cellStyle name="Total 22 5 10" xfId="36973"/>
    <cellStyle name="Total 22 5 2" xfId="22872"/>
    <cellStyle name="Total 22 5 2 2" xfId="22873"/>
    <cellStyle name="Total 22 5 2 3" xfId="36974"/>
    <cellStyle name="Total 22 5 2 4" xfId="36975"/>
    <cellStyle name="Total 22 5 3" xfId="22874"/>
    <cellStyle name="Total 22 5 3 2" xfId="22875"/>
    <cellStyle name="Total 22 5 3 3" xfId="36976"/>
    <cellStyle name="Total 22 5 3 4" xfId="36977"/>
    <cellStyle name="Total 22 5 4" xfId="22876"/>
    <cellStyle name="Total 22 5 4 2" xfId="22877"/>
    <cellStyle name="Total 22 5 4 3" xfId="36978"/>
    <cellStyle name="Total 22 5 4 4" xfId="36979"/>
    <cellStyle name="Total 22 5 5" xfId="22878"/>
    <cellStyle name="Total 22 5 5 2" xfId="22879"/>
    <cellStyle name="Total 22 5 5 3" xfId="36980"/>
    <cellStyle name="Total 22 5 5 4" xfId="36981"/>
    <cellStyle name="Total 22 5 6" xfId="22880"/>
    <cellStyle name="Total 22 5 6 2" xfId="22881"/>
    <cellStyle name="Total 22 5 6 3" xfId="36982"/>
    <cellStyle name="Total 22 5 6 4" xfId="36983"/>
    <cellStyle name="Total 22 5 7" xfId="22882"/>
    <cellStyle name="Total 22 5 7 2" xfId="22883"/>
    <cellStyle name="Total 22 5 7 3" xfId="36984"/>
    <cellStyle name="Total 22 5 7 4" xfId="36985"/>
    <cellStyle name="Total 22 5 8" xfId="22884"/>
    <cellStyle name="Total 22 5 9" xfId="36986"/>
    <cellStyle name="Total 22 6" xfId="22885"/>
    <cellStyle name="Total 22 6 2" xfId="22886"/>
    <cellStyle name="Total 22 6 3" xfId="36987"/>
    <cellStyle name="Total 22 6 4" xfId="36988"/>
    <cellStyle name="Total 22 7" xfId="22887"/>
    <cellStyle name="Total 22 7 2" xfId="22888"/>
    <cellStyle name="Total 22 7 3" xfId="36989"/>
    <cellStyle name="Total 22 7 4" xfId="36990"/>
    <cellStyle name="Total 22 8" xfId="22889"/>
    <cellStyle name="Total 22 8 2" xfId="22890"/>
    <cellStyle name="Total 22 8 3" xfId="36991"/>
    <cellStyle name="Total 22 8 4" xfId="36992"/>
    <cellStyle name="Total 22 9" xfId="22891"/>
    <cellStyle name="Total 22 9 2" xfId="22892"/>
    <cellStyle name="Total 22 9 3" xfId="36993"/>
    <cellStyle name="Total 22 9 4" xfId="36994"/>
    <cellStyle name="Total 23" xfId="22893"/>
    <cellStyle name="Total 23 10" xfId="36995"/>
    <cellStyle name="Total 23 2" xfId="22894"/>
    <cellStyle name="Total 23 2 2" xfId="22895"/>
    <cellStyle name="Total 23 2 3" xfId="36996"/>
    <cellStyle name="Total 23 2 4" xfId="36997"/>
    <cellStyle name="Total 23 3" xfId="22896"/>
    <cellStyle name="Total 23 3 2" xfId="22897"/>
    <cellStyle name="Total 23 3 3" xfId="36998"/>
    <cellStyle name="Total 23 3 4" xfId="36999"/>
    <cellStyle name="Total 23 4" xfId="22898"/>
    <cellStyle name="Total 23 4 2" xfId="22899"/>
    <cellStyle name="Total 23 4 3" xfId="37000"/>
    <cellStyle name="Total 23 4 4" xfId="37001"/>
    <cellStyle name="Total 23 5" xfId="22900"/>
    <cellStyle name="Total 23 5 2" xfId="22901"/>
    <cellStyle name="Total 23 5 3" xfId="37002"/>
    <cellStyle name="Total 23 5 4" xfId="37003"/>
    <cellStyle name="Total 23 6" xfId="22902"/>
    <cellStyle name="Total 23 6 2" xfId="22903"/>
    <cellStyle name="Total 23 6 3" xfId="37004"/>
    <cellStyle name="Total 23 6 4" xfId="37005"/>
    <cellStyle name="Total 23 7" xfId="22904"/>
    <cellStyle name="Total 23 7 2" xfId="22905"/>
    <cellStyle name="Total 23 7 3" xfId="37006"/>
    <cellStyle name="Total 23 7 4" xfId="37007"/>
    <cellStyle name="Total 23 8" xfId="22906"/>
    <cellStyle name="Total 23 9" xfId="37008"/>
    <cellStyle name="Total 24" xfId="22907"/>
    <cellStyle name="Total 24 10" xfId="37009"/>
    <cellStyle name="Total 24 2" xfId="22908"/>
    <cellStyle name="Total 24 2 2" xfId="22909"/>
    <cellStyle name="Total 24 2 3" xfId="37010"/>
    <cellStyle name="Total 24 2 4" xfId="37011"/>
    <cellStyle name="Total 24 3" xfId="22910"/>
    <cellStyle name="Total 24 3 2" xfId="22911"/>
    <cellStyle name="Total 24 3 3" xfId="37012"/>
    <cellStyle name="Total 24 3 4" xfId="37013"/>
    <cellStyle name="Total 24 4" xfId="22912"/>
    <cellStyle name="Total 24 4 2" xfId="22913"/>
    <cellStyle name="Total 24 4 3" xfId="37014"/>
    <cellStyle name="Total 24 4 4" xfId="37015"/>
    <cellStyle name="Total 24 5" xfId="22914"/>
    <cellStyle name="Total 24 5 2" xfId="22915"/>
    <cellStyle name="Total 24 5 3" xfId="37016"/>
    <cellStyle name="Total 24 5 4" xfId="37017"/>
    <cellStyle name="Total 24 6" xfId="22916"/>
    <cellStyle name="Total 24 6 2" xfId="22917"/>
    <cellStyle name="Total 24 6 3" xfId="37018"/>
    <cellStyle name="Total 24 6 4" xfId="37019"/>
    <cellStyle name="Total 24 7" xfId="22918"/>
    <cellStyle name="Total 24 7 2" xfId="22919"/>
    <cellStyle name="Total 24 7 3" xfId="37020"/>
    <cellStyle name="Total 24 7 4" xfId="37021"/>
    <cellStyle name="Total 24 8" xfId="22920"/>
    <cellStyle name="Total 24 9" xfId="37022"/>
    <cellStyle name="Total 25" xfId="22921"/>
    <cellStyle name="Total 25 10" xfId="37023"/>
    <cellStyle name="Total 25 2" xfId="22922"/>
    <cellStyle name="Total 25 2 2" xfId="22923"/>
    <cellStyle name="Total 25 2 3" xfId="37024"/>
    <cellStyle name="Total 25 2 4" xfId="37025"/>
    <cellStyle name="Total 25 3" xfId="22924"/>
    <cellStyle name="Total 25 3 2" xfId="22925"/>
    <cellStyle name="Total 25 3 3" xfId="37026"/>
    <cellStyle name="Total 25 3 4" xfId="37027"/>
    <cellStyle name="Total 25 4" xfId="22926"/>
    <cellStyle name="Total 25 4 2" xfId="22927"/>
    <cellStyle name="Total 25 4 3" xfId="37028"/>
    <cellStyle name="Total 25 4 4" xfId="37029"/>
    <cellStyle name="Total 25 5" xfId="22928"/>
    <cellStyle name="Total 25 5 2" xfId="22929"/>
    <cellStyle name="Total 25 5 3" xfId="37030"/>
    <cellStyle name="Total 25 5 4" xfId="37031"/>
    <cellStyle name="Total 25 6" xfId="22930"/>
    <cellStyle name="Total 25 6 2" xfId="22931"/>
    <cellStyle name="Total 25 6 3" xfId="37032"/>
    <cellStyle name="Total 25 6 4" xfId="37033"/>
    <cellStyle name="Total 25 7" xfId="22932"/>
    <cellStyle name="Total 25 7 2" xfId="22933"/>
    <cellStyle name="Total 25 7 3" xfId="37034"/>
    <cellStyle name="Total 25 7 4" xfId="37035"/>
    <cellStyle name="Total 25 8" xfId="22934"/>
    <cellStyle name="Total 25 9" xfId="37036"/>
    <cellStyle name="Total 26" xfId="22935"/>
    <cellStyle name="Total 26 10" xfId="37037"/>
    <cellStyle name="Total 26 2" xfId="22936"/>
    <cellStyle name="Total 26 2 2" xfId="22937"/>
    <cellStyle name="Total 26 2 3" xfId="37038"/>
    <cellStyle name="Total 26 2 4" xfId="37039"/>
    <cellStyle name="Total 26 3" xfId="22938"/>
    <cellStyle name="Total 26 3 2" xfId="22939"/>
    <cellStyle name="Total 26 3 3" xfId="37040"/>
    <cellStyle name="Total 26 3 4" xfId="37041"/>
    <cellStyle name="Total 26 4" xfId="22940"/>
    <cellStyle name="Total 26 4 2" xfId="22941"/>
    <cellStyle name="Total 26 4 3" xfId="37042"/>
    <cellStyle name="Total 26 4 4" xfId="37043"/>
    <cellStyle name="Total 26 5" xfId="22942"/>
    <cellStyle name="Total 26 5 2" xfId="22943"/>
    <cellStyle name="Total 26 5 3" xfId="37044"/>
    <cellStyle name="Total 26 5 4" xfId="37045"/>
    <cellStyle name="Total 26 6" xfId="22944"/>
    <cellStyle name="Total 26 6 2" xfId="22945"/>
    <cellStyle name="Total 26 6 3" xfId="37046"/>
    <cellStyle name="Total 26 6 4" xfId="37047"/>
    <cellStyle name="Total 26 7" xfId="22946"/>
    <cellStyle name="Total 26 7 2" xfId="22947"/>
    <cellStyle name="Total 26 7 3" xfId="37048"/>
    <cellStyle name="Total 26 7 4" xfId="37049"/>
    <cellStyle name="Total 26 8" xfId="22948"/>
    <cellStyle name="Total 26 9" xfId="37050"/>
    <cellStyle name="Total 3" xfId="22949"/>
    <cellStyle name="Total 3 10" xfId="22950"/>
    <cellStyle name="Total 3 10 2" xfId="22951"/>
    <cellStyle name="Total 3 10 3" xfId="37051"/>
    <cellStyle name="Total 3 10 4" xfId="37052"/>
    <cellStyle name="Total 3 11" xfId="22952"/>
    <cellStyle name="Total 3 11 2" xfId="22953"/>
    <cellStyle name="Total 3 11 3" xfId="37053"/>
    <cellStyle name="Total 3 11 4" xfId="37054"/>
    <cellStyle name="Total 3 12" xfId="22954"/>
    <cellStyle name="Total 3 13" xfId="37055"/>
    <cellStyle name="Total 3 14" xfId="37056"/>
    <cellStyle name="Total 3 2" xfId="22955"/>
    <cellStyle name="Total 3 2 10" xfId="37057"/>
    <cellStyle name="Total 3 2 2" xfId="22956"/>
    <cellStyle name="Total 3 2 2 2" xfId="22957"/>
    <cellStyle name="Total 3 2 2 3" xfId="37058"/>
    <cellStyle name="Total 3 2 2 4" xfId="37059"/>
    <cellStyle name="Total 3 2 3" xfId="22958"/>
    <cellStyle name="Total 3 2 3 2" xfId="22959"/>
    <cellStyle name="Total 3 2 3 3" xfId="37060"/>
    <cellStyle name="Total 3 2 3 4" xfId="37061"/>
    <cellStyle name="Total 3 2 4" xfId="22960"/>
    <cellStyle name="Total 3 2 4 2" xfId="22961"/>
    <cellStyle name="Total 3 2 4 3" xfId="37062"/>
    <cellStyle name="Total 3 2 4 4" xfId="37063"/>
    <cellStyle name="Total 3 2 5" xfId="22962"/>
    <cellStyle name="Total 3 2 5 2" xfId="22963"/>
    <cellStyle name="Total 3 2 5 3" xfId="37064"/>
    <cellStyle name="Total 3 2 5 4" xfId="37065"/>
    <cellStyle name="Total 3 2 6" xfId="22964"/>
    <cellStyle name="Total 3 2 6 2" xfId="22965"/>
    <cellStyle name="Total 3 2 6 3" xfId="37066"/>
    <cellStyle name="Total 3 2 6 4" xfId="37067"/>
    <cellStyle name="Total 3 2 7" xfId="22966"/>
    <cellStyle name="Total 3 2 7 2" xfId="22967"/>
    <cellStyle name="Total 3 2 7 3" xfId="37068"/>
    <cellStyle name="Total 3 2 7 4" xfId="37069"/>
    <cellStyle name="Total 3 2 8" xfId="22968"/>
    <cellStyle name="Total 3 2 9" xfId="37070"/>
    <cellStyle name="Total 3 3" xfId="22969"/>
    <cellStyle name="Total 3 3 10" xfId="37071"/>
    <cellStyle name="Total 3 3 2" xfId="22970"/>
    <cellStyle name="Total 3 3 2 2" xfId="22971"/>
    <cellStyle name="Total 3 3 2 3" xfId="37072"/>
    <cellStyle name="Total 3 3 2 4" xfId="37073"/>
    <cellStyle name="Total 3 3 3" xfId="22972"/>
    <cellStyle name="Total 3 3 3 2" xfId="22973"/>
    <cellStyle name="Total 3 3 3 3" xfId="37074"/>
    <cellStyle name="Total 3 3 3 4" xfId="37075"/>
    <cellStyle name="Total 3 3 4" xfId="22974"/>
    <cellStyle name="Total 3 3 4 2" xfId="22975"/>
    <cellStyle name="Total 3 3 4 3" xfId="37076"/>
    <cellStyle name="Total 3 3 4 4" xfId="37077"/>
    <cellStyle name="Total 3 3 5" xfId="22976"/>
    <cellStyle name="Total 3 3 5 2" xfId="22977"/>
    <cellStyle name="Total 3 3 5 3" xfId="37078"/>
    <cellStyle name="Total 3 3 5 4" xfId="37079"/>
    <cellStyle name="Total 3 3 6" xfId="22978"/>
    <cellStyle name="Total 3 3 6 2" xfId="22979"/>
    <cellStyle name="Total 3 3 6 3" xfId="37080"/>
    <cellStyle name="Total 3 3 6 4" xfId="37081"/>
    <cellStyle name="Total 3 3 7" xfId="22980"/>
    <cellStyle name="Total 3 3 7 2" xfId="22981"/>
    <cellStyle name="Total 3 3 7 3" xfId="37082"/>
    <cellStyle name="Total 3 3 7 4" xfId="37083"/>
    <cellStyle name="Total 3 3 8" xfId="22982"/>
    <cellStyle name="Total 3 3 9" xfId="37084"/>
    <cellStyle name="Total 3 4" xfId="22983"/>
    <cellStyle name="Total 3 4 10" xfId="37085"/>
    <cellStyle name="Total 3 4 2" xfId="22984"/>
    <cellStyle name="Total 3 4 2 2" xfId="22985"/>
    <cellStyle name="Total 3 4 2 3" xfId="37086"/>
    <cellStyle name="Total 3 4 2 4" xfId="37087"/>
    <cellStyle name="Total 3 4 3" xfId="22986"/>
    <cellStyle name="Total 3 4 3 2" xfId="22987"/>
    <cellStyle name="Total 3 4 3 3" xfId="37088"/>
    <cellStyle name="Total 3 4 3 4" xfId="37089"/>
    <cellStyle name="Total 3 4 4" xfId="22988"/>
    <cellStyle name="Total 3 4 4 2" xfId="22989"/>
    <cellStyle name="Total 3 4 4 3" xfId="37090"/>
    <cellStyle name="Total 3 4 4 4" xfId="37091"/>
    <cellStyle name="Total 3 4 5" xfId="22990"/>
    <cellStyle name="Total 3 4 5 2" xfId="22991"/>
    <cellStyle name="Total 3 4 5 3" xfId="37092"/>
    <cellStyle name="Total 3 4 5 4" xfId="37093"/>
    <cellStyle name="Total 3 4 6" xfId="22992"/>
    <cellStyle name="Total 3 4 6 2" xfId="22993"/>
    <cellStyle name="Total 3 4 6 3" xfId="37094"/>
    <cellStyle name="Total 3 4 6 4" xfId="37095"/>
    <cellStyle name="Total 3 4 7" xfId="22994"/>
    <cellStyle name="Total 3 4 7 2" xfId="22995"/>
    <cellStyle name="Total 3 4 7 3" xfId="37096"/>
    <cellStyle name="Total 3 4 7 4" xfId="37097"/>
    <cellStyle name="Total 3 4 8" xfId="22996"/>
    <cellStyle name="Total 3 4 9" xfId="37098"/>
    <cellStyle name="Total 3 5" xfId="22997"/>
    <cellStyle name="Total 3 5 10" xfId="37099"/>
    <cellStyle name="Total 3 5 2" xfId="22998"/>
    <cellStyle name="Total 3 5 2 2" xfId="22999"/>
    <cellStyle name="Total 3 5 2 3" xfId="37100"/>
    <cellStyle name="Total 3 5 2 4" xfId="37101"/>
    <cellStyle name="Total 3 5 3" xfId="23000"/>
    <cellStyle name="Total 3 5 3 2" xfId="23001"/>
    <cellStyle name="Total 3 5 3 3" xfId="37102"/>
    <cellStyle name="Total 3 5 3 4" xfId="37103"/>
    <cellStyle name="Total 3 5 4" xfId="23002"/>
    <cellStyle name="Total 3 5 4 2" xfId="23003"/>
    <cellStyle name="Total 3 5 4 3" xfId="37104"/>
    <cellStyle name="Total 3 5 4 4" xfId="37105"/>
    <cellStyle name="Total 3 5 5" xfId="23004"/>
    <cellStyle name="Total 3 5 5 2" xfId="23005"/>
    <cellStyle name="Total 3 5 5 3" xfId="37106"/>
    <cellStyle name="Total 3 5 5 4" xfId="37107"/>
    <cellStyle name="Total 3 5 6" xfId="23006"/>
    <cellStyle name="Total 3 5 6 2" xfId="23007"/>
    <cellStyle name="Total 3 5 6 3" xfId="37108"/>
    <cellStyle name="Total 3 5 6 4" xfId="37109"/>
    <cellStyle name="Total 3 5 7" xfId="23008"/>
    <cellStyle name="Total 3 5 7 2" xfId="23009"/>
    <cellStyle name="Total 3 5 7 3" xfId="37110"/>
    <cellStyle name="Total 3 5 7 4" xfId="37111"/>
    <cellStyle name="Total 3 5 8" xfId="23010"/>
    <cellStyle name="Total 3 5 9" xfId="37112"/>
    <cellStyle name="Total 3 6" xfId="23011"/>
    <cellStyle name="Total 3 6 2" xfId="23012"/>
    <cellStyle name="Total 3 6 3" xfId="37113"/>
    <cellStyle name="Total 3 6 4" xfId="37114"/>
    <cellStyle name="Total 3 7" xfId="23013"/>
    <cellStyle name="Total 3 7 2" xfId="23014"/>
    <cellStyle name="Total 3 7 3" xfId="37115"/>
    <cellStyle name="Total 3 7 4" xfId="37116"/>
    <cellStyle name="Total 3 8" xfId="23015"/>
    <cellStyle name="Total 3 8 2" xfId="23016"/>
    <cellStyle name="Total 3 8 3" xfId="37117"/>
    <cellStyle name="Total 3 8 4" xfId="37118"/>
    <cellStyle name="Total 3 9" xfId="23017"/>
    <cellStyle name="Total 3 9 2" xfId="23018"/>
    <cellStyle name="Total 3 9 3" xfId="37119"/>
    <cellStyle name="Total 3 9 4" xfId="37120"/>
    <cellStyle name="Total 4" xfId="23019"/>
    <cellStyle name="Total 4 10" xfId="23020"/>
    <cellStyle name="Total 4 10 2" xfId="23021"/>
    <cellStyle name="Total 4 10 3" xfId="37121"/>
    <cellStyle name="Total 4 10 4" xfId="37122"/>
    <cellStyle name="Total 4 11" xfId="23022"/>
    <cellStyle name="Total 4 11 2" xfId="23023"/>
    <cellStyle name="Total 4 11 3" xfId="37123"/>
    <cellStyle name="Total 4 11 4" xfId="37124"/>
    <cellStyle name="Total 4 12" xfId="23024"/>
    <cellStyle name="Total 4 13" xfId="37125"/>
    <cellStyle name="Total 4 14" xfId="37126"/>
    <cellStyle name="Total 4 2" xfId="23025"/>
    <cellStyle name="Total 4 2 10" xfId="37127"/>
    <cellStyle name="Total 4 2 2" xfId="23026"/>
    <cellStyle name="Total 4 2 2 2" xfId="23027"/>
    <cellStyle name="Total 4 2 2 3" xfId="37128"/>
    <cellStyle name="Total 4 2 2 4" xfId="37129"/>
    <cellStyle name="Total 4 2 3" xfId="23028"/>
    <cellStyle name="Total 4 2 3 2" xfId="23029"/>
    <cellStyle name="Total 4 2 3 3" xfId="37130"/>
    <cellStyle name="Total 4 2 3 4" xfId="37131"/>
    <cellStyle name="Total 4 2 4" xfId="23030"/>
    <cellStyle name="Total 4 2 4 2" xfId="23031"/>
    <cellStyle name="Total 4 2 4 3" xfId="37132"/>
    <cellStyle name="Total 4 2 4 4" xfId="37133"/>
    <cellStyle name="Total 4 2 5" xfId="23032"/>
    <cellStyle name="Total 4 2 5 2" xfId="23033"/>
    <cellStyle name="Total 4 2 5 3" xfId="37134"/>
    <cellStyle name="Total 4 2 5 4" xfId="37135"/>
    <cellStyle name="Total 4 2 6" xfId="23034"/>
    <cellStyle name="Total 4 2 6 2" xfId="23035"/>
    <cellStyle name="Total 4 2 6 3" xfId="37136"/>
    <cellStyle name="Total 4 2 6 4" xfId="37137"/>
    <cellStyle name="Total 4 2 7" xfId="23036"/>
    <cellStyle name="Total 4 2 7 2" xfId="23037"/>
    <cellStyle name="Total 4 2 7 3" xfId="37138"/>
    <cellStyle name="Total 4 2 7 4" xfId="37139"/>
    <cellStyle name="Total 4 2 8" xfId="23038"/>
    <cellStyle name="Total 4 2 9" xfId="37140"/>
    <cellStyle name="Total 4 3" xfId="23039"/>
    <cellStyle name="Total 4 3 10" xfId="37141"/>
    <cellStyle name="Total 4 3 2" xfId="23040"/>
    <cellStyle name="Total 4 3 2 2" xfId="23041"/>
    <cellStyle name="Total 4 3 2 3" xfId="37142"/>
    <cellStyle name="Total 4 3 2 4" xfId="37143"/>
    <cellStyle name="Total 4 3 3" xfId="23042"/>
    <cellStyle name="Total 4 3 3 2" xfId="23043"/>
    <cellStyle name="Total 4 3 3 3" xfId="37144"/>
    <cellStyle name="Total 4 3 3 4" xfId="37145"/>
    <cellStyle name="Total 4 3 4" xfId="23044"/>
    <cellStyle name="Total 4 3 4 2" xfId="23045"/>
    <cellStyle name="Total 4 3 4 3" xfId="37146"/>
    <cellStyle name="Total 4 3 4 4" xfId="37147"/>
    <cellStyle name="Total 4 3 5" xfId="23046"/>
    <cellStyle name="Total 4 3 5 2" xfId="23047"/>
    <cellStyle name="Total 4 3 5 3" xfId="37148"/>
    <cellStyle name="Total 4 3 5 4" xfId="37149"/>
    <cellStyle name="Total 4 3 6" xfId="23048"/>
    <cellStyle name="Total 4 3 6 2" xfId="23049"/>
    <cellStyle name="Total 4 3 6 3" xfId="37150"/>
    <cellStyle name="Total 4 3 6 4" xfId="37151"/>
    <cellStyle name="Total 4 3 7" xfId="23050"/>
    <cellStyle name="Total 4 3 7 2" xfId="23051"/>
    <cellStyle name="Total 4 3 7 3" xfId="37152"/>
    <cellStyle name="Total 4 3 7 4" xfId="37153"/>
    <cellStyle name="Total 4 3 8" xfId="23052"/>
    <cellStyle name="Total 4 3 9" xfId="37154"/>
    <cellStyle name="Total 4 4" xfId="23053"/>
    <cellStyle name="Total 4 4 10" xfId="37155"/>
    <cellStyle name="Total 4 4 2" xfId="23054"/>
    <cellStyle name="Total 4 4 2 2" xfId="23055"/>
    <cellStyle name="Total 4 4 2 3" xfId="37156"/>
    <cellStyle name="Total 4 4 2 4" xfId="37157"/>
    <cellStyle name="Total 4 4 3" xfId="23056"/>
    <cellStyle name="Total 4 4 3 2" xfId="23057"/>
    <cellStyle name="Total 4 4 3 3" xfId="37158"/>
    <cellStyle name="Total 4 4 3 4" xfId="37159"/>
    <cellStyle name="Total 4 4 4" xfId="23058"/>
    <cellStyle name="Total 4 4 4 2" xfId="23059"/>
    <cellStyle name="Total 4 4 4 3" xfId="37160"/>
    <cellStyle name="Total 4 4 4 4" xfId="37161"/>
    <cellStyle name="Total 4 4 5" xfId="23060"/>
    <cellStyle name="Total 4 4 5 2" xfId="23061"/>
    <cellStyle name="Total 4 4 5 3" xfId="37162"/>
    <cellStyle name="Total 4 4 5 4" xfId="37163"/>
    <cellStyle name="Total 4 4 6" xfId="23062"/>
    <cellStyle name="Total 4 4 6 2" xfId="23063"/>
    <cellStyle name="Total 4 4 6 3" xfId="37164"/>
    <cellStyle name="Total 4 4 6 4" xfId="37165"/>
    <cellStyle name="Total 4 4 7" xfId="23064"/>
    <cellStyle name="Total 4 4 7 2" xfId="23065"/>
    <cellStyle name="Total 4 4 7 3" xfId="37166"/>
    <cellStyle name="Total 4 4 7 4" xfId="37167"/>
    <cellStyle name="Total 4 4 8" xfId="23066"/>
    <cellStyle name="Total 4 4 9" xfId="37168"/>
    <cellStyle name="Total 4 5" xfId="23067"/>
    <cellStyle name="Total 4 5 10" xfId="37169"/>
    <cellStyle name="Total 4 5 2" xfId="23068"/>
    <cellStyle name="Total 4 5 2 2" xfId="23069"/>
    <cellStyle name="Total 4 5 2 3" xfId="37170"/>
    <cellStyle name="Total 4 5 2 4" xfId="37171"/>
    <cellStyle name="Total 4 5 3" xfId="23070"/>
    <cellStyle name="Total 4 5 3 2" xfId="23071"/>
    <cellStyle name="Total 4 5 3 3" xfId="37172"/>
    <cellStyle name="Total 4 5 3 4" xfId="37173"/>
    <cellStyle name="Total 4 5 4" xfId="23072"/>
    <cellStyle name="Total 4 5 4 2" xfId="23073"/>
    <cellStyle name="Total 4 5 4 3" xfId="37174"/>
    <cellStyle name="Total 4 5 4 4" xfId="37175"/>
    <cellStyle name="Total 4 5 5" xfId="23074"/>
    <cellStyle name="Total 4 5 5 2" xfId="23075"/>
    <cellStyle name="Total 4 5 5 3" xfId="37176"/>
    <cellStyle name="Total 4 5 5 4" xfId="37177"/>
    <cellStyle name="Total 4 5 6" xfId="23076"/>
    <cellStyle name="Total 4 5 6 2" xfId="23077"/>
    <cellStyle name="Total 4 5 6 3" xfId="37178"/>
    <cellStyle name="Total 4 5 6 4" xfId="37179"/>
    <cellStyle name="Total 4 5 7" xfId="23078"/>
    <cellStyle name="Total 4 5 7 2" xfId="23079"/>
    <cellStyle name="Total 4 5 7 3" xfId="37180"/>
    <cellStyle name="Total 4 5 7 4" xfId="37181"/>
    <cellStyle name="Total 4 5 8" xfId="23080"/>
    <cellStyle name="Total 4 5 9" xfId="37182"/>
    <cellStyle name="Total 4 6" xfId="23081"/>
    <cellStyle name="Total 4 6 2" xfId="23082"/>
    <cellStyle name="Total 4 6 3" xfId="37183"/>
    <cellStyle name="Total 4 6 4" xfId="37184"/>
    <cellStyle name="Total 4 7" xfId="23083"/>
    <cellStyle name="Total 4 7 2" xfId="23084"/>
    <cellStyle name="Total 4 7 3" xfId="37185"/>
    <cellStyle name="Total 4 7 4" xfId="37186"/>
    <cellStyle name="Total 4 8" xfId="23085"/>
    <cellStyle name="Total 4 8 2" xfId="23086"/>
    <cellStyle name="Total 4 8 3" xfId="37187"/>
    <cellStyle name="Total 4 8 4" xfId="37188"/>
    <cellStyle name="Total 4 9" xfId="23087"/>
    <cellStyle name="Total 4 9 2" xfId="23088"/>
    <cellStyle name="Total 4 9 3" xfId="37189"/>
    <cellStyle name="Total 4 9 4" xfId="37190"/>
    <cellStyle name="Total 5" xfId="23089"/>
    <cellStyle name="Total 5 10" xfId="23090"/>
    <cellStyle name="Total 5 10 2" xfId="23091"/>
    <cellStyle name="Total 5 10 3" xfId="37191"/>
    <cellStyle name="Total 5 10 4" xfId="37192"/>
    <cellStyle name="Total 5 11" xfId="23092"/>
    <cellStyle name="Total 5 11 2" xfId="23093"/>
    <cellStyle name="Total 5 11 3" xfId="37193"/>
    <cellStyle name="Total 5 11 4" xfId="37194"/>
    <cellStyle name="Total 5 12" xfId="23094"/>
    <cellStyle name="Total 5 13" xfId="37195"/>
    <cellStyle name="Total 5 14" xfId="37196"/>
    <cellStyle name="Total 5 2" xfId="23095"/>
    <cellStyle name="Total 5 2 10" xfId="37197"/>
    <cellStyle name="Total 5 2 2" xfId="23096"/>
    <cellStyle name="Total 5 2 2 2" xfId="23097"/>
    <cellStyle name="Total 5 2 2 3" xfId="37198"/>
    <cellStyle name="Total 5 2 2 4" xfId="37199"/>
    <cellStyle name="Total 5 2 3" xfId="23098"/>
    <cellStyle name="Total 5 2 3 2" xfId="23099"/>
    <cellStyle name="Total 5 2 3 3" xfId="37200"/>
    <cellStyle name="Total 5 2 3 4" xfId="37201"/>
    <cellStyle name="Total 5 2 4" xfId="23100"/>
    <cellStyle name="Total 5 2 4 2" xfId="23101"/>
    <cellStyle name="Total 5 2 4 3" xfId="37202"/>
    <cellStyle name="Total 5 2 4 4" xfId="37203"/>
    <cellStyle name="Total 5 2 5" xfId="23102"/>
    <cellStyle name="Total 5 2 5 2" xfId="23103"/>
    <cellStyle name="Total 5 2 5 3" xfId="37204"/>
    <cellStyle name="Total 5 2 5 4" xfId="37205"/>
    <cellStyle name="Total 5 2 6" xfId="23104"/>
    <cellStyle name="Total 5 2 6 2" xfId="23105"/>
    <cellStyle name="Total 5 2 6 3" xfId="37206"/>
    <cellStyle name="Total 5 2 6 4" xfId="37207"/>
    <cellStyle name="Total 5 2 7" xfId="23106"/>
    <cellStyle name="Total 5 2 7 2" xfId="23107"/>
    <cellStyle name="Total 5 2 7 3" xfId="37208"/>
    <cellStyle name="Total 5 2 7 4" xfId="37209"/>
    <cellStyle name="Total 5 2 8" xfId="23108"/>
    <cellStyle name="Total 5 2 9" xfId="37210"/>
    <cellStyle name="Total 5 3" xfId="23109"/>
    <cellStyle name="Total 5 3 10" xfId="37211"/>
    <cellStyle name="Total 5 3 2" xfId="23110"/>
    <cellStyle name="Total 5 3 2 2" xfId="23111"/>
    <cellStyle name="Total 5 3 2 3" xfId="37212"/>
    <cellStyle name="Total 5 3 2 4" xfId="37213"/>
    <cellStyle name="Total 5 3 3" xfId="23112"/>
    <cellStyle name="Total 5 3 3 2" xfId="23113"/>
    <cellStyle name="Total 5 3 3 3" xfId="37214"/>
    <cellStyle name="Total 5 3 3 4" xfId="37215"/>
    <cellStyle name="Total 5 3 4" xfId="23114"/>
    <cellStyle name="Total 5 3 4 2" xfId="23115"/>
    <cellStyle name="Total 5 3 4 3" xfId="37216"/>
    <cellStyle name="Total 5 3 4 4" xfId="37217"/>
    <cellStyle name="Total 5 3 5" xfId="23116"/>
    <cellStyle name="Total 5 3 5 2" xfId="23117"/>
    <cellStyle name="Total 5 3 5 3" xfId="37218"/>
    <cellStyle name="Total 5 3 5 4" xfId="37219"/>
    <cellStyle name="Total 5 3 6" xfId="23118"/>
    <cellStyle name="Total 5 3 6 2" xfId="23119"/>
    <cellStyle name="Total 5 3 6 3" xfId="37220"/>
    <cellStyle name="Total 5 3 6 4" xfId="37221"/>
    <cellStyle name="Total 5 3 7" xfId="23120"/>
    <cellStyle name="Total 5 3 7 2" xfId="23121"/>
    <cellStyle name="Total 5 3 7 3" xfId="37222"/>
    <cellStyle name="Total 5 3 7 4" xfId="37223"/>
    <cellStyle name="Total 5 3 8" xfId="23122"/>
    <cellStyle name="Total 5 3 9" xfId="37224"/>
    <cellStyle name="Total 5 4" xfId="23123"/>
    <cellStyle name="Total 5 4 10" xfId="37225"/>
    <cellStyle name="Total 5 4 2" xfId="23124"/>
    <cellStyle name="Total 5 4 2 2" xfId="23125"/>
    <cellStyle name="Total 5 4 2 3" xfId="37226"/>
    <cellStyle name="Total 5 4 2 4" xfId="37227"/>
    <cellStyle name="Total 5 4 3" xfId="23126"/>
    <cellStyle name="Total 5 4 3 2" xfId="23127"/>
    <cellStyle name="Total 5 4 3 3" xfId="37228"/>
    <cellStyle name="Total 5 4 3 4" xfId="37229"/>
    <cellStyle name="Total 5 4 4" xfId="23128"/>
    <cellStyle name="Total 5 4 4 2" xfId="23129"/>
    <cellStyle name="Total 5 4 4 3" xfId="37230"/>
    <cellStyle name="Total 5 4 4 4" xfId="37231"/>
    <cellStyle name="Total 5 4 5" xfId="23130"/>
    <cellStyle name="Total 5 4 5 2" xfId="23131"/>
    <cellStyle name="Total 5 4 5 3" xfId="37232"/>
    <cellStyle name="Total 5 4 5 4" xfId="37233"/>
    <cellStyle name="Total 5 4 6" xfId="23132"/>
    <cellStyle name="Total 5 4 6 2" xfId="23133"/>
    <cellStyle name="Total 5 4 6 3" xfId="37234"/>
    <cellStyle name="Total 5 4 6 4" xfId="37235"/>
    <cellStyle name="Total 5 4 7" xfId="23134"/>
    <cellStyle name="Total 5 4 7 2" xfId="23135"/>
    <cellStyle name="Total 5 4 7 3" xfId="37236"/>
    <cellStyle name="Total 5 4 7 4" xfId="37237"/>
    <cellStyle name="Total 5 4 8" xfId="23136"/>
    <cellStyle name="Total 5 4 9" xfId="37238"/>
    <cellStyle name="Total 5 5" xfId="23137"/>
    <cellStyle name="Total 5 5 10" xfId="37239"/>
    <cellStyle name="Total 5 5 2" xfId="23138"/>
    <cellStyle name="Total 5 5 2 2" xfId="23139"/>
    <cellStyle name="Total 5 5 2 3" xfId="37240"/>
    <cellStyle name="Total 5 5 2 4" xfId="37241"/>
    <cellStyle name="Total 5 5 3" xfId="23140"/>
    <cellStyle name="Total 5 5 3 2" xfId="23141"/>
    <cellStyle name="Total 5 5 3 3" xfId="37242"/>
    <cellStyle name="Total 5 5 3 4" xfId="37243"/>
    <cellStyle name="Total 5 5 4" xfId="23142"/>
    <cellStyle name="Total 5 5 4 2" xfId="23143"/>
    <cellStyle name="Total 5 5 4 3" xfId="37244"/>
    <cellStyle name="Total 5 5 4 4" xfId="37245"/>
    <cellStyle name="Total 5 5 5" xfId="23144"/>
    <cellStyle name="Total 5 5 5 2" xfId="23145"/>
    <cellStyle name="Total 5 5 5 3" xfId="37246"/>
    <cellStyle name="Total 5 5 5 4" xfId="37247"/>
    <cellStyle name="Total 5 5 6" xfId="23146"/>
    <cellStyle name="Total 5 5 6 2" xfId="23147"/>
    <cellStyle name="Total 5 5 6 3" xfId="37248"/>
    <cellStyle name="Total 5 5 6 4" xfId="37249"/>
    <cellStyle name="Total 5 5 7" xfId="23148"/>
    <cellStyle name="Total 5 5 7 2" xfId="23149"/>
    <cellStyle name="Total 5 5 7 3" xfId="37250"/>
    <cellStyle name="Total 5 5 7 4" xfId="37251"/>
    <cellStyle name="Total 5 5 8" xfId="23150"/>
    <cellStyle name="Total 5 5 9" xfId="37252"/>
    <cellStyle name="Total 5 6" xfId="23151"/>
    <cellStyle name="Total 5 6 2" xfId="23152"/>
    <cellStyle name="Total 5 6 3" xfId="37253"/>
    <cellStyle name="Total 5 6 4" xfId="37254"/>
    <cellStyle name="Total 5 7" xfId="23153"/>
    <cellStyle name="Total 5 7 2" xfId="23154"/>
    <cellStyle name="Total 5 7 3" xfId="37255"/>
    <cellStyle name="Total 5 7 4" xfId="37256"/>
    <cellStyle name="Total 5 8" xfId="23155"/>
    <cellStyle name="Total 5 8 2" xfId="23156"/>
    <cellStyle name="Total 5 8 3" xfId="37257"/>
    <cellStyle name="Total 5 8 4" xfId="37258"/>
    <cellStyle name="Total 5 9" xfId="23157"/>
    <cellStyle name="Total 5 9 2" xfId="23158"/>
    <cellStyle name="Total 5 9 3" xfId="37259"/>
    <cellStyle name="Total 5 9 4" xfId="37260"/>
    <cellStyle name="Total 6" xfId="23159"/>
    <cellStyle name="Total 6 10" xfId="23160"/>
    <cellStyle name="Total 6 10 2" xfId="23161"/>
    <cellStyle name="Total 6 10 3" xfId="37261"/>
    <cellStyle name="Total 6 10 4" xfId="37262"/>
    <cellStyle name="Total 6 11" xfId="23162"/>
    <cellStyle name="Total 6 11 2" xfId="23163"/>
    <cellStyle name="Total 6 11 3" xfId="37263"/>
    <cellStyle name="Total 6 11 4" xfId="37264"/>
    <cellStyle name="Total 6 12" xfId="23164"/>
    <cellStyle name="Total 6 13" xfId="37265"/>
    <cellStyle name="Total 6 14" xfId="37266"/>
    <cellStyle name="Total 6 2" xfId="23165"/>
    <cellStyle name="Total 6 2 10" xfId="37267"/>
    <cellStyle name="Total 6 2 2" xfId="23166"/>
    <cellStyle name="Total 6 2 2 2" xfId="23167"/>
    <cellStyle name="Total 6 2 2 3" xfId="37268"/>
    <cellStyle name="Total 6 2 2 4" xfId="37269"/>
    <cellStyle name="Total 6 2 3" xfId="23168"/>
    <cellStyle name="Total 6 2 3 2" xfId="23169"/>
    <cellStyle name="Total 6 2 3 3" xfId="37270"/>
    <cellStyle name="Total 6 2 3 4" xfId="37271"/>
    <cellStyle name="Total 6 2 4" xfId="23170"/>
    <cellStyle name="Total 6 2 4 2" xfId="23171"/>
    <cellStyle name="Total 6 2 4 3" xfId="37272"/>
    <cellStyle name="Total 6 2 4 4" xfId="37273"/>
    <cellStyle name="Total 6 2 5" xfId="23172"/>
    <cellStyle name="Total 6 2 5 2" xfId="23173"/>
    <cellStyle name="Total 6 2 5 3" xfId="37274"/>
    <cellStyle name="Total 6 2 5 4" xfId="37275"/>
    <cellStyle name="Total 6 2 6" xfId="23174"/>
    <cellStyle name="Total 6 2 6 2" xfId="23175"/>
    <cellStyle name="Total 6 2 6 3" xfId="37276"/>
    <cellStyle name="Total 6 2 6 4" xfId="37277"/>
    <cellStyle name="Total 6 2 7" xfId="23176"/>
    <cellStyle name="Total 6 2 7 2" xfId="23177"/>
    <cellStyle name="Total 6 2 7 3" xfId="37278"/>
    <cellStyle name="Total 6 2 7 4" xfId="37279"/>
    <cellStyle name="Total 6 2 8" xfId="23178"/>
    <cellStyle name="Total 6 2 9" xfId="37280"/>
    <cellStyle name="Total 6 3" xfId="23179"/>
    <cellStyle name="Total 6 3 10" xfId="37281"/>
    <cellStyle name="Total 6 3 2" xfId="23180"/>
    <cellStyle name="Total 6 3 2 2" xfId="23181"/>
    <cellStyle name="Total 6 3 2 3" xfId="37282"/>
    <cellStyle name="Total 6 3 2 4" xfId="37283"/>
    <cellStyle name="Total 6 3 3" xfId="23182"/>
    <cellStyle name="Total 6 3 3 2" xfId="23183"/>
    <cellStyle name="Total 6 3 3 3" xfId="37284"/>
    <cellStyle name="Total 6 3 3 4" xfId="37285"/>
    <cellStyle name="Total 6 3 4" xfId="23184"/>
    <cellStyle name="Total 6 3 4 2" xfId="23185"/>
    <cellStyle name="Total 6 3 4 3" xfId="37286"/>
    <cellStyle name="Total 6 3 4 4" xfId="37287"/>
    <cellStyle name="Total 6 3 5" xfId="23186"/>
    <cellStyle name="Total 6 3 5 2" xfId="23187"/>
    <cellStyle name="Total 6 3 5 3" xfId="37288"/>
    <cellStyle name="Total 6 3 5 4" xfId="37289"/>
    <cellStyle name="Total 6 3 6" xfId="23188"/>
    <cellStyle name="Total 6 3 6 2" xfId="23189"/>
    <cellStyle name="Total 6 3 6 3" xfId="37290"/>
    <cellStyle name="Total 6 3 6 4" xfId="37291"/>
    <cellStyle name="Total 6 3 7" xfId="23190"/>
    <cellStyle name="Total 6 3 7 2" xfId="23191"/>
    <cellStyle name="Total 6 3 7 3" xfId="37292"/>
    <cellStyle name="Total 6 3 7 4" xfId="37293"/>
    <cellStyle name="Total 6 3 8" xfId="23192"/>
    <cellStyle name="Total 6 3 9" xfId="37294"/>
    <cellStyle name="Total 6 4" xfId="23193"/>
    <cellStyle name="Total 6 4 10" xfId="37295"/>
    <cellStyle name="Total 6 4 2" xfId="23194"/>
    <cellStyle name="Total 6 4 2 2" xfId="23195"/>
    <cellStyle name="Total 6 4 2 3" xfId="37296"/>
    <cellStyle name="Total 6 4 2 4" xfId="37297"/>
    <cellStyle name="Total 6 4 3" xfId="23196"/>
    <cellStyle name="Total 6 4 3 2" xfId="23197"/>
    <cellStyle name="Total 6 4 3 3" xfId="37298"/>
    <cellStyle name="Total 6 4 3 4" xfId="37299"/>
    <cellStyle name="Total 6 4 4" xfId="23198"/>
    <cellStyle name="Total 6 4 4 2" xfId="23199"/>
    <cellStyle name="Total 6 4 4 3" xfId="37300"/>
    <cellStyle name="Total 6 4 4 4" xfId="37301"/>
    <cellStyle name="Total 6 4 5" xfId="23200"/>
    <cellStyle name="Total 6 4 5 2" xfId="23201"/>
    <cellStyle name="Total 6 4 5 3" xfId="37302"/>
    <cellStyle name="Total 6 4 5 4" xfId="37303"/>
    <cellStyle name="Total 6 4 6" xfId="23202"/>
    <cellStyle name="Total 6 4 6 2" xfId="23203"/>
    <cellStyle name="Total 6 4 6 3" xfId="37304"/>
    <cellStyle name="Total 6 4 6 4" xfId="37305"/>
    <cellStyle name="Total 6 4 7" xfId="23204"/>
    <cellStyle name="Total 6 4 7 2" xfId="23205"/>
    <cellStyle name="Total 6 4 7 3" xfId="37306"/>
    <cellStyle name="Total 6 4 7 4" xfId="37307"/>
    <cellStyle name="Total 6 4 8" xfId="23206"/>
    <cellStyle name="Total 6 4 9" xfId="37308"/>
    <cellStyle name="Total 6 5" xfId="23207"/>
    <cellStyle name="Total 6 5 10" xfId="37309"/>
    <cellStyle name="Total 6 5 2" xfId="23208"/>
    <cellStyle name="Total 6 5 2 2" xfId="23209"/>
    <cellStyle name="Total 6 5 2 3" xfId="37310"/>
    <cellStyle name="Total 6 5 2 4" xfId="37311"/>
    <cellStyle name="Total 6 5 3" xfId="23210"/>
    <cellStyle name="Total 6 5 3 2" xfId="23211"/>
    <cellStyle name="Total 6 5 3 3" xfId="37312"/>
    <cellStyle name="Total 6 5 3 4" xfId="37313"/>
    <cellStyle name="Total 6 5 4" xfId="23212"/>
    <cellStyle name="Total 6 5 4 2" xfId="23213"/>
    <cellStyle name="Total 6 5 4 3" xfId="37314"/>
    <cellStyle name="Total 6 5 4 4" xfId="37315"/>
    <cellStyle name="Total 6 5 5" xfId="23214"/>
    <cellStyle name="Total 6 5 5 2" xfId="23215"/>
    <cellStyle name="Total 6 5 5 3" xfId="37316"/>
    <cellStyle name="Total 6 5 5 4" xfId="37317"/>
    <cellStyle name="Total 6 5 6" xfId="23216"/>
    <cellStyle name="Total 6 5 6 2" xfId="23217"/>
    <cellStyle name="Total 6 5 6 3" xfId="37318"/>
    <cellStyle name="Total 6 5 6 4" xfId="37319"/>
    <cellStyle name="Total 6 5 7" xfId="23218"/>
    <cellStyle name="Total 6 5 7 2" xfId="23219"/>
    <cellStyle name="Total 6 5 7 3" xfId="37320"/>
    <cellStyle name="Total 6 5 7 4" xfId="37321"/>
    <cellStyle name="Total 6 5 8" xfId="23220"/>
    <cellStyle name="Total 6 5 9" xfId="37322"/>
    <cellStyle name="Total 6 6" xfId="23221"/>
    <cellStyle name="Total 6 6 2" xfId="23222"/>
    <cellStyle name="Total 6 6 3" xfId="37323"/>
    <cellStyle name="Total 6 6 4" xfId="37324"/>
    <cellStyle name="Total 6 7" xfId="23223"/>
    <cellStyle name="Total 6 7 2" xfId="23224"/>
    <cellStyle name="Total 6 7 3" xfId="37325"/>
    <cellStyle name="Total 6 7 4" xfId="37326"/>
    <cellStyle name="Total 6 8" xfId="23225"/>
    <cellStyle name="Total 6 8 2" xfId="23226"/>
    <cellStyle name="Total 6 8 3" xfId="37327"/>
    <cellStyle name="Total 6 8 4" xfId="37328"/>
    <cellStyle name="Total 6 9" xfId="23227"/>
    <cellStyle name="Total 6 9 2" xfId="23228"/>
    <cellStyle name="Total 6 9 3" xfId="37329"/>
    <cellStyle name="Total 6 9 4" xfId="37330"/>
    <cellStyle name="Total 7" xfId="23229"/>
    <cellStyle name="Total 7 10" xfId="23230"/>
    <cellStyle name="Total 7 10 2" xfId="23231"/>
    <cellStyle name="Total 7 10 3" xfId="37331"/>
    <cellStyle name="Total 7 10 4" xfId="37332"/>
    <cellStyle name="Total 7 11" xfId="23232"/>
    <cellStyle name="Total 7 11 2" xfId="23233"/>
    <cellStyle name="Total 7 11 3" xfId="37333"/>
    <cellStyle name="Total 7 11 4" xfId="37334"/>
    <cellStyle name="Total 7 12" xfId="23234"/>
    <cellStyle name="Total 7 13" xfId="37335"/>
    <cellStyle name="Total 7 14" xfId="37336"/>
    <cellStyle name="Total 7 2" xfId="23235"/>
    <cellStyle name="Total 7 2 10" xfId="37337"/>
    <cellStyle name="Total 7 2 2" xfId="23236"/>
    <cellStyle name="Total 7 2 2 2" xfId="23237"/>
    <cellStyle name="Total 7 2 2 3" xfId="37338"/>
    <cellStyle name="Total 7 2 2 4" xfId="37339"/>
    <cellStyle name="Total 7 2 3" xfId="23238"/>
    <cellStyle name="Total 7 2 3 2" xfId="23239"/>
    <cellStyle name="Total 7 2 3 3" xfId="37340"/>
    <cellStyle name="Total 7 2 3 4" xfId="37341"/>
    <cellStyle name="Total 7 2 4" xfId="23240"/>
    <cellStyle name="Total 7 2 4 2" xfId="23241"/>
    <cellStyle name="Total 7 2 4 3" xfId="37342"/>
    <cellStyle name="Total 7 2 4 4" xfId="37343"/>
    <cellStyle name="Total 7 2 5" xfId="23242"/>
    <cellStyle name="Total 7 2 5 2" xfId="23243"/>
    <cellStyle name="Total 7 2 5 3" xfId="37344"/>
    <cellStyle name="Total 7 2 5 4" xfId="37345"/>
    <cellStyle name="Total 7 2 6" xfId="23244"/>
    <cellStyle name="Total 7 2 6 2" xfId="23245"/>
    <cellStyle name="Total 7 2 6 3" xfId="37346"/>
    <cellStyle name="Total 7 2 6 4" xfId="37347"/>
    <cellStyle name="Total 7 2 7" xfId="23246"/>
    <cellStyle name="Total 7 2 7 2" xfId="23247"/>
    <cellStyle name="Total 7 2 7 3" xfId="37348"/>
    <cellStyle name="Total 7 2 7 4" xfId="37349"/>
    <cellStyle name="Total 7 2 8" xfId="23248"/>
    <cellStyle name="Total 7 2 9" xfId="37350"/>
    <cellStyle name="Total 7 3" xfId="23249"/>
    <cellStyle name="Total 7 3 10" xfId="37351"/>
    <cellStyle name="Total 7 3 2" xfId="23250"/>
    <cellStyle name="Total 7 3 2 2" xfId="23251"/>
    <cellStyle name="Total 7 3 2 3" xfId="37352"/>
    <cellStyle name="Total 7 3 2 4" xfId="37353"/>
    <cellStyle name="Total 7 3 3" xfId="23252"/>
    <cellStyle name="Total 7 3 3 2" xfId="23253"/>
    <cellStyle name="Total 7 3 3 3" xfId="37354"/>
    <cellStyle name="Total 7 3 3 4" xfId="37355"/>
    <cellStyle name="Total 7 3 4" xfId="23254"/>
    <cellStyle name="Total 7 3 4 2" xfId="23255"/>
    <cellStyle name="Total 7 3 4 3" xfId="37356"/>
    <cellStyle name="Total 7 3 4 4" xfId="37357"/>
    <cellStyle name="Total 7 3 5" xfId="23256"/>
    <cellStyle name="Total 7 3 5 2" xfId="23257"/>
    <cellStyle name="Total 7 3 5 3" xfId="37358"/>
    <cellStyle name="Total 7 3 5 4" xfId="37359"/>
    <cellStyle name="Total 7 3 6" xfId="23258"/>
    <cellStyle name="Total 7 3 6 2" xfId="23259"/>
    <cellStyle name="Total 7 3 6 3" xfId="37360"/>
    <cellStyle name="Total 7 3 6 4" xfId="37361"/>
    <cellStyle name="Total 7 3 7" xfId="23260"/>
    <cellStyle name="Total 7 3 7 2" xfId="23261"/>
    <cellStyle name="Total 7 3 7 3" xfId="37362"/>
    <cellStyle name="Total 7 3 7 4" xfId="37363"/>
    <cellStyle name="Total 7 3 8" xfId="23262"/>
    <cellStyle name="Total 7 3 9" xfId="37364"/>
    <cellStyle name="Total 7 4" xfId="23263"/>
    <cellStyle name="Total 7 4 10" xfId="37365"/>
    <cellStyle name="Total 7 4 2" xfId="23264"/>
    <cellStyle name="Total 7 4 2 2" xfId="23265"/>
    <cellStyle name="Total 7 4 2 3" xfId="37366"/>
    <cellStyle name="Total 7 4 2 4" xfId="37367"/>
    <cellStyle name="Total 7 4 3" xfId="23266"/>
    <cellStyle name="Total 7 4 3 2" xfId="23267"/>
    <cellStyle name="Total 7 4 3 3" xfId="37368"/>
    <cellStyle name="Total 7 4 3 4" xfId="37369"/>
    <cellStyle name="Total 7 4 4" xfId="23268"/>
    <cellStyle name="Total 7 4 4 2" xfId="23269"/>
    <cellStyle name="Total 7 4 4 3" xfId="37370"/>
    <cellStyle name="Total 7 4 4 4" xfId="37371"/>
    <cellStyle name="Total 7 4 5" xfId="23270"/>
    <cellStyle name="Total 7 4 5 2" xfId="23271"/>
    <cellStyle name="Total 7 4 5 3" xfId="37372"/>
    <cellStyle name="Total 7 4 5 4" xfId="37373"/>
    <cellStyle name="Total 7 4 6" xfId="23272"/>
    <cellStyle name="Total 7 4 6 2" xfId="23273"/>
    <cellStyle name="Total 7 4 6 3" xfId="37374"/>
    <cellStyle name="Total 7 4 6 4" xfId="37375"/>
    <cellStyle name="Total 7 4 7" xfId="23274"/>
    <cellStyle name="Total 7 4 7 2" xfId="23275"/>
    <cellStyle name="Total 7 4 7 3" xfId="37376"/>
    <cellStyle name="Total 7 4 7 4" xfId="37377"/>
    <cellStyle name="Total 7 4 8" xfId="23276"/>
    <cellStyle name="Total 7 4 9" xfId="37378"/>
    <cellStyle name="Total 7 5" xfId="23277"/>
    <cellStyle name="Total 7 5 10" xfId="37379"/>
    <cellStyle name="Total 7 5 2" xfId="23278"/>
    <cellStyle name="Total 7 5 2 2" xfId="23279"/>
    <cellStyle name="Total 7 5 2 3" xfId="37380"/>
    <cellStyle name="Total 7 5 2 4" xfId="37381"/>
    <cellStyle name="Total 7 5 3" xfId="23280"/>
    <cellStyle name="Total 7 5 3 2" xfId="23281"/>
    <cellStyle name="Total 7 5 3 3" xfId="37382"/>
    <cellStyle name="Total 7 5 3 4" xfId="37383"/>
    <cellStyle name="Total 7 5 4" xfId="23282"/>
    <cellStyle name="Total 7 5 4 2" xfId="23283"/>
    <cellStyle name="Total 7 5 4 3" xfId="37384"/>
    <cellStyle name="Total 7 5 4 4" xfId="37385"/>
    <cellStyle name="Total 7 5 5" xfId="23284"/>
    <cellStyle name="Total 7 5 5 2" xfId="23285"/>
    <cellStyle name="Total 7 5 5 3" xfId="37386"/>
    <cellStyle name="Total 7 5 5 4" xfId="37387"/>
    <cellStyle name="Total 7 5 6" xfId="23286"/>
    <cellStyle name="Total 7 5 6 2" xfId="23287"/>
    <cellStyle name="Total 7 5 6 3" xfId="37388"/>
    <cellStyle name="Total 7 5 6 4" xfId="37389"/>
    <cellStyle name="Total 7 5 7" xfId="23288"/>
    <cellStyle name="Total 7 5 7 2" xfId="23289"/>
    <cellStyle name="Total 7 5 7 3" xfId="37390"/>
    <cellStyle name="Total 7 5 7 4" xfId="37391"/>
    <cellStyle name="Total 7 5 8" xfId="23290"/>
    <cellStyle name="Total 7 5 9" xfId="37392"/>
    <cellStyle name="Total 7 6" xfId="23291"/>
    <cellStyle name="Total 7 6 2" xfId="23292"/>
    <cellStyle name="Total 7 6 3" xfId="37393"/>
    <cellStyle name="Total 7 6 4" xfId="37394"/>
    <cellStyle name="Total 7 7" xfId="23293"/>
    <cellStyle name="Total 7 7 2" xfId="23294"/>
    <cellStyle name="Total 7 7 3" xfId="37395"/>
    <cellStyle name="Total 7 7 4" xfId="37396"/>
    <cellStyle name="Total 7 8" xfId="23295"/>
    <cellStyle name="Total 7 8 2" xfId="23296"/>
    <cellStyle name="Total 7 8 3" xfId="37397"/>
    <cellStyle name="Total 7 8 4" xfId="37398"/>
    <cellStyle name="Total 7 9" xfId="23297"/>
    <cellStyle name="Total 7 9 2" xfId="23298"/>
    <cellStyle name="Total 7 9 3" xfId="37399"/>
    <cellStyle name="Total 7 9 4" xfId="37400"/>
    <cellStyle name="Total 8" xfId="23299"/>
    <cellStyle name="Total 8 10" xfId="23300"/>
    <cellStyle name="Total 8 10 2" xfId="23301"/>
    <cellStyle name="Total 8 10 3" xfId="37401"/>
    <cellStyle name="Total 8 10 4" xfId="37402"/>
    <cellStyle name="Total 8 11" xfId="23302"/>
    <cellStyle name="Total 8 11 2" xfId="23303"/>
    <cellStyle name="Total 8 11 3" xfId="37403"/>
    <cellStyle name="Total 8 11 4" xfId="37404"/>
    <cellStyle name="Total 8 12" xfId="23304"/>
    <cellStyle name="Total 8 13" xfId="37405"/>
    <cellStyle name="Total 8 14" xfId="37406"/>
    <cellStyle name="Total 8 2" xfId="23305"/>
    <cellStyle name="Total 8 2 10" xfId="37407"/>
    <cellStyle name="Total 8 2 2" xfId="23306"/>
    <cellStyle name="Total 8 2 2 2" xfId="23307"/>
    <cellStyle name="Total 8 2 2 3" xfId="37408"/>
    <cellStyle name="Total 8 2 2 4" xfId="37409"/>
    <cellStyle name="Total 8 2 3" xfId="23308"/>
    <cellStyle name="Total 8 2 3 2" xfId="23309"/>
    <cellStyle name="Total 8 2 3 3" xfId="37410"/>
    <cellStyle name="Total 8 2 3 4" xfId="37411"/>
    <cellStyle name="Total 8 2 4" xfId="23310"/>
    <cellStyle name="Total 8 2 4 2" xfId="23311"/>
    <cellStyle name="Total 8 2 4 3" xfId="37412"/>
    <cellStyle name="Total 8 2 4 4" xfId="37413"/>
    <cellStyle name="Total 8 2 5" xfId="23312"/>
    <cellStyle name="Total 8 2 5 2" xfId="23313"/>
    <cellStyle name="Total 8 2 5 3" xfId="37414"/>
    <cellStyle name="Total 8 2 5 4" xfId="37415"/>
    <cellStyle name="Total 8 2 6" xfId="23314"/>
    <cellStyle name="Total 8 2 6 2" xfId="23315"/>
    <cellStyle name="Total 8 2 6 3" xfId="37416"/>
    <cellStyle name="Total 8 2 6 4" xfId="37417"/>
    <cellStyle name="Total 8 2 7" xfId="23316"/>
    <cellStyle name="Total 8 2 7 2" xfId="23317"/>
    <cellStyle name="Total 8 2 7 3" xfId="37418"/>
    <cellStyle name="Total 8 2 7 4" xfId="37419"/>
    <cellStyle name="Total 8 2 8" xfId="23318"/>
    <cellStyle name="Total 8 2 9" xfId="37420"/>
    <cellStyle name="Total 8 3" xfId="23319"/>
    <cellStyle name="Total 8 3 10" xfId="37421"/>
    <cellStyle name="Total 8 3 2" xfId="23320"/>
    <cellStyle name="Total 8 3 2 2" xfId="23321"/>
    <cellStyle name="Total 8 3 2 3" xfId="37422"/>
    <cellStyle name="Total 8 3 2 4" xfId="37423"/>
    <cellStyle name="Total 8 3 3" xfId="23322"/>
    <cellStyle name="Total 8 3 3 2" xfId="23323"/>
    <cellStyle name="Total 8 3 3 3" xfId="37424"/>
    <cellStyle name="Total 8 3 3 4" xfId="37425"/>
    <cellStyle name="Total 8 3 4" xfId="23324"/>
    <cellStyle name="Total 8 3 4 2" xfId="23325"/>
    <cellStyle name="Total 8 3 4 3" xfId="37426"/>
    <cellStyle name="Total 8 3 4 4" xfId="37427"/>
    <cellStyle name="Total 8 3 5" xfId="23326"/>
    <cellStyle name="Total 8 3 5 2" xfId="23327"/>
    <cellStyle name="Total 8 3 5 3" xfId="37428"/>
    <cellStyle name="Total 8 3 5 4" xfId="37429"/>
    <cellStyle name="Total 8 3 6" xfId="23328"/>
    <cellStyle name="Total 8 3 6 2" xfId="23329"/>
    <cellStyle name="Total 8 3 6 3" xfId="37430"/>
    <cellStyle name="Total 8 3 6 4" xfId="37431"/>
    <cellStyle name="Total 8 3 7" xfId="23330"/>
    <cellStyle name="Total 8 3 7 2" xfId="23331"/>
    <cellStyle name="Total 8 3 7 3" xfId="37432"/>
    <cellStyle name="Total 8 3 7 4" xfId="37433"/>
    <cellStyle name="Total 8 3 8" xfId="23332"/>
    <cellStyle name="Total 8 3 9" xfId="37434"/>
    <cellStyle name="Total 8 4" xfId="23333"/>
    <cellStyle name="Total 8 4 10" xfId="37435"/>
    <cellStyle name="Total 8 4 2" xfId="23334"/>
    <cellStyle name="Total 8 4 2 2" xfId="23335"/>
    <cellStyle name="Total 8 4 2 3" xfId="37436"/>
    <cellStyle name="Total 8 4 2 4" xfId="37437"/>
    <cellStyle name="Total 8 4 3" xfId="23336"/>
    <cellStyle name="Total 8 4 3 2" xfId="23337"/>
    <cellStyle name="Total 8 4 3 3" xfId="37438"/>
    <cellStyle name="Total 8 4 3 4" xfId="37439"/>
    <cellStyle name="Total 8 4 4" xfId="23338"/>
    <cellStyle name="Total 8 4 4 2" xfId="23339"/>
    <cellStyle name="Total 8 4 4 3" xfId="37440"/>
    <cellStyle name="Total 8 4 4 4" xfId="37441"/>
    <cellStyle name="Total 8 4 5" xfId="23340"/>
    <cellStyle name="Total 8 4 5 2" xfId="23341"/>
    <cellStyle name="Total 8 4 5 3" xfId="37442"/>
    <cellStyle name="Total 8 4 5 4" xfId="37443"/>
    <cellStyle name="Total 8 4 6" xfId="23342"/>
    <cellStyle name="Total 8 4 6 2" xfId="23343"/>
    <cellStyle name="Total 8 4 6 3" xfId="37444"/>
    <cellStyle name="Total 8 4 6 4" xfId="37445"/>
    <cellStyle name="Total 8 4 7" xfId="23344"/>
    <cellStyle name="Total 8 4 7 2" xfId="23345"/>
    <cellStyle name="Total 8 4 7 3" xfId="37446"/>
    <cellStyle name="Total 8 4 7 4" xfId="37447"/>
    <cellStyle name="Total 8 4 8" xfId="23346"/>
    <cellStyle name="Total 8 4 9" xfId="37448"/>
    <cellStyle name="Total 8 5" xfId="23347"/>
    <cellStyle name="Total 8 5 10" xfId="37449"/>
    <cellStyle name="Total 8 5 2" xfId="23348"/>
    <cellStyle name="Total 8 5 2 2" xfId="23349"/>
    <cellStyle name="Total 8 5 2 3" xfId="37450"/>
    <cellStyle name="Total 8 5 2 4" xfId="37451"/>
    <cellStyle name="Total 8 5 3" xfId="23350"/>
    <cellStyle name="Total 8 5 3 2" xfId="23351"/>
    <cellStyle name="Total 8 5 3 3" xfId="37452"/>
    <cellStyle name="Total 8 5 3 4" xfId="37453"/>
    <cellStyle name="Total 8 5 4" xfId="23352"/>
    <cellStyle name="Total 8 5 4 2" xfId="23353"/>
    <cellStyle name="Total 8 5 4 3" xfId="37454"/>
    <cellStyle name="Total 8 5 4 4" xfId="37455"/>
    <cellStyle name="Total 8 5 5" xfId="23354"/>
    <cellStyle name="Total 8 5 5 2" xfId="23355"/>
    <cellStyle name="Total 8 5 5 3" xfId="37456"/>
    <cellStyle name="Total 8 5 5 4" xfId="37457"/>
    <cellStyle name="Total 8 5 6" xfId="23356"/>
    <cellStyle name="Total 8 5 6 2" xfId="23357"/>
    <cellStyle name="Total 8 5 6 3" xfId="37458"/>
    <cellStyle name="Total 8 5 6 4" xfId="37459"/>
    <cellStyle name="Total 8 5 7" xfId="23358"/>
    <cellStyle name="Total 8 5 7 2" xfId="23359"/>
    <cellStyle name="Total 8 5 7 3" xfId="37460"/>
    <cellStyle name="Total 8 5 7 4" xfId="37461"/>
    <cellStyle name="Total 8 5 8" xfId="23360"/>
    <cellStyle name="Total 8 5 9" xfId="37462"/>
    <cellStyle name="Total 8 6" xfId="23361"/>
    <cellStyle name="Total 8 6 2" xfId="23362"/>
    <cellStyle name="Total 8 6 3" xfId="37463"/>
    <cellStyle name="Total 8 6 4" xfId="37464"/>
    <cellStyle name="Total 8 7" xfId="23363"/>
    <cellStyle name="Total 8 7 2" xfId="23364"/>
    <cellStyle name="Total 8 7 3" xfId="37465"/>
    <cellStyle name="Total 8 7 4" xfId="37466"/>
    <cellStyle name="Total 8 8" xfId="23365"/>
    <cellStyle name="Total 8 8 2" xfId="23366"/>
    <cellStyle name="Total 8 8 3" xfId="37467"/>
    <cellStyle name="Total 8 8 4" xfId="37468"/>
    <cellStyle name="Total 8 9" xfId="23367"/>
    <cellStyle name="Total 8 9 2" xfId="23368"/>
    <cellStyle name="Total 8 9 3" xfId="37469"/>
    <cellStyle name="Total 8 9 4" xfId="37470"/>
    <cellStyle name="Total 9" xfId="23369"/>
    <cellStyle name="Total 9 10" xfId="23370"/>
    <cellStyle name="Total 9 10 2" xfId="23371"/>
    <cellStyle name="Total 9 10 3" xfId="37471"/>
    <cellStyle name="Total 9 10 4" xfId="37472"/>
    <cellStyle name="Total 9 11" xfId="23372"/>
    <cellStyle name="Total 9 11 2" xfId="23373"/>
    <cellStyle name="Total 9 11 3" xfId="37473"/>
    <cellStyle name="Total 9 11 4" xfId="37474"/>
    <cellStyle name="Total 9 12" xfId="23374"/>
    <cellStyle name="Total 9 13" xfId="37475"/>
    <cellStyle name="Total 9 14" xfId="37476"/>
    <cellStyle name="Total 9 2" xfId="23375"/>
    <cellStyle name="Total 9 2 10" xfId="37477"/>
    <cellStyle name="Total 9 2 2" xfId="23376"/>
    <cellStyle name="Total 9 2 2 2" xfId="23377"/>
    <cellStyle name="Total 9 2 2 3" xfId="37478"/>
    <cellStyle name="Total 9 2 2 4" xfId="37479"/>
    <cellStyle name="Total 9 2 3" xfId="23378"/>
    <cellStyle name="Total 9 2 3 2" xfId="23379"/>
    <cellStyle name="Total 9 2 3 3" xfId="37480"/>
    <cellStyle name="Total 9 2 3 4" xfId="37481"/>
    <cellStyle name="Total 9 2 4" xfId="23380"/>
    <cellStyle name="Total 9 2 4 2" xfId="23381"/>
    <cellStyle name="Total 9 2 4 3" xfId="37482"/>
    <cellStyle name="Total 9 2 4 4" xfId="37483"/>
    <cellStyle name="Total 9 2 5" xfId="23382"/>
    <cellStyle name="Total 9 2 5 2" xfId="23383"/>
    <cellStyle name="Total 9 2 5 3" xfId="37484"/>
    <cellStyle name="Total 9 2 5 4" xfId="37485"/>
    <cellStyle name="Total 9 2 6" xfId="23384"/>
    <cellStyle name="Total 9 2 6 2" xfId="23385"/>
    <cellStyle name="Total 9 2 6 3" xfId="37486"/>
    <cellStyle name="Total 9 2 6 4" xfId="37487"/>
    <cellStyle name="Total 9 2 7" xfId="23386"/>
    <cellStyle name="Total 9 2 7 2" xfId="23387"/>
    <cellStyle name="Total 9 2 7 3" xfId="37488"/>
    <cellStyle name="Total 9 2 7 4" xfId="37489"/>
    <cellStyle name="Total 9 2 8" xfId="23388"/>
    <cellStyle name="Total 9 2 9" xfId="37490"/>
    <cellStyle name="Total 9 3" xfId="23389"/>
    <cellStyle name="Total 9 3 10" xfId="37491"/>
    <cellStyle name="Total 9 3 2" xfId="23390"/>
    <cellStyle name="Total 9 3 2 2" xfId="23391"/>
    <cellStyle name="Total 9 3 2 3" xfId="37492"/>
    <cellStyle name="Total 9 3 2 4" xfId="37493"/>
    <cellStyle name="Total 9 3 3" xfId="23392"/>
    <cellStyle name="Total 9 3 3 2" xfId="23393"/>
    <cellStyle name="Total 9 3 3 3" xfId="37494"/>
    <cellStyle name="Total 9 3 3 4" xfId="37495"/>
    <cellStyle name="Total 9 3 4" xfId="23394"/>
    <cellStyle name="Total 9 3 4 2" xfId="23395"/>
    <cellStyle name="Total 9 3 4 3" xfId="37496"/>
    <cellStyle name="Total 9 3 4 4" xfId="37497"/>
    <cellStyle name="Total 9 3 5" xfId="23396"/>
    <cellStyle name="Total 9 3 5 2" xfId="23397"/>
    <cellStyle name="Total 9 3 5 3" xfId="37498"/>
    <cellStyle name="Total 9 3 5 4" xfId="37499"/>
    <cellStyle name="Total 9 3 6" xfId="23398"/>
    <cellStyle name="Total 9 3 6 2" xfId="23399"/>
    <cellStyle name="Total 9 3 6 3" xfId="37500"/>
    <cellStyle name="Total 9 3 6 4" xfId="37501"/>
    <cellStyle name="Total 9 3 7" xfId="23400"/>
    <cellStyle name="Total 9 3 7 2" xfId="23401"/>
    <cellStyle name="Total 9 3 7 3" xfId="37502"/>
    <cellStyle name="Total 9 3 7 4" xfId="37503"/>
    <cellStyle name="Total 9 3 8" xfId="23402"/>
    <cellStyle name="Total 9 3 9" xfId="37504"/>
    <cellStyle name="Total 9 4" xfId="23403"/>
    <cellStyle name="Total 9 4 10" xfId="37505"/>
    <cellStyle name="Total 9 4 2" xfId="23404"/>
    <cellStyle name="Total 9 4 2 2" xfId="23405"/>
    <cellStyle name="Total 9 4 2 3" xfId="37506"/>
    <cellStyle name="Total 9 4 2 4" xfId="37507"/>
    <cellStyle name="Total 9 4 3" xfId="23406"/>
    <cellStyle name="Total 9 4 3 2" xfId="23407"/>
    <cellStyle name="Total 9 4 3 3" xfId="37508"/>
    <cellStyle name="Total 9 4 3 4" xfId="37509"/>
    <cellStyle name="Total 9 4 4" xfId="23408"/>
    <cellStyle name="Total 9 4 4 2" xfId="23409"/>
    <cellStyle name="Total 9 4 4 3" xfId="37510"/>
    <cellStyle name="Total 9 4 4 4" xfId="37511"/>
    <cellStyle name="Total 9 4 5" xfId="23410"/>
    <cellStyle name="Total 9 4 5 2" xfId="23411"/>
    <cellStyle name="Total 9 4 5 3" xfId="37512"/>
    <cellStyle name="Total 9 4 5 4" xfId="37513"/>
    <cellStyle name="Total 9 4 6" xfId="23412"/>
    <cellStyle name="Total 9 4 6 2" xfId="23413"/>
    <cellStyle name="Total 9 4 6 3" xfId="37514"/>
    <cellStyle name="Total 9 4 6 4" xfId="37515"/>
    <cellStyle name="Total 9 4 7" xfId="23414"/>
    <cellStyle name="Total 9 4 7 2" xfId="23415"/>
    <cellStyle name="Total 9 4 7 3" xfId="37516"/>
    <cellStyle name="Total 9 4 7 4" xfId="37517"/>
    <cellStyle name="Total 9 4 8" xfId="23416"/>
    <cellStyle name="Total 9 4 9" xfId="37518"/>
    <cellStyle name="Total 9 5" xfId="23417"/>
    <cellStyle name="Total 9 5 10" xfId="37519"/>
    <cellStyle name="Total 9 5 2" xfId="23418"/>
    <cellStyle name="Total 9 5 2 2" xfId="23419"/>
    <cellStyle name="Total 9 5 2 3" xfId="37520"/>
    <cellStyle name="Total 9 5 2 4" xfId="37521"/>
    <cellStyle name="Total 9 5 3" xfId="23420"/>
    <cellStyle name="Total 9 5 3 2" xfId="23421"/>
    <cellStyle name="Total 9 5 3 3" xfId="37522"/>
    <cellStyle name="Total 9 5 3 4" xfId="37523"/>
    <cellStyle name="Total 9 5 4" xfId="23422"/>
    <cellStyle name="Total 9 5 4 2" xfId="23423"/>
    <cellStyle name="Total 9 5 4 3" xfId="37524"/>
    <cellStyle name="Total 9 5 4 4" xfId="37525"/>
    <cellStyle name="Total 9 5 5" xfId="23424"/>
    <cellStyle name="Total 9 5 5 2" xfId="23425"/>
    <cellStyle name="Total 9 5 5 3" xfId="37526"/>
    <cellStyle name="Total 9 5 5 4" xfId="37527"/>
    <cellStyle name="Total 9 5 6" xfId="23426"/>
    <cellStyle name="Total 9 5 6 2" xfId="23427"/>
    <cellStyle name="Total 9 5 6 3" xfId="37528"/>
    <cellStyle name="Total 9 5 6 4" xfId="37529"/>
    <cellStyle name="Total 9 5 7" xfId="23428"/>
    <cellStyle name="Total 9 5 7 2" xfId="23429"/>
    <cellStyle name="Total 9 5 7 3" xfId="37530"/>
    <cellStyle name="Total 9 5 7 4" xfId="37531"/>
    <cellStyle name="Total 9 5 8" xfId="23430"/>
    <cellStyle name="Total 9 5 9" xfId="37532"/>
    <cellStyle name="Total 9 6" xfId="23431"/>
    <cellStyle name="Total 9 6 2" xfId="23432"/>
    <cellStyle name="Total 9 6 3" xfId="37533"/>
    <cellStyle name="Total 9 6 4" xfId="37534"/>
    <cellStyle name="Total 9 7" xfId="23433"/>
    <cellStyle name="Total 9 7 2" xfId="23434"/>
    <cellStyle name="Total 9 7 3" xfId="37535"/>
    <cellStyle name="Total 9 7 4" xfId="37536"/>
    <cellStyle name="Total 9 8" xfId="23435"/>
    <cellStyle name="Total 9 8 2" xfId="23436"/>
    <cellStyle name="Total 9 8 3" xfId="37537"/>
    <cellStyle name="Total 9 8 4" xfId="37538"/>
    <cellStyle name="Total 9 9" xfId="23437"/>
    <cellStyle name="Total 9 9 2" xfId="23438"/>
    <cellStyle name="Total 9 9 3" xfId="37539"/>
    <cellStyle name="Total 9 9 4" xfId="37540"/>
    <cellStyle name="Warning Text 10" xfId="23439"/>
    <cellStyle name="Warning Text 11" xfId="23440"/>
    <cellStyle name="Warning Text 12" xfId="23441"/>
    <cellStyle name="Warning Text 13" xfId="23442"/>
    <cellStyle name="Warning Text 14" xfId="23443"/>
    <cellStyle name="Warning Text 15" xfId="23444"/>
    <cellStyle name="Warning Text 16" xfId="23445"/>
    <cellStyle name="Warning Text 17" xfId="23446"/>
    <cellStyle name="Warning Text 17 2" xfId="23447"/>
    <cellStyle name="Warning Text 17 3" xfId="23448"/>
    <cellStyle name="Warning Text 17 4" xfId="23449"/>
    <cellStyle name="Warning Text 17 5" xfId="23450"/>
    <cellStyle name="Warning Text 18" xfId="23451"/>
    <cellStyle name="Warning Text 18 2" xfId="23452"/>
    <cellStyle name="Warning Text 18 3" xfId="23453"/>
    <cellStyle name="Warning Text 18 4" xfId="23454"/>
    <cellStyle name="Warning Text 18 5" xfId="23455"/>
    <cellStyle name="Warning Text 19" xfId="23456"/>
    <cellStyle name="Warning Text 19 2" xfId="23457"/>
    <cellStyle name="Warning Text 19 3" xfId="23458"/>
    <cellStyle name="Warning Text 19 4" xfId="23459"/>
    <cellStyle name="Warning Text 19 5" xfId="23460"/>
    <cellStyle name="Warning Text 2" xfId="23461"/>
    <cellStyle name="Warning Text 2 2" xfId="23462"/>
    <cellStyle name="Warning Text 2 3" xfId="37541"/>
    <cellStyle name="Warning Text 20" xfId="23463"/>
    <cellStyle name="Warning Text 20 2" xfId="23464"/>
    <cellStyle name="Warning Text 20 3" xfId="23465"/>
    <cellStyle name="Warning Text 20 4" xfId="23466"/>
    <cellStyle name="Warning Text 20 5" xfId="23467"/>
    <cellStyle name="Warning Text 21" xfId="23468"/>
    <cellStyle name="Warning Text 21 2" xfId="23469"/>
    <cellStyle name="Warning Text 21 3" xfId="23470"/>
    <cellStyle name="Warning Text 21 4" xfId="23471"/>
    <cellStyle name="Warning Text 21 5" xfId="23472"/>
    <cellStyle name="Warning Text 22" xfId="23473"/>
    <cellStyle name="Warning Text 22 2" xfId="23474"/>
    <cellStyle name="Warning Text 22 3" xfId="23475"/>
    <cellStyle name="Warning Text 22 4" xfId="23476"/>
    <cellStyle name="Warning Text 22 5" xfId="23477"/>
    <cellStyle name="Warning Text 23" xfId="23478"/>
    <cellStyle name="Warning Text 24" xfId="23479"/>
    <cellStyle name="Warning Text 25" xfId="23480"/>
    <cellStyle name="Warning Text 26" xfId="23481"/>
    <cellStyle name="Warning Text 3" xfId="23482"/>
    <cellStyle name="Warning Text 4" xfId="23483"/>
    <cellStyle name="Warning Text 5" xfId="23484"/>
    <cellStyle name="Warning Text 6" xfId="23485"/>
    <cellStyle name="Warning Text 7" xfId="23486"/>
    <cellStyle name="Warning Text 8" xfId="23487"/>
    <cellStyle name="Warning Text 9" xfId="23488"/>
    <cellStyle name="Yellow" xfId="23489"/>
  </cellStyles>
  <dxfs count="15">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Light16"/>
  <colors>
    <mruColors>
      <color rgb="FFBDE9BD"/>
      <color rgb="FFDFF5DF"/>
      <color rgb="FFFFFFCC"/>
      <color rgb="FFE2E2E2"/>
      <color rgb="FFE7E4D5"/>
      <color rgb="FFF0EEE4"/>
      <color rgb="FFC0C9AB"/>
      <color rgb="FFD9D4BD"/>
      <color rgb="FFD6F2D6"/>
      <color rgb="FFDAE5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33.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styles" Target="styles.xml"/><Relationship Id="rId107" Type="http://schemas.openxmlformats.org/officeDocument/2006/relationships/externalLink" Target="externalLinks/externalLink23.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18.xml"/><Relationship Id="rId123" Type="http://schemas.openxmlformats.org/officeDocument/2006/relationships/externalLink" Target="externalLinks/externalLink39.xml"/><Relationship Id="rId128" Type="http://schemas.openxmlformats.org/officeDocument/2006/relationships/externalLink" Target="externalLinks/externalLink44.xml"/><Relationship Id="rId5" Type="http://schemas.openxmlformats.org/officeDocument/2006/relationships/worksheet" Target="worksheets/sheet5.xml"/><Relationship Id="rId90" Type="http://schemas.openxmlformats.org/officeDocument/2006/relationships/externalLink" Target="externalLinks/externalLink6.xml"/><Relationship Id="rId95" Type="http://schemas.openxmlformats.org/officeDocument/2006/relationships/externalLink" Target="externalLinks/externalLink1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externalLink" Target="externalLinks/externalLink29.xml"/><Relationship Id="rId118" Type="http://schemas.openxmlformats.org/officeDocument/2006/relationships/externalLink" Target="externalLinks/externalLink34.xml"/><Relationship Id="rId134" Type="http://schemas.openxmlformats.org/officeDocument/2006/relationships/externalLink" Target="externalLinks/externalLink50.xml"/><Relationship Id="rId139" Type="http://schemas.openxmlformats.org/officeDocument/2006/relationships/sharedStrings" Target="sharedStrings.xml"/><Relationship Id="rId80" Type="http://schemas.openxmlformats.org/officeDocument/2006/relationships/worksheet" Target="worksheets/sheet80.xml"/><Relationship Id="rId85" Type="http://schemas.openxmlformats.org/officeDocument/2006/relationships/externalLink" Target="externalLinks/externalLink1.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19.xml"/><Relationship Id="rId108" Type="http://schemas.openxmlformats.org/officeDocument/2006/relationships/externalLink" Target="externalLinks/externalLink24.xml"/><Relationship Id="rId124" Type="http://schemas.openxmlformats.org/officeDocument/2006/relationships/externalLink" Target="externalLinks/externalLink40.xml"/><Relationship Id="rId129" Type="http://schemas.openxmlformats.org/officeDocument/2006/relationships/externalLink" Target="externalLinks/externalLink45.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externalLink" Target="externalLinks/externalLink7.xml"/><Relationship Id="rId96" Type="http://schemas.openxmlformats.org/officeDocument/2006/relationships/externalLink" Target="externalLinks/externalLink12.xml"/><Relationship Id="rId14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externalLink" Target="externalLinks/externalLink30.xml"/><Relationship Id="rId119" Type="http://schemas.openxmlformats.org/officeDocument/2006/relationships/externalLink" Target="externalLinks/externalLink35.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externalLink" Target="externalLinks/externalLink2.xml"/><Relationship Id="rId130" Type="http://schemas.openxmlformats.org/officeDocument/2006/relationships/externalLink" Target="externalLinks/externalLink46.xml"/><Relationship Id="rId135" Type="http://schemas.openxmlformats.org/officeDocument/2006/relationships/externalLink" Target="externalLinks/externalLink51.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25.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13.xml"/><Relationship Id="rId104" Type="http://schemas.openxmlformats.org/officeDocument/2006/relationships/externalLink" Target="externalLinks/externalLink20.xml"/><Relationship Id="rId120" Type="http://schemas.openxmlformats.org/officeDocument/2006/relationships/externalLink" Target="externalLinks/externalLink36.xml"/><Relationship Id="rId125" Type="http://schemas.openxmlformats.org/officeDocument/2006/relationships/externalLink" Target="externalLinks/externalLink41.xml"/><Relationship Id="rId141"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110" Type="http://schemas.openxmlformats.org/officeDocument/2006/relationships/externalLink" Target="externalLinks/externalLink26.xml"/><Relationship Id="rId115" Type="http://schemas.openxmlformats.org/officeDocument/2006/relationships/externalLink" Target="externalLinks/externalLink31.xml"/><Relationship Id="rId131" Type="http://schemas.openxmlformats.org/officeDocument/2006/relationships/externalLink" Target="externalLinks/externalLink47.xml"/><Relationship Id="rId136" Type="http://schemas.openxmlformats.org/officeDocument/2006/relationships/externalLink" Target="externalLinks/externalLink5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16.xml"/><Relationship Id="rId105" Type="http://schemas.openxmlformats.org/officeDocument/2006/relationships/externalLink" Target="externalLinks/externalLink21.xml"/><Relationship Id="rId126" Type="http://schemas.openxmlformats.org/officeDocument/2006/relationships/externalLink" Target="externalLinks/externalLink4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9.xml"/><Relationship Id="rId98" Type="http://schemas.openxmlformats.org/officeDocument/2006/relationships/externalLink" Target="externalLinks/externalLink14.xml"/><Relationship Id="rId121" Type="http://schemas.openxmlformats.org/officeDocument/2006/relationships/externalLink" Target="externalLinks/externalLink37.xml"/><Relationship Id="rId142" Type="http://schemas.openxmlformats.org/officeDocument/2006/relationships/customXml" Target="../customXml/item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externalLink" Target="externalLinks/externalLink32.xml"/><Relationship Id="rId13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externalLink" Target="externalLinks/externalLink4.xml"/><Relationship Id="rId111" Type="http://schemas.openxmlformats.org/officeDocument/2006/relationships/externalLink" Target="externalLinks/externalLink27.xml"/><Relationship Id="rId132" Type="http://schemas.openxmlformats.org/officeDocument/2006/relationships/externalLink" Target="externalLinks/externalLink48.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externalLink" Target="externalLinks/externalLink22.xml"/><Relationship Id="rId127" Type="http://schemas.openxmlformats.org/officeDocument/2006/relationships/externalLink" Target="externalLinks/externalLink43.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externalLink" Target="externalLinks/externalLink10.xml"/><Relationship Id="rId99" Type="http://schemas.openxmlformats.org/officeDocument/2006/relationships/externalLink" Target="externalLinks/externalLink15.xml"/><Relationship Id="rId101" Type="http://schemas.openxmlformats.org/officeDocument/2006/relationships/externalLink" Target="externalLinks/externalLink17.xml"/><Relationship Id="rId122" Type="http://schemas.openxmlformats.org/officeDocument/2006/relationships/externalLink" Target="externalLinks/externalLink38.xml"/><Relationship Id="rId143"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externalLink" Target="externalLinks/externalLink5.xml"/><Relationship Id="rId112" Type="http://schemas.openxmlformats.org/officeDocument/2006/relationships/externalLink" Target="externalLinks/externalLink28.xml"/><Relationship Id="rId133" Type="http://schemas.openxmlformats.org/officeDocument/2006/relationships/externalLink" Target="externalLinks/externalLink49.xml"/><Relationship Id="rId16" Type="http://schemas.openxmlformats.org/officeDocument/2006/relationships/worksheet" Target="worksheets/sheet16.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hart>
    <c:title>
      <c:tx>
        <c:rich>
          <a:bodyPr/>
          <a:lstStyle/>
          <a:p>
            <a:pPr>
              <a:defRPr sz="1000">
                <a:latin typeface="Tahoma" pitchFamily="34" charset="0"/>
                <a:ea typeface="Tahoma" pitchFamily="34" charset="0"/>
                <a:cs typeface="Tahoma" pitchFamily="34" charset="0"/>
              </a:defRPr>
            </a:pPr>
            <a:r>
              <a:rPr lang="en-US" sz="1000">
                <a:latin typeface="Tahoma" pitchFamily="34" charset="0"/>
                <a:ea typeface="Tahoma" pitchFamily="34" charset="0"/>
                <a:cs typeface="Tahoma" pitchFamily="34" charset="0"/>
              </a:rPr>
              <a:t>Gross Written Premium and Growth rate - Long Term Insurance Business  </a:t>
            </a:r>
          </a:p>
        </c:rich>
      </c:tx>
      <c:overlay val="0"/>
    </c:title>
    <c:autoTitleDeleted val="0"/>
    <c:plotArea>
      <c:layout>
        <c:manualLayout>
          <c:layoutTarget val="inner"/>
          <c:xMode val="edge"/>
          <c:yMode val="edge"/>
          <c:x val="0.1626759620663463"/>
          <c:y val="0.11090734959904242"/>
          <c:w val="0.62169693688006689"/>
          <c:h val="0.823210589800495"/>
        </c:manualLayout>
      </c:layout>
      <c:barChart>
        <c:barDir val="col"/>
        <c:grouping val="clustered"/>
        <c:varyColors val="0"/>
        <c:ser>
          <c:idx val="0"/>
          <c:order val="1"/>
          <c:tx>
            <c:strRef>
              <c:f>'GWP-LTIB (Final)'!$B$87</c:f>
              <c:strCache>
                <c:ptCount val="1"/>
                <c:pt idx="0">
                  <c:v>Total</c:v>
                </c:pt>
              </c:strCache>
            </c:strRef>
          </c:tx>
          <c:invertIfNegative val="0"/>
          <c:dLbls>
            <c:dLbl>
              <c:idx val="3"/>
              <c:layout>
                <c:manualLayout>
                  <c:x val="-7.0040578978239148E-17"/>
                  <c:y val="0.29582402791370815"/>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2E-4D33-834D-30C9B7A9EC08}"/>
                </c:ext>
              </c:extLst>
            </c:dLbl>
            <c:spPr>
              <a:noFill/>
              <a:ln>
                <a:noFill/>
              </a:ln>
              <a:effectLst/>
            </c:spPr>
            <c:txPr>
              <a:bodyPr rot="-540000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'GWP-LTIB (Final)'!$G$69:$K$69</c:f>
              <c:strCache>
                <c:ptCount val="3"/>
                <c:pt idx="0">
                  <c:v>2010</c:v>
                </c:pt>
                <c:pt idx="1">
                  <c:v>2011</c:v>
                </c:pt>
                <c:pt idx="2">
                  <c:v>2012(a)</c:v>
                </c:pt>
              </c:strCache>
            </c:strRef>
          </c:cat>
          <c:val>
            <c:numRef>
              <c:f>'GWP-LTIB (Final)'!$I$87:$L$87</c:f>
              <c:numCache>
                <c:formatCode>_(* #,##0_);_(* \(#,##0\);_(* "-"??_);_(@_)</c:formatCode>
                <c:ptCount val="4"/>
                <c:pt idx="0">
                  <c:v>31152085.591510002</c:v>
                </c:pt>
                <c:pt idx="1">
                  <c:v>35161852.689566001</c:v>
                </c:pt>
                <c:pt idx="2">
                  <c:v>37476708.838317692</c:v>
                </c:pt>
                <c:pt idx="3">
                  <c:v>41305767.687051997</c:v>
                </c:pt>
              </c:numCache>
            </c:numRef>
          </c:val>
          <c:extLst>
            <c:ext xmlns:c16="http://schemas.microsoft.com/office/drawing/2014/chart" uri="{C3380CC4-5D6E-409C-BE32-E72D297353CC}">
              <c16:uniqueId val="{00000001-DB2E-4D33-834D-30C9B7A9EC08}"/>
            </c:ext>
          </c:extLst>
        </c:ser>
        <c:dLbls>
          <c:showLegendKey val="0"/>
          <c:showVal val="0"/>
          <c:showCatName val="0"/>
          <c:showSerName val="0"/>
          <c:showPercent val="0"/>
          <c:showBubbleSize val="0"/>
        </c:dLbls>
        <c:gapWidth val="150"/>
        <c:axId val="116407296"/>
        <c:axId val="116514176"/>
      </c:barChart>
      <c:lineChart>
        <c:grouping val="standard"/>
        <c:varyColors val="0"/>
        <c:ser>
          <c:idx val="16"/>
          <c:order val="0"/>
          <c:tx>
            <c:strRef>
              <c:f>'GWP-LTIB (Final)'!$B$89</c:f>
              <c:strCache>
                <c:ptCount val="1"/>
                <c:pt idx="0">
                  <c:v>Growth  Rate %</c:v>
                </c:pt>
              </c:strCache>
            </c:strRef>
          </c:tx>
          <c:dLbls>
            <c:dLbl>
              <c:idx val="1"/>
              <c:layout>
                <c:manualLayout>
                  <c:x val="-5.5063614560617834E-2"/>
                  <c:y val="4.44378180538085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B2E-4D33-834D-30C9B7A9EC08}"/>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'GWP-LTIB (Final)'!$I$69:$L$69</c:f>
              <c:strCache>
                <c:ptCount val="4"/>
                <c:pt idx="0">
                  <c:v>2010</c:v>
                </c:pt>
                <c:pt idx="1">
                  <c:v>2011</c:v>
                </c:pt>
                <c:pt idx="2">
                  <c:v>2012(a)</c:v>
                </c:pt>
                <c:pt idx="3">
                  <c:v>2013(b)</c:v>
                </c:pt>
              </c:strCache>
            </c:strRef>
          </c:cat>
          <c:val>
            <c:numRef>
              <c:f>'GWP-LTIB (Final)'!$I$89:$L$89</c:f>
              <c:numCache>
                <c:formatCode>#,##0.00</c:formatCode>
                <c:ptCount val="4"/>
                <c:pt idx="0">
                  <c:v>29.773212388164644</c:v>
                </c:pt>
                <c:pt idx="1">
                  <c:v>12.871584749204711</c:v>
                </c:pt>
                <c:pt idx="2">
                  <c:v>6.5834305410152814</c:v>
                </c:pt>
                <c:pt idx="3">
                  <c:v>10.217169456511401</c:v>
                </c:pt>
              </c:numCache>
            </c:numRef>
          </c:val>
          <c:smooth val="0"/>
          <c:extLst>
            <c:ext xmlns:c16="http://schemas.microsoft.com/office/drawing/2014/chart" uri="{C3380CC4-5D6E-409C-BE32-E72D297353CC}">
              <c16:uniqueId val="{00000003-DB2E-4D33-834D-30C9B7A9EC08}"/>
            </c:ext>
          </c:extLst>
        </c:ser>
        <c:dLbls>
          <c:showLegendKey val="0"/>
          <c:showVal val="0"/>
          <c:showCatName val="0"/>
          <c:showSerName val="0"/>
          <c:showPercent val="0"/>
          <c:showBubbleSize val="0"/>
        </c:dLbls>
        <c:marker val="1"/>
        <c:smooth val="0"/>
        <c:axId val="117364224"/>
        <c:axId val="117365760"/>
      </c:lineChart>
      <c:catAx>
        <c:axId val="116407296"/>
        <c:scaling>
          <c:orientation val="minMax"/>
        </c:scaling>
        <c:delete val="0"/>
        <c:axPos val="b"/>
        <c:numFmt formatCode="General" sourceLinked="1"/>
        <c:majorTickMark val="none"/>
        <c:minorTickMark val="none"/>
        <c:tickLblPos val="nextTo"/>
        <c:txPr>
          <a:bodyPr rot="0" vert="horz"/>
          <a:lstStyle/>
          <a:p>
            <a:pPr>
              <a:defRPr/>
            </a:pPr>
            <a:endParaRPr lang="en-US"/>
          </a:p>
        </c:txPr>
        <c:crossAx val="116514176"/>
        <c:crosses val="autoZero"/>
        <c:auto val="1"/>
        <c:lblAlgn val="ctr"/>
        <c:lblOffset val="100"/>
        <c:noMultiLvlLbl val="0"/>
      </c:catAx>
      <c:valAx>
        <c:axId val="116514176"/>
        <c:scaling>
          <c:orientation val="minMax"/>
          <c:max val="40000000"/>
        </c:scaling>
        <c:delete val="0"/>
        <c:axPos val="l"/>
        <c:majorGridlines/>
        <c:title>
          <c:tx>
            <c:rich>
              <a:bodyPr rot="0" vert="horz"/>
              <a:lstStyle/>
              <a:p>
                <a:pPr>
                  <a:defRPr/>
                </a:pPr>
                <a:r>
                  <a:rPr lang="en-US"/>
                  <a:t>Rs.'000</a:t>
                </a:r>
              </a:p>
            </c:rich>
          </c:tx>
          <c:layout>
            <c:manualLayout>
              <c:xMode val="edge"/>
              <c:yMode val="edge"/>
              <c:x val="1.9102196752626601E-3"/>
              <c:y val="0.45255204046239123"/>
            </c:manualLayout>
          </c:layout>
          <c:overlay val="0"/>
        </c:title>
        <c:numFmt formatCode="#,##0" sourceLinked="0"/>
        <c:majorTickMark val="none"/>
        <c:minorTickMark val="none"/>
        <c:tickLblPos val="nextTo"/>
        <c:txPr>
          <a:bodyPr rot="0" vert="horz"/>
          <a:lstStyle/>
          <a:p>
            <a:pPr>
              <a:defRPr/>
            </a:pPr>
            <a:endParaRPr lang="en-US"/>
          </a:p>
        </c:txPr>
        <c:crossAx val="116407296"/>
        <c:crosses val="autoZero"/>
        <c:crossBetween val="between"/>
      </c:valAx>
      <c:catAx>
        <c:axId val="117364224"/>
        <c:scaling>
          <c:orientation val="minMax"/>
        </c:scaling>
        <c:delete val="1"/>
        <c:axPos val="b"/>
        <c:numFmt formatCode="General" sourceLinked="1"/>
        <c:majorTickMark val="out"/>
        <c:minorTickMark val="none"/>
        <c:tickLblPos val="none"/>
        <c:crossAx val="117365760"/>
        <c:crosses val="autoZero"/>
        <c:auto val="1"/>
        <c:lblAlgn val="ctr"/>
        <c:lblOffset val="100"/>
        <c:noMultiLvlLbl val="0"/>
      </c:catAx>
      <c:valAx>
        <c:axId val="117365760"/>
        <c:scaling>
          <c:orientation val="minMax"/>
        </c:scaling>
        <c:delete val="0"/>
        <c:axPos val="r"/>
        <c:numFmt formatCode="#,##0.00" sourceLinked="1"/>
        <c:majorTickMark val="out"/>
        <c:minorTickMark val="none"/>
        <c:tickLblPos val="nextTo"/>
        <c:txPr>
          <a:bodyPr rot="0" vert="horz"/>
          <a:lstStyle/>
          <a:p>
            <a:pPr>
              <a:defRPr/>
            </a:pPr>
            <a:endParaRPr lang="en-US"/>
          </a:p>
        </c:txPr>
        <c:crossAx val="117364224"/>
        <c:crosses val="max"/>
        <c:crossBetween val="between"/>
      </c:valAx>
    </c:plotArea>
    <c:legend>
      <c:legendPos val="r"/>
      <c:layout>
        <c:manualLayout>
          <c:xMode val="edge"/>
          <c:yMode val="edge"/>
          <c:x val="0.8599808978032476"/>
          <c:y val="0.48015012916287891"/>
          <c:w val="0.12855778414517671"/>
          <c:h val="0.17663596784130794"/>
        </c:manualLayout>
      </c:layout>
      <c:overlay val="0"/>
    </c:legend>
    <c:plotVisOnly val="1"/>
    <c:dispBlanksAs val="gap"/>
    <c:showDLblsOverMax val="0"/>
  </c:chart>
  <c:printSettings>
    <c:headerFooter/>
    <c:pageMargins b="0.75000000000001465" l="0.70000000000000062" r="0.70000000000000062" t="0.75000000000001465"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hart>
    <c:title>
      <c:tx>
        <c:rich>
          <a:bodyPr/>
          <a:lstStyle/>
          <a:p>
            <a:pPr>
              <a:defRPr sz="1100">
                <a:latin typeface="Tahoma" pitchFamily="34" charset="0"/>
                <a:ea typeface="Tahoma" pitchFamily="34" charset="0"/>
                <a:cs typeface="Tahoma" pitchFamily="34" charset="0"/>
              </a:defRPr>
            </a:pPr>
            <a:r>
              <a:rPr lang="en-US" sz="1100" b="1" i="0" baseline="0"/>
              <a:t>Market Share of Top Five GWP generators in 2013 - General Insurance Business </a:t>
            </a:r>
            <a:endParaRPr lang="en-US" sz="1100"/>
          </a:p>
        </c:rich>
      </c:tx>
      <c:overlay val="0"/>
    </c:title>
    <c:autoTitleDeleted val="0"/>
    <c:plotArea>
      <c:layout>
        <c:manualLayout>
          <c:layoutTarget val="inner"/>
          <c:xMode val="edge"/>
          <c:yMode val="edge"/>
          <c:x val="0.11651393505685562"/>
          <c:y val="7.4602944197192794E-2"/>
          <c:w val="0.8591756395107476"/>
          <c:h val="0.69750615086157708"/>
        </c:manualLayout>
      </c:layout>
      <c:barChart>
        <c:barDir val="col"/>
        <c:grouping val="clustered"/>
        <c:varyColors val="0"/>
        <c:ser>
          <c:idx val="0"/>
          <c:order val="0"/>
          <c:tx>
            <c:strRef>
              <c:f>'GWP-GIB (Final)'!$AE$6</c:f>
              <c:strCache>
                <c:ptCount val="1"/>
                <c:pt idx="0">
                  <c:v>2007</c:v>
                </c:pt>
              </c:strCache>
            </c:strRef>
          </c:tx>
          <c:invertIfNegative val="0"/>
          <c:cat>
            <c:strRef>
              <c:f>'GWP-GIB (Final)'!$AF$9:$AF$13</c:f>
              <c:strCache>
                <c:ptCount val="5"/>
                <c:pt idx="0">
                  <c:v>SLIC</c:v>
                </c:pt>
                <c:pt idx="1">
                  <c:v>Ceylinco</c:v>
                </c:pt>
                <c:pt idx="2">
                  <c:v>Janashakthi</c:v>
                </c:pt>
                <c:pt idx="3">
                  <c:v>UAL</c:v>
                </c:pt>
                <c:pt idx="4">
                  <c:v>People’s</c:v>
                </c:pt>
              </c:strCache>
            </c:strRef>
          </c:cat>
          <c:val>
            <c:numRef>
              <c:f>'GWP-GIB (Final)'!$AE$9:$AE$13</c:f>
            </c:numRef>
          </c:val>
          <c:extLst>
            <c:ext xmlns:c16="http://schemas.microsoft.com/office/drawing/2014/chart" uri="{C3380CC4-5D6E-409C-BE32-E72D297353CC}">
              <c16:uniqueId val="{00000000-C0FB-49DD-8033-390E20DF7405}"/>
            </c:ext>
          </c:extLst>
        </c:ser>
        <c:ser>
          <c:idx val="2"/>
          <c:order val="1"/>
          <c:tx>
            <c:strRef>
              <c:f>'GWP-GIB (Final)'!$AI$6</c:f>
              <c:strCache>
                <c:ptCount val="1"/>
                <c:pt idx="0">
                  <c:v>2009</c:v>
                </c:pt>
              </c:strCache>
            </c:strRef>
          </c:tx>
          <c:invertIfNegative val="0"/>
          <c:cat>
            <c:strRef>
              <c:f>'GWP-GIB (Final)'!$AF$9:$AF$13</c:f>
              <c:strCache>
                <c:ptCount val="5"/>
                <c:pt idx="0">
                  <c:v>SLIC</c:v>
                </c:pt>
                <c:pt idx="1">
                  <c:v>Ceylinco</c:v>
                </c:pt>
                <c:pt idx="2">
                  <c:v>Janashakthi</c:v>
                </c:pt>
                <c:pt idx="3">
                  <c:v>UAL</c:v>
                </c:pt>
                <c:pt idx="4">
                  <c:v>People’s</c:v>
                </c:pt>
              </c:strCache>
            </c:strRef>
          </c:cat>
          <c:val>
            <c:numRef>
              <c:f>'GWP-GIB (Final)'!$AI$9:$AI$13</c:f>
              <c:numCache>
                <c:formatCode>_(* #,##0.00_);_(* \(#,##0.00\);_(* "-"??_);_(@_)</c:formatCode>
                <c:ptCount val="5"/>
                <c:pt idx="0">
                  <c:v>26.125161477942022</c:v>
                </c:pt>
                <c:pt idx="1">
                  <c:v>27.069347892365574</c:v>
                </c:pt>
                <c:pt idx="2">
                  <c:v>12.736652089710759</c:v>
                </c:pt>
                <c:pt idx="3">
                  <c:v>9.568950802056186</c:v>
                </c:pt>
                <c:pt idx="4">
                  <c:v>0</c:v>
                </c:pt>
              </c:numCache>
            </c:numRef>
          </c:val>
          <c:extLst>
            <c:ext xmlns:c16="http://schemas.microsoft.com/office/drawing/2014/chart" uri="{C3380CC4-5D6E-409C-BE32-E72D297353CC}">
              <c16:uniqueId val="{00000001-C0FB-49DD-8033-390E20DF7405}"/>
            </c:ext>
          </c:extLst>
        </c:ser>
        <c:ser>
          <c:idx val="3"/>
          <c:order val="2"/>
          <c:tx>
            <c:strRef>
              <c:f>'GWP-GIB (Final)'!$AJ$6</c:f>
              <c:strCache>
                <c:ptCount val="1"/>
                <c:pt idx="0">
                  <c:v>2010</c:v>
                </c:pt>
              </c:strCache>
            </c:strRef>
          </c:tx>
          <c:invertIfNegative val="0"/>
          <c:cat>
            <c:strRef>
              <c:f>'GWP-GIB (Final)'!$AF$9:$AF$13</c:f>
              <c:strCache>
                <c:ptCount val="5"/>
                <c:pt idx="0">
                  <c:v>SLIC</c:v>
                </c:pt>
                <c:pt idx="1">
                  <c:v>Ceylinco</c:v>
                </c:pt>
                <c:pt idx="2">
                  <c:v>Janashakthi</c:v>
                </c:pt>
                <c:pt idx="3">
                  <c:v>UAL</c:v>
                </c:pt>
                <c:pt idx="4">
                  <c:v>People’s</c:v>
                </c:pt>
              </c:strCache>
            </c:strRef>
          </c:cat>
          <c:val>
            <c:numRef>
              <c:f>'GWP-GIB (Final)'!$AJ$9:$AJ$13</c:f>
              <c:numCache>
                <c:formatCode>_(* #,##0.00_);_(* \(#,##0.00\);_(* "-"??_);_(@_)</c:formatCode>
                <c:ptCount val="5"/>
                <c:pt idx="0">
                  <c:v>24.973406113159534</c:v>
                </c:pt>
                <c:pt idx="1">
                  <c:v>24.854508095785729</c:v>
                </c:pt>
                <c:pt idx="2">
                  <c:v>12.319063964359856</c:v>
                </c:pt>
                <c:pt idx="3">
                  <c:v>9.7825889534941268</c:v>
                </c:pt>
                <c:pt idx="4">
                  <c:v>2.4231882616547726</c:v>
                </c:pt>
              </c:numCache>
            </c:numRef>
          </c:val>
          <c:extLst>
            <c:ext xmlns:c16="http://schemas.microsoft.com/office/drawing/2014/chart" uri="{C3380CC4-5D6E-409C-BE32-E72D297353CC}">
              <c16:uniqueId val="{00000002-C0FB-49DD-8033-390E20DF7405}"/>
            </c:ext>
          </c:extLst>
        </c:ser>
        <c:ser>
          <c:idx val="4"/>
          <c:order val="3"/>
          <c:tx>
            <c:strRef>
              <c:f>'GWP-GIB (Final)'!$AK$6</c:f>
              <c:strCache>
                <c:ptCount val="1"/>
                <c:pt idx="0">
                  <c:v>2011</c:v>
                </c:pt>
              </c:strCache>
            </c:strRef>
          </c:tx>
          <c:invertIfNegative val="0"/>
          <c:cat>
            <c:strRef>
              <c:f>'GWP-GIB (Final)'!$AF$9:$AF$13</c:f>
              <c:strCache>
                <c:ptCount val="5"/>
                <c:pt idx="0">
                  <c:v>SLIC</c:v>
                </c:pt>
                <c:pt idx="1">
                  <c:v>Ceylinco</c:v>
                </c:pt>
                <c:pt idx="2">
                  <c:v>Janashakthi</c:v>
                </c:pt>
                <c:pt idx="3">
                  <c:v>UAL</c:v>
                </c:pt>
                <c:pt idx="4">
                  <c:v>People’s</c:v>
                </c:pt>
              </c:strCache>
            </c:strRef>
          </c:cat>
          <c:val>
            <c:numRef>
              <c:f>'GWP-GIB (Final)'!$AK$9:$AK$13</c:f>
              <c:numCache>
                <c:formatCode>_(* #,##0.00_);_(* \(#,##0.00\);_(* "-"??_);_(@_)</c:formatCode>
                <c:ptCount val="5"/>
                <c:pt idx="0">
                  <c:v>25.697865327630709</c:v>
                </c:pt>
                <c:pt idx="1">
                  <c:v>22.061392818688212</c:v>
                </c:pt>
                <c:pt idx="2">
                  <c:v>11.738623325314268</c:v>
                </c:pt>
                <c:pt idx="3">
                  <c:v>9.3596884262375379</c:v>
                </c:pt>
                <c:pt idx="4">
                  <c:v>5.2726517937793824</c:v>
                </c:pt>
              </c:numCache>
            </c:numRef>
          </c:val>
          <c:extLst>
            <c:ext xmlns:c16="http://schemas.microsoft.com/office/drawing/2014/chart" uri="{C3380CC4-5D6E-409C-BE32-E72D297353CC}">
              <c16:uniqueId val="{00000003-C0FB-49DD-8033-390E20DF7405}"/>
            </c:ext>
          </c:extLst>
        </c:ser>
        <c:ser>
          <c:idx val="5"/>
          <c:order val="4"/>
          <c:tx>
            <c:strRef>
              <c:f>'GWP-GIB (Final)'!$AL$6</c:f>
              <c:strCache>
                <c:ptCount val="1"/>
                <c:pt idx="0">
                  <c:v>2012(a)</c:v>
                </c:pt>
              </c:strCache>
            </c:strRef>
          </c:tx>
          <c:invertIfNegative val="0"/>
          <c:cat>
            <c:strRef>
              <c:f>'GWP-GIB (Final)'!$AF$9:$AF$13</c:f>
              <c:strCache>
                <c:ptCount val="5"/>
                <c:pt idx="0">
                  <c:v>SLIC</c:v>
                </c:pt>
                <c:pt idx="1">
                  <c:v>Ceylinco</c:v>
                </c:pt>
                <c:pt idx="2">
                  <c:v>Janashakthi</c:v>
                </c:pt>
                <c:pt idx="3">
                  <c:v>UAL</c:v>
                </c:pt>
                <c:pt idx="4">
                  <c:v>People’s</c:v>
                </c:pt>
              </c:strCache>
            </c:strRef>
          </c:cat>
          <c:val>
            <c:numRef>
              <c:f>'GWP-GIB (Final)'!$AL$9:$AL$13</c:f>
              <c:numCache>
                <c:formatCode>_(* #,##0.00_);_(* \(#,##0.00\);_(* "-"??_);_(@_)</c:formatCode>
                <c:ptCount val="5"/>
                <c:pt idx="0">
                  <c:v>24.870358217808686</c:v>
                </c:pt>
                <c:pt idx="1">
                  <c:v>20.998154258801137</c:v>
                </c:pt>
                <c:pt idx="2">
                  <c:v>11.617856010272879</c:v>
                </c:pt>
                <c:pt idx="3">
                  <c:v>8.9266542061999612</c:v>
                </c:pt>
                <c:pt idx="4">
                  <c:v>5.6252717641712708</c:v>
                </c:pt>
              </c:numCache>
            </c:numRef>
          </c:val>
          <c:extLst>
            <c:ext xmlns:c16="http://schemas.microsoft.com/office/drawing/2014/chart" uri="{C3380CC4-5D6E-409C-BE32-E72D297353CC}">
              <c16:uniqueId val="{00000004-C0FB-49DD-8033-390E20DF7405}"/>
            </c:ext>
          </c:extLst>
        </c:ser>
        <c:ser>
          <c:idx val="1"/>
          <c:order val="5"/>
          <c:tx>
            <c:strRef>
              <c:f>'GWP-GIB (Final)'!$AM$6</c:f>
              <c:strCache>
                <c:ptCount val="1"/>
                <c:pt idx="0">
                  <c:v>2013(b)</c:v>
                </c:pt>
              </c:strCache>
            </c:strRef>
          </c:tx>
          <c:invertIfNegative val="0"/>
          <c:cat>
            <c:strRef>
              <c:f>'GWP-GIB (Final)'!$AF$9:$AF$13</c:f>
              <c:strCache>
                <c:ptCount val="5"/>
                <c:pt idx="0">
                  <c:v>SLIC</c:v>
                </c:pt>
                <c:pt idx="1">
                  <c:v>Ceylinco</c:v>
                </c:pt>
                <c:pt idx="2">
                  <c:v>Janashakthi</c:v>
                </c:pt>
                <c:pt idx="3">
                  <c:v>UAL</c:v>
                </c:pt>
                <c:pt idx="4">
                  <c:v>People’s</c:v>
                </c:pt>
              </c:strCache>
            </c:strRef>
          </c:cat>
          <c:val>
            <c:numRef>
              <c:f>'GWP-GIB (Final)'!$AM$9:$AM$13</c:f>
              <c:numCache>
                <c:formatCode>_(* #,##0.00_);_(* \(#,##0.00\);_(* "-"??_);_(@_)</c:formatCode>
                <c:ptCount val="5"/>
                <c:pt idx="0">
                  <c:v>24.043452689902782</c:v>
                </c:pt>
                <c:pt idx="1">
                  <c:v>19.39073546210334</c:v>
                </c:pt>
                <c:pt idx="2">
                  <c:v>11.927156868505543</c:v>
                </c:pt>
                <c:pt idx="3">
                  <c:v>9.6224540846708955</c:v>
                </c:pt>
                <c:pt idx="4">
                  <c:v>5.8014196030296876</c:v>
                </c:pt>
              </c:numCache>
            </c:numRef>
          </c:val>
          <c:extLst>
            <c:ext xmlns:c16="http://schemas.microsoft.com/office/drawing/2014/chart" uri="{C3380CC4-5D6E-409C-BE32-E72D297353CC}">
              <c16:uniqueId val="{00000005-C0FB-49DD-8033-390E20DF7405}"/>
            </c:ext>
          </c:extLst>
        </c:ser>
        <c:dLbls>
          <c:showLegendKey val="0"/>
          <c:showVal val="0"/>
          <c:showCatName val="0"/>
          <c:showSerName val="0"/>
          <c:showPercent val="0"/>
          <c:showBubbleSize val="0"/>
        </c:dLbls>
        <c:gapWidth val="150"/>
        <c:axId val="84796160"/>
        <c:axId val="84797696"/>
      </c:barChart>
      <c:catAx>
        <c:axId val="84796160"/>
        <c:scaling>
          <c:orientation val="minMax"/>
        </c:scaling>
        <c:delete val="0"/>
        <c:axPos val="b"/>
        <c:numFmt formatCode="General" sourceLinked="1"/>
        <c:majorTickMark val="none"/>
        <c:minorTickMark val="none"/>
        <c:tickLblPos val="nextTo"/>
        <c:txPr>
          <a:bodyPr rot="0" vert="horz"/>
          <a:lstStyle/>
          <a:p>
            <a:pPr>
              <a:defRPr/>
            </a:pPr>
            <a:endParaRPr lang="en-US"/>
          </a:p>
        </c:txPr>
        <c:crossAx val="84797696"/>
        <c:crosses val="autoZero"/>
        <c:auto val="1"/>
        <c:lblAlgn val="ctr"/>
        <c:lblOffset val="100"/>
        <c:noMultiLvlLbl val="0"/>
      </c:catAx>
      <c:valAx>
        <c:axId val="84797696"/>
        <c:scaling>
          <c:orientation val="minMax"/>
        </c:scaling>
        <c:delete val="0"/>
        <c:axPos val="l"/>
        <c:majorGridlines/>
        <c:title>
          <c:tx>
            <c:rich>
              <a:bodyPr/>
              <a:lstStyle/>
              <a:p>
                <a:pPr>
                  <a:defRPr/>
                </a:pPr>
                <a:r>
                  <a:rPr lang="en-US"/>
                  <a:t>%</a:t>
                </a:r>
              </a:p>
            </c:rich>
          </c:tx>
          <c:overlay val="0"/>
        </c:title>
        <c:numFmt formatCode="_(* #,##0.00_);_(* \(#,##0.00\);_(* &quot;-&quot;??_);_(@_)" sourceLinked="1"/>
        <c:majorTickMark val="none"/>
        <c:minorTickMark val="none"/>
        <c:tickLblPos val="nextTo"/>
        <c:txPr>
          <a:bodyPr rot="0" vert="horz"/>
          <a:lstStyle/>
          <a:p>
            <a:pPr>
              <a:defRPr/>
            </a:pPr>
            <a:endParaRPr lang="en-US"/>
          </a:p>
        </c:txPr>
        <c:crossAx val="84796160"/>
        <c:crosses val="autoZero"/>
        <c:crossBetween val="between"/>
      </c:valAx>
      <c:dTable>
        <c:showHorzBorder val="1"/>
        <c:showVertBorder val="1"/>
        <c:showOutline val="1"/>
        <c:showKeys val="1"/>
      </c:dTable>
      <c:spPr>
        <a:noFill/>
      </c:spPr>
    </c:plotArea>
    <c:plotVisOnly val="1"/>
    <c:dispBlanksAs val="gap"/>
    <c:showDLblsOverMax val="0"/>
  </c:chart>
  <c:spPr>
    <a:noFill/>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sz="1800" b="1" i="0" u="none" strike="noStrike" baseline="0">
                <a:solidFill>
                  <a:srgbClr val="FFFFFF"/>
                </a:solidFill>
                <a:latin typeface="Calibri"/>
                <a:ea typeface="Calibri"/>
                <a:cs typeface="Calibri"/>
              </a:defRPr>
            </a:pPr>
            <a:r>
              <a:rPr lang="en-US"/>
              <a:t>No. of Motor Policies - GI </a:t>
            </a:r>
          </a:p>
        </c:rich>
      </c:tx>
      <c:overlay val="0"/>
    </c:title>
    <c:autoTitleDeleted val="0"/>
    <c:plotArea>
      <c:layout>
        <c:manualLayout>
          <c:layoutTarget val="inner"/>
          <c:xMode val="edge"/>
          <c:yMode val="edge"/>
          <c:x val="0.13807463910761156"/>
          <c:y val="0.13809057100490837"/>
          <c:w val="0.59632903333891785"/>
          <c:h val="0.76764612127415532"/>
        </c:manualLayout>
      </c:layout>
      <c:barChart>
        <c:barDir val="col"/>
        <c:grouping val="stacked"/>
        <c:varyColors val="0"/>
        <c:ser>
          <c:idx val="0"/>
          <c:order val="0"/>
          <c:tx>
            <c:strRef>
              <c:f>'T13(i) -Motor Policies'!$C$4</c:f>
              <c:strCache>
                <c:ptCount val="1"/>
                <c:pt idx="0">
                  <c:v>3rd Party</c:v>
                </c:pt>
              </c:strCache>
            </c:strRef>
          </c:tx>
          <c:invertIfNegative val="0"/>
          <c:cat>
            <c:numRef>
              <c:f>'T13(i) -Motor Policies'!$B$6:$B$10</c:f>
              <c:numCache>
                <c:formatCode>General</c:formatCode>
                <c:ptCount val="5"/>
                <c:pt idx="0">
                  <c:v>2008</c:v>
                </c:pt>
                <c:pt idx="1">
                  <c:v>2009</c:v>
                </c:pt>
                <c:pt idx="2">
                  <c:v>2010</c:v>
                </c:pt>
                <c:pt idx="3">
                  <c:v>2011</c:v>
                </c:pt>
                <c:pt idx="4">
                  <c:v>2012</c:v>
                </c:pt>
              </c:numCache>
            </c:numRef>
          </c:cat>
          <c:val>
            <c:numRef>
              <c:f>'T13(i) -Motor Policies'!$C$6:$C$10</c:f>
              <c:numCache>
                <c:formatCode>_(* #,##0_);_(* \(#,##0\);_(* "-"??_);_(@_)</c:formatCode>
                <c:ptCount val="5"/>
                <c:pt idx="0">
                  <c:v>1205245</c:v>
                </c:pt>
                <c:pt idx="1">
                  <c:v>1415020</c:v>
                </c:pt>
                <c:pt idx="2">
                  <c:v>1591047</c:v>
                </c:pt>
                <c:pt idx="3">
                  <c:v>1867731</c:v>
                </c:pt>
                <c:pt idx="4">
                  <c:v>2026197</c:v>
                </c:pt>
              </c:numCache>
            </c:numRef>
          </c:val>
          <c:extLst>
            <c:ext xmlns:c16="http://schemas.microsoft.com/office/drawing/2014/chart" uri="{C3380CC4-5D6E-409C-BE32-E72D297353CC}">
              <c16:uniqueId val="{00000000-8BCF-4345-9FA0-F6326AE1122A}"/>
            </c:ext>
          </c:extLst>
        </c:ser>
        <c:ser>
          <c:idx val="1"/>
          <c:order val="1"/>
          <c:tx>
            <c:strRef>
              <c:f>'T13(i) -Motor Policies'!$D$4</c:f>
              <c:strCache>
                <c:ptCount val="1"/>
                <c:pt idx="0">
                  <c:v>Comprehensive</c:v>
                </c:pt>
              </c:strCache>
            </c:strRef>
          </c:tx>
          <c:invertIfNegative val="0"/>
          <c:cat>
            <c:numRef>
              <c:f>'T13(i) -Motor Policies'!$B$6:$B$10</c:f>
              <c:numCache>
                <c:formatCode>General</c:formatCode>
                <c:ptCount val="5"/>
                <c:pt idx="0">
                  <c:v>2008</c:v>
                </c:pt>
                <c:pt idx="1">
                  <c:v>2009</c:v>
                </c:pt>
                <c:pt idx="2">
                  <c:v>2010</c:v>
                </c:pt>
                <c:pt idx="3">
                  <c:v>2011</c:v>
                </c:pt>
                <c:pt idx="4">
                  <c:v>2012</c:v>
                </c:pt>
              </c:numCache>
            </c:numRef>
          </c:cat>
          <c:val>
            <c:numRef>
              <c:f>'T13(i) -Motor Policies'!$D$6:$D$10</c:f>
              <c:numCache>
                <c:formatCode>_(* #,##0_);_(* \(#,##0\);_(* "-"??_);_(@_)</c:formatCode>
                <c:ptCount val="5"/>
                <c:pt idx="0">
                  <c:v>670460</c:v>
                </c:pt>
                <c:pt idx="1">
                  <c:v>892972</c:v>
                </c:pt>
                <c:pt idx="2">
                  <c:v>1066899</c:v>
                </c:pt>
                <c:pt idx="3">
                  <c:v>1325633</c:v>
                </c:pt>
                <c:pt idx="4">
                  <c:v>1417200</c:v>
                </c:pt>
              </c:numCache>
            </c:numRef>
          </c:val>
          <c:extLst>
            <c:ext xmlns:c16="http://schemas.microsoft.com/office/drawing/2014/chart" uri="{C3380CC4-5D6E-409C-BE32-E72D297353CC}">
              <c16:uniqueId val="{00000001-8BCF-4345-9FA0-F6326AE1122A}"/>
            </c:ext>
          </c:extLst>
        </c:ser>
        <c:dLbls>
          <c:showLegendKey val="0"/>
          <c:showVal val="0"/>
          <c:showCatName val="0"/>
          <c:showSerName val="0"/>
          <c:showPercent val="0"/>
          <c:showBubbleSize val="0"/>
        </c:dLbls>
        <c:gapWidth val="150"/>
        <c:overlap val="100"/>
        <c:axId val="93644288"/>
        <c:axId val="93646208"/>
      </c:barChart>
      <c:lineChart>
        <c:grouping val="standard"/>
        <c:varyColors val="0"/>
        <c:ser>
          <c:idx val="2"/>
          <c:order val="2"/>
          <c:tx>
            <c:strRef>
              <c:f>'T13(i) -Motor Policies'!$E$4</c:f>
              <c:strCache>
                <c:ptCount val="1"/>
                <c:pt idx="0">
                  <c:v>Total No. of Motor Vehicles Registered</c:v>
                </c:pt>
              </c:strCache>
            </c:strRef>
          </c:tx>
          <c:cat>
            <c:numRef>
              <c:f>'T13(i) -Motor Policies'!$B$6:$B$10</c:f>
              <c:numCache>
                <c:formatCode>General</c:formatCode>
                <c:ptCount val="5"/>
                <c:pt idx="0">
                  <c:v>2008</c:v>
                </c:pt>
                <c:pt idx="1">
                  <c:v>2009</c:v>
                </c:pt>
                <c:pt idx="2">
                  <c:v>2010</c:v>
                </c:pt>
                <c:pt idx="3">
                  <c:v>2011</c:v>
                </c:pt>
                <c:pt idx="4">
                  <c:v>2012</c:v>
                </c:pt>
              </c:numCache>
            </c:numRef>
          </c:cat>
          <c:val>
            <c:numRef>
              <c:f>'T13(i) -Motor Policies'!$E$6:$E$10</c:f>
              <c:numCache>
                <c:formatCode>_(* #,##0_);_(* \(#,##0\);_(* "-"??_);_(@_)</c:formatCode>
                <c:ptCount val="5"/>
                <c:pt idx="0">
                  <c:v>3390993</c:v>
                </c:pt>
                <c:pt idx="1">
                  <c:v>3595068</c:v>
                </c:pt>
                <c:pt idx="2">
                  <c:v>3954311</c:v>
                </c:pt>
              </c:numCache>
            </c:numRef>
          </c:val>
          <c:smooth val="0"/>
          <c:extLst>
            <c:ext xmlns:c16="http://schemas.microsoft.com/office/drawing/2014/chart" uri="{C3380CC4-5D6E-409C-BE32-E72D297353CC}">
              <c16:uniqueId val="{00000002-8BCF-4345-9FA0-F6326AE1122A}"/>
            </c:ext>
          </c:extLst>
        </c:ser>
        <c:ser>
          <c:idx val="3"/>
          <c:order val="3"/>
          <c:tx>
            <c:strRef>
              <c:f>'T13(i) -Motor Policies'!$F$4</c:f>
              <c:strCache>
                <c:ptCount val="1"/>
                <c:pt idx="0">
                  <c:v>New Motor Vehicles Registered</c:v>
                </c:pt>
              </c:strCache>
            </c:strRef>
          </c:tx>
          <c:spPr>
            <a:ln>
              <a:solidFill>
                <a:srgbClr val="FFC000"/>
              </a:solidFill>
            </a:ln>
          </c:spPr>
          <c:marker>
            <c:spPr>
              <a:solidFill>
                <a:srgbClr val="FFC000"/>
              </a:solidFill>
            </c:spPr>
          </c:marker>
          <c:cat>
            <c:numRef>
              <c:f>'T13(i) -Motor Policies'!$B$6:$B$10</c:f>
              <c:numCache>
                <c:formatCode>General</c:formatCode>
                <c:ptCount val="5"/>
                <c:pt idx="0">
                  <c:v>2008</c:v>
                </c:pt>
                <c:pt idx="1">
                  <c:v>2009</c:v>
                </c:pt>
                <c:pt idx="2">
                  <c:v>2010</c:v>
                </c:pt>
                <c:pt idx="3">
                  <c:v>2011</c:v>
                </c:pt>
                <c:pt idx="4">
                  <c:v>2012</c:v>
                </c:pt>
              </c:numCache>
            </c:numRef>
          </c:cat>
          <c:val>
            <c:numRef>
              <c:f>'T13(i) -Motor Policies'!$F$6:$F$10</c:f>
              <c:numCache>
                <c:formatCode>_(* #,##0_);_(* \(#,##0\);_(* "-"??_);_(@_)</c:formatCode>
                <c:ptCount val="5"/>
                <c:pt idx="0">
                  <c:v>265199</c:v>
                </c:pt>
                <c:pt idx="1">
                  <c:v>204075</c:v>
                </c:pt>
                <c:pt idx="2">
                  <c:v>359243</c:v>
                </c:pt>
              </c:numCache>
            </c:numRef>
          </c:val>
          <c:smooth val="0"/>
          <c:extLst>
            <c:ext xmlns:c16="http://schemas.microsoft.com/office/drawing/2014/chart" uri="{C3380CC4-5D6E-409C-BE32-E72D297353CC}">
              <c16:uniqueId val="{00000003-8BCF-4345-9FA0-F6326AE1122A}"/>
            </c:ext>
          </c:extLst>
        </c:ser>
        <c:dLbls>
          <c:showLegendKey val="0"/>
          <c:showVal val="0"/>
          <c:showCatName val="0"/>
          <c:showSerName val="0"/>
          <c:showPercent val="0"/>
          <c:showBubbleSize val="0"/>
        </c:dLbls>
        <c:marker val="1"/>
        <c:smooth val="0"/>
        <c:axId val="93644288"/>
        <c:axId val="93646208"/>
      </c:lineChart>
      <c:catAx>
        <c:axId val="9364428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FFFFFF"/>
                </a:solidFill>
                <a:latin typeface="Calibri"/>
                <a:ea typeface="Calibri"/>
                <a:cs typeface="Calibri"/>
              </a:defRPr>
            </a:pPr>
            <a:endParaRPr lang="en-US"/>
          </a:p>
        </c:txPr>
        <c:crossAx val="93646208"/>
        <c:crosses val="autoZero"/>
        <c:auto val="1"/>
        <c:lblAlgn val="ctr"/>
        <c:lblOffset val="100"/>
        <c:noMultiLvlLbl val="0"/>
      </c:catAx>
      <c:valAx>
        <c:axId val="93646208"/>
        <c:scaling>
          <c:orientation val="minMax"/>
        </c:scaling>
        <c:delete val="0"/>
        <c:axPos val="l"/>
        <c:majorGridlines/>
        <c:numFmt formatCode="_(* #,##0_);_(* \(#,##0\);_(* &quot;-&quot;??_);_(@_)" sourceLinked="1"/>
        <c:majorTickMark val="none"/>
        <c:minorTickMark val="none"/>
        <c:tickLblPos val="nextTo"/>
        <c:txPr>
          <a:bodyPr rot="0" vert="horz"/>
          <a:lstStyle/>
          <a:p>
            <a:pPr>
              <a:defRPr sz="1000" b="0" i="0" u="none" strike="noStrike" baseline="0">
                <a:solidFill>
                  <a:srgbClr val="FFFFFF"/>
                </a:solidFill>
                <a:latin typeface="Calibri"/>
                <a:ea typeface="Calibri"/>
                <a:cs typeface="Calibri"/>
              </a:defRPr>
            </a:pPr>
            <a:endParaRPr lang="en-US"/>
          </a:p>
        </c:txPr>
        <c:crossAx val="93644288"/>
        <c:crosses val="autoZero"/>
        <c:crossBetween val="between"/>
      </c:valAx>
    </c:plotArea>
    <c:legend>
      <c:legendPos val="r"/>
      <c:layout>
        <c:manualLayout>
          <c:xMode val="edge"/>
          <c:yMode val="edge"/>
          <c:x val="0.7421875"/>
          <c:y val="0.46279171938040131"/>
          <c:w val="0.25781250000000488"/>
          <c:h val="0.38581393153193982"/>
        </c:manualLayout>
      </c:layout>
      <c:overlay val="0"/>
      <c:txPr>
        <a:bodyPr/>
        <a:lstStyle/>
        <a:p>
          <a:pPr>
            <a:defRPr sz="845" b="0" i="0" u="none" strike="noStrike" baseline="0">
              <a:solidFill>
                <a:srgbClr val="FFFFFF"/>
              </a:solidFill>
              <a:latin typeface="Calibri"/>
              <a:ea typeface="Calibri"/>
              <a:cs typeface="Calibri"/>
            </a:defRPr>
          </a:pPr>
          <a:endParaRPr lang="en-US"/>
        </a:p>
      </c:txPr>
    </c:legend>
    <c:plotVisOnly val="1"/>
    <c:dispBlanksAs val="zero"/>
    <c:showDLblsOverMax val="0"/>
  </c:chart>
  <c:txPr>
    <a:bodyPr/>
    <a:lstStyle/>
    <a:p>
      <a:pPr>
        <a:defRPr sz="1000" b="0" i="0" u="none" strike="noStrike" baseline="0">
          <a:solidFill>
            <a:srgbClr val="FFFFFF"/>
          </a:solidFill>
          <a:latin typeface="Calibri"/>
          <a:ea typeface="Calibri"/>
          <a:cs typeface="Calibri"/>
        </a:defRPr>
      </a:pPr>
      <a:endParaRPr lang="en-US"/>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sz="1800" b="1" i="0" u="none" strike="noStrike" baseline="0">
                <a:solidFill>
                  <a:srgbClr val="FFFFFF"/>
                </a:solidFill>
                <a:latin typeface="Calibri"/>
                <a:ea typeface="Calibri"/>
                <a:cs typeface="Calibri"/>
              </a:defRPr>
            </a:pPr>
            <a:r>
              <a:rPr lang="en-US"/>
              <a:t>Total Assets of Insurance Companies (Rs.million) and Growth Rate</a:t>
            </a:r>
          </a:p>
        </c:rich>
      </c:tx>
      <c:overlay val="0"/>
    </c:title>
    <c:autoTitleDeleted val="0"/>
    <c:plotArea>
      <c:layout>
        <c:manualLayout>
          <c:layoutTarget val="inner"/>
          <c:xMode val="edge"/>
          <c:yMode val="edge"/>
          <c:x val="0.11200540980412381"/>
          <c:y val="0.17751237991802749"/>
          <c:w val="0.79949218138119948"/>
          <c:h val="0.63672808140366199"/>
        </c:manualLayout>
      </c:layout>
      <c:barChart>
        <c:barDir val="col"/>
        <c:grouping val="stacked"/>
        <c:varyColors val="0"/>
        <c:ser>
          <c:idx val="0"/>
          <c:order val="0"/>
          <c:tx>
            <c:strRef>
              <c:f>'AR Table 8 &amp; Chart 9'!$O$5</c:f>
              <c:strCache>
                <c:ptCount val="1"/>
                <c:pt idx="0">
                  <c:v>Total Net Assets of Insurance Companies </c:v>
                </c:pt>
              </c:strCache>
            </c:strRef>
          </c:tx>
          <c:invertIfNegative val="0"/>
          <c:dLbls>
            <c:dLbl>
              <c:idx val="3"/>
              <c:tx>
                <c:rich>
                  <a:bodyPr/>
                  <a:lstStyle/>
                  <a:p>
                    <a:r>
                      <a:rPr lang="en-US"/>
                      <a:t> 222,098 </a:t>
                    </a:r>
                  </a:p>
                </c:rich>
              </c:tx>
              <c:dLblPos val="inEnd"/>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470-45B7-A5B3-AF5042EE109A}"/>
                </c:ext>
              </c:extLst>
            </c:dLbl>
            <c:dLbl>
              <c:idx val="4"/>
              <c:layout>
                <c:manualLayout>
                  <c:x val="0"/>
                  <c:y val="-0.12809614315451948"/>
                </c:manualLayout>
              </c:layout>
              <c:tx>
                <c:rich>
                  <a:bodyPr/>
                  <a:lstStyle/>
                  <a:p>
                    <a:r>
                      <a:rPr lang="en-US"/>
                      <a:t> 265,413</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70-45B7-A5B3-AF5042EE109A}"/>
                </c:ext>
              </c:extLst>
            </c:dLbl>
            <c:spPr>
              <a:noFill/>
              <a:ln>
                <a:noFill/>
              </a:ln>
              <a:effectLst/>
            </c:spPr>
            <c:txPr>
              <a:bodyPr rot="-5400000" vert="horz"/>
              <a:lstStyle/>
              <a:p>
                <a:pPr algn="ctr">
                  <a:defRPr sz="1000" b="0" i="0" u="none" strike="noStrike" baseline="0">
                    <a:solidFill>
                      <a:srgbClr val="FFFFFF"/>
                    </a:solidFill>
                    <a:latin typeface="Calibri"/>
                    <a:ea typeface="Calibri"/>
                    <a:cs typeface="Calibri"/>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'AR Table 8 &amp; Chart 9'!$P$6:$T$6</c:f>
              <c:strCache>
                <c:ptCount val="5"/>
                <c:pt idx="0">
                  <c:v>2008</c:v>
                </c:pt>
                <c:pt idx="1">
                  <c:v>2009</c:v>
                </c:pt>
                <c:pt idx="2">
                  <c:v>2010 </c:v>
                </c:pt>
                <c:pt idx="3">
                  <c:v>2011(a)</c:v>
                </c:pt>
                <c:pt idx="4">
                  <c:v>2012(b)</c:v>
                </c:pt>
              </c:strCache>
            </c:strRef>
          </c:cat>
          <c:val>
            <c:numRef>
              <c:f>'AR Table 8 &amp; Chart 9'!$P$8:$T$8</c:f>
              <c:numCache>
                <c:formatCode>_(* #,##0_);_(* \(#,##0\);_(* "-"??_);_(@_)</c:formatCode>
                <c:ptCount val="5"/>
                <c:pt idx="0">
                  <c:v>155993</c:v>
                </c:pt>
                <c:pt idx="1">
                  <c:v>181045</c:v>
                </c:pt>
                <c:pt idx="2">
                  <c:v>219102.12200337049</c:v>
                </c:pt>
                <c:pt idx="3">
                  <c:v>0</c:v>
                </c:pt>
                <c:pt idx="4">
                  <c:v>0</c:v>
                </c:pt>
              </c:numCache>
            </c:numRef>
          </c:val>
          <c:extLst>
            <c:ext xmlns:c16="http://schemas.microsoft.com/office/drawing/2014/chart" uri="{C3380CC4-5D6E-409C-BE32-E72D297353CC}">
              <c16:uniqueId val="{00000002-F470-45B7-A5B3-AF5042EE109A}"/>
            </c:ext>
          </c:extLst>
        </c:ser>
        <c:ser>
          <c:idx val="2"/>
          <c:order val="2"/>
          <c:tx>
            <c:strRef>
              <c:f>'AR Table 8 &amp; Chart 9'!$N$7</c:f>
              <c:strCache>
                <c:ptCount val="1"/>
                <c:pt idx="0">
                  <c:v>Inter Segment</c:v>
                </c:pt>
              </c:strCache>
            </c:strRef>
          </c:tx>
          <c:spPr>
            <a:solidFill>
              <a:srgbClr val="FFFF00"/>
            </a:solidFill>
          </c:spPr>
          <c:invertIfNegative val="0"/>
          <c:cat>
            <c:strRef>
              <c:f>'AR Table 8 &amp; Chart 9'!$P$6:$T$6</c:f>
              <c:strCache>
                <c:ptCount val="5"/>
                <c:pt idx="0">
                  <c:v>2008</c:v>
                </c:pt>
                <c:pt idx="1">
                  <c:v>2009</c:v>
                </c:pt>
                <c:pt idx="2">
                  <c:v>2010 </c:v>
                </c:pt>
                <c:pt idx="3">
                  <c:v>2011(a)</c:v>
                </c:pt>
                <c:pt idx="4">
                  <c:v>2012(b)</c:v>
                </c:pt>
              </c:strCache>
            </c:strRef>
          </c:cat>
          <c:val>
            <c:numRef>
              <c:f>'AR Table 8 &amp; Chart 9'!$P$7:$T$7</c:f>
              <c:numCache>
                <c:formatCode>General</c:formatCode>
                <c:ptCount val="5"/>
                <c:pt idx="2" formatCode="_(* #,##0_);_(* \(#,##0\);_(* &quot;-&quot;??_);_(@_)">
                  <c:v>2995.414006</c:v>
                </c:pt>
                <c:pt idx="3" formatCode="_(* #,##0_);_(* \(#,##0\);_(* &quot;-&quot;??_);_(@_)">
                  <c:v>0</c:v>
                </c:pt>
                <c:pt idx="4" formatCode="_(* #,##0_);_(* \(#,##0\);_(* &quot;-&quot;??_);_(@_)">
                  <c:v>0</c:v>
                </c:pt>
              </c:numCache>
            </c:numRef>
          </c:val>
          <c:extLst>
            <c:ext xmlns:c16="http://schemas.microsoft.com/office/drawing/2014/chart" uri="{C3380CC4-5D6E-409C-BE32-E72D297353CC}">
              <c16:uniqueId val="{00000003-F470-45B7-A5B3-AF5042EE109A}"/>
            </c:ext>
          </c:extLst>
        </c:ser>
        <c:dLbls>
          <c:showLegendKey val="0"/>
          <c:showVal val="0"/>
          <c:showCatName val="0"/>
          <c:showSerName val="0"/>
          <c:showPercent val="0"/>
          <c:showBubbleSize val="0"/>
        </c:dLbls>
        <c:gapWidth val="150"/>
        <c:overlap val="100"/>
        <c:axId val="94645248"/>
        <c:axId val="94663424"/>
      </c:barChart>
      <c:lineChart>
        <c:grouping val="stacked"/>
        <c:varyColors val="1"/>
        <c:ser>
          <c:idx val="1"/>
          <c:order val="1"/>
          <c:tx>
            <c:strRef>
              <c:f>'AR Table 8 &amp; Chart 9'!$N$9</c:f>
              <c:strCache>
                <c:ptCount val="1"/>
                <c:pt idx="0">
                  <c:v>Growth Rate</c:v>
                </c:pt>
              </c:strCache>
            </c:strRef>
          </c:tx>
          <c:dLbls>
            <c:dLbl>
              <c:idx val="3"/>
              <c:layout>
                <c:manualLayout>
                  <c:x val="-4.4701639369314823E-2"/>
                  <c:y val="-3.97455490477483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470-45B7-A5B3-AF5042EE109A}"/>
                </c:ext>
              </c:extLst>
            </c:dLbl>
            <c:spPr>
              <a:noFill/>
              <a:ln>
                <a:noFill/>
              </a:ln>
              <a:effectLst/>
            </c:spPr>
            <c:txPr>
              <a:bodyPr/>
              <a:lstStyle/>
              <a:p>
                <a:pPr>
                  <a:defRPr sz="1000" b="0" i="0" u="none" strike="noStrike" baseline="0">
                    <a:solidFill>
                      <a:srgbClr val="FFFFFF"/>
                    </a:solidFill>
                    <a:latin typeface="Calibri"/>
                    <a:ea typeface="Calibri"/>
                    <a:cs typeface="Calibri"/>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'AR Table 8 &amp; Chart 9'!$O$6:$S$6</c:f>
              <c:strCache>
                <c:ptCount val="5"/>
                <c:pt idx="0">
                  <c:v>2007 </c:v>
                </c:pt>
                <c:pt idx="1">
                  <c:v>2008</c:v>
                </c:pt>
                <c:pt idx="2">
                  <c:v>2009</c:v>
                </c:pt>
                <c:pt idx="3">
                  <c:v>2010 </c:v>
                </c:pt>
                <c:pt idx="4">
                  <c:v>2011(a)</c:v>
                </c:pt>
              </c:strCache>
            </c:strRef>
          </c:cat>
          <c:val>
            <c:numRef>
              <c:f>'AR Table 8 &amp; Chart 9'!$P$9:$T$9</c:f>
              <c:numCache>
                <c:formatCode>_(* #,##0.00_);_(* \(#,##0.00\);_(* "-"??_);_(@_)</c:formatCode>
                <c:ptCount val="5"/>
                <c:pt idx="0">
                  <c:v>15.656603102108605</c:v>
                </c:pt>
                <c:pt idx="1">
                  <c:v>16.059694986313488</c:v>
                </c:pt>
                <c:pt idx="2">
                  <c:v>22.67532161030158</c:v>
                </c:pt>
                <c:pt idx="3" formatCode="_(* #,##0_);_(* \(#,##0\);_(* &quot;-&quot;??_);_(@_)">
                  <c:v>0</c:v>
                </c:pt>
                <c:pt idx="4">
                  <c:v>0</c:v>
                </c:pt>
              </c:numCache>
            </c:numRef>
          </c:val>
          <c:smooth val="0"/>
          <c:extLst>
            <c:ext xmlns:c16="http://schemas.microsoft.com/office/drawing/2014/chart" uri="{C3380CC4-5D6E-409C-BE32-E72D297353CC}">
              <c16:uniqueId val="{00000005-F470-45B7-A5B3-AF5042EE109A}"/>
            </c:ext>
          </c:extLst>
        </c:ser>
        <c:dLbls>
          <c:showLegendKey val="0"/>
          <c:showVal val="0"/>
          <c:showCatName val="0"/>
          <c:showSerName val="0"/>
          <c:showPercent val="0"/>
          <c:showBubbleSize val="0"/>
        </c:dLbls>
        <c:marker val="1"/>
        <c:smooth val="0"/>
        <c:axId val="94664960"/>
        <c:axId val="94674944"/>
      </c:lineChart>
      <c:catAx>
        <c:axId val="9464524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FFFFFF"/>
                </a:solidFill>
                <a:latin typeface="Calibri"/>
                <a:ea typeface="Calibri"/>
                <a:cs typeface="Calibri"/>
              </a:defRPr>
            </a:pPr>
            <a:endParaRPr lang="en-US"/>
          </a:p>
        </c:txPr>
        <c:crossAx val="94663424"/>
        <c:crosses val="autoZero"/>
        <c:auto val="1"/>
        <c:lblAlgn val="ctr"/>
        <c:lblOffset val="100"/>
        <c:noMultiLvlLbl val="0"/>
      </c:catAx>
      <c:valAx>
        <c:axId val="94663424"/>
        <c:scaling>
          <c:orientation val="minMax"/>
        </c:scaling>
        <c:delete val="0"/>
        <c:axPos val="l"/>
        <c:majorGridlines/>
        <c:numFmt formatCode="_(* #,##0_);_(* \(#,##0\);_(* &quot;-&quot;??_);_(@_)" sourceLinked="1"/>
        <c:majorTickMark val="none"/>
        <c:minorTickMark val="none"/>
        <c:tickLblPos val="nextTo"/>
        <c:spPr>
          <a:ln w="9525">
            <a:noFill/>
          </a:ln>
        </c:spPr>
        <c:txPr>
          <a:bodyPr rot="0" vert="horz"/>
          <a:lstStyle/>
          <a:p>
            <a:pPr>
              <a:defRPr sz="1000" b="0" i="0" u="none" strike="noStrike" baseline="0">
                <a:solidFill>
                  <a:srgbClr val="FFFFFF"/>
                </a:solidFill>
                <a:latin typeface="Calibri"/>
                <a:ea typeface="Calibri"/>
                <a:cs typeface="Calibri"/>
              </a:defRPr>
            </a:pPr>
            <a:endParaRPr lang="en-US"/>
          </a:p>
        </c:txPr>
        <c:crossAx val="94645248"/>
        <c:crosses val="autoZero"/>
        <c:crossBetween val="between"/>
      </c:valAx>
      <c:catAx>
        <c:axId val="94664960"/>
        <c:scaling>
          <c:orientation val="minMax"/>
        </c:scaling>
        <c:delete val="1"/>
        <c:axPos val="b"/>
        <c:numFmt formatCode="General" sourceLinked="1"/>
        <c:majorTickMark val="out"/>
        <c:minorTickMark val="none"/>
        <c:tickLblPos val="none"/>
        <c:crossAx val="94674944"/>
        <c:crosses val="autoZero"/>
        <c:auto val="1"/>
        <c:lblAlgn val="ctr"/>
        <c:lblOffset val="100"/>
        <c:noMultiLvlLbl val="0"/>
      </c:catAx>
      <c:valAx>
        <c:axId val="94674944"/>
        <c:scaling>
          <c:orientation val="minMax"/>
        </c:scaling>
        <c:delete val="0"/>
        <c:axPos val="r"/>
        <c:numFmt formatCode="_(* #,##0.00_);_(* \(#,##0.00\);_(* &quot;-&quot;??_);_(@_)" sourceLinked="1"/>
        <c:majorTickMark val="out"/>
        <c:minorTickMark val="none"/>
        <c:tickLblPos val="nextTo"/>
        <c:txPr>
          <a:bodyPr rot="0" vert="horz"/>
          <a:lstStyle/>
          <a:p>
            <a:pPr>
              <a:defRPr sz="1000" b="0" i="0" u="none" strike="noStrike" baseline="0">
                <a:solidFill>
                  <a:srgbClr val="FFFFFF"/>
                </a:solidFill>
                <a:latin typeface="Calibri"/>
                <a:ea typeface="Calibri"/>
                <a:cs typeface="Calibri"/>
              </a:defRPr>
            </a:pPr>
            <a:endParaRPr lang="en-US"/>
          </a:p>
        </c:txPr>
        <c:crossAx val="94664960"/>
        <c:crosses val="max"/>
        <c:crossBetween val="between"/>
      </c:valAx>
    </c:plotArea>
    <c:legend>
      <c:legendPos val="b"/>
      <c:overlay val="0"/>
      <c:txPr>
        <a:bodyPr/>
        <a:lstStyle/>
        <a:p>
          <a:pPr>
            <a:defRPr sz="845" b="0" i="0" u="none" strike="noStrike" baseline="0">
              <a:solidFill>
                <a:srgbClr val="FFFFFF"/>
              </a:solidFill>
              <a:latin typeface="Calibri"/>
              <a:ea typeface="Calibri"/>
              <a:cs typeface="Calibri"/>
            </a:defRPr>
          </a:pPr>
          <a:endParaRPr lang="en-US"/>
        </a:p>
      </c:txPr>
    </c:legend>
    <c:plotVisOnly val="1"/>
    <c:dispBlanksAs val="zero"/>
    <c:showDLblsOverMax val="0"/>
  </c:chart>
  <c:txPr>
    <a:bodyPr/>
    <a:lstStyle/>
    <a:p>
      <a:pPr>
        <a:defRPr sz="1000" b="0" i="0" u="none" strike="noStrike" baseline="0">
          <a:solidFill>
            <a:srgbClr val="FFFFFF"/>
          </a:solidFill>
          <a:latin typeface="Calibri"/>
          <a:ea typeface="Calibri"/>
          <a:cs typeface="Calibri"/>
        </a:defRPr>
      </a:pPr>
      <a:endParaRPr lang="en-US"/>
    </a:p>
  </c:tx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Concentration of Assets Company-wise Analysis - 2012</a:t>
            </a:r>
          </a:p>
        </c:rich>
      </c:tx>
      <c:overlay val="0"/>
    </c:title>
    <c:autoTitleDeleted val="0"/>
    <c:plotArea>
      <c:layout>
        <c:manualLayout>
          <c:layoutTarget val="inner"/>
          <c:xMode val="edge"/>
          <c:yMode val="edge"/>
          <c:x val="0.22712480483448838"/>
          <c:y val="0.15566820928333044"/>
          <c:w val="0.58379128429203131"/>
          <c:h val="0.71420177191431178"/>
        </c:manualLayout>
      </c:layout>
      <c:pieChart>
        <c:varyColors val="1"/>
        <c:ser>
          <c:idx val="9"/>
          <c:order val="0"/>
          <c:dLbls>
            <c:dLbl>
              <c:idx val="0"/>
              <c:layout>
                <c:manualLayout>
                  <c:x val="5.8505996308236184E-2"/>
                  <c:y val="-7.4738549744898422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ED2-44CE-81AF-8BE132C0B74A}"/>
                </c:ext>
              </c:extLst>
            </c:dLbl>
            <c:dLbl>
              <c:idx val="1"/>
              <c:layout>
                <c:manualLayout>
                  <c:x val="0.15116380170788521"/>
                  <c:y val="-5.3432273845354934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ED2-44CE-81AF-8BE132C0B74A}"/>
                </c:ext>
              </c:extLst>
            </c:dLbl>
            <c:dLbl>
              <c:idx val="2"/>
              <c:layout>
                <c:manualLayout>
                  <c:x val="0.12022794582916793"/>
                  <c:y val="1.3695013362463381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ED2-44CE-81AF-8BE132C0B74A}"/>
                </c:ext>
              </c:extLst>
            </c:dLbl>
            <c:dLbl>
              <c:idx val="3"/>
              <c:layout>
                <c:manualLayout>
                  <c:x val="0.12424433037169438"/>
                  <c:y val="8.1399077214993634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ED2-44CE-81AF-8BE132C0B74A}"/>
                </c:ext>
              </c:extLst>
            </c:dLbl>
            <c:dLbl>
              <c:idx val="4"/>
              <c:layout>
                <c:manualLayout>
                  <c:x val="6.6411612956369104E-2"/>
                  <c:y val="2.3255046972915611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ED2-44CE-81AF-8BE132C0B74A}"/>
                </c:ext>
              </c:extLst>
            </c:dLbl>
            <c:dLbl>
              <c:idx val="5"/>
              <c:layout>
                <c:manualLayout>
                  <c:x val="8.4441648788195336E-2"/>
                  <c:y val="-4.4371513492735021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ED2-44CE-81AF-8BE132C0B74A}"/>
                </c:ext>
              </c:extLst>
            </c:dLbl>
            <c:dLbl>
              <c:idx val="6"/>
              <c:layout>
                <c:manualLayout>
                  <c:x val="9.8111359475215446E-2"/>
                  <c:y val="2.6208603938637828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ED2-44CE-81AF-8BE132C0B74A}"/>
                </c:ext>
              </c:extLst>
            </c:dLbl>
            <c:dLbl>
              <c:idx val="7"/>
              <c:layout>
                <c:manualLayout>
                  <c:x val="9.9478884682923902E-2"/>
                  <c:y val="0.14011201529693323"/>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ED2-44CE-81AF-8BE132C0B74A}"/>
                </c:ext>
              </c:extLst>
            </c:dLbl>
            <c:dLbl>
              <c:idx val="8"/>
              <c:layout>
                <c:manualLayout>
                  <c:x val="4.9899992886053533E-2"/>
                  <c:y val="1.5727507619335872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8ED2-44CE-81AF-8BE132C0B74A}"/>
                </c:ext>
              </c:extLst>
            </c:dLbl>
            <c:dLbl>
              <c:idx val="9"/>
              <c:layout>
                <c:manualLayout>
                  <c:x val="0.12634268603748491"/>
                  <c:y val="7.4738563438732933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8ED2-44CE-81AF-8BE132C0B74A}"/>
                </c:ext>
              </c:extLst>
            </c:dLbl>
            <c:dLbl>
              <c:idx val="10"/>
              <c:delete val="1"/>
              <c:extLst>
                <c:ext xmlns:c15="http://schemas.microsoft.com/office/drawing/2012/chart" uri="{CE6537A1-D6FC-4f65-9D91-7224C49458BB}"/>
                <c:ext xmlns:c16="http://schemas.microsoft.com/office/drawing/2014/chart" uri="{C3380CC4-5D6E-409C-BE32-E72D297353CC}">
                  <c16:uniqueId val="{0000000A-8ED2-44CE-81AF-8BE132C0B74A}"/>
                </c:ext>
              </c:extLst>
            </c:dLbl>
            <c:dLbl>
              <c:idx val="11"/>
              <c:layout>
                <c:manualLayout>
                  <c:x val="1.8680862075339182E-2"/>
                  <c:y val="8.672905415618859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8ED2-44CE-81AF-8BE132C0B74A}"/>
                </c:ext>
              </c:extLst>
            </c:dLbl>
            <c:dLbl>
              <c:idx val="12"/>
              <c:layout>
                <c:manualLayout>
                  <c:x val="-3.5486599386344311E-2"/>
                  <c:y val="0.1004636462327026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8ED2-44CE-81AF-8BE132C0B74A}"/>
                </c:ext>
              </c:extLst>
            </c:dLbl>
            <c:dLbl>
              <c:idx val="13"/>
              <c:layout>
                <c:manualLayout>
                  <c:x val="-0.18624065653766425"/>
                  <c:y val="9.928698703238012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8ED2-44CE-81AF-8BE132C0B74A}"/>
                </c:ext>
              </c:extLst>
            </c:dLbl>
            <c:dLbl>
              <c:idx val="14"/>
              <c:layout>
                <c:manualLayout>
                  <c:x val="-0.2516523603563639"/>
                  <c:y val="7.6318313613939634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E-8ED2-44CE-81AF-8BE132C0B74A}"/>
                </c:ext>
              </c:extLst>
            </c:dLbl>
            <c:dLbl>
              <c:idx val="15"/>
              <c:layout>
                <c:manualLayout>
                  <c:x val="-0.24973391002181144"/>
                  <c:y val="8.8069881317191546E-3"/>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8ED2-44CE-81AF-8BE132C0B74A}"/>
                </c:ext>
              </c:extLst>
            </c:dLbl>
            <c:dLbl>
              <c:idx val="16"/>
              <c:layout>
                <c:manualLayout>
                  <c:x val="-0.2435309600384459"/>
                  <c:y val="-6.2718757014014123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0-8ED2-44CE-81AF-8BE132C0B74A}"/>
                </c:ext>
              </c:extLst>
            </c:dLbl>
            <c:dLbl>
              <c:idx val="17"/>
              <c:layout>
                <c:manualLayout>
                  <c:x val="-0.21545406824148042"/>
                  <c:y val="-0.1341921003330081"/>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8ED2-44CE-81AF-8BE132C0B74A}"/>
                </c:ext>
              </c:extLst>
            </c:dLbl>
            <c:dLbl>
              <c:idx val="18"/>
              <c:layout>
                <c:manualLayout>
                  <c:x val="-0.10487440139882655"/>
                  <c:y val="-5.8699196346677232E-3"/>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2-8ED2-44CE-81AF-8BE132C0B74A}"/>
                </c:ext>
              </c:extLst>
            </c:dLbl>
            <c:dLbl>
              <c:idx val="19"/>
              <c:layout>
                <c:manualLayout>
                  <c:x val="9.445673784357551E-3"/>
                  <c:y val="-2.3860599440143383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8ED2-44CE-81AF-8BE132C0B74A}"/>
                </c:ext>
              </c:extLst>
            </c:dLbl>
            <c:dLbl>
              <c:idx val="20"/>
              <c:layout>
                <c:manualLayout>
                  <c:x val="4.6021993327866828E-2"/>
                  <c:y val="-5.5643767316876723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4-8ED2-44CE-81AF-8BE132C0B74A}"/>
                </c:ext>
              </c:extLst>
            </c:dLbl>
            <c:numFmt formatCode="0.00%" sourceLinked="0"/>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'AR Table 8 &amp; Chart 9'!$C$7:$C$27</c:f>
              <c:strCache>
                <c:ptCount val="21"/>
                <c:pt idx="0">
                  <c:v>Asian Alliance</c:v>
                </c:pt>
                <c:pt idx="1">
                  <c:v>Arpico</c:v>
                </c:pt>
                <c:pt idx="2">
                  <c:v>Allianz Gen.</c:v>
                </c:pt>
                <c:pt idx="3">
                  <c:v>Allianz Life</c:v>
                </c:pt>
                <c:pt idx="4">
                  <c:v>AIA</c:v>
                </c:pt>
                <c:pt idx="5">
                  <c:v>Amana Takaful</c:v>
                </c:pt>
                <c:pt idx="6">
                  <c:v>AIG</c:v>
                </c:pt>
                <c:pt idx="7">
                  <c:v>Continental</c:v>
                </c:pt>
                <c:pt idx="8">
                  <c:v>Ceylinco</c:v>
                </c:pt>
                <c:pt idx="9">
                  <c:v>Cooperative</c:v>
                </c:pt>
                <c:pt idx="10">
                  <c:v>Ceylinco Takaful</c:v>
                </c:pt>
                <c:pt idx="11">
                  <c:v>HNBA</c:v>
                </c:pt>
                <c:pt idx="12">
                  <c:v>Janashakthi</c:v>
                </c:pt>
                <c:pt idx="13">
                  <c:v>LIC</c:v>
                </c:pt>
                <c:pt idx="14">
                  <c:v>LOLC</c:v>
                </c:pt>
                <c:pt idx="15">
                  <c:v>MBSL</c:v>
                </c:pt>
                <c:pt idx="16">
                  <c:v>Orient</c:v>
                </c:pt>
                <c:pt idx="17">
                  <c:v>People’s</c:v>
                </c:pt>
                <c:pt idx="18">
                  <c:v>SLIC</c:v>
                </c:pt>
                <c:pt idx="19">
                  <c:v>Sanasa</c:v>
                </c:pt>
                <c:pt idx="20">
                  <c:v>UAL</c:v>
                </c:pt>
              </c:strCache>
            </c:strRef>
          </c:cat>
          <c:val>
            <c:numRef>
              <c:f>'AR Table 8 &amp; Chart 9'!$M$7:$M$27</c:f>
              <c:numCache>
                <c:formatCode>0.00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15-8ED2-44CE-81AF-8BE132C0B74A}"/>
            </c:ext>
          </c:extLst>
        </c:ser>
        <c:dLbls>
          <c:showLegendKey val="0"/>
          <c:showVal val="0"/>
          <c:showCatName val="1"/>
          <c:showSerName val="0"/>
          <c:showPercent val="1"/>
          <c:showBubbleSize val="0"/>
          <c:showLeaderLines val="1"/>
        </c:dLbls>
        <c:firstSliceAng val="49"/>
      </c:pieChart>
      <c:spPr>
        <a:noFill/>
        <a:ln w="25400">
          <a:noFill/>
        </a:ln>
      </c:spPr>
    </c:plotArea>
    <c:plotVisOnly val="1"/>
    <c:dispBlanksAs val="zero"/>
    <c:showDLblsOverMax val="0"/>
  </c:chart>
  <c:spPr>
    <a:noFill/>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sz="1800" b="1" i="0" u="none" strike="noStrike" baseline="0">
                <a:solidFill>
                  <a:srgbClr val="FFFFFF"/>
                </a:solidFill>
                <a:latin typeface="Calibri"/>
                <a:ea typeface="Calibri"/>
                <a:cs typeface="Calibri"/>
              </a:defRPr>
            </a:pPr>
            <a:r>
              <a:rPr lang="en-US"/>
              <a:t>Lapsation New &amp; Total Vs New Business &amp; Business in force</a:t>
            </a:r>
          </a:p>
        </c:rich>
      </c:tx>
      <c:overlay val="0"/>
    </c:title>
    <c:autoTitleDeleted val="0"/>
    <c:plotArea>
      <c:layout/>
      <c:barChart>
        <c:barDir val="col"/>
        <c:grouping val="clustered"/>
        <c:varyColors val="0"/>
        <c:ser>
          <c:idx val="0"/>
          <c:order val="0"/>
          <c:tx>
            <c:strRef>
              <c:f>'LI - laps new  (2)'!$J$5</c:f>
              <c:strCache>
                <c:ptCount val="1"/>
                <c:pt idx="0">
                  <c:v>Total Laps - New policies</c:v>
                </c:pt>
              </c:strCache>
            </c:strRef>
          </c:tx>
          <c:spPr>
            <a:ln>
              <a:round/>
            </a:ln>
          </c:spPr>
          <c:invertIfNegative val="0"/>
          <c:cat>
            <c:numRef>
              <c:f>'LI - laps new  (2)'!$B$6:$B$10</c:f>
              <c:numCache>
                <c:formatCode>General</c:formatCode>
                <c:ptCount val="5"/>
                <c:pt idx="0">
                  <c:v>2012</c:v>
                </c:pt>
                <c:pt idx="1">
                  <c:v>2011</c:v>
                </c:pt>
                <c:pt idx="2">
                  <c:v>2010</c:v>
                </c:pt>
                <c:pt idx="3">
                  <c:v>2009</c:v>
                </c:pt>
                <c:pt idx="4">
                  <c:v>2008</c:v>
                </c:pt>
              </c:numCache>
            </c:numRef>
          </c:cat>
          <c:val>
            <c:numRef>
              <c:f>'LI - laps new  (2)'!$J$6:$J$10</c:f>
              <c:numCache>
                <c:formatCode>_(* #,##0_);_(* \(#,##0\);_(* "-"??_);_(@_)</c:formatCode>
                <c:ptCount val="5"/>
                <c:pt idx="0">
                  <c:v>96299</c:v>
                </c:pt>
                <c:pt idx="1">
                  <c:v>82102</c:v>
                </c:pt>
                <c:pt idx="2">
                  <c:v>84413</c:v>
                </c:pt>
                <c:pt idx="3">
                  <c:v>94115</c:v>
                </c:pt>
                <c:pt idx="4">
                  <c:v>108658</c:v>
                </c:pt>
              </c:numCache>
            </c:numRef>
          </c:val>
          <c:extLst>
            <c:ext xmlns:c16="http://schemas.microsoft.com/office/drawing/2014/chart" uri="{C3380CC4-5D6E-409C-BE32-E72D297353CC}">
              <c16:uniqueId val="{00000000-4328-49CE-85D9-8E5B142DCD5C}"/>
            </c:ext>
          </c:extLst>
        </c:ser>
        <c:ser>
          <c:idx val="3"/>
          <c:order val="1"/>
          <c:tx>
            <c:strRef>
              <c:f>'LI - laps new  (2)'!$L$5</c:f>
              <c:strCache>
                <c:ptCount val="1"/>
                <c:pt idx="0">
                  <c:v>Total Laps </c:v>
                </c:pt>
              </c:strCache>
            </c:strRef>
          </c:tx>
          <c:invertIfNegative val="0"/>
          <c:cat>
            <c:numRef>
              <c:f>'LI - laps new  (2)'!$B$6:$B$10</c:f>
              <c:numCache>
                <c:formatCode>General</c:formatCode>
                <c:ptCount val="5"/>
                <c:pt idx="0">
                  <c:v>2012</c:v>
                </c:pt>
                <c:pt idx="1">
                  <c:v>2011</c:v>
                </c:pt>
                <c:pt idx="2">
                  <c:v>2010</c:v>
                </c:pt>
                <c:pt idx="3">
                  <c:v>2009</c:v>
                </c:pt>
                <c:pt idx="4">
                  <c:v>2008</c:v>
                </c:pt>
              </c:numCache>
            </c:numRef>
          </c:cat>
          <c:val>
            <c:numRef>
              <c:f>'LI - laps new  (2)'!$L$6:$L$10</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1-4328-49CE-85D9-8E5B142DCD5C}"/>
            </c:ext>
          </c:extLst>
        </c:ser>
        <c:ser>
          <c:idx val="1"/>
          <c:order val="2"/>
          <c:tx>
            <c:strRef>
              <c:f>'LI - laps new  (2)'!$K$5</c:f>
              <c:strCache>
                <c:ptCount val="1"/>
                <c:pt idx="0">
                  <c:v>New Policies Issued</c:v>
                </c:pt>
              </c:strCache>
            </c:strRef>
          </c:tx>
          <c:invertIfNegative val="0"/>
          <c:cat>
            <c:numRef>
              <c:f>'LI - laps new  (2)'!$B$6:$B$10</c:f>
              <c:numCache>
                <c:formatCode>General</c:formatCode>
                <c:ptCount val="5"/>
                <c:pt idx="0">
                  <c:v>2012</c:v>
                </c:pt>
                <c:pt idx="1">
                  <c:v>2011</c:v>
                </c:pt>
                <c:pt idx="2">
                  <c:v>2010</c:v>
                </c:pt>
                <c:pt idx="3">
                  <c:v>2009</c:v>
                </c:pt>
                <c:pt idx="4">
                  <c:v>2008</c:v>
                </c:pt>
              </c:numCache>
            </c:numRef>
          </c:cat>
          <c:val>
            <c:numRef>
              <c:f>'LI - laps new  (2)'!$K$6:$K$10</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2-4328-49CE-85D9-8E5B142DCD5C}"/>
            </c:ext>
          </c:extLst>
        </c:ser>
        <c:ser>
          <c:idx val="2"/>
          <c:order val="3"/>
          <c:tx>
            <c:strRef>
              <c:f>'LI - laps new  (2)'!$M$5</c:f>
              <c:strCache>
                <c:ptCount val="1"/>
                <c:pt idx="0">
                  <c:v>Total Life Insurance Policies in force</c:v>
                </c:pt>
              </c:strCache>
            </c:strRef>
          </c:tx>
          <c:invertIfNegative val="0"/>
          <c:cat>
            <c:numRef>
              <c:f>'LI - laps new  (2)'!$B$6:$B$10</c:f>
              <c:numCache>
                <c:formatCode>General</c:formatCode>
                <c:ptCount val="5"/>
                <c:pt idx="0">
                  <c:v>2012</c:v>
                </c:pt>
                <c:pt idx="1">
                  <c:v>2011</c:v>
                </c:pt>
                <c:pt idx="2">
                  <c:v>2010</c:v>
                </c:pt>
                <c:pt idx="3">
                  <c:v>2009</c:v>
                </c:pt>
                <c:pt idx="4">
                  <c:v>2008</c:v>
                </c:pt>
              </c:numCache>
            </c:numRef>
          </c:cat>
          <c:val>
            <c:numRef>
              <c:f>'LI - laps new  (2)'!$M$6:$M$10</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3-4328-49CE-85D9-8E5B142DCD5C}"/>
            </c:ext>
          </c:extLst>
        </c:ser>
        <c:dLbls>
          <c:showLegendKey val="0"/>
          <c:showVal val="0"/>
          <c:showCatName val="0"/>
          <c:showSerName val="0"/>
          <c:showPercent val="0"/>
          <c:showBubbleSize val="0"/>
        </c:dLbls>
        <c:gapWidth val="150"/>
        <c:axId val="95154560"/>
        <c:axId val="95156096"/>
      </c:barChart>
      <c:catAx>
        <c:axId val="95154560"/>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FFFFFF"/>
                </a:solidFill>
                <a:latin typeface="Calibri"/>
                <a:ea typeface="Calibri"/>
                <a:cs typeface="Calibri"/>
              </a:defRPr>
            </a:pPr>
            <a:endParaRPr lang="en-US"/>
          </a:p>
        </c:txPr>
        <c:crossAx val="95156096"/>
        <c:crosses val="autoZero"/>
        <c:auto val="1"/>
        <c:lblAlgn val="ctr"/>
        <c:lblOffset val="100"/>
        <c:noMultiLvlLbl val="0"/>
      </c:catAx>
      <c:valAx>
        <c:axId val="95156096"/>
        <c:scaling>
          <c:orientation val="minMax"/>
          <c:max val="2500000"/>
        </c:scaling>
        <c:delete val="0"/>
        <c:axPos val="l"/>
        <c:majorGridlines/>
        <c:title>
          <c:tx>
            <c:rich>
              <a:bodyPr/>
              <a:lstStyle/>
              <a:p>
                <a:pPr>
                  <a:defRPr sz="1000" b="1" i="0" u="none" strike="noStrike" baseline="0">
                    <a:solidFill>
                      <a:srgbClr val="FFFFFF"/>
                    </a:solidFill>
                    <a:latin typeface="Calibri"/>
                    <a:ea typeface="Calibri"/>
                    <a:cs typeface="Calibri"/>
                  </a:defRPr>
                </a:pPr>
                <a:r>
                  <a:rPr lang="en-US"/>
                  <a:t># of Policies</a:t>
                </a:r>
              </a:p>
            </c:rich>
          </c:tx>
          <c:overlay val="0"/>
        </c:title>
        <c:numFmt formatCode="_(* #,##0_);_(* \(#,##0\);_(* &quot;-&quot;??_);_(@_)" sourceLinked="1"/>
        <c:majorTickMark val="none"/>
        <c:minorTickMark val="none"/>
        <c:tickLblPos val="nextTo"/>
        <c:txPr>
          <a:bodyPr rot="0" vert="horz"/>
          <a:lstStyle/>
          <a:p>
            <a:pPr>
              <a:defRPr sz="1000" b="0" i="0" u="none" strike="noStrike" baseline="0">
                <a:solidFill>
                  <a:srgbClr val="FFFFFF"/>
                </a:solidFill>
                <a:latin typeface="Calibri"/>
                <a:ea typeface="Calibri"/>
                <a:cs typeface="Calibri"/>
              </a:defRPr>
            </a:pPr>
            <a:endParaRPr lang="en-US"/>
          </a:p>
        </c:txPr>
        <c:crossAx val="95154560"/>
        <c:crosses val="autoZero"/>
        <c:crossBetween val="between"/>
      </c:valAx>
    </c:plotArea>
    <c:legend>
      <c:legendPos val="r"/>
      <c:layout>
        <c:manualLayout>
          <c:xMode val="edge"/>
          <c:yMode val="edge"/>
          <c:x val="0.66502344157658244"/>
          <c:y val="0.47036432372561726"/>
          <c:w val="0.3230184119362034"/>
          <c:h val="0.27012738086638255"/>
        </c:manualLayout>
      </c:layout>
      <c:overlay val="0"/>
      <c:txPr>
        <a:bodyPr/>
        <a:lstStyle/>
        <a:p>
          <a:pPr>
            <a:defRPr sz="845" b="0" i="0" u="none" strike="noStrike" baseline="0">
              <a:solidFill>
                <a:srgbClr val="FFFFFF"/>
              </a:solidFill>
              <a:latin typeface="Calibri"/>
              <a:ea typeface="Calibri"/>
              <a:cs typeface="Calibri"/>
            </a:defRPr>
          </a:pPr>
          <a:endParaRPr lang="en-US"/>
        </a:p>
      </c:txPr>
    </c:legend>
    <c:plotVisOnly val="1"/>
    <c:dispBlanksAs val="zero"/>
    <c:showDLblsOverMax val="0"/>
  </c:chart>
  <c:txPr>
    <a:bodyPr/>
    <a:lstStyle/>
    <a:p>
      <a:pPr>
        <a:defRPr sz="1000" b="0" i="0" u="none" strike="noStrike" baseline="0">
          <a:solidFill>
            <a:srgbClr val="FFFFFF"/>
          </a:solidFill>
          <a:latin typeface="Calibri"/>
          <a:ea typeface="Calibri"/>
          <a:cs typeface="Calibri"/>
        </a:defRPr>
      </a:pPr>
      <a:endParaRPr lang="en-US"/>
    </a:p>
  </c:txPr>
  <c:printSettings>
    <c:headerFooter/>
    <c:pageMargins b="0.75000000000001465" l="0.70000000000000062" r="0.70000000000000062" t="0.75000000000001465"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Laps</a:t>
            </a:r>
            <a:r>
              <a:rPr lang="en-US" baseline="0"/>
              <a:t> Ratio - Long term Insurance Business from 2008 to 2012</a:t>
            </a:r>
            <a:endParaRPr lang="en-US"/>
          </a:p>
        </c:rich>
      </c:tx>
      <c:overlay val="0"/>
    </c:title>
    <c:autoTitleDeleted val="0"/>
    <c:plotArea>
      <c:layout>
        <c:manualLayout>
          <c:layoutTarget val="inner"/>
          <c:xMode val="edge"/>
          <c:yMode val="edge"/>
          <c:x val="0.14989703210177169"/>
          <c:y val="0.17854121126735994"/>
          <c:w val="0.60489009720693065"/>
          <c:h val="0.74571684593786558"/>
        </c:manualLayout>
      </c:layout>
      <c:lineChart>
        <c:grouping val="standard"/>
        <c:varyColors val="0"/>
        <c:ser>
          <c:idx val="0"/>
          <c:order val="0"/>
          <c:tx>
            <c:strRef>
              <c:f>'LI - laps new  (2)'!$O$5</c:f>
              <c:strCache>
                <c:ptCount val="1"/>
                <c:pt idx="0">
                  <c:v>Lapsation New Business on New Policies Issued %</c:v>
                </c:pt>
              </c:strCache>
            </c:strRef>
          </c:tx>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'LI - laps new  (2)'!$Q$6:$Q$10</c:f>
              <c:strCache>
                <c:ptCount val="5"/>
                <c:pt idx="0">
                  <c:v>2008</c:v>
                </c:pt>
                <c:pt idx="1">
                  <c:v>2009</c:v>
                </c:pt>
                <c:pt idx="2">
                  <c:v>2010</c:v>
                </c:pt>
                <c:pt idx="3">
                  <c:v>2011(a)</c:v>
                </c:pt>
                <c:pt idx="4">
                  <c:v>2012(b)</c:v>
                </c:pt>
              </c:strCache>
            </c:strRef>
          </c:cat>
          <c:val>
            <c:numRef>
              <c:f>'LI - laps new  (2)'!$O$6:$O$10</c:f>
              <c:numCache>
                <c:formatCode>_(* #,##0.00_);_(* \(#,##0.00\);_(* "-"??_);_(@_)</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0-1C26-44C8-B78A-BCDA37E73B4A}"/>
            </c:ext>
          </c:extLst>
        </c:ser>
        <c:ser>
          <c:idx val="1"/>
          <c:order val="1"/>
          <c:tx>
            <c:strRef>
              <c:f>'LI - laps new  (2)'!$P$5</c:f>
              <c:strCache>
                <c:ptCount val="1"/>
                <c:pt idx="0">
                  <c:v>Total lapsation on Total Policies inforce %</c:v>
                </c:pt>
              </c:strCache>
            </c:strRef>
          </c:tx>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'LI - laps new  (2)'!$Q$6:$Q$10</c:f>
              <c:strCache>
                <c:ptCount val="5"/>
                <c:pt idx="0">
                  <c:v>2008</c:v>
                </c:pt>
                <c:pt idx="1">
                  <c:v>2009</c:v>
                </c:pt>
                <c:pt idx="2">
                  <c:v>2010</c:v>
                </c:pt>
                <c:pt idx="3">
                  <c:v>2011(a)</c:v>
                </c:pt>
                <c:pt idx="4">
                  <c:v>2012(b)</c:v>
                </c:pt>
              </c:strCache>
            </c:strRef>
          </c:cat>
          <c:val>
            <c:numRef>
              <c:f>'LI - laps new  (2)'!$P$6:$P$10</c:f>
              <c:numCache>
                <c:formatCode>_(* #,##0.00_);_(* \(#,##0.00\);_(* "-"??_);_(@_)</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1C26-44C8-B78A-BCDA37E73B4A}"/>
            </c:ext>
          </c:extLst>
        </c:ser>
        <c:dLbls>
          <c:showLegendKey val="0"/>
          <c:showVal val="0"/>
          <c:showCatName val="0"/>
          <c:showSerName val="0"/>
          <c:showPercent val="0"/>
          <c:showBubbleSize val="0"/>
        </c:dLbls>
        <c:marker val="1"/>
        <c:smooth val="0"/>
        <c:axId val="95213824"/>
        <c:axId val="95236096"/>
      </c:lineChart>
      <c:catAx>
        <c:axId val="95213824"/>
        <c:scaling>
          <c:orientation val="minMax"/>
        </c:scaling>
        <c:delete val="0"/>
        <c:axPos val="b"/>
        <c:numFmt formatCode="General" sourceLinked="1"/>
        <c:majorTickMark val="none"/>
        <c:minorTickMark val="none"/>
        <c:tickLblPos val="nextTo"/>
        <c:crossAx val="95236096"/>
        <c:crosses val="autoZero"/>
        <c:auto val="1"/>
        <c:lblAlgn val="ctr"/>
        <c:lblOffset val="100"/>
        <c:noMultiLvlLbl val="0"/>
      </c:catAx>
      <c:valAx>
        <c:axId val="95236096"/>
        <c:scaling>
          <c:orientation val="minMax"/>
          <c:min val="14"/>
        </c:scaling>
        <c:delete val="0"/>
        <c:axPos val="l"/>
        <c:majorGridlines/>
        <c:title>
          <c:tx>
            <c:rich>
              <a:bodyPr/>
              <a:lstStyle/>
              <a:p>
                <a:pPr>
                  <a:defRPr/>
                </a:pPr>
                <a:r>
                  <a:rPr lang="en-US" b="1"/>
                  <a:t>%</a:t>
                </a:r>
              </a:p>
            </c:rich>
          </c:tx>
          <c:overlay val="0"/>
        </c:title>
        <c:numFmt formatCode="_(* #,##0.00_);_(* \(#,##0.00\);_(* &quot;-&quot;??_);_(@_)" sourceLinked="1"/>
        <c:majorTickMark val="none"/>
        <c:minorTickMark val="none"/>
        <c:tickLblPos val="nextTo"/>
        <c:crossAx val="95213824"/>
        <c:crosses val="autoZero"/>
        <c:crossBetween val="between"/>
      </c:valAx>
    </c:plotArea>
    <c:legend>
      <c:legendPos val="r"/>
      <c:layout>
        <c:manualLayout>
          <c:xMode val="edge"/>
          <c:yMode val="edge"/>
          <c:x val="0.76120512623220005"/>
          <c:y val="0.48884092135130758"/>
          <c:w val="0.22576555780690291"/>
          <c:h val="0.36683786744802932"/>
        </c:manualLayout>
      </c:layout>
      <c:overlay val="0"/>
    </c:legend>
    <c:plotVisOnly val="1"/>
    <c:dispBlanksAs val="gap"/>
    <c:showDLblsOverMax val="0"/>
  </c:chart>
  <c:spPr>
    <a:solidFill>
      <a:srgbClr val="FFFF00"/>
    </a:solidFill>
  </c:sp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sz="1800" b="1" i="0" u="none" strike="noStrike" baseline="0">
                <a:solidFill>
                  <a:srgbClr val="FFFFFF"/>
                </a:solidFill>
                <a:latin typeface="Calibri"/>
                <a:ea typeface="Calibri"/>
                <a:cs typeface="Calibri"/>
              </a:defRPr>
            </a:pPr>
            <a:r>
              <a:rPr lang="en-US"/>
              <a:t>GI - No. of Policies issued, Renewed &amp; Policies inforce</a:t>
            </a:r>
          </a:p>
        </c:rich>
      </c:tx>
      <c:overlay val="0"/>
    </c:title>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tx>
            <c:strRef>
              <c:f>'T13 -GI Policies '!$B$169</c:f>
              <c:strCache>
                <c:ptCount val="1"/>
                <c:pt idx="0">
                  <c:v>New</c:v>
                </c:pt>
              </c:strCache>
            </c:strRef>
          </c:tx>
          <c:invertIfNegative val="0"/>
          <c:dLbls>
            <c:dLbl>
              <c:idx val="0"/>
              <c:layout>
                <c:manualLayout>
                  <c:x val="0"/>
                  <c:y val="0.1692195477753549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C29-4C46-8335-3AC88E02F292}"/>
                </c:ext>
              </c:extLst>
            </c:dLbl>
            <c:dLbl>
              <c:idx val="1"/>
              <c:layout>
                <c:manualLayout>
                  <c:x val="-3.3669644715435552E-17"/>
                  <c:y val="0.157549234135688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C29-4C46-8335-3AC88E02F292}"/>
                </c:ext>
              </c:extLst>
            </c:dLbl>
            <c:dLbl>
              <c:idx val="2"/>
              <c:layout>
                <c:manualLayout>
                  <c:x val="0"/>
                  <c:y val="0.157549234135688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C29-4C46-8335-3AC88E02F292}"/>
                </c:ext>
              </c:extLst>
            </c:dLbl>
            <c:dLbl>
              <c:idx val="3"/>
              <c:layout>
                <c:manualLayout>
                  <c:x val="0"/>
                  <c:y val="0.160466812545587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C29-4C46-8335-3AC88E02F292}"/>
                </c:ext>
              </c:extLst>
            </c:dLbl>
            <c:dLbl>
              <c:idx val="4"/>
              <c:layout>
                <c:manualLayout>
                  <c:x val="1.8365472910928642E-3"/>
                  <c:y val="0.1692195477753549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C29-4C46-8335-3AC88E02F292}"/>
                </c:ext>
              </c:extLst>
            </c:dLbl>
            <c:spPr>
              <a:noFill/>
              <a:ln>
                <a:noFill/>
              </a:ln>
              <a:effectLst/>
            </c:spPr>
            <c:txPr>
              <a:bodyPr rot="-5400000" vert="horz"/>
              <a:lstStyle/>
              <a:p>
                <a:pPr algn="ctr">
                  <a:defRPr sz="1000" b="0"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'T13 -GI Policies '!$C$168:$G$168</c:f>
              <c:numCache>
                <c:formatCode>General</c:formatCode>
                <c:ptCount val="5"/>
                <c:pt idx="0">
                  <c:v>2007</c:v>
                </c:pt>
                <c:pt idx="1">
                  <c:v>2008</c:v>
                </c:pt>
                <c:pt idx="2">
                  <c:v>2009</c:v>
                </c:pt>
                <c:pt idx="3">
                  <c:v>2010</c:v>
                </c:pt>
                <c:pt idx="4">
                  <c:v>2011</c:v>
                </c:pt>
              </c:numCache>
            </c:numRef>
          </c:cat>
          <c:val>
            <c:numRef>
              <c:f>'T13 -GI Policies '!$C$169:$G$169</c:f>
              <c:numCache>
                <c:formatCode>_(* #,##0_);_(* \(#,##0\);_(* "-"??_);_(@_)</c:formatCode>
                <c:ptCount val="5"/>
                <c:pt idx="0">
                  <c:v>1330536</c:v>
                </c:pt>
                <c:pt idx="1">
                  <c:v>1192732</c:v>
                </c:pt>
                <c:pt idx="2">
                  <c:v>1322279</c:v>
                </c:pt>
                <c:pt idx="3">
                  <c:v>1667727</c:v>
                </c:pt>
                <c:pt idx="4">
                  <c:v>2034668</c:v>
                </c:pt>
              </c:numCache>
            </c:numRef>
          </c:val>
          <c:extLst>
            <c:ext xmlns:c16="http://schemas.microsoft.com/office/drawing/2014/chart" uri="{C3380CC4-5D6E-409C-BE32-E72D297353CC}">
              <c16:uniqueId val="{00000005-BC29-4C46-8335-3AC88E02F292}"/>
            </c:ext>
          </c:extLst>
        </c:ser>
        <c:ser>
          <c:idx val="1"/>
          <c:order val="1"/>
          <c:tx>
            <c:strRef>
              <c:f>'T13 -GI Policies '!$B$170</c:f>
              <c:strCache>
                <c:ptCount val="1"/>
                <c:pt idx="0">
                  <c:v>Renewal</c:v>
                </c:pt>
              </c:strCache>
            </c:strRef>
          </c:tx>
          <c:invertIfNegative val="0"/>
          <c:dLbls>
            <c:dLbl>
              <c:idx val="0"/>
              <c:layout>
                <c:manualLayout>
                  <c:x val="0"/>
                  <c:y val="0.157549234135688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C29-4C46-8335-3AC88E02F292}"/>
                </c:ext>
              </c:extLst>
            </c:dLbl>
            <c:dLbl>
              <c:idx val="1"/>
              <c:layout>
                <c:manualLayout>
                  <c:x val="0"/>
                  <c:y val="0.157549234135688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C29-4C46-8335-3AC88E02F292}"/>
                </c:ext>
              </c:extLst>
            </c:dLbl>
            <c:dLbl>
              <c:idx val="2"/>
              <c:layout>
                <c:manualLayout>
                  <c:x val="6.7339289430872361E-17"/>
                  <c:y val="0.1546316557257476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C29-4C46-8335-3AC88E02F292}"/>
                </c:ext>
              </c:extLst>
            </c:dLbl>
            <c:dLbl>
              <c:idx val="3"/>
              <c:layout>
                <c:manualLayout>
                  <c:x val="0"/>
                  <c:y val="0.157549234135688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C29-4C46-8335-3AC88E02F292}"/>
                </c:ext>
              </c:extLst>
            </c:dLbl>
            <c:dLbl>
              <c:idx val="4"/>
              <c:layout>
                <c:manualLayout>
                  <c:x val="0"/>
                  <c:y val="0.1487964989059212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C29-4C46-8335-3AC88E02F292}"/>
                </c:ext>
              </c:extLst>
            </c:dLbl>
            <c:spPr>
              <a:noFill/>
              <a:ln>
                <a:noFill/>
              </a:ln>
              <a:effectLst/>
            </c:spPr>
            <c:txPr>
              <a:bodyPr rot="-5400000" vert="horz"/>
              <a:lstStyle/>
              <a:p>
                <a:pPr algn="ctr">
                  <a:defRPr sz="1000" b="0"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'T13 -GI Policies '!$C$168:$G$168</c:f>
              <c:numCache>
                <c:formatCode>General</c:formatCode>
                <c:ptCount val="5"/>
                <c:pt idx="0">
                  <c:v>2007</c:v>
                </c:pt>
                <c:pt idx="1">
                  <c:v>2008</c:v>
                </c:pt>
                <c:pt idx="2">
                  <c:v>2009</c:v>
                </c:pt>
                <c:pt idx="3">
                  <c:v>2010</c:v>
                </c:pt>
                <c:pt idx="4">
                  <c:v>2011</c:v>
                </c:pt>
              </c:numCache>
            </c:numRef>
          </c:cat>
          <c:val>
            <c:numRef>
              <c:f>'T13 -GI Policies '!$C$170:$G$170</c:f>
              <c:numCache>
                <c:formatCode>_(* #,##0_);_(* \(#,##0\);_(* "-"??_);_(@_)</c:formatCode>
                <c:ptCount val="5"/>
                <c:pt idx="0">
                  <c:v>1389395</c:v>
                </c:pt>
                <c:pt idx="1">
                  <c:v>1310608</c:v>
                </c:pt>
                <c:pt idx="2">
                  <c:v>1528157</c:v>
                </c:pt>
                <c:pt idx="3">
                  <c:v>1567438</c:v>
                </c:pt>
                <c:pt idx="4">
                  <c:v>1964208</c:v>
                </c:pt>
              </c:numCache>
            </c:numRef>
          </c:val>
          <c:extLst>
            <c:ext xmlns:c16="http://schemas.microsoft.com/office/drawing/2014/chart" uri="{C3380CC4-5D6E-409C-BE32-E72D297353CC}">
              <c16:uniqueId val="{0000000B-BC29-4C46-8335-3AC88E02F292}"/>
            </c:ext>
          </c:extLst>
        </c:ser>
        <c:ser>
          <c:idx val="2"/>
          <c:order val="2"/>
          <c:tx>
            <c:strRef>
              <c:f>'T13 -GI Policies '!$B$171</c:f>
              <c:strCache>
                <c:ptCount val="1"/>
                <c:pt idx="0">
                  <c:v>Inforce</c:v>
                </c:pt>
              </c:strCache>
            </c:strRef>
          </c:tx>
          <c:invertIfNegative val="0"/>
          <c:dLbls>
            <c:dLbl>
              <c:idx val="0"/>
              <c:layout>
                <c:manualLayout>
                  <c:x val="0"/>
                  <c:y val="0.1633843909555068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C29-4C46-8335-3AC88E02F292}"/>
                </c:ext>
              </c:extLst>
            </c:dLbl>
            <c:dLbl>
              <c:idx val="1"/>
              <c:layout>
                <c:manualLayout>
                  <c:x val="0"/>
                  <c:y val="0.157549234135688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C29-4C46-8335-3AC88E02F292}"/>
                </c:ext>
              </c:extLst>
            </c:dLbl>
            <c:dLbl>
              <c:idx val="2"/>
              <c:layout>
                <c:manualLayout>
                  <c:x val="-6.7339289430872361E-17"/>
                  <c:y val="0.157549234135688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C29-4C46-8335-3AC88E02F292}"/>
                </c:ext>
              </c:extLst>
            </c:dLbl>
            <c:dLbl>
              <c:idx val="3"/>
              <c:layout>
                <c:manualLayout>
                  <c:x val="0"/>
                  <c:y val="0.1663019693654267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C29-4C46-8335-3AC88E02F292}"/>
                </c:ext>
              </c:extLst>
            </c:dLbl>
            <c:dLbl>
              <c:idx val="4"/>
              <c:layout>
                <c:manualLayout>
                  <c:x val="0"/>
                  <c:y val="0.1546316557257476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C29-4C46-8335-3AC88E02F292}"/>
                </c:ext>
              </c:extLst>
            </c:dLbl>
            <c:spPr>
              <a:noFill/>
              <a:ln>
                <a:noFill/>
              </a:ln>
              <a:effectLst/>
            </c:spPr>
            <c:txPr>
              <a:bodyPr rot="-5400000" vert="horz"/>
              <a:lstStyle/>
              <a:p>
                <a:pPr algn="ctr">
                  <a:defRPr sz="1000" b="0"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'T13 -GI Policies '!$C$168:$G$168</c:f>
              <c:numCache>
                <c:formatCode>General</c:formatCode>
                <c:ptCount val="5"/>
                <c:pt idx="0">
                  <c:v>2007</c:v>
                </c:pt>
                <c:pt idx="1">
                  <c:v>2008</c:v>
                </c:pt>
                <c:pt idx="2">
                  <c:v>2009</c:v>
                </c:pt>
                <c:pt idx="3">
                  <c:v>2010</c:v>
                </c:pt>
                <c:pt idx="4">
                  <c:v>2011</c:v>
                </c:pt>
              </c:numCache>
            </c:numRef>
          </c:cat>
          <c:val>
            <c:numRef>
              <c:f>'T13 -GI Policies '!$C$171:$G$171</c:f>
              <c:numCache>
                <c:formatCode>_(* #,##0_);_(* \(#,##0\);_(* "-"??_);_(@_)</c:formatCode>
                <c:ptCount val="5"/>
                <c:pt idx="0">
                  <c:v>2241155.61</c:v>
                </c:pt>
                <c:pt idx="1">
                  <c:v>2473343.15</c:v>
                </c:pt>
                <c:pt idx="2">
                  <c:v>2990755.34</c:v>
                </c:pt>
                <c:pt idx="3">
                  <c:v>3428784.75</c:v>
                </c:pt>
                <c:pt idx="4">
                  <c:v>4139070</c:v>
                </c:pt>
              </c:numCache>
            </c:numRef>
          </c:val>
          <c:extLst>
            <c:ext xmlns:c16="http://schemas.microsoft.com/office/drawing/2014/chart" uri="{C3380CC4-5D6E-409C-BE32-E72D297353CC}">
              <c16:uniqueId val="{00000011-BC29-4C46-8335-3AC88E02F292}"/>
            </c:ext>
          </c:extLst>
        </c:ser>
        <c:dLbls>
          <c:showLegendKey val="0"/>
          <c:showVal val="0"/>
          <c:showCatName val="0"/>
          <c:showSerName val="0"/>
          <c:showPercent val="0"/>
          <c:showBubbleSize val="0"/>
        </c:dLbls>
        <c:gapWidth val="150"/>
        <c:shape val="box"/>
        <c:axId val="99582720"/>
        <c:axId val="99584256"/>
        <c:axId val="0"/>
      </c:bar3DChart>
      <c:catAx>
        <c:axId val="99582720"/>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FFFFFF"/>
                </a:solidFill>
                <a:latin typeface="Calibri"/>
                <a:ea typeface="Calibri"/>
                <a:cs typeface="Calibri"/>
              </a:defRPr>
            </a:pPr>
            <a:endParaRPr lang="en-US"/>
          </a:p>
        </c:txPr>
        <c:crossAx val="99584256"/>
        <c:crosses val="autoZero"/>
        <c:auto val="1"/>
        <c:lblAlgn val="ctr"/>
        <c:lblOffset val="100"/>
        <c:noMultiLvlLbl val="0"/>
      </c:catAx>
      <c:valAx>
        <c:axId val="99584256"/>
        <c:scaling>
          <c:orientation val="minMax"/>
        </c:scaling>
        <c:delete val="0"/>
        <c:axPos val="l"/>
        <c:majorGridlines/>
        <c:numFmt formatCode="_(* #,##0_);_(* \(#,##0\);_(* &quot;-&quot;??_);_(@_)" sourceLinked="1"/>
        <c:majorTickMark val="none"/>
        <c:minorTickMark val="none"/>
        <c:tickLblPos val="nextTo"/>
        <c:txPr>
          <a:bodyPr rot="0" vert="horz"/>
          <a:lstStyle/>
          <a:p>
            <a:pPr>
              <a:defRPr sz="1000" b="0" i="0" u="none" strike="noStrike" baseline="0">
                <a:solidFill>
                  <a:srgbClr val="FFFFFF"/>
                </a:solidFill>
                <a:latin typeface="Calibri"/>
                <a:ea typeface="Calibri"/>
                <a:cs typeface="Calibri"/>
              </a:defRPr>
            </a:pPr>
            <a:endParaRPr lang="en-US"/>
          </a:p>
        </c:txPr>
        <c:crossAx val="99582720"/>
        <c:crosses val="autoZero"/>
        <c:crossBetween val="between"/>
      </c:valAx>
      <c:spPr>
        <a:noFill/>
        <a:ln w="25400">
          <a:noFill/>
        </a:ln>
      </c:spPr>
    </c:plotArea>
    <c:legend>
      <c:legendPos val="r"/>
      <c:overlay val="0"/>
      <c:txPr>
        <a:bodyPr/>
        <a:lstStyle/>
        <a:p>
          <a:pPr>
            <a:defRPr sz="845" b="0" i="0" u="none" strike="noStrike" baseline="0">
              <a:solidFill>
                <a:srgbClr val="FFFFFF"/>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FFFFFF"/>
          </a:solidFill>
          <a:latin typeface="Calibri"/>
          <a:ea typeface="Calibri"/>
          <a:cs typeface="Calibri"/>
        </a:defRPr>
      </a:pPr>
      <a:endParaRPr lang="en-US"/>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sz="1800" b="1" i="0" u="none" strike="noStrike" baseline="0">
                <a:solidFill>
                  <a:srgbClr val="FFFFFF"/>
                </a:solidFill>
                <a:latin typeface="Calibri"/>
                <a:ea typeface="Calibri"/>
                <a:cs typeface="Calibri"/>
              </a:defRPr>
            </a:pPr>
            <a:r>
              <a:rPr lang="en-US"/>
              <a:t>Claims Ratio</a:t>
            </a:r>
          </a:p>
        </c:rich>
      </c:tx>
      <c:overlay val="0"/>
    </c:title>
    <c:autoTitleDeleted val="0"/>
    <c:plotArea>
      <c:layout/>
      <c:lineChart>
        <c:grouping val="standard"/>
        <c:varyColors val="0"/>
        <c:ser>
          <c:idx val="0"/>
          <c:order val="0"/>
          <c:tx>
            <c:strRef>
              <c:f>'AR table 6 &amp; Chart 7 (2)'!$B$23</c:f>
              <c:strCache>
                <c:ptCount val="1"/>
                <c:pt idx="0">
                  <c:v>Fire</c:v>
                </c:pt>
              </c:strCache>
            </c:strRef>
          </c:tx>
          <c:dLbls>
            <c:dLbl>
              <c:idx val="0"/>
              <c:spPr/>
              <c:txPr>
                <a:bodyPr/>
                <a:lstStyle/>
                <a:p>
                  <a:pPr>
                    <a:defRPr sz="1000" b="0" i="0" u="none" strike="noStrike" baseline="0">
                      <a:solidFill>
                        <a:srgbClr val="FFFFFF"/>
                      </a:solidFill>
                      <a:latin typeface="Calibri"/>
                      <a:ea typeface="Calibri"/>
                      <a:cs typeface="Calibri"/>
                    </a:defRPr>
                  </a:pPr>
                  <a:endParaRPr 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30-47DF-96A6-8FB6562FD9F1}"/>
                </c:ext>
              </c:extLst>
            </c:dLbl>
            <c:dLbl>
              <c:idx val="4"/>
              <c:spPr/>
              <c:txPr>
                <a:bodyPr/>
                <a:lstStyle/>
                <a:p>
                  <a:pPr>
                    <a:defRPr sz="1000" b="0" i="0" u="none" strike="noStrike" baseline="0">
                      <a:solidFill>
                        <a:srgbClr val="FFFFFF"/>
                      </a:solidFill>
                      <a:latin typeface="Calibri"/>
                      <a:ea typeface="Calibri"/>
                      <a:cs typeface="Calibri"/>
                    </a:defRPr>
                  </a:pPr>
                  <a:endParaRPr 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530-47DF-96A6-8FB6562FD9F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'AR table 6 &amp; Chart 7 (2)'!$D$22:$H$22</c:f>
              <c:strCache>
                <c:ptCount val="5"/>
                <c:pt idx="0">
                  <c:v>2008</c:v>
                </c:pt>
                <c:pt idx="1">
                  <c:v>2009</c:v>
                </c:pt>
                <c:pt idx="2">
                  <c:v>2010</c:v>
                </c:pt>
                <c:pt idx="3">
                  <c:v>2011(a)</c:v>
                </c:pt>
                <c:pt idx="4">
                  <c:v>2012(b)</c:v>
                </c:pt>
              </c:strCache>
            </c:strRef>
          </c:cat>
          <c:val>
            <c:numRef>
              <c:f>'AR table 6 &amp; Chart 7 (2)'!$D$23:$H$23</c:f>
              <c:numCache>
                <c:formatCode>#,##0.00_);\(#,##0.00\)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2530-47DF-96A6-8FB6562FD9F1}"/>
            </c:ext>
          </c:extLst>
        </c:ser>
        <c:ser>
          <c:idx val="1"/>
          <c:order val="1"/>
          <c:tx>
            <c:strRef>
              <c:f>'AR table 6 &amp; Chart 7 (2)'!$B$24</c:f>
              <c:strCache>
                <c:ptCount val="1"/>
                <c:pt idx="0">
                  <c:v>Marine</c:v>
                </c:pt>
              </c:strCache>
            </c:strRef>
          </c:tx>
          <c:dLbls>
            <c:dLbl>
              <c:idx val="0"/>
              <c:spPr/>
              <c:txPr>
                <a:bodyPr/>
                <a:lstStyle/>
                <a:p>
                  <a:pPr>
                    <a:defRPr sz="1000" b="0" i="0" u="none" strike="noStrike" baseline="0">
                      <a:solidFill>
                        <a:srgbClr val="FFFFFF"/>
                      </a:solidFill>
                      <a:latin typeface="Calibri"/>
                      <a:ea typeface="Calibri"/>
                      <a:cs typeface="Calibri"/>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530-47DF-96A6-8FB6562FD9F1}"/>
                </c:ext>
              </c:extLst>
            </c:dLbl>
            <c:dLbl>
              <c:idx val="4"/>
              <c:spPr/>
              <c:txPr>
                <a:bodyPr/>
                <a:lstStyle/>
                <a:p>
                  <a:pPr>
                    <a:defRPr sz="1000" b="0" i="0" u="none" strike="noStrike" baseline="0">
                      <a:solidFill>
                        <a:srgbClr val="FFFFFF"/>
                      </a:solidFill>
                      <a:latin typeface="Calibri"/>
                      <a:ea typeface="Calibri"/>
                      <a:cs typeface="Calibri"/>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530-47DF-96A6-8FB6562FD9F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'AR table 6 &amp; Chart 7 (2)'!$D$22:$H$22</c:f>
              <c:strCache>
                <c:ptCount val="5"/>
                <c:pt idx="0">
                  <c:v>2008</c:v>
                </c:pt>
                <c:pt idx="1">
                  <c:v>2009</c:v>
                </c:pt>
                <c:pt idx="2">
                  <c:v>2010</c:v>
                </c:pt>
                <c:pt idx="3">
                  <c:v>2011(a)</c:v>
                </c:pt>
                <c:pt idx="4">
                  <c:v>2012(b)</c:v>
                </c:pt>
              </c:strCache>
            </c:strRef>
          </c:cat>
          <c:val>
            <c:numRef>
              <c:f>'AR table 6 &amp; Chart 7 (2)'!$D$24:$H$24</c:f>
              <c:numCache>
                <c:formatCode>#,##0.00_);\(#,##0.00\)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5-2530-47DF-96A6-8FB6562FD9F1}"/>
            </c:ext>
          </c:extLst>
        </c:ser>
        <c:ser>
          <c:idx val="2"/>
          <c:order val="2"/>
          <c:tx>
            <c:strRef>
              <c:f>'AR table 6 &amp; Chart 7 (2)'!$B$25</c:f>
              <c:strCache>
                <c:ptCount val="1"/>
                <c:pt idx="0">
                  <c:v>Motor</c:v>
                </c:pt>
              </c:strCache>
            </c:strRef>
          </c:tx>
          <c:dLbls>
            <c:dLbl>
              <c:idx val="0"/>
              <c:spPr/>
              <c:txPr>
                <a:bodyPr/>
                <a:lstStyle/>
                <a:p>
                  <a:pPr>
                    <a:defRPr sz="1000" b="0" i="0" u="none" strike="noStrike" baseline="0">
                      <a:solidFill>
                        <a:srgbClr val="FFFFFF"/>
                      </a:solidFill>
                      <a:latin typeface="Calibri"/>
                      <a:ea typeface="Calibri"/>
                      <a:cs typeface="Calibri"/>
                    </a:defRPr>
                  </a:pPr>
                  <a:endParaRPr 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530-47DF-96A6-8FB6562FD9F1}"/>
                </c:ext>
              </c:extLst>
            </c:dLbl>
            <c:dLbl>
              <c:idx val="4"/>
              <c:spPr/>
              <c:txPr>
                <a:bodyPr/>
                <a:lstStyle/>
                <a:p>
                  <a:pPr>
                    <a:defRPr sz="1000" b="0" i="0" u="none" strike="noStrike" baseline="0">
                      <a:solidFill>
                        <a:srgbClr val="FFFFFF"/>
                      </a:solidFill>
                      <a:latin typeface="Calibri"/>
                      <a:ea typeface="Calibri"/>
                      <a:cs typeface="Calibri"/>
                    </a:defRPr>
                  </a:pPr>
                  <a:endParaRPr 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530-47DF-96A6-8FB6562FD9F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'AR table 6 &amp; Chart 7 (2)'!$D$22:$H$22</c:f>
              <c:strCache>
                <c:ptCount val="5"/>
                <c:pt idx="0">
                  <c:v>2008</c:v>
                </c:pt>
                <c:pt idx="1">
                  <c:v>2009</c:v>
                </c:pt>
                <c:pt idx="2">
                  <c:v>2010</c:v>
                </c:pt>
                <c:pt idx="3">
                  <c:v>2011(a)</c:v>
                </c:pt>
                <c:pt idx="4">
                  <c:v>2012(b)</c:v>
                </c:pt>
              </c:strCache>
            </c:strRef>
          </c:cat>
          <c:val>
            <c:numRef>
              <c:f>'AR table 6 &amp; Chart 7 (2)'!$D$25:$H$25</c:f>
              <c:numCache>
                <c:formatCode>#,##0.00_);\(#,##0.00\)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8-2530-47DF-96A6-8FB6562FD9F1}"/>
            </c:ext>
          </c:extLst>
        </c:ser>
        <c:ser>
          <c:idx val="3"/>
          <c:order val="3"/>
          <c:tx>
            <c:strRef>
              <c:f>'AR table 6 &amp; Chart 7 (2)'!$B$26</c:f>
              <c:strCache>
                <c:ptCount val="1"/>
                <c:pt idx="0">
                  <c:v>Miscellanious</c:v>
                </c:pt>
              </c:strCache>
            </c:strRef>
          </c:tx>
          <c:dLbls>
            <c:dLbl>
              <c:idx val="0"/>
              <c:spPr/>
              <c:txPr>
                <a:bodyPr/>
                <a:lstStyle/>
                <a:p>
                  <a:pPr>
                    <a:defRPr sz="1000" b="0"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530-47DF-96A6-8FB6562FD9F1}"/>
                </c:ext>
              </c:extLst>
            </c:dLbl>
            <c:dLbl>
              <c:idx val="4"/>
              <c:spPr/>
              <c:txPr>
                <a:bodyPr/>
                <a:lstStyle/>
                <a:p>
                  <a:pPr>
                    <a:defRPr sz="1000" b="0"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530-47DF-96A6-8FB6562FD9F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'AR table 6 &amp; Chart 7 (2)'!$D$22:$H$22</c:f>
              <c:strCache>
                <c:ptCount val="5"/>
                <c:pt idx="0">
                  <c:v>2008</c:v>
                </c:pt>
                <c:pt idx="1">
                  <c:v>2009</c:v>
                </c:pt>
                <c:pt idx="2">
                  <c:v>2010</c:v>
                </c:pt>
                <c:pt idx="3">
                  <c:v>2011(a)</c:v>
                </c:pt>
                <c:pt idx="4">
                  <c:v>2012(b)</c:v>
                </c:pt>
              </c:strCache>
            </c:strRef>
          </c:cat>
          <c:val>
            <c:numRef>
              <c:f>'AR table 6 &amp; Chart 7 (2)'!$D$26:$H$26</c:f>
              <c:numCache>
                <c:formatCode>#,##0.00_);\(#,##0.00\)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B-2530-47DF-96A6-8FB6562FD9F1}"/>
            </c:ext>
          </c:extLst>
        </c:ser>
        <c:dLbls>
          <c:showLegendKey val="0"/>
          <c:showVal val="0"/>
          <c:showCatName val="0"/>
          <c:showSerName val="0"/>
          <c:showPercent val="0"/>
          <c:showBubbleSize val="0"/>
        </c:dLbls>
        <c:marker val="1"/>
        <c:smooth val="0"/>
        <c:axId val="100480512"/>
        <c:axId val="100482048"/>
      </c:lineChart>
      <c:catAx>
        <c:axId val="10048051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FFFFFF"/>
                </a:solidFill>
                <a:latin typeface="Calibri"/>
                <a:ea typeface="Calibri"/>
                <a:cs typeface="Calibri"/>
              </a:defRPr>
            </a:pPr>
            <a:endParaRPr lang="en-US"/>
          </a:p>
        </c:txPr>
        <c:crossAx val="100482048"/>
        <c:crosses val="autoZero"/>
        <c:auto val="1"/>
        <c:lblAlgn val="ctr"/>
        <c:lblOffset val="100"/>
        <c:noMultiLvlLbl val="0"/>
      </c:catAx>
      <c:valAx>
        <c:axId val="100482048"/>
        <c:scaling>
          <c:orientation val="minMax"/>
          <c:max val="100"/>
        </c:scaling>
        <c:delete val="0"/>
        <c:axPos val="l"/>
        <c:majorGridlines/>
        <c:numFmt formatCode="General" sourceLinked="0"/>
        <c:majorTickMark val="none"/>
        <c:minorTickMark val="none"/>
        <c:tickLblPos val="nextTo"/>
        <c:spPr>
          <a:ln w="9525">
            <a:noFill/>
          </a:ln>
        </c:spPr>
        <c:txPr>
          <a:bodyPr rot="0" vert="horz"/>
          <a:lstStyle/>
          <a:p>
            <a:pPr>
              <a:defRPr sz="1000" b="0" i="0" u="none" strike="noStrike" baseline="0">
                <a:solidFill>
                  <a:srgbClr val="FFFFFF"/>
                </a:solidFill>
                <a:latin typeface="Calibri"/>
                <a:ea typeface="Calibri"/>
                <a:cs typeface="Calibri"/>
              </a:defRPr>
            </a:pPr>
            <a:endParaRPr lang="en-US"/>
          </a:p>
        </c:txPr>
        <c:crossAx val="100480512"/>
        <c:crosses val="autoZero"/>
        <c:crossBetween val="between"/>
      </c:valAx>
    </c:plotArea>
    <c:legend>
      <c:legendPos val="b"/>
      <c:overlay val="0"/>
      <c:txPr>
        <a:bodyPr/>
        <a:lstStyle/>
        <a:p>
          <a:pPr>
            <a:defRPr sz="845" b="0" i="0" u="none" strike="noStrike" baseline="0">
              <a:solidFill>
                <a:srgbClr val="FFFFFF"/>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FFFFFF"/>
          </a:solidFill>
          <a:latin typeface="Calibri"/>
          <a:ea typeface="Calibri"/>
          <a:cs typeface="Calibri"/>
        </a:defRPr>
      </a:pPr>
      <a:endParaRPr lang="en-US"/>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hart>
    <c:title>
      <c:tx>
        <c:rich>
          <a:bodyPr/>
          <a:lstStyle/>
          <a:p>
            <a:pPr>
              <a:defRPr/>
            </a:pPr>
            <a:r>
              <a:rPr lang="en-US"/>
              <a:t>Earned Premium, Claims Incurred and Claim Ratio - General Insurance Business</a:t>
            </a:r>
          </a:p>
        </c:rich>
      </c:tx>
      <c:layout>
        <c:manualLayout>
          <c:xMode val="edge"/>
          <c:yMode val="edge"/>
          <c:x val="0.11719945492746912"/>
          <c:y val="8.1967213114754103E-3"/>
        </c:manualLayout>
      </c:layout>
      <c:overlay val="0"/>
    </c:title>
    <c:autoTitleDeleted val="0"/>
    <c:plotArea>
      <c:layout>
        <c:manualLayout>
          <c:layoutTarget val="inner"/>
          <c:xMode val="edge"/>
          <c:yMode val="edge"/>
          <c:x val="0.17216899169655075"/>
          <c:y val="0.13284521475250041"/>
          <c:w val="0.6554090393432741"/>
          <c:h val="0.7074759407162875"/>
        </c:manualLayout>
      </c:layout>
      <c:barChart>
        <c:barDir val="col"/>
        <c:grouping val="clustered"/>
        <c:varyColors val="0"/>
        <c:ser>
          <c:idx val="0"/>
          <c:order val="0"/>
          <c:tx>
            <c:strRef>
              <c:f>'AR table 6 &amp; Chart 7 (2)'!$B$35</c:f>
              <c:strCache>
                <c:ptCount val="1"/>
                <c:pt idx="0">
                  <c:v>Excess of premium over net claims paid Rs.'000</c:v>
                </c:pt>
              </c:strCache>
            </c:strRef>
          </c:tx>
          <c:invertIfNegative val="0"/>
          <c:dLbls>
            <c:spPr>
              <a:noFill/>
              <a:ln>
                <a:noFill/>
              </a:ln>
              <a:effectLst/>
            </c:spPr>
            <c:txPr>
              <a:bodyPr rot="-5400000" vert="horz"/>
              <a:lstStyle/>
              <a:p>
                <a:pPr>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'AR table 6 &amp; Chart 7 (2)'!$D$29:$H$29</c:f>
              <c:strCache>
                <c:ptCount val="5"/>
                <c:pt idx="0">
                  <c:v>2008</c:v>
                </c:pt>
                <c:pt idx="1">
                  <c:v>2009</c:v>
                </c:pt>
                <c:pt idx="2">
                  <c:v>2010</c:v>
                </c:pt>
                <c:pt idx="3">
                  <c:v>2011(a)</c:v>
                </c:pt>
                <c:pt idx="4">
                  <c:v>2012(b)</c:v>
                </c:pt>
              </c:strCache>
            </c:strRef>
          </c:cat>
          <c:val>
            <c:numRef>
              <c:f>'AR table 6 &amp; Chart 7 (2)'!$D$35:$H$35</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0-FA6C-4FEE-A0C8-F786F2ADEEA3}"/>
            </c:ext>
          </c:extLst>
        </c:ser>
        <c:ser>
          <c:idx val="1"/>
          <c:order val="1"/>
          <c:tx>
            <c:strRef>
              <c:f>'AR table 6 &amp; Chart 7 (2)'!$B$36</c:f>
              <c:strCache>
                <c:ptCount val="1"/>
                <c:pt idx="0">
                  <c:v>Net Expenses Rs. '000</c:v>
                </c:pt>
              </c:strCache>
            </c:strRef>
          </c:tx>
          <c:invertIfNegative val="0"/>
          <c:dLbls>
            <c:spPr>
              <a:noFill/>
              <a:ln>
                <a:noFill/>
              </a:ln>
              <a:effectLst/>
            </c:spPr>
            <c:txPr>
              <a:bodyPr rot="-5400000" vert="horz"/>
              <a:lstStyle/>
              <a:p>
                <a:pPr>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'AR table 6 &amp; Chart 7 (2)'!$D$29:$H$29</c:f>
              <c:strCache>
                <c:ptCount val="5"/>
                <c:pt idx="0">
                  <c:v>2008</c:v>
                </c:pt>
                <c:pt idx="1">
                  <c:v>2009</c:v>
                </c:pt>
                <c:pt idx="2">
                  <c:v>2010</c:v>
                </c:pt>
                <c:pt idx="3">
                  <c:v>2011(a)</c:v>
                </c:pt>
                <c:pt idx="4">
                  <c:v>2012(b)</c:v>
                </c:pt>
              </c:strCache>
            </c:strRef>
          </c:cat>
          <c:val>
            <c:numRef>
              <c:f>'AR table 6 &amp; Chart 7 (2)'!$D$36:$H$36</c:f>
              <c:numCache>
                <c:formatCode>_(* #,##0_);_(* \(#,##0\);_(* "-"??_);_(@_)</c:formatCode>
                <c:ptCount val="5"/>
                <c:pt idx="0">
                  <c:v>12766837.92606</c:v>
                </c:pt>
                <c:pt idx="1">
                  <c:v>12907013.425590001</c:v>
                </c:pt>
                <c:pt idx="2">
                  <c:v>10058322.227912756</c:v>
                </c:pt>
                <c:pt idx="3">
                  <c:v>0</c:v>
                </c:pt>
                <c:pt idx="4">
                  <c:v>0</c:v>
                </c:pt>
              </c:numCache>
            </c:numRef>
          </c:val>
          <c:extLst>
            <c:ext xmlns:c16="http://schemas.microsoft.com/office/drawing/2014/chart" uri="{C3380CC4-5D6E-409C-BE32-E72D297353CC}">
              <c16:uniqueId val="{00000001-FA6C-4FEE-A0C8-F786F2ADEEA3}"/>
            </c:ext>
          </c:extLst>
        </c:ser>
        <c:ser>
          <c:idx val="4"/>
          <c:order val="2"/>
          <c:tx>
            <c:strRef>
              <c:f>'AR table 6 &amp; Chart 7 (2)'!$B$37</c:f>
              <c:strCache>
                <c:ptCount val="1"/>
                <c:pt idx="0">
                  <c:v>Investment Income Rs. '000</c:v>
                </c:pt>
              </c:strCache>
            </c:strRef>
          </c:tx>
          <c:invertIfNegative val="0"/>
          <c:dLbls>
            <c:spPr>
              <a:noFill/>
              <a:ln>
                <a:noFill/>
              </a:ln>
              <a:effectLst/>
            </c:spPr>
            <c:txPr>
              <a:bodyPr rot="-5400000" vert="horz"/>
              <a:lstStyle/>
              <a:p>
                <a:pPr>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'AR table 6 &amp; Chart 7 (2)'!$D$29:$H$29</c:f>
              <c:strCache>
                <c:ptCount val="5"/>
                <c:pt idx="0">
                  <c:v>2008</c:v>
                </c:pt>
                <c:pt idx="1">
                  <c:v>2009</c:v>
                </c:pt>
                <c:pt idx="2">
                  <c:v>2010</c:v>
                </c:pt>
                <c:pt idx="3">
                  <c:v>2011(a)</c:v>
                </c:pt>
                <c:pt idx="4">
                  <c:v>2012(b)</c:v>
                </c:pt>
              </c:strCache>
            </c:strRef>
          </c:cat>
          <c:val>
            <c:numRef>
              <c:f>'AR table 6 &amp; Chart 7 (2)'!$D$37:$H$37</c:f>
              <c:numCache>
                <c:formatCode>General</c:formatCode>
                <c:ptCount val="5"/>
                <c:pt idx="2" formatCode="_(* #,##0_);_(* \(#,##0\);_(* &quot;-&quot;??_);_(@_)">
                  <c:v>12220021.678048341</c:v>
                </c:pt>
                <c:pt idx="3" formatCode="_(* #,##0_);_(* \(#,##0\);_(* &quot;-&quot;??_);_(@_)">
                  <c:v>3386078.0472546476</c:v>
                </c:pt>
                <c:pt idx="4" formatCode="_(* #,##0_);_(* \(#,##0\);_(* &quot;-&quot;??_);_(@_)">
                  <c:v>0</c:v>
                </c:pt>
              </c:numCache>
            </c:numRef>
          </c:val>
          <c:extLst>
            <c:ext xmlns:c16="http://schemas.microsoft.com/office/drawing/2014/chart" uri="{C3380CC4-5D6E-409C-BE32-E72D297353CC}">
              <c16:uniqueId val="{00000002-FA6C-4FEE-A0C8-F786F2ADEEA3}"/>
            </c:ext>
          </c:extLst>
        </c:ser>
        <c:dLbls>
          <c:showLegendKey val="0"/>
          <c:showVal val="0"/>
          <c:showCatName val="0"/>
          <c:showSerName val="0"/>
          <c:showPercent val="0"/>
          <c:showBubbleSize val="0"/>
        </c:dLbls>
        <c:gapWidth val="150"/>
        <c:axId val="100872192"/>
        <c:axId val="100873728"/>
      </c:barChart>
      <c:lineChart>
        <c:grouping val="stacked"/>
        <c:varyColors val="0"/>
        <c:ser>
          <c:idx val="2"/>
          <c:order val="3"/>
          <c:tx>
            <c:strRef>
              <c:f>'AR table 6 &amp; Chart 7 (2)'!$B$33</c:f>
              <c:strCache>
                <c:ptCount val="1"/>
                <c:pt idx="0">
                  <c:v>Net Combined Ratio (%)</c:v>
                </c:pt>
              </c:strCache>
            </c:strRef>
          </c:tx>
          <c:dLbls>
            <c:dLbl>
              <c:idx val="2"/>
              <c:layout>
                <c:manualLayout>
                  <c:x val="4.2625745950554045E-2"/>
                  <c:y val="1.63934426229508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A6C-4FEE-A0C8-F786F2ADEEA3}"/>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'AR table 6 &amp; Chart 7 (2)'!$D$29:$H$29</c:f>
              <c:strCache>
                <c:ptCount val="5"/>
                <c:pt idx="0">
                  <c:v>2008</c:v>
                </c:pt>
                <c:pt idx="1">
                  <c:v>2009</c:v>
                </c:pt>
                <c:pt idx="2">
                  <c:v>2010</c:v>
                </c:pt>
                <c:pt idx="3">
                  <c:v>2011(a)</c:v>
                </c:pt>
                <c:pt idx="4">
                  <c:v>2012(b)</c:v>
                </c:pt>
              </c:strCache>
            </c:strRef>
          </c:cat>
          <c:val>
            <c:numRef>
              <c:f>'AR table 6 &amp; Chart 7 (2)'!$D$33:$H$33</c:f>
              <c:numCache>
                <c:formatCode>_(* #,##0.00_);_(* \(#,##0.00\);_(* "-"??_);_(@_)</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4-FA6C-4FEE-A0C8-F786F2ADEEA3}"/>
            </c:ext>
          </c:extLst>
        </c:ser>
        <c:dLbls>
          <c:showLegendKey val="0"/>
          <c:showVal val="0"/>
          <c:showCatName val="0"/>
          <c:showSerName val="0"/>
          <c:showPercent val="0"/>
          <c:showBubbleSize val="0"/>
        </c:dLbls>
        <c:marker val="1"/>
        <c:smooth val="0"/>
        <c:axId val="100877440"/>
        <c:axId val="100875648"/>
      </c:lineChart>
      <c:catAx>
        <c:axId val="100872192"/>
        <c:scaling>
          <c:orientation val="minMax"/>
        </c:scaling>
        <c:delete val="0"/>
        <c:axPos val="b"/>
        <c:numFmt formatCode="General" sourceLinked="1"/>
        <c:majorTickMark val="none"/>
        <c:minorTickMark val="none"/>
        <c:tickLblPos val="nextTo"/>
        <c:txPr>
          <a:bodyPr rot="0" vert="horz"/>
          <a:lstStyle/>
          <a:p>
            <a:pPr>
              <a:defRPr/>
            </a:pPr>
            <a:endParaRPr lang="en-US"/>
          </a:p>
        </c:txPr>
        <c:crossAx val="100873728"/>
        <c:crosses val="autoZero"/>
        <c:auto val="1"/>
        <c:lblAlgn val="ctr"/>
        <c:lblOffset val="100"/>
        <c:noMultiLvlLbl val="0"/>
      </c:catAx>
      <c:valAx>
        <c:axId val="100873728"/>
        <c:scaling>
          <c:orientation val="minMax"/>
          <c:max val="13000000"/>
          <c:min val="0"/>
        </c:scaling>
        <c:delete val="0"/>
        <c:axPos val="l"/>
        <c:majorGridlines/>
        <c:title>
          <c:tx>
            <c:rich>
              <a:bodyPr/>
              <a:lstStyle/>
              <a:p>
                <a:pPr>
                  <a:defRPr/>
                </a:pPr>
                <a:r>
                  <a:rPr lang="en-US"/>
                  <a:t>Rs.'000</a:t>
                </a:r>
              </a:p>
            </c:rich>
          </c:tx>
          <c:overlay val="0"/>
        </c:title>
        <c:numFmt formatCode="_(* #,##0_);_(* \(#,##0\);_(* &quot;-&quot;??_);_(@_)" sourceLinked="1"/>
        <c:majorTickMark val="out"/>
        <c:minorTickMark val="none"/>
        <c:tickLblPos val="nextTo"/>
        <c:txPr>
          <a:bodyPr rot="0" vert="horz"/>
          <a:lstStyle/>
          <a:p>
            <a:pPr>
              <a:defRPr/>
            </a:pPr>
            <a:endParaRPr lang="en-US"/>
          </a:p>
        </c:txPr>
        <c:crossAx val="100872192"/>
        <c:crosses val="autoZero"/>
        <c:crossBetween val="between"/>
        <c:majorUnit val="2000000"/>
      </c:valAx>
      <c:valAx>
        <c:axId val="100875648"/>
        <c:scaling>
          <c:orientation val="minMax"/>
        </c:scaling>
        <c:delete val="0"/>
        <c:axPos val="r"/>
        <c:numFmt formatCode="_(* #,##0.00_);_(* \(#,##0.00\);_(* &quot;-&quot;??_);_(@_)" sourceLinked="1"/>
        <c:majorTickMark val="out"/>
        <c:minorTickMark val="none"/>
        <c:tickLblPos val="nextTo"/>
        <c:crossAx val="100877440"/>
        <c:crosses val="max"/>
        <c:crossBetween val="between"/>
      </c:valAx>
      <c:catAx>
        <c:axId val="100877440"/>
        <c:scaling>
          <c:orientation val="minMax"/>
        </c:scaling>
        <c:delete val="1"/>
        <c:axPos val="b"/>
        <c:numFmt formatCode="General" sourceLinked="1"/>
        <c:majorTickMark val="out"/>
        <c:minorTickMark val="none"/>
        <c:tickLblPos val="none"/>
        <c:crossAx val="100875648"/>
        <c:crosses val="autoZero"/>
        <c:auto val="1"/>
        <c:lblAlgn val="ctr"/>
        <c:lblOffset val="100"/>
        <c:noMultiLvlLbl val="0"/>
      </c:catAx>
    </c:plotArea>
    <c:legend>
      <c:legendPos val="b"/>
      <c:overlay val="0"/>
    </c:legend>
    <c:plotVisOnly val="1"/>
    <c:dispBlanksAs val="zero"/>
    <c:showDLblsOverMax val="0"/>
  </c:chart>
  <c:spPr>
    <a:noFill/>
  </c:spPr>
  <c:printSettings>
    <c:headerFooter/>
    <c:pageMargins b="0.75000000000001465" l="0.70000000000000062" r="0.70000000000000062" t="0.75000000000001465"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hart>
    <c:title>
      <c:tx>
        <c:rich>
          <a:bodyPr/>
          <a:lstStyle/>
          <a:p>
            <a:pPr>
              <a:defRPr/>
            </a:pPr>
            <a:r>
              <a:rPr lang="en-US"/>
              <a:t>Top 5 Companies Market Share of Gross Written Premium for last 5 years - Long Term Insurance Business</a:t>
            </a:r>
          </a:p>
        </c:rich>
      </c:tx>
      <c:layout>
        <c:manualLayout>
          <c:xMode val="edge"/>
          <c:yMode val="edge"/>
          <c:x val="0.12485596822521079"/>
          <c:y val="4.0404040404040414E-2"/>
        </c:manualLayout>
      </c:layout>
      <c:overlay val="0"/>
    </c:title>
    <c:autoTitleDeleted val="0"/>
    <c:view3D>
      <c:rotX val="15"/>
      <c:rotY val="20"/>
      <c:depthPercent val="100"/>
      <c:rAngAx val="1"/>
    </c:view3D>
    <c:floor>
      <c:thickness val="0"/>
    </c:floor>
    <c:sideWall>
      <c:thickness val="0"/>
    </c:sideWall>
    <c:backWall>
      <c:thickness val="0"/>
    </c:backWall>
    <c:plotArea>
      <c:layout>
        <c:manualLayout>
          <c:layoutTarget val="inner"/>
          <c:xMode val="edge"/>
          <c:yMode val="edge"/>
          <c:x val="0.15277574658613968"/>
          <c:y val="0.26162469976807801"/>
          <c:w val="0.74835985927291004"/>
          <c:h val="0.5796029008186"/>
        </c:manualLayout>
      </c:layout>
      <c:bar3DChart>
        <c:barDir val="col"/>
        <c:grouping val="clustered"/>
        <c:varyColors val="0"/>
        <c:ser>
          <c:idx val="0"/>
          <c:order val="0"/>
          <c:invertIfNegative val="0"/>
          <c:cat>
            <c:strRef>
              <c:f>'GWP-LTIB (Final)'!$W$7:$W$11</c:f>
              <c:strCache>
                <c:ptCount val="5"/>
                <c:pt idx="0">
                  <c:v>Ceylinco</c:v>
                </c:pt>
                <c:pt idx="1">
                  <c:v>AIA</c:v>
                </c:pt>
                <c:pt idx="2">
                  <c:v>SLIC</c:v>
                </c:pt>
                <c:pt idx="3">
                  <c:v>UAL</c:v>
                </c:pt>
                <c:pt idx="4">
                  <c:v>Asian Alliance</c:v>
                </c:pt>
              </c:strCache>
            </c:strRef>
          </c:cat>
          <c:val>
            <c:numRef>
              <c:f>'GWP-LTIB (Final)'!$V$7:$V$12</c:f>
            </c:numRef>
          </c:val>
          <c:extLst>
            <c:ext xmlns:c16="http://schemas.microsoft.com/office/drawing/2014/chart" uri="{C3380CC4-5D6E-409C-BE32-E72D297353CC}">
              <c16:uniqueId val="{00000000-BC1F-4610-82C5-9A19C0D93CF3}"/>
            </c:ext>
          </c:extLst>
        </c:ser>
        <c:ser>
          <c:idx val="3"/>
          <c:order val="1"/>
          <c:tx>
            <c:strRef>
              <c:f>'GWP-LTIB (Final)'!$AA$4</c:f>
              <c:strCache>
                <c:ptCount val="1"/>
                <c:pt idx="0">
                  <c:v>2009</c:v>
                </c:pt>
              </c:strCache>
            </c:strRef>
          </c:tx>
          <c:invertIfNegative val="0"/>
          <c:cat>
            <c:strRef>
              <c:f>'GWP-LTIB (Final)'!$W$7:$W$11</c:f>
              <c:strCache>
                <c:ptCount val="5"/>
                <c:pt idx="0">
                  <c:v>Ceylinco</c:v>
                </c:pt>
                <c:pt idx="1">
                  <c:v>AIA</c:v>
                </c:pt>
                <c:pt idx="2">
                  <c:v>SLIC</c:v>
                </c:pt>
                <c:pt idx="3">
                  <c:v>UAL</c:v>
                </c:pt>
                <c:pt idx="4">
                  <c:v>Asian Alliance</c:v>
                </c:pt>
              </c:strCache>
            </c:strRef>
          </c:cat>
          <c:val>
            <c:numRef>
              <c:f>'GWP-LTIB (Final)'!$AA$7:$AA$11</c:f>
              <c:numCache>
                <c:formatCode>_(* #,##0_);_(* \(#,##0\);_(* "-"??_);_(@_)</c:formatCode>
                <c:ptCount val="5"/>
                <c:pt idx="0">
                  <c:v>7522328</c:v>
                </c:pt>
                <c:pt idx="1">
                  <c:v>4632490</c:v>
                </c:pt>
                <c:pt idx="2">
                  <c:v>4819859.7493799999</c:v>
                </c:pt>
                <c:pt idx="3">
                  <c:v>2778184</c:v>
                </c:pt>
                <c:pt idx="4">
                  <c:v>1009031</c:v>
                </c:pt>
              </c:numCache>
            </c:numRef>
          </c:val>
          <c:extLst>
            <c:ext xmlns:c16="http://schemas.microsoft.com/office/drawing/2014/chart" uri="{C3380CC4-5D6E-409C-BE32-E72D297353CC}">
              <c16:uniqueId val="{00000001-BC1F-4610-82C5-9A19C0D93CF3}"/>
            </c:ext>
          </c:extLst>
        </c:ser>
        <c:ser>
          <c:idx val="4"/>
          <c:order val="2"/>
          <c:tx>
            <c:strRef>
              <c:f>'GWP-LTIB (Final)'!$AB$4</c:f>
              <c:strCache>
                <c:ptCount val="1"/>
                <c:pt idx="0">
                  <c:v>2010</c:v>
                </c:pt>
              </c:strCache>
            </c:strRef>
          </c:tx>
          <c:invertIfNegative val="0"/>
          <c:cat>
            <c:strRef>
              <c:f>'GWP-LTIB (Final)'!$W$7:$W$11</c:f>
              <c:strCache>
                <c:ptCount val="5"/>
                <c:pt idx="0">
                  <c:v>Ceylinco</c:v>
                </c:pt>
                <c:pt idx="1">
                  <c:v>AIA</c:v>
                </c:pt>
                <c:pt idx="2">
                  <c:v>SLIC</c:v>
                </c:pt>
                <c:pt idx="3">
                  <c:v>UAL</c:v>
                </c:pt>
                <c:pt idx="4">
                  <c:v>Asian Alliance</c:v>
                </c:pt>
              </c:strCache>
            </c:strRef>
          </c:cat>
          <c:val>
            <c:numRef>
              <c:f>'GWP-LTIB (Final)'!$AB$7:$AB$11</c:f>
              <c:numCache>
                <c:formatCode>_(* #,##0_);_(* \(#,##0\);_(* "-"??_);_(@_)</c:formatCode>
                <c:ptCount val="5"/>
                <c:pt idx="0">
                  <c:v>8786120</c:v>
                </c:pt>
                <c:pt idx="1">
                  <c:v>7783925</c:v>
                </c:pt>
                <c:pt idx="2">
                  <c:v>6009859</c:v>
                </c:pt>
                <c:pt idx="3">
                  <c:v>3465505</c:v>
                </c:pt>
                <c:pt idx="4">
                  <c:v>1242608.3961700001</c:v>
                </c:pt>
              </c:numCache>
            </c:numRef>
          </c:val>
          <c:extLst>
            <c:ext xmlns:c16="http://schemas.microsoft.com/office/drawing/2014/chart" uri="{C3380CC4-5D6E-409C-BE32-E72D297353CC}">
              <c16:uniqueId val="{00000002-BC1F-4610-82C5-9A19C0D93CF3}"/>
            </c:ext>
          </c:extLst>
        </c:ser>
        <c:ser>
          <c:idx val="5"/>
          <c:order val="3"/>
          <c:tx>
            <c:strRef>
              <c:f>'GWP-LTIB (Final)'!$AC$4</c:f>
              <c:strCache>
                <c:ptCount val="1"/>
                <c:pt idx="0">
                  <c:v>2011</c:v>
                </c:pt>
              </c:strCache>
            </c:strRef>
          </c:tx>
          <c:invertIfNegative val="0"/>
          <c:cat>
            <c:strRef>
              <c:f>'GWP-LTIB (Final)'!$W$7:$W$11</c:f>
              <c:strCache>
                <c:ptCount val="5"/>
                <c:pt idx="0">
                  <c:v>Ceylinco</c:v>
                </c:pt>
                <c:pt idx="1">
                  <c:v>AIA</c:v>
                </c:pt>
                <c:pt idx="2">
                  <c:v>SLIC</c:v>
                </c:pt>
                <c:pt idx="3">
                  <c:v>UAL</c:v>
                </c:pt>
                <c:pt idx="4">
                  <c:v>Asian Alliance</c:v>
                </c:pt>
              </c:strCache>
            </c:strRef>
          </c:cat>
          <c:val>
            <c:numRef>
              <c:f>'GWP-LTIB (Final)'!$AC$7:$AC$11</c:f>
              <c:numCache>
                <c:formatCode>_(* #,##0_);_(* \(#,##0\);_(* "-"??_);_(@_)</c:formatCode>
                <c:ptCount val="5"/>
                <c:pt idx="0">
                  <c:v>9815942.7451399993</c:v>
                </c:pt>
                <c:pt idx="1">
                  <c:v>7846447</c:v>
                </c:pt>
                <c:pt idx="2">
                  <c:v>6743072.964569998</c:v>
                </c:pt>
                <c:pt idx="3">
                  <c:v>4471627</c:v>
                </c:pt>
                <c:pt idx="4">
                  <c:v>1579190.622</c:v>
                </c:pt>
              </c:numCache>
            </c:numRef>
          </c:val>
          <c:extLst>
            <c:ext xmlns:c16="http://schemas.microsoft.com/office/drawing/2014/chart" uri="{C3380CC4-5D6E-409C-BE32-E72D297353CC}">
              <c16:uniqueId val="{00000003-BC1F-4610-82C5-9A19C0D93CF3}"/>
            </c:ext>
          </c:extLst>
        </c:ser>
        <c:ser>
          <c:idx val="6"/>
          <c:order val="4"/>
          <c:tx>
            <c:strRef>
              <c:f>'GWP-LTIB (Final)'!$AD$4</c:f>
              <c:strCache>
                <c:ptCount val="1"/>
                <c:pt idx="0">
                  <c:v>2012(a)</c:v>
                </c:pt>
              </c:strCache>
            </c:strRef>
          </c:tx>
          <c:invertIfNegative val="0"/>
          <c:cat>
            <c:strRef>
              <c:f>'GWP-LTIB (Final)'!$W$7:$W$11</c:f>
              <c:strCache>
                <c:ptCount val="5"/>
                <c:pt idx="0">
                  <c:v>Ceylinco</c:v>
                </c:pt>
                <c:pt idx="1">
                  <c:v>AIA</c:v>
                </c:pt>
                <c:pt idx="2">
                  <c:v>SLIC</c:v>
                </c:pt>
                <c:pt idx="3">
                  <c:v>UAL</c:v>
                </c:pt>
                <c:pt idx="4">
                  <c:v>Asian Alliance</c:v>
                </c:pt>
              </c:strCache>
            </c:strRef>
          </c:cat>
          <c:val>
            <c:numRef>
              <c:f>'GWP-LTIB (Final)'!$AD$7:$AD$11</c:f>
              <c:numCache>
                <c:formatCode>_(* #,##0_);_(* \(#,##0\);_(* "-"??_);_(@_)</c:formatCode>
                <c:ptCount val="5"/>
                <c:pt idx="0">
                  <c:v>10829470</c:v>
                </c:pt>
                <c:pt idx="1">
                  <c:v>6495863</c:v>
                </c:pt>
                <c:pt idx="2">
                  <c:v>7369031.3364199949</c:v>
                </c:pt>
                <c:pt idx="3">
                  <c:v>5106323</c:v>
                </c:pt>
                <c:pt idx="4">
                  <c:v>2034084</c:v>
                </c:pt>
              </c:numCache>
            </c:numRef>
          </c:val>
          <c:extLst>
            <c:ext xmlns:c16="http://schemas.microsoft.com/office/drawing/2014/chart" uri="{C3380CC4-5D6E-409C-BE32-E72D297353CC}">
              <c16:uniqueId val="{00000004-BC1F-4610-82C5-9A19C0D93CF3}"/>
            </c:ext>
          </c:extLst>
        </c:ser>
        <c:ser>
          <c:idx val="1"/>
          <c:order val="5"/>
          <c:tx>
            <c:strRef>
              <c:f>'GWP-LTIB (Final)'!$AE$4</c:f>
              <c:strCache>
                <c:ptCount val="1"/>
                <c:pt idx="0">
                  <c:v>2013(b)</c:v>
                </c:pt>
              </c:strCache>
            </c:strRef>
          </c:tx>
          <c:invertIfNegative val="0"/>
          <c:cat>
            <c:strRef>
              <c:f>'GWP-LTIB (Final)'!$W$7:$W$11</c:f>
              <c:strCache>
                <c:ptCount val="5"/>
                <c:pt idx="0">
                  <c:v>Ceylinco</c:v>
                </c:pt>
                <c:pt idx="1">
                  <c:v>AIA</c:v>
                </c:pt>
                <c:pt idx="2">
                  <c:v>SLIC</c:v>
                </c:pt>
                <c:pt idx="3">
                  <c:v>UAL</c:v>
                </c:pt>
                <c:pt idx="4">
                  <c:v>Asian Alliance</c:v>
                </c:pt>
              </c:strCache>
            </c:strRef>
          </c:cat>
          <c:val>
            <c:numRef>
              <c:f>'GWP-LTIB (Final)'!$AE$7:$AE$11</c:f>
              <c:numCache>
                <c:formatCode>_(* #,##0_);_(* \(#,##0\);_(* "-"??_);_(@_)</c:formatCode>
                <c:ptCount val="5"/>
                <c:pt idx="0">
                  <c:v>11122906.218729999</c:v>
                </c:pt>
                <c:pt idx="1">
                  <c:v>6863047</c:v>
                </c:pt>
                <c:pt idx="2">
                  <c:v>8069964.2487999983</c:v>
                </c:pt>
                <c:pt idx="3">
                  <c:v>5515063</c:v>
                </c:pt>
                <c:pt idx="4">
                  <c:v>2520283</c:v>
                </c:pt>
              </c:numCache>
            </c:numRef>
          </c:val>
          <c:extLst>
            <c:ext xmlns:c16="http://schemas.microsoft.com/office/drawing/2014/chart" uri="{C3380CC4-5D6E-409C-BE32-E72D297353CC}">
              <c16:uniqueId val="{00000005-BC1F-4610-82C5-9A19C0D93CF3}"/>
            </c:ext>
          </c:extLst>
        </c:ser>
        <c:dLbls>
          <c:showLegendKey val="0"/>
          <c:showVal val="0"/>
          <c:showCatName val="0"/>
          <c:showSerName val="0"/>
          <c:showPercent val="0"/>
          <c:showBubbleSize val="0"/>
        </c:dLbls>
        <c:gapWidth val="150"/>
        <c:shape val="box"/>
        <c:axId val="58487936"/>
        <c:axId val="58489472"/>
        <c:axId val="0"/>
      </c:bar3DChart>
      <c:catAx>
        <c:axId val="58487936"/>
        <c:scaling>
          <c:orientation val="minMax"/>
        </c:scaling>
        <c:delete val="0"/>
        <c:axPos val="b"/>
        <c:numFmt formatCode="General" sourceLinked="1"/>
        <c:majorTickMark val="none"/>
        <c:minorTickMark val="none"/>
        <c:tickLblPos val="nextTo"/>
        <c:txPr>
          <a:bodyPr rot="0" vert="horz"/>
          <a:lstStyle/>
          <a:p>
            <a:pPr>
              <a:defRPr/>
            </a:pPr>
            <a:endParaRPr lang="en-US"/>
          </a:p>
        </c:txPr>
        <c:crossAx val="58489472"/>
        <c:crosses val="autoZero"/>
        <c:auto val="1"/>
        <c:lblAlgn val="ctr"/>
        <c:lblOffset val="100"/>
        <c:noMultiLvlLbl val="0"/>
      </c:catAx>
      <c:valAx>
        <c:axId val="58489472"/>
        <c:scaling>
          <c:orientation val="minMax"/>
        </c:scaling>
        <c:delete val="0"/>
        <c:axPos val="l"/>
        <c:majorGridlines/>
        <c:title>
          <c:tx>
            <c:rich>
              <a:bodyPr/>
              <a:lstStyle/>
              <a:p>
                <a:pPr>
                  <a:defRPr/>
                </a:pPr>
                <a:r>
                  <a:rPr lang="en-US"/>
                  <a:t>Rs.'000</a:t>
                </a:r>
              </a:p>
            </c:rich>
          </c:tx>
          <c:overlay val="0"/>
        </c:title>
        <c:numFmt formatCode="_(* #,##0_);_(* \(#,##0\);_(* &quot;-&quot;??_);_(@_)" sourceLinked="1"/>
        <c:majorTickMark val="out"/>
        <c:minorTickMark val="none"/>
        <c:tickLblPos val="nextTo"/>
        <c:txPr>
          <a:bodyPr rot="0" vert="horz"/>
          <a:lstStyle/>
          <a:p>
            <a:pPr>
              <a:defRPr/>
            </a:pPr>
            <a:endParaRPr lang="en-US"/>
          </a:p>
        </c:txPr>
        <c:crossAx val="58487936"/>
        <c:crosses val="autoZero"/>
        <c:crossBetween val="between"/>
      </c:valAx>
      <c:spPr>
        <a:noFill/>
        <a:ln w="25400">
          <a:noFill/>
        </a:ln>
      </c:spPr>
    </c:plotArea>
    <c:legend>
      <c:legendPos val="r"/>
      <c:overlay val="0"/>
    </c:legend>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hart>
    <c:title>
      <c:tx>
        <c:rich>
          <a:bodyPr/>
          <a:lstStyle/>
          <a:p>
            <a:pPr>
              <a:defRPr sz="1000">
                <a:latin typeface="Tahoma" pitchFamily="34" charset="0"/>
                <a:ea typeface="Tahoma" pitchFamily="34" charset="0"/>
                <a:cs typeface="Tahoma" pitchFamily="34" charset="0"/>
              </a:defRPr>
            </a:pPr>
            <a:r>
              <a:rPr lang="en-US" sz="1000" b="1" i="0" u="none" strike="noStrike" baseline="0"/>
              <a:t>Market Share of </a:t>
            </a:r>
            <a:r>
              <a:rPr lang="en-US" sz="1000">
                <a:latin typeface="Tahoma" pitchFamily="34" charset="0"/>
                <a:ea typeface="Tahoma" pitchFamily="34" charset="0"/>
                <a:cs typeface="Tahoma" pitchFamily="34" charset="0"/>
              </a:rPr>
              <a:t>Top Five GWP generators </a:t>
            </a:r>
            <a:r>
              <a:rPr lang="en-US" sz="1000" baseline="0">
                <a:latin typeface="Tahoma" pitchFamily="34" charset="0"/>
                <a:ea typeface="Tahoma" pitchFamily="34" charset="0"/>
                <a:cs typeface="Tahoma" pitchFamily="34" charset="0"/>
              </a:rPr>
              <a:t>in 2013 - </a:t>
            </a:r>
            <a:r>
              <a:rPr lang="en-US" sz="1000" b="1" i="0" u="none" strike="noStrike" baseline="0"/>
              <a:t>Long Term Insurance Business</a:t>
            </a:r>
            <a:r>
              <a:rPr lang="en-US" sz="1000" baseline="0">
                <a:latin typeface="Tahoma" pitchFamily="34" charset="0"/>
                <a:ea typeface="Tahoma" pitchFamily="34" charset="0"/>
                <a:cs typeface="Tahoma" pitchFamily="34" charset="0"/>
              </a:rPr>
              <a:t> </a:t>
            </a:r>
            <a:endParaRPr lang="en-US" sz="1000">
              <a:latin typeface="Tahoma" pitchFamily="34" charset="0"/>
              <a:ea typeface="Tahoma" pitchFamily="34" charset="0"/>
              <a:cs typeface="Tahoma" pitchFamily="34" charset="0"/>
            </a:endParaRPr>
          </a:p>
        </c:rich>
      </c:tx>
      <c:overlay val="0"/>
    </c:title>
    <c:autoTitleDeleted val="0"/>
    <c:plotArea>
      <c:layout/>
      <c:barChart>
        <c:barDir val="col"/>
        <c:grouping val="clustered"/>
        <c:varyColors val="0"/>
        <c:ser>
          <c:idx val="0"/>
          <c:order val="0"/>
          <c:invertIfNegative val="0"/>
          <c:cat>
            <c:strRef>
              <c:f>'GWP-LTIB (Final)'!$AI$7:$AI$14</c:f>
              <c:strCache>
                <c:ptCount val="8"/>
                <c:pt idx="0">
                  <c:v>Ceylinco</c:v>
                </c:pt>
                <c:pt idx="1">
                  <c:v>SLIC</c:v>
                </c:pt>
                <c:pt idx="2">
                  <c:v>AIA</c:v>
                </c:pt>
                <c:pt idx="3">
                  <c:v>UAL</c:v>
                </c:pt>
                <c:pt idx="4">
                  <c:v>Asian Alliance</c:v>
                </c:pt>
                <c:pt idx="5">
                  <c:v>Others</c:v>
                </c:pt>
                <c:pt idx="7">
                  <c:v>Janashakthi</c:v>
                </c:pt>
              </c:strCache>
            </c:strRef>
          </c:cat>
          <c:val>
            <c:numRef>
              <c:f>'GWP-LTIB (Final)'!$AH$7:$AH$12</c:f>
            </c:numRef>
          </c:val>
          <c:extLst>
            <c:ext xmlns:c16="http://schemas.microsoft.com/office/drawing/2014/chart" uri="{C3380CC4-5D6E-409C-BE32-E72D297353CC}">
              <c16:uniqueId val="{00000000-200F-4A56-B5D7-959B8457DAAE}"/>
            </c:ext>
          </c:extLst>
        </c:ser>
        <c:ser>
          <c:idx val="3"/>
          <c:order val="1"/>
          <c:tx>
            <c:strRef>
              <c:f>'GWP-LTIB (Final)'!$AL$4</c:f>
              <c:strCache>
                <c:ptCount val="1"/>
                <c:pt idx="0">
                  <c:v>2009</c:v>
                </c:pt>
              </c:strCache>
            </c:strRef>
          </c:tx>
          <c:invertIfNegative val="0"/>
          <c:cat>
            <c:strRef>
              <c:f>'GWP-LTIB (Final)'!$AI$7:$AI$14</c:f>
              <c:strCache>
                <c:ptCount val="8"/>
                <c:pt idx="0">
                  <c:v>Ceylinco</c:v>
                </c:pt>
                <c:pt idx="1">
                  <c:v>SLIC</c:v>
                </c:pt>
                <c:pt idx="2">
                  <c:v>AIA</c:v>
                </c:pt>
                <c:pt idx="3">
                  <c:v>UAL</c:v>
                </c:pt>
                <c:pt idx="4">
                  <c:v>Asian Alliance</c:v>
                </c:pt>
                <c:pt idx="5">
                  <c:v>Others</c:v>
                </c:pt>
                <c:pt idx="7">
                  <c:v>Janashakthi</c:v>
                </c:pt>
              </c:strCache>
            </c:strRef>
          </c:cat>
          <c:val>
            <c:numRef>
              <c:f>'GWP-LTIB (Final)'!$AL$7:$AL$11</c:f>
              <c:numCache>
                <c:formatCode>_(* #,##0.00_);_(* \(#,##0.00\);_(* "-"??_);_(@_)</c:formatCode>
                <c:ptCount val="5"/>
                <c:pt idx="0">
                  <c:v>31.3364787834136</c:v>
                </c:pt>
                <c:pt idx="1">
                  <c:v>20.07854919055319</c:v>
                </c:pt>
                <c:pt idx="2">
                  <c:v>19.298005165339198</c:v>
                </c:pt>
                <c:pt idx="3">
                  <c:v>11.57334590733336</c:v>
                </c:pt>
                <c:pt idx="4">
                  <c:v>4.2034166182738391</c:v>
                </c:pt>
              </c:numCache>
            </c:numRef>
          </c:val>
          <c:extLst>
            <c:ext xmlns:c16="http://schemas.microsoft.com/office/drawing/2014/chart" uri="{C3380CC4-5D6E-409C-BE32-E72D297353CC}">
              <c16:uniqueId val="{00000001-200F-4A56-B5D7-959B8457DAAE}"/>
            </c:ext>
          </c:extLst>
        </c:ser>
        <c:ser>
          <c:idx val="4"/>
          <c:order val="2"/>
          <c:tx>
            <c:strRef>
              <c:f>'GWP-LTIB (Final)'!$AM$4</c:f>
              <c:strCache>
                <c:ptCount val="1"/>
                <c:pt idx="0">
                  <c:v>2010</c:v>
                </c:pt>
              </c:strCache>
            </c:strRef>
          </c:tx>
          <c:invertIfNegative val="0"/>
          <c:cat>
            <c:strRef>
              <c:f>'GWP-LTIB (Final)'!$AI$7:$AI$14</c:f>
              <c:strCache>
                <c:ptCount val="8"/>
                <c:pt idx="0">
                  <c:v>Ceylinco</c:v>
                </c:pt>
                <c:pt idx="1">
                  <c:v>SLIC</c:v>
                </c:pt>
                <c:pt idx="2">
                  <c:v>AIA</c:v>
                </c:pt>
                <c:pt idx="3">
                  <c:v>UAL</c:v>
                </c:pt>
                <c:pt idx="4">
                  <c:v>Asian Alliance</c:v>
                </c:pt>
                <c:pt idx="5">
                  <c:v>Others</c:v>
                </c:pt>
                <c:pt idx="7">
                  <c:v>Janashakthi</c:v>
                </c:pt>
              </c:strCache>
            </c:strRef>
          </c:cat>
          <c:val>
            <c:numRef>
              <c:f>'GWP-LTIB (Final)'!$AM$7:$AM$11</c:f>
              <c:numCache>
                <c:formatCode>_(* #,##0.00_);_(* \(#,##0.00\);_(* "-"??_);_(@_)</c:formatCode>
                <c:ptCount val="5"/>
                <c:pt idx="0">
                  <c:v>28.213954352239309</c:v>
                </c:pt>
                <c:pt idx="1">
                  <c:v>19.29199565899334</c:v>
                </c:pt>
                <c:pt idx="2">
                  <c:v>24.986850325428559</c:v>
                </c:pt>
                <c:pt idx="3">
                  <c:v>11.124471874667895</c:v>
                </c:pt>
                <c:pt idx="4">
                  <c:v>3.9888449603793239</c:v>
                </c:pt>
              </c:numCache>
            </c:numRef>
          </c:val>
          <c:extLst>
            <c:ext xmlns:c16="http://schemas.microsoft.com/office/drawing/2014/chart" uri="{C3380CC4-5D6E-409C-BE32-E72D297353CC}">
              <c16:uniqueId val="{00000002-200F-4A56-B5D7-959B8457DAAE}"/>
            </c:ext>
          </c:extLst>
        </c:ser>
        <c:ser>
          <c:idx val="5"/>
          <c:order val="3"/>
          <c:tx>
            <c:strRef>
              <c:f>'GWP-LTIB (Final)'!$AN$4</c:f>
              <c:strCache>
                <c:ptCount val="1"/>
                <c:pt idx="0">
                  <c:v>2011</c:v>
                </c:pt>
              </c:strCache>
            </c:strRef>
          </c:tx>
          <c:invertIfNegative val="0"/>
          <c:cat>
            <c:strRef>
              <c:f>'GWP-LTIB (Final)'!$AI$7:$AI$14</c:f>
              <c:strCache>
                <c:ptCount val="8"/>
                <c:pt idx="0">
                  <c:v>Ceylinco</c:v>
                </c:pt>
                <c:pt idx="1">
                  <c:v>SLIC</c:v>
                </c:pt>
                <c:pt idx="2">
                  <c:v>AIA</c:v>
                </c:pt>
                <c:pt idx="3">
                  <c:v>UAL</c:v>
                </c:pt>
                <c:pt idx="4">
                  <c:v>Asian Alliance</c:v>
                </c:pt>
                <c:pt idx="5">
                  <c:v>Others</c:v>
                </c:pt>
                <c:pt idx="7">
                  <c:v>Janashakthi</c:v>
                </c:pt>
              </c:strCache>
            </c:strRef>
          </c:cat>
          <c:val>
            <c:numRef>
              <c:f>'GWP-LTIB (Final)'!$AN$7:$AN$11</c:f>
              <c:numCache>
                <c:formatCode>_(* #,##0.00_);_(* \(#,##0.00\);_(* "-"??_);_(@_)</c:formatCode>
                <c:ptCount val="5"/>
                <c:pt idx="0">
                  <c:v>27.906454891618385</c:v>
                </c:pt>
                <c:pt idx="1">
                  <c:v>19.177240244143764</c:v>
                </c:pt>
                <c:pt idx="2">
                  <c:v>22.315226302988211</c:v>
                </c:pt>
                <c:pt idx="3">
                  <c:v>12.717267885394786</c:v>
                </c:pt>
                <c:pt idx="4">
                  <c:v>4.4912042489405346</c:v>
                </c:pt>
              </c:numCache>
            </c:numRef>
          </c:val>
          <c:extLst>
            <c:ext xmlns:c16="http://schemas.microsoft.com/office/drawing/2014/chart" uri="{C3380CC4-5D6E-409C-BE32-E72D297353CC}">
              <c16:uniqueId val="{00000003-200F-4A56-B5D7-959B8457DAAE}"/>
            </c:ext>
          </c:extLst>
        </c:ser>
        <c:ser>
          <c:idx val="6"/>
          <c:order val="4"/>
          <c:tx>
            <c:strRef>
              <c:f>'GWP-LTIB (Final)'!$AO$4</c:f>
              <c:strCache>
                <c:ptCount val="1"/>
                <c:pt idx="0">
                  <c:v>2012(a)</c:v>
                </c:pt>
              </c:strCache>
            </c:strRef>
          </c:tx>
          <c:invertIfNegative val="0"/>
          <c:cat>
            <c:strRef>
              <c:f>'GWP-LTIB (Final)'!$AI$7:$AI$14</c:f>
              <c:strCache>
                <c:ptCount val="8"/>
                <c:pt idx="0">
                  <c:v>Ceylinco</c:v>
                </c:pt>
                <c:pt idx="1">
                  <c:v>SLIC</c:v>
                </c:pt>
                <c:pt idx="2">
                  <c:v>AIA</c:v>
                </c:pt>
                <c:pt idx="3">
                  <c:v>UAL</c:v>
                </c:pt>
                <c:pt idx="4">
                  <c:v>Asian Alliance</c:v>
                </c:pt>
                <c:pt idx="5">
                  <c:v>Others</c:v>
                </c:pt>
                <c:pt idx="7">
                  <c:v>Janashakthi</c:v>
                </c:pt>
              </c:strCache>
            </c:strRef>
          </c:cat>
          <c:val>
            <c:numRef>
              <c:f>'GWP-LTIB (Final)'!$AO$7:$AO$11</c:f>
              <c:numCache>
                <c:formatCode>_(* #,##0.00_);_(* \(#,##0.00\);_(* "-"??_);_(@_)</c:formatCode>
                <c:ptCount val="5"/>
                <c:pt idx="0">
                  <c:v>28.896534236025325</c:v>
                </c:pt>
                <c:pt idx="1">
                  <c:v>19.662962850370686</c:v>
                </c:pt>
                <c:pt idx="2">
                  <c:v>17.333066860338516</c:v>
                </c:pt>
                <c:pt idx="3">
                  <c:v>13.625323989973982</c:v>
                </c:pt>
                <c:pt idx="4">
                  <c:v>5.4275950665130734</c:v>
                </c:pt>
              </c:numCache>
            </c:numRef>
          </c:val>
          <c:extLst>
            <c:ext xmlns:c16="http://schemas.microsoft.com/office/drawing/2014/chart" uri="{C3380CC4-5D6E-409C-BE32-E72D297353CC}">
              <c16:uniqueId val="{00000004-200F-4A56-B5D7-959B8457DAAE}"/>
            </c:ext>
          </c:extLst>
        </c:ser>
        <c:ser>
          <c:idx val="1"/>
          <c:order val="5"/>
          <c:tx>
            <c:strRef>
              <c:f>'GWP-LTIB (Final)'!$AP$4</c:f>
              <c:strCache>
                <c:ptCount val="1"/>
                <c:pt idx="0">
                  <c:v>2013(b)</c:v>
                </c:pt>
              </c:strCache>
            </c:strRef>
          </c:tx>
          <c:invertIfNegative val="0"/>
          <c:cat>
            <c:strRef>
              <c:f>'GWP-LTIB (Final)'!$AI$7:$AI$14</c:f>
              <c:strCache>
                <c:ptCount val="8"/>
                <c:pt idx="0">
                  <c:v>Ceylinco</c:v>
                </c:pt>
                <c:pt idx="1">
                  <c:v>SLIC</c:v>
                </c:pt>
                <c:pt idx="2">
                  <c:v>AIA</c:v>
                </c:pt>
                <c:pt idx="3">
                  <c:v>UAL</c:v>
                </c:pt>
                <c:pt idx="4">
                  <c:v>Asian Alliance</c:v>
                </c:pt>
                <c:pt idx="5">
                  <c:v>Others</c:v>
                </c:pt>
                <c:pt idx="7">
                  <c:v>Janashakthi</c:v>
                </c:pt>
              </c:strCache>
            </c:strRef>
          </c:cat>
          <c:val>
            <c:numRef>
              <c:f>'GWP-LTIB (Final)'!$AP$7:$AP$11</c:f>
              <c:numCache>
                <c:formatCode>_(* #,##0.00_);_(* \(#,##0.00\);_(* "-"??_);_(@_)</c:formatCode>
                <c:ptCount val="5"/>
                <c:pt idx="0">
                  <c:v>26.928215698595199</c:v>
                </c:pt>
                <c:pt idx="1">
                  <c:v>19.537136580879157</c:v>
                </c:pt>
                <c:pt idx="2">
                  <c:v>16.615226841919561</c:v>
                </c:pt>
                <c:pt idx="3">
                  <c:v>13.351798813628616</c:v>
                </c:pt>
                <c:pt idx="4">
                  <c:v>6.1015280459005394</c:v>
                </c:pt>
              </c:numCache>
            </c:numRef>
          </c:val>
          <c:extLst>
            <c:ext xmlns:c16="http://schemas.microsoft.com/office/drawing/2014/chart" uri="{C3380CC4-5D6E-409C-BE32-E72D297353CC}">
              <c16:uniqueId val="{00000005-200F-4A56-B5D7-959B8457DAAE}"/>
            </c:ext>
          </c:extLst>
        </c:ser>
        <c:dLbls>
          <c:showLegendKey val="0"/>
          <c:showVal val="0"/>
          <c:showCatName val="0"/>
          <c:showSerName val="0"/>
          <c:showPercent val="0"/>
          <c:showBubbleSize val="0"/>
        </c:dLbls>
        <c:gapWidth val="150"/>
        <c:axId val="65030784"/>
        <c:axId val="65036672"/>
      </c:barChart>
      <c:catAx>
        <c:axId val="65030784"/>
        <c:scaling>
          <c:orientation val="minMax"/>
        </c:scaling>
        <c:delete val="0"/>
        <c:axPos val="b"/>
        <c:numFmt formatCode="General" sourceLinked="1"/>
        <c:majorTickMark val="none"/>
        <c:minorTickMark val="none"/>
        <c:tickLblPos val="nextTo"/>
        <c:txPr>
          <a:bodyPr rot="0" vert="horz"/>
          <a:lstStyle/>
          <a:p>
            <a:pPr>
              <a:defRPr/>
            </a:pPr>
            <a:endParaRPr lang="en-US"/>
          </a:p>
        </c:txPr>
        <c:crossAx val="65036672"/>
        <c:crosses val="autoZero"/>
        <c:auto val="1"/>
        <c:lblAlgn val="ctr"/>
        <c:lblOffset val="100"/>
        <c:noMultiLvlLbl val="0"/>
      </c:catAx>
      <c:valAx>
        <c:axId val="65036672"/>
        <c:scaling>
          <c:orientation val="minMax"/>
        </c:scaling>
        <c:delete val="0"/>
        <c:axPos val="l"/>
        <c:majorGridlines/>
        <c:numFmt formatCode="_(* #,##0_);_(* \(#,##0\);_(* &quot;-&quot;_);_(@_)" sourceLinked="0"/>
        <c:majorTickMark val="none"/>
        <c:minorTickMark val="none"/>
        <c:tickLblPos val="nextTo"/>
        <c:txPr>
          <a:bodyPr rot="0" vert="horz"/>
          <a:lstStyle/>
          <a:p>
            <a:pPr>
              <a:defRPr/>
            </a:pPr>
            <a:endParaRPr lang="en-US"/>
          </a:p>
        </c:txPr>
        <c:crossAx val="65030784"/>
        <c:crosses val="autoZero"/>
        <c:crossBetween val="between"/>
      </c:valAx>
      <c:dTable>
        <c:showHorzBorder val="1"/>
        <c:showVertBorder val="1"/>
        <c:showOutline val="1"/>
        <c:showKeys val="1"/>
      </c:dTable>
    </c:plotArea>
    <c:plotVisOnly val="1"/>
    <c:dispBlanksAs val="gap"/>
    <c:showDLblsOverMax val="0"/>
  </c:chart>
  <c:spPr>
    <a:noFill/>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latin typeface="Tahoma" pitchFamily="34" charset="0"/>
                <a:ea typeface="Tahoma" pitchFamily="34" charset="0"/>
                <a:cs typeface="Tahoma" pitchFamily="34" charset="0"/>
              </a:defRPr>
            </a:pPr>
            <a:r>
              <a:rPr lang="en-US" sz="1000">
                <a:latin typeface="Tahoma" pitchFamily="34" charset="0"/>
                <a:ea typeface="Tahoma" pitchFamily="34" charset="0"/>
                <a:cs typeface="Tahoma" pitchFamily="34" charset="0"/>
              </a:rPr>
              <a:t>Company-wise Market Share of Gross Written Premium - Long Term Insurance Business 2013</a:t>
            </a:r>
          </a:p>
        </c:rich>
      </c:tx>
      <c:overlay val="0"/>
    </c:title>
    <c:autoTitleDeleted val="0"/>
    <c:plotArea>
      <c:layout>
        <c:manualLayout>
          <c:layoutTarget val="inner"/>
          <c:xMode val="edge"/>
          <c:yMode val="edge"/>
          <c:x val="0.20222778511067621"/>
          <c:y val="0.27573418480170275"/>
          <c:w val="0.61352752871208949"/>
          <c:h val="0.62681257362514764"/>
        </c:manualLayout>
      </c:layout>
      <c:pieChart>
        <c:varyColors val="1"/>
        <c:ser>
          <c:idx val="0"/>
          <c:order val="0"/>
          <c:tx>
            <c:strRef>
              <c:f>'GWP-LTIB (Final)'!$R$5:$R$6</c:f>
              <c:strCache>
                <c:ptCount val="2"/>
                <c:pt idx="0">
                  <c:v>Market Share</c:v>
                </c:pt>
                <c:pt idx="1">
                  <c:v>(%)</c:v>
                </c:pt>
              </c:strCache>
            </c:strRef>
          </c:tx>
          <c:spPr>
            <a:ln>
              <a:noFill/>
            </a:ln>
          </c:spPr>
          <c:dLbls>
            <c:dLbl>
              <c:idx val="0"/>
              <c:layout>
                <c:manualLayout>
                  <c:x val="-3.5285540951481648E-2"/>
                  <c:y val="-6.6905573811147631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A6D-414F-B940-E701A9D5F8B5}"/>
                </c:ext>
              </c:extLst>
            </c:dLbl>
            <c:dLbl>
              <c:idx val="1"/>
              <c:layout>
                <c:manualLayout>
                  <c:x val="7.0145245383978747E-2"/>
                  <c:y val="-9.045694091389128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A6D-414F-B940-E701A9D5F8B5}"/>
                </c:ext>
              </c:extLst>
            </c:dLbl>
            <c:dLbl>
              <c:idx val="2"/>
              <c:layout>
                <c:manualLayout>
                  <c:x val="1.3856033953202659E-2"/>
                  <c:y val="-7.9194825056319133E-3"/>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A6D-414F-B940-E701A9D5F8B5}"/>
                </c:ext>
              </c:extLst>
            </c:dLbl>
            <c:dLbl>
              <c:idx val="3"/>
              <c:layout>
                <c:manualLayout>
                  <c:x val="7.2824746036339302E-2"/>
                  <c:y val="5.5626511253022523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A6D-414F-B940-E701A9D5F8B5}"/>
                </c:ext>
              </c:extLst>
            </c:dLbl>
            <c:dLbl>
              <c:idx val="4"/>
              <c:layout>
                <c:manualLayout>
                  <c:x val="7.7365377683689014E-3"/>
                  <c:y val="7.3778700890735113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7A6D-414F-B940-E701A9D5F8B5}"/>
                </c:ext>
              </c:extLst>
            </c:dLbl>
            <c:dLbl>
              <c:idx val="5"/>
              <c:layout>
                <c:manualLayout>
                  <c:x val="4.5029862596653245E-2"/>
                  <c:y val="5.9408725484117714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A6D-414F-B940-E701A9D5F8B5}"/>
                </c:ext>
              </c:extLst>
            </c:dLbl>
            <c:dLbl>
              <c:idx val="6"/>
              <c:layout>
                <c:manualLayout>
                  <c:x val="8.3605090949705266E-2"/>
                  <c:y val="2.6991753983507991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7A6D-414F-B940-E701A9D5F8B5}"/>
                </c:ext>
              </c:extLst>
            </c:dLbl>
            <c:dLbl>
              <c:idx val="7"/>
              <c:layout>
                <c:manualLayout>
                  <c:x val="-2.3815876980561212E-2"/>
                  <c:y val="3.633103932874540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7A6D-414F-B940-E701A9D5F8B5}"/>
                </c:ext>
              </c:extLst>
            </c:dLbl>
            <c:dLbl>
              <c:idx val="8"/>
              <c:layout>
                <c:manualLayout>
                  <c:x val="-6.2579460804393722E-2"/>
                  <c:y val="8.9984706636080006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7A6D-414F-B940-E701A9D5F8B5}"/>
                </c:ext>
              </c:extLst>
            </c:dLbl>
            <c:dLbl>
              <c:idx val="9"/>
              <c:layout>
                <c:manualLayout>
                  <c:x val="-0.12517058320526867"/>
                  <c:y val="7.0083079443184579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7A6D-414F-B940-E701A9D5F8B5}"/>
                </c:ext>
              </c:extLst>
            </c:dLbl>
            <c:dLbl>
              <c:idx val="10"/>
              <c:layout>
                <c:manualLayout>
                  <c:x val="-0.14117079659046491"/>
                  <c:y val="-8.7554508442351728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A-7A6D-414F-B940-E701A9D5F8B5}"/>
                </c:ext>
              </c:extLst>
            </c:dLbl>
            <c:dLbl>
              <c:idx val="11"/>
              <c:layout>
                <c:manualLayout>
                  <c:x val="-0.13181193743431974"/>
                  <c:y val="-7.594725856118377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7A6D-414F-B940-E701A9D5F8B5}"/>
                </c:ext>
              </c:extLst>
            </c:dLbl>
            <c:dLbl>
              <c:idx val="12"/>
              <c:layout>
                <c:manualLayout>
                  <c:x val="-0.13264939561471645"/>
                  <c:y val="-0.14759852853040206"/>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7A6D-414F-B940-E701A9D5F8B5}"/>
                </c:ext>
              </c:extLst>
            </c:dLbl>
            <c:dLbl>
              <c:idx val="13"/>
              <c:layout>
                <c:manualLayout>
                  <c:x val="-8.8021260312062755E-2"/>
                  <c:y val="-1.3485768824351501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7A6D-414F-B940-E701A9D5F8B5}"/>
                </c:ext>
              </c:extLst>
            </c:dLbl>
            <c:dLbl>
              <c:idx val="14"/>
              <c:layout>
                <c:manualLayout>
                  <c:x val="-0.17775354483010741"/>
                  <c:y val="-3.2050550767768186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E-7A6D-414F-B940-E701A9D5F8B5}"/>
                </c:ext>
              </c:extLst>
            </c:dLbl>
            <c:numFmt formatCode="0.00%" sourceLinked="0"/>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'GWP-LTIB (Final)'!$F$7:$F$21</c:f>
              <c:strCache>
                <c:ptCount val="15"/>
                <c:pt idx="0">
                  <c:v>AIA</c:v>
                </c:pt>
                <c:pt idx="1">
                  <c:v>Allianz Life</c:v>
                </c:pt>
                <c:pt idx="2">
                  <c:v>Amana Takaful</c:v>
                </c:pt>
                <c:pt idx="3">
                  <c:v>Arpico</c:v>
                </c:pt>
                <c:pt idx="4">
                  <c:v>Asian Alliance</c:v>
                </c:pt>
                <c:pt idx="5">
                  <c:v>Ceylinco</c:v>
                </c:pt>
                <c:pt idx="6">
                  <c:v>Cooperative</c:v>
                </c:pt>
                <c:pt idx="7">
                  <c:v>HNBA</c:v>
                </c:pt>
                <c:pt idx="8">
                  <c:v>Janashakthi</c:v>
                </c:pt>
                <c:pt idx="9">
                  <c:v>LIC</c:v>
                </c:pt>
                <c:pt idx="10">
                  <c:v>LOLC</c:v>
                </c:pt>
                <c:pt idx="11">
                  <c:v>MBSL</c:v>
                </c:pt>
                <c:pt idx="12">
                  <c:v>Sanasa</c:v>
                </c:pt>
                <c:pt idx="13">
                  <c:v>SLIC</c:v>
                </c:pt>
                <c:pt idx="14">
                  <c:v>UAL</c:v>
                </c:pt>
              </c:strCache>
            </c:strRef>
          </c:cat>
          <c:val>
            <c:numRef>
              <c:f>'GWP-LTIB (Final)'!$R$7:$R$21</c:f>
              <c:numCache>
                <c:formatCode>_(* #,##0.00_);_(* \(#,##0.00\);_(* "-"??_);_(@_)</c:formatCode>
                <c:ptCount val="15"/>
                <c:pt idx="0">
                  <c:v>16.615226841919561</c:v>
                </c:pt>
                <c:pt idx="1">
                  <c:v>2.006475014364153</c:v>
                </c:pt>
                <c:pt idx="2">
                  <c:v>1.3145528879014354</c:v>
                </c:pt>
                <c:pt idx="3">
                  <c:v>0.49991625858276723</c:v>
                </c:pt>
                <c:pt idx="4">
                  <c:v>6.1015280459005394</c:v>
                </c:pt>
                <c:pt idx="5">
                  <c:v>26.928215698595199</c:v>
                </c:pt>
                <c:pt idx="6">
                  <c:v>0.81822950499463643</c:v>
                </c:pt>
                <c:pt idx="7">
                  <c:v>4.8771566606943724</c:v>
                </c:pt>
                <c:pt idx="8">
                  <c:v>5.2063104940042386</c:v>
                </c:pt>
                <c:pt idx="9">
                  <c:v>0.78127588002960568</c:v>
                </c:pt>
                <c:pt idx="10">
                  <c:v>0.66527662391356546</c:v>
                </c:pt>
                <c:pt idx="11">
                  <c:v>0.60940530421107708</c:v>
                </c:pt>
                <c:pt idx="12">
                  <c:v>0.68749539038107976</c:v>
                </c:pt>
                <c:pt idx="13">
                  <c:v>19.537136580879157</c:v>
                </c:pt>
                <c:pt idx="14">
                  <c:v>13.351798813628616</c:v>
                </c:pt>
              </c:numCache>
            </c:numRef>
          </c:val>
          <c:extLst>
            <c:ext xmlns:c16="http://schemas.microsoft.com/office/drawing/2014/chart" uri="{C3380CC4-5D6E-409C-BE32-E72D297353CC}">
              <c16:uniqueId val="{0000000F-7A6D-414F-B940-E701A9D5F8B5}"/>
            </c:ext>
          </c:extLst>
        </c:ser>
        <c:dLbls>
          <c:showLegendKey val="0"/>
          <c:showVal val="0"/>
          <c:showCatName val="1"/>
          <c:showSerName val="0"/>
          <c:showPercent val="1"/>
          <c:showBubbleSize val="0"/>
          <c:showLeaderLines val="1"/>
        </c:dLbls>
        <c:firstSliceAng val="0"/>
      </c:pieChart>
      <c:spPr>
        <a:noFill/>
        <a:ln w="25400">
          <a:noFill/>
        </a:ln>
      </c:spPr>
    </c:plotArea>
    <c:plotVisOnly val="1"/>
    <c:dispBlanksAs val="zero"/>
    <c:showDLblsOverMax val="0"/>
  </c:chart>
  <c:spPr>
    <a:noFill/>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hart>
    <c:title>
      <c:tx>
        <c:rich>
          <a:bodyPr/>
          <a:lstStyle/>
          <a:p>
            <a:pPr>
              <a:defRPr sz="1000">
                <a:latin typeface="Tahoma" pitchFamily="34" charset="0"/>
                <a:ea typeface="Tahoma" pitchFamily="34" charset="0"/>
                <a:cs typeface="Tahoma" pitchFamily="34" charset="0"/>
              </a:defRPr>
            </a:pPr>
            <a:r>
              <a:rPr lang="en-US" sz="1000" b="1" i="0" u="none" strike="noStrike" baseline="0"/>
              <a:t>Market Share of </a:t>
            </a:r>
            <a:r>
              <a:rPr lang="en-US" sz="1000">
                <a:latin typeface="Tahoma" pitchFamily="34" charset="0"/>
                <a:ea typeface="Tahoma" pitchFamily="34" charset="0"/>
                <a:cs typeface="Tahoma" pitchFamily="34" charset="0"/>
              </a:rPr>
              <a:t>Top Five GWP generators </a:t>
            </a:r>
            <a:r>
              <a:rPr lang="en-US" sz="1000" baseline="0">
                <a:latin typeface="Tahoma" pitchFamily="34" charset="0"/>
                <a:ea typeface="Tahoma" pitchFamily="34" charset="0"/>
                <a:cs typeface="Tahoma" pitchFamily="34" charset="0"/>
              </a:rPr>
              <a:t>in 2013 - </a:t>
            </a:r>
            <a:r>
              <a:rPr lang="en-US" sz="1000" b="1" i="0" u="none" strike="noStrike" baseline="0"/>
              <a:t>Long Term Insurance Business</a:t>
            </a:r>
            <a:r>
              <a:rPr lang="en-US" sz="1000" baseline="0">
                <a:latin typeface="Tahoma" pitchFamily="34" charset="0"/>
                <a:ea typeface="Tahoma" pitchFamily="34" charset="0"/>
                <a:cs typeface="Tahoma" pitchFamily="34" charset="0"/>
              </a:rPr>
              <a:t> </a:t>
            </a:r>
            <a:endParaRPr lang="en-US" sz="1000">
              <a:latin typeface="Tahoma" pitchFamily="34" charset="0"/>
              <a:ea typeface="Tahoma" pitchFamily="34" charset="0"/>
              <a:cs typeface="Tahoma" pitchFamily="34" charset="0"/>
            </a:endParaRPr>
          </a:p>
        </c:rich>
      </c:tx>
      <c:overlay val="0"/>
    </c:title>
    <c:autoTitleDeleted val="0"/>
    <c:plotArea>
      <c:layout/>
      <c:barChart>
        <c:barDir val="col"/>
        <c:grouping val="clustered"/>
        <c:varyColors val="0"/>
        <c:ser>
          <c:idx val="0"/>
          <c:order val="0"/>
          <c:invertIfNegative val="0"/>
          <c:cat>
            <c:strRef>
              <c:f>'GWP-LTIB (Final)'!$AI$7:$AI$12</c:f>
              <c:strCache>
                <c:ptCount val="6"/>
                <c:pt idx="0">
                  <c:v>Ceylinco</c:v>
                </c:pt>
                <c:pt idx="1">
                  <c:v>SLIC</c:v>
                </c:pt>
                <c:pt idx="2">
                  <c:v>AIA</c:v>
                </c:pt>
                <c:pt idx="3">
                  <c:v>UAL</c:v>
                </c:pt>
                <c:pt idx="4">
                  <c:v>Asian Alliance</c:v>
                </c:pt>
                <c:pt idx="5">
                  <c:v>Others</c:v>
                </c:pt>
              </c:strCache>
            </c:strRef>
          </c:cat>
          <c:val>
            <c:numRef>
              <c:f>'GWP-LTIB (Final)'!$AH$7:$AH$12</c:f>
            </c:numRef>
          </c:val>
          <c:extLst>
            <c:ext xmlns:c16="http://schemas.microsoft.com/office/drawing/2014/chart" uri="{C3380CC4-5D6E-409C-BE32-E72D297353CC}">
              <c16:uniqueId val="{00000000-B0DF-4955-9C6E-FA3FAF5926CD}"/>
            </c:ext>
          </c:extLst>
        </c:ser>
        <c:ser>
          <c:idx val="3"/>
          <c:order val="1"/>
          <c:tx>
            <c:strRef>
              <c:f>'GWP-LTIB (Final)'!$AL$4</c:f>
              <c:strCache>
                <c:ptCount val="1"/>
                <c:pt idx="0">
                  <c:v>2009</c:v>
                </c:pt>
              </c:strCache>
            </c:strRef>
          </c:tx>
          <c:invertIfNegative val="0"/>
          <c:cat>
            <c:strRef>
              <c:f>'GWP-LTIB (Final)'!$AI$7:$AI$12</c:f>
              <c:strCache>
                <c:ptCount val="6"/>
                <c:pt idx="0">
                  <c:v>Ceylinco</c:v>
                </c:pt>
                <c:pt idx="1">
                  <c:v>SLIC</c:v>
                </c:pt>
                <c:pt idx="2">
                  <c:v>AIA</c:v>
                </c:pt>
                <c:pt idx="3">
                  <c:v>UAL</c:v>
                </c:pt>
                <c:pt idx="4">
                  <c:v>Asian Alliance</c:v>
                </c:pt>
                <c:pt idx="5">
                  <c:v>Others</c:v>
                </c:pt>
              </c:strCache>
            </c:strRef>
          </c:cat>
          <c:val>
            <c:numRef>
              <c:f>'GWP-LTIB (Final)'!$AL$7:$AL$12</c:f>
              <c:numCache>
                <c:formatCode>_(* #,##0.00_);_(* \(#,##0.00\);_(* "-"??_);_(@_)</c:formatCode>
                <c:ptCount val="6"/>
                <c:pt idx="0">
                  <c:v>31.3364787834136</c:v>
                </c:pt>
                <c:pt idx="1">
                  <c:v>20.07854919055319</c:v>
                </c:pt>
                <c:pt idx="2">
                  <c:v>19.298005165339198</c:v>
                </c:pt>
                <c:pt idx="3">
                  <c:v>11.57334590733336</c:v>
                </c:pt>
                <c:pt idx="4">
                  <c:v>4.2034166182738391</c:v>
                </c:pt>
                <c:pt idx="5">
                  <c:v>13.510204335086812</c:v>
                </c:pt>
              </c:numCache>
            </c:numRef>
          </c:val>
          <c:extLst>
            <c:ext xmlns:c16="http://schemas.microsoft.com/office/drawing/2014/chart" uri="{C3380CC4-5D6E-409C-BE32-E72D297353CC}">
              <c16:uniqueId val="{00000001-B0DF-4955-9C6E-FA3FAF5926CD}"/>
            </c:ext>
          </c:extLst>
        </c:ser>
        <c:ser>
          <c:idx val="4"/>
          <c:order val="2"/>
          <c:tx>
            <c:strRef>
              <c:f>'GWP-LTIB (Final)'!$AM$4</c:f>
              <c:strCache>
                <c:ptCount val="1"/>
                <c:pt idx="0">
                  <c:v>2010</c:v>
                </c:pt>
              </c:strCache>
            </c:strRef>
          </c:tx>
          <c:invertIfNegative val="0"/>
          <c:cat>
            <c:strRef>
              <c:f>'GWP-LTIB (Final)'!$AI$7:$AI$12</c:f>
              <c:strCache>
                <c:ptCount val="6"/>
                <c:pt idx="0">
                  <c:v>Ceylinco</c:v>
                </c:pt>
                <c:pt idx="1">
                  <c:v>SLIC</c:v>
                </c:pt>
                <c:pt idx="2">
                  <c:v>AIA</c:v>
                </c:pt>
                <c:pt idx="3">
                  <c:v>UAL</c:v>
                </c:pt>
                <c:pt idx="4">
                  <c:v>Asian Alliance</c:v>
                </c:pt>
                <c:pt idx="5">
                  <c:v>Others</c:v>
                </c:pt>
              </c:strCache>
            </c:strRef>
          </c:cat>
          <c:val>
            <c:numRef>
              <c:f>'GWP-LTIB (Final)'!$AM$7:$AM$12</c:f>
              <c:numCache>
                <c:formatCode>_(* #,##0.00_);_(* \(#,##0.00\);_(* "-"??_);_(@_)</c:formatCode>
                <c:ptCount val="6"/>
                <c:pt idx="0">
                  <c:v>28.213954352239309</c:v>
                </c:pt>
                <c:pt idx="1">
                  <c:v>19.29199565899334</c:v>
                </c:pt>
                <c:pt idx="2">
                  <c:v>24.986850325428559</c:v>
                </c:pt>
                <c:pt idx="3">
                  <c:v>11.124471874667895</c:v>
                </c:pt>
                <c:pt idx="4">
                  <c:v>3.9888449603793239</c:v>
                </c:pt>
                <c:pt idx="5">
                  <c:v>12.393882828291581</c:v>
                </c:pt>
              </c:numCache>
            </c:numRef>
          </c:val>
          <c:extLst>
            <c:ext xmlns:c16="http://schemas.microsoft.com/office/drawing/2014/chart" uri="{C3380CC4-5D6E-409C-BE32-E72D297353CC}">
              <c16:uniqueId val="{00000002-B0DF-4955-9C6E-FA3FAF5926CD}"/>
            </c:ext>
          </c:extLst>
        </c:ser>
        <c:ser>
          <c:idx val="5"/>
          <c:order val="3"/>
          <c:tx>
            <c:strRef>
              <c:f>'GWP-LTIB (Final)'!$AN$4</c:f>
              <c:strCache>
                <c:ptCount val="1"/>
                <c:pt idx="0">
                  <c:v>2011</c:v>
                </c:pt>
              </c:strCache>
            </c:strRef>
          </c:tx>
          <c:invertIfNegative val="0"/>
          <c:cat>
            <c:strRef>
              <c:f>'GWP-LTIB (Final)'!$AI$7:$AI$12</c:f>
              <c:strCache>
                <c:ptCount val="6"/>
                <c:pt idx="0">
                  <c:v>Ceylinco</c:v>
                </c:pt>
                <c:pt idx="1">
                  <c:v>SLIC</c:v>
                </c:pt>
                <c:pt idx="2">
                  <c:v>AIA</c:v>
                </c:pt>
                <c:pt idx="3">
                  <c:v>UAL</c:v>
                </c:pt>
                <c:pt idx="4">
                  <c:v>Asian Alliance</c:v>
                </c:pt>
                <c:pt idx="5">
                  <c:v>Others</c:v>
                </c:pt>
              </c:strCache>
            </c:strRef>
          </c:cat>
          <c:val>
            <c:numRef>
              <c:f>'GWP-LTIB (Final)'!$AN$7:$AN$12</c:f>
              <c:numCache>
                <c:formatCode>_(* #,##0.00_);_(* \(#,##0.00\);_(* "-"??_);_(@_)</c:formatCode>
                <c:ptCount val="6"/>
                <c:pt idx="0">
                  <c:v>27.906454891618385</c:v>
                </c:pt>
                <c:pt idx="1">
                  <c:v>19.177240244143764</c:v>
                </c:pt>
                <c:pt idx="2">
                  <c:v>22.315226302988211</c:v>
                </c:pt>
                <c:pt idx="3">
                  <c:v>12.717267885394786</c:v>
                </c:pt>
                <c:pt idx="4">
                  <c:v>4.4912042489405346</c:v>
                </c:pt>
                <c:pt idx="5">
                  <c:v>13.392606426914313</c:v>
                </c:pt>
              </c:numCache>
            </c:numRef>
          </c:val>
          <c:extLst>
            <c:ext xmlns:c16="http://schemas.microsoft.com/office/drawing/2014/chart" uri="{C3380CC4-5D6E-409C-BE32-E72D297353CC}">
              <c16:uniqueId val="{00000003-B0DF-4955-9C6E-FA3FAF5926CD}"/>
            </c:ext>
          </c:extLst>
        </c:ser>
        <c:ser>
          <c:idx val="6"/>
          <c:order val="4"/>
          <c:tx>
            <c:strRef>
              <c:f>'GWP-LTIB (Final)'!$AO$4</c:f>
              <c:strCache>
                <c:ptCount val="1"/>
                <c:pt idx="0">
                  <c:v>2012(a)</c:v>
                </c:pt>
              </c:strCache>
            </c:strRef>
          </c:tx>
          <c:invertIfNegative val="0"/>
          <c:cat>
            <c:strRef>
              <c:f>'GWP-LTIB (Final)'!$AI$7:$AI$12</c:f>
              <c:strCache>
                <c:ptCount val="6"/>
                <c:pt idx="0">
                  <c:v>Ceylinco</c:v>
                </c:pt>
                <c:pt idx="1">
                  <c:v>SLIC</c:v>
                </c:pt>
                <c:pt idx="2">
                  <c:v>AIA</c:v>
                </c:pt>
                <c:pt idx="3">
                  <c:v>UAL</c:v>
                </c:pt>
                <c:pt idx="4">
                  <c:v>Asian Alliance</c:v>
                </c:pt>
                <c:pt idx="5">
                  <c:v>Others</c:v>
                </c:pt>
              </c:strCache>
            </c:strRef>
          </c:cat>
          <c:val>
            <c:numRef>
              <c:f>'GWP-LTIB (Final)'!$AO$7:$AO$12</c:f>
              <c:numCache>
                <c:formatCode>_(* #,##0.00_);_(* \(#,##0.00\);_(* "-"??_);_(@_)</c:formatCode>
                <c:ptCount val="6"/>
                <c:pt idx="0">
                  <c:v>28.896534236025325</c:v>
                </c:pt>
                <c:pt idx="1">
                  <c:v>19.662962850370686</c:v>
                </c:pt>
                <c:pt idx="2">
                  <c:v>17.333066860338516</c:v>
                </c:pt>
                <c:pt idx="3">
                  <c:v>13.625323989973982</c:v>
                </c:pt>
                <c:pt idx="4">
                  <c:v>5.4275950665130734</c:v>
                </c:pt>
                <c:pt idx="5">
                  <c:v>15.054516996778418</c:v>
                </c:pt>
              </c:numCache>
            </c:numRef>
          </c:val>
          <c:extLst>
            <c:ext xmlns:c16="http://schemas.microsoft.com/office/drawing/2014/chart" uri="{C3380CC4-5D6E-409C-BE32-E72D297353CC}">
              <c16:uniqueId val="{00000004-B0DF-4955-9C6E-FA3FAF5926CD}"/>
            </c:ext>
          </c:extLst>
        </c:ser>
        <c:ser>
          <c:idx val="1"/>
          <c:order val="5"/>
          <c:tx>
            <c:strRef>
              <c:f>'GWP-LTIB (Final)'!$AP$4</c:f>
              <c:strCache>
                <c:ptCount val="1"/>
                <c:pt idx="0">
                  <c:v>2013(b)</c:v>
                </c:pt>
              </c:strCache>
            </c:strRef>
          </c:tx>
          <c:invertIfNegative val="0"/>
          <c:cat>
            <c:strRef>
              <c:f>'GWP-LTIB (Final)'!$AI$7:$AI$12</c:f>
              <c:strCache>
                <c:ptCount val="6"/>
                <c:pt idx="0">
                  <c:v>Ceylinco</c:v>
                </c:pt>
                <c:pt idx="1">
                  <c:v>SLIC</c:v>
                </c:pt>
                <c:pt idx="2">
                  <c:v>AIA</c:v>
                </c:pt>
                <c:pt idx="3">
                  <c:v>UAL</c:v>
                </c:pt>
                <c:pt idx="4">
                  <c:v>Asian Alliance</c:v>
                </c:pt>
                <c:pt idx="5">
                  <c:v>Others</c:v>
                </c:pt>
              </c:strCache>
            </c:strRef>
          </c:cat>
          <c:val>
            <c:numRef>
              <c:f>'GWP-LTIB (Final)'!$AP$7:$AP$12</c:f>
              <c:numCache>
                <c:formatCode>_(* #,##0.00_);_(* \(#,##0.00\);_(* "-"??_);_(@_)</c:formatCode>
                <c:ptCount val="6"/>
                <c:pt idx="0">
                  <c:v>26.928215698595199</c:v>
                </c:pt>
                <c:pt idx="1">
                  <c:v>19.537136580879157</c:v>
                </c:pt>
                <c:pt idx="2">
                  <c:v>16.615226841919561</c:v>
                </c:pt>
                <c:pt idx="3">
                  <c:v>13.351798813628616</c:v>
                </c:pt>
                <c:pt idx="4">
                  <c:v>6.1015280459005394</c:v>
                </c:pt>
                <c:pt idx="5">
                  <c:v>17.46609401907692</c:v>
                </c:pt>
              </c:numCache>
            </c:numRef>
          </c:val>
          <c:extLst>
            <c:ext xmlns:c16="http://schemas.microsoft.com/office/drawing/2014/chart" uri="{C3380CC4-5D6E-409C-BE32-E72D297353CC}">
              <c16:uniqueId val="{00000005-B0DF-4955-9C6E-FA3FAF5926CD}"/>
            </c:ext>
          </c:extLst>
        </c:ser>
        <c:dLbls>
          <c:showLegendKey val="0"/>
          <c:showVal val="0"/>
          <c:showCatName val="0"/>
          <c:showSerName val="0"/>
          <c:showPercent val="0"/>
          <c:showBubbleSize val="0"/>
        </c:dLbls>
        <c:gapWidth val="150"/>
        <c:axId val="76861824"/>
        <c:axId val="76863360"/>
      </c:barChart>
      <c:catAx>
        <c:axId val="76861824"/>
        <c:scaling>
          <c:orientation val="minMax"/>
        </c:scaling>
        <c:delete val="0"/>
        <c:axPos val="b"/>
        <c:numFmt formatCode="General" sourceLinked="1"/>
        <c:majorTickMark val="none"/>
        <c:minorTickMark val="none"/>
        <c:tickLblPos val="nextTo"/>
        <c:txPr>
          <a:bodyPr rot="0" vert="horz"/>
          <a:lstStyle/>
          <a:p>
            <a:pPr>
              <a:defRPr/>
            </a:pPr>
            <a:endParaRPr lang="en-US"/>
          </a:p>
        </c:txPr>
        <c:crossAx val="76863360"/>
        <c:crosses val="autoZero"/>
        <c:auto val="1"/>
        <c:lblAlgn val="ctr"/>
        <c:lblOffset val="100"/>
        <c:noMultiLvlLbl val="0"/>
      </c:catAx>
      <c:valAx>
        <c:axId val="76863360"/>
        <c:scaling>
          <c:orientation val="minMax"/>
        </c:scaling>
        <c:delete val="0"/>
        <c:axPos val="l"/>
        <c:majorGridlines/>
        <c:numFmt formatCode="_(* #,##0_);_(* \(#,##0\);_(* &quot;-&quot;_);_(@_)" sourceLinked="0"/>
        <c:majorTickMark val="none"/>
        <c:minorTickMark val="none"/>
        <c:tickLblPos val="nextTo"/>
        <c:txPr>
          <a:bodyPr rot="0" vert="horz"/>
          <a:lstStyle/>
          <a:p>
            <a:pPr>
              <a:defRPr/>
            </a:pPr>
            <a:endParaRPr lang="en-US"/>
          </a:p>
        </c:txPr>
        <c:crossAx val="76861824"/>
        <c:crosses val="autoZero"/>
        <c:crossBetween val="between"/>
      </c:valAx>
      <c:dTable>
        <c:showHorzBorder val="1"/>
        <c:showVertBorder val="1"/>
        <c:showOutline val="1"/>
        <c:showKeys val="1"/>
      </c:dTable>
    </c:plotArea>
    <c:plotVisOnly val="1"/>
    <c:dispBlanksAs val="gap"/>
    <c:showDLblsOverMax val="0"/>
  </c:chart>
  <c:spPr>
    <a:noFill/>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hart>
    <c:title>
      <c:tx>
        <c:rich>
          <a:bodyPr/>
          <a:lstStyle/>
          <a:p>
            <a:pPr>
              <a:defRPr sz="1000">
                <a:latin typeface="Tahoma" pitchFamily="34" charset="0"/>
                <a:ea typeface="Tahoma" pitchFamily="34" charset="0"/>
                <a:cs typeface="Tahoma" pitchFamily="34" charset="0"/>
              </a:defRPr>
            </a:pPr>
            <a:r>
              <a:rPr lang="en-US" sz="1000">
                <a:latin typeface="Tahoma" pitchFamily="34" charset="0"/>
                <a:ea typeface="Tahoma" pitchFamily="34" charset="0"/>
                <a:cs typeface="Tahoma" pitchFamily="34" charset="0"/>
              </a:rPr>
              <a:t>Gross Written</a:t>
            </a:r>
            <a:r>
              <a:rPr lang="en-US" sz="1000" baseline="0">
                <a:latin typeface="Tahoma" pitchFamily="34" charset="0"/>
                <a:ea typeface="Tahoma" pitchFamily="34" charset="0"/>
                <a:cs typeface="Tahoma" pitchFamily="34" charset="0"/>
              </a:rPr>
              <a:t> </a:t>
            </a:r>
            <a:r>
              <a:rPr lang="en-US" sz="1000">
                <a:latin typeface="Tahoma" pitchFamily="34" charset="0"/>
                <a:ea typeface="Tahoma" pitchFamily="34" charset="0"/>
                <a:cs typeface="Tahoma" pitchFamily="34" charset="0"/>
              </a:rPr>
              <a:t>Premium - General Insurance Business </a:t>
            </a:r>
          </a:p>
        </c:rich>
      </c:tx>
      <c:overlay val="0"/>
    </c:title>
    <c:autoTitleDeleted val="0"/>
    <c:plotArea>
      <c:layout>
        <c:manualLayout>
          <c:layoutTarget val="inner"/>
          <c:xMode val="edge"/>
          <c:yMode val="edge"/>
          <c:x val="0.18870488322719256"/>
          <c:y val="0.10640926599157056"/>
          <c:w val="0.60836377618402793"/>
          <c:h val="0.71648692679487069"/>
        </c:manualLayout>
      </c:layout>
      <c:barChart>
        <c:barDir val="col"/>
        <c:grouping val="clustered"/>
        <c:varyColors val="0"/>
        <c:ser>
          <c:idx val="0"/>
          <c:order val="0"/>
          <c:tx>
            <c:strRef>
              <c:f>'GWP-GIB (Final)'!$B$110</c:f>
              <c:strCache>
                <c:ptCount val="1"/>
                <c:pt idx="0">
                  <c:v>Total</c:v>
                </c:pt>
              </c:strCache>
            </c:strRef>
          </c:tx>
          <c:invertIfNegative val="0"/>
          <c:cat>
            <c:strRef>
              <c:f>'GWP-GIB (Final)'!$I$89:$M$89</c:f>
              <c:strCache>
                <c:ptCount val="5"/>
                <c:pt idx="0">
                  <c:v>2009</c:v>
                </c:pt>
                <c:pt idx="1">
                  <c:v>2010</c:v>
                </c:pt>
                <c:pt idx="2">
                  <c:v>2011</c:v>
                </c:pt>
                <c:pt idx="3">
                  <c:v>2012(a)</c:v>
                </c:pt>
                <c:pt idx="4">
                  <c:v>2013(b)</c:v>
                </c:pt>
              </c:strCache>
            </c:strRef>
          </c:cat>
          <c:val>
            <c:numRef>
              <c:f>'GWP-GIB (Final)'!$I$110:$M$110</c:f>
              <c:numCache>
                <c:formatCode>_(* #,##0_);_(* \(#,##0\);_(* "-"??_);_(@_)</c:formatCode>
                <c:ptCount val="5"/>
                <c:pt idx="0">
                  <c:v>33548266.608081896</c:v>
                </c:pt>
                <c:pt idx="1">
                  <c:v>35101447.054907799</c:v>
                </c:pt>
                <c:pt idx="2">
                  <c:v>43328823.699211858</c:v>
                </c:pt>
                <c:pt idx="3">
                  <c:v>49694448.718635947</c:v>
                </c:pt>
                <c:pt idx="4">
                  <c:v>53177348.637200683</c:v>
                </c:pt>
              </c:numCache>
            </c:numRef>
          </c:val>
          <c:extLst>
            <c:ext xmlns:c16="http://schemas.microsoft.com/office/drawing/2014/chart" uri="{C3380CC4-5D6E-409C-BE32-E72D297353CC}">
              <c16:uniqueId val="{00000000-C718-4C80-BB6C-D79C1B8429B6}"/>
            </c:ext>
          </c:extLst>
        </c:ser>
        <c:dLbls>
          <c:showLegendKey val="0"/>
          <c:showVal val="0"/>
          <c:showCatName val="0"/>
          <c:showSerName val="0"/>
          <c:showPercent val="0"/>
          <c:showBubbleSize val="0"/>
        </c:dLbls>
        <c:gapWidth val="150"/>
        <c:axId val="83974016"/>
        <c:axId val="83975552"/>
      </c:barChart>
      <c:lineChart>
        <c:grouping val="stacked"/>
        <c:varyColors val="0"/>
        <c:ser>
          <c:idx val="1"/>
          <c:order val="1"/>
          <c:tx>
            <c:strRef>
              <c:f>'GWP-GIB (Final)'!$B$111:$B$112</c:f>
              <c:strCache>
                <c:ptCount val="1"/>
                <c:pt idx="0">
                  <c:v>Growth Rate (%)</c:v>
                </c:pt>
              </c:strCache>
            </c:strRef>
          </c:tx>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'GWP-GIB (Final)'!$J$89:$M$91</c:f>
              <c:multiLvlStrCache>
                <c:ptCount val="4"/>
                <c:lvl>
                  <c:pt idx="0">
                    <c:v>(Rs.'000)</c:v>
                  </c:pt>
                  <c:pt idx="1">
                    <c:v>(Rs.'000)</c:v>
                  </c:pt>
                  <c:pt idx="2">
                    <c:v>(Rs.'000)</c:v>
                  </c:pt>
                  <c:pt idx="3">
                    <c:v>(Rs.'000)</c:v>
                  </c:pt>
                </c:lvl>
                <c:lvl>
                  <c:pt idx="0">
                    <c:v>Premium</c:v>
                  </c:pt>
                  <c:pt idx="1">
                    <c:v>Premium</c:v>
                  </c:pt>
                  <c:pt idx="2">
                    <c:v>Premium</c:v>
                  </c:pt>
                  <c:pt idx="3">
                    <c:v>Premium</c:v>
                  </c:pt>
                </c:lvl>
                <c:lvl>
                  <c:pt idx="0">
                    <c:v>2010</c:v>
                  </c:pt>
                  <c:pt idx="1">
                    <c:v>2011</c:v>
                  </c:pt>
                  <c:pt idx="2">
                    <c:v>2012(a)</c:v>
                  </c:pt>
                  <c:pt idx="3">
                    <c:v>2013(b)</c:v>
                  </c:pt>
                </c:lvl>
              </c:multiLvlStrCache>
            </c:multiLvlStrRef>
          </c:cat>
          <c:val>
            <c:numRef>
              <c:f>'GWP-GIB (Final)'!$I$111:$M$111</c:f>
              <c:numCache>
                <c:formatCode>#,##0.00</c:formatCode>
                <c:ptCount val="5"/>
                <c:pt idx="0">
                  <c:v>-2.9225921372183294</c:v>
                </c:pt>
                <c:pt idx="1">
                  <c:v>4.6296891132125921</c:v>
                </c:pt>
                <c:pt idx="2">
                  <c:v>23.438853194383412</c:v>
                </c:pt>
                <c:pt idx="3">
                  <c:v>14.691432806055793</c:v>
                </c:pt>
                <c:pt idx="4" formatCode="_(* #,##0.00_);_(* \(#,##0.00\);_(* &quot;-&quot;??_);_(@_)">
                  <c:v>7.0086297531631789</c:v>
                </c:pt>
              </c:numCache>
            </c:numRef>
          </c:val>
          <c:smooth val="0"/>
          <c:extLst>
            <c:ext xmlns:c16="http://schemas.microsoft.com/office/drawing/2014/chart" uri="{C3380CC4-5D6E-409C-BE32-E72D297353CC}">
              <c16:uniqueId val="{00000001-C718-4C80-BB6C-D79C1B8429B6}"/>
            </c:ext>
          </c:extLst>
        </c:ser>
        <c:dLbls>
          <c:showLegendKey val="0"/>
          <c:showVal val="0"/>
          <c:showCatName val="0"/>
          <c:showSerName val="0"/>
          <c:showPercent val="0"/>
          <c:showBubbleSize val="0"/>
        </c:dLbls>
        <c:marker val="1"/>
        <c:smooth val="0"/>
        <c:axId val="83985920"/>
        <c:axId val="83987456"/>
      </c:lineChart>
      <c:catAx>
        <c:axId val="83974016"/>
        <c:scaling>
          <c:orientation val="minMax"/>
        </c:scaling>
        <c:delete val="0"/>
        <c:axPos val="b"/>
        <c:numFmt formatCode="General" sourceLinked="1"/>
        <c:majorTickMark val="none"/>
        <c:minorTickMark val="none"/>
        <c:tickLblPos val="nextTo"/>
        <c:txPr>
          <a:bodyPr rot="0" vert="horz"/>
          <a:lstStyle/>
          <a:p>
            <a:pPr>
              <a:defRPr/>
            </a:pPr>
            <a:endParaRPr lang="en-US"/>
          </a:p>
        </c:txPr>
        <c:crossAx val="83975552"/>
        <c:crosses val="autoZero"/>
        <c:auto val="1"/>
        <c:lblAlgn val="ctr"/>
        <c:lblOffset val="100"/>
        <c:noMultiLvlLbl val="0"/>
      </c:catAx>
      <c:valAx>
        <c:axId val="83975552"/>
        <c:scaling>
          <c:orientation val="minMax"/>
        </c:scaling>
        <c:delete val="0"/>
        <c:axPos val="l"/>
        <c:majorGridlines/>
        <c:title>
          <c:tx>
            <c:rich>
              <a:bodyPr/>
              <a:lstStyle/>
              <a:p>
                <a:pPr>
                  <a:defRPr/>
                </a:pPr>
                <a:r>
                  <a:rPr lang="en-US"/>
                  <a:t>Rs.'000 </a:t>
                </a:r>
              </a:p>
            </c:rich>
          </c:tx>
          <c:layout>
            <c:manualLayout>
              <c:xMode val="edge"/>
              <c:yMode val="edge"/>
              <c:x val="4.8518848538851786E-2"/>
              <c:y val="0.40362422968467215"/>
            </c:manualLayout>
          </c:layout>
          <c:overlay val="0"/>
        </c:title>
        <c:numFmt formatCode="_(* #,##0_);_(* \(#,##0\);_(* &quot;-&quot;??_);_(@_)" sourceLinked="1"/>
        <c:majorTickMark val="none"/>
        <c:minorTickMark val="none"/>
        <c:tickLblPos val="nextTo"/>
        <c:txPr>
          <a:bodyPr rot="0" vert="horz"/>
          <a:lstStyle/>
          <a:p>
            <a:pPr>
              <a:defRPr/>
            </a:pPr>
            <a:endParaRPr lang="en-US"/>
          </a:p>
        </c:txPr>
        <c:crossAx val="83974016"/>
        <c:crosses val="autoZero"/>
        <c:crossBetween val="between"/>
      </c:valAx>
      <c:catAx>
        <c:axId val="83985920"/>
        <c:scaling>
          <c:orientation val="minMax"/>
        </c:scaling>
        <c:delete val="1"/>
        <c:axPos val="b"/>
        <c:numFmt formatCode="General" sourceLinked="1"/>
        <c:majorTickMark val="out"/>
        <c:minorTickMark val="none"/>
        <c:tickLblPos val="none"/>
        <c:crossAx val="83987456"/>
        <c:crosses val="autoZero"/>
        <c:auto val="1"/>
        <c:lblAlgn val="ctr"/>
        <c:lblOffset val="100"/>
        <c:noMultiLvlLbl val="0"/>
      </c:catAx>
      <c:valAx>
        <c:axId val="83987456"/>
        <c:scaling>
          <c:orientation val="minMax"/>
        </c:scaling>
        <c:delete val="0"/>
        <c:axPos val="r"/>
        <c:numFmt formatCode="#,##0.00" sourceLinked="0"/>
        <c:majorTickMark val="out"/>
        <c:minorTickMark val="none"/>
        <c:tickLblPos val="nextTo"/>
        <c:txPr>
          <a:bodyPr rot="0" vert="horz"/>
          <a:lstStyle/>
          <a:p>
            <a:pPr>
              <a:defRPr/>
            </a:pPr>
            <a:endParaRPr lang="en-US"/>
          </a:p>
        </c:txPr>
        <c:crossAx val="83985920"/>
        <c:crosses val="max"/>
        <c:crossBetween val="between"/>
      </c:valAx>
      <c:dTable>
        <c:showHorzBorder val="1"/>
        <c:showVertBorder val="1"/>
        <c:showOutline val="1"/>
        <c:showKeys val="1"/>
      </c:dTable>
    </c:plotArea>
    <c:plotVisOnly val="1"/>
    <c:dispBlanksAs val="zero"/>
    <c:showDLblsOverMax val="0"/>
  </c:chart>
  <c:printSettings>
    <c:headerFooter/>
    <c:pageMargins b="0.75000000000001465" l="0.70000000000000062" r="0.70000000000000062" t="0.75000000000001465"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sz="1800" b="1" i="0" u="none" strike="noStrike" baseline="0">
                <a:solidFill>
                  <a:srgbClr val="FFFFFF"/>
                </a:solidFill>
                <a:latin typeface="Calibri"/>
                <a:ea typeface="Calibri"/>
                <a:cs typeface="Calibri"/>
              </a:defRPr>
            </a:pPr>
            <a:r>
              <a:rPr lang="en-US"/>
              <a:t>Top 5 Companies Market Share of Gross Written Premium -   General Insurance Business for last 5 years</a:t>
            </a:r>
          </a:p>
        </c:rich>
      </c:tx>
      <c:overlay val="0"/>
    </c:title>
    <c:autoTitleDeleted val="0"/>
    <c:view3D>
      <c:rotX val="15"/>
      <c:rotY val="20"/>
      <c:depthPercent val="100"/>
      <c:rAngAx val="1"/>
    </c:view3D>
    <c:floor>
      <c:thickness val="0"/>
    </c:floor>
    <c:sideWall>
      <c:thickness val="0"/>
    </c:sideWall>
    <c:backWall>
      <c:thickness val="0"/>
    </c:backWall>
    <c:plotArea>
      <c:layout>
        <c:manualLayout>
          <c:layoutTarget val="inner"/>
          <c:xMode val="edge"/>
          <c:yMode val="edge"/>
          <c:x val="0.16930349725701771"/>
          <c:y val="0.21931507479750423"/>
          <c:w val="0.72113665403475069"/>
          <c:h val="0.6959338241759867"/>
        </c:manualLayout>
      </c:layout>
      <c:bar3DChart>
        <c:barDir val="col"/>
        <c:grouping val="clustered"/>
        <c:varyColors val="0"/>
        <c:ser>
          <c:idx val="2"/>
          <c:order val="0"/>
          <c:tx>
            <c:strRef>
              <c:f>'GWP-GIB (Final)'!$X$6</c:f>
              <c:strCache>
                <c:ptCount val="1"/>
                <c:pt idx="0">
                  <c:v>2009</c:v>
                </c:pt>
              </c:strCache>
            </c:strRef>
          </c:tx>
          <c:invertIfNegative val="0"/>
          <c:cat>
            <c:strRef>
              <c:f>'GWP-GIB (Final)'!$U$9:$U$13</c:f>
              <c:strCache>
                <c:ptCount val="5"/>
                <c:pt idx="0">
                  <c:v>SLIC</c:v>
                </c:pt>
                <c:pt idx="1">
                  <c:v>Ceylinco</c:v>
                </c:pt>
                <c:pt idx="2">
                  <c:v>Janashakthi</c:v>
                </c:pt>
                <c:pt idx="3">
                  <c:v>UAL</c:v>
                </c:pt>
                <c:pt idx="4">
                  <c:v>People’s</c:v>
                </c:pt>
              </c:strCache>
            </c:strRef>
          </c:cat>
          <c:val>
            <c:numRef>
              <c:f>'GWP-GIB (Final)'!$X$9:$X$13</c:f>
              <c:numCache>
                <c:formatCode>_(* #,##0_);_(* \(#,##0\);_(* "-"??_);_(@_)</c:formatCode>
                <c:ptCount val="5"/>
                <c:pt idx="0">
                  <c:v>8764538.8244118989</c:v>
                </c:pt>
                <c:pt idx="1">
                  <c:v>9081297</c:v>
                </c:pt>
                <c:pt idx="2">
                  <c:v>4272926</c:v>
                </c:pt>
                <c:pt idx="3">
                  <c:v>3210217.1266700001</c:v>
                </c:pt>
              </c:numCache>
            </c:numRef>
          </c:val>
          <c:extLst>
            <c:ext xmlns:c16="http://schemas.microsoft.com/office/drawing/2014/chart" uri="{C3380CC4-5D6E-409C-BE32-E72D297353CC}">
              <c16:uniqueId val="{00000000-B763-48D7-8F2B-663139E829B1}"/>
            </c:ext>
          </c:extLst>
        </c:ser>
        <c:ser>
          <c:idx val="3"/>
          <c:order val="1"/>
          <c:tx>
            <c:strRef>
              <c:f>'GWP-GIB (Final)'!$Y$6</c:f>
              <c:strCache>
                <c:ptCount val="1"/>
                <c:pt idx="0">
                  <c:v>2010</c:v>
                </c:pt>
              </c:strCache>
            </c:strRef>
          </c:tx>
          <c:invertIfNegative val="0"/>
          <c:cat>
            <c:strRef>
              <c:f>'GWP-GIB (Final)'!$U$9:$U$13</c:f>
              <c:strCache>
                <c:ptCount val="5"/>
                <c:pt idx="0">
                  <c:v>SLIC</c:v>
                </c:pt>
                <c:pt idx="1">
                  <c:v>Ceylinco</c:v>
                </c:pt>
                <c:pt idx="2">
                  <c:v>Janashakthi</c:v>
                </c:pt>
                <c:pt idx="3">
                  <c:v>UAL</c:v>
                </c:pt>
                <c:pt idx="4">
                  <c:v>People’s</c:v>
                </c:pt>
              </c:strCache>
            </c:strRef>
          </c:cat>
          <c:val>
            <c:numRef>
              <c:f>'GWP-GIB (Final)'!$Y$9:$Y$13</c:f>
              <c:numCache>
                <c:formatCode>_(* #,##0_);_(* \(#,##0\);_(* "-"??_);_(@_)</c:formatCode>
                <c:ptCount val="5"/>
                <c:pt idx="0">
                  <c:v>8766026.9246178009</c:v>
                </c:pt>
                <c:pt idx="1">
                  <c:v>8724292</c:v>
                </c:pt>
                <c:pt idx="2">
                  <c:v>4324169.7151100002</c:v>
                </c:pt>
                <c:pt idx="3">
                  <c:v>3433830.28211</c:v>
                </c:pt>
                <c:pt idx="4">
                  <c:v>847064</c:v>
                </c:pt>
              </c:numCache>
            </c:numRef>
          </c:val>
          <c:extLst>
            <c:ext xmlns:c16="http://schemas.microsoft.com/office/drawing/2014/chart" uri="{C3380CC4-5D6E-409C-BE32-E72D297353CC}">
              <c16:uniqueId val="{00000001-B763-48D7-8F2B-663139E829B1}"/>
            </c:ext>
          </c:extLst>
        </c:ser>
        <c:ser>
          <c:idx val="4"/>
          <c:order val="2"/>
          <c:tx>
            <c:strRef>
              <c:f>'GWP-GIB (Final)'!$Z$6</c:f>
              <c:strCache>
                <c:ptCount val="1"/>
                <c:pt idx="0">
                  <c:v>2011</c:v>
                </c:pt>
              </c:strCache>
            </c:strRef>
          </c:tx>
          <c:invertIfNegative val="0"/>
          <c:cat>
            <c:strRef>
              <c:f>'GWP-GIB (Final)'!$U$9:$U$13</c:f>
              <c:strCache>
                <c:ptCount val="5"/>
                <c:pt idx="0">
                  <c:v>SLIC</c:v>
                </c:pt>
                <c:pt idx="1">
                  <c:v>Ceylinco</c:v>
                </c:pt>
                <c:pt idx="2">
                  <c:v>Janashakthi</c:v>
                </c:pt>
                <c:pt idx="3">
                  <c:v>UAL</c:v>
                </c:pt>
                <c:pt idx="4">
                  <c:v>People’s</c:v>
                </c:pt>
              </c:strCache>
            </c:strRef>
          </c:cat>
          <c:val>
            <c:numRef>
              <c:f>'GWP-GIB (Final)'!$Z$9:$Z$13</c:f>
              <c:numCache>
                <c:formatCode>_(* #,##0_);_(* \(#,##0\);_(* "-"??_);_(@_)</c:formatCode>
                <c:ptCount val="5"/>
                <c:pt idx="0">
                  <c:v>11134582.762270002</c:v>
                </c:pt>
                <c:pt idx="1">
                  <c:v>9558942</c:v>
                </c:pt>
                <c:pt idx="2">
                  <c:v>5086207.4053399796</c:v>
                </c:pt>
                <c:pt idx="3">
                  <c:v>4055442.8969999999</c:v>
                </c:pt>
                <c:pt idx="4">
                  <c:v>2284578</c:v>
                </c:pt>
              </c:numCache>
            </c:numRef>
          </c:val>
          <c:extLst>
            <c:ext xmlns:c16="http://schemas.microsoft.com/office/drawing/2014/chart" uri="{C3380CC4-5D6E-409C-BE32-E72D297353CC}">
              <c16:uniqueId val="{00000002-B763-48D7-8F2B-663139E829B1}"/>
            </c:ext>
          </c:extLst>
        </c:ser>
        <c:ser>
          <c:idx val="0"/>
          <c:order val="3"/>
          <c:tx>
            <c:strRef>
              <c:f>'GWP-GIB (Final)'!$AA$6</c:f>
              <c:strCache>
                <c:ptCount val="1"/>
                <c:pt idx="0">
                  <c:v>2012(a)</c:v>
                </c:pt>
              </c:strCache>
            </c:strRef>
          </c:tx>
          <c:invertIfNegative val="0"/>
          <c:cat>
            <c:strRef>
              <c:f>'GWP-GIB (Final)'!$U$9:$U$13</c:f>
              <c:strCache>
                <c:ptCount val="5"/>
                <c:pt idx="0">
                  <c:v>SLIC</c:v>
                </c:pt>
                <c:pt idx="1">
                  <c:v>Ceylinco</c:v>
                </c:pt>
                <c:pt idx="2">
                  <c:v>Janashakthi</c:v>
                </c:pt>
                <c:pt idx="3">
                  <c:v>UAL</c:v>
                </c:pt>
                <c:pt idx="4">
                  <c:v>People’s</c:v>
                </c:pt>
              </c:strCache>
            </c:strRef>
          </c:cat>
          <c:val>
            <c:numRef>
              <c:f>'GWP-GIB (Final)'!$AA$9:$AA$13</c:f>
              <c:numCache>
                <c:formatCode>_(* #,##0_);_(* \(#,##0\);_(* "-"??_);_(@_)</c:formatCode>
                <c:ptCount val="5"/>
                <c:pt idx="0">
                  <c:v>12359187.410689998</c:v>
                </c:pt>
                <c:pt idx="1">
                  <c:v>10434917</c:v>
                </c:pt>
                <c:pt idx="2">
                  <c:v>5773429.4972300194</c:v>
                </c:pt>
                <c:pt idx="3">
                  <c:v>4436051.5967899989</c:v>
                </c:pt>
                <c:pt idx="4">
                  <c:v>2795447.79213</c:v>
                </c:pt>
              </c:numCache>
            </c:numRef>
          </c:val>
          <c:extLst>
            <c:ext xmlns:c16="http://schemas.microsoft.com/office/drawing/2014/chart" uri="{C3380CC4-5D6E-409C-BE32-E72D297353CC}">
              <c16:uniqueId val="{00000003-B763-48D7-8F2B-663139E829B1}"/>
            </c:ext>
          </c:extLst>
        </c:ser>
        <c:ser>
          <c:idx val="1"/>
          <c:order val="4"/>
          <c:tx>
            <c:strRef>
              <c:f>'GWP-GIB (Final)'!$AB$6</c:f>
              <c:strCache>
                <c:ptCount val="1"/>
                <c:pt idx="0">
                  <c:v>2013(b)</c:v>
                </c:pt>
              </c:strCache>
            </c:strRef>
          </c:tx>
          <c:invertIfNegative val="0"/>
          <c:cat>
            <c:strRef>
              <c:f>'GWP-GIB (Final)'!$U$9:$U$13</c:f>
              <c:strCache>
                <c:ptCount val="5"/>
                <c:pt idx="0">
                  <c:v>SLIC</c:v>
                </c:pt>
                <c:pt idx="1">
                  <c:v>Ceylinco</c:v>
                </c:pt>
                <c:pt idx="2">
                  <c:v>Janashakthi</c:v>
                </c:pt>
                <c:pt idx="3">
                  <c:v>UAL</c:v>
                </c:pt>
                <c:pt idx="4">
                  <c:v>People’s</c:v>
                </c:pt>
              </c:strCache>
            </c:strRef>
          </c:cat>
          <c:val>
            <c:numRef>
              <c:f>'GWP-GIB (Final)'!$AB$9:$AB$13</c:f>
              <c:numCache>
                <c:formatCode>_(* #,##0_);_(* \(#,##0\);_(* "-"??_);_(@_)</c:formatCode>
                <c:ptCount val="5"/>
                <c:pt idx="0">
                  <c:v>12785670.661330007</c:v>
                </c:pt>
                <c:pt idx="1">
                  <c:v>10311479</c:v>
                </c:pt>
                <c:pt idx="2">
                  <c:v>6342545.7904710202</c:v>
                </c:pt>
                <c:pt idx="3">
                  <c:v>5116965.9560599998</c:v>
                </c:pt>
                <c:pt idx="4">
                  <c:v>3085041.1282100007</c:v>
                </c:pt>
              </c:numCache>
            </c:numRef>
          </c:val>
          <c:extLst>
            <c:ext xmlns:c16="http://schemas.microsoft.com/office/drawing/2014/chart" uri="{C3380CC4-5D6E-409C-BE32-E72D297353CC}">
              <c16:uniqueId val="{00000004-B763-48D7-8F2B-663139E829B1}"/>
            </c:ext>
          </c:extLst>
        </c:ser>
        <c:dLbls>
          <c:showLegendKey val="0"/>
          <c:showVal val="0"/>
          <c:showCatName val="0"/>
          <c:showSerName val="0"/>
          <c:showPercent val="0"/>
          <c:showBubbleSize val="0"/>
        </c:dLbls>
        <c:gapWidth val="150"/>
        <c:shape val="box"/>
        <c:axId val="84036992"/>
        <c:axId val="84051072"/>
        <c:axId val="0"/>
      </c:bar3DChart>
      <c:catAx>
        <c:axId val="840369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FFFFFF"/>
                </a:solidFill>
                <a:latin typeface="Calibri"/>
                <a:ea typeface="Calibri"/>
                <a:cs typeface="Calibri"/>
              </a:defRPr>
            </a:pPr>
            <a:endParaRPr lang="en-US"/>
          </a:p>
        </c:txPr>
        <c:crossAx val="84051072"/>
        <c:crosses val="autoZero"/>
        <c:auto val="1"/>
        <c:lblAlgn val="ctr"/>
        <c:lblOffset val="100"/>
        <c:noMultiLvlLbl val="0"/>
      </c:catAx>
      <c:valAx>
        <c:axId val="84051072"/>
        <c:scaling>
          <c:orientation val="minMax"/>
        </c:scaling>
        <c:delete val="0"/>
        <c:axPos val="l"/>
        <c:majorGridlines/>
        <c:title>
          <c:tx>
            <c:rich>
              <a:bodyPr/>
              <a:lstStyle/>
              <a:p>
                <a:pPr>
                  <a:defRPr sz="1000" b="1" i="0" u="none" strike="noStrike" baseline="0">
                    <a:solidFill>
                      <a:srgbClr val="FFFFFF"/>
                    </a:solidFill>
                    <a:latin typeface="Calibri"/>
                    <a:ea typeface="Calibri"/>
                    <a:cs typeface="Calibri"/>
                  </a:defRPr>
                </a:pPr>
                <a:r>
                  <a:rPr lang="en-US"/>
                  <a:t>Rs.'000</a:t>
                </a:r>
              </a:p>
            </c:rich>
          </c:tx>
          <c:overlay val="0"/>
        </c:title>
        <c:numFmt formatCode="_(* #,##0_);_(* \(#,##0\);_(* &quot;-&quot;??_);_(@_)" sourceLinked="1"/>
        <c:majorTickMark val="out"/>
        <c:minorTickMark val="none"/>
        <c:tickLblPos val="nextTo"/>
        <c:txPr>
          <a:bodyPr rot="0" vert="horz"/>
          <a:lstStyle/>
          <a:p>
            <a:pPr>
              <a:defRPr sz="1000" b="0" i="0" u="none" strike="noStrike" baseline="0">
                <a:solidFill>
                  <a:srgbClr val="FFFFFF"/>
                </a:solidFill>
                <a:latin typeface="Calibri"/>
                <a:ea typeface="Calibri"/>
                <a:cs typeface="Calibri"/>
              </a:defRPr>
            </a:pPr>
            <a:endParaRPr lang="en-US"/>
          </a:p>
        </c:txPr>
        <c:crossAx val="84036992"/>
        <c:crosses val="autoZero"/>
        <c:crossBetween val="between"/>
      </c:valAx>
      <c:spPr>
        <a:noFill/>
        <a:ln w="25400">
          <a:noFill/>
        </a:ln>
      </c:spPr>
    </c:plotArea>
    <c:legend>
      <c:legendPos val="r"/>
      <c:overlay val="0"/>
      <c:txPr>
        <a:bodyPr/>
        <a:lstStyle/>
        <a:p>
          <a:pPr>
            <a:defRPr sz="845" b="0" i="0" u="none" strike="noStrike" baseline="0">
              <a:solidFill>
                <a:srgbClr val="FFFFFF"/>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FFFFFF"/>
          </a:solidFill>
          <a:latin typeface="Calibri"/>
          <a:ea typeface="Calibri"/>
          <a:cs typeface="Calibri"/>
        </a:defRPr>
      </a:pPr>
      <a:endParaRPr lang="en-US"/>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hart>
    <c:title>
      <c:tx>
        <c:rich>
          <a:bodyPr/>
          <a:lstStyle/>
          <a:p>
            <a:pPr>
              <a:defRPr sz="1000">
                <a:latin typeface="Tahoma" pitchFamily="34" charset="0"/>
                <a:ea typeface="Tahoma" pitchFamily="34" charset="0"/>
                <a:cs typeface="Tahoma" pitchFamily="34" charset="0"/>
              </a:defRPr>
            </a:pPr>
            <a:r>
              <a:rPr lang="en-US" sz="1000" b="1" i="0" u="none" strike="noStrike" baseline="0"/>
              <a:t>Market Share of Top Five GWP generators &amp; Other Players  in 2013 - General Insurance Business </a:t>
            </a:r>
            <a:endParaRPr lang="en-US" sz="1000">
              <a:latin typeface="Tahoma" pitchFamily="34" charset="0"/>
              <a:ea typeface="Tahoma" pitchFamily="34" charset="0"/>
              <a:cs typeface="Tahoma" pitchFamily="34" charset="0"/>
            </a:endParaRPr>
          </a:p>
        </c:rich>
      </c:tx>
      <c:overlay val="0"/>
    </c:title>
    <c:autoTitleDeleted val="0"/>
    <c:plotArea>
      <c:layout>
        <c:manualLayout>
          <c:layoutTarget val="inner"/>
          <c:xMode val="edge"/>
          <c:yMode val="edge"/>
          <c:x val="0.11651393505685562"/>
          <c:y val="7.4602944197192794E-2"/>
          <c:w val="0.85917563951074716"/>
          <c:h val="0.69750615086157708"/>
        </c:manualLayout>
      </c:layout>
      <c:barChart>
        <c:barDir val="col"/>
        <c:grouping val="clustered"/>
        <c:varyColors val="0"/>
        <c:ser>
          <c:idx val="0"/>
          <c:order val="0"/>
          <c:tx>
            <c:strRef>
              <c:f>'GWP-GIB (Final)'!$AE$6</c:f>
              <c:strCache>
                <c:ptCount val="1"/>
                <c:pt idx="0">
                  <c:v>2007</c:v>
                </c:pt>
              </c:strCache>
            </c:strRef>
          </c:tx>
          <c:invertIfNegative val="0"/>
          <c:cat>
            <c:strRef>
              <c:f>'GWP-GIB (Final)'!$AF$9:$AF$14</c:f>
              <c:strCache>
                <c:ptCount val="6"/>
                <c:pt idx="0">
                  <c:v>SLIC</c:v>
                </c:pt>
                <c:pt idx="1">
                  <c:v>Ceylinco</c:v>
                </c:pt>
                <c:pt idx="2">
                  <c:v>Janashakthi</c:v>
                </c:pt>
                <c:pt idx="3">
                  <c:v>UAL</c:v>
                </c:pt>
                <c:pt idx="4">
                  <c:v>People’s</c:v>
                </c:pt>
                <c:pt idx="5">
                  <c:v>Others</c:v>
                </c:pt>
              </c:strCache>
            </c:strRef>
          </c:cat>
          <c:val>
            <c:numRef>
              <c:f>'GWP-GIB (Final)'!$AE$9:$AE$13</c:f>
            </c:numRef>
          </c:val>
          <c:extLst>
            <c:ext xmlns:c16="http://schemas.microsoft.com/office/drawing/2014/chart" uri="{C3380CC4-5D6E-409C-BE32-E72D297353CC}">
              <c16:uniqueId val="{00000000-149F-4BCF-B4E2-CBF2A5973BEF}"/>
            </c:ext>
          </c:extLst>
        </c:ser>
        <c:ser>
          <c:idx val="2"/>
          <c:order val="1"/>
          <c:tx>
            <c:strRef>
              <c:f>'GWP-GIB (Final)'!$AI$6</c:f>
              <c:strCache>
                <c:ptCount val="1"/>
                <c:pt idx="0">
                  <c:v>2009</c:v>
                </c:pt>
              </c:strCache>
            </c:strRef>
          </c:tx>
          <c:invertIfNegative val="0"/>
          <c:cat>
            <c:strRef>
              <c:f>'GWP-GIB (Final)'!$AF$9:$AF$14</c:f>
              <c:strCache>
                <c:ptCount val="6"/>
                <c:pt idx="0">
                  <c:v>SLIC</c:v>
                </c:pt>
                <c:pt idx="1">
                  <c:v>Ceylinco</c:v>
                </c:pt>
                <c:pt idx="2">
                  <c:v>Janashakthi</c:v>
                </c:pt>
                <c:pt idx="3">
                  <c:v>UAL</c:v>
                </c:pt>
                <c:pt idx="4">
                  <c:v>People’s</c:v>
                </c:pt>
                <c:pt idx="5">
                  <c:v>Others</c:v>
                </c:pt>
              </c:strCache>
            </c:strRef>
          </c:cat>
          <c:val>
            <c:numRef>
              <c:f>'GWP-GIB (Final)'!$AI$9:$AI$14</c:f>
              <c:numCache>
                <c:formatCode>_(* #,##0.00_);_(* \(#,##0.00\);_(* "-"??_);_(@_)</c:formatCode>
                <c:ptCount val="6"/>
                <c:pt idx="0">
                  <c:v>26.125161477942022</c:v>
                </c:pt>
                <c:pt idx="1">
                  <c:v>27.069347892365574</c:v>
                </c:pt>
                <c:pt idx="2">
                  <c:v>12.736652089710759</c:v>
                </c:pt>
                <c:pt idx="3">
                  <c:v>9.568950802056186</c:v>
                </c:pt>
                <c:pt idx="4">
                  <c:v>0</c:v>
                </c:pt>
                <c:pt idx="5">
                  <c:v>24.499887737925462</c:v>
                </c:pt>
              </c:numCache>
            </c:numRef>
          </c:val>
          <c:extLst>
            <c:ext xmlns:c16="http://schemas.microsoft.com/office/drawing/2014/chart" uri="{C3380CC4-5D6E-409C-BE32-E72D297353CC}">
              <c16:uniqueId val="{00000001-149F-4BCF-B4E2-CBF2A5973BEF}"/>
            </c:ext>
          </c:extLst>
        </c:ser>
        <c:ser>
          <c:idx val="3"/>
          <c:order val="2"/>
          <c:tx>
            <c:strRef>
              <c:f>'GWP-GIB (Final)'!$AJ$6</c:f>
              <c:strCache>
                <c:ptCount val="1"/>
                <c:pt idx="0">
                  <c:v>2010</c:v>
                </c:pt>
              </c:strCache>
            </c:strRef>
          </c:tx>
          <c:invertIfNegative val="0"/>
          <c:cat>
            <c:strRef>
              <c:f>'GWP-GIB (Final)'!$AF$9:$AF$14</c:f>
              <c:strCache>
                <c:ptCount val="6"/>
                <c:pt idx="0">
                  <c:v>SLIC</c:v>
                </c:pt>
                <c:pt idx="1">
                  <c:v>Ceylinco</c:v>
                </c:pt>
                <c:pt idx="2">
                  <c:v>Janashakthi</c:v>
                </c:pt>
                <c:pt idx="3">
                  <c:v>UAL</c:v>
                </c:pt>
                <c:pt idx="4">
                  <c:v>People’s</c:v>
                </c:pt>
                <c:pt idx="5">
                  <c:v>Others</c:v>
                </c:pt>
              </c:strCache>
            </c:strRef>
          </c:cat>
          <c:val>
            <c:numRef>
              <c:f>'GWP-GIB (Final)'!$AJ$9:$AJ$14</c:f>
              <c:numCache>
                <c:formatCode>_(* #,##0.00_);_(* \(#,##0.00\);_(* "-"??_);_(@_)</c:formatCode>
                <c:ptCount val="6"/>
                <c:pt idx="0">
                  <c:v>24.973406113159534</c:v>
                </c:pt>
                <c:pt idx="1">
                  <c:v>24.854508095785729</c:v>
                </c:pt>
                <c:pt idx="2">
                  <c:v>12.319063964359856</c:v>
                </c:pt>
                <c:pt idx="3">
                  <c:v>9.7825889534941268</c:v>
                </c:pt>
                <c:pt idx="4">
                  <c:v>2.4231882616547726</c:v>
                </c:pt>
                <c:pt idx="5">
                  <c:v>25.647244611545986</c:v>
                </c:pt>
              </c:numCache>
            </c:numRef>
          </c:val>
          <c:extLst>
            <c:ext xmlns:c16="http://schemas.microsoft.com/office/drawing/2014/chart" uri="{C3380CC4-5D6E-409C-BE32-E72D297353CC}">
              <c16:uniqueId val="{00000002-149F-4BCF-B4E2-CBF2A5973BEF}"/>
            </c:ext>
          </c:extLst>
        </c:ser>
        <c:ser>
          <c:idx val="4"/>
          <c:order val="3"/>
          <c:tx>
            <c:strRef>
              <c:f>'GWP-GIB (Final)'!$AK$6</c:f>
              <c:strCache>
                <c:ptCount val="1"/>
                <c:pt idx="0">
                  <c:v>2011</c:v>
                </c:pt>
              </c:strCache>
            </c:strRef>
          </c:tx>
          <c:invertIfNegative val="0"/>
          <c:cat>
            <c:strRef>
              <c:f>'GWP-GIB (Final)'!$AF$9:$AF$14</c:f>
              <c:strCache>
                <c:ptCount val="6"/>
                <c:pt idx="0">
                  <c:v>SLIC</c:v>
                </c:pt>
                <c:pt idx="1">
                  <c:v>Ceylinco</c:v>
                </c:pt>
                <c:pt idx="2">
                  <c:v>Janashakthi</c:v>
                </c:pt>
                <c:pt idx="3">
                  <c:v>UAL</c:v>
                </c:pt>
                <c:pt idx="4">
                  <c:v>People’s</c:v>
                </c:pt>
                <c:pt idx="5">
                  <c:v>Others</c:v>
                </c:pt>
              </c:strCache>
            </c:strRef>
          </c:cat>
          <c:val>
            <c:numRef>
              <c:f>'GWP-GIB (Final)'!$AK$9:$AK$14</c:f>
              <c:numCache>
                <c:formatCode>_(* #,##0.00_);_(* \(#,##0.00\);_(* "-"??_);_(@_)</c:formatCode>
                <c:ptCount val="6"/>
                <c:pt idx="0">
                  <c:v>25.697865327630709</c:v>
                </c:pt>
                <c:pt idx="1">
                  <c:v>22.061392818688212</c:v>
                </c:pt>
                <c:pt idx="2">
                  <c:v>11.738623325314268</c:v>
                </c:pt>
                <c:pt idx="3">
                  <c:v>9.3596884262375379</c:v>
                </c:pt>
                <c:pt idx="4">
                  <c:v>5.2726517937793824</c:v>
                </c:pt>
                <c:pt idx="5">
                  <c:v>25.869778308349879</c:v>
                </c:pt>
              </c:numCache>
            </c:numRef>
          </c:val>
          <c:extLst>
            <c:ext xmlns:c16="http://schemas.microsoft.com/office/drawing/2014/chart" uri="{C3380CC4-5D6E-409C-BE32-E72D297353CC}">
              <c16:uniqueId val="{00000003-149F-4BCF-B4E2-CBF2A5973BEF}"/>
            </c:ext>
          </c:extLst>
        </c:ser>
        <c:ser>
          <c:idx val="5"/>
          <c:order val="4"/>
          <c:tx>
            <c:strRef>
              <c:f>'GWP-GIB (Final)'!$AL$6</c:f>
              <c:strCache>
                <c:ptCount val="1"/>
                <c:pt idx="0">
                  <c:v>2012(a)</c:v>
                </c:pt>
              </c:strCache>
            </c:strRef>
          </c:tx>
          <c:invertIfNegative val="0"/>
          <c:cat>
            <c:strRef>
              <c:f>'GWP-GIB (Final)'!$AF$9:$AF$14</c:f>
              <c:strCache>
                <c:ptCount val="6"/>
                <c:pt idx="0">
                  <c:v>SLIC</c:v>
                </c:pt>
                <c:pt idx="1">
                  <c:v>Ceylinco</c:v>
                </c:pt>
                <c:pt idx="2">
                  <c:v>Janashakthi</c:v>
                </c:pt>
                <c:pt idx="3">
                  <c:v>UAL</c:v>
                </c:pt>
                <c:pt idx="4">
                  <c:v>People’s</c:v>
                </c:pt>
                <c:pt idx="5">
                  <c:v>Others</c:v>
                </c:pt>
              </c:strCache>
            </c:strRef>
          </c:cat>
          <c:val>
            <c:numRef>
              <c:f>'GWP-GIB (Final)'!$AL$9:$AL$14</c:f>
              <c:numCache>
                <c:formatCode>_(* #,##0.00_);_(* \(#,##0.00\);_(* "-"??_);_(@_)</c:formatCode>
                <c:ptCount val="6"/>
                <c:pt idx="0">
                  <c:v>24.870358217808686</c:v>
                </c:pt>
                <c:pt idx="1">
                  <c:v>20.998154258801137</c:v>
                </c:pt>
                <c:pt idx="2">
                  <c:v>11.617856010272879</c:v>
                </c:pt>
                <c:pt idx="3">
                  <c:v>8.9266542061999612</c:v>
                </c:pt>
                <c:pt idx="4">
                  <c:v>5.6252717641712708</c:v>
                </c:pt>
                <c:pt idx="5">
                  <c:v>27.96170554274606</c:v>
                </c:pt>
              </c:numCache>
            </c:numRef>
          </c:val>
          <c:extLst>
            <c:ext xmlns:c16="http://schemas.microsoft.com/office/drawing/2014/chart" uri="{C3380CC4-5D6E-409C-BE32-E72D297353CC}">
              <c16:uniqueId val="{00000004-149F-4BCF-B4E2-CBF2A5973BEF}"/>
            </c:ext>
          </c:extLst>
        </c:ser>
        <c:ser>
          <c:idx val="1"/>
          <c:order val="5"/>
          <c:tx>
            <c:strRef>
              <c:f>'GWP-GIB (Final)'!$AM$6</c:f>
              <c:strCache>
                <c:ptCount val="1"/>
                <c:pt idx="0">
                  <c:v>2013(b)</c:v>
                </c:pt>
              </c:strCache>
            </c:strRef>
          </c:tx>
          <c:invertIfNegative val="0"/>
          <c:cat>
            <c:strRef>
              <c:f>'GWP-GIB (Final)'!$AF$9:$AF$14</c:f>
              <c:strCache>
                <c:ptCount val="6"/>
                <c:pt idx="0">
                  <c:v>SLIC</c:v>
                </c:pt>
                <c:pt idx="1">
                  <c:v>Ceylinco</c:v>
                </c:pt>
                <c:pt idx="2">
                  <c:v>Janashakthi</c:v>
                </c:pt>
                <c:pt idx="3">
                  <c:v>UAL</c:v>
                </c:pt>
                <c:pt idx="4">
                  <c:v>People’s</c:v>
                </c:pt>
                <c:pt idx="5">
                  <c:v>Others</c:v>
                </c:pt>
              </c:strCache>
            </c:strRef>
          </c:cat>
          <c:val>
            <c:numRef>
              <c:f>'GWP-GIB (Final)'!$AM$9:$AM$14</c:f>
              <c:numCache>
                <c:formatCode>_(* #,##0.00_);_(* \(#,##0.00\);_(* "-"??_);_(@_)</c:formatCode>
                <c:ptCount val="6"/>
                <c:pt idx="0">
                  <c:v>24.043452689902782</c:v>
                </c:pt>
                <c:pt idx="1">
                  <c:v>19.39073546210334</c:v>
                </c:pt>
                <c:pt idx="2">
                  <c:v>11.927156868505543</c:v>
                </c:pt>
                <c:pt idx="3">
                  <c:v>9.6224540846708955</c:v>
                </c:pt>
                <c:pt idx="4">
                  <c:v>5.8014196030296876</c:v>
                </c:pt>
                <c:pt idx="5">
                  <c:v>29.214781291787759</c:v>
                </c:pt>
              </c:numCache>
            </c:numRef>
          </c:val>
          <c:extLst>
            <c:ext xmlns:c16="http://schemas.microsoft.com/office/drawing/2014/chart" uri="{C3380CC4-5D6E-409C-BE32-E72D297353CC}">
              <c16:uniqueId val="{00000005-149F-4BCF-B4E2-CBF2A5973BEF}"/>
            </c:ext>
          </c:extLst>
        </c:ser>
        <c:dLbls>
          <c:showLegendKey val="0"/>
          <c:showVal val="0"/>
          <c:showCatName val="0"/>
          <c:showSerName val="0"/>
          <c:showPercent val="0"/>
          <c:showBubbleSize val="0"/>
        </c:dLbls>
        <c:gapWidth val="150"/>
        <c:axId val="84395136"/>
        <c:axId val="84396672"/>
      </c:barChart>
      <c:catAx>
        <c:axId val="84395136"/>
        <c:scaling>
          <c:orientation val="minMax"/>
        </c:scaling>
        <c:delete val="0"/>
        <c:axPos val="b"/>
        <c:numFmt formatCode="General" sourceLinked="1"/>
        <c:majorTickMark val="none"/>
        <c:minorTickMark val="none"/>
        <c:tickLblPos val="nextTo"/>
        <c:txPr>
          <a:bodyPr rot="0" vert="horz"/>
          <a:lstStyle/>
          <a:p>
            <a:pPr>
              <a:defRPr/>
            </a:pPr>
            <a:endParaRPr lang="en-US"/>
          </a:p>
        </c:txPr>
        <c:crossAx val="84396672"/>
        <c:crosses val="autoZero"/>
        <c:auto val="1"/>
        <c:lblAlgn val="ctr"/>
        <c:lblOffset val="100"/>
        <c:noMultiLvlLbl val="0"/>
      </c:catAx>
      <c:valAx>
        <c:axId val="84396672"/>
        <c:scaling>
          <c:orientation val="minMax"/>
        </c:scaling>
        <c:delete val="0"/>
        <c:axPos val="l"/>
        <c:majorGridlines/>
        <c:title>
          <c:tx>
            <c:rich>
              <a:bodyPr/>
              <a:lstStyle/>
              <a:p>
                <a:pPr>
                  <a:defRPr/>
                </a:pPr>
                <a:r>
                  <a:rPr lang="en-US"/>
                  <a:t>%</a:t>
                </a:r>
              </a:p>
            </c:rich>
          </c:tx>
          <c:overlay val="0"/>
        </c:title>
        <c:numFmt formatCode="_(* #,##0.00_);_(* \(#,##0.00\);_(* &quot;-&quot;??_);_(@_)" sourceLinked="1"/>
        <c:majorTickMark val="none"/>
        <c:minorTickMark val="none"/>
        <c:tickLblPos val="nextTo"/>
        <c:txPr>
          <a:bodyPr rot="0" vert="horz"/>
          <a:lstStyle/>
          <a:p>
            <a:pPr>
              <a:defRPr/>
            </a:pPr>
            <a:endParaRPr lang="en-US"/>
          </a:p>
        </c:txPr>
        <c:crossAx val="84395136"/>
        <c:crosses val="autoZero"/>
        <c:crossBetween val="between"/>
      </c:valAx>
      <c:dTable>
        <c:showHorzBorder val="1"/>
        <c:showVertBorder val="1"/>
        <c:showOutline val="1"/>
        <c:showKeys val="1"/>
      </c:dTable>
      <c:spPr>
        <a:noFill/>
      </c:spPr>
    </c:plotArea>
    <c:plotVisOnly val="1"/>
    <c:dispBlanksAs val="gap"/>
    <c:showDLblsOverMax val="0"/>
  </c:chart>
  <c:spPr>
    <a:noFill/>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latin typeface="Tahoma" pitchFamily="34" charset="0"/>
                <a:ea typeface="Tahoma" pitchFamily="34" charset="0"/>
                <a:cs typeface="Tahoma" pitchFamily="34" charset="0"/>
              </a:defRPr>
            </a:pPr>
            <a:r>
              <a:rPr lang="en-US" sz="1000" b="1" i="0" baseline="0">
                <a:latin typeface="Tahoma" pitchFamily="34" charset="0"/>
                <a:ea typeface="Tahoma" pitchFamily="34" charset="0"/>
                <a:cs typeface="Tahoma" pitchFamily="34" charset="0"/>
              </a:rPr>
              <a:t>Company-wise Market Share of Gross Written Premium - General Insurance Business - 2013</a:t>
            </a:r>
          </a:p>
        </c:rich>
      </c:tx>
      <c:layout>
        <c:manualLayout>
          <c:xMode val="edge"/>
          <c:yMode val="edge"/>
          <c:x val="0.13047161787703371"/>
          <c:y val="0"/>
        </c:manualLayout>
      </c:layout>
      <c:overlay val="0"/>
    </c:title>
    <c:autoTitleDeleted val="0"/>
    <c:plotArea>
      <c:layout>
        <c:manualLayout>
          <c:layoutTarget val="inner"/>
          <c:xMode val="edge"/>
          <c:yMode val="edge"/>
          <c:x val="0.31613388070081438"/>
          <c:y val="0.35418166102733756"/>
          <c:w val="0.37073879783718638"/>
          <c:h val="0.45151765785374387"/>
        </c:manualLayout>
      </c:layout>
      <c:pieChart>
        <c:varyColors val="1"/>
        <c:ser>
          <c:idx val="0"/>
          <c:order val="0"/>
          <c:tx>
            <c:strRef>
              <c:f>'GWP-GIB (Final)'!$R$6:$R$7</c:f>
              <c:strCache>
                <c:ptCount val="2"/>
                <c:pt idx="0">
                  <c:v>Market Share</c:v>
                </c:pt>
                <c:pt idx="1">
                  <c:v>(%)</c:v>
                </c:pt>
              </c:strCache>
            </c:strRef>
          </c:tx>
          <c:dLbls>
            <c:dLbl>
              <c:idx val="0"/>
              <c:layout>
                <c:manualLayout>
                  <c:x val="-6.1356944115891134E-2"/>
                  <c:y val="-0.12999230517873225"/>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34A8-48E6-8BE3-3A0A66E4B0B3}"/>
                </c:ext>
              </c:extLst>
            </c:dLbl>
            <c:dLbl>
              <c:idx val="1"/>
              <c:layout>
                <c:manualLayout>
                  <c:x val="3.0265058069458055E-2"/>
                  <c:y val="-0.12764612254793894"/>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4A8-48E6-8BE3-3A0A66E4B0B3}"/>
                </c:ext>
              </c:extLst>
            </c:dLbl>
            <c:dLbl>
              <c:idx val="2"/>
              <c:layout>
                <c:manualLayout>
                  <c:x val="0.1327074673605714"/>
                  <c:y val="-0.145483139908716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34A8-48E6-8BE3-3A0A66E4B0B3}"/>
                </c:ext>
              </c:extLst>
            </c:dLbl>
            <c:dLbl>
              <c:idx val="3"/>
              <c:layout>
                <c:manualLayout>
                  <c:x val="0.14709592631393179"/>
                  <c:y val="-4.9523237306180523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4A8-48E6-8BE3-3A0A66E4B0B3}"/>
                </c:ext>
              </c:extLst>
            </c:dLbl>
            <c:dLbl>
              <c:idx val="4"/>
              <c:layout>
                <c:manualLayout>
                  <c:x val="0.18550219849130237"/>
                  <c:y val="4.2148225447722683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34A8-48E6-8BE3-3A0A66E4B0B3}"/>
                </c:ext>
              </c:extLst>
            </c:dLbl>
            <c:dLbl>
              <c:idx val="5"/>
              <c:layout>
                <c:manualLayout>
                  <c:x val="0.1312857137493007"/>
                  <c:y val="0.13207833960513971"/>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4A8-48E6-8BE3-3A0A66E4B0B3}"/>
                </c:ext>
              </c:extLst>
            </c:dLbl>
            <c:dLbl>
              <c:idx val="6"/>
              <c:layout>
                <c:manualLayout>
                  <c:x val="0.12062406362294842"/>
                  <c:y val="6.8708429518599332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34A8-48E6-8BE3-3A0A66E4B0B3}"/>
                </c:ext>
              </c:extLst>
            </c:dLbl>
            <c:dLbl>
              <c:idx val="7"/>
              <c:layout>
                <c:manualLayout>
                  <c:x val="0.11819594743171302"/>
                  <c:y val="0.13421370521455867"/>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34A8-48E6-8BE3-3A0A66E4B0B3}"/>
                </c:ext>
              </c:extLst>
            </c:dLbl>
            <c:dLbl>
              <c:idx val="8"/>
              <c:delete val="1"/>
              <c:extLst>
                <c:ext xmlns:c15="http://schemas.microsoft.com/office/drawing/2012/chart" uri="{CE6537A1-D6FC-4f65-9D91-7224C49458BB}"/>
                <c:ext xmlns:c16="http://schemas.microsoft.com/office/drawing/2014/chart" uri="{C3380CC4-5D6E-409C-BE32-E72D297353CC}">
                  <c16:uniqueId val="{00000008-34A8-48E6-8BE3-3A0A66E4B0B3}"/>
                </c:ext>
              </c:extLst>
            </c:dLbl>
            <c:dLbl>
              <c:idx val="9"/>
              <c:layout>
                <c:manualLayout>
                  <c:x val="7.3846777736473926E-2"/>
                  <c:y val="0.10629162318566639"/>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34A8-48E6-8BE3-3A0A66E4B0B3}"/>
                </c:ext>
              </c:extLst>
            </c:dLbl>
            <c:dLbl>
              <c:idx val="10"/>
              <c:layout>
                <c:manualLayout>
                  <c:x val="1.8879056047197643E-2"/>
                  <c:y val="8.9979550102249548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A-34A8-48E6-8BE3-3A0A66E4B0B3}"/>
                </c:ext>
              </c:extLst>
            </c:dLbl>
            <c:dLbl>
              <c:idx val="11"/>
              <c:layout>
                <c:manualLayout>
                  <c:x val="-1.7848820399596461E-2"/>
                  <c:y val="9.5276012185224065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34A8-48E6-8BE3-3A0A66E4B0B3}"/>
                </c:ext>
              </c:extLst>
            </c:dLbl>
            <c:dLbl>
              <c:idx val="12"/>
              <c:layout>
                <c:manualLayout>
                  <c:x val="-0.10180077275748479"/>
                  <c:y val="8.7354140973343264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34A8-48E6-8BE3-3A0A66E4B0B3}"/>
                </c:ext>
              </c:extLst>
            </c:dLbl>
            <c:dLbl>
              <c:idx val="13"/>
              <c:layout>
                <c:manualLayout>
                  <c:x val="-0.18754286555303712"/>
                  <c:y val="2.4419093954719091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34A8-48E6-8BE3-3A0A66E4B0B3}"/>
                </c:ext>
              </c:extLst>
            </c:dLbl>
            <c:dLbl>
              <c:idx val="14"/>
              <c:layout>
                <c:manualLayout>
                  <c:x val="-0.14730205453291731"/>
                  <c:y val="-3.3108422422806906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E-34A8-48E6-8BE3-3A0A66E4B0B3}"/>
                </c:ext>
              </c:extLst>
            </c:dLbl>
            <c:dLbl>
              <c:idx val="15"/>
              <c:layout>
                <c:manualLayout>
                  <c:x val="-0.1569361049120348"/>
                  <c:y val="-0.12512454015537214"/>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34A8-48E6-8BE3-3A0A66E4B0B3}"/>
                </c:ext>
              </c:extLst>
            </c:dLbl>
            <c:dLbl>
              <c:idx val="16"/>
              <c:layout>
                <c:manualLayout>
                  <c:x val="-0.12194413466557023"/>
                  <c:y val="-6.5883059798248114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0-34A8-48E6-8BE3-3A0A66E4B0B3}"/>
                </c:ext>
              </c:extLst>
            </c:dLbl>
            <c:dLbl>
              <c:idx val="17"/>
              <c:layout>
                <c:manualLayout>
                  <c:x val="-0.10206241387208573"/>
                  <c:y val="-0.1192336801273336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34A8-48E6-8BE3-3A0A66E4B0B3}"/>
                </c:ext>
              </c:extLst>
            </c:dLbl>
            <c:numFmt formatCode="0.00%" sourceLinked="0"/>
            <c:spPr>
              <a:noFill/>
              <a:ln>
                <a:noFill/>
              </a:ln>
              <a:effectLst/>
            </c:spPr>
            <c:dLblPos val="outEnd"/>
            <c:showLegendKey val="0"/>
            <c:showVal val="0"/>
            <c:showCatName val="1"/>
            <c:showSerName val="0"/>
            <c:showPercent val="1"/>
            <c:showBubbleSize val="0"/>
            <c:showLeaderLines val="1"/>
            <c:extLst>
              <c:ext xmlns:c15="http://schemas.microsoft.com/office/drawing/2012/chart" uri="{CE6537A1-D6FC-4f65-9D91-7224C49458BB}"/>
            </c:extLst>
          </c:dLbls>
          <c:cat>
            <c:strRef>
              <c:f>'GWP-GIB (Final)'!$F$8:$F$25</c:f>
              <c:strCache>
                <c:ptCount val="18"/>
                <c:pt idx="0">
                  <c:v>AIA</c:v>
                </c:pt>
                <c:pt idx="1">
                  <c:v>AIG</c:v>
                </c:pt>
                <c:pt idx="2">
                  <c:v>Allianz Gen.</c:v>
                </c:pt>
                <c:pt idx="3">
                  <c:v>Amana Takaful</c:v>
                </c:pt>
                <c:pt idx="4">
                  <c:v>Asian Alliance</c:v>
                </c:pt>
                <c:pt idx="5">
                  <c:v>Ceylinco</c:v>
                </c:pt>
                <c:pt idx="6">
                  <c:v>Ceylinco Takaful</c:v>
                </c:pt>
                <c:pt idx="7">
                  <c:v>Continental</c:v>
                </c:pt>
                <c:pt idx="8">
                  <c:v>Cooperative</c:v>
                </c:pt>
                <c:pt idx="9">
                  <c:v>HNBA</c:v>
                </c:pt>
                <c:pt idx="10">
                  <c:v>Janashakthi</c:v>
                </c:pt>
                <c:pt idx="11">
                  <c:v>LOLC</c:v>
                </c:pt>
                <c:pt idx="12">
                  <c:v>MBSL</c:v>
                </c:pt>
                <c:pt idx="13">
                  <c:v>Orient</c:v>
                </c:pt>
                <c:pt idx="14">
                  <c:v>People’s</c:v>
                </c:pt>
                <c:pt idx="15">
                  <c:v>Sanasa</c:v>
                </c:pt>
                <c:pt idx="16">
                  <c:v>SLIC</c:v>
                </c:pt>
                <c:pt idx="17">
                  <c:v>UAL</c:v>
                </c:pt>
              </c:strCache>
            </c:strRef>
          </c:cat>
          <c:val>
            <c:numRef>
              <c:f>'GWP-GIB (Final)'!$R$8:$R$25</c:f>
              <c:numCache>
                <c:formatCode>0.00</c:formatCode>
                <c:ptCount val="18"/>
                <c:pt idx="0">
                  <c:v>4.5671232565006044</c:v>
                </c:pt>
                <c:pt idx="1">
                  <c:v>1.6549521428612441</c:v>
                </c:pt>
                <c:pt idx="2">
                  <c:v>3.6950080257018154</c:v>
                </c:pt>
                <c:pt idx="3">
                  <c:v>2.3175907080738849</c:v>
                </c:pt>
                <c:pt idx="4">
                  <c:v>2.5888033820417804</c:v>
                </c:pt>
                <c:pt idx="5">
                  <c:v>19.39073546210334</c:v>
                </c:pt>
                <c:pt idx="6" formatCode="_(* #,##0.00_);_(* \(#,##0.00\);_(* &quot;-&quot;??_);_(@_)">
                  <c:v>0</c:v>
                </c:pt>
                <c:pt idx="7">
                  <c:v>2.5020325021795076</c:v>
                </c:pt>
                <c:pt idx="8">
                  <c:v>2.3937659888697471</c:v>
                </c:pt>
                <c:pt idx="9">
                  <c:v>3.3235221082151267</c:v>
                </c:pt>
                <c:pt idx="10">
                  <c:v>11.927156868505543</c:v>
                </c:pt>
                <c:pt idx="11">
                  <c:v>2.7935217720892358</c:v>
                </c:pt>
                <c:pt idx="12">
                  <c:v>2.1042473994034472</c:v>
                </c:pt>
                <c:pt idx="13">
                  <c:v>0.66758012383729193</c:v>
                </c:pt>
                <c:pt idx="14">
                  <c:v>5.8014196030296876</c:v>
                </c:pt>
                <c:pt idx="15">
                  <c:v>0.60663388201405732</c:v>
                </c:pt>
                <c:pt idx="16">
                  <c:v>24.043452689902782</c:v>
                </c:pt>
                <c:pt idx="17">
                  <c:v>9.6224540846708955</c:v>
                </c:pt>
              </c:numCache>
            </c:numRef>
          </c:val>
          <c:extLst>
            <c:ext xmlns:c16="http://schemas.microsoft.com/office/drawing/2014/chart" uri="{C3380CC4-5D6E-409C-BE32-E72D297353CC}">
              <c16:uniqueId val="{00000012-34A8-48E6-8BE3-3A0A66E4B0B3}"/>
            </c:ext>
          </c:extLst>
        </c:ser>
        <c:dLbls>
          <c:showLegendKey val="0"/>
          <c:showVal val="0"/>
          <c:showCatName val="1"/>
          <c:showSerName val="0"/>
          <c:showPercent val="0"/>
          <c:showBubbleSize val="0"/>
          <c:showLeaderLines val="1"/>
        </c:dLbls>
        <c:firstSliceAng val="0"/>
      </c:pieChart>
      <c:spPr>
        <a:noFill/>
      </c:spPr>
    </c:plotArea>
    <c:plotVisOnly val="1"/>
    <c:dispBlanksAs val="zero"/>
    <c:showDLblsOverMax val="0"/>
  </c:chart>
  <c:spPr>
    <a:noFill/>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5" Type="http://schemas.openxmlformats.org/officeDocument/2006/relationships/chart" Target="../charts/chart10.xml"/><Relationship Id="rId4"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oneCellAnchor>
    <xdr:from>
      <xdr:col>8</xdr:col>
      <xdr:colOff>295275</xdr:colOff>
      <xdr:row>33</xdr:row>
      <xdr:rowOff>47624</xdr:rowOff>
    </xdr:from>
    <xdr:ext cx="1314449" cy="942975"/>
    <xdr:pic>
      <xdr:nvPicPr>
        <xdr:cNvPr id="2" name="Picture 1" descr="C:\Users\ravindra\Desktop\Logo IRCOS-02.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72075" y="6334124"/>
          <a:ext cx="1314449" cy="942975"/>
        </a:xfrm>
        <a:prstGeom prst="rect">
          <a:avLst/>
        </a:prstGeom>
        <a:noFill/>
        <a:ln>
          <a:noFill/>
        </a:ln>
      </xdr:spPr>
    </xdr:pic>
    <xdr:clientData/>
  </xdr:oneCellAnchor>
  <xdr:twoCellAnchor editAs="oneCell">
    <xdr:from>
      <xdr:col>2</xdr:col>
      <xdr:colOff>142875</xdr:colOff>
      <xdr:row>3</xdr:row>
      <xdr:rowOff>95250</xdr:rowOff>
    </xdr:from>
    <xdr:to>
      <xdr:col>10</xdr:col>
      <xdr:colOff>198665</xdr:colOff>
      <xdr:row>17</xdr:row>
      <xdr:rowOff>66675</xdr:rowOff>
    </xdr:to>
    <xdr:pic>
      <xdr:nvPicPr>
        <xdr:cNvPr id="4" name="Picture 3">
          <a:extLst>
            <a:ext uri="{FF2B5EF4-FFF2-40B4-BE49-F238E27FC236}">
              <a16:creationId xmlns:a16="http://schemas.microsoft.com/office/drawing/2014/main" id="{B2F95629-0CDF-7F01-D6F5-33DC854989C4}"/>
            </a:ext>
            <a:ext uri="{147F2762-F138-4A5C-976F-8EAC2B608ADB}">
              <a16:predDERef xmlns:a16="http://schemas.microsoft.com/office/drawing/2014/main" pred="{00000000-0008-0000-0000-000002000000}"/>
            </a:ext>
          </a:extLst>
        </xdr:cNvPr>
        <xdr:cNvPicPr>
          <a:picLocks noChangeAspect="1"/>
        </xdr:cNvPicPr>
      </xdr:nvPicPr>
      <xdr:blipFill>
        <a:blip xmlns:r="http://schemas.openxmlformats.org/officeDocument/2006/relationships" r:embed="rId2"/>
        <a:stretch>
          <a:fillRect/>
        </a:stretch>
      </xdr:blipFill>
      <xdr:spPr>
        <a:xfrm>
          <a:off x="923925" y="666750"/>
          <a:ext cx="4572000" cy="28003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66675</xdr:colOff>
      <xdr:row>10</xdr:row>
      <xdr:rowOff>0</xdr:rowOff>
    </xdr:from>
    <xdr:to>
      <xdr:col>22</xdr:col>
      <xdr:colOff>38100</xdr:colOff>
      <xdr:row>30</xdr:row>
      <xdr:rowOff>57150</xdr:rowOff>
    </xdr:to>
    <xdr:graphicFrame macro="">
      <xdr:nvGraphicFramePr>
        <xdr:cNvPr id="52508225" name="Chart 2">
          <a:extLst>
            <a:ext uri="{FF2B5EF4-FFF2-40B4-BE49-F238E27FC236}">
              <a16:creationId xmlns:a16="http://schemas.microsoft.com/office/drawing/2014/main" id="{00000000-0008-0000-4600-0000413621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390525</xdr:colOff>
      <xdr:row>46</xdr:row>
      <xdr:rowOff>161925</xdr:rowOff>
    </xdr:from>
    <xdr:to>
      <xdr:col>11</xdr:col>
      <xdr:colOff>676275</xdr:colOff>
      <xdr:row>75</xdr:row>
      <xdr:rowOff>95250</xdr:rowOff>
    </xdr:to>
    <xdr:graphicFrame macro="">
      <xdr:nvGraphicFramePr>
        <xdr:cNvPr id="52508226" name="Chart 2">
          <a:extLst>
            <a:ext uri="{FF2B5EF4-FFF2-40B4-BE49-F238E27FC236}">
              <a16:creationId xmlns:a16="http://schemas.microsoft.com/office/drawing/2014/main" id="{00000000-0008-0000-4600-000042362103}"/>
            </a:ext>
            <a:ext uri="{147F2762-F138-4A5C-976F-8EAC2B608ADB}">
              <a16:predDERef xmlns:a16="http://schemas.microsoft.com/office/drawing/2014/main" pred="{00000000-0008-0000-4600-0000413621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428625</xdr:colOff>
      <xdr:row>28</xdr:row>
      <xdr:rowOff>76200</xdr:rowOff>
    </xdr:from>
    <xdr:to>
      <xdr:col>21</xdr:col>
      <xdr:colOff>9525</xdr:colOff>
      <xdr:row>40</xdr:row>
      <xdr:rowOff>809625</xdr:rowOff>
    </xdr:to>
    <xdr:graphicFrame macro="">
      <xdr:nvGraphicFramePr>
        <xdr:cNvPr id="2" name="Chart 1">
          <a:extLst>
            <a:ext uri="{FF2B5EF4-FFF2-40B4-BE49-F238E27FC236}">
              <a16:creationId xmlns:a16="http://schemas.microsoft.com/office/drawing/2014/main" id="{00000000-0008-0000-4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304800</xdr:colOff>
      <xdr:row>13</xdr:row>
      <xdr:rowOff>238125</xdr:rowOff>
    </xdr:from>
    <xdr:to>
      <xdr:col>19</xdr:col>
      <xdr:colOff>123825</xdr:colOff>
      <xdr:row>23</xdr:row>
      <xdr:rowOff>38101</xdr:rowOff>
    </xdr:to>
    <xdr:graphicFrame macro="">
      <xdr:nvGraphicFramePr>
        <xdr:cNvPr id="3" name="Chart 2">
          <a:extLst>
            <a:ext uri="{FF2B5EF4-FFF2-40B4-BE49-F238E27FC236}">
              <a16:creationId xmlns:a16="http://schemas.microsoft.com/office/drawing/2014/main" id="{00000000-0008-0000-4700-000003000000}"/>
            </a:ext>
            <a:ext uri="{147F2762-F138-4A5C-976F-8EAC2B608ADB}">
              <a16:predDERef xmlns:a16="http://schemas.microsoft.com/office/drawing/2014/main" pred="{00000000-0008-0000-4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xdr:col>
      <xdr:colOff>66675</xdr:colOff>
      <xdr:row>171</xdr:row>
      <xdr:rowOff>133350</xdr:rowOff>
    </xdr:from>
    <xdr:to>
      <xdr:col>10</xdr:col>
      <xdr:colOff>66675</xdr:colOff>
      <xdr:row>194</xdr:row>
      <xdr:rowOff>104775</xdr:rowOff>
    </xdr:to>
    <xdr:graphicFrame macro="">
      <xdr:nvGraphicFramePr>
        <xdr:cNvPr id="50288978" name="Chart 2">
          <a:extLst>
            <a:ext uri="{FF2B5EF4-FFF2-40B4-BE49-F238E27FC236}">
              <a16:creationId xmlns:a16="http://schemas.microsoft.com/office/drawing/2014/main" id="{00000000-0008-0000-4C00-00005259FF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876300</xdr:colOff>
      <xdr:row>52</xdr:row>
      <xdr:rowOff>133350</xdr:rowOff>
    </xdr:from>
    <xdr:to>
      <xdr:col>10</xdr:col>
      <xdr:colOff>95250</xdr:colOff>
      <xdr:row>77</xdr:row>
      <xdr:rowOff>0</xdr:rowOff>
    </xdr:to>
    <xdr:graphicFrame macro="">
      <xdr:nvGraphicFramePr>
        <xdr:cNvPr id="2" name="Chart 1">
          <a:extLst>
            <a:ext uri="{FF2B5EF4-FFF2-40B4-BE49-F238E27FC236}">
              <a16:creationId xmlns:a16="http://schemas.microsoft.com/office/drawing/2014/main" id="{00000000-0008-0000-5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809625</xdr:colOff>
      <xdr:row>2</xdr:row>
      <xdr:rowOff>171450</xdr:rowOff>
    </xdr:from>
    <xdr:to>
      <xdr:col>21</xdr:col>
      <xdr:colOff>600075</xdr:colOff>
      <xdr:row>27</xdr:row>
      <xdr:rowOff>57150</xdr:rowOff>
    </xdr:to>
    <xdr:graphicFrame macro="">
      <xdr:nvGraphicFramePr>
        <xdr:cNvPr id="3" name="Chart 2">
          <a:extLst>
            <a:ext uri="{FF2B5EF4-FFF2-40B4-BE49-F238E27FC236}">
              <a16:creationId xmlns:a16="http://schemas.microsoft.com/office/drawing/2014/main" id="{00000000-0008-0000-5300-000003000000}"/>
            </a:ext>
            <a:ext uri="{147F2762-F138-4A5C-976F-8EAC2B608ADB}">
              <a16:predDERef xmlns:a16="http://schemas.microsoft.com/office/drawing/2014/main" pred="{00000000-0008-0000-5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0.94373</cdr:x>
      <cdr:y>0.37209</cdr:y>
    </cdr:from>
    <cdr:to>
      <cdr:x>0.97442</cdr:x>
      <cdr:y>0.56025</cdr:y>
    </cdr:to>
    <cdr:sp macro="" textlink="">
      <cdr:nvSpPr>
        <cdr:cNvPr id="2" name="TextBox 1"/>
        <cdr:cNvSpPr txBox="1"/>
      </cdr:nvSpPr>
      <cdr:spPr>
        <a:xfrm xmlns:a="http://schemas.openxmlformats.org/drawingml/2006/main">
          <a:off x="7029450" y="1676400"/>
          <a:ext cx="228600" cy="8477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t>%</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154305</xdr:colOff>
      <xdr:row>13</xdr:row>
      <xdr:rowOff>51435</xdr:rowOff>
    </xdr:from>
    <xdr:to>
      <xdr:col>2</xdr:col>
      <xdr:colOff>641985</xdr:colOff>
      <xdr:row>13</xdr:row>
      <xdr:rowOff>234315</xdr:rowOff>
    </xdr:to>
    <xdr:sp macro="" textlink="">
      <xdr:nvSpPr>
        <xdr:cNvPr id="2" name="Rectangle 1">
          <a:extLst>
            <a:ext uri="{FF2B5EF4-FFF2-40B4-BE49-F238E27FC236}">
              <a16:creationId xmlns:a16="http://schemas.microsoft.com/office/drawing/2014/main" id="{00000000-0008-0000-0200-000002000000}"/>
            </a:ext>
          </a:extLst>
        </xdr:cNvPr>
        <xdr:cNvSpPr/>
      </xdr:nvSpPr>
      <xdr:spPr>
        <a:xfrm>
          <a:off x="1068705" y="4585335"/>
          <a:ext cx="487680" cy="182880"/>
        </a:xfrm>
        <a:prstGeom prst="rect">
          <a:avLst/>
        </a:prstGeom>
        <a:solidFill>
          <a:srgbClr val="E2E2E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9525</xdr:colOff>
      <xdr:row>91</xdr:row>
      <xdr:rowOff>95250</xdr:rowOff>
    </xdr:from>
    <xdr:to>
      <xdr:col>16</xdr:col>
      <xdr:colOff>419100</xdr:colOff>
      <xdr:row>116</xdr:row>
      <xdr:rowOff>161925</xdr:rowOff>
    </xdr:to>
    <xdr:graphicFrame macro="">
      <xdr:nvGraphicFramePr>
        <xdr:cNvPr id="2" name="Chart 5">
          <a:extLst>
            <a:ext uri="{FF2B5EF4-FFF2-40B4-BE49-F238E27FC236}">
              <a16:creationId xmlns:a16="http://schemas.microsoft.com/office/drawing/2014/main" id="{00000000-0008-0000-2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295275</xdr:colOff>
      <xdr:row>23</xdr:row>
      <xdr:rowOff>152400</xdr:rowOff>
    </xdr:from>
    <xdr:to>
      <xdr:col>35</xdr:col>
      <xdr:colOff>438150</xdr:colOff>
      <xdr:row>48</xdr:row>
      <xdr:rowOff>104775</xdr:rowOff>
    </xdr:to>
    <xdr:graphicFrame macro="">
      <xdr:nvGraphicFramePr>
        <xdr:cNvPr id="3" name="Chart 4">
          <a:extLst>
            <a:ext uri="{FF2B5EF4-FFF2-40B4-BE49-F238E27FC236}">
              <a16:creationId xmlns:a16="http://schemas.microsoft.com/office/drawing/2014/main" id="{00000000-0008-0000-2700-000003000000}"/>
            </a:ext>
            <a:ext uri="{147F2762-F138-4A5C-976F-8EAC2B608ADB}">
              <a16:predDERef xmlns:a16="http://schemas.microsoft.com/office/drawing/2014/main" pred="{00000000-0008-0000-2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37</xdr:col>
      <xdr:colOff>409575</xdr:colOff>
      <xdr:row>20</xdr:row>
      <xdr:rowOff>161925</xdr:rowOff>
    </xdr:from>
    <xdr:to>
      <xdr:col>49</xdr:col>
      <xdr:colOff>438150</xdr:colOff>
      <xdr:row>46</xdr:row>
      <xdr:rowOff>66675</xdr:rowOff>
    </xdr:to>
    <xdr:graphicFrame macro="">
      <xdr:nvGraphicFramePr>
        <xdr:cNvPr id="4" name="Chart 4">
          <a:extLst>
            <a:ext uri="{FF2B5EF4-FFF2-40B4-BE49-F238E27FC236}">
              <a16:creationId xmlns:a16="http://schemas.microsoft.com/office/drawing/2014/main" id="{00000000-0008-0000-2700-000004000000}"/>
            </a:ext>
            <a:ext uri="{147F2762-F138-4A5C-976F-8EAC2B608ADB}">
              <a16:predDERef xmlns:a16="http://schemas.microsoft.com/office/drawing/2014/main" pred="{00000000-0008-0000-2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533400</xdr:colOff>
      <xdr:row>37</xdr:row>
      <xdr:rowOff>104775</xdr:rowOff>
    </xdr:from>
    <xdr:to>
      <xdr:col>17</xdr:col>
      <xdr:colOff>114300</xdr:colOff>
      <xdr:row>62</xdr:row>
      <xdr:rowOff>180975</xdr:rowOff>
    </xdr:to>
    <xdr:graphicFrame macro="">
      <xdr:nvGraphicFramePr>
        <xdr:cNvPr id="5" name="Chart 5">
          <a:extLst>
            <a:ext uri="{FF2B5EF4-FFF2-40B4-BE49-F238E27FC236}">
              <a16:creationId xmlns:a16="http://schemas.microsoft.com/office/drawing/2014/main" id="{00000000-0008-0000-2700-000005000000}"/>
            </a:ext>
            <a:ext uri="{147F2762-F138-4A5C-976F-8EAC2B608ADB}">
              <a16:predDERef xmlns:a16="http://schemas.microsoft.com/office/drawing/2014/main" pred="{00000000-0008-0000-2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38</xdr:col>
      <xdr:colOff>0</xdr:colOff>
      <xdr:row>52</xdr:row>
      <xdr:rowOff>0</xdr:rowOff>
    </xdr:from>
    <xdr:to>
      <xdr:col>50</xdr:col>
      <xdr:colOff>28575</xdr:colOff>
      <xdr:row>76</xdr:row>
      <xdr:rowOff>19050</xdr:rowOff>
    </xdr:to>
    <xdr:graphicFrame macro="">
      <xdr:nvGraphicFramePr>
        <xdr:cNvPr id="6" name="Chart 4">
          <a:extLst>
            <a:ext uri="{FF2B5EF4-FFF2-40B4-BE49-F238E27FC236}">
              <a16:creationId xmlns:a16="http://schemas.microsoft.com/office/drawing/2014/main" id="{00000000-0008-0000-2700-000006000000}"/>
            </a:ext>
            <a:ext uri="{147F2762-F138-4A5C-976F-8EAC2B608ADB}">
              <a16:predDERef xmlns:a16="http://schemas.microsoft.com/office/drawing/2014/main" pred="{00000000-0008-0000-2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0.87621</cdr:x>
      <cdr:y>0.35108</cdr:y>
    </cdr:from>
    <cdr:to>
      <cdr:x>0.97367</cdr:x>
      <cdr:y>0.45957</cdr:y>
    </cdr:to>
    <cdr:sp macro="" textlink="">
      <cdr:nvSpPr>
        <cdr:cNvPr id="2" name="TextBox 1"/>
        <cdr:cNvSpPr txBox="1"/>
      </cdr:nvSpPr>
      <cdr:spPr>
        <a:xfrm xmlns:a="http://schemas.openxmlformats.org/drawingml/2006/main">
          <a:off x="6877050" y="1695450"/>
          <a:ext cx="764895" cy="523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solidFill>
                <a:sysClr val="windowText" lastClr="000000"/>
              </a:solidFill>
            </a:rPr>
            <a:t> %</a:t>
          </a:r>
        </a:p>
      </cdr:txBody>
    </cdr:sp>
  </cdr:relSizeAnchor>
</c:userShapes>
</file>

<file path=xl/drawings/drawing5.xml><?xml version="1.0" encoding="utf-8"?>
<c:userShapes xmlns:c="http://schemas.openxmlformats.org/drawingml/2006/chart">
  <cdr:relSizeAnchor xmlns:cdr="http://schemas.openxmlformats.org/drawingml/2006/chartDrawing">
    <cdr:from>
      <cdr:x>0.02594</cdr:x>
      <cdr:y>0.38182</cdr:y>
    </cdr:from>
    <cdr:to>
      <cdr:x>0.06874</cdr:x>
      <cdr:y>0.51919</cdr:y>
    </cdr:to>
    <cdr:sp macro="" textlink="">
      <cdr:nvSpPr>
        <cdr:cNvPr id="2" name="TextBox 1"/>
        <cdr:cNvSpPr txBox="1"/>
      </cdr:nvSpPr>
      <cdr:spPr>
        <a:xfrm xmlns:a="http://schemas.openxmlformats.org/drawingml/2006/main">
          <a:off x="190500" y="1800225"/>
          <a:ext cx="314325"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t>%</a:t>
          </a:r>
        </a:p>
      </cdr:txBody>
    </cdr:sp>
  </cdr:relSizeAnchor>
</c:userShapes>
</file>

<file path=xl/drawings/drawing6.xml><?xml version="1.0" encoding="utf-8"?>
<c:userShapes xmlns:c="http://schemas.openxmlformats.org/drawingml/2006/chart">
  <cdr:relSizeAnchor xmlns:cdr="http://schemas.openxmlformats.org/drawingml/2006/chartDrawing">
    <cdr:from>
      <cdr:x>0.02594</cdr:x>
      <cdr:y>0.38182</cdr:y>
    </cdr:from>
    <cdr:to>
      <cdr:x>0.06874</cdr:x>
      <cdr:y>0.51919</cdr:y>
    </cdr:to>
    <cdr:sp macro="" textlink="">
      <cdr:nvSpPr>
        <cdr:cNvPr id="2" name="TextBox 1"/>
        <cdr:cNvSpPr txBox="1"/>
      </cdr:nvSpPr>
      <cdr:spPr>
        <a:xfrm xmlns:a="http://schemas.openxmlformats.org/drawingml/2006/main">
          <a:off x="190500" y="1800225"/>
          <a:ext cx="314325"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t>%</a:t>
          </a:r>
        </a:p>
      </cdr:txBody>
    </cdr:sp>
  </cdr:relSizeAnchor>
</c:userShapes>
</file>

<file path=xl/drawings/drawing7.xml><?xml version="1.0" encoding="utf-8"?>
<xdr:wsDr xmlns:xdr="http://schemas.openxmlformats.org/drawingml/2006/spreadsheetDrawing" xmlns:a="http://schemas.openxmlformats.org/drawingml/2006/main">
  <xdr:twoCellAnchor>
    <xdr:from>
      <xdr:col>3</xdr:col>
      <xdr:colOff>266700</xdr:colOff>
      <xdr:row>112</xdr:row>
      <xdr:rowOff>133350</xdr:rowOff>
    </xdr:from>
    <xdr:to>
      <xdr:col>18</xdr:col>
      <xdr:colOff>66675</xdr:colOff>
      <xdr:row>135</xdr:row>
      <xdr:rowOff>104775</xdr:rowOff>
    </xdr:to>
    <xdr:graphicFrame macro="">
      <xdr:nvGraphicFramePr>
        <xdr:cNvPr id="2" name="Chart 2">
          <a:extLst>
            <a:ext uri="{FF2B5EF4-FFF2-40B4-BE49-F238E27FC236}">
              <a16:creationId xmlns:a16="http://schemas.microsoft.com/office/drawing/2014/main" id="{00000000-0008-0000-2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361950</xdr:colOff>
      <xdr:row>22</xdr:row>
      <xdr:rowOff>161925</xdr:rowOff>
    </xdr:from>
    <xdr:to>
      <xdr:col>29</xdr:col>
      <xdr:colOff>304800</xdr:colOff>
      <xdr:row>52</xdr:row>
      <xdr:rowOff>152400</xdr:rowOff>
    </xdr:to>
    <xdr:graphicFrame macro="">
      <xdr:nvGraphicFramePr>
        <xdr:cNvPr id="3" name="Chart 3">
          <a:extLst>
            <a:ext uri="{FF2B5EF4-FFF2-40B4-BE49-F238E27FC236}">
              <a16:creationId xmlns:a16="http://schemas.microsoft.com/office/drawing/2014/main" id="{00000000-0008-0000-2D00-000003000000}"/>
            </a:ext>
            <a:ext uri="{147F2762-F138-4A5C-976F-8EAC2B608ADB}">
              <a16:predDERef xmlns:a16="http://schemas.microsoft.com/office/drawing/2014/main" pred="{00000000-0008-0000-2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33</xdr:col>
      <xdr:colOff>485775</xdr:colOff>
      <xdr:row>18</xdr:row>
      <xdr:rowOff>114300</xdr:rowOff>
    </xdr:from>
    <xdr:to>
      <xdr:col>44</xdr:col>
      <xdr:colOff>571500</xdr:colOff>
      <xdr:row>43</xdr:row>
      <xdr:rowOff>276225</xdr:rowOff>
    </xdr:to>
    <xdr:graphicFrame macro="">
      <xdr:nvGraphicFramePr>
        <xdr:cNvPr id="4" name="Chart 3">
          <a:extLst>
            <a:ext uri="{FF2B5EF4-FFF2-40B4-BE49-F238E27FC236}">
              <a16:creationId xmlns:a16="http://schemas.microsoft.com/office/drawing/2014/main" id="{00000000-0008-0000-2D00-000004000000}"/>
            </a:ext>
            <a:ext uri="{147F2762-F138-4A5C-976F-8EAC2B608ADB}">
              <a16:predDERef xmlns:a16="http://schemas.microsoft.com/office/drawing/2014/main" pre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171450</xdr:colOff>
      <xdr:row>52</xdr:row>
      <xdr:rowOff>76200</xdr:rowOff>
    </xdr:from>
    <xdr:to>
      <xdr:col>13</xdr:col>
      <xdr:colOff>485775</xdr:colOff>
      <xdr:row>77</xdr:row>
      <xdr:rowOff>57150</xdr:rowOff>
    </xdr:to>
    <xdr:graphicFrame macro="">
      <xdr:nvGraphicFramePr>
        <xdr:cNvPr id="5" name="Chart 5">
          <a:extLst>
            <a:ext uri="{FF2B5EF4-FFF2-40B4-BE49-F238E27FC236}">
              <a16:creationId xmlns:a16="http://schemas.microsoft.com/office/drawing/2014/main" id="{00000000-0008-0000-2D00-000005000000}"/>
            </a:ext>
            <a:ext uri="{147F2762-F138-4A5C-976F-8EAC2B608ADB}">
              <a16:predDERef xmlns:a16="http://schemas.microsoft.com/office/drawing/2014/main" pred="{00000000-0008-0000-2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33</xdr:col>
      <xdr:colOff>809625</xdr:colOff>
      <xdr:row>50</xdr:row>
      <xdr:rowOff>0</xdr:rowOff>
    </xdr:from>
    <xdr:to>
      <xdr:col>45</xdr:col>
      <xdr:colOff>285750</xdr:colOff>
      <xdr:row>79</xdr:row>
      <xdr:rowOff>123825</xdr:rowOff>
    </xdr:to>
    <xdr:graphicFrame macro="">
      <xdr:nvGraphicFramePr>
        <xdr:cNvPr id="6" name="Chart 3">
          <a:extLst>
            <a:ext uri="{FF2B5EF4-FFF2-40B4-BE49-F238E27FC236}">
              <a16:creationId xmlns:a16="http://schemas.microsoft.com/office/drawing/2014/main" id="{00000000-0008-0000-2D00-000006000000}"/>
            </a:ext>
            <a:ext uri="{147F2762-F138-4A5C-976F-8EAC2B608ADB}">
              <a16:predDERef xmlns:a16="http://schemas.microsoft.com/office/drawing/2014/main" pred="{00000000-0008-0000-2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0.86242</cdr:x>
      <cdr:y>0.39813</cdr:y>
    </cdr:from>
    <cdr:to>
      <cdr:x>0.99648</cdr:x>
      <cdr:y>0.52693</cdr:y>
    </cdr:to>
    <cdr:sp macro="" textlink="">
      <cdr:nvSpPr>
        <cdr:cNvPr id="2" name="TextBox 1"/>
        <cdr:cNvSpPr txBox="1"/>
      </cdr:nvSpPr>
      <cdr:spPr>
        <a:xfrm xmlns:a="http://schemas.openxmlformats.org/drawingml/2006/main">
          <a:off x="6448425" y="1619250"/>
          <a:ext cx="1002408" cy="5238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1100">
              <a:solidFill>
                <a:sysClr val="windowText" lastClr="000000"/>
              </a:solidFill>
            </a:rPr>
            <a:t> %</a:t>
          </a:r>
        </a:p>
      </cdr:txBody>
    </cdr:sp>
  </cdr:relSizeAnchor>
</c:userShapes>
</file>

<file path=xl/drawings/drawing9.xml><?xml version="1.0" encoding="utf-8"?>
<xdr:wsDr xmlns:xdr="http://schemas.openxmlformats.org/drawingml/2006/spreadsheetDrawing" xmlns:a="http://schemas.openxmlformats.org/drawingml/2006/main">
  <xdr:twoCellAnchor>
    <xdr:from>
      <xdr:col>8</xdr:col>
      <xdr:colOff>85724</xdr:colOff>
      <xdr:row>2</xdr:row>
      <xdr:rowOff>85725</xdr:rowOff>
    </xdr:from>
    <xdr:to>
      <xdr:col>19</xdr:col>
      <xdr:colOff>95249</xdr:colOff>
      <xdr:row>32</xdr:row>
      <xdr:rowOff>57150</xdr:rowOff>
    </xdr:to>
    <xdr:graphicFrame macro="">
      <xdr:nvGraphicFramePr>
        <xdr:cNvPr id="50291026" name="Chart 1">
          <a:extLst>
            <a:ext uri="{FF2B5EF4-FFF2-40B4-BE49-F238E27FC236}">
              <a16:creationId xmlns:a16="http://schemas.microsoft.com/office/drawing/2014/main" id="{00000000-0008-0000-4200-00005261FF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Industry%20Hand%20Book\Final%20II%202014-4-02%20after%20SLIC%20GWP%20dist%20Channel%20change.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ircsl-my.sharepoint.com/Soft%20Copies%20from%20Companies/Amana/Revise%20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ircsl-my.sharepoint.com/Soft%20Copies%20from%20Companies/Asi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ircsl-my.sharepoint.com/Soft%20Copies%20from%20Companies/cey%20gen/Cey%20-%20Gener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ircsl-my.sharepoint.com/Soft%20Copies%20from%20Companies/HNB.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ircsl-my.sharepoint.com/Soft%20Copies%20from%20Companies/Janashakthi/JIPLC.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ircsl-my.sharepoint.com/Soft%20Copies%20from%20Companies/Sanasa/Sanasa.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ircsl-my.sharepoint.com/Soft%20Copies%20from%20Companies/SLIC%20Without%20Link.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Industry%20Hand%20Book\Soft%20Copies%20from%20Companies\Asian%20Alliance.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Industry%20Hand%20Book\Soft%20Copies%20from%20Companies\Allianz\GI.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Industry%20Hand%20Book\Soft%20Copies%20from%20Companies\A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Documents%20and%20Settings\shanika\Desktop\Final%20-%202014-3-20%20after%20NIC%20Revise%20III.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Industry%20Hand%20Book\Soft%20Copies%20from%20Companies\Amana.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Industry%20Hand%20Book\Soft%20Copies%20from%20Companies\AIG.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Industry%20Hand%20Book\Soft%20Copies%20from%20Companies\Conti\Conti%20Revised%2028-02.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Industry%20Hand%20Book\Soft%20Copies%20from%20Companies\Ceylinco\GI.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Industry%20Hand%20Book\Soft%20Copies%20from%20Companies\Co%20op\Revised.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Industry%20Hand%20Book\Soft%20Copies%20from%20Companies\HNBA.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Industry%20Hand%20Book\Soft%20Copies%20from%20Companies\JIC.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W:\Industry%20Hand%20Book\Soft%20Copies%20from%20Companies\LOLC\LOLC%20II.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Industry%20Hand%20Book\Soft%20Copies%20from%20Companies\MBSL.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W:\Industry%20Hand%20Book\Soft%20Copies%20from%20Companies\PI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rcsl-my.sharepoint.com/Kapila%20Docs/Kapila%20-%20IBSL/Annual%20Report%20-%20%202011/AR%20Table%20Final%20-%202011/AR%20Table%20201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W:\Industry%20Hand%20Book\Soft%20Copies%20from%20Companies\SLIC.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W:\Industry%20Hand%20Book\Soft%20Copies%20from%20Companies\SANASA.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W:\Industry%20Hand%20Book\Soft%20Copies%20from%20Companies\UAL.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W:\Industry%20Hand%20Book\Soft%20Copies%20from%20Companies\Orient.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W:\Industry%20Hand%20Book\Soft%20Copies%20from%20Companies\JIPLC\Revise%20-%20Final%20Submission%2003.03.2014.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W:\Industry%20Hand%20Book\Soft%20Copies%20from%20Companies\Sanasa\SANASA%20%20Revised%20-%20IBSL%20Annual%20Report%20Data%20-%202013.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ircsl-my.sharepoint.com/Soft%20Copies%20from%20Companies/Orient.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s://ircsl-my.sharepoint.com/Soft%20Copies%20from%20Companies/Conti.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ircsl-my.sharepoint.com/Soft%20Copies%20from%20Companies/cO%20oPERATIVE.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ircsl-my.sharepoint.com/Soft%20Copies%20from%20Companies/LOLC.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ircsl-my.sharepoint.com/Soft%20Copies%20from%20Companies/Arpico.xlsx"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ircsl-my.sharepoint.com/Soft%20Copies%20from%20Companies/People's.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s://ircsl-my.sharepoint.com/RMV%20%20statisticaldata%20Vehicles%202012.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ircsl-my.sharepoint.com/Soft%20Copies%20from%20Companies/LOLC/LOLC%20Revise%20II.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ircsl-my.sharepoint.com/Soft%20Copies%20from%20Companies/MBSL/MBSL.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ircsl-my.sharepoint.com/Soft%20Copies%20from%20Companies/UAL.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s://ircsl-my.sharepoint.com/Soft%20Copies%20from%20Companies/LIC.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s://ircsl-my.sharepoint.com/Soft%20Copies%20from%20Companies/AIG/AIG%20Revise%20I.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https://ircsl-my.sharepoint.com/Soft%20Copies%20from%20Companies/SLIC.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s://ircsl-my.sharepoint.com/Soft%20Copies%20from%20Companies/UAL/Revise%201.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s://ircsl-my.sharepoint.com/Users/kapila/AppData/Local/Microsoft/Windows/Temporary%20Internet%20Files/Content.Outlook/AFQWEOHZ/IBSL%20AR%20INF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Users\kapila\AppData\Local\Microsoft\Windows\Temporary%20Internet%20Files\Content.Outlook\AFQWEOHZ\Annual%20Report%20Data%20for%202011%20to%20IBSL.xlsx"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s://ircsl-my.sharepoint.com/Soft%20Copies%20from%20Companies/AIG%20(Chartis).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https://ircsl-my.sharepoint.com/Soft%20Copies%20from%20Companies/Janashakthi/JIPLC%20Revise%201.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s://ircsl-my.sharepoint.com/Kapila%20Docs/Kapila%20-%20IBSL/CBSL/2011/31-12-11/Year%20201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Kapila%20Docs\Kapila%20-%20IBSL\Annual%20Report%20-%20%202011\AR%20Table%20Final%20-%202011\AR%20Table%20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Kapila%20Docs\Kapila%20-%20IBSL\Annual%20Report%202012\Final%20Tables%20&amp;%20Charts\Old\Final%20II%20%20After%20SLIC%20Chang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rcsl-my.sharepoint.com/Soft%20Copies%20from%20Companies/AI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ircsl-my.sharepoint.com/Soft%20Copies%20from%20Companies/Allianz%20G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3(i) -Motor Policies"/>
      <sheetName val="Additional Data GI - 2013"/>
      <sheetName val="Additional Data GI - 2012"/>
      <sheetName val="Expenses 2008&amp;09 GI"/>
      <sheetName val="TR - 2012"/>
      <sheetName val="T12 GI - Claims Age"/>
      <sheetName val="GI - Claims Age Rs. 2012 "/>
      <sheetName val="NEP - LI - 2011 &amp; 12"/>
      <sheetName val="GI - Claims Outs - 2013"/>
      <sheetName val="LI - # of Customers"/>
      <sheetName val="Forf &amp; Surrender"/>
      <sheetName val="GWP - Dist Chan - LI (aft adjs)"/>
      <sheetName val="Claim Details - LI"/>
      <sheetName val="T21 Age Claims Outs LI"/>
      <sheetName val="Age Claims Outs LI Rs.'000"/>
      <sheetName val="Marine Claims"/>
      <sheetName val="Marine Earned Premium"/>
      <sheetName val="SRCC &amp; TC 2011 &amp; 12"/>
      <sheetName val="Co Ins Outward"/>
      <sheetName val="List of tables"/>
      <sheetName val="New - LT"/>
      <sheetName val="New Busi LT"/>
      <sheetName val="New &amp; Inforced Policies LI"/>
      <sheetName val="Inforced LI"/>
      <sheetName val="Table 1 - penetration"/>
      <sheetName val="Table 2, 3 Chart 1 Assets"/>
      <sheetName val="Chart 2 Assets Conce"/>
      <sheetName val="Table 4 - SH"/>
      <sheetName val="AR Table 05 &amp;  Chart 3 CBSL Dat"/>
      <sheetName val="Table 6 - Branches-Emp-Agents"/>
      <sheetName val="Chart 5 - GWP - Dist Chan - GI"/>
      <sheetName val="Table 07, Chart 6 &amp; 7 GWP LT"/>
      <sheetName val="Chart 8 - Life Benifits Rs.'000"/>
      <sheetName val="# of Life Benifits Paid"/>
      <sheetName val="AR Table 9 &amp; Chart 9 -Assets LT"/>
      <sheetName val="Table 10 -Investment Income LI "/>
      <sheetName val="Chart 10 - LI - laps new "/>
      <sheetName val="Table 11- Solvency LI "/>
      <sheetName val="Table 12, Chart 11 &amp; 12 GWP GI"/>
      <sheetName val="Table 13 &amp; Chart 13 - GWP Class"/>
      <sheetName val="Table 14 - Misc BU GWP"/>
      <sheetName val="AR Table 15 &amp; Chart 15 Retentio"/>
      <sheetName val="AR table 16 &amp; Chart 16 combine"/>
      <sheetName val="Table 17 &amp; Chart 17 Assets SH"/>
      <sheetName val="Table 18 - Investment Income GI"/>
      <sheetName val="Table 19 - Solvency  GI "/>
      <sheetName val="T20  - GI Policies "/>
      <sheetName val="LI - Solvency"/>
      <sheetName val="AR6&amp;7 Support I"/>
      <sheetName val="P &amp; L - GI - 2012 "/>
      <sheetName val="AR6&amp;7 Support II"/>
      <sheetName val="Invest Income GI - 2013"/>
      <sheetName val="Invest Income GI - 2012 "/>
      <sheetName val="GI - Solvency"/>
      <sheetName val="AR 5 Support"/>
      <sheetName val="InV Income  - Life"/>
      <sheetName val="BS 2013"/>
      <sheetName val="Sheet3"/>
      <sheetName val="BS 2012"/>
      <sheetName val="P &amp; L - GI - 2013"/>
      <sheetName val="GWP - LT + GI  (2)"/>
      <sheetName val="GWP - LT + GI "/>
      <sheetName val="GWP - Dist Chan - LI"/>
      <sheetName val="Sheet4"/>
      <sheetName val="To Rajan"/>
      <sheetName val="AR 6&amp;7 Support III"/>
      <sheetName val="AR7&amp;8 Support"/>
      <sheetName val="Ratio"/>
      <sheetName val="Premium Receivable"/>
      <sheetName val="LI - laps new  (2)"/>
      <sheetName val="P &amp; L LI 2013 &amp; 12"/>
      <sheetName val="BR -IN"/>
      <sheetName val="New GI"/>
      <sheetName val="T14 (i) -GI Sum Insu"/>
      <sheetName val="T14As % of National Income"/>
      <sheetName val="Sheet1"/>
      <sheetName val="Ratios"/>
      <sheetName val="Sheet2"/>
      <sheetName val="AR table 6 &amp; Chart 7 (2)"/>
      <sheetName val="Sheet5"/>
      <sheetName val="LI - laps Tot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ow r="6">
          <cell r="V6">
            <v>1424130.0917486532</v>
          </cell>
        </row>
      </sheetData>
      <sheetData sheetId="49">
        <row r="9">
          <cell r="H9">
            <v>-2238827.710423843</v>
          </cell>
        </row>
        <row r="10">
          <cell r="H10">
            <v>-8698350.6519710943</v>
          </cell>
        </row>
        <row r="13">
          <cell r="H13">
            <v>38453601.911363319</v>
          </cell>
        </row>
        <row r="16">
          <cell r="H16">
            <v>-23767418.515468184</v>
          </cell>
        </row>
        <row r="41">
          <cell r="H41">
            <v>1190391.68979</v>
          </cell>
        </row>
        <row r="42">
          <cell r="H42">
            <v>0</v>
          </cell>
        </row>
        <row r="43">
          <cell r="H43">
            <v>-57151.675239999997</v>
          </cell>
        </row>
        <row r="44">
          <cell r="C44">
            <v>-101703.41316000003</v>
          </cell>
          <cell r="D44">
            <v>-34862.898209999999</v>
          </cell>
          <cell r="E44">
            <v>-21822.90625</v>
          </cell>
          <cell r="F44">
            <v>-325.90153000000009</v>
          </cell>
          <cell r="G44">
            <v>-18722.87905</v>
          </cell>
          <cell r="H44">
            <v>-177437.9982</v>
          </cell>
        </row>
        <row r="74">
          <cell r="H74">
            <v>1521463.38</v>
          </cell>
        </row>
        <row r="75">
          <cell r="H75">
            <v>-4802</v>
          </cell>
        </row>
        <row r="76">
          <cell r="H76">
            <v>-119534</v>
          </cell>
        </row>
        <row r="77">
          <cell r="C77">
            <v>-693130</v>
          </cell>
          <cell r="D77">
            <v>-22289</v>
          </cell>
          <cell r="E77">
            <v>-3679</v>
          </cell>
          <cell r="F77">
            <v>-3</v>
          </cell>
          <cell r="G77">
            <v>-152341</v>
          </cell>
          <cell r="H77">
            <v>-871442</v>
          </cell>
        </row>
        <row r="140">
          <cell r="H140">
            <v>2400300.0306400005</v>
          </cell>
        </row>
        <row r="141">
          <cell r="H141">
            <v>-33029.907579999999</v>
          </cell>
        </row>
        <row r="142">
          <cell r="H142">
            <v>-224017.51134000011</v>
          </cell>
        </row>
        <row r="143">
          <cell r="C143">
            <v>-206999.32515999989</v>
          </cell>
          <cell r="D143">
            <v>-71755.733789999998</v>
          </cell>
          <cell r="E143">
            <v>1.8189894035458565E-12</v>
          </cell>
          <cell r="F143">
            <v>-3751</v>
          </cell>
          <cell r="G143">
            <v>-55393.793419999987</v>
          </cell>
          <cell r="H143">
            <v>-337899.85236999986</v>
          </cell>
        </row>
        <row r="173">
          <cell r="H173">
            <v>1193875.081</v>
          </cell>
        </row>
        <row r="174">
          <cell r="H174">
            <v>-5905.4230000000007</v>
          </cell>
        </row>
        <row r="175">
          <cell r="H175">
            <v>-62132.311999999998</v>
          </cell>
        </row>
        <row r="176">
          <cell r="C176">
            <v>-50980.593999999997</v>
          </cell>
          <cell r="D176">
            <v>-21371.361000000001</v>
          </cell>
          <cell r="E176">
            <v>-499.7489999999998</v>
          </cell>
          <cell r="F176">
            <v>-73.019000000000005</v>
          </cell>
          <cell r="G176">
            <v>-30581.596000000001</v>
          </cell>
          <cell r="H176">
            <v>-103506.319</v>
          </cell>
        </row>
        <row r="206">
          <cell r="H206">
            <v>838373.81137999997</v>
          </cell>
        </row>
        <row r="207">
          <cell r="H207">
            <v>0</v>
          </cell>
        </row>
        <row r="208">
          <cell r="H208">
            <v>-18926.153760000001</v>
          </cell>
        </row>
        <row r="209">
          <cell r="C209">
            <v>-73385.81823332209</v>
          </cell>
          <cell r="D209">
            <v>-87367.785373185296</v>
          </cell>
          <cell r="E209">
            <v>-1590.3</v>
          </cell>
          <cell r="F209">
            <v>-1836.5482099999999</v>
          </cell>
          <cell r="G209">
            <v>-239620.83364729298</v>
          </cell>
          <cell r="H209">
            <v>-403801.28546380036</v>
          </cell>
        </row>
        <row r="239">
          <cell r="H239">
            <v>1642671.4496818865</v>
          </cell>
        </row>
        <row r="240">
          <cell r="H240">
            <v>-45996.686988113695</v>
          </cell>
        </row>
        <row r="241">
          <cell r="H241">
            <v>-51448.8011240005</v>
          </cell>
        </row>
        <row r="242">
          <cell r="C242">
            <v>-387454.08399659401</v>
          </cell>
          <cell r="D242">
            <v>-11665.429084335199</v>
          </cell>
          <cell r="E242">
            <v>-10633.263659976299</v>
          </cell>
          <cell r="F242">
            <v>-2065.4242089644599</v>
          </cell>
          <cell r="G242">
            <v>-72704.405930149907</v>
          </cell>
          <cell r="H242">
            <v>-484522.60688001988</v>
          </cell>
        </row>
        <row r="272">
          <cell r="H272">
            <v>11093583</v>
          </cell>
        </row>
        <row r="273">
          <cell r="H273">
            <v>-72366</v>
          </cell>
        </row>
        <row r="274">
          <cell r="H274">
            <v>-586300</v>
          </cell>
        </row>
        <row r="275">
          <cell r="C275">
            <v>-922379</v>
          </cell>
          <cell r="D275">
            <v>-153961</v>
          </cell>
          <cell r="E275">
            <v>-40523</v>
          </cell>
          <cell r="F275">
            <v>-8301</v>
          </cell>
          <cell r="G275">
            <v>-461670</v>
          </cell>
          <cell r="H275">
            <v>-1586834</v>
          </cell>
        </row>
        <row r="278">
          <cell r="C278">
            <v>516418</v>
          </cell>
        </row>
        <row r="305">
          <cell r="H305">
            <v>1156912.0669100001</v>
          </cell>
        </row>
        <row r="306">
          <cell r="H306">
            <v>-531.98800000000006</v>
          </cell>
        </row>
        <row r="307">
          <cell r="H307">
            <v>-21368.918000000001</v>
          </cell>
        </row>
        <row r="308">
          <cell r="C308">
            <v>-19020.007000000001</v>
          </cell>
          <cell r="D308">
            <v>-8783.5409999999993</v>
          </cell>
          <cell r="E308">
            <v>-18143.343000000001</v>
          </cell>
          <cell r="F308">
            <v>0</v>
          </cell>
          <cell r="G308">
            <v>-7413.5469999999996</v>
          </cell>
          <cell r="H308">
            <v>-53360.438000000002</v>
          </cell>
        </row>
        <row r="341">
          <cell r="H341">
            <v>0</v>
          </cell>
        </row>
        <row r="371">
          <cell r="H371">
            <v>1711203.50232</v>
          </cell>
        </row>
        <row r="372">
          <cell r="H372">
            <v>0</v>
          </cell>
        </row>
        <row r="373">
          <cell r="H373">
            <v>-75898.492560000013</v>
          </cell>
        </row>
        <row r="374">
          <cell r="C374">
            <v>-192599.49713999999</v>
          </cell>
          <cell r="D374">
            <v>-20228.175439999999</v>
          </cell>
          <cell r="E374">
            <v>-43410.974920000001</v>
          </cell>
          <cell r="F374">
            <v>-41.6121499999999</v>
          </cell>
          <cell r="G374">
            <v>-59454.026790000004</v>
          </cell>
          <cell r="H374">
            <v>-315734.28644</v>
          </cell>
        </row>
        <row r="404">
          <cell r="H404">
            <v>5960127.4972300194</v>
          </cell>
        </row>
        <row r="405">
          <cell r="H405">
            <v>0</v>
          </cell>
        </row>
        <row r="406">
          <cell r="H406">
            <v>-186698</v>
          </cell>
        </row>
        <row r="407">
          <cell r="C407">
            <v>-298219.90360000002</v>
          </cell>
          <cell r="D407">
            <v>-82864.578379999992</v>
          </cell>
          <cell r="E407">
            <v>-85867.619449999998</v>
          </cell>
          <cell r="G407">
            <v>-132038.28727</v>
          </cell>
          <cell r="H407">
            <v>-598990.38870000001</v>
          </cell>
        </row>
        <row r="503">
          <cell r="H503">
            <v>1314097.1415300001</v>
          </cell>
        </row>
        <row r="504">
          <cell r="H504">
            <v>-5070.0688700000001</v>
          </cell>
        </row>
        <row r="505">
          <cell r="H505">
            <v>-13894.44708</v>
          </cell>
        </row>
        <row r="506">
          <cell r="C506">
            <v>-38163.098480000001</v>
          </cell>
          <cell r="D506">
            <v>-6673.3667599999999</v>
          </cell>
          <cell r="E506">
            <v>-35979.782979999996</v>
          </cell>
          <cell r="F506">
            <v>0</v>
          </cell>
          <cell r="G506">
            <v>-12443.95076</v>
          </cell>
          <cell r="H506">
            <v>-93260.198979999986</v>
          </cell>
        </row>
        <row r="536">
          <cell r="H536">
            <v>1079639.16922</v>
          </cell>
        </row>
        <row r="537">
          <cell r="H537">
            <v>0</v>
          </cell>
        </row>
        <row r="538">
          <cell r="H538">
            <v>-30492.435819999999</v>
          </cell>
        </row>
        <row r="539">
          <cell r="C539">
            <v>-41313.064200000001</v>
          </cell>
          <cell r="D539">
            <v>-21860.237260000005</v>
          </cell>
          <cell r="E539">
            <v>-15997.283530000001</v>
          </cell>
          <cell r="F539">
            <v>0</v>
          </cell>
          <cell r="G539">
            <v>-31281.065399999999</v>
          </cell>
          <cell r="H539">
            <v>-110451.65039</v>
          </cell>
        </row>
        <row r="569">
          <cell r="H569">
            <v>2944486.79213</v>
          </cell>
        </row>
        <row r="570">
          <cell r="H570">
            <v>0</v>
          </cell>
        </row>
        <row r="571">
          <cell r="H571">
            <v>-149039</v>
          </cell>
        </row>
        <row r="572">
          <cell r="C572">
            <v>-87261</v>
          </cell>
          <cell r="D572">
            <v>-4223</v>
          </cell>
          <cell r="E572">
            <v>-38273</v>
          </cell>
          <cell r="F572">
            <v>0</v>
          </cell>
          <cell r="G572">
            <v>-27862</v>
          </cell>
          <cell r="H572">
            <v>-157619</v>
          </cell>
        </row>
        <row r="602">
          <cell r="H602">
            <v>12803591.569259999</v>
          </cell>
        </row>
        <row r="603">
          <cell r="H603">
            <v>0</v>
          </cell>
        </row>
        <row r="604">
          <cell r="H604">
            <v>-444404.15857000003</v>
          </cell>
        </row>
        <row r="605">
          <cell r="C605">
            <v>-958922.61083999998</v>
          </cell>
          <cell r="D605">
            <v>-250523.91595</v>
          </cell>
          <cell r="E605">
            <v>-57267.41455999999</v>
          </cell>
          <cell r="F605">
            <v>0</v>
          </cell>
          <cell r="G605">
            <v>-1281244.2587899999</v>
          </cell>
          <cell r="H605">
            <v>-2547958.2001399999</v>
          </cell>
        </row>
        <row r="608">
          <cell r="C608">
            <v>211402.43547999993</v>
          </cell>
          <cell r="D608">
            <v>-17720.445320000021</v>
          </cell>
          <cell r="E608">
            <v>7118266.2959499974</v>
          </cell>
          <cell r="F608">
            <v>81464.675830000022</v>
          </cell>
          <cell r="G608">
            <v>1965098.9336100011</v>
          </cell>
        </row>
        <row r="635">
          <cell r="H635">
            <v>297025.14753000007</v>
          </cell>
        </row>
        <row r="636">
          <cell r="H636">
            <v>0</v>
          </cell>
        </row>
        <row r="637">
          <cell r="H637">
            <v>11117.343130000001</v>
          </cell>
        </row>
        <row r="638">
          <cell r="C638">
            <v>-15464.611050000001</v>
          </cell>
          <cell r="D638">
            <v>0</v>
          </cell>
          <cell r="E638">
            <v>-6054.7959900000005</v>
          </cell>
          <cell r="F638">
            <v>0</v>
          </cell>
          <cell r="G638">
            <v>-56894.567619999994</v>
          </cell>
          <cell r="H638">
            <v>-78413.974659999993</v>
          </cell>
        </row>
        <row r="668">
          <cell r="H668">
            <v>4626432.5967899989</v>
          </cell>
        </row>
        <row r="669">
          <cell r="H669">
            <v>0</v>
          </cell>
        </row>
        <row r="670">
          <cell r="H670">
            <v>-190381</v>
          </cell>
        </row>
        <row r="671">
          <cell r="C671">
            <v>-39653.54800999997</v>
          </cell>
          <cell r="D671">
            <v>-516678.03612</v>
          </cell>
          <cell r="E671">
            <v>-97080.020380000002</v>
          </cell>
          <cell r="F671">
            <v>9575.8992400000006</v>
          </cell>
          <cell r="G671">
            <v>-78061.272200000007</v>
          </cell>
          <cell r="H671">
            <v>-721896.97746999993</v>
          </cell>
        </row>
        <row r="701">
          <cell r="H701">
            <v>326804.57808600005</v>
          </cell>
        </row>
        <row r="702">
          <cell r="H702">
            <v>0</v>
          </cell>
        </row>
        <row r="703">
          <cell r="H703">
            <v>-18258.148059842559</v>
          </cell>
        </row>
        <row r="704">
          <cell r="C704">
            <v>-14227.08568</v>
          </cell>
          <cell r="D704">
            <v>-11260.621660000001</v>
          </cell>
          <cell r="E704">
            <v>-1655.70334924074</v>
          </cell>
          <cell r="F704">
            <v>0</v>
          </cell>
          <cell r="G704">
            <v>-28078.0645880335</v>
          </cell>
          <cell r="H704">
            <v>-55221.475277274236</v>
          </cell>
        </row>
      </sheetData>
      <sheetData sheetId="50">
        <row r="6">
          <cell r="V6">
            <v>550496.67194199993</v>
          </cell>
        </row>
      </sheetData>
      <sheetData sheetId="51">
        <row r="23">
          <cell r="G23">
            <v>7523493.9383232836</v>
          </cell>
        </row>
      </sheetData>
      <sheetData sheetId="52">
        <row r="23">
          <cell r="G23">
            <v>6351723.6498362441</v>
          </cell>
        </row>
      </sheetData>
      <sheetData sheetId="53" refreshError="1"/>
      <sheetData sheetId="54">
        <row r="16">
          <cell r="V16">
            <v>5422345.636281671</v>
          </cell>
        </row>
      </sheetData>
      <sheetData sheetId="55" refreshError="1"/>
      <sheetData sheetId="56">
        <row r="100">
          <cell r="E100">
            <v>11343.2793</v>
          </cell>
        </row>
      </sheetData>
      <sheetData sheetId="57" refreshError="1"/>
      <sheetData sheetId="58" refreshError="1"/>
      <sheetData sheetId="59">
        <row r="9">
          <cell r="H9">
            <v>-3107389.6258930122</v>
          </cell>
        </row>
        <row r="10">
          <cell r="H10">
            <v>-8792480.685149977</v>
          </cell>
        </row>
        <row r="13">
          <cell r="H13">
            <v>42183171.414035596</v>
          </cell>
        </row>
        <row r="16">
          <cell r="H16">
            <v>-24740481.590397414</v>
          </cell>
        </row>
        <row r="41">
          <cell r="H41">
            <v>1556421</v>
          </cell>
        </row>
        <row r="42">
          <cell r="H42">
            <v>0</v>
          </cell>
        </row>
        <row r="43">
          <cell r="H43">
            <v>-179764</v>
          </cell>
        </row>
        <row r="44">
          <cell r="C44">
            <v>-81144</v>
          </cell>
          <cell r="D44">
            <v>-25246</v>
          </cell>
          <cell r="E44">
            <v>-51704</v>
          </cell>
          <cell r="F44">
            <v>-535</v>
          </cell>
          <cell r="G44">
            <v>-34931</v>
          </cell>
          <cell r="H44">
            <v>-193560</v>
          </cell>
        </row>
        <row r="74">
          <cell r="H74">
            <v>2104590.87</v>
          </cell>
        </row>
        <row r="75">
          <cell r="H75">
            <v>0</v>
          </cell>
        </row>
        <row r="76">
          <cell r="H76">
            <v>-139683.57</v>
          </cell>
        </row>
        <row r="77">
          <cell r="C77">
            <v>-566044.93000000005</v>
          </cell>
          <cell r="D77">
            <v>-29393.07</v>
          </cell>
          <cell r="E77">
            <v>-7957.11</v>
          </cell>
          <cell r="F77">
            <v>-111.84</v>
          </cell>
          <cell r="G77">
            <v>-113656.11</v>
          </cell>
          <cell r="H77">
            <v>-717163.05999999994</v>
          </cell>
        </row>
        <row r="140">
          <cell r="H140">
            <v>2673010</v>
          </cell>
        </row>
        <row r="141">
          <cell r="H141">
            <v>-29099.247009999999</v>
          </cell>
        </row>
        <row r="142">
          <cell r="H142">
            <v>-215235.69618999999</v>
          </cell>
        </row>
        <row r="143">
          <cell r="C143">
            <v>-253971</v>
          </cell>
          <cell r="D143">
            <v>-65209</v>
          </cell>
          <cell r="E143">
            <v>-9920</v>
          </cell>
          <cell r="F143">
            <v>-4695</v>
          </cell>
          <cell r="G143">
            <v>-116334</v>
          </cell>
          <cell r="H143">
            <v>-450129</v>
          </cell>
        </row>
        <row r="173">
          <cell r="H173">
            <v>1322820.1147058178</v>
          </cell>
        </row>
        <row r="174">
          <cell r="H174">
            <v>-17052.793250000002</v>
          </cell>
        </row>
        <row r="175">
          <cell r="H175">
            <v>-73334.030639999954</v>
          </cell>
        </row>
        <row r="176">
          <cell r="C176">
            <v>-43147.651840000202</v>
          </cell>
          <cell r="D176">
            <v>-20635.43446</v>
          </cell>
          <cell r="E176">
            <v>0</v>
          </cell>
          <cell r="F176">
            <v>-79.730879999999999</v>
          </cell>
          <cell r="G176">
            <v>-32694.910319999999</v>
          </cell>
          <cell r="H176">
            <v>-96557.727500000197</v>
          </cell>
        </row>
        <row r="206">
          <cell r="H206">
            <v>909143.1763727722</v>
          </cell>
        </row>
        <row r="207">
          <cell r="H207">
            <v>0</v>
          </cell>
        </row>
        <row r="208">
          <cell r="H208">
            <v>-29083.505584624996</v>
          </cell>
        </row>
        <row r="209">
          <cell r="C209">
            <v>-37799.38229621722</v>
          </cell>
          <cell r="D209">
            <v>-58996.709129365787</v>
          </cell>
          <cell r="E209">
            <v>-10703.527402805039</v>
          </cell>
          <cell r="F209">
            <v>-1113.9020909182393</v>
          </cell>
          <cell r="G209">
            <v>-340537.24858710868</v>
          </cell>
          <cell r="H209">
            <v>-449150.76950641494</v>
          </cell>
        </row>
        <row r="239">
          <cell r="H239">
            <v>1428816.56247</v>
          </cell>
        </row>
        <row r="240">
          <cell r="H240">
            <v>-39040.093519927483</v>
          </cell>
        </row>
        <row r="241">
          <cell r="H241">
            <v>-59261.922249999989</v>
          </cell>
        </row>
        <row r="242">
          <cell r="C242">
            <v>-215042.12192999999</v>
          </cell>
          <cell r="D242">
            <v>-16080.94526</v>
          </cell>
          <cell r="E242">
            <v>-17797.102079999997</v>
          </cell>
          <cell r="F242">
            <v>-2936.4312907763597</v>
          </cell>
          <cell r="G242">
            <v>-103997.04106999999</v>
          </cell>
          <cell r="H242">
            <v>-355853.64163077634</v>
          </cell>
        </row>
        <row r="272">
          <cell r="H272">
            <v>11568284</v>
          </cell>
        </row>
        <row r="273">
          <cell r="H273">
            <v>-68896</v>
          </cell>
        </row>
        <row r="274">
          <cell r="H274">
            <v>-1187909</v>
          </cell>
        </row>
        <row r="275">
          <cell r="C275">
            <v>-796213</v>
          </cell>
          <cell r="D275">
            <v>-138580</v>
          </cell>
          <cell r="E275">
            <v>223688</v>
          </cell>
          <cell r="F275">
            <v>-10932</v>
          </cell>
          <cell r="G275">
            <v>-381209</v>
          </cell>
          <cell r="H275">
            <v>-1103246</v>
          </cell>
        </row>
        <row r="305">
          <cell r="H305">
            <v>1304357.1563200001</v>
          </cell>
        </row>
        <row r="306">
          <cell r="H306">
            <v>-7122.8130000000001</v>
          </cell>
        </row>
        <row r="307">
          <cell r="H307">
            <v>-24293.057860000001</v>
          </cell>
        </row>
        <row r="308">
          <cell r="C308">
            <v>-20527.916550000002</v>
          </cell>
          <cell r="D308">
            <v>-5699.4227499999997</v>
          </cell>
          <cell r="E308">
            <v>-16146.39826</v>
          </cell>
          <cell r="F308">
            <v>0</v>
          </cell>
          <cell r="G308">
            <v>-7152.4512300000006</v>
          </cell>
          <cell r="H308">
            <v>-49526.18879</v>
          </cell>
        </row>
        <row r="341">
          <cell r="H341">
            <v>0</v>
          </cell>
        </row>
        <row r="371">
          <cell r="H371">
            <v>1863184.0349000001</v>
          </cell>
        </row>
        <row r="372">
          <cell r="H372">
            <v>0</v>
          </cell>
        </row>
        <row r="373">
          <cell r="H373">
            <v>-95823.096380000003</v>
          </cell>
        </row>
        <row r="374">
          <cell r="C374">
            <v>-199746.6642</v>
          </cell>
          <cell r="D374">
            <v>-19971.053090000001</v>
          </cell>
          <cell r="E374">
            <v>-40378.636599999998</v>
          </cell>
          <cell r="F374">
            <v>-45.235800000000005</v>
          </cell>
          <cell r="G374">
            <v>-68242.187819999992</v>
          </cell>
          <cell r="H374">
            <v>-328383.77750999999</v>
          </cell>
        </row>
        <row r="404">
          <cell r="H404">
            <v>6533291.0019510202</v>
          </cell>
        </row>
        <row r="405">
          <cell r="H405">
            <v>0</v>
          </cell>
        </row>
        <row r="406">
          <cell r="H406">
            <v>-190745.21148</v>
          </cell>
        </row>
        <row r="407">
          <cell r="C407">
            <v>-371405.00045178999</v>
          </cell>
          <cell r="D407">
            <v>-99967</v>
          </cell>
          <cell r="E407">
            <v>-108916.00017037</v>
          </cell>
          <cell r="G407">
            <v>-182719.00043258999</v>
          </cell>
          <cell r="H407">
            <v>-763007.00105475006</v>
          </cell>
        </row>
        <row r="440">
          <cell r="H440">
            <v>0</v>
          </cell>
        </row>
        <row r="503">
          <cell r="H503">
            <v>1510647.9527899998</v>
          </cell>
        </row>
        <row r="504">
          <cell r="H504">
            <v>0</v>
          </cell>
        </row>
        <row r="505">
          <cell r="H505">
            <v>-25127.140789999998</v>
          </cell>
        </row>
        <row r="506">
          <cell r="C506">
            <v>-34754.249620000002</v>
          </cell>
          <cell r="D506">
            <v>-4428.9517900000001</v>
          </cell>
          <cell r="E506">
            <v>-51847.06119</v>
          </cell>
          <cell r="F506">
            <v>-18978.975010000002</v>
          </cell>
          <cell r="G506">
            <v>-9042.9609999999993</v>
          </cell>
          <cell r="H506">
            <v>-119052.19861000001</v>
          </cell>
        </row>
        <row r="536">
          <cell r="H536">
            <v>1168433.2150399999</v>
          </cell>
        </row>
        <row r="537">
          <cell r="H537">
            <v>-13806.341930000001</v>
          </cell>
        </row>
        <row r="538">
          <cell r="H538">
            <v>-35643.897339999996</v>
          </cell>
        </row>
        <row r="539">
          <cell r="C539">
            <v>-44735.832649999902</v>
          </cell>
          <cell r="D539">
            <v>-21681.471120000002</v>
          </cell>
          <cell r="E539">
            <v>-39222.078590000005</v>
          </cell>
          <cell r="G539">
            <v>-23909.909029999995</v>
          </cell>
          <cell r="H539">
            <v>-129549.29138999991</v>
          </cell>
        </row>
        <row r="569">
          <cell r="H569">
            <v>3251084.2053000005</v>
          </cell>
        </row>
        <row r="570">
          <cell r="H570">
            <v>0</v>
          </cell>
        </row>
        <row r="571">
          <cell r="H571">
            <v>-166043.07708999998</v>
          </cell>
        </row>
        <row r="572">
          <cell r="C572">
            <v>-89343.28559</v>
          </cell>
          <cell r="D572">
            <v>-3410.07512</v>
          </cell>
          <cell r="E572">
            <v>-36860.07548</v>
          </cell>
          <cell r="F572">
            <v>0</v>
          </cell>
          <cell r="G572">
            <v>-26273.20923</v>
          </cell>
          <cell r="H572">
            <v>-155886.64541999999</v>
          </cell>
        </row>
        <row r="602">
          <cell r="H602">
            <v>13183760.064440006</v>
          </cell>
        </row>
        <row r="603">
          <cell r="H603">
            <v>0</v>
          </cell>
        </row>
        <row r="604">
          <cell r="H604">
            <v>-398089.40311000001</v>
          </cell>
        </row>
        <row r="605">
          <cell r="C605">
            <v>-1425090.71692</v>
          </cell>
          <cell r="D605">
            <v>-288740.77280999994</v>
          </cell>
          <cell r="E605">
            <v>-68485.939849999995</v>
          </cell>
          <cell r="F605">
            <v>0</v>
          </cell>
          <cell r="G605">
            <v>-964898.79269000003</v>
          </cell>
          <cell r="H605">
            <v>-2747216.2222699998</v>
          </cell>
        </row>
        <row r="635">
          <cell r="H635">
            <v>310544.31446999998</v>
          </cell>
        </row>
        <row r="636">
          <cell r="H636">
            <v>0</v>
          </cell>
        </row>
        <row r="637">
          <cell r="H637">
            <v>12047.49992</v>
          </cell>
        </row>
        <row r="638">
          <cell r="C638">
            <v>-15706.20901</v>
          </cell>
          <cell r="D638">
            <v>0</v>
          </cell>
          <cell r="E638">
            <v>-5913</v>
          </cell>
          <cell r="F638">
            <v>9.8000000000000004E-2</v>
          </cell>
          <cell r="G638">
            <v>-54275.298059999994</v>
          </cell>
          <cell r="H638">
            <v>-75894.409069999994</v>
          </cell>
        </row>
        <row r="668">
          <cell r="H668">
            <v>5391712.2664200002</v>
          </cell>
        </row>
        <row r="669">
          <cell r="H669">
            <v>0</v>
          </cell>
        </row>
        <row r="670">
          <cell r="H670">
            <v>-274746.31036</v>
          </cell>
        </row>
        <row r="671">
          <cell r="C671">
            <v>-586399.32802999998</v>
          </cell>
          <cell r="D671">
            <v>-201204.67728</v>
          </cell>
          <cell r="E671">
            <v>-55415.824820000002</v>
          </cell>
          <cell r="F671">
            <v>-1593.29908</v>
          </cell>
          <cell r="G671">
            <v>-136822.02947000001</v>
          </cell>
          <cell r="H671">
            <v>-981435.15867999988</v>
          </cell>
        </row>
        <row r="701">
          <cell r="H701">
            <v>379655.61662400002</v>
          </cell>
        </row>
        <row r="702">
          <cell r="H702">
            <v>0</v>
          </cell>
        </row>
        <row r="703">
          <cell r="H703">
            <v>-24654.206738387231</v>
          </cell>
        </row>
        <row r="704">
          <cell r="C704">
            <v>-18445.134309774701</v>
          </cell>
          <cell r="D704">
            <v>-15461.836204225299</v>
          </cell>
          <cell r="E704">
            <v>-6872.0366460585501</v>
          </cell>
          <cell r="G704">
            <v>-36090.586557976101</v>
          </cell>
          <cell r="H704">
            <v>-76869.593718034652</v>
          </cell>
        </row>
        <row r="770">
          <cell r="H770">
            <v>0</v>
          </cell>
        </row>
      </sheetData>
      <sheetData sheetId="60" refreshError="1"/>
      <sheetData sheetId="61" refreshError="1"/>
      <sheetData sheetId="62" refreshError="1"/>
      <sheetData sheetId="63" refreshError="1"/>
      <sheetData sheetId="64" refreshError="1"/>
      <sheetData sheetId="65">
        <row r="11">
          <cell r="E11">
            <v>12766837.92606</v>
          </cell>
        </row>
      </sheetData>
      <sheetData sheetId="66">
        <row r="64">
          <cell r="V64">
            <v>5861973.4802581202</v>
          </cell>
        </row>
      </sheetData>
      <sheetData sheetId="67" refreshError="1"/>
      <sheetData sheetId="68" refreshError="1"/>
      <sheetData sheetId="69" refreshError="1"/>
      <sheetData sheetId="70">
        <row r="14">
          <cell r="E14">
            <v>-18181123.708940003</v>
          </cell>
        </row>
        <row r="42">
          <cell r="E42">
            <v>2520283</v>
          </cell>
          <cell r="H42">
            <v>2034084</v>
          </cell>
        </row>
        <row r="76">
          <cell r="E76">
            <v>206494.24839999998</v>
          </cell>
          <cell r="H76">
            <v>101900.14992770001</v>
          </cell>
        </row>
        <row r="110">
          <cell r="E110">
            <v>828789.90813200013</v>
          </cell>
          <cell r="H110">
            <v>532141.81854000001</v>
          </cell>
        </row>
        <row r="144">
          <cell r="E144">
            <v>6863047</v>
          </cell>
          <cell r="H144">
            <v>6495863</v>
          </cell>
        </row>
        <row r="178">
          <cell r="E178">
            <v>542986.16200000001</v>
          </cell>
          <cell r="H178">
            <v>364758.88936999999</v>
          </cell>
        </row>
        <row r="212">
          <cell r="E212">
            <v>11122906.218729999</v>
          </cell>
          <cell r="H212">
            <v>10829470</v>
          </cell>
        </row>
        <row r="246">
          <cell r="E246">
            <v>337975.97847999999</v>
          </cell>
          <cell r="H246">
            <v>312055.98389999999</v>
          </cell>
        </row>
        <row r="280">
          <cell r="E280">
            <v>2014547</v>
          </cell>
          <cell r="H280">
            <v>1500027.7209900001</v>
          </cell>
        </row>
        <row r="314">
          <cell r="E314">
            <v>2150506.5177199999</v>
          </cell>
          <cell r="H314">
            <v>2025075.1086100002</v>
          </cell>
        </row>
        <row r="348">
          <cell r="E348">
            <v>322712</v>
          </cell>
          <cell r="H348">
            <v>303344</v>
          </cell>
        </row>
        <row r="382">
          <cell r="E382">
            <v>274797.61674999999</v>
          </cell>
          <cell r="H382">
            <v>106237.90670000001</v>
          </cell>
        </row>
        <row r="416">
          <cell r="E416">
            <v>251719.53922999999</v>
          </cell>
          <cell r="H416">
            <v>192780</v>
          </cell>
        </row>
        <row r="450">
          <cell r="E450">
            <v>8069964.2487999983</v>
          </cell>
          <cell r="H450">
            <v>7369031.3364199949</v>
          </cell>
        </row>
        <row r="484">
          <cell r="E484">
            <v>283975.24881000002</v>
          </cell>
          <cell r="H484">
            <v>203615.92386000001</v>
          </cell>
        </row>
        <row r="518">
          <cell r="E518">
            <v>5515063</v>
          </cell>
          <cell r="H518">
            <v>5106323</v>
          </cell>
        </row>
      </sheetData>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11"/>
      <sheetName val="Sheet 6 - BR - IN"/>
      <sheetName val="Sheet1"/>
    </sheetNames>
    <sheetDataSet>
      <sheetData sheetId="0" refreshError="1"/>
      <sheetData sheetId="1" refreshError="1">
        <row r="10">
          <cell r="C10">
            <v>700</v>
          </cell>
          <cell r="D10">
            <v>5600</v>
          </cell>
          <cell r="E10">
            <v>42472</v>
          </cell>
          <cell r="F10">
            <v>10890</v>
          </cell>
          <cell r="G10">
            <v>81</v>
          </cell>
          <cell r="H10">
            <v>2198</v>
          </cell>
        </row>
        <row r="11">
          <cell r="C11">
            <v>949</v>
          </cell>
          <cell r="D11">
            <v>7</v>
          </cell>
          <cell r="E11">
            <v>42577</v>
          </cell>
          <cell r="F11">
            <v>18019</v>
          </cell>
          <cell r="G11">
            <v>90</v>
          </cell>
          <cell r="H11">
            <v>1041</v>
          </cell>
        </row>
        <row r="15">
          <cell r="C15">
            <v>1885</v>
          </cell>
          <cell r="D15">
            <v>5794</v>
          </cell>
          <cell r="E15">
            <v>85034</v>
          </cell>
          <cell r="F15">
            <v>32921</v>
          </cell>
          <cell r="G15">
            <v>210</v>
          </cell>
          <cell r="H15">
            <v>3632</v>
          </cell>
        </row>
        <row r="34">
          <cell r="C34">
            <v>-1586.7539999999999</v>
          </cell>
          <cell r="D34">
            <v>-334.68099999999998</v>
          </cell>
          <cell r="G34">
            <v>-3983.9880000000003</v>
          </cell>
        </row>
        <row r="117">
          <cell r="C117">
            <v>-404.3</v>
          </cell>
          <cell r="D117">
            <v>-94.7</v>
          </cell>
          <cell r="E117">
            <v>-456.6</v>
          </cell>
          <cell r="G117">
            <v>-1867.1000000000001</v>
          </cell>
        </row>
        <row r="139">
          <cell r="H139">
            <v>-15604.4</v>
          </cell>
        </row>
      </sheetData>
      <sheetData sheetId="2" refreshError="1">
        <row r="143">
          <cell r="C143">
            <v>12964.564</v>
          </cell>
          <cell r="D143">
            <v>12320.977999999999</v>
          </cell>
          <cell r="E143">
            <v>7061.7380000000003</v>
          </cell>
          <cell r="F143">
            <v>3174.2750000000001</v>
          </cell>
          <cell r="G143">
            <v>2726.0749999999998</v>
          </cell>
        </row>
        <row r="144">
          <cell r="C144">
            <v>18317.777999999998</v>
          </cell>
          <cell r="D144">
            <v>26179.727999999999</v>
          </cell>
          <cell r="E144">
            <v>27789.173999999999</v>
          </cell>
          <cell r="F144">
            <v>28494.15</v>
          </cell>
          <cell r="G144">
            <v>20782.844000000001</v>
          </cell>
        </row>
      </sheetData>
      <sheetData sheetId="3" refreshError="1"/>
      <sheetData sheetId="4" refreshError="1"/>
      <sheetData sheetId="5" refreshError="1"/>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Copy of sheet-2"/>
      <sheetName val="Sheet 3 - Long term Insurance"/>
      <sheetName val="Sheet 4 Life &amp; General Combined"/>
      <sheetName val="Sheet 5 - CO-BS - 2012 &amp; 2011"/>
      <sheetName val="Sheet 6 - BR - IN"/>
    </sheetNames>
    <sheetDataSet>
      <sheetData sheetId="0" refreshError="1"/>
      <sheetData sheetId="1">
        <row r="10">
          <cell r="C10">
            <v>1107</v>
          </cell>
          <cell r="D10">
            <v>6109</v>
          </cell>
          <cell r="E10">
            <v>728</v>
          </cell>
          <cell r="F10">
            <v>12599</v>
          </cell>
          <cell r="G10">
            <v>139</v>
          </cell>
          <cell r="H10">
            <v>1630</v>
          </cell>
        </row>
        <row r="11">
          <cell r="C11">
            <v>1488</v>
          </cell>
          <cell r="D11">
            <v>40</v>
          </cell>
          <cell r="E11">
            <v>302</v>
          </cell>
          <cell r="F11">
            <v>7923</v>
          </cell>
          <cell r="G11">
            <v>163</v>
          </cell>
          <cell r="H11">
            <v>511</v>
          </cell>
        </row>
        <row r="12">
          <cell r="C12">
            <v>882</v>
          </cell>
          <cell r="D12">
            <v>5475</v>
          </cell>
          <cell r="E12">
            <v>280</v>
          </cell>
          <cell r="F12">
            <v>6157</v>
          </cell>
          <cell r="G12">
            <v>102</v>
          </cell>
          <cell r="H12">
            <v>797</v>
          </cell>
        </row>
        <row r="13">
          <cell r="C13">
            <v>1388</v>
          </cell>
          <cell r="D13">
            <v>33</v>
          </cell>
          <cell r="E13">
            <v>254</v>
          </cell>
          <cell r="F13">
            <v>4665</v>
          </cell>
          <cell r="G13">
            <v>134</v>
          </cell>
          <cell r="H13">
            <v>430</v>
          </cell>
        </row>
        <row r="15">
          <cell r="C15">
            <v>2406</v>
          </cell>
          <cell r="D15">
            <v>6038</v>
          </cell>
          <cell r="E15">
            <v>693</v>
          </cell>
          <cell r="F15">
            <v>18672</v>
          </cell>
          <cell r="G15">
            <v>296</v>
          </cell>
          <cell r="H15">
            <v>1936</v>
          </cell>
        </row>
        <row r="16">
          <cell r="C16">
            <v>2082</v>
          </cell>
          <cell r="D16">
            <v>5422</v>
          </cell>
          <cell r="E16">
            <v>527</v>
          </cell>
          <cell r="F16">
            <v>8788</v>
          </cell>
          <cell r="G16">
            <v>229</v>
          </cell>
          <cell r="H16">
            <v>1083</v>
          </cell>
        </row>
        <row r="118">
          <cell r="C118">
            <v>-5893.5947500000002</v>
          </cell>
          <cell r="D118">
            <v>-44.42</v>
          </cell>
          <cell r="G118">
            <v>-1338.64975</v>
          </cell>
        </row>
        <row r="133">
          <cell r="H133">
            <v>-195633</v>
          </cell>
        </row>
        <row r="137">
          <cell r="H137">
            <v>-176442</v>
          </cell>
        </row>
        <row r="140">
          <cell r="H140">
            <v>-2253</v>
          </cell>
        </row>
        <row r="142">
          <cell r="H142">
            <v>-3721</v>
          </cell>
        </row>
      </sheetData>
      <sheetData sheetId="2" refreshError="1"/>
      <sheetData sheetId="3">
        <row r="176">
          <cell r="F176">
            <v>31496263.280000001</v>
          </cell>
        </row>
      </sheetData>
      <sheetData sheetId="4" refreshError="1"/>
      <sheetData sheetId="5">
        <row r="13">
          <cell r="B13" t="str">
            <v>Government Debt Securities</v>
          </cell>
        </row>
      </sheetData>
      <sheetData sheetId="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2 - General Insurance"/>
      <sheetName val="Sheet 4 Life &amp; General Combined"/>
      <sheetName val="Sheet 5 - CO-BS - 2012 &amp; 2011"/>
      <sheetName val="Sheet 6 - BR - IN"/>
      <sheetName val="Sheet1"/>
    </sheetNames>
    <sheetDataSet>
      <sheetData sheetId="0">
        <row r="10">
          <cell r="C10">
            <v>20227</v>
          </cell>
          <cell r="D10">
            <v>47963</v>
          </cell>
          <cell r="E10">
            <v>351436</v>
          </cell>
          <cell r="F10">
            <v>82074</v>
          </cell>
          <cell r="G10">
            <v>2135</v>
          </cell>
          <cell r="H10">
            <v>42770</v>
          </cell>
        </row>
        <row r="11">
          <cell r="C11">
            <v>34806</v>
          </cell>
          <cell r="D11">
            <v>70</v>
          </cell>
          <cell r="E11">
            <v>314144</v>
          </cell>
          <cell r="F11">
            <v>149021</v>
          </cell>
          <cell r="G11">
            <v>2961</v>
          </cell>
          <cell r="H11">
            <v>7360</v>
          </cell>
        </row>
        <row r="12">
          <cell r="C12">
            <v>20637</v>
          </cell>
          <cell r="D12">
            <v>55436</v>
          </cell>
          <cell r="E12">
            <v>332512</v>
          </cell>
          <cell r="F12">
            <v>90747</v>
          </cell>
          <cell r="G12">
            <v>2539</v>
          </cell>
          <cell r="H12">
            <v>148437</v>
          </cell>
        </row>
        <row r="13">
          <cell r="C13">
            <v>56007</v>
          </cell>
          <cell r="D13">
            <v>65</v>
          </cell>
          <cell r="E13">
            <v>482514</v>
          </cell>
          <cell r="F13">
            <v>40760</v>
          </cell>
          <cell r="G13">
            <v>4239</v>
          </cell>
          <cell r="H13">
            <v>45066</v>
          </cell>
        </row>
        <row r="15">
          <cell r="C15">
            <v>55033</v>
          </cell>
          <cell r="D15">
            <v>48033</v>
          </cell>
          <cell r="E15">
            <v>665580</v>
          </cell>
          <cell r="F15">
            <v>231095</v>
          </cell>
          <cell r="G15">
            <v>5096</v>
          </cell>
          <cell r="H15">
            <v>50130</v>
          </cell>
        </row>
        <row r="16">
          <cell r="C16">
            <v>76644</v>
          </cell>
          <cell r="D16">
            <v>55501</v>
          </cell>
          <cell r="E16">
            <v>815026</v>
          </cell>
          <cell r="F16">
            <v>131507</v>
          </cell>
          <cell r="G16">
            <v>6778</v>
          </cell>
          <cell r="H16">
            <v>193503</v>
          </cell>
        </row>
        <row r="63">
          <cell r="C63">
            <v>68789</v>
          </cell>
          <cell r="D63">
            <v>760</v>
          </cell>
          <cell r="E63">
            <v>934</v>
          </cell>
          <cell r="G63">
            <v>1883</v>
          </cell>
        </row>
        <row r="130">
          <cell r="C130">
            <v>-1140673</v>
          </cell>
          <cell r="D130">
            <v>-115123</v>
          </cell>
          <cell r="E130">
            <v>-190263</v>
          </cell>
          <cell r="F130">
            <v>-13620</v>
          </cell>
          <cell r="G130">
            <v>-375641</v>
          </cell>
        </row>
        <row r="150">
          <cell r="H150">
            <v>-22001</v>
          </cell>
        </row>
        <row r="152">
          <cell r="H152">
            <v>-141727</v>
          </cell>
        </row>
        <row r="156">
          <cell r="C156">
            <v>15485</v>
          </cell>
          <cell r="D156">
            <v>88</v>
          </cell>
          <cell r="E156">
            <v>118</v>
          </cell>
          <cell r="G156">
            <v>1887</v>
          </cell>
        </row>
        <row r="157">
          <cell r="C157">
            <v>318121</v>
          </cell>
          <cell r="D157">
            <v>530</v>
          </cell>
          <cell r="E157">
            <v>102277</v>
          </cell>
          <cell r="G157">
            <v>43764</v>
          </cell>
        </row>
      </sheetData>
      <sheetData sheetId="1" refreshError="1"/>
      <sheetData sheetId="2">
        <row r="84">
          <cell r="D84">
            <v>-3255409</v>
          </cell>
        </row>
      </sheetData>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11"/>
      <sheetName val="Sheet 6 - BR - IN"/>
      <sheetName val="Sheet1"/>
    </sheetNames>
    <sheetDataSet>
      <sheetData sheetId="0" refreshError="1"/>
      <sheetData sheetId="1" refreshError="1">
        <row r="10">
          <cell r="C10">
            <v>7544</v>
          </cell>
          <cell r="D10">
            <v>2047</v>
          </cell>
          <cell r="E10">
            <v>3453</v>
          </cell>
          <cell r="F10">
            <v>15220</v>
          </cell>
          <cell r="G10">
            <v>112</v>
          </cell>
          <cell r="H10">
            <v>4002</v>
          </cell>
        </row>
        <row r="11">
          <cell r="C11">
            <v>18384</v>
          </cell>
          <cell r="D11">
            <v>32</v>
          </cell>
          <cell r="E11">
            <v>1154</v>
          </cell>
          <cell r="F11">
            <v>31192</v>
          </cell>
          <cell r="G11">
            <v>108</v>
          </cell>
          <cell r="H11">
            <v>2748</v>
          </cell>
        </row>
        <row r="12">
          <cell r="C12">
            <v>13515</v>
          </cell>
          <cell r="D12">
            <v>5002</v>
          </cell>
          <cell r="E12">
            <v>5036</v>
          </cell>
          <cell r="F12">
            <v>33654</v>
          </cell>
          <cell r="G12">
            <v>407</v>
          </cell>
          <cell r="H12">
            <v>5338</v>
          </cell>
        </row>
        <row r="13">
          <cell r="C13">
            <v>14917</v>
          </cell>
          <cell r="D13">
            <v>329</v>
          </cell>
          <cell r="E13">
            <v>1640</v>
          </cell>
          <cell r="F13">
            <v>32988</v>
          </cell>
          <cell r="G13">
            <v>153</v>
          </cell>
          <cell r="H13">
            <v>2184</v>
          </cell>
        </row>
        <row r="15">
          <cell r="C15">
            <v>25928</v>
          </cell>
          <cell r="D15">
            <v>2079</v>
          </cell>
          <cell r="E15">
            <v>4607</v>
          </cell>
          <cell r="F15">
            <v>46412</v>
          </cell>
          <cell r="G15">
            <v>220</v>
          </cell>
          <cell r="H15">
            <v>6750</v>
          </cell>
        </row>
        <row r="16">
          <cell r="C16">
            <v>28432</v>
          </cell>
          <cell r="D16">
            <v>5331</v>
          </cell>
          <cell r="E16">
            <v>6676</v>
          </cell>
          <cell r="F16">
            <v>66642</v>
          </cell>
          <cell r="G16">
            <v>560</v>
          </cell>
          <cell r="H16">
            <v>7522</v>
          </cell>
        </row>
        <row r="154">
          <cell r="H154">
            <v>-25772.100600000002</v>
          </cell>
        </row>
        <row r="184">
          <cell r="C184">
            <v>3711.1276600000001</v>
          </cell>
        </row>
        <row r="185">
          <cell r="C185">
            <v>8118.4218599999995</v>
          </cell>
        </row>
        <row r="192">
          <cell r="C192">
            <v>2961</v>
          </cell>
        </row>
      </sheetData>
      <sheetData sheetId="2" refreshError="1"/>
      <sheetData sheetId="3" refreshError="1"/>
      <sheetData sheetId="4" refreshError="1"/>
      <sheetData sheetId="5" refreshError="1"/>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 "/>
      <sheetName val="Sheet 6 - BR - IN"/>
      <sheetName val="Sheet1"/>
    </sheetNames>
    <sheetDataSet>
      <sheetData sheetId="0" refreshError="1"/>
      <sheetData sheetId="1" refreshError="1">
        <row r="10">
          <cell r="C10">
            <v>8769</v>
          </cell>
          <cell r="D10">
            <v>17031</v>
          </cell>
          <cell r="E10">
            <v>69488</v>
          </cell>
          <cell r="F10">
            <v>112179</v>
          </cell>
          <cell r="H10">
            <v>8342</v>
          </cell>
        </row>
        <row r="11">
          <cell r="C11">
            <v>6956</v>
          </cell>
          <cell r="D11">
            <v>170</v>
          </cell>
          <cell r="E11">
            <v>64129</v>
          </cell>
          <cell r="F11">
            <v>174361</v>
          </cell>
          <cell r="H11">
            <v>4782</v>
          </cell>
        </row>
        <row r="12">
          <cell r="C12">
            <v>5147</v>
          </cell>
          <cell r="D12">
            <v>15261</v>
          </cell>
          <cell r="H12">
            <v>13338</v>
          </cell>
        </row>
        <row r="13">
          <cell r="C13">
            <v>5454</v>
          </cell>
          <cell r="D13">
            <v>83</v>
          </cell>
          <cell r="H13">
            <v>3005</v>
          </cell>
        </row>
        <row r="15">
          <cell r="C15">
            <v>12871</v>
          </cell>
          <cell r="D15">
            <v>16410</v>
          </cell>
          <cell r="E15">
            <v>133617</v>
          </cell>
          <cell r="F15">
            <v>251737</v>
          </cell>
          <cell r="H15">
            <v>10665</v>
          </cell>
        </row>
        <row r="143">
          <cell r="H143">
            <v>-7313</v>
          </cell>
        </row>
        <row r="326">
          <cell r="C326">
            <v>7026145967.8444004</v>
          </cell>
          <cell r="D326">
            <v>5617804878.1759996</v>
          </cell>
          <cell r="E326">
            <v>5574248931.3018436</v>
          </cell>
          <cell r="F326">
            <v>4520969000</v>
          </cell>
          <cell r="G326">
            <v>3125149000</v>
          </cell>
        </row>
        <row r="328">
          <cell r="C328">
            <v>3510173880.0599999</v>
          </cell>
          <cell r="D328">
            <v>3145394391.0937867</v>
          </cell>
          <cell r="E328">
            <v>2819260000</v>
          </cell>
          <cell r="F328">
            <v>2496519000</v>
          </cell>
          <cell r="G328">
            <v>2215833000</v>
          </cell>
        </row>
        <row r="329">
          <cell r="C329">
            <v>1195875378.7600007</v>
          </cell>
          <cell r="D329">
            <v>1111062844.0662141</v>
          </cell>
          <cell r="E329">
            <v>1023840000</v>
          </cell>
          <cell r="F329">
            <v>907584000</v>
          </cell>
          <cell r="G329">
            <v>1014581000</v>
          </cell>
        </row>
        <row r="330">
          <cell r="C330">
            <v>2320096709.0243998</v>
          </cell>
          <cell r="D330">
            <v>1361347643.0159988</v>
          </cell>
          <cell r="E330">
            <v>1731149371.691844</v>
          </cell>
          <cell r="F330">
            <v>1116866000</v>
          </cell>
          <cell r="G330">
            <v>-105265000</v>
          </cell>
        </row>
        <row r="331">
          <cell r="C331">
            <v>1034815557.498</v>
          </cell>
          <cell r="D331">
            <v>912385496.73400009</v>
          </cell>
          <cell r="E331">
            <v>783684468.42000008</v>
          </cell>
          <cell r="F331">
            <v>743542000</v>
          </cell>
          <cell r="G331">
            <v>662839000</v>
          </cell>
        </row>
      </sheetData>
      <sheetData sheetId="2" refreshError="1"/>
      <sheetData sheetId="3" refreshError="1"/>
      <sheetData sheetId="4" refreshError="1"/>
      <sheetData sheetId="5" refreshError="1"/>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5 - CO-BS - 2012 &amp; 2011"/>
      <sheetName val="Sheet 4 Life &amp; General Comb "/>
      <sheetName val="Sheet 6 - BR - IN"/>
    </sheetNames>
    <sheetDataSet>
      <sheetData sheetId="0" refreshError="1"/>
      <sheetData sheetId="1">
        <row r="10">
          <cell r="C10">
            <v>392</v>
          </cell>
          <cell r="E10">
            <v>15332</v>
          </cell>
          <cell r="F10">
            <v>6909</v>
          </cell>
          <cell r="G10">
            <v>2</v>
          </cell>
          <cell r="H10">
            <v>4857</v>
          </cell>
        </row>
        <row r="11">
          <cell r="C11">
            <v>680</v>
          </cell>
          <cell r="E11">
            <v>12939</v>
          </cell>
          <cell r="F11">
            <v>6360</v>
          </cell>
          <cell r="G11">
            <v>16</v>
          </cell>
          <cell r="H11">
            <v>3949</v>
          </cell>
        </row>
        <row r="12">
          <cell r="C12">
            <v>945</v>
          </cell>
          <cell r="E12">
            <v>24166</v>
          </cell>
          <cell r="G12">
            <v>24</v>
          </cell>
          <cell r="H12">
            <v>5017</v>
          </cell>
        </row>
        <row r="13">
          <cell r="C13">
            <v>170</v>
          </cell>
          <cell r="E13">
            <v>13185</v>
          </cell>
          <cell r="G13">
            <v>2</v>
          </cell>
          <cell r="H13">
            <v>1330</v>
          </cell>
        </row>
        <row r="15">
          <cell r="C15">
            <v>1072</v>
          </cell>
          <cell r="E15">
            <v>27271</v>
          </cell>
          <cell r="F15">
            <v>12269</v>
          </cell>
          <cell r="G15">
            <v>18</v>
          </cell>
          <cell r="H15">
            <v>8806</v>
          </cell>
        </row>
        <row r="16">
          <cell r="C16">
            <v>1115</v>
          </cell>
          <cell r="E16">
            <v>24992</v>
          </cell>
          <cell r="F16">
            <v>12187</v>
          </cell>
          <cell r="G16">
            <v>26</v>
          </cell>
          <cell r="H16">
            <v>5784</v>
          </cell>
        </row>
        <row r="141">
          <cell r="H141">
            <v>2396</v>
          </cell>
        </row>
      </sheetData>
      <sheetData sheetId="2" refreshError="1"/>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11"/>
      <sheetName val="Sheet 6 - BR - IN"/>
      <sheetName val="Sheet1"/>
    </sheetNames>
    <sheetDataSet>
      <sheetData sheetId="0"/>
      <sheetData sheetId="1">
        <row r="33">
          <cell r="C33">
            <v>1323038.1058099999</v>
          </cell>
        </row>
        <row r="118">
          <cell r="C118">
            <v>-91085</v>
          </cell>
          <cell r="G118">
            <v>-16526</v>
          </cell>
        </row>
        <row r="140">
          <cell r="H140">
            <v>-12.21109</v>
          </cell>
        </row>
        <row r="142">
          <cell r="H142">
            <v>-407432.43231</v>
          </cell>
        </row>
      </sheetData>
      <sheetData sheetId="2"/>
      <sheetData sheetId="3"/>
      <sheetData sheetId="4">
        <row r="13">
          <cell r="B13" t="str">
            <v>Government Debt Securities</v>
          </cell>
        </row>
      </sheetData>
      <sheetData sheetId="5">
        <row r="9">
          <cell r="B9" t="str">
            <v>Governments Securities</v>
          </cell>
        </row>
      </sheetData>
      <sheetData sheetId="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3 &amp; 2012"/>
      <sheetName val="Sheet 6 - BR - IN"/>
    </sheetNames>
    <sheetDataSet>
      <sheetData sheetId="0" refreshError="1"/>
      <sheetData sheetId="1" refreshError="1">
        <row r="33">
          <cell r="F33">
            <v>9772</v>
          </cell>
        </row>
        <row r="39">
          <cell r="C39">
            <v>11991</v>
          </cell>
          <cell r="D39">
            <v>21118</v>
          </cell>
          <cell r="E39">
            <v>554625</v>
          </cell>
          <cell r="F39">
            <v>7656</v>
          </cell>
          <cell r="G39">
            <v>387274</v>
          </cell>
        </row>
        <row r="42">
          <cell r="C42">
            <v>1275</v>
          </cell>
          <cell r="D42">
            <v>-15791</v>
          </cell>
          <cell r="E42">
            <v>-554409</v>
          </cell>
          <cell r="F42">
            <v>-2802</v>
          </cell>
          <cell r="G42">
            <v>-338597</v>
          </cell>
        </row>
        <row r="159">
          <cell r="C159">
            <v>9185.9460699999727</v>
          </cell>
          <cell r="D159">
            <v>24449.195810000005</v>
          </cell>
          <cell r="E159">
            <v>434907.48022000003</v>
          </cell>
          <cell r="F159">
            <v>4970.9151399999992</v>
          </cell>
          <cell r="G159">
            <v>211880.42155000003</v>
          </cell>
        </row>
        <row r="162">
          <cell r="C162">
            <v>-11256.1104</v>
          </cell>
          <cell r="D162">
            <v>-7267.8534200000004</v>
          </cell>
          <cell r="E162">
            <v>-319617.61462999997</v>
          </cell>
          <cell r="F162">
            <v>-3864.8829900000001</v>
          </cell>
          <cell r="G162">
            <v>-174678.35973000003</v>
          </cell>
        </row>
      </sheetData>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3 &amp; 2012"/>
      <sheetName val="Sheet 6 - BR - IN"/>
      <sheetName val="Sheet1"/>
    </sheetNames>
    <sheetDataSet>
      <sheetData sheetId="0" refreshError="1"/>
      <sheetData sheetId="1">
        <row r="10">
          <cell r="C10">
            <v>1680</v>
          </cell>
        </row>
        <row r="39">
          <cell r="C39">
            <v>75109.039999999935</v>
          </cell>
          <cell r="D39">
            <v>13851.700000000004</v>
          </cell>
          <cell r="E39">
            <v>275603.28000000003</v>
          </cell>
          <cell r="F39">
            <v>9759.41</v>
          </cell>
          <cell r="G39">
            <v>309985.77</v>
          </cell>
        </row>
        <row r="42">
          <cell r="C42">
            <v>-31408.5</v>
          </cell>
          <cell r="D42">
            <v>-9661.9</v>
          </cell>
          <cell r="E42">
            <v>-151394.93</v>
          </cell>
          <cell r="F42">
            <v>-3319.28</v>
          </cell>
          <cell r="G42">
            <v>-122053.68</v>
          </cell>
        </row>
        <row r="157">
          <cell r="C157">
            <v>56046</v>
          </cell>
          <cell r="D157">
            <v>10804.21</v>
          </cell>
          <cell r="E157">
            <v>144016</v>
          </cell>
          <cell r="F157">
            <v>8397</v>
          </cell>
          <cell r="G157">
            <v>216298.16999999998</v>
          </cell>
        </row>
        <row r="160">
          <cell r="C160">
            <v>13876</v>
          </cell>
          <cell r="D160">
            <v>-2400</v>
          </cell>
          <cell r="E160">
            <v>-73820</v>
          </cell>
          <cell r="F160">
            <v>-11233</v>
          </cell>
          <cell r="G160">
            <v>-90260</v>
          </cell>
        </row>
      </sheetData>
      <sheetData sheetId="2" refreshError="1"/>
      <sheetData sheetId="3" refreshError="1"/>
      <sheetData sheetId="4">
        <row r="13">
          <cell r="B13" t="str">
            <v>Government Debt Securities</v>
          </cell>
        </row>
      </sheetData>
      <sheetData sheetId="5" refreshError="1"/>
      <sheetData sheetId="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
      <sheetName val="Sheet 5 - CO-BS - 2013 &amp; 2012"/>
      <sheetName val="Sheet 6 - BR - IN"/>
      <sheetName val="Sheet1"/>
    </sheetNames>
    <sheetDataSet>
      <sheetData sheetId="0" refreshError="1"/>
      <sheetData sheetId="1" refreshError="1">
        <row r="39">
          <cell r="C39">
            <v>100496.28347000002</v>
          </cell>
          <cell r="D39">
            <v>68831.139480000013</v>
          </cell>
          <cell r="E39">
            <v>1402339.5508399999</v>
          </cell>
          <cell r="F39">
            <v>1171.9387873595697</v>
          </cell>
          <cell r="G39">
            <v>307812.08301</v>
          </cell>
        </row>
        <row r="42">
          <cell r="C42">
            <v>-43896</v>
          </cell>
          <cell r="D42">
            <v>-24932</v>
          </cell>
          <cell r="E42">
            <v>-825791</v>
          </cell>
          <cell r="F42">
            <v>-8296</v>
          </cell>
          <cell r="G42">
            <v>-194915</v>
          </cell>
        </row>
        <row r="177">
          <cell r="C177">
            <v>127977.13802000001</v>
          </cell>
          <cell r="D177">
            <v>74019.987599999993</v>
          </cell>
          <cell r="E177">
            <v>1446848.9569999999</v>
          </cell>
          <cell r="F177">
            <v>19455</v>
          </cell>
          <cell r="G177">
            <v>299489.78647000022</v>
          </cell>
        </row>
        <row r="180">
          <cell r="C180">
            <v>-28582</v>
          </cell>
          <cell r="D180">
            <v>-54012</v>
          </cell>
          <cell r="E180">
            <v>-757719.09296000004</v>
          </cell>
          <cell r="F180">
            <v>-8623.5023029276308</v>
          </cell>
          <cell r="G180">
            <v>-171422</v>
          </cell>
        </row>
      </sheetData>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3(i) -Motor Policies"/>
      <sheetName val="Additional Data GI - 2013"/>
      <sheetName val="Additional Data GI - 2012"/>
      <sheetName val="GWP - Dist Chan - GI"/>
      <sheetName val="Expenses 2008&amp;09 GI"/>
      <sheetName val="TR - 2012"/>
      <sheetName val="T12 GI - Claims Age"/>
      <sheetName val="GI - Claims Age Rs. 2012 "/>
      <sheetName val="NEP - LI - 2011 &amp; 12"/>
      <sheetName val="GI - Claims Outs - 2013"/>
      <sheetName val="LI - # of Customers"/>
      <sheetName val="Forf &amp; Surrender"/>
      <sheetName val="GWP - Dist Chan - LI (aft adjs)"/>
      <sheetName val="GWP - Dist Chan - LI"/>
      <sheetName val="Claim Details - LI"/>
      <sheetName val="T21 Age Claims Outs LI"/>
      <sheetName val="Age Claims Outs LI Rs.'000"/>
      <sheetName val="Marine Claims"/>
      <sheetName val="Marine Earned Premium"/>
      <sheetName val="SRCC &amp; TC 2011 &amp; 12"/>
      <sheetName val="Co Ins Outward"/>
      <sheetName val="List of tables"/>
      <sheetName val="New - LT"/>
      <sheetName val="Branches-Emp-Agents"/>
      <sheetName val="New Busi LT"/>
      <sheetName val="AR Table 11 &amp; Chart 12"/>
      <sheetName val="New &amp; Inforced Policies LI"/>
      <sheetName val="AR - Table 1"/>
      <sheetName val="Inforced LI"/>
      <sheetName val="LI - laps new "/>
      <sheetName val="LI - laps Total"/>
      <sheetName val="LI - Solvency"/>
      <sheetName val="AR6&amp;7 Support I"/>
      <sheetName val="P &amp; L - GI - 2012 "/>
      <sheetName val="P &amp; L - GI - 2013"/>
      <sheetName val="AR6&amp;7 Support II"/>
      <sheetName val="Invest Income GI - 2013"/>
      <sheetName val="Invest Income GI - 2012 "/>
      <sheetName val="GI - Solvency"/>
      <sheetName val="AR 5 Support"/>
      <sheetName val="Investment Income LI "/>
      <sheetName val="InV Income  - Life"/>
      <sheetName val="BS 2013"/>
      <sheetName val="Sheet3"/>
      <sheetName val="Misc BU GWP"/>
      <sheetName val="BS 2012"/>
      <sheetName val="AR Table 10 &amp; Chart 11"/>
      <sheetName val="Investment Income GI"/>
      <sheetName val="AR Table 4 &amp; Chart 4,5"/>
      <sheetName val="AR Table 7 &amp; Chart 8"/>
      <sheetName val="GWP - LT + GI "/>
      <sheetName val="AR Table 3 &amp; Chart 01,02"/>
      <sheetName val="Solvency  GI "/>
      <sheetName val="AR Table 2"/>
      <sheetName val="AR Table 8 &amp; Chart 9"/>
      <sheetName val="AR Table 12"/>
      <sheetName val="Sheet4"/>
      <sheetName val="To Rajan"/>
      <sheetName val="AR Table 9 &amp; Chart 10"/>
      <sheetName val="Solvency LI "/>
      <sheetName val="AR Table 5 &amp; Chart 6"/>
      <sheetName val="T13 -GI Policies "/>
      <sheetName val="AR table 6 &amp; Chart 7"/>
      <sheetName val="AR 6&amp;7 Support III"/>
      <sheetName val="AR7&amp;8 Support"/>
      <sheetName val="Ratio"/>
      <sheetName val="Premium Receivable"/>
      <sheetName val="LI - laps new  (2)"/>
      <sheetName val="Life Benifits Rs.'000"/>
      <sheetName val="P &amp; L LI 2013 &amp; 12"/>
      <sheetName val="# of Life Benifits Paid"/>
      <sheetName val="BR -IN"/>
      <sheetName val="New GI"/>
      <sheetName val="T14 (i) -GI Sum Insu"/>
      <sheetName val="T14As % of National Income"/>
      <sheetName val="Sheet1"/>
      <sheetName val="Ratios"/>
      <sheetName val="Sheet2"/>
      <sheetName val="AR table 6 &amp; Chart 7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ow r="7">
          <cell r="A7" t="str">
            <v xml:space="preserve">    - Treasury Bonds</v>
          </cell>
        </row>
        <row r="8">
          <cell r="A8" t="str">
            <v xml:space="preserve">    - Treasury Bills</v>
          </cell>
        </row>
        <row r="9">
          <cell r="A9" t="str">
            <v xml:space="preserve">    - Others (REPO)</v>
          </cell>
        </row>
        <row r="14">
          <cell r="A14" t="str">
            <v xml:space="preserve">    - Debentures</v>
          </cell>
        </row>
        <row r="15">
          <cell r="A15" t="str">
            <v xml:space="preserve">    - Commercial Papers</v>
          </cell>
        </row>
        <row r="16">
          <cell r="A16" t="str">
            <v xml:space="preserve">    - Asset Backed Securities </v>
          </cell>
        </row>
        <row r="17">
          <cell r="A17" t="str">
            <v xml:space="preserve">    - Other Similar Financial Instruments </v>
          </cell>
        </row>
      </sheetData>
      <sheetData sheetId="41">
        <row r="7">
          <cell r="B7" t="str">
            <v xml:space="preserve">    - Treasury Bonds</v>
          </cell>
          <cell r="C7">
            <v>9572296.2950755861</v>
          </cell>
          <cell r="D7">
            <v>140241.65463333332</v>
          </cell>
          <cell r="E7">
            <v>9712537.94970892</v>
          </cell>
          <cell r="F7">
            <v>9093604.9518445134</v>
          </cell>
          <cell r="G7">
            <v>169769.36645999996</v>
          </cell>
          <cell r="H7">
            <v>9263374.3183045126</v>
          </cell>
          <cell r="I7">
            <v>40563.145579999997</v>
          </cell>
          <cell r="J7">
            <v>44064.072110000001</v>
          </cell>
        </row>
        <row r="8">
          <cell r="B8" t="str">
            <v xml:space="preserve">    - Treasury Bills</v>
          </cell>
          <cell r="C8">
            <v>247051.68720708851</v>
          </cell>
          <cell r="D8">
            <v>2325</v>
          </cell>
          <cell r="E8">
            <v>249376.68720708851</v>
          </cell>
          <cell r="F8">
            <v>184533.66677000001</v>
          </cell>
          <cell r="G8">
            <v>3388.31</v>
          </cell>
          <cell r="H8">
            <v>187921.97677000001</v>
          </cell>
          <cell r="I8">
            <v>2325</v>
          </cell>
          <cell r="J8">
            <v>2108</v>
          </cell>
        </row>
        <row r="9">
          <cell r="B9" t="str">
            <v xml:space="preserve">    - Others (REPO)</v>
          </cell>
          <cell r="C9">
            <v>2016614.0250594034</v>
          </cell>
          <cell r="D9">
            <v>140789.13040901066</v>
          </cell>
          <cell r="E9">
            <v>2157403.1554684141</v>
          </cell>
          <cell r="F9">
            <v>1593608.2365135897</v>
          </cell>
          <cell r="G9">
            <v>298885.48438641027</v>
          </cell>
          <cell r="H9">
            <v>1892493.7208999998</v>
          </cell>
          <cell r="I9">
            <v>1579</v>
          </cell>
          <cell r="J9">
            <v>14888.301786410259</v>
          </cell>
        </row>
        <row r="10">
          <cell r="B10" t="str">
            <v>Equity</v>
          </cell>
          <cell r="C10">
            <v>889273.7882699999</v>
          </cell>
          <cell r="D10">
            <v>465838.67392999999</v>
          </cell>
          <cell r="E10">
            <v>1355112.4622</v>
          </cell>
          <cell r="F10">
            <v>-69948.105779999867</v>
          </cell>
          <cell r="G10">
            <v>377283.69107</v>
          </cell>
          <cell r="H10">
            <v>307335.58529000019</v>
          </cell>
          <cell r="I10">
            <v>25079</v>
          </cell>
          <cell r="J10">
            <v>0</v>
          </cell>
        </row>
        <row r="11">
          <cell r="B11" t="str">
            <v xml:space="preserve">    - Capital Gain/Losses</v>
          </cell>
          <cell r="C11">
            <v>-111548.19064000007</v>
          </cell>
          <cell r="D11">
            <v>88755.211909999998</v>
          </cell>
          <cell r="E11">
            <v>-22792.97873000009</v>
          </cell>
          <cell r="F11">
            <v>-855776.82077999995</v>
          </cell>
          <cell r="G11">
            <v>-16180.621929999999</v>
          </cell>
          <cell r="H11">
            <v>-871957.44270999997</v>
          </cell>
          <cell r="I11">
            <v>18767</v>
          </cell>
          <cell r="J11">
            <v>0</v>
          </cell>
        </row>
        <row r="12">
          <cell r="B12" t="str">
            <v xml:space="preserve">    - Dividend</v>
          </cell>
          <cell r="C12">
            <v>1000821.9789099999</v>
          </cell>
          <cell r="D12">
            <v>377083.46201999998</v>
          </cell>
          <cell r="E12">
            <v>1377905.44093</v>
          </cell>
          <cell r="F12">
            <v>785828.71500000008</v>
          </cell>
          <cell r="G12">
            <v>393464.31300000002</v>
          </cell>
          <cell r="H12">
            <v>1179293.0280000002</v>
          </cell>
          <cell r="I12">
            <v>6312</v>
          </cell>
          <cell r="J12">
            <v>0</v>
          </cell>
        </row>
        <row r="13">
          <cell r="B13" t="str">
            <v>Corporate Debts</v>
          </cell>
          <cell r="C13">
            <v>2452012.8320133537</v>
          </cell>
          <cell r="D13">
            <v>181146.85153088943</v>
          </cell>
          <cell r="E13">
            <v>2633159.6835442437</v>
          </cell>
          <cell r="F13">
            <v>1599062.9449199999</v>
          </cell>
          <cell r="G13">
            <v>62574.445732120963</v>
          </cell>
          <cell r="H13">
            <v>1661637.390652121</v>
          </cell>
          <cell r="I13">
            <v>106845.51794088942</v>
          </cell>
          <cell r="J13">
            <v>37175.92956212096</v>
          </cell>
        </row>
        <row r="14">
          <cell r="B14" t="str">
            <v xml:space="preserve">    - Debentures</v>
          </cell>
          <cell r="C14">
            <v>2392993.2641880517</v>
          </cell>
          <cell r="D14">
            <v>80960.95459456621</v>
          </cell>
          <cell r="E14">
            <v>2473954.2187826182</v>
          </cell>
          <cell r="F14">
            <v>1498133.0253900001</v>
          </cell>
          <cell r="G14">
            <v>28649.4461547793</v>
          </cell>
          <cell r="H14">
            <v>1526782.4715447794</v>
          </cell>
          <cell r="I14">
            <v>26963.621004566212</v>
          </cell>
          <cell r="J14">
            <v>6481.9299847792981</v>
          </cell>
        </row>
        <row r="15">
          <cell r="B15" t="str">
            <v xml:space="preserve">    - Commercial Papers</v>
          </cell>
          <cell r="C15">
            <v>42601.311545302298</v>
          </cell>
          <cell r="D15">
            <v>97008.827997867091</v>
          </cell>
          <cell r="E15">
            <v>139610.13954316938</v>
          </cell>
          <cell r="F15">
            <v>97021.170639999997</v>
          </cell>
          <cell r="G15">
            <v>32086.204471967532</v>
          </cell>
          <cell r="H15">
            <v>129107.37511196753</v>
          </cell>
          <cell r="I15">
            <v>76704.827997867091</v>
          </cell>
          <cell r="J15">
            <v>28855.204471967532</v>
          </cell>
        </row>
        <row r="16">
          <cell r="B16" t="str">
            <v xml:space="preserve">    - Asset backed securities </v>
          </cell>
          <cell r="C16">
            <v>16418.256280000001</v>
          </cell>
          <cell r="D16">
            <v>3177.068938456116</v>
          </cell>
          <cell r="E16">
            <v>19595.325218456117</v>
          </cell>
          <cell r="F16">
            <v>3908.7488900000003</v>
          </cell>
          <cell r="G16">
            <v>1838.7951053741269</v>
          </cell>
          <cell r="H16">
            <v>5747.543995374127</v>
          </cell>
          <cell r="I16">
            <v>3177.068938456116</v>
          </cell>
          <cell r="J16">
            <v>1838.7951053741269</v>
          </cell>
        </row>
        <row r="17">
          <cell r="B17" t="str">
            <v xml:space="preserve">    - Other similar financial instruments </v>
          </cell>
          <cell r="C17">
            <v>0</v>
          </cell>
          <cell r="D17">
            <v>0</v>
          </cell>
          <cell r="E17">
            <v>0</v>
          </cell>
          <cell r="F17">
            <v>0</v>
          </cell>
          <cell r="G17">
            <v>0</v>
          </cell>
          <cell r="H17">
            <v>0</v>
          </cell>
          <cell r="I17">
            <v>0</v>
          </cell>
          <cell r="J17">
            <v>0</v>
          </cell>
        </row>
        <row r="18">
          <cell r="B18" t="str">
            <v>Land and Buildings</v>
          </cell>
          <cell r="C18">
            <v>65635.83</v>
          </cell>
          <cell r="D18">
            <v>0</v>
          </cell>
          <cell r="E18">
            <v>65635.83</v>
          </cell>
          <cell r="F18">
            <v>56208.679359999995</v>
          </cell>
          <cell r="G18">
            <v>0</v>
          </cell>
          <cell r="H18">
            <v>56208.679359999995</v>
          </cell>
          <cell r="I18">
            <v>0</v>
          </cell>
          <cell r="J18">
            <v>0</v>
          </cell>
          <cell r="N18">
            <v>56208.679359999995</v>
          </cell>
        </row>
        <row r="19">
          <cell r="B19" t="str">
            <v>Deposits</v>
          </cell>
          <cell r="C19">
            <v>5798014.7726194058</v>
          </cell>
          <cell r="D19">
            <v>428824.44482063985</v>
          </cell>
          <cell r="E19">
            <v>6226839.2174400445</v>
          </cell>
          <cell r="F19">
            <v>3768413.8272799994</v>
          </cell>
          <cell r="G19">
            <v>219147.64689397262</v>
          </cell>
          <cell r="H19">
            <v>3987561.4741739724</v>
          </cell>
          <cell r="I19">
            <v>15618.82192</v>
          </cell>
          <cell r="J19">
            <v>9818.1722739726029</v>
          </cell>
        </row>
        <row r="20">
          <cell r="B20" t="str">
            <v xml:space="preserve">      - Bank</v>
          </cell>
          <cell r="C20">
            <v>5634201.4438144295</v>
          </cell>
          <cell r="D20">
            <v>428337.62290063984</v>
          </cell>
          <cell r="E20">
            <v>6062539.0667150682</v>
          </cell>
          <cell r="F20">
            <v>3652521.1949605937</v>
          </cell>
          <cell r="G20">
            <v>212631.37872958905</v>
          </cell>
          <cell r="H20">
            <v>3865152.573690183</v>
          </cell>
          <cell r="I20">
            <v>15438</v>
          </cell>
          <cell r="J20">
            <v>3788.9041095890407</v>
          </cell>
        </row>
        <row r="21">
          <cell r="B21" t="str">
            <v xml:space="preserve">      - Finance Companies</v>
          </cell>
          <cell r="C21">
            <v>163813.32880497642</v>
          </cell>
          <cell r="D21">
            <v>486.82191999999998</v>
          </cell>
          <cell r="E21">
            <v>164300.15072497644</v>
          </cell>
          <cell r="F21">
            <v>115892.63231940585</v>
          </cell>
          <cell r="G21">
            <v>6516.2681643835622</v>
          </cell>
          <cell r="H21">
            <v>122408.9004837894</v>
          </cell>
          <cell r="I21">
            <v>180.82192000000001</v>
          </cell>
          <cell r="J21">
            <v>6029.2681643835622</v>
          </cell>
        </row>
        <row r="22">
          <cell r="B22" t="str">
            <v>Unit Trust</v>
          </cell>
          <cell r="C22">
            <v>106619.3315</v>
          </cell>
          <cell r="D22">
            <v>296</v>
          </cell>
          <cell r="E22">
            <v>106915.3315</v>
          </cell>
          <cell r="F22">
            <v>123616.50711999999</v>
          </cell>
          <cell r="G22">
            <v>13136</v>
          </cell>
          <cell r="H22">
            <v>136752.50711999999</v>
          </cell>
          <cell r="I22">
            <v>0</v>
          </cell>
          <cell r="J22">
            <v>0</v>
          </cell>
          <cell r="N22">
            <v>123616.50711999999</v>
          </cell>
        </row>
        <row r="23">
          <cell r="B23" t="str">
            <v>Gold</v>
          </cell>
          <cell r="C23">
            <v>-10968</v>
          </cell>
          <cell r="D23">
            <v>0</v>
          </cell>
          <cell r="E23">
            <v>-10968</v>
          </cell>
          <cell r="F23">
            <v>25886.913</v>
          </cell>
          <cell r="G23">
            <v>0</v>
          </cell>
          <cell r="H23">
            <v>25886.913</v>
          </cell>
          <cell r="I23">
            <v>0</v>
          </cell>
          <cell r="J23">
            <v>0</v>
          </cell>
        </row>
        <row r="24">
          <cell r="B24" t="str">
            <v>Policy Loans</v>
          </cell>
          <cell r="C24">
            <v>25895.240530000003</v>
          </cell>
          <cell r="D24">
            <v>0</v>
          </cell>
          <cell r="E24">
            <v>25895.240530000003</v>
          </cell>
          <cell r="F24">
            <v>56895.01468</v>
          </cell>
          <cell r="G24">
            <v>0</v>
          </cell>
          <cell r="H24">
            <v>56895.01468</v>
          </cell>
          <cell r="I24">
            <v>0</v>
          </cell>
          <cell r="J24">
            <v>0</v>
          </cell>
          <cell r="N24">
            <v>56895.01468</v>
          </cell>
        </row>
        <row r="25">
          <cell r="B25" t="str">
            <v>Any other (Please specify)</v>
          </cell>
          <cell r="C25">
            <v>133911.45341000002</v>
          </cell>
          <cell r="D25">
            <v>-14795.542850000002</v>
          </cell>
          <cell r="E25">
            <v>119115.91056000002</v>
          </cell>
          <cell r="F25">
            <v>630170.28083000006</v>
          </cell>
          <cell r="G25">
            <v>-1996.3735100000004</v>
          </cell>
          <cell r="H25">
            <v>628173.90732</v>
          </cell>
          <cell r="I25">
            <v>-9537.1016899999995</v>
          </cell>
          <cell r="J25">
            <v>2317.78449</v>
          </cell>
          <cell r="M25">
            <v>124374.35172000002</v>
          </cell>
          <cell r="N25">
            <v>632488.06532000005</v>
          </cell>
        </row>
        <row r="26">
          <cell r="B26" t="str">
            <v>Total Investment Income</v>
          </cell>
          <cell r="C26">
            <v>21296357.255684838</v>
          </cell>
          <cell r="D26">
            <v>1344666.2124738733</v>
          </cell>
          <cell r="E26">
            <v>22641023.468158711</v>
          </cell>
          <cell r="F26">
            <v>17062052.916538104</v>
          </cell>
          <cell r="G26">
            <v>1142188.5710325039</v>
          </cell>
          <cell r="H26">
            <v>18204241.487570606</v>
          </cell>
          <cell r="I26">
            <v>182473.38375088939</v>
          </cell>
          <cell r="J26">
            <v>110372.26022250381</v>
          </cell>
          <cell r="M26">
            <v>21478830.639435727</v>
          </cell>
        </row>
        <row r="27">
          <cell r="C27">
            <v>21296357.63443033</v>
          </cell>
          <cell r="D27">
            <v>1344666.944790558</v>
          </cell>
          <cell r="E27">
            <v>22641024.579220887</v>
          </cell>
          <cell r="F27">
            <v>17062052.034297813</v>
          </cell>
          <cell r="G27">
            <v>1142188.5886963732</v>
          </cell>
          <cell r="H27">
            <v>18204240.622994184</v>
          </cell>
          <cell r="I27">
            <v>21478830.639435727</v>
          </cell>
          <cell r="J27">
            <v>17172425.176760606</v>
          </cell>
          <cell r="N27">
            <v>17172425.176760606</v>
          </cell>
        </row>
        <row r="28">
          <cell r="C28">
            <v>-0.37874549254775047</v>
          </cell>
          <cell r="D28">
            <v>-0.73231668467633426</v>
          </cell>
          <cell r="E28">
            <v>-1.1110621765255928</v>
          </cell>
          <cell r="F28">
            <v>0.88224029168486595</v>
          </cell>
          <cell r="G28">
            <v>-1.7663869308307767E-2</v>
          </cell>
          <cell r="H28">
            <v>0.86457642167806625</v>
          </cell>
        </row>
        <row r="29">
          <cell r="B29" t="str">
            <v>AAIPLC</v>
          </cell>
          <cell r="C29" t="str">
            <v>Asian</v>
          </cell>
        </row>
        <row r="30">
          <cell r="B30" t="str">
            <v>Breakup of Investment Income</v>
          </cell>
        </row>
        <row r="32">
          <cell r="C32">
            <v>2013</v>
          </cell>
          <cell r="F32" t="str">
            <v>2012 - As per Audited Financial Statements</v>
          </cell>
          <cell r="I32" t="str">
            <v>Issue</v>
          </cell>
        </row>
        <row r="33">
          <cell r="C33" t="str">
            <v>Long-term Insurance Business</v>
          </cell>
          <cell r="F33" t="str">
            <v>Long-term Insurance Business</v>
          </cell>
        </row>
        <row r="34">
          <cell r="C34" t="str">
            <v>Long-term Insurance Business            (Rs '000)</v>
          </cell>
          <cell r="D34" t="str">
            <v>Shareholders (Rs '000)</v>
          </cell>
          <cell r="E34" t="str">
            <v>Total       (Rs.'000)</v>
          </cell>
          <cell r="F34" t="str">
            <v>Long-term Insurance Business            (Rs '000)</v>
          </cell>
          <cell r="G34" t="str">
            <v>Shareholders (Rs '000)</v>
          </cell>
          <cell r="H34" t="str">
            <v>Total                         (Rs.'000)</v>
          </cell>
        </row>
        <row r="35">
          <cell r="B35" t="str">
            <v>Government Debt Securities</v>
          </cell>
          <cell r="C35">
            <v>261377</v>
          </cell>
          <cell r="D35">
            <v>0</v>
          </cell>
          <cell r="E35">
            <v>261377</v>
          </cell>
          <cell r="F35">
            <v>214865.81738999998</v>
          </cell>
          <cell r="G35">
            <v>0</v>
          </cell>
          <cell r="H35">
            <v>214865.81738999998</v>
          </cell>
        </row>
        <row r="36">
          <cell r="B36" t="str">
            <v xml:space="preserve">    - Treasury Bonds</v>
          </cell>
          <cell r="C36">
            <v>239485</v>
          </cell>
          <cell r="E36">
            <v>239485</v>
          </cell>
          <cell r="F36">
            <v>169455.13157</v>
          </cell>
          <cell r="H36">
            <v>169455.13157</v>
          </cell>
        </row>
        <row r="37">
          <cell r="B37" t="str">
            <v xml:space="preserve">    - Treasury Bills</v>
          </cell>
          <cell r="C37">
            <v>1363</v>
          </cell>
          <cell r="E37">
            <v>1363</v>
          </cell>
          <cell r="F37">
            <v>4606.3007500000003</v>
          </cell>
          <cell r="H37">
            <v>4606.3007500000003</v>
          </cell>
        </row>
        <row r="38">
          <cell r="B38" t="str">
            <v xml:space="preserve">    - Others (REPO)</v>
          </cell>
          <cell r="C38">
            <v>20529</v>
          </cell>
          <cell r="E38">
            <v>20529</v>
          </cell>
          <cell r="F38">
            <v>40804.385070000004</v>
          </cell>
          <cell r="H38">
            <v>40804.385070000004</v>
          </cell>
        </row>
        <row r="39">
          <cell r="B39" t="str">
            <v>Equity</v>
          </cell>
          <cell r="C39">
            <v>113622</v>
          </cell>
          <cell r="D39">
            <v>94312</v>
          </cell>
          <cell r="E39">
            <v>207934</v>
          </cell>
          <cell r="F39">
            <v>-46172.966039999992</v>
          </cell>
          <cell r="G39">
            <v>0</v>
          </cell>
          <cell r="H39">
            <v>-46172.966039999992</v>
          </cell>
        </row>
        <row r="40">
          <cell r="B40" t="str">
            <v xml:space="preserve">    - Capital Gain/Losses</v>
          </cell>
          <cell r="C40">
            <v>61363</v>
          </cell>
          <cell r="D40">
            <v>82682</v>
          </cell>
          <cell r="E40">
            <v>144045</v>
          </cell>
          <cell r="F40">
            <v>-56204.600439999995</v>
          </cell>
          <cell r="H40">
            <v>-56204.600439999995</v>
          </cell>
        </row>
        <row r="41">
          <cell r="B41" t="str">
            <v xml:space="preserve">    - Dividend</v>
          </cell>
          <cell r="C41">
            <v>52259</v>
          </cell>
          <cell r="D41">
            <v>11630</v>
          </cell>
          <cell r="E41">
            <v>63889</v>
          </cell>
          <cell r="F41">
            <v>10031.634400000001</v>
          </cell>
          <cell r="H41">
            <v>10031.634400000001</v>
          </cell>
        </row>
        <row r="42">
          <cell r="B42" t="str">
            <v>Corporate Debts</v>
          </cell>
          <cell r="C42">
            <v>69044</v>
          </cell>
          <cell r="D42">
            <v>20304</v>
          </cell>
          <cell r="E42">
            <v>89348</v>
          </cell>
          <cell r="F42">
            <v>60243.461370000005</v>
          </cell>
          <cell r="G42">
            <v>0</v>
          </cell>
          <cell r="H42">
            <v>60243.461370000005</v>
          </cell>
        </row>
        <row r="43">
          <cell r="B43" t="str">
            <v xml:space="preserve">    - Debentures</v>
          </cell>
          <cell r="C43">
            <v>59412</v>
          </cell>
          <cell r="E43">
            <v>59412</v>
          </cell>
          <cell r="F43">
            <v>52930.725010000002</v>
          </cell>
          <cell r="H43">
            <v>52930.725010000002</v>
          </cell>
        </row>
        <row r="44">
          <cell r="B44" t="str">
            <v xml:space="preserve">    - Commercial Papers</v>
          </cell>
          <cell r="C44">
            <v>9632</v>
          </cell>
          <cell r="D44">
            <v>20304</v>
          </cell>
          <cell r="E44">
            <v>29936</v>
          </cell>
          <cell r="F44">
            <v>7312.7363600000008</v>
          </cell>
          <cell r="H44">
            <v>7312.7363600000008</v>
          </cell>
        </row>
      </sheetData>
      <sheetData sheetId="42">
        <row r="13">
          <cell r="Q13">
            <v>94024168.604809076</v>
          </cell>
        </row>
        <row r="14">
          <cell r="Q14">
            <v>24490342.242850006</v>
          </cell>
        </row>
        <row r="15">
          <cell r="Q15">
            <v>521763.60429000005</v>
          </cell>
        </row>
        <row r="16">
          <cell r="Q16">
            <v>49158</v>
          </cell>
        </row>
        <row r="17">
          <cell r="Q17">
            <v>32934384.026166622</v>
          </cell>
        </row>
        <row r="18">
          <cell r="Q18">
            <v>6129837.1837599995</v>
          </cell>
        </row>
        <row r="19">
          <cell r="Q19">
            <v>40837962.794057339</v>
          </cell>
        </row>
        <row r="20">
          <cell r="Q20">
            <v>2302039.29783792</v>
          </cell>
        </row>
        <row r="21">
          <cell r="Q21">
            <v>29295</v>
          </cell>
        </row>
        <row r="23">
          <cell r="Q23">
            <v>5182398.9198819185</v>
          </cell>
        </row>
        <row r="28">
          <cell r="Q28">
            <v>969522.55007904</v>
          </cell>
        </row>
      </sheetData>
      <sheetData sheetId="43" refreshError="1"/>
      <sheetData sheetId="44" refreshError="1"/>
      <sheetData sheetId="45">
        <row r="13">
          <cell r="Q13">
            <v>98146810.473046437</v>
          </cell>
        </row>
        <row r="14">
          <cell r="Q14">
            <v>25833962.9817353</v>
          </cell>
        </row>
        <row r="15">
          <cell r="Q15">
            <v>521763</v>
          </cell>
        </row>
        <row r="16">
          <cell r="Q16">
            <v>49158</v>
          </cell>
        </row>
        <row r="17">
          <cell r="Q17">
            <v>13285666.582127919</v>
          </cell>
        </row>
        <row r="18">
          <cell r="Q18">
            <v>5951450.3726131096</v>
          </cell>
        </row>
        <row r="19">
          <cell r="Q19">
            <v>31790110.899298877</v>
          </cell>
        </row>
        <row r="20">
          <cell r="Q20">
            <v>1589873.4795658356</v>
          </cell>
        </row>
        <row r="21">
          <cell r="Q21">
            <v>31832</v>
          </cell>
        </row>
        <row r="23">
          <cell r="Q23">
            <v>4678904.00031</v>
          </cell>
        </row>
        <row r="28">
          <cell r="Q28">
            <v>917555.03461624123</v>
          </cell>
        </row>
      </sheetData>
      <sheetData sheetId="46" refreshError="1"/>
      <sheetData sheetId="47" refreshError="1"/>
      <sheetData sheetId="48">
        <row r="8">
          <cell r="F8" t="str">
            <v>AIA</v>
          </cell>
        </row>
      </sheetData>
      <sheetData sheetId="49" refreshError="1"/>
      <sheetData sheetId="50" refreshError="1"/>
      <sheetData sheetId="51">
        <row r="7">
          <cell r="F7" t="str">
            <v>AIA</v>
          </cell>
        </row>
      </sheetData>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3 &amp; 2012"/>
      <sheetName val="Sheet 6 - BR - IN"/>
      <sheetName val="Sheet1"/>
    </sheetNames>
    <sheetDataSet>
      <sheetData sheetId="0"/>
      <sheetData sheetId="1">
        <row r="33">
          <cell r="F33">
            <v>6747.6833299999998</v>
          </cell>
        </row>
        <row r="39">
          <cell r="C39">
            <v>14436.836329999825</v>
          </cell>
          <cell r="D39">
            <v>15153.229149999905</v>
          </cell>
          <cell r="E39">
            <v>894902.863955818</v>
          </cell>
          <cell r="F39">
            <v>5536.0702599999995</v>
          </cell>
          <cell r="G39">
            <v>167842.33261999997</v>
          </cell>
        </row>
        <row r="42">
          <cell r="C42">
            <v>-12307.508</v>
          </cell>
          <cell r="D42">
            <v>-6905.174</v>
          </cell>
          <cell r="E42">
            <v>-492573.55099999998</v>
          </cell>
          <cell r="F42">
            <v>-2933.2139999999999</v>
          </cell>
          <cell r="G42">
            <v>-80170.148000000001</v>
          </cell>
        </row>
        <row r="161">
          <cell r="C161">
            <v>7684.5690000000068</v>
          </cell>
          <cell r="D161">
            <v>15606.681000000002</v>
          </cell>
          <cell r="E161">
            <v>786224.00400000007</v>
          </cell>
          <cell r="F161">
            <v>4865.4969999999994</v>
          </cell>
          <cell r="G161">
            <v>154998.67699999991</v>
          </cell>
        </row>
        <row r="164">
          <cell r="C164">
            <v>-2389.8817799999997</v>
          </cell>
          <cell r="D164">
            <v>-1487.52169</v>
          </cell>
          <cell r="E164">
            <v>-499551.01990000001</v>
          </cell>
          <cell r="F164">
            <v>-788.3</v>
          </cell>
          <cell r="G164">
            <v>-73696.855009999999</v>
          </cell>
        </row>
      </sheetData>
      <sheetData sheetId="2">
        <row r="148">
          <cell r="C148">
            <v>72510.942999999999</v>
          </cell>
        </row>
      </sheetData>
      <sheetData sheetId="3"/>
      <sheetData sheetId="4">
        <row r="13">
          <cell r="B13" t="str">
            <v>Government Debt Securities</v>
          </cell>
        </row>
      </sheetData>
      <sheetData sheetId="5"/>
      <sheetData sheetId="6"/>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3 &amp; 2012"/>
      <sheetName val="Sheet 6 - BR - IN"/>
      <sheetName val="Sheet1"/>
    </sheetNames>
    <sheetDataSet>
      <sheetData sheetId="0" refreshError="1"/>
      <sheetData sheetId="1">
        <row r="10">
          <cell r="C10">
            <v>64</v>
          </cell>
        </row>
        <row r="39">
          <cell r="C39">
            <v>15127.189258330027</v>
          </cell>
          <cell r="D39">
            <v>60314.486887784209</v>
          </cell>
          <cell r="E39">
            <v>15615.582827194963</v>
          </cell>
          <cell r="F39">
            <v>644.87829908176025</v>
          </cell>
          <cell r="G39">
            <v>280598.72018289129</v>
          </cell>
        </row>
        <row r="42">
          <cell r="C42">
            <v>-20367.842560000008</v>
          </cell>
          <cell r="D42">
            <v>-302.95558000000449</v>
          </cell>
          <cell r="E42">
            <v>-19858.493759999896</v>
          </cell>
          <cell r="F42">
            <v>-227.33267999999993</v>
          </cell>
          <cell r="G42">
            <v>-86394.209889999998</v>
          </cell>
        </row>
        <row r="157">
          <cell r="C157">
            <v>15034.93374</v>
          </cell>
          <cell r="D157">
            <v>5062.196369999996</v>
          </cell>
          <cell r="E157">
            <v>50340.718390000002</v>
          </cell>
          <cell r="F157">
            <v>1073.2673599999996</v>
          </cell>
          <cell r="G157">
            <v>316325.48613000027</v>
          </cell>
        </row>
        <row r="160">
          <cell r="C160">
            <v>-10664.864089999999</v>
          </cell>
          <cell r="D160">
            <v>998.19985000000202</v>
          </cell>
          <cell r="E160">
            <v>-26222.239580000001</v>
          </cell>
          <cell r="F160">
            <v>33.220950000000002</v>
          </cell>
          <cell r="G160">
            <v>-48890.976499999997</v>
          </cell>
        </row>
      </sheetData>
      <sheetData sheetId="2" refreshError="1"/>
      <sheetData sheetId="3" refreshError="1"/>
      <sheetData sheetId="4">
        <row r="13">
          <cell r="B13" t="str">
            <v>Government Debt Securities</v>
          </cell>
        </row>
      </sheetData>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
      <sheetName val="Sheet 5 - CO-BS - 2013 &amp; 2012"/>
      <sheetName val="Sheet 6 - BR - IN"/>
    </sheetNames>
    <sheetDataSet>
      <sheetData sheetId="0" refreshError="1"/>
      <sheetData sheetId="1">
        <row r="10">
          <cell r="C10">
            <v>209</v>
          </cell>
        </row>
        <row r="39">
          <cell r="C39">
            <v>61590.31917408156</v>
          </cell>
          <cell r="D39">
            <v>4245.2549987940383</v>
          </cell>
          <cell r="E39">
            <v>907309.60939319828</v>
          </cell>
          <cell r="F39">
            <v>1160.6031782236407</v>
          </cell>
          <cell r="G39">
            <v>16094.054978796923</v>
          </cell>
        </row>
        <row r="42">
          <cell r="C42">
            <v>304.41413000001603</v>
          </cell>
          <cell r="D42">
            <v>-1549.4693300000001</v>
          </cell>
          <cell r="E42">
            <v>-606505.65050999995</v>
          </cell>
          <cell r="F42">
            <v>-122.39278999999999</v>
          </cell>
          <cell r="G42">
            <v>-11767.767270000002</v>
          </cell>
        </row>
        <row r="172">
          <cell r="C172">
            <v>51972.113134867264</v>
          </cell>
          <cell r="D172">
            <v>1991.9227454172162</v>
          </cell>
          <cell r="E172">
            <v>925439.04323602375</v>
          </cell>
          <cell r="F172">
            <v>782.44109013554055</v>
          </cell>
          <cell r="G172">
            <v>23140.302350180227</v>
          </cell>
        </row>
        <row r="175">
          <cell r="C175">
            <v>-1655.2840000000001</v>
          </cell>
          <cell r="D175">
            <v>-872.505</v>
          </cell>
          <cell r="E175">
            <v>-680751.36199999996</v>
          </cell>
          <cell r="F175">
            <v>-145.37326002713701</v>
          </cell>
          <cell r="G175">
            <v>-16925.331301092701</v>
          </cell>
        </row>
      </sheetData>
      <sheetData sheetId="2" refreshError="1"/>
      <sheetData sheetId="3" refreshError="1"/>
      <sheetData sheetId="4">
        <row r="13">
          <cell r="B13" t="str">
            <v>Government Debt Securities</v>
          </cell>
        </row>
      </sheetData>
      <sheetData sheetId="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2 - General Insurance"/>
      <sheetName val="Sheet 3 - Long Term Insurance"/>
      <sheetName val="Sheet 4 Life &amp; General Combined"/>
      <sheetName val="Sheet 5 - CO-BS - 2013 &amp; 2012"/>
      <sheetName val="Sheet 6 - BR - IN"/>
      <sheetName val="Sheet1"/>
    </sheetNames>
    <sheetDataSet>
      <sheetData sheetId="0">
        <row r="33">
          <cell r="F33">
            <v>132791</v>
          </cell>
        </row>
        <row r="39">
          <cell r="C39">
            <v>596457</v>
          </cell>
          <cell r="D39">
            <v>244495</v>
          </cell>
          <cell r="E39">
            <v>6124855</v>
          </cell>
          <cell r="F39">
            <v>86399</v>
          </cell>
          <cell r="G39">
            <v>1790506</v>
          </cell>
        </row>
        <row r="42">
          <cell r="C42">
            <v>-363088</v>
          </cell>
          <cell r="D42">
            <v>-115153</v>
          </cell>
          <cell r="E42">
            <v>-3403107</v>
          </cell>
          <cell r="F42">
            <v>-27758</v>
          </cell>
          <cell r="G42">
            <v>-732627</v>
          </cell>
        </row>
        <row r="171">
          <cell r="D171">
            <v>249074</v>
          </cell>
          <cell r="E171">
            <v>6327616</v>
          </cell>
          <cell r="F171">
            <v>86800</v>
          </cell>
          <cell r="G171">
            <v>1442245</v>
          </cell>
        </row>
        <row r="174">
          <cell r="C174">
            <v>-416151</v>
          </cell>
          <cell r="D174">
            <v>-107419</v>
          </cell>
          <cell r="E174">
            <v>-3343075</v>
          </cell>
          <cell r="F174">
            <v>-46216</v>
          </cell>
          <cell r="G174">
            <v>-643567</v>
          </cell>
        </row>
      </sheetData>
      <sheetData sheetId="1" refreshError="1"/>
      <sheetData sheetId="2" refreshError="1"/>
      <sheetData sheetId="3">
        <row r="13">
          <cell r="B13" t="str">
            <v>Government Debt Securities</v>
          </cell>
        </row>
      </sheetData>
      <sheetData sheetId="4" refreshError="1"/>
      <sheetData sheetId="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3 &amp; 2012"/>
      <sheetName val="Sheet 6 - BR - IN"/>
    </sheetNames>
    <sheetDataSet>
      <sheetData sheetId="0" refreshError="1"/>
      <sheetData sheetId="1">
        <row r="10">
          <cell r="C10">
            <v>2406</v>
          </cell>
        </row>
        <row r="39">
          <cell r="C39">
            <v>31114.921959999996</v>
          </cell>
          <cell r="D39">
            <v>13658.40065</v>
          </cell>
          <cell r="E39">
            <v>994227.09907</v>
          </cell>
          <cell r="G39">
            <v>118133.94250999999</v>
          </cell>
        </row>
        <row r="42">
          <cell r="C42">
            <v>-19309.381980000002</v>
          </cell>
          <cell r="D42">
            <v>-13281.660260000001</v>
          </cell>
          <cell r="E42">
            <v>-569075.66184000007</v>
          </cell>
          <cell r="G42">
            <v>-31521.974879999998</v>
          </cell>
        </row>
        <row r="157">
          <cell r="C157">
            <v>31180.10871</v>
          </cell>
          <cell r="D157">
            <v>11456.661589999998</v>
          </cell>
          <cell r="E157">
            <v>823724.38667000004</v>
          </cell>
          <cell r="G157">
            <v>135022.10180999999</v>
          </cell>
        </row>
        <row r="160">
          <cell r="C160">
            <v>-19076.350549999999</v>
          </cell>
          <cell r="D160">
            <v>-13742.62486</v>
          </cell>
          <cell r="E160">
            <v>-558930.50403999991</v>
          </cell>
          <cell r="G160">
            <v>-48908.440419999999</v>
          </cell>
        </row>
      </sheetData>
      <sheetData sheetId="2" refreshError="1"/>
      <sheetData sheetId="3" refreshError="1"/>
      <sheetData sheetId="4">
        <row r="13">
          <cell r="B13" t="str">
            <v>Government Debt Securities</v>
          </cell>
        </row>
      </sheetData>
      <sheetData sheetId="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3 &amp; 2012"/>
      <sheetName val="Sheet 6 - BR - IN"/>
    </sheetNames>
    <sheetDataSet>
      <sheetData sheetId="0" refreshError="1"/>
      <sheetData sheetId="1">
        <row r="10">
          <cell r="C10">
            <v>7025</v>
          </cell>
        </row>
        <row r="39">
          <cell r="C39">
            <v>35595.95800000005</v>
          </cell>
          <cell r="D39">
            <v>3555.5901499999959</v>
          </cell>
          <cell r="E39">
            <v>1185627.1847099999</v>
          </cell>
          <cell r="F39">
            <v>3844.1516399999996</v>
          </cell>
          <cell r="G39">
            <v>127809.91972999999</v>
          </cell>
        </row>
        <row r="42">
          <cell r="C42">
            <v>-6964.969730000018</v>
          </cell>
          <cell r="D42">
            <v>-1235.2764800000002</v>
          </cell>
          <cell r="E42">
            <v>-776450.46227999986</v>
          </cell>
          <cell r="F42">
            <v>-1936.75684</v>
          </cell>
          <cell r="G42">
            <v>-102486.29117999997</v>
          </cell>
        </row>
        <row r="166">
          <cell r="C166">
            <v>33549.44299000004</v>
          </cell>
          <cell r="D166">
            <v>4250.1385900000041</v>
          </cell>
          <cell r="E166">
            <v>1174170.6146</v>
          </cell>
          <cell r="F166">
            <v>3573.4422999999997</v>
          </cell>
          <cell r="G166">
            <v>109528.20471999998</v>
          </cell>
        </row>
        <row r="169">
          <cell r="C169">
            <v>-11492.697759999999</v>
          </cell>
          <cell r="D169">
            <v>-952.66656999999998</v>
          </cell>
          <cell r="E169">
            <v>-789174.7561</v>
          </cell>
          <cell r="F169">
            <v>-2610.3094299999998</v>
          </cell>
          <cell r="G169">
            <v>-88520.033630000005</v>
          </cell>
        </row>
      </sheetData>
      <sheetData sheetId="2">
        <row r="198">
          <cell r="B198" t="str">
            <v xml:space="preserve">    - Treasury Bonds</v>
          </cell>
        </row>
      </sheetData>
      <sheetData sheetId="3" refreshError="1"/>
      <sheetData sheetId="4">
        <row r="13">
          <cell r="B13" t="str">
            <v>Government Debt Securities</v>
          </cell>
        </row>
      </sheetData>
      <sheetData sheetId="5"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3 &amp; 2012"/>
      <sheetName val="Sheet 6 - BR - IN"/>
      <sheetName val="Sheet1"/>
    </sheetNames>
    <sheetDataSet>
      <sheetData sheetId="0" refreshError="1"/>
      <sheetData sheetId="1" refreshError="1">
        <row r="33">
          <cell r="B33" t="str">
            <v>GWP</v>
          </cell>
        </row>
        <row r="39">
          <cell r="C39">
            <v>138182999.55335006</v>
          </cell>
          <cell r="D39">
            <v>84813788.031039998</v>
          </cell>
          <cell r="E39">
            <v>4501945999.0615997</v>
          </cell>
          <cell r="G39">
            <v>646346999.48333991</v>
          </cell>
        </row>
        <row r="160">
          <cell r="C160">
            <v>111866.73726999905</v>
          </cell>
          <cell r="D160">
            <v>85932.345170000015</v>
          </cell>
          <cell r="E160">
            <v>4042847.8693500198</v>
          </cell>
          <cell r="G160">
            <v>611959.9632</v>
          </cell>
        </row>
        <row r="163">
          <cell r="C163">
            <v>-69577.058980000002</v>
          </cell>
          <cell r="D163">
            <v>-46382.139680000008</v>
          </cell>
          <cell r="E163">
            <v>-2482500.2996299998</v>
          </cell>
          <cell r="G163">
            <v>-432294.01051999995</v>
          </cell>
        </row>
      </sheetData>
      <sheetData sheetId="2" refreshError="1"/>
      <sheetData sheetId="3" refreshError="1"/>
      <sheetData sheetId="4" refreshError="1"/>
      <sheetData sheetId="5" refreshError="1"/>
      <sheetData sheetId="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3 &amp; 2012"/>
      <sheetName val="Sheet 6 - BR - IN"/>
      <sheetName val="Sheet1"/>
    </sheetNames>
    <sheetDataSet>
      <sheetData sheetId="0" refreshError="1"/>
      <sheetData sheetId="1">
        <row r="10">
          <cell r="C10">
            <v>2511</v>
          </cell>
        </row>
        <row r="39">
          <cell r="C39">
            <v>6625.9590400000025</v>
          </cell>
          <cell r="D39">
            <v>77.86503999999951</v>
          </cell>
          <cell r="E39">
            <v>1237163.7800499999</v>
          </cell>
          <cell r="F39">
            <v>-1186.9653400000025</v>
          </cell>
          <cell r="G39">
            <v>-4730.1627099999996</v>
          </cell>
        </row>
        <row r="42">
          <cell r="C42">
            <v>-7140.2960400000002</v>
          </cell>
          <cell r="D42">
            <v>-2942.90895</v>
          </cell>
          <cell r="E42">
            <v>-631710.04827999999</v>
          </cell>
          <cell r="F42">
            <v>-4224.6822199999997</v>
          </cell>
          <cell r="G42">
            <v>-1270.81774</v>
          </cell>
        </row>
        <row r="157">
          <cell r="C157">
            <v>-17648.952170000004</v>
          </cell>
          <cell r="D157">
            <v>-6118.17839</v>
          </cell>
          <cell r="E157">
            <v>854754.57689000014</v>
          </cell>
          <cell r="F157">
            <v>511.07972999999981</v>
          </cell>
          <cell r="G157">
            <v>-9878.1185899999982</v>
          </cell>
        </row>
        <row r="160">
          <cell r="C160">
            <v>-5097.2243600000002</v>
          </cell>
          <cell r="D160">
            <v>-134.80410999999998</v>
          </cell>
          <cell r="E160">
            <v>-572345.57115999993</v>
          </cell>
          <cell r="F160">
            <v>-280.86914000000002</v>
          </cell>
          <cell r="G160">
            <v>-528.57628</v>
          </cell>
        </row>
      </sheetData>
      <sheetData sheetId="2">
        <row r="166">
          <cell r="C166">
            <v>-13540.343859999999</v>
          </cell>
        </row>
      </sheetData>
      <sheetData sheetId="3" refreshError="1"/>
      <sheetData sheetId="4">
        <row r="13">
          <cell r="B13" t="str">
            <v>Government Debt Securities</v>
          </cell>
        </row>
      </sheetData>
      <sheetData sheetId="5" refreshError="1"/>
      <sheetData sheetId="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3 &amp; 2012"/>
      <sheetName val="Sheet 6 - BR - IN"/>
      <sheetName val="Sheet1"/>
    </sheetNames>
    <sheetDataSet>
      <sheetData sheetId="0" refreshError="1"/>
      <sheetData sheetId="1">
        <row r="39">
          <cell r="C39">
            <v>2184.6448099999989</v>
          </cell>
          <cell r="D39">
            <v>8112.2656100000004</v>
          </cell>
          <cell r="E39">
            <v>788630.40683999995</v>
          </cell>
          <cell r="G39">
            <v>199322.15664000003</v>
          </cell>
        </row>
        <row r="42">
          <cell r="C42">
            <v>7490.1331100000007</v>
          </cell>
          <cell r="D42">
            <v>6053.0590399999992</v>
          </cell>
          <cell r="E42">
            <v>629740.41785999993</v>
          </cell>
          <cell r="G42">
            <v>178368.91123</v>
          </cell>
        </row>
        <row r="157">
          <cell r="C157">
            <v>6128.9368600000016</v>
          </cell>
          <cell r="D157">
            <v>8356.355109999995</v>
          </cell>
          <cell r="E157">
            <v>589982.99858000013</v>
          </cell>
          <cell r="G157">
            <v>118820.44835000001</v>
          </cell>
        </row>
        <row r="160">
          <cell r="C160">
            <v>1413.8381999999992</v>
          </cell>
          <cell r="D160">
            <v>2594.6787800000002</v>
          </cell>
          <cell r="E160">
            <v>381705.73232000001</v>
          </cell>
          <cell r="G160">
            <v>79749.784169999984</v>
          </cell>
        </row>
      </sheetData>
      <sheetData sheetId="2" refreshError="1"/>
      <sheetData sheetId="3" refreshError="1"/>
      <sheetData sheetId="4">
        <row r="13">
          <cell r="B13" t="str">
            <v>Government Debt Securities</v>
          </cell>
        </row>
      </sheetData>
      <sheetData sheetId="5" refreshError="1"/>
      <sheetData sheetId="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
      <sheetName val="Sheet 2 - General Insurance"/>
      <sheetName val="Sheet 3 - Long Term Insurance"/>
      <sheetName val="Sheet 4 Life &amp; General Combined"/>
      <sheetName val="Sheet 5 - CO-BS - 2013 &amp; 2012"/>
      <sheetName val="Sheet 6 - BR - IN"/>
    </sheetNames>
    <sheetDataSet>
      <sheetData sheetId="0"/>
      <sheetData sheetId="1">
        <row r="39">
          <cell r="C39">
            <v>120714.60952999997</v>
          </cell>
          <cell r="D39">
            <v>1537.9186100000002</v>
          </cell>
          <cell r="E39">
            <v>2517533.4318400002</v>
          </cell>
          <cell r="G39">
            <v>160694.91036000001</v>
          </cell>
        </row>
        <row r="42">
          <cell r="C42">
            <v>-56830.059180000004</v>
          </cell>
          <cell r="D42">
            <v>-1506.1048099999996</v>
          </cell>
          <cell r="E42">
            <v>-1908846.3736100004</v>
          </cell>
          <cell r="G42">
            <v>-153036.22787</v>
          </cell>
        </row>
        <row r="162">
          <cell r="C162">
            <v>111189.66164999998</v>
          </cell>
          <cell r="D162">
            <v>8727.9344600000004</v>
          </cell>
          <cell r="E162">
            <v>2195967.22358</v>
          </cell>
          <cell r="G162">
            <v>132355</v>
          </cell>
        </row>
        <row r="165">
          <cell r="C165">
            <v>-69741</v>
          </cell>
          <cell r="D165">
            <v>-8142</v>
          </cell>
          <cell r="E165">
            <v>-1730598</v>
          </cell>
          <cell r="G165">
            <v>-161568</v>
          </cell>
        </row>
      </sheetData>
      <sheetData sheetId="2"/>
      <sheetData sheetId="3"/>
      <sheetData sheetId="4">
        <row r="13">
          <cell r="B13" t="str">
            <v>Government Debt Securities</v>
          </cell>
        </row>
      </sheetData>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List of tables"/>
      <sheetName val="Inv Income Vs Inv"/>
      <sheetName val="AR - Table 1"/>
      <sheetName val="AR Table 2"/>
      <sheetName val="AR Table 3 &amp; Chart 01,02"/>
      <sheetName val="AR Chart 03"/>
      <sheetName val="AR Table 4 &amp; Chart 4,5"/>
      <sheetName val="AR Table 5 &amp; Chart 6"/>
      <sheetName val="AR table 6 &amp; Chart 7"/>
      <sheetName val="AR Table 7 &amp; Chart 8"/>
      <sheetName val="AR Table 8 &amp; Chart 9"/>
      <sheetName val="AR Table 9 &amp; Chart 10"/>
      <sheetName val="AR Table 10 &amp; Chart 11"/>
      <sheetName val="AR Table 11 &amp; Chart 12"/>
      <sheetName val="AR Table 12"/>
      <sheetName val="New - LT"/>
      <sheetName val="New GI"/>
      <sheetName val="T9 Support"/>
      <sheetName val="T10 Support "/>
      <sheetName val="T10 Support  (2)"/>
      <sheetName val="T11 Support  "/>
      <sheetName val="T12 GI - Claims Age"/>
      <sheetName val="T24 BR -IN"/>
      <sheetName val="T22 Branches"/>
      <sheetName val="GI - Solvency"/>
      <sheetName val="LI - Solvency"/>
      <sheetName val="GI - Claims Outs - 2010"/>
      <sheetName val="GI - Claims Outs"/>
      <sheetName val="T13 -GI Policies "/>
      <sheetName val="T13(i) -Motor Policies"/>
      <sheetName val="T14As % of National Income"/>
      <sheetName val="T14 (i) -GI Sum Insu"/>
      <sheetName val="T14(ii) - LI classes - New"/>
      <sheetName val="T16 - LI classes - inforce"/>
      <sheetName val="T17LI - # of Customers"/>
      <sheetName val="T18 forf &amp; Surrender"/>
      <sheetName val="T19-laps new LI"/>
      <sheetName val="T19-laps Total"/>
      <sheetName val="T20 Claims - LI"/>
      <sheetName val="T23 Agents"/>
      <sheetName val="T21 Age Claims Outs LI"/>
      <sheetName val="GWP - Dist Chan - GI"/>
      <sheetName val="GWP - Dist Chan - LI"/>
      <sheetName val="Sheet1"/>
      <sheetName val="Mr. NR"/>
      <sheetName val="P &amp; L - GI - 2011"/>
      <sheetName val="P &amp; L GI - 2010"/>
      <sheetName val="P &amp; L LI 2011 &amp; 10"/>
      <sheetName val="T25 P &amp; L LI 2011 &amp; 10 (2)"/>
      <sheetName val="BS 2010"/>
      <sheetName val="BS 2011"/>
      <sheetName val="SRCC &amp; TC"/>
      <sheetName val="Co Ins Outward"/>
      <sheetName val="Info received"/>
      <sheetName val="Ratios"/>
      <sheetName val="T 1 - Penetration + SRCCTC"/>
      <sheetName val="New GI + SRCCTC"/>
      <sheetName val="Total GWP +SRCCTC"/>
      <sheetName val="T 8 - GWP - GI + SRCCTC"/>
      <sheetName val="T 9 - GWP Sub Class +SRCCTC"/>
      <sheetName val="T9 Support + SRCCTC"/>
      <sheetName val="T 11 - Retention + SRCCTC"/>
      <sheetName val="T11 Support  + SRCCTC"/>
      <sheetName val="T 8 - GWP - GI+SRCCTC"/>
    </sheetNames>
    <sheetDataSet>
      <sheetData sheetId="0"/>
      <sheetData sheetId="1"/>
      <sheetData sheetId="2"/>
      <sheetData sheetId="3"/>
      <sheetData sheetId="4">
        <row r="28">
          <cell r="C28">
            <v>139647177.67814398</v>
          </cell>
        </row>
      </sheetData>
      <sheetData sheetId="5">
        <row r="7">
          <cell r="L7">
            <v>1579190.6229400001</v>
          </cell>
        </row>
      </sheetData>
      <sheetData sheetId="6"/>
      <sheetData sheetId="7"/>
      <sheetData sheetId="8"/>
      <sheetData sheetId="9">
        <row r="7">
          <cell r="G7">
            <v>1137412.6968422052</v>
          </cell>
        </row>
      </sheetData>
      <sheetData sheetId="10"/>
      <sheetData sheetId="11">
        <row r="7">
          <cell r="H7">
            <v>2739921.14806</v>
          </cell>
          <cell r="Q7">
            <v>2995.414006</v>
          </cell>
        </row>
        <row r="8">
          <cell r="Q8">
            <v>219102.12200337049</v>
          </cell>
        </row>
      </sheetData>
      <sheetData sheetId="12">
        <row r="5">
          <cell r="B5" t="str">
            <v>Government Debt Securities</v>
          </cell>
        </row>
      </sheetData>
      <sheetData sheetId="13">
        <row r="5">
          <cell r="B5" t="str">
            <v>Government Debt Securities</v>
          </cell>
        </row>
      </sheetData>
      <sheetData sheetId="14"/>
      <sheetData sheetId="15">
        <row r="10">
          <cell r="I10">
            <v>1245630.5022100001</v>
          </cell>
        </row>
      </sheetData>
      <sheetData sheetId="16"/>
      <sheetData sheetId="17"/>
      <sheetData sheetId="18"/>
      <sheetData sheetId="19"/>
      <sheetData sheetId="20">
        <row r="11">
          <cell r="F11">
            <v>128815</v>
          </cell>
        </row>
      </sheetData>
      <sheetData sheetId="21"/>
      <sheetData sheetId="22"/>
      <sheetData sheetId="23"/>
      <sheetData sheetId="24">
        <row r="15">
          <cell r="C15">
            <v>1075</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ow r="7">
          <cell r="C7">
            <v>6972852.9010600001</v>
          </cell>
        </row>
      </sheetData>
      <sheetData sheetId="47">
        <row r="20">
          <cell r="I20">
            <v>-10058322.227912756</v>
          </cell>
        </row>
        <row r="26">
          <cell r="H26">
            <v>12220021.678048341</v>
          </cell>
        </row>
      </sheetData>
      <sheetData sheetId="48">
        <row r="7">
          <cell r="H7">
            <v>31152085.591510002</v>
          </cell>
        </row>
      </sheetData>
      <sheetData sheetId="49"/>
      <sheetData sheetId="50">
        <row r="13">
          <cell r="Q13">
            <v>70038347.676369995</v>
          </cell>
        </row>
        <row r="14">
          <cell r="Q14">
            <v>21445607.44447</v>
          </cell>
        </row>
        <row r="15">
          <cell r="Q15">
            <v>200000</v>
          </cell>
        </row>
        <row r="16">
          <cell r="Q16">
            <v>125462</v>
          </cell>
        </row>
        <row r="17">
          <cell r="Q17">
            <v>8606697.7198600005</v>
          </cell>
        </row>
        <row r="18">
          <cell r="Q18">
            <v>482049</v>
          </cell>
        </row>
        <row r="19">
          <cell r="Q19">
            <v>19151994.766230002</v>
          </cell>
        </row>
        <row r="20">
          <cell r="Q20">
            <v>1246496</v>
          </cell>
        </row>
        <row r="21">
          <cell r="Q21">
            <v>0</v>
          </cell>
        </row>
        <row r="23">
          <cell r="Q23">
            <v>4190810.7754799998</v>
          </cell>
        </row>
        <row r="24">
          <cell r="Q24">
            <v>0</v>
          </cell>
        </row>
        <row r="28">
          <cell r="Q28">
            <v>218622</v>
          </cell>
        </row>
      </sheetData>
      <sheetData sheetId="51"/>
      <sheetData sheetId="52">
        <row r="55">
          <cell r="H55">
            <v>1926563.8965400003</v>
          </cell>
        </row>
      </sheetData>
      <sheetData sheetId="53">
        <row r="51">
          <cell r="H51">
            <v>339999.80257999996</v>
          </cell>
        </row>
      </sheetData>
      <sheetData sheetId="54"/>
      <sheetData sheetId="55">
        <row r="5">
          <cell r="B5">
            <v>6.5060669808186784</v>
          </cell>
        </row>
      </sheetData>
      <sheetData sheetId="56"/>
      <sheetData sheetId="57"/>
      <sheetData sheetId="58"/>
      <sheetData sheetId="59"/>
      <sheetData sheetId="60"/>
      <sheetData sheetId="61"/>
      <sheetData sheetId="62"/>
      <sheetData sheetId="63"/>
      <sheetData sheetId="6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3 &amp; 2012"/>
      <sheetName val="Sheet 6 - BR - IN"/>
      <sheetName val="Sheet2"/>
      <sheetName val="Sheet1"/>
    </sheetNames>
    <sheetDataSet>
      <sheetData sheetId="0" refreshError="1"/>
      <sheetData sheetId="1">
        <row r="10">
          <cell r="C10">
            <v>11159</v>
          </cell>
        </row>
        <row r="39">
          <cell r="C39">
            <v>144613.37762999948</v>
          </cell>
          <cell r="D39">
            <v>165892.7511100001</v>
          </cell>
          <cell r="E39">
            <v>7302050.8899200037</v>
          </cell>
          <cell r="F39">
            <v>79915.650380000006</v>
          </cell>
          <cell r="G39">
            <v>2190254.8430200014</v>
          </cell>
        </row>
        <row r="42">
          <cell r="C42">
            <v>36881.427980000022</v>
          </cell>
          <cell r="D42">
            <v>-99422.367870000002</v>
          </cell>
          <cell r="E42">
            <v>-3889709.5711300005</v>
          </cell>
          <cell r="F42">
            <v>-18695.285229999998</v>
          </cell>
          <cell r="G42">
            <v>-1012886.7282900001</v>
          </cell>
        </row>
        <row r="167">
          <cell r="C167">
            <v>145917.17779000013</v>
          </cell>
          <cell r="D167">
            <v>-47642.551130000007</v>
          </cell>
          <cell r="E167">
            <v>-4431042.8633000003</v>
          </cell>
          <cell r="F167">
            <v>-34413.345319999993</v>
          </cell>
          <cell r="G167">
            <v>-1698124.2565500007</v>
          </cell>
        </row>
      </sheetData>
      <sheetData sheetId="2">
        <row r="205">
          <cell r="F205">
            <v>454232</v>
          </cell>
        </row>
      </sheetData>
      <sheetData sheetId="3" refreshError="1"/>
      <sheetData sheetId="4">
        <row r="13">
          <cell r="B13" t="str">
            <v>Government Debt Securities</v>
          </cell>
        </row>
      </sheetData>
      <sheetData sheetId="5" refreshError="1"/>
      <sheetData sheetId="6" refreshError="1"/>
      <sheetData sheetId="7"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3 &amp; 2012"/>
      <sheetName val="Sheet 6 - BR - IN"/>
    </sheetNames>
    <sheetDataSet>
      <sheetData sheetId="0" refreshError="1"/>
      <sheetData sheetId="1">
        <row r="39">
          <cell r="C39">
            <v>9323.4402658333311</v>
          </cell>
          <cell r="E39">
            <v>149168.55084708333</v>
          </cell>
          <cell r="F39">
            <v>0.39600000000000002</v>
          </cell>
          <cell r="G39">
            <v>78619.38594708337</v>
          </cell>
        </row>
        <row r="157">
          <cell r="C157">
            <v>2766.1209099999987</v>
          </cell>
          <cell r="D157">
            <v>0</v>
          </cell>
          <cell r="E157">
            <v>161159.57548999999</v>
          </cell>
          <cell r="F157">
            <v>0</v>
          </cell>
          <cell r="G157">
            <v>52386.550160000035</v>
          </cell>
        </row>
      </sheetData>
      <sheetData sheetId="2">
        <row r="155">
          <cell r="C155">
            <v>-2884</v>
          </cell>
        </row>
      </sheetData>
      <sheetData sheetId="3" refreshError="1"/>
      <sheetData sheetId="4">
        <row r="13">
          <cell r="B13" t="str">
            <v>Government Debt Securities</v>
          </cell>
        </row>
      </sheetData>
      <sheetData sheetId="5"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3 &amp; 2012"/>
      <sheetName val="Sheet 6 - BR - IN"/>
    </sheetNames>
    <sheetDataSet>
      <sheetData sheetId="0" refreshError="1"/>
      <sheetData sheetId="1">
        <row r="10">
          <cell r="C10">
            <v>12786</v>
          </cell>
        </row>
        <row r="39">
          <cell r="C39">
            <v>58842.492000000108</v>
          </cell>
          <cell r="D39">
            <v>124989.71577999997</v>
          </cell>
          <cell r="E39">
            <v>2403174.0531899999</v>
          </cell>
          <cell r="F39">
            <v>35622.643089999998</v>
          </cell>
          <cell r="G39">
            <v>1369705.1760500001</v>
          </cell>
        </row>
        <row r="42">
          <cell r="C42">
            <v>-23137</v>
          </cell>
          <cell r="D42">
            <v>-59830</v>
          </cell>
          <cell r="E42">
            <v>-1649504</v>
          </cell>
          <cell r="F42">
            <v>-13611</v>
          </cell>
          <cell r="G42">
            <v>-1053175</v>
          </cell>
        </row>
        <row r="157">
          <cell r="C157">
            <v>125135.56500000002</v>
          </cell>
          <cell r="D157">
            <v>59769.151319999903</v>
          </cell>
          <cell r="E157">
            <v>2135046.1623499999</v>
          </cell>
          <cell r="F157">
            <v>33395.974390000003</v>
          </cell>
          <cell r="G157">
            <v>1175064.1522499998</v>
          </cell>
        </row>
        <row r="160">
          <cell r="C160">
            <v>-19790.06925</v>
          </cell>
          <cell r="D160">
            <v>-27018.348580000002</v>
          </cell>
          <cell r="E160">
            <v>-1489946.1674800001</v>
          </cell>
          <cell r="F160">
            <v>-13488.727339999999</v>
          </cell>
          <cell r="G160">
            <v>-769860.47753999999</v>
          </cell>
        </row>
      </sheetData>
      <sheetData sheetId="2" refreshError="1"/>
      <sheetData sheetId="3" refreshError="1"/>
      <sheetData sheetId="4">
        <row r="13">
          <cell r="B13" t="str">
            <v>Government Debt Securities</v>
          </cell>
        </row>
      </sheetData>
      <sheetData sheetId="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3 &amp; 2012"/>
      <sheetName val="Sheet 6 - BR - IN"/>
      <sheetName val="Sheet1"/>
    </sheetNames>
    <sheetDataSet>
      <sheetData sheetId="0" refreshError="1"/>
      <sheetData sheetId="1">
        <row r="10">
          <cell r="C10">
            <v>130</v>
          </cell>
        </row>
        <row r="39">
          <cell r="C39">
            <v>1724.0207270586238</v>
          </cell>
          <cell r="D39">
            <v>2544.5641891080459</v>
          </cell>
          <cell r="E39">
            <v>233615.15584124965</v>
          </cell>
          <cell r="G39">
            <v>60668.30536728922</v>
          </cell>
        </row>
        <row r="42">
          <cell r="C42">
            <v>-442.56733200000002</v>
          </cell>
          <cell r="D42">
            <v>-636.58943299999999</v>
          </cell>
          <cell r="E42">
            <v>-163657.96072725</v>
          </cell>
          <cell r="G42">
            <v>-32512.326285162999</v>
          </cell>
        </row>
        <row r="157">
          <cell r="C157">
            <v>919.59053914250148</v>
          </cell>
          <cell r="D157">
            <v>1410.5920268613863</v>
          </cell>
          <cell r="E157">
            <v>81797.987727887725</v>
          </cell>
          <cell r="F157">
            <v>0</v>
          </cell>
          <cell r="G157">
            <v>22586.550192785209</v>
          </cell>
        </row>
      </sheetData>
      <sheetData sheetId="2" refreshError="1"/>
      <sheetData sheetId="3" refreshError="1"/>
      <sheetData sheetId="4">
        <row r="13">
          <cell r="B13" t="str">
            <v>Government Debt Securities</v>
          </cell>
        </row>
      </sheetData>
      <sheetData sheetId="5" refreshError="1"/>
      <sheetData sheetId="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3 &amp; 2012"/>
      <sheetName val="Sheet 6 - BR - IN"/>
      <sheetName val="Sheet1"/>
    </sheetNames>
    <sheetDataSet>
      <sheetData sheetId="0" refreshError="1"/>
      <sheetData sheetId="1">
        <row r="43">
          <cell r="C43">
            <v>-133767.21389999992</v>
          </cell>
          <cell r="D43">
            <v>-59412.464869999996</v>
          </cell>
          <cell r="E43">
            <v>-2771306.27672</v>
          </cell>
          <cell r="G43">
            <v>-507003.20478999999</v>
          </cell>
        </row>
        <row r="44">
          <cell r="C44">
            <v>133864.51154000001</v>
          </cell>
          <cell r="D44">
            <v>26262.36866</v>
          </cell>
          <cell r="G44">
            <v>52696.749989999997</v>
          </cell>
        </row>
      </sheetData>
      <sheetData sheetId="2" refreshError="1"/>
      <sheetData sheetId="3" refreshError="1"/>
      <sheetData sheetId="4" refreshError="1"/>
      <sheetData sheetId="5" refreshError="1"/>
      <sheetData sheetId="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3 &amp; 2012"/>
      <sheetName val="Sheet 6 - BR - IN"/>
    </sheetNames>
    <sheetDataSet>
      <sheetData sheetId="0" refreshError="1"/>
      <sheetData sheetId="1">
        <row r="10">
          <cell r="C10">
            <v>309</v>
          </cell>
        </row>
        <row r="42">
          <cell r="C42">
            <v>3327.4462400000002</v>
          </cell>
          <cell r="E42">
            <v>-8107.1067699999994</v>
          </cell>
          <cell r="F42">
            <v>0</v>
          </cell>
          <cell r="G42">
            <v>-75868.370810000008</v>
          </cell>
        </row>
        <row r="162">
          <cell r="C162">
            <v>3021.2354100000002</v>
          </cell>
          <cell r="E162">
            <v>-8768.7502599999989</v>
          </cell>
          <cell r="G162">
            <v>-63876.173649999997</v>
          </cell>
        </row>
      </sheetData>
      <sheetData sheetId="2" refreshError="1"/>
      <sheetData sheetId="3" refreshError="1"/>
      <sheetData sheetId="4" refreshError="1"/>
      <sheetData sheetId="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11"/>
      <sheetName val="Sheet 6 - BR - IN"/>
      <sheetName val="Sheet1"/>
    </sheetNames>
    <sheetDataSet>
      <sheetData sheetId="0" refreshError="1"/>
      <sheetData sheetId="1">
        <row r="10">
          <cell r="C10">
            <v>299</v>
          </cell>
          <cell r="D10">
            <v>591</v>
          </cell>
          <cell r="E10">
            <v>306</v>
          </cell>
          <cell r="F10">
            <v>8828</v>
          </cell>
          <cell r="G10">
            <v>19</v>
          </cell>
          <cell r="H10">
            <v>89</v>
          </cell>
        </row>
        <row r="11">
          <cell r="C11">
            <v>1</v>
          </cell>
          <cell r="D11">
            <v>0</v>
          </cell>
          <cell r="E11">
            <v>0</v>
          </cell>
          <cell r="F11">
            <v>41</v>
          </cell>
        </row>
        <row r="12">
          <cell r="C12">
            <v>3</v>
          </cell>
          <cell r="D12">
            <v>1</v>
          </cell>
          <cell r="E12">
            <v>3</v>
          </cell>
          <cell r="F12">
            <v>15</v>
          </cell>
        </row>
        <row r="15">
          <cell r="C15">
            <v>252</v>
          </cell>
          <cell r="D15">
            <v>561</v>
          </cell>
          <cell r="E15">
            <v>310</v>
          </cell>
          <cell r="F15">
            <v>7722</v>
          </cell>
          <cell r="G15">
            <v>16</v>
          </cell>
          <cell r="H15">
            <v>80</v>
          </cell>
        </row>
        <row r="16">
          <cell r="C16">
            <v>3</v>
          </cell>
          <cell r="D16">
            <v>15</v>
          </cell>
          <cell r="E16">
            <v>6</v>
          </cell>
          <cell r="F16">
            <v>50</v>
          </cell>
        </row>
        <row r="170">
          <cell r="C170">
            <v>19952.125469999999</v>
          </cell>
        </row>
        <row r="181">
          <cell r="C181">
            <v>2914.51253</v>
          </cell>
        </row>
      </sheetData>
      <sheetData sheetId="2" refreshError="1"/>
      <sheetData sheetId="3" refreshError="1"/>
      <sheetData sheetId="4" refreshError="1"/>
      <sheetData sheetId="5" refreshError="1"/>
      <sheetData sheetId="6"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11"/>
      <sheetName val="Sheet 6 - BR - IN"/>
      <sheetName val="Sheet3"/>
    </sheetNames>
    <sheetDataSet>
      <sheetData sheetId="0" refreshError="1"/>
      <sheetData sheetId="1">
        <row r="10">
          <cell r="C10">
            <v>126</v>
          </cell>
          <cell r="D10">
            <v>1339</v>
          </cell>
          <cell r="E10">
            <v>456</v>
          </cell>
          <cell r="F10">
            <v>22730</v>
          </cell>
          <cell r="G10">
            <v>9</v>
          </cell>
          <cell r="H10">
            <v>102</v>
          </cell>
        </row>
        <row r="11">
          <cell r="C11">
            <v>217</v>
          </cell>
          <cell r="D11">
            <v>1</v>
          </cell>
          <cell r="E11">
            <v>136</v>
          </cell>
          <cell r="F11">
            <v>21783</v>
          </cell>
          <cell r="G11">
            <v>7</v>
          </cell>
          <cell r="H11">
            <v>181</v>
          </cell>
        </row>
        <row r="12">
          <cell r="C12">
            <v>92</v>
          </cell>
          <cell r="D12">
            <v>785</v>
          </cell>
          <cell r="E12">
            <v>344</v>
          </cell>
          <cell r="F12">
            <v>30264</v>
          </cell>
          <cell r="G12">
            <v>8</v>
          </cell>
          <cell r="H12">
            <v>80</v>
          </cell>
        </row>
        <row r="13">
          <cell r="C13">
            <v>437</v>
          </cell>
          <cell r="D13">
            <v>193</v>
          </cell>
          <cell r="E13">
            <v>165</v>
          </cell>
          <cell r="F13">
            <v>10719</v>
          </cell>
          <cell r="G13">
            <v>15</v>
          </cell>
          <cell r="H13">
            <v>608</v>
          </cell>
        </row>
        <row r="15">
          <cell r="C15">
            <v>312</v>
          </cell>
          <cell r="D15">
            <v>427</v>
          </cell>
          <cell r="E15">
            <v>551</v>
          </cell>
          <cell r="F15">
            <v>44274</v>
          </cell>
          <cell r="G15">
            <v>46</v>
          </cell>
          <cell r="H15">
            <v>193</v>
          </cell>
        </row>
        <row r="16">
          <cell r="C16">
            <v>476</v>
          </cell>
          <cell r="D16">
            <v>797</v>
          </cell>
          <cell r="F16">
            <v>35364</v>
          </cell>
          <cell r="G16">
            <v>18</v>
          </cell>
          <cell r="H16">
            <v>593</v>
          </cell>
        </row>
        <row r="34">
          <cell r="C34">
            <v>41423.144014163736</v>
          </cell>
          <cell r="D34">
            <v>207.799542</v>
          </cell>
          <cell r="F34">
            <v>1708.6523404500001</v>
          </cell>
          <cell r="G34">
            <v>2657.0910914999999</v>
          </cell>
        </row>
        <row r="117">
          <cell r="C117">
            <v>31660.61298726725</v>
          </cell>
          <cell r="F117">
            <v>1151.3513294933514</v>
          </cell>
          <cell r="G117">
            <v>4245.693793966002</v>
          </cell>
        </row>
      </sheetData>
      <sheetData sheetId="2" refreshError="1"/>
      <sheetData sheetId="3" refreshError="1"/>
      <sheetData sheetId="4" refreshError="1"/>
      <sheetData sheetId="5" refreshError="1"/>
      <sheetData sheetId="6"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11"/>
      <sheetName val="Sheet 6 - BR - IN"/>
      <sheetName val="Sheet1"/>
    </sheetNames>
    <sheetDataSet>
      <sheetData sheetId="0" refreshError="1"/>
      <sheetData sheetId="1">
        <row r="10">
          <cell r="C10">
            <v>2351</v>
          </cell>
          <cell r="D10">
            <v>1574</v>
          </cell>
          <cell r="E10">
            <v>136072</v>
          </cell>
          <cell r="F10">
            <v>40737</v>
          </cell>
          <cell r="G10">
            <v>489</v>
          </cell>
          <cell r="H10">
            <v>14348</v>
          </cell>
        </row>
        <row r="11">
          <cell r="C11">
            <v>1354</v>
          </cell>
          <cell r="D11">
            <v>103</v>
          </cell>
          <cell r="E11">
            <v>107233</v>
          </cell>
          <cell r="F11">
            <v>37189</v>
          </cell>
          <cell r="G11">
            <v>129</v>
          </cell>
          <cell r="H11">
            <v>1333</v>
          </cell>
        </row>
        <row r="12">
          <cell r="C12">
            <v>3049</v>
          </cell>
          <cell r="D12">
            <v>1397</v>
          </cell>
          <cell r="E12">
            <v>81432</v>
          </cell>
          <cell r="F12">
            <v>44668</v>
          </cell>
          <cell r="G12">
            <v>406</v>
          </cell>
          <cell r="H12">
            <v>14261</v>
          </cell>
        </row>
        <row r="13">
          <cell r="C13">
            <v>1160</v>
          </cell>
          <cell r="D13">
            <v>172</v>
          </cell>
          <cell r="E13">
            <v>19834</v>
          </cell>
          <cell r="F13">
            <v>18404</v>
          </cell>
          <cell r="G13">
            <v>95</v>
          </cell>
          <cell r="H13">
            <v>1278</v>
          </cell>
        </row>
        <row r="15">
          <cell r="C15">
            <v>3871</v>
          </cell>
          <cell r="D15">
            <v>1225</v>
          </cell>
          <cell r="E15">
            <v>243305</v>
          </cell>
          <cell r="F15">
            <v>77926</v>
          </cell>
          <cell r="G15">
            <v>129</v>
          </cell>
          <cell r="H15">
            <v>1333</v>
          </cell>
        </row>
        <row r="16">
          <cell r="C16">
            <v>4584</v>
          </cell>
          <cell r="D16">
            <v>1101</v>
          </cell>
          <cell r="E16">
            <v>101266</v>
          </cell>
          <cell r="F16">
            <v>63072</v>
          </cell>
          <cell r="G16">
            <v>95</v>
          </cell>
          <cell r="H16">
            <v>1278</v>
          </cell>
        </row>
        <row r="34">
          <cell r="C34">
            <v>-291.71800000000002</v>
          </cell>
          <cell r="E34">
            <v>-240.27</v>
          </cell>
        </row>
      </sheetData>
      <sheetData sheetId="2">
        <row r="147">
          <cell r="C147">
            <v>1058.144</v>
          </cell>
          <cell r="D147">
            <v>562.79100000000005</v>
          </cell>
          <cell r="E147">
            <v>363.91399999999999</v>
          </cell>
          <cell r="F147">
            <v>398.43900000000002</v>
          </cell>
          <cell r="G147">
            <v>207.49993000000001</v>
          </cell>
        </row>
        <row r="148">
          <cell r="C148">
            <v>5191.2724000000007</v>
          </cell>
          <cell r="D148">
            <v>2351.67607</v>
          </cell>
          <cell r="E148">
            <v>3994.3359999999998</v>
          </cell>
          <cell r="F148">
            <v>3103.4940000000001</v>
          </cell>
          <cell r="G148">
            <v>2862.011</v>
          </cell>
        </row>
      </sheetData>
      <sheetData sheetId="3" refreshError="1"/>
      <sheetData sheetId="4" refreshError="1"/>
      <sheetData sheetId="5" refreshError="1"/>
      <sheetData sheetId="6"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11"/>
      <sheetName val="Sheet 6 - BR - IN"/>
      <sheetName val="Sheet1"/>
    </sheetNames>
    <sheetDataSet>
      <sheetData sheetId="0" refreshError="1"/>
      <sheetData sheetId="1">
        <row r="10">
          <cell r="C10">
            <v>231</v>
          </cell>
        </row>
        <row r="12">
          <cell r="F12">
            <v>28290</v>
          </cell>
        </row>
        <row r="34">
          <cell r="C34">
            <v>-5070.0688700000001</v>
          </cell>
        </row>
      </sheetData>
      <sheetData sheetId="2" refreshError="1"/>
      <sheetData sheetId="3" refreshError="1"/>
      <sheetData sheetId="4">
        <row r="29">
          <cell r="D29">
            <v>3814.3908199999996</v>
          </cell>
        </row>
      </sheetData>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11"/>
      <sheetName val="Sheet 6 - BR - IN"/>
      <sheetName val="Sheet1"/>
    </sheetNames>
    <sheetDataSet>
      <sheetData sheetId="0" refreshError="1"/>
      <sheetData sheetId="1" refreshError="1"/>
      <sheetData sheetId="2" refreshError="1">
        <row r="203">
          <cell r="C203">
            <v>95289878.547700018</v>
          </cell>
        </row>
        <row r="205">
          <cell r="C205">
            <v>4990000</v>
          </cell>
        </row>
        <row r="266">
          <cell r="C266">
            <v>193910855.19603214</v>
          </cell>
        </row>
        <row r="268">
          <cell r="C268">
            <v>54242881.046549164</v>
          </cell>
        </row>
        <row r="269">
          <cell r="C269">
            <v>38731063.224477775</v>
          </cell>
        </row>
        <row r="271">
          <cell r="C271">
            <v>0.05</v>
          </cell>
        </row>
      </sheetData>
      <sheetData sheetId="3" refreshError="1"/>
      <sheetData sheetId="4" refreshError="1"/>
      <sheetData sheetId="5" refreshError="1"/>
      <sheetData sheetId="6"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
      <sheetName val="Sheet 2 - General Insurance"/>
      <sheetName val="Sheet 3 - Long term Insurance"/>
      <sheetName val="Sheet 4 Life &amp; General Combined"/>
      <sheetName val="Sheet 5 - CO-BS - 2012 &amp; 2011"/>
      <sheetName val="Sheet 6 - BR - IN"/>
    </sheetNames>
    <sheetDataSet>
      <sheetData sheetId="0"/>
      <sheetData sheetId="1">
        <row r="10">
          <cell r="C10">
            <v>3495</v>
          </cell>
          <cell r="D10">
            <v>337</v>
          </cell>
          <cell r="E10">
            <v>950</v>
          </cell>
          <cell r="F10">
            <v>26358</v>
          </cell>
          <cell r="G10">
            <v>1</v>
          </cell>
          <cell r="H10">
            <v>2080</v>
          </cell>
        </row>
        <row r="11">
          <cell r="C11">
            <v>5013</v>
          </cell>
          <cell r="E11">
            <v>716</v>
          </cell>
          <cell r="F11">
            <v>55664</v>
          </cell>
          <cell r="G11">
            <v>2</v>
          </cell>
          <cell r="H11">
            <v>87</v>
          </cell>
        </row>
        <row r="12">
          <cell r="C12">
            <v>4535</v>
          </cell>
          <cell r="D12">
            <v>2346</v>
          </cell>
          <cell r="E12">
            <v>1038</v>
          </cell>
          <cell r="F12">
            <v>46339</v>
          </cell>
          <cell r="G12">
            <v>3</v>
          </cell>
          <cell r="H12">
            <v>2474</v>
          </cell>
        </row>
        <row r="13">
          <cell r="C13">
            <v>1545</v>
          </cell>
          <cell r="E13">
            <v>75</v>
          </cell>
          <cell r="F13">
            <v>18685</v>
          </cell>
          <cell r="G13">
            <v>1</v>
          </cell>
          <cell r="H13">
            <v>52</v>
          </cell>
        </row>
        <row r="15">
          <cell r="C15">
            <v>8508</v>
          </cell>
          <cell r="D15">
            <v>337</v>
          </cell>
          <cell r="E15">
            <v>1621</v>
          </cell>
          <cell r="F15">
            <v>76076</v>
          </cell>
          <cell r="G15">
            <v>3</v>
          </cell>
          <cell r="H15">
            <v>2167</v>
          </cell>
        </row>
        <row r="16">
          <cell r="C16">
            <v>6080</v>
          </cell>
          <cell r="D16">
            <v>2346</v>
          </cell>
          <cell r="E16">
            <v>1085</v>
          </cell>
          <cell r="F16">
            <v>60946</v>
          </cell>
          <cell r="G16">
            <v>4</v>
          </cell>
          <cell r="H16">
            <v>2526</v>
          </cell>
        </row>
        <row r="120">
          <cell r="C120">
            <v>-909</v>
          </cell>
        </row>
      </sheetData>
      <sheetData sheetId="2"/>
      <sheetData sheetId="3"/>
      <sheetData sheetId="4"/>
      <sheetData sheetId="5"/>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ow r="13">
          <cell r="G13">
            <v>3125794</v>
          </cell>
          <cell r="H13">
            <v>3390993</v>
          </cell>
          <cell r="I13">
            <v>3595068</v>
          </cell>
          <cell r="J13">
            <v>3954311</v>
          </cell>
        </row>
        <row r="25">
          <cell r="G25">
            <v>297892</v>
          </cell>
          <cell r="H25">
            <v>265199</v>
          </cell>
          <cell r="I25">
            <v>204075</v>
          </cell>
          <cell r="J25">
            <v>359243</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11"/>
      <sheetName val="Sheet 6 - BR - IN"/>
      <sheetName val="Sheet1"/>
    </sheetNames>
    <sheetDataSet>
      <sheetData sheetId="0" refreshError="1"/>
      <sheetData sheetId="1">
        <row r="10">
          <cell r="C10">
            <v>544</v>
          </cell>
          <cell r="D10">
            <v>106</v>
          </cell>
          <cell r="E10">
            <v>188</v>
          </cell>
          <cell r="F10">
            <v>63222</v>
          </cell>
          <cell r="G10">
            <v>41</v>
          </cell>
          <cell r="H10">
            <v>95</v>
          </cell>
        </row>
        <row r="11">
          <cell r="F11">
            <v>27923</v>
          </cell>
        </row>
        <row r="15">
          <cell r="C15">
            <v>544</v>
          </cell>
          <cell r="D15">
            <v>106</v>
          </cell>
          <cell r="E15">
            <v>188</v>
          </cell>
          <cell r="F15">
            <v>91145</v>
          </cell>
          <cell r="G15">
            <v>41</v>
          </cell>
          <cell r="H15">
            <v>95</v>
          </cell>
        </row>
        <row r="16">
          <cell r="F16">
            <v>28290</v>
          </cell>
        </row>
      </sheetData>
      <sheetData sheetId="2" refreshError="1"/>
      <sheetData sheetId="3" refreshError="1"/>
      <sheetData sheetId="4"/>
      <sheetData sheetId="5" refreshError="1"/>
      <sheetData sheetId="6"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11"/>
      <sheetName val="Sheet 6 - BR - IN"/>
      <sheetName val="Sheet1"/>
    </sheetNames>
    <sheetDataSet>
      <sheetData sheetId="0" refreshError="1"/>
      <sheetData sheetId="1">
        <row r="10">
          <cell r="C10">
            <v>1090</v>
          </cell>
          <cell r="D10">
            <v>1817</v>
          </cell>
          <cell r="E10">
            <v>17603</v>
          </cell>
          <cell r="F10">
            <v>18134</v>
          </cell>
          <cell r="H10">
            <v>2580</v>
          </cell>
        </row>
        <row r="11">
          <cell r="C11">
            <v>487</v>
          </cell>
          <cell r="D11">
            <v>227</v>
          </cell>
          <cell r="F11">
            <v>48451</v>
          </cell>
          <cell r="H11">
            <v>332</v>
          </cell>
        </row>
        <row r="12">
          <cell r="C12">
            <v>844</v>
          </cell>
          <cell r="D12">
            <v>1540</v>
          </cell>
          <cell r="F12">
            <v>23081</v>
          </cell>
          <cell r="H12">
            <v>1626</v>
          </cell>
        </row>
        <row r="13">
          <cell r="C13">
            <v>292</v>
          </cell>
          <cell r="D13">
            <v>145</v>
          </cell>
          <cell r="F13">
            <v>10665</v>
          </cell>
          <cell r="H13">
            <v>378</v>
          </cell>
        </row>
        <row r="15">
          <cell r="C15">
            <v>1294</v>
          </cell>
          <cell r="D15">
            <v>1802</v>
          </cell>
          <cell r="E15">
            <v>17603</v>
          </cell>
          <cell r="F15">
            <v>30848</v>
          </cell>
          <cell r="H15">
            <v>2727</v>
          </cell>
        </row>
        <row r="16">
          <cell r="C16">
            <v>1008</v>
          </cell>
          <cell r="D16">
            <v>1532</v>
          </cell>
          <cell r="F16">
            <v>29587</v>
          </cell>
          <cell r="H16">
            <v>1833</v>
          </cell>
        </row>
      </sheetData>
      <sheetData sheetId="2" refreshError="1"/>
      <sheetData sheetId="3" refreshError="1"/>
      <sheetData sheetId="4">
        <row r="13">
          <cell r="B13" t="str">
            <v>Government Debt Securities</v>
          </cell>
        </row>
      </sheetData>
      <sheetData sheetId="5" refreshError="1"/>
      <sheetData sheetId="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11"/>
      <sheetName val="Sheet 6 - BR - IN"/>
      <sheetName val="Sheet1"/>
    </sheetNames>
    <sheetDataSet>
      <sheetData sheetId="0"/>
      <sheetData sheetId="1">
        <row r="10">
          <cell r="C10">
            <v>3923</v>
          </cell>
          <cell r="H10">
            <v>6279</v>
          </cell>
        </row>
        <row r="11">
          <cell r="G11">
            <v>999</v>
          </cell>
          <cell r="H11">
            <v>3560</v>
          </cell>
        </row>
        <row r="12">
          <cell r="C12">
            <v>3341</v>
          </cell>
          <cell r="D12">
            <v>25472</v>
          </cell>
          <cell r="G12">
            <v>452</v>
          </cell>
          <cell r="H12">
            <v>7579</v>
          </cell>
        </row>
        <row r="13">
          <cell r="C13">
            <v>7201</v>
          </cell>
          <cell r="D13">
            <v>304</v>
          </cell>
          <cell r="G13">
            <v>970</v>
          </cell>
          <cell r="H13">
            <v>3181</v>
          </cell>
        </row>
        <row r="15">
          <cell r="F15">
            <v>98698</v>
          </cell>
          <cell r="G15">
            <v>1531</v>
          </cell>
          <cell r="H15">
            <v>9839</v>
          </cell>
        </row>
        <row r="16">
          <cell r="C16">
            <v>10542</v>
          </cell>
          <cell r="D16">
            <v>25776</v>
          </cell>
          <cell r="G16">
            <v>1422</v>
          </cell>
          <cell r="H16">
            <v>10760</v>
          </cell>
        </row>
      </sheetData>
      <sheetData sheetId="2"/>
      <sheetData sheetId="3"/>
      <sheetData sheetId="4"/>
      <sheetData sheetId="5"/>
      <sheetData sheetId="6"/>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3 - Long term Insurance"/>
      <sheetName val="Sheet 4 Life &amp; General Combined"/>
      <sheetName val="Sheet 5 - CO-BS - 2012 &amp; 2011"/>
      <sheetName val="Sheet 6 - BR - IN"/>
      <sheetName val="Sheet1"/>
    </sheetNames>
    <sheetDataSet>
      <sheetData sheetId="0">
        <row r="144">
          <cell r="C144">
            <v>5183</v>
          </cell>
          <cell r="E144">
            <v>8406</v>
          </cell>
          <cell r="F144">
            <v>7974</v>
          </cell>
          <cell r="G144">
            <v>1790</v>
          </cell>
        </row>
      </sheetData>
      <sheetData sheetId="1" refreshError="1"/>
      <sheetData sheetId="2" refreshError="1"/>
      <sheetData sheetId="3" refreshError="1"/>
      <sheetData sheetId="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11"/>
      <sheetName val="Sheet 6 - BR - IN"/>
    </sheetNames>
    <sheetDataSet>
      <sheetData sheetId="0" refreshError="1"/>
      <sheetData sheetId="1">
        <row r="10">
          <cell r="C10">
            <v>337</v>
          </cell>
          <cell r="D10">
            <v>5479</v>
          </cell>
          <cell r="F10">
            <v>430</v>
          </cell>
          <cell r="G10">
            <v>4</v>
          </cell>
          <cell r="H10">
            <v>18890</v>
          </cell>
        </row>
        <row r="11">
          <cell r="C11">
            <v>127</v>
          </cell>
          <cell r="D11">
            <v>30</v>
          </cell>
          <cell r="F11">
            <v>716</v>
          </cell>
          <cell r="G11">
            <v>1</v>
          </cell>
          <cell r="H11">
            <v>24034</v>
          </cell>
        </row>
      </sheetData>
      <sheetData sheetId="2" refreshError="1"/>
      <sheetData sheetId="3" refreshError="1"/>
      <sheetData sheetId="4" refreshError="1"/>
      <sheetData sheetId="5"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11"/>
      <sheetName val="Sheet 6 - BR - IN"/>
      <sheetName val="Sheet1"/>
    </sheetNames>
    <sheetDataSet>
      <sheetData sheetId="0" refreshError="1"/>
      <sheetData sheetId="1">
        <row r="10">
          <cell r="C10">
            <v>14169</v>
          </cell>
          <cell r="D10">
            <v>19342</v>
          </cell>
          <cell r="E10">
            <v>283475</v>
          </cell>
          <cell r="F10">
            <v>109244</v>
          </cell>
          <cell r="G10">
            <v>858</v>
          </cell>
          <cell r="H10">
            <v>11370</v>
          </cell>
        </row>
        <row r="11">
          <cell r="C11">
            <v>24810</v>
          </cell>
          <cell r="D11">
            <v>934</v>
          </cell>
          <cell r="E11">
            <v>555853</v>
          </cell>
          <cell r="F11">
            <v>213533</v>
          </cell>
          <cell r="G11">
            <v>1401</v>
          </cell>
          <cell r="H11">
            <v>17822</v>
          </cell>
        </row>
        <row r="12">
          <cell r="C12">
            <v>14492</v>
          </cell>
          <cell r="D12">
            <v>20656</v>
          </cell>
          <cell r="E12">
            <v>291744</v>
          </cell>
          <cell r="F12">
            <v>144723</v>
          </cell>
          <cell r="G12">
            <v>891</v>
          </cell>
          <cell r="H12">
            <v>11432</v>
          </cell>
        </row>
        <row r="13">
          <cell r="C13">
            <v>25017</v>
          </cell>
          <cell r="D13">
            <v>605</v>
          </cell>
          <cell r="E13">
            <v>539286</v>
          </cell>
          <cell r="F13">
            <v>150064</v>
          </cell>
          <cell r="G13">
            <v>1325</v>
          </cell>
          <cell r="H13">
            <v>18513</v>
          </cell>
        </row>
        <row r="15">
          <cell r="C15">
            <v>39435</v>
          </cell>
          <cell r="D15">
            <v>2350</v>
          </cell>
          <cell r="E15">
            <v>842201</v>
          </cell>
          <cell r="F15">
            <v>325525</v>
          </cell>
          <cell r="G15">
            <v>2015</v>
          </cell>
          <cell r="H15">
            <v>18953</v>
          </cell>
        </row>
        <row r="16">
          <cell r="C16">
            <v>41196</v>
          </cell>
          <cell r="D16">
            <v>2291</v>
          </cell>
          <cell r="E16">
            <v>834132</v>
          </cell>
          <cell r="F16">
            <v>298274</v>
          </cell>
          <cell r="G16">
            <v>2004</v>
          </cell>
          <cell r="H16">
            <v>21314</v>
          </cell>
        </row>
      </sheetData>
      <sheetData sheetId="2" refreshError="1"/>
      <sheetData sheetId="3" refreshError="1"/>
      <sheetData sheetId="4" refreshError="1"/>
      <sheetData sheetId="5" refreshError="1"/>
      <sheetData sheetId="6"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11"/>
      <sheetName val="Sheet 6 - BR - IN"/>
      <sheetName val="Sheet1"/>
    </sheetNames>
    <sheetDataSet>
      <sheetData sheetId="0" refreshError="1"/>
      <sheetData sheetId="1">
        <row r="10">
          <cell r="C10">
            <v>3923</v>
          </cell>
          <cell r="D10">
            <v>24058</v>
          </cell>
          <cell r="E10">
            <v>2048</v>
          </cell>
          <cell r="F10">
            <v>41725</v>
          </cell>
          <cell r="G10">
            <v>532</v>
          </cell>
        </row>
        <row r="11">
          <cell r="C11">
            <v>7671</v>
          </cell>
          <cell r="D11">
            <v>404</v>
          </cell>
          <cell r="E11">
            <v>1111</v>
          </cell>
          <cell r="F11">
            <v>53805</v>
          </cell>
        </row>
        <row r="12">
          <cell r="E12">
            <v>3997</v>
          </cell>
          <cell r="F12">
            <v>39712</v>
          </cell>
        </row>
        <row r="13">
          <cell r="E13">
            <v>1792</v>
          </cell>
          <cell r="F13">
            <v>49407</v>
          </cell>
        </row>
        <row r="15">
          <cell r="C15">
            <v>11594</v>
          </cell>
          <cell r="D15">
            <v>24462</v>
          </cell>
          <cell r="E15">
            <v>3159</v>
          </cell>
          <cell r="F15">
            <v>95530</v>
          </cell>
        </row>
        <row r="16">
          <cell r="E16">
            <v>5789</v>
          </cell>
          <cell r="F16">
            <v>89119</v>
          </cell>
        </row>
      </sheetData>
      <sheetData sheetId="2" refreshError="1"/>
      <sheetData sheetId="3" refreshError="1"/>
      <sheetData sheetId="4" refreshError="1"/>
      <sheetData sheetId="5" refreshError="1"/>
      <sheetData sheetId="6"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11"/>
      <sheetName val="Sheet 6 - BR - IN"/>
      <sheetName val="Sheet1"/>
    </sheetNames>
    <sheetDataSet>
      <sheetData sheetId="0"/>
      <sheetData sheetId="1">
        <row r="12">
          <cell r="C12">
            <v>937</v>
          </cell>
          <cell r="D12">
            <v>5889</v>
          </cell>
          <cell r="E12">
            <v>53106</v>
          </cell>
          <cell r="F12">
            <v>23705</v>
          </cell>
          <cell r="G12">
            <v>109</v>
          </cell>
          <cell r="H12">
            <v>1257</v>
          </cell>
        </row>
        <row r="13">
          <cell r="C13">
            <v>616</v>
          </cell>
          <cell r="D13">
            <v>12</v>
          </cell>
          <cell r="E13">
            <v>30837</v>
          </cell>
          <cell r="F13">
            <v>14355</v>
          </cell>
          <cell r="G13">
            <v>86</v>
          </cell>
          <cell r="H13">
            <v>1692</v>
          </cell>
        </row>
        <row r="16">
          <cell r="C16">
            <v>1263</v>
          </cell>
          <cell r="D16">
            <v>5850</v>
          </cell>
          <cell r="E16">
            <v>72377</v>
          </cell>
          <cell r="F16">
            <v>25296</v>
          </cell>
          <cell r="G16">
            <v>145</v>
          </cell>
          <cell r="H16">
            <v>2163</v>
          </cell>
        </row>
      </sheetData>
      <sheetData sheetId="2"/>
      <sheetData sheetId="3"/>
      <sheetData sheetId="4"/>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urance"/>
      <sheetName val="Long term Insurance"/>
      <sheetName val="Life &amp; General Combined"/>
      <sheetName val="CO-BS - 2011 &amp; 2010"/>
      <sheetName val="BR - IN"/>
    </sheetNames>
    <sheetDataSet>
      <sheetData sheetId="0" refreshError="1">
        <row r="153">
          <cell r="E153">
            <v>186000</v>
          </cell>
        </row>
      </sheetData>
      <sheetData sheetId="1" refreshError="1"/>
      <sheetData sheetId="2" refreshError="1"/>
      <sheetData sheetId="3" refreshError="1"/>
      <sheetData sheetId="4"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11"/>
      <sheetName val="Sheet 6 - BR - IN"/>
    </sheetNames>
    <sheetDataSet>
      <sheetData sheetId="0" refreshError="1"/>
      <sheetData sheetId="1">
        <row r="12">
          <cell r="C12">
            <v>597</v>
          </cell>
          <cell r="D12">
            <v>6466</v>
          </cell>
          <cell r="F12">
            <v>696</v>
          </cell>
          <cell r="G12">
            <v>6</v>
          </cell>
          <cell r="H12">
            <v>21271</v>
          </cell>
        </row>
        <row r="13">
          <cell r="C13">
            <v>788</v>
          </cell>
          <cell r="D13">
            <v>29</v>
          </cell>
          <cell r="F13">
            <v>1155</v>
          </cell>
          <cell r="G13">
            <v>10</v>
          </cell>
          <cell r="H13">
            <v>35461</v>
          </cell>
        </row>
        <row r="16">
          <cell r="C16">
            <v>5585</v>
          </cell>
          <cell r="D16">
            <v>36765</v>
          </cell>
          <cell r="F16">
            <v>17736</v>
          </cell>
          <cell r="G16">
            <v>658</v>
          </cell>
          <cell r="H16">
            <v>280235</v>
          </cell>
        </row>
      </sheetData>
      <sheetData sheetId="2" refreshError="1"/>
      <sheetData sheetId="3" refreshError="1"/>
      <sheetData sheetId="4" refreshError="1"/>
      <sheetData sheetId="5"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 "/>
      <sheetName val="Sheet 6 - BR - IN"/>
    </sheetNames>
    <sheetDataSet>
      <sheetData sheetId="0" refreshError="1"/>
      <sheetData sheetId="1">
        <row r="16">
          <cell r="D16">
            <v>14630</v>
          </cell>
          <cell r="H16">
            <v>14948</v>
          </cell>
        </row>
      </sheetData>
      <sheetData sheetId="2" refreshError="1"/>
      <sheetData sheetId="3" refreshError="1"/>
      <sheetData sheetId="4" refreshError="1"/>
      <sheetData sheetId="5"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1-03SD"/>
      <sheetName val="30-06SD "/>
      <sheetName val="30-09SD"/>
      <sheetName val="31-12SD "/>
      <sheetName val="SD - 2011"/>
      <sheetName val="31-03GI"/>
      <sheetName val="30-06GI "/>
      <sheetName val="30-09GI "/>
      <sheetName val="31-12GI "/>
      <sheetName val="GI - 2011 (2)"/>
      <sheetName val="Mr. NR"/>
      <sheetName val="GI - 2011"/>
      <sheetName val="31-03 LI"/>
      <sheetName val="Sheet3"/>
      <sheetName val="30-06 LI"/>
      <sheetName val="30-09 LI"/>
      <sheetName val="31-12 LI "/>
      <sheetName val="LI - 2011 (2)"/>
      <sheetName val="LI - 2011"/>
      <sheetName val="SI - Company"/>
      <sheetName val="Assets - General"/>
      <sheetName val="Assets - Long Term"/>
      <sheetName val="Assets - Company"/>
      <sheetName val="solvency - life "/>
      <sheetName val="solvency - general"/>
      <sheetName val="Ratios"/>
      <sheetName val="admissable assets - life"/>
      <sheetName val="Admissable assets - general"/>
      <sheetName val="Highlights"/>
      <sheetName val="SD "/>
      <sheetName val="GI  "/>
      <sheetName val="LI "/>
      <sheetName val="Sheet1"/>
    </sheetNames>
    <sheetDataSet>
      <sheetData sheetId="0"/>
      <sheetData sheetId="1"/>
      <sheetData sheetId="2"/>
      <sheetData sheetId="3"/>
      <sheetData sheetId="4">
        <row r="5">
          <cell r="V5">
            <v>1697934.0145700001</v>
          </cell>
        </row>
      </sheetData>
      <sheetData sheetId="5"/>
      <sheetData sheetId="6"/>
      <sheetData sheetId="7"/>
      <sheetData sheetId="8">
        <row r="5">
          <cell r="V5">
            <v>12411407.117876999</v>
          </cell>
        </row>
      </sheetData>
      <sheetData sheetId="9">
        <row r="6">
          <cell r="V6">
            <v>-9816080.4323333353</v>
          </cell>
        </row>
      </sheetData>
      <sheetData sheetId="10"/>
      <sheetData sheetId="11"/>
      <sheetData sheetId="12"/>
      <sheetData sheetId="13"/>
      <sheetData sheetId="14"/>
      <sheetData sheetId="15">
        <row r="5">
          <cell r="S5">
            <v>9263493.2232159972</v>
          </cell>
        </row>
      </sheetData>
      <sheetData sheetId="16">
        <row r="5">
          <cell r="S5">
            <v>9263493.2232159972</v>
          </cell>
        </row>
      </sheetData>
      <sheetData sheetId="17">
        <row r="7">
          <cell r="W7">
            <v>24475926.614028081</v>
          </cell>
        </row>
      </sheetData>
      <sheetData sheetId="18">
        <row r="7">
          <cell r="T7">
            <v>84122180.959786803</v>
          </cell>
        </row>
        <row r="23">
          <cell r="S23">
            <v>18905733.773537412</v>
          </cell>
        </row>
      </sheetData>
      <sheetData sheetId="19">
        <row r="25">
          <cell r="Y25">
            <v>263314977.47730723</v>
          </cell>
        </row>
      </sheetData>
      <sheetData sheetId="20"/>
      <sheetData sheetId="21"/>
      <sheetData sheetId="22">
        <row r="5">
          <cell r="B5">
            <v>6.4229816726198834</v>
          </cell>
        </row>
      </sheetData>
      <sheetData sheetId="23"/>
      <sheetData sheetId="24"/>
      <sheetData sheetId="25"/>
      <sheetData sheetId="26"/>
      <sheetData sheetId="27"/>
      <sheetData sheetId="28"/>
      <sheetData sheetId="29" refreshError="1"/>
      <sheetData sheetId="30" refreshError="1"/>
      <sheetData sheetId="31" refreshError="1"/>
      <sheetData sheetId="3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List of tables"/>
      <sheetName val="Inv Income Vs Inv"/>
      <sheetName val="AR - Table 1"/>
      <sheetName val="AR Table 2"/>
      <sheetName val="AR Table 3 &amp; Chart 01,02"/>
      <sheetName val="AR Chart 03"/>
      <sheetName val="AR Table 4 &amp; Chart 4,5"/>
      <sheetName val="AR Table 5 &amp; Chart 6"/>
      <sheetName val="AR table 6 &amp; Chart 7"/>
      <sheetName val="AR Table 7 &amp; Chart 8"/>
      <sheetName val="AR Table 8 &amp; Chart 9"/>
      <sheetName val="AR Table 9 &amp; Chart 10"/>
      <sheetName val="AR Table 10 &amp; Chart 11"/>
      <sheetName val="AR Table 11 &amp; Chart 12"/>
      <sheetName val="AR Table 12"/>
      <sheetName val="New - LT"/>
      <sheetName val="New GI"/>
      <sheetName val="T9 Support"/>
      <sheetName val="T10 Support "/>
      <sheetName val="T10 Support  (2)"/>
      <sheetName val="T11 Support  "/>
      <sheetName val="T12 GI - Claims Age"/>
      <sheetName val="T24 BR -IN"/>
      <sheetName val="T22 Branches"/>
      <sheetName val="GI - Solvency"/>
      <sheetName val="LI - Solvency"/>
      <sheetName val="GI - Claims Outs - 2010"/>
      <sheetName val="GI - Claims Outs"/>
      <sheetName val="T13 -GI Policies "/>
      <sheetName val="T13(i) -Motor Policies"/>
      <sheetName val="T14As % of National Income"/>
      <sheetName val="T14 (i) -GI Sum Insu"/>
      <sheetName val="T14(ii) - LI classes - New"/>
      <sheetName val="T16 - LI classes - inforce"/>
      <sheetName val="T17LI - # of Customers"/>
      <sheetName val="T18 forf &amp; Surrender"/>
      <sheetName val="T19-laps new LI"/>
      <sheetName val="T19-laps Total"/>
      <sheetName val="T20 Claims - LI"/>
      <sheetName val="T23 Agents"/>
      <sheetName val="T21 Age Claims Outs LI"/>
      <sheetName val="GWP - Dist Chan - GI"/>
      <sheetName val="GWP - Dist Chan - LI"/>
      <sheetName val="Sheet1"/>
      <sheetName val="Mr. NR"/>
      <sheetName val="P &amp; L - GI - 2011"/>
      <sheetName val="P &amp; L GI - 2010"/>
      <sheetName val="P &amp; L LI 2011 &amp; 10"/>
      <sheetName val="T25 P &amp; L LI 2011 &amp; 10 (2)"/>
      <sheetName val="BS 2010"/>
      <sheetName val="BS 2011"/>
      <sheetName val="SRCC &amp; TC"/>
      <sheetName val="Co Ins Outward"/>
      <sheetName val="Info received"/>
      <sheetName val="Ratios"/>
      <sheetName val="T 1 - Penetration + SRCCTC"/>
      <sheetName val="New GI + SRCCTC"/>
      <sheetName val="Total GWP +SRCCTC"/>
      <sheetName val="T 8 - GWP - GI + SRCCTC"/>
      <sheetName val="T 9 - GWP Sub Class +SRCCTC"/>
      <sheetName val="T9 Support + SRCCTC"/>
      <sheetName val="T 11 - Retention + SRCCTC"/>
      <sheetName val="T11 Support  + SRCCTC"/>
      <sheetName val="T 8 - GWP - GI+SRCCTC"/>
    </sheetNames>
    <sheetDataSet>
      <sheetData sheetId="0"/>
      <sheetData sheetId="1"/>
      <sheetData sheetId="2"/>
      <sheetData sheetId="3"/>
      <sheetData sheetId="4">
        <row r="28">
          <cell r="C28">
            <v>139647177.67814398</v>
          </cell>
        </row>
      </sheetData>
      <sheetData sheetId="5">
        <row r="7">
          <cell r="L7">
            <v>1579190.6229400001</v>
          </cell>
        </row>
      </sheetData>
      <sheetData sheetId="6"/>
      <sheetData sheetId="7"/>
      <sheetData sheetId="8"/>
      <sheetData sheetId="9">
        <row r="7">
          <cell r="G7">
            <v>1137412.6968422052</v>
          </cell>
        </row>
      </sheetData>
      <sheetData sheetId="10"/>
      <sheetData sheetId="11">
        <row r="7">
          <cell r="H7">
            <v>2739921.14806</v>
          </cell>
        </row>
      </sheetData>
      <sheetData sheetId="12">
        <row r="5">
          <cell r="B5" t="str">
            <v>Government Debt Securities</v>
          </cell>
        </row>
      </sheetData>
      <sheetData sheetId="13">
        <row r="5">
          <cell r="B5" t="str">
            <v>Government Debt Securities</v>
          </cell>
        </row>
      </sheetData>
      <sheetData sheetId="14"/>
      <sheetData sheetId="15">
        <row r="10">
          <cell r="I10">
            <v>1245630.5022100001</v>
          </cell>
        </row>
      </sheetData>
      <sheetData sheetId="16"/>
      <sheetData sheetId="17"/>
      <sheetData sheetId="18"/>
      <sheetData sheetId="19"/>
      <sheetData sheetId="20">
        <row r="11">
          <cell r="F11">
            <v>128815</v>
          </cell>
        </row>
      </sheetData>
      <sheetData sheetId="21"/>
      <sheetData sheetId="22"/>
      <sheetData sheetId="23"/>
      <sheetData sheetId="24">
        <row r="15">
          <cell r="C15">
            <v>1075</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ow r="7">
          <cell r="C7">
            <v>6972852.9010600001</v>
          </cell>
        </row>
      </sheetData>
      <sheetData sheetId="47">
        <row r="20">
          <cell r="I20">
            <v>-10058322.227912756</v>
          </cell>
        </row>
      </sheetData>
      <sheetData sheetId="48">
        <row r="7">
          <cell r="H7">
            <v>31152085.591510002</v>
          </cell>
        </row>
      </sheetData>
      <sheetData sheetId="49"/>
      <sheetData sheetId="50">
        <row r="13">
          <cell r="Q13">
            <v>70038347.676369995</v>
          </cell>
        </row>
      </sheetData>
      <sheetData sheetId="51"/>
      <sheetData sheetId="52">
        <row r="55">
          <cell r="H55">
            <v>1926563.8965400003</v>
          </cell>
        </row>
      </sheetData>
      <sheetData sheetId="53">
        <row r="51">
          <cell r="H51">
            <v>339999.80257999996</v>
          </cell>
        </row>
      </sheetData>
      <sheetData sheetId="54"/>
      <sheetData sheetId="55">
        <row r="5">
          <cell r="B5">
            <v>6.5060669808186784</v>
          </cell>
        </row>
      </sheetData>
      <sheetData sheetId="56"/>
      <sheetData sheetId="57"/>
      <sheetData sheetId="58"/>
      <sheetData sheetId="59"/>
      <sheetData sheetId="60"/>
      <sheetData sheetId="61"/>
      <sheetData sheetId="62"/>
      <sheetData sheetId="63"/>
      <sheetData sheetId="6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3 -GI Policies "/>
      <sheetName val="T13(i) -Motor Policies"/>
      <sheetName val="P &amp; L - GI - 2012"/>
      <sheetName val="Additional Data GI - 2012"/>
      <sheetName val="P &amp; L - GI - 2011 "/>
      <sheetName val="Additional Data GI - 2011"/>
      <sheetName val="GWP - Dist Chan - GI"/>
      <sheetName val="Expenses 2008&amp;09 GI"/>
      <sheetName val="TR - 2012"/>
      <sheetName val="GI - Claims Outs - 2012"/>
      <sheetName val="T12 GI - Claims Age"/>
      <sheetName val="GI - Claims Age Rs. 2012 "/>
      <sheetName val="New Busi LT"/>
      <sheetName val="NEP - LI - 2011 &amp; 12"/>
      <sheetName val="Inforced LI"/>
      <sheetName val="LI - # of Customers"/>
      <sheetName val="Forf &amp; Surrender"/>
      <sheetName val="LI - laps Total"/>
      <sheetName val="GWP - Dist Chan - LI (aft adjs)"/>
      <sheetName val="GWP - Dist Chan - LI"/>
      <sheetName val="Claim Details - LI"/>
      <sheetName val="T21 Age Claims Outs LI"/>
      <sheetName val="Age Claims Outs LI Rs.'000"/>
      <sheetName val="AR 5 Support"/>
      <sheetName val="Marine Claims"/>
      <sheetName val="Marine Earned Premium"/>
      <sheetName val="AR6&amp;7 Support I"/>
      <sheetName val="AR6&amp;7 Support II"/>
      <sheetName val="AR 6&amp;7 Support III"/>
      <sheetName val="AR7&amp;8 Support"/>
      <sheetName val="SRCC &amp; TC 2011 &amp; 12"/>
      <sheetName val="Co Ins Outward"/>
      <sheetName val="List of tables"/>
      <sheetName val="New - LT"/>
      <sheetName val="GWP - LT + GI "/>
      <sheetName val="AR - Table 1"/>
      <sheetName val="AR Table 2"/>
      <sheetName val="BS 2012"/>
      <sheetName val="AR Table 8 &amp; Chart 9"/>
      <sheetName val="AR Table 12"/>
      <sheetName val="AR Table 11 &amp; Chart 12"/>
      <sheetName val="Sheet4"/>
      <sheetName val="To Rajan"/>
      <sheetName val="Branches-Emp-Agents"/>
      <sheetName val="AR Table 3 &amp; Chart 01,02"/>
      <sheetName val="New &amp; Inforced Policies LI"/>
      <sheetName val="AR Table 9 &amp; Chart 10"/>
      <sheetName val="Investment Income LI "/>
      <sheetName val="LI - laps new "/>
      <sheetName val="Solvency LI "/>
      <sheetName val="AR Table 4 &amp; Chart 4,5"/>
      <sheetName val="AR Table 5 &amp; Chart 6"/>
      <sheetName val="AR table 6 &amp; Chart 7"/>
      <sheetName val="AR Table 7 &amp; Chart 8"/>
      <sheetName val="AR Table 10 &amp; Chart 11"/>
      <sheetName val="BS 2011"/>
      <sheetName val="Investment Income GI"/>
      <sheetName val="Solvency  GI "/>
      <sheetName val="Ratio"/>
      <sheetName val="Invest Income GI - 2012"/>
      <sheetName val="Invest Income GI - 2011"/>
      <sheetName val="Premium Receivable"/>
      <sheetName val="P &amp; L LI 2012 &amp; 11"/>
      <sheetName val="InV Income  - Life"/>
      <sheetName val="LI - laps new  (2)"/>
      <sheetName val="LI - Solvency"/>
      <sheetName val="Life Benifits Rs.'000"/>
      <sheetName val="# of Life Benifits Paid"/>
      <sheetName val="GI - Solvency"/>
      <sheetName val="BR -IN"/>
      <sheetName val="New GI"/>
      <sheetName val="T14 (i) -GI Sum Insu"/>
      <sheetName val="T14As % of National Income"/>
      <sheetName val="Sheet1"/>
      <sheetName val="Ratios"/>
      <sheetName val="Sheet2"/>
      <sheetName val="AR table 6 &amp; Chart 7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21">
          <cell r="L21">
            <v>2640658</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ow r="29">
          <cell r="M29">
            <v>1949804.8214974001</v>
          </cell>
        </row>
      </sheetData>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Risk Profile"/>
      <sheetName val="Sheet 2 - General Insurance"/>
      <sheetName val="Sheet 3 - Long term Insurance"/>
      <sheetName val="Sheet 4 Life &amp; General Combined"/>
      <sheetName val="Sheet 5 - CO-BS - 2012 &amp; 2011"/>
      <sheetName val="Sheet 6 - BR - IN"/>
      <sheetName val="Workings"/>
    </sheetNames>
    <sheetDataSet>
      <sheetData sheetId="0" refreshError="1"/>
      <sheetData sheetId="1" refreshError="1">
        <row r="10">
          <cell r="C10">
            <v>4945</v>
          </cell>
          <cell r="D10">
            <v>13850</v>
          </cell>
          <cell r="E10">
            <v>1978</v>
          </cell>
          <cell r="F10">
            <v>36930</v>
          </cell>
          <cell r="G10">
            <v>273</v>
          </cell>
          <cell r="H10">
            <v>6049</v>
          </cell>
        </row>
        <row r="11">
          <cell r="C11">
            <v>11859</v>
          </cell>
          <cell r="D11">
            <v>65</v>
          </cell>
          <cell r="E11">
            <v>1242</v>
          </cell>
          <cell r="F11">
            <v>34198</v>
          </cell>
          <cell r="G11">
            <v>284</v>
          </cell>
          <cell r="H11">
            <v>9222</v>
          </cell>
        </row>
        <row r="12">
          <cell r="C12">
            <v>5658</v>
          </cell>
          <cell r="D12">
            <v>15870</v>
          </cell>
          <cell r="E12">
            <v>7839</v>
          </cell>
          <cell r="F12">
            <v>42123</v>
          </cell>
          <cell r="G12">
            <v>188</v>
          </cell>
          <cell r="H12">
            <v>6820</v>
          </cell>
        </row>
        <row r="13">
          <cell r="C13">
            <v>10146</v>
          </cell>
          <cell r="D13">
            <v>67</v>
          </cell>
          <cell r="E13">
            <v>4904</v>
          </cell>
          <cell r="F13">
            <v>40255</v>
          </cell>
          <cell r="G13">
            <v>303</v>
          </cell>
          <cell r="H13">
            <v>7207</v>
          </cell>
        </row>
        <row r="15">
          <cell r="C15">
            <v>16647</v>
          </cell>
          <cell r="D15">
            <v>7583</v>
          </cell>
          <cell r="E15">
            <v>3616</v>
          </cell>
          <cell r="F15">
            <v>68489</v>
          </cell>
          <cell r="G15">
            <v>526</v>
          </cell>
          <cell r="H15">
            <v>21483</v>
          </cell>
        </row>
        <row r="16">
          <cell r="C16">
            <v>14028</v>
          </cell>
          <cell r="D16">
            <v>9548</v>
          </cell>
          <cell r="E16">
            <v>8485</v>
          </cell>
          <cell r="F16">
            <v>77023</v>
          </cell>
          <cell r="G16">
            <v>393</v>
          </cell>
          <cell r="H16">
            <v>19304</v>
          </cell>
        </row>
        <row r="34">
          <cell r="C34">
            <v>-24479.416430000001</v>
          </cell>
          <cell r="D34">
            <v>-2181.9210499999999</v>
          </cell>
          <cell r="E34">
            <v>-1695.15906</v>
          </cell>
          <cell r="G34">
            <v>-4673.41104</v>
          </cell>
        </row>
        <row r="118">
          <cell r="C118">
            <v>-17205.777390000003</v>
          </cell>
          <cell r="G118">
            <v>-15002.819690000006</v>
          </cell>
        </row>
        <row r="142">
          <cell r="H142">
            <v>-68208</v>
          </cell>
        </row>
      </sheetData>
      <sheetData sheetId="2" refreshError="1"/>
      <sheetData sheetId="3" refreshError="1"/>
      <sheetData sheetId="4" refreshError="1"/>
      <sheetData sheetId="5" refreshError="1"/>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 Risk Profile"/>
      <sheetName val="Sheet 2 - General Insurance"/>
      <sheetName val="Sheet 4 Life &amp; General Combined"/>
      <sheetName val="Sheet 5 - CO-BS - 2012 &amp; 2011"/>
      <sheetName val="Sheet 6 - BR - IN"/>
      <sheetName val="Sheet1"/>
    </sheetNames>
    <sheetDataSet>
      <sheetData sheetId="0" refreshError="1"/>
      <sheetData sheetId="1" refreshError="1">
        <row r="10">
          <cell r="C10">
            <v>181</v>
          </cell>
          <cell r="D10">
            <v>1626</v>
          </cell>
          <cell r="E10">
            <v>502</v>
          </cell>
          <cell r="G10">
            <v>14</v>
          </cell>
          <cell r="H10">
            <v>88</v>
          </cell>
        </row>
        <row r="11">
          <cell r="C11">
            <v>912</v>
          </cell>
          <cell r="D11">
            <v>12</v>
          </cell>
          <cell r="E11">
            <v>2889</v>
          </cell>
          <cell r="G11">
            <v>207</v>
          </cell>
          <cell r="H11">
            <v>1656</v>
          </cell>
        </row>
        <row r="12">
          <cell r="C12">
            <v>102</v>
          </cell>
          <cell r="D12">
            <v>1648</v>
          </cell>
          <cell r="E12">
            <v>398</v>
          </cell>
          <cell r="G12">
            <v>9</v>
          </cell>
          <cell r="H12">
            <v>61</v>
          </cell>
        </row>
        <row r="13">
          <cell r="C13">
            <v>730</v>
          </cell>
          <cell r="D13">
            <v>22</v>
          </cell>
          <cell r="E13">
            <v>1816</v>
          </cell>
          <cell r="G13">
            <v>184</v>
          </cell>
          <cell r="H13">
            <v>1641</v>
          </cell>
        </row>
        <row r="15">
          <cell r="C15">
            <v>1093</v>
          </cell>
          <cell r="D15">
            <v>1638</v>
          </cell>
          <cell r="E15">
            <v>3391</v>
          </cell>
          <cell r="G15">
            <v>221</v>
          </cell>
          <cell r="H15">
            <v>1744</v>
          </cell>
        </row>
        <row r="16">
          <cell r="C16">
            <v>832</v>
          </cell>
          <cell r="D16">
            <v>1670</v>
          </cell>
          <cell r="E16">
            <v>2214</v>
          </cell>
          <cell r="G16">
            <v>193</v>
          </cell>
          <cell r="H16">
            <v>1702</v>
          </cell>
        </row>
        <row r="34">
          <cell r="C34">
            <v>-4775</v>
          </cell>
          <cell r="D34">
            <v>-294</v>
          </cell>
          <cell r="G34">
            <v>-327</v>
          </cell>
        </row>
        <row r="117">
          <cell r="C117">
            <v>-9781</v>
          </cell>
          <cell r="G117">
            <v>-1056</v>
          </cell>
        </row>
        <row r="141">
          <cell r="H141">
            <v>-46594</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31.bin"/><Relationship Id="rId3" Type="http://schemas.openxmlformats.org/officeDocument/2006/relationships/printerSettings" Target="../printerSettings/printerSettings26.bin"/><Relationship Id="rId7" Type="http://schemas.openxmlformats.org/officeDocument/2006/relationships/printerSettings" Target="../printerSettings/printerSettings30.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2.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40.bin"/><Relationship Id="rId13" Type="http://schemas.openxmlformats.org/officeDocument/2006/relationships/printerSettings" Target="../printerSettings/printerSettings45.bin"/><Relationship Id="rId3" Type="http://schemas.openxmlformats.org/officeDocument/2006/relationships/printerSettings" Target="../printerSettings/printerSettings35.bin"/><Relationship Id="rId7" Type="http://schemas.openxmlformats.org/officeDocument/2006/relationships/printerSettings" Target="../printerSettings/printerSettings39.bin"/><Relationship Id="rId12" Type="http://schemas.openxmlformats.org/officeDocument/2006/relationships/printerSettings" Target="../printerSettings/printerSettings44.bin"/><Relationship Id="rId17" Type="http://schemas.openxmlformats.org/officeDocument/2006/relationships/comments" Target="../comments3.xml"/><Relationship Id="rId2" Type="http://schemas.openxmlformats.org/officeDocument/2006/relationships/printerSettings" Target="../printerSettings/printerSettings34.bin"/><Relationship Id="rId16" Type="http://schemas.openxmlformats.org/officeDocument/2006/relationships/vmlDrawing" Target="../drawings/vmlDrawing3.vml"/><Relationship Id="rId1" Type="http://schemas.openxmlformats.org/officeDocument/2006/relationships/printerSettings" Target="../printerSettings/printerSettings33.bin"/><Relationship Id="rId6" Type="http://schemas.openxmlformats.org/officeDocument/2006/relationships/printerSettings" Target="../printerSettings/printerSettings38.bin"/><Relationship Id="rId11" Type="http://schemas.openxmlformats.org/officeDocument/2006/relationships/printerSettings" Target="../printerSettings/printerSettings43.bin"/><Relationship Id="rId5" Type="http://schemas.openxmlformats.org/officeDocument/2006/relationships/printerSettings" Target="../printerSettings/printerSettings37.bin"/><Relationship Id="rId15" Type="http://schemas.openxmlformats.org/officeDocument/2006/relationships/printerSettings" Target="../printerSettings/printerSettings47.bin"/><Relationship Id="rId10" Type="http://schemas.openxmlformats.org/officeDocument/2006/relationships/printerSettings" Target="../printerSettings/printerSettings42.bin"/><Relationship Id="rId4" Type="http://schemas.openxmlformats.org/officeDocument/2006/relationships/printerSettings" Target="../printerSettings/printerSettings36.bin"/><Relationship Id="rId9" Type="http://schemas.openxmlformats.org/officeDocument/2006/relationships/printerSettings" Target="../printerSettings/printerSettings41.bin"/><Relationship Id="rId14" Type="http://schemas.openxmlformats.org/officeDocument/2006/relationships/printerSettings" Target="../printerSettings/printerSettings4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2.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5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5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58.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5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10.bin"/><Relationship Id="rId3" Type="http://schemas.openxmlformats.org/officeDocument/2006/relationships/printerSettings" Target="../printerSettings/printerSettings5.bin"/><Relationship Id="rId7" Type="http://schemas.openxmlformats.org/officeDocument/2006/relationships/printerSettings" Target="../printerSettings/printerSettings9.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printerSettings" Target="../printerSettings/printerSettings8.bin"/><Relationship Id="rId5" Type="http://schemas.openxmlformats.org/officeDocument/2006/relationships/printerSettings" Target="../printerSettings/printerSettings7.bin"/><Relationship Id="rId4" Type="http://schemas.openxmlformats.org/officeDocument/2006/relationships/printerSettings" Target="../printerSettings/printerSettings6.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35.xml.rels><?xml version="1.0" encoding="UTF-8" standalone="yes"?>
<Relationships xmlns="http://schemas.openxmlformats.org/package/2006/relationships"><Relationship Id="rId8" Type="http://schemas.openxmlformats.org/officeDocument/2006/relationships/printerSettings" Target="../printerSettings/printerSettings77.bin"/><Relationship Id="rId3" Type="http://schemas.openxmlformats.org/officeDocument/2006/relationships/printerSettings" Target="../printerSettings/printerSettings72.bin"/><Relationship Id="rId7" Type="http://schemas.openxmlformats.org/officeDocument/2006/relationships/printerSettings" Target="../printerSettings/printerSettings76.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 Id="rId6" Type="http://schemas.openxmlformats.org/officeDocument/2006/relationships/printerSettings" Target="../printerSettings/printerSettings75.bin"/><Relationship Id="rId5" Type="http://schemas.openxmlformats.org/officeDocument/2006/relationships/printerSettings" Target="../printerSettings/printerSettings74.bin"/><Relationship Id="rId4" Type="http://schemas.openxmlformats.org/officeDocument/2006/relationships/printerSettings" Target="../printerSettings/printerSettings7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39.xml.rels><?xml version="1.0" encoding="UTF-8" standalone="yes"?>
<Relationships xmlns="http://schemas.openxmlformats.org/package/2006/relationships"><Relationship Id="rId8" Type="http://schemas.openxmlformats.org/officeDocument/2006/relationships/printerSettings" Target="../printerSettings/printerSettings88.bin"/><Relationship Id="rId3" Type="http://schemas.openxmlformats.org/officeDocument/2006/relationships/printerSettings" Target="../printerSettings/printerSettings83.bin"/><Relationship Id="rId7" Type="http://schemas.openxmlformats.org/officeDocument/2006/relationships/printerSettings" Target="../printerSettings/printerSettings87.bin"/><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 Id="rId6" Type="http://schemas.openxmlformats.org/officeDocument/2006/relationships/printerSettings" Target="../printerSettings/printerSettings86.bin"/><Relationship Id="rId5" Type="http://schemas.openxmlformats.org/officeDocument/2006/relationships/printerSettings" Target="../printerSettings/printerSettings85.bin"/><Relationship Id="rId10" Type="http://schemas.openxmlformats.org/officeDocument/2006/relationships/comments" Target="../comments10.xml"/><Relationship Id="rId4" Type="http://schemas.openxmlformats.org/officeDocument/2006/relationships/printerSettings" Target="../printerSettings/printerSettings84.bin"/><Relationship Id="rId9" Type="http://schemas.openxmlformats.org/officeDocument/2006/relationships/vmlDrawing" Target="../drawings/vmlDrawing10.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0.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printerSettings" Target="../printerSettings/printerSettings91.bin"/><Relationship Id="rId7" Type="http://schemas.openxmlformats.org/officeDocument/2006/relationships/printerSettings" Target="../printerSettings/printerSettings95.bin"/><Relationship Id="rId2" Type="http://schemas.openxmlformats.org/officeDocument/2006/relationships/printerSettings" Target="../printerSettings/printerSettings90.bin"/><Relationship Id="rId1" Type="http://schemas.openxmlformats.org/officeDocument/2006/relationships/printerSettings" Target="../printerSettings/printerSettings89.bin"/><Relationship Id="rId6" Type="http://schemas.openxmlformats.org/officeDocument/2006/relationships/printerSettings" Target="../printerSettings/printerSettings94.bin"/><Relationship Id="rId5" Type="http://schemas.openxmlformats.org/officeDocument/2006/relationships/printerSettings" Target="../printerSettings/printerSettings93.bin"/><Relationship Id="rId4" Type="http://schemas.openxmlformats.org/officeDocument/2006/relationships/printerSettings" Target="../printerSettings/printerSettings92.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99.bin"/><Relationship Id="rId7" Type="http://schemas.openxmlformats.org/officeDocument/2006/relationships/printerSettings" Target="../printerSettings/printerSettings103.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 Id="rId6" Type="http://schemas.openxmlformats.org/officeDocument/2006/relationships/printerSettings" Target="../printerSettings/printerSettings102.bin"/><Relationship Id="rId5" Type="http://schemas.openxmlformats.org/officeDocument/2006/relationships/printerSettings" Target="../printerSettings/printerSettings101.bin"/><Relationship Id="rId4" Type="http://schemas.openxmlformats.org/officeDocument/2006/relationships/printerSettings" Target="../printerSettings/printerSettings100.bin"/></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111.bin"/><Relationship Id="rId3" Type="http://schemas.openxmlformats.org/officeDocument/2006/relationships/printerSettings" Target="../printerSettings/printerSettings106.bin"/><Relationship Id="rId7" Type="http://schemas.openxmlformats.org/officeDocument/2006/relationships/printerSettings" Target="../printerSettings/printerSettings110.bin"/><Relationship Id="rId2" Type="http://schemas.openxmlformats.org/officeDocument/2006/relationships/printerSettings" Target="../printerSettings/printerSettings105.bin"/><Relationship Id="rId1" Type="http://schemas.openxmlformats.org/officeDocument/2006/relationships/printerSettings" Target="../printerSettings/printerSettings104.bin"/><Relationship Id="rId6" Type="http://schemas.openxmlformats.org/officeDocument/2006/relationships/printerSettings" Target="../printerSettings/printerSettings109.bin"/><Relationship Id="rId5" Type="http://schemas.openxmlformats.org/officeDocument/2006/relationships/printerSettings" Target="../printerSettings/printerSettings108.bin"/><Relationship Id="rId4" Type="http://schemas.openxmlformats.org/officeDocument/2006/relationships/printerSettings" Target="../printerSettings/printerSettings107.bin"/></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119.bin"/><Relationship Id="rId3" Type="http://schemas.openxmlformats.org/officeDocument/2006/relationships/printerSettings" Target="../printerSettings/printerSettings114.bin"/><Relationship Id="rId7" Type="http://schemas.openxmlformats.org/officeDocument/2006/relationships/printerSettings" Target="../printerSettings/printerSettings118.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 Id="rId6" Type="http://schemas.openxmlformats.org/officeDocument/2006/relationships/printerSettings" Target="../printerSettings/printerSettings117.bin"/><Relationship Id="rId5" Type="http://schemas.openxmlformats.org/officeDocument/2006/relationships/printerSettings" Target="../printerSettings/printerSettings116.bin"/><Relationship Id="rId4" Type="http://schemas.openxmlformats.org/officeDocument/2006/relationships/printerSettings" Target="../printerSettings/printerSettings115.bin"/></Relationships>
</file>

<file path=xl/worksheets/_rels/sheet45.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46.xml.rels><?xml version="1.0" encoding="UTF-8" standalone="yes"?>
<Relationships xmlns="http://schemas.openxmlformats.org/package/2006/relationships"><Relationship Id="rId8" Type="http://schemas.openxmlformats.org/officeDocument/2006/relationships/printerSettings" Target="../printerSettings/printerSettings134.bin"/><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10" Type="http://schemas.openxmlformats.org/officeDocument/2006/relationships/comments" Target="../comments11.xml"/><Relationship Id="rId4" Type="http://schemas.openxmlformats.org/officeDocument/2006/relationships/printerSettings" Target="../printerSettings/printerSettings130.bin"/><Relationship Id="rId9" Type="http://schemas.openxmlformats.org/officeDocument/2006/relationships/vmlDrawing" Target="../drawings/vmlDrawing11.vml"/></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37.bin"/><Relationship Id="rId7" Type="http://schemas.openxmlformats.org/officeDocument/2006/relationships/printerSettings" Target="../printerSettings/printerSettings141.bin"/><Relationship Id="rId2" Type="http://schemas.openxmlformats.org/officeDocument/2006/relationships/printerSettings" Target="../printerSettings/printerSettings136.bin"/><Relationship Id="rId1" Type="http://schemas.openxmlformats.org/officeDocument/2006/relationships/printerSettings" Target="../printerSettings/printerSettings135.bin"/><Relationship Id="rId6" Type="http://schemas.openxmlformats.org/officeDocument/2006/relationships/printerSettings" Target="../printerSettings/printerSettings140.bin"/><Relationship Id="rId5" Type="http://schemas.openxmlformats.org/officeDocument/2006/relationships/printerSettings" Target="../printerSettings/printerSettings139.bin"/><Relationship Id="rId4" Type="http://schemas.openxmlformats.org/officeDocument/2006/relationships/printerSettings" Target="../printerSettings/printerSettings138.bin"/></Relationships>
</file>

<file path=xl/worksheets/_rels/sheet48.xml.rels><?xml version="1.0" encoding="UTF-8" standalone="yes"?>
<Relationships xmlns="http://schemas.openxmlformats.org/package/2006/relationships"><Relationship Id="rId8" Type="http://schemas.openxmlformats.org/officeDocument/2006/relationships/printerSettings" Target="../printerSettings/printerSettings149.bin"/><Relationship Id="rId13" Type="http://schemas.openxmlformats.org/officeDocument/2006/relationships/printerSettings" Target="../printerSettings/printerSettings154.bin"/><Relationship Id="rId3" Type="http://schemas.openxmlformats.org/officeDocument/2006/relationships/printerSettings" Target="../printerSettings/printerSettings144.bin"/><Relationship Id="rId7" Type="http://schemas.openxmlformats.org/officeDocument/2006/relationships/printerSettings" Target="../printerSettings/printerSettings148.bin"/><Relationship Id="rId12" Type="http://schemas.openxmlformats.org/officeDocument/2006/relationships/printerSettings" Target="../printerSettings/printerSettings153.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 Id="rId6" Type="http://schemas.openxmlformats.org/officeDocument/2006/relationships/printerSettings" Target="../printerSettings/printerSettings147.bin"/><Relationship Id="rId11" Type="http://schemas.openxmlformats.org/officeDocument/2006/relationships/printerSettings" Target="../printerSettings/printerSettings152.bin"/><Relationship Id="rId5" Type="http://schemas.openxmlformats.org/officeDocument/2006/relationships/printerSettings" Target="../printerSettings/printerSettings146.bin"/><Relationship Id="rId15" Type="http://schemas.openxmlformats.org/officeDocument/2006/relationships/printerSettings" Target="../printerSettings/printerSettings156.bin"/><Relationship Id="rId10" Type="http://schemas.openxmlformats.org/officeDocument/2006/relationships/printerSettings" Target="../printerSettings/printerSettings151.bin"/><Relationship Id="rId4" Type="http://schemas.openxmlformats.org/officeDocument/2006/relationships/printerSettings" Target="../printerSettings/printerSettings145.bin"/><Relationship Id="rId9" Type="http://schemas.openxmlformats.org/officeDocument/2006/relationships/printerSettings" Target="../printerSettings/printerSettings150.bin"/><Relationship Id="rId14" Type="http://schemas.openxmlformats.org/officeDocument/2006/relationships/printerSettings" Target="../printerSettings/printerSettings155.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59.bin"/><Relationship Id="rId7" Type="http://schemas.openxmlformats.org/officeDocument/2006/relationships/printerSettings" Target="../printerSettings/printerSettings163.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 Id="rId6" Type="http://schemas.openxmlformats.org/officeDocument/2006/relationships/printerSettings" Target="../printerSettings/printerSettings162.bin"/><Relationship Id="rId5" Type="http://schemas.openxmlformats.org/officeDocument/2006/relationships/printerSettings" Target="../printerSettings/printerSettings161.bin"/><Relationship Id="rId4" Type="http://schemas.openxmlformats.org/officeDocument/2006/relationships/printerSettings" Target="../printerSettings/printerSettings160.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5" Type="http://schemas.openxmlformats.org/officeDocument/2006/relationships/printerSettings" Target="../printerSettings/printerSettings16.bin"/><Relationship Id="rId10" Type="http://schemas.openxmlformats.org/officeDocument/2006/relationships/comments" Target="../comments1.xml"/><Relationship Id="rId4" Type="http://schemas.openxmlformats.org/officeDocument/2006/relationships/printerSettings" Target="../printerSettings/printerSettings15.bin"/><Relationship Id="rId9" Type="http://schemas.openxmlformats.org/officeDocument/2006/relationships/vmlDrawing" Target="../drawings/vmlDrawing1.vml"/></Relationships>
</file>

<file path=xl/worksheets/_rels/sheet50.xml.rels><?xml version="1.0" encoding="UTF-8" standalone="yes"?>
<Relationships xmlns="http://schemas.openxmlformats.org/package/2006/relationships"><Relationship Id="rId8" Type="http://schemas.openxmlformats.org/officeDocument/2006/relationships/printerSettings" Target="../printerSettings/printerSettings171.bin"/><Relationship Id="rId3" Type="http://schemas.openxmlformats.org/officeDocument/2006/relationships/printerSettings" Target="../printerSettings/printerSettings166.bin"/><Relationship Id="rId7" Type="http://schemas.openxmlformats.org/officeDocument/2006/relationships/printerSettings" Target="../printerSettings/printerSettings170.bin"/><Relationship Id="rId2" Type="http://schemas.openxmlformats.org/officeDocument/2006/relationships/printerSettings" Target="../printerSettings/printerSettings165.bin"/><Relationship Id="rId1" Type="http://schemas.openxmlformats.org/officeDocument/2006/relationships/printerSettings" Target="../printerSettings/printerSettings164.bin"/><Relationship Id="rId6" Type="http://schemas.openxmlformats.org/officeDocument/2006/relationships/printerSettings" Target="../printerSettings/printerSettings169.bin"/><Relationship Id="rId5" Type="http://schemas.openxmlformats.org/officeDocument/2006/relationships/printerSettings" Target="../printerSettings/printerSettings168.bin"/><Relationship Id="rId4" Type="http://schemas.openxmlformats.org/officeDocument/2006/relationships/printerSettings" Target="../printerSettings/printerSettings167.bin"/><Relationship Id="rId9" Type="http://schemas.openxmlformats.org/officeDocument/2006/relationships/printerSettings" Target="../printerSettings/printerSettings172.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75.bin"/><Relationship Id="rId7" Type="http://schemas.openxmlformats.org/officeDocument/2006/relationships/printerSettings" Target="../printerSettings/printerSettings179.bin"/><Relationship Id="rId2" Type="http://schemas.openxmlformats.org/officeDocument/2006/relationships/printerSettings" Target="../printerSettings/printerSettings174.bin"/><Relationship Id="rId1" Type="http://schemas.openxmlformats.org/officeDocument/2006/relationships/printerSettings" Target="../printerSettings/printerSettings173.bin"/><Relationship Id="rId6" Type="http://schemas.openxmlformats.org/officeDocument/2006/relationships/printerSettings" Target="../printerSettings/printerSettings178.bin"/><Relationship Id="rId5" Type="http://schemas.openxmlformats.org/officeDocument/2006/relationships/printerSettings" Target="../printerSettings/printerSettings177.bin"/><Relationship Id="rId4" Type="http://schemas.openxmlformats.org/officeDocument/2006/relationships/printerSettings" Target="../printerSettings/printerSettings176.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82.bin"/><Relationship Id="rId7" Type="http://schemas.openxmlformats.org/officeDocument/2006/relationships/printerSettings" Target="../printerSettings/printerSettings186.bin"/><Relationship Id="rId2" Type="http://schemas.openxmlformats.org/officeDocument/2006/relationships/printerSettings" Target="../printerSettings/printerSettings181.bin"/><Relationship Id="rId1" Type="http://schemas.openxmlformats.org/officeDocument/2006/relationships/printerSettings" Target="../printerSettings/printerSettings180.bin"/><Relationship Id="rId6" Type="http://schemas.openxmlformats.org/officeDocument/2006/relationships/printerSettings" Target="../printerSettings/printerSettings185.bin"/><Relationship Id="rId5" Type="http://schemas.openxmlformats.org/officeDocument/2006/relationships/printerSettings" Target="../printerSettings/printerSettings184.bin"/><Relationship Id="rId4" Type="http://schemas.openxmlformats.org/officeDocument/2006/relationships/printerSettings" Target="../printerSettings/printerSettings183.bin"/></Relationships>
</file>

<file path=xl/worksheets/_rels/sheet53.xml.rels><?xml version="1.0" encoding="UTF-8" standalone="yes"?>
<Relationships xmlns="http://schemas.openxmlformats.org/package/2006/relationships"><Relationship Id="rId8" Type="http://schemas.openxmlformats.org/officeDocument/2006/relationships/printerSettings" Target="../printerSettings/printerSettings194.bin"/><Relationship Id="rId13" Type="http://schemas.openxmlformats.org/officeDocument/2006/relationships/printerSettings" Target="../printerSettings/printerSettings199.bin"/><Relationship Id="rId3" Type="http://schemas.openxmlformats.org/officeDocument/2006/relationships/printerSettings" Target="../printerSettings/printerSettings189.bin"/><Relationship Id="rId7" Type="http://schemas.openxmlformats.org/officeDocument/2006/relationships/printerSettings" Target="../printerSettings/printerSettings193.bin"/><Relationship Id="rId12" Type="http://schemas.openxmlformats.org/officeDocument/2006/relationships/printerSettings" Target="../printerSettings/printerSettings198.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 Id="rId6" Type="http://schemas.openxmlformats.org/officeDocument/2006/relationships/printerSettings" Target="../printerSettings/printerSettings192.bin"/><Relationship Id="rId11" Type="http://schemas.openxmlformats.org/officeDocument/2006/relationships/printerSettings" Target="../printerSettings/printerSettings197.bin"/><Relationship Id="rId5" Type="http://schemas.openxmlformats.org/officeDocument/2006/relationships/printerSettings" Target="../printerSettings/printerSettings191.bin"/><Relationship Id="rId15" Type="http://schemas.openxmlformats.org/officeDocument/2006/relationships/printerSettings" Target="../printerSettings/printerSettings201.bin"/><Relationship Id="rId10" Type="http://schemas.openxmlformats.org/officeDocument/2006/relationships/printerSettings" Target="../printerSettings/printerSettings196.bin"/><Relationship Id="rId4" Type="http://schemas.openxmlformats.org/officeDocument/2006/relationships/printerSettings" Target="../printerSettings/printerSettings190.bin"/><Relationship Id="rId9" Type="http://schemas.openxmlformats.org/officeDocument/2006/relationships/printerSettings" Target="../printerSettings/printerSettings195.bin"/><Relationship Id="rId14" Type="http://schemas.openxmlformats.org/officeDocument/2006/relationships/printerSettings" Target="../printerSettings/printerSettings200.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204.bin"/><Relationship Id="rId7" Type="http://schemas.openxmlformats.org/officeDocument/2006/relationships/printerSettings" Target="../printerSettings/printerSettings208.bin"/><Relationship Id="rId2" Type="http://schemas.openxmlformats.org/officeDocument/2006/relationships/printerSettings" Target="../printerSettings/printerSettings203.bin"/><Relationship Id="rId1" Type="http://schemas.openxmlformats.org/officeDocument/2006/relationships/printerSettings" Target="../printerSettings/printerSettings202.bin"/><Relationship Id="rId6" Type="http://schemas.openxmlformats.org/officeDocument/2006/relationships/printerSettings" Target="../printerSettings/printerSettings207.bin"/><Relationship Id="rId5" Type="http://schemas.openxmlformats.org/officeDocument/2006/relationships/printerSettings" Target="../printerSettings/printerSettings206.bin"/><Relationship Id="rId4" Type="http://schemas.openxmlformats.org/officeDocument/2006/relationships/printerSettings" Target="../printerSettings/printerSettings205.bin"/></Relationships>
</file>

<file path=xl/worksheets/_rels/sheet55.xml.rels><?xml version="1.0" encoding="UTF-8" standalone="yes"?>
<Relationships xmlns="http://schemas.openxmlformats.org/package/2006/relationships"><Relationship Id="rId8" Type="http://schemas.openxmlformats.org/officeDocument/2006/relationships/printerSettings" Target="../printerSettings/printerSettings216.bin"/><Relationship Id="rId3" Type="http://schemas.openxmlformats.org/officeDocument/2006/relationships/printerSettings" Target="../printerSettings/printerSettings211.bin"/><Relationship Id="rId7" Type="http://schemas.openxmlformats.org/officeDocument/2006/relationships/printerSettings" Target="../printerSettings/printerSettings215.bin"/><Relationship Id="rId2" Type="http://schemas.openxmlformats.org/officeDocument/2006/relationships/printerSettings" Target="../printerSettings/printerSettings210.bin"/><Relationship Id="rId1" Type="http://schemas.openxmlformats.org/officeDocument/2006/relationships/printerSettings" Target="../printerSettings/printerSettings209.bin"/><Relationship Id="rId6" Type="http://schemas.openxmlformats.org/officeDocument/2006/relationships/printerSettings" Target="../printerSettings/printerSettings214.bin"/><Relationship Id="rId5" Type="http://schemas.openxmlformats.org/officeDocument/2006/relationships/printerSettings" Target="../printerSettings/printerSettings213.bin"/><Relationship Id="rId4" Type="http://schemas.openxmlformats.org/officeDocument/2006/relationships/printerSettings" Target="../printerSettings/printerSettings212.bin"/></Relationships>
</file>

<file path=xl/worksheets/_rels/sheet56.xml.rels><?xml version="1.0" encoding="UTF-8" standalone="yes"?>
<Relationships xmlns="http://schemas.openxmlformats.org/package/2006/relationships"><Relationship Id="rId8" Type="http://schemas.openxmlformats.org/officeDocument/2006/relationships/printerSettings" Target="../printerSettings/printerSettings224.bin"/><Relationship Id="rId3" Type="http://schemas.openxmlformats.org/officeDocument/2006/relationships/printerSettings" Target="../printerSettings/printerSettings219.bin"/><Relationship Id="rId7" Type="http://schemas.openxmlformats.org/officeDocument/2006/relationships/printerSettings" Target="../printerSettings/printerSettings223.bin"/><Relationship Id="rId2" Type="http://schemas.openxmlformats.org/officeDocument/2006/relationships/printerSettings" Target="../printerSettings/printerSettings218.bin"/><Relationship Id="rId1" Type="http://schemas.openxmlformats.org/officeDocument/2006/relationships/printerSettings" Target="../printerSettings/printerSettings217.bin"/><Relationship Id="rId6" Type="http://schemas.openxmlformats.org/officeDocument/2006/relationships/printerSettings" Target="../printerSettings/printerSettings222.bin"/><Relationship Id="rId5" Type="http://schemas.openxmlformats.org/officeDocument/2006/relationships/printerSettings" Target="../printerSettings/printerSettings221.bin"/><Relationship Id="rId10" Type="http://schemas.openxmlformats.org/officeDocument/2006/relationships/comments" Target="../comments12.xml"/><Relationship Id="rId4" Type="http://schemas.openxmlformats.org/officeDocument/2006/relationships/printerSettings" Target="../printerSettings/printerSettings220.bin"/><Relationship Id="rId9" Type="http://schemas.openxmlformats.org/officeDocument/2006/relationships/vmlDrawing" Target="../drawings/vmlDrawing12.vml"/></Relationships>
</file>

<file path=xl/worksheets/_rels/sheet57.xml.rels><?xml version="1.0" encoding="UTF-8" standalone="yes"?>
<Relationships xmlns="http://schemas.openxmlformats.org/package/2006/relationships"><Relationship Id="rId8" Type="http://schemas.openxmlformats.org/officeDocument/2006/relationships/printerSettings" Target="../printerSettings/printerSettings232.bin"/><Relationship Id="rId3" Type="http://schemas.openxmlformats.org/officeDocument/2006/relationships/printerSettings" Target="../printerSettings/printerSettings227.bin"/><Relationship Id="rId7" Type="http://schemas.openxmlformats.org/officeDocument/2006/relationships/printerSettings" Target="../printerSettings/printerSettings231.bin"/><Relationship Id="rId2" Type="http://schemas.openxmlformats.org/officeDocument/2006/relationships/printerSettings" Target="../printerSettings/printerSettings226.bin"/><Relationship Id="rId1" Type="http://schemas.openxmlformats.org/officeDocument/2006/relationships/printerSettings" Target="../printerSettings/printerSettings225.bin"/><Relationship Id="rId6" Type="http://schemas.openxmlformats.org/officeDocument/2006/relationships/printerSettings" Target="../printerSettings/printerSettings230.bin"/><Relationship Id="rId5" Type="http://schemas.openxmlformats.org/officeDocument/2006/relationships/printerSettings" Target="../printerSettings/printerSettings229.bin"/><Relationship Id="rId4" Type="http://schemas.openxmlformats.org/officeDocument/2006/relationships/printerSettings" Target="../printerSettings/printerSettings228.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33.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23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60.xml.rels><?xml version="1.0" encoding="UTF-8" standalone="yes"?>
<Relationships xmlns="http://schemas.openxmlformats.org/package/2006/relationships"><Relationship Id="rId8" Type="http://schemas.openxmlformats.org/officeDocument/2006/relationships/printerSettings" Target="../printerSettings/printerSettings242.bin"/><Relationship Id="rId3" Type="http://schemas.openxmlformats.org/officeDocument/2006/relationships/printerSettings" Target="../printerSettings/printerSettings237.bin"/><Relationship Id="rId7" Type="http://schemas.openxmlformats.org/officeDocument/2006/relationships/printerSettings" Target="../printerSettings/printerSettings241.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 Id="rId6" Type="http://schemas.openxmlformats.org/officeDocument/2006/relationships/printerSettings" Target="../printerSettings/printerSettings240.bin"/><Relationship Id="rId5" Type="http://schemas.openxmlformats.org/officeDocument/2006/relationships/printerSettings" Target="../printerSettings/printerSettings239.bin"/><Relationship Id="rId4" Type="http://schemas.openxmlformats.org/officeDocument/2006/relationships/printerSettings" Target="../printerSettings/printerSettings238.bin"/></Relationships>
</file>

<file path=xl/worksheets/_rels/sheet61.xml.rels><?xml version="1.0" encoding="UTF-8" standalone="yes"?>
<Relationships xmlns="http://schemas.openxmlformats.org/package/2006/relationships"><Relationship Id="rId8" Type="http://schemas.openxmlformats.org/officeDocument/2006/relationships/printerSettings" Target="../printerSettings/printerSettings250.bin"/><Relationship Id="rId3" Type="http://schemas.openxmlformats.org/officeDocument/2006/relationships/printerSettings" Target="../printerSettings/printerSettings245.bin"/><Relationship Id="rId7" Type="http://schemas.openxmlformats.org/officeDocument/2006/relationships/printerSettings" Target="../printerSettings/printerSettings249.bin"/><Relationship Id="rId2" Type="http://schemas.openxmlformats.org/officeDocument/2006/relationships/printerSettings" Target="../printerSettings/printerSettings244.bin"/><Relationship Id="rId1" Type="http://schemas.openxmlformats.org/officeDocument/2006/relationships/printerSettings" Target="../printerSettings/printerSettings243.bin"/><Relationship Id="rId6" Type="http://schemas.openxmlformats.org/officeDocument/2006/relationships/printerSettings" Target="../printerSettings/printerSettings248.bin"/><Relationship Id="rId5" Type="http://schemas.openxmlformats.org/officeDocument/2006/relationships/printerSettings" Target="../printerSettings/printerSettings247.bin"/><Relationship Id="rId4" Type="http://schemas.openxmlformats.org/officeDocument/2006/relationships/printerSettings" Target="../printerSettings/printerSettings246.bin"/></Relationships>
</file>

<file path=xl/worksheets/_rels/sheet62.xml.rels><?xml version="1.0" encoding="UTF-8" standalone="yes"?>
<Relationships xmlns="http://schemas.openxmlformats.org/package/2006/relationships"><Relationship Id="rId8" Type="http://schemas.openxmlformats.org/officeDocument/2006/relationships/printerSettings" Target="../printerSettings/printerSettings258.bin"/><Relationship Id="rId3" Type="http://schemas.openxmlformats.org/officeDocument/2006/relationships/printerSettings" Target="../printerSettings/printerSettings253.bin"/><Relationship Id="rId7" Type="http://schemas.openxmlformats.org/officeDocument/2006/relationships/printerSettings" Target="../printerSettings/printerSettings257.bin"/><Relationship Id="rId2" Type="http://schemas.openxmlformats.org/officeDocument/2006/relationships/printerSettings" Target="../printerSettings/printerSettings252.bin"/><Relationship Id="rId1" Type="http://schemas.openxmlformats.org/officeDocument/2006/relationships/printerSettings" Target="../printerSettings/printerSettings251.bin"/><Relationship Id="rId6" Type="http://schemas.openxmlformats.org/officeDocument/2006/relationships/printerSettings" Target="../printerSettings/printerSettings256.bin"/><Relationship Id="rId5" Type="http://schemas.openxmlformats.org/officeDocument/2006/relationships/printerSettings" Target="../printerSettings/printerSettings255.bin"/><Relationship Id="rId4" Type="http://schemas.openxmlformats.org/officeDocument/2006/relationships/printerSettings" Target="../printerSettings/printerSettings254.bin"/></Relationships>
</file>

<file path=xl/worksheets/_rels/sheet63.xml.rels><?xml version="1.0" encoding="UTF-8" standalone="yes"?>
<Relationships xmlns="http://schemas.openxmlformats.org/package/2006/relationships"><Relationship Id="rId8" Type="http://schemas.openxmlformats.org/officeDocument/2006/relationships/printerSettings" Target="../printerSettings/printerSettings266.bin"/><Relationship Id="rId3" Type="http://schemas.openxmlformats.org/officeDocument/2006/relationships/printerSettings" Target="../printerSettings/printerSettings261.bin"/><Relationship Id="rId7" Type="http://schemas.openxmlformats.org/officeDocument/2006/relationships/printerSettings" Target="../printerSettings/printerSettings265.bin"/><Relationship Id="rId2" Type="http://schemas.openxmlformats.org/officeDocument/2006/relationships/printerSettings" Target="../printerSettings/printerSettings260.bin"/><Relationship Id="rId1" Type="http://schemas.openxmlformats.org/officeDocument/2006/relationships/printerSettings" Target="../printerSettings/printerSettings259.bin"/><Relationship Id="rId6" Type="http://schemas.openxmlformats.org/officeDocument/2006/relationships/printerSettings" Target="../printerSettings/printerSettings264.bin"/><Relationship Id="rId5" Type="http://schemas.openxmlformats.org/officeDocument/2006/relationships/printerSettings" Target="../printerSettings/printerSettings263.bin"/><Relationship Id="rId4" Type="http://schemas.openxmlformats.org/officeDocument/2006/relationships/printerSettings" Target="../printerSettings/printerSettings262.bin"/></Relationships>
</file>

<file path=xl/worksheets/_rels/sheet64.xml.rels><?xml version="1.0" encoding="UTF-8" standalone="yes"?>
<Relationships xmlns="http://schemas.openxmlformats.org/package/2006/relationships"><Relationship Id="rId8" Type="http://schemas.openxmlformats.org/officeDocument/2006/relationships/printerSettings" Target="../printerSettings/printerSettings274.bin"/><Relationship Id="rId3" Type="http://schemas.openxmlformats.org/officeDocument/2006/relationships/printerSettings" Target="../printerSettings/printerSettings269.bin"/><Relationship Id="rId7" Type="http://schemas.openxmlformats.org/officeDocument/2006/relationships/printerSettings" Target="../printerSettings/printerSettings273.bin"/><Relationship Id="rId2" Type="http://schemas.openxmlformats.org/officeDocument/2006/relationships/printerSettings" Target="../printerSettings/printerSettings268.bin"/><Relationship Id="rId1" Type="http://schemas.openxmlformats.org/officeDocument/2006/relationships/printerSettings" Target="../printerSettings/printerSettings267.bin"/><Relationship Id="rId6" Type="http://schemas.openxmlformats.org/officeDocument/2006/relationships/printerSettings" Target="../printerSettings/printerSettings272.bin"/><Relationship Id="rId5" Type="http://schemas.openxmlformats.org/officeDocument/2006/relationships/printerSettings" Target="../printerSettings/printerSettings271.bin"/><Relationship Id="rId4" Type="http://schemas.openxmlformats.org/officeDocument/2006/relationships/printerSettings" Target="../printerSettings/printerSettings270.bin"/></Relationships>
</file>

<file path=xl/worksheets/_rels/sheet65.xml.rels><?xml version="1.0" encoding="UTF-8" standalone="yes"?>
<Relationships xmlns="http://schemas.openxmlformats.org/package/2006/relationships"><Relationship Id="rId8" Type="http://schemas.openxmlformats.org/officeDocument/2006/relationships/printerSettings" Target="../printerSettings/printerSettings282.bin"/><Relationship Id="rId3" Type="http://schemas.openxmlformats.org/officeDocument/2006/relationships/printerSettings" Target="../printerSettings/printerSettings277.bin"/><Relationship Id="rId7" Type="http://schemas.openxmlformats.org/officeDocument/2006/relationships/printerSettings" Target="../printerSettings/printerSettings281.bin"/><Relationship Id="rId2" Type="http://schemas.openxmlformats.org/officeDocument/2006/relationships/printerSettings" Target="../printerSettings/printerSettings276.bin"/><Relationship Id="rId1" Type="http://schemas.openxmlformats.org/officeDocument/2006/relationships/printerSettings" Target="../printerSettings/printerSettings275.bin"/><Relationship Id="rId6" Type="http://schemas.openxmlformats.org/officeDocument/2006/relationships/printerSettings" Target="../printerSettings/printerSettings280.bin"/><Relationship Id="rId5" Type="http://schemas.openxmlformats.org/officeDocument/2006/relationships/printerSettings" Target="../printerSettings/printerSettings279.bin"/><Relationship Id="rId4" Type="http://schemas.openxmlformats.org/officeDocument/2006/relationships/printerSettings" Target="../printerSettings/printerSettings278.bin"/></Relationships>
</file>

<file path=xl/worksheets/_rels/sheet66.xml.rels><?xml version="1.0" encoding="UTF-8" standalone="yes"?>
<Relationships xmlns="http://schemas.openxmlformats.org/package/2006/relationships"><Relationship Id="rId8" Type="http://schemas.openxmlformats.org/officeDocument/2006/relationships/printerSettings" Target="../printerSettings/printerSettings290.bin"/><Relationship Id="rId3" Type="http://schemas.openxmlformats.org/officeDocument/2006/relationships/printerSettings" Target="../printerSettings/printerSettings285.bin"/><Relationship Id="rId7" Type="http://schemas.openxmlformats.org/officeDocument/2006/relationships/printerSettings" Target="../printerSettings/printerSettings289.bin"/><Relationship Id="rId2" Type="http://schemas.openxmlformats.org/officeDocument/2006/relationships/printerSettings" Target="../printerSettings/printerSettings284.bin"/><Relationship Id="rId1" Type="http://schemas.openxmlformats.org/officeDocument/2006/relationships/printerSettings" Target="../printerSettings/printerSettings283.bin"/><Relationship Id="rId6" Type="http://schemas.openxmlformats.org/officeDocument/2006/relationships/printerSettings" Target="../printerSettings/printerSettings288.bin"/><Relationship Id="rId11" Type="http://schemas.openxmlformats.org/officeDocument/2006/relationships/comments" Target="../comments13.xml"/><Relationship Id="rId5" Type="http://schemas.openxmlformats.org/officeDocument/2006/relationships/printerSettings" Target="../printerSettings/printerSettings287.bin"/><Relationship Id="rId10" Type="http://schemas.openxmlformats.org/officeDocument/2006/relationships/vmlDrawing" Target="../drawings/vmlDrawing13.vml"/><Relationship Id="rId4" Type="http://schemas.openxmlformats.org/officeDocument/2006/relationships/printerSettings" Target="../printerSettings/printerSettings286.bin"/><Relationship Id="rId9" Type="http://schemas.openxmlformats.org/officeDocument/2006/relationships/drawing" Target="../drawings/drawing9.xml"/></Relationships>
</file>

<file path=xl/worksheets/_rels/sheet67.xml.rels><?xml version="1.0" encoding="UTF-8" standalone="yes"?>
<Relationships xmlns="http://schemas.openxmlformats.org/package/2006/relationships"><Relationship Id="rId8" Type="http://schemas.openxmlformats.org/officeDocument/2006/relationships/printerSettings" Target="../printerSettings/printerSettings298.bin"/><Relationship Id="rId3" Type="http://schemas.openxmlformats.org/officeDocument/2006/relationships/printerSettings" Target="../printerSettings/printerSettings293.bin"/><Relationship Id="rId7" Type="http://schemas.openxmlformats.org/officeDocument/2006/relationships/printerSettings" Target="../printerSettings/printerSettings297.bin"/><Relationship Id="rId2" Type="http://schemas.openxmlformats.org/officeDocument/2006/relationships/printerSettings" Target="../printerSettings/printerSettings292.bin"/><Relationship Id="rId1" Type="http://schemas.openxmlformats.org/officeDocument/2006/relationships/printerSettings" Target="../printerSettings/printerSettings291.bin"/><Relationship Id="rId6" Type="http://schemas.openxmlformats.org/officeDocument/2006/relationships/printerSettings" Target="../printerSettings/printerSettings296.bin"/><Relationship Id="rId5" Type="http://schemas.openxmlformats.org/officeDocument/2006/relationships/printerSettings" Target="../printerSettings/printerSettings295.bin"/><Relationship Id="rId4" Type="http://schemas.openxmlformats.org/officeDocument/2006/relationships/printerSettings" Target="../printerSettings/printerSettings294.bin"/></Relationships>
</file>

<file path=xl/worksheets/_rels/sheet68.xml.rels><?xml version="1.0" encoding="UTF-8" standalone="yes"?>
<Relationships xmlns="http://schemas.openxmlformats.org/package/2006/relationships"><Relationship Id="rId8" Type="http://schemas.openxmlformats.org/officeDocument/2006/relationships/printerSettings" Target="../printerSettings/printerSettings306.bin"/><Relationship Id="rId3" Type="http://schemas.openxmlformats.org/officeDocument/2006/relationships/printerSettings" Target="../printerSettings/printerSettings301.bin"/><Relationship Id="rId7" Type="http://schemas.openxmlformats.org/officeDocument/2006/relationships/printerSettings" Target="../printerSettings/printerSettings305.bin"/><Relationship Id="rId2" Type="http://schemas.openxmlformats.org/officeDocument/2006/relationships/printerSettings" Target="../printerSettings/printerSettings300.bin"/><Relationship Id="rId1" Type="http://schemas.openxmlformats.org/officeDocument/2006/relationships/printerSettings" Target="../printerSettings/printerSettings299.bin"/><Relationship Id="rId6" Type="http://schemas.openxmlformats.org/officeDocument/2006/relationships/printerSettings" Target="../printerSettings/printerSettings304.bin"/><Relationship Id="rId5" Type="http://schemas.openxmlformats.org/officeDocument/2006/relationships/printerSettings" Target="../printerSettings/printerSettings303.bin"/><Relationship Id="rId4" Type="http://schemas.openxmlformats.org/officeDocument/2006/relationships/printerSettings" Target="../printerSettings/printerSettings302.bin"/></Relationships>
</file>

<file path=xl/worksheets/_rels/sheet69.xml.rels><?xml version="1.0" encoding="UTF-8" standalone="yes"?>
<Relationships xmlns="http://schemas.openxmlformats.org/package/2006/relationships"><Relationship Id="rId8" Type="http://schemas.openxmlformats.org/officeDocument/2006/relationships/printerSettings" Target="../printerSettings/printerSettings314.bin"/><Relationship Id="rId13" Type="http://schemas.openxmlformats.org/officeDocument/2006/relationships/printerSettings" Target="../printerSettings/printerSettings319.bin"/><Relationship Id="rId3" Type="http://schemas.openxmlformats.org/officeDocument/2006/relationships/printerSettings" Target="../printerSettings/printerSettings309.bin"/><Relationship Id="rId7" Type="http://schemas.openxmlformats.org/officeDocument/2006/relationships/printerSettings" Target="../printerSettings/printerSettings313.bin"/><Relationship Id="rId12" Type="http://schemas.openxmlformats.org/officeDocument/2006/relationships/printerSettings" Target="../printerSettings/printerSettings318.bin"/><Relationship Id="rId2" Type="http://schemas.openxmlformats.org/officeDocument/2006/relationships/printerSettings" Target="../printerSettings/printerSettings308.bin"/><Relationship Id="rId1" Type="http://schemas.openxmlformats.org/officeDocument/2006/relationships/printerSettings" Target="../printerSettings/printerSettings307.bin"/><Relationship Id="rId6" Type="http://schemas.openxmlformats.org/officeDocument/2006/relationships/printerSettings" Target="../printerSettings/printerSettings312.bin"/><Relationship Id="rId11" Type="http://schemas.openxmlformats.org/officeDocument/2006/relationships/printerSettings" Target="../printerSettings/printerSettings317.bin"/><Relationship Id="rId5" Type="http://schemas.openxmlformats.org/officeDocument/2006/relationships/printerSettings" Target="../printerSettings/printerSettings311.bin"/><Relationship Id="rId15" Type="http://schemas.openxmlformats.org/officeDocument/2006/relationships/printerSettings" Target="../printerSettings/printerSettings321.bin"/><Relationship Id="rId10" Type="http://schemas.openxmlformats.org/officeDocument/2006/relationships/printerSettings" Target="../printerSettings/printerSettings316.bin"/><Relationship Id="rId4" Type="http://schemas.openxmlformats.org/officeDocument/2006/relationships/printerSettings" Target="../printerSettings/printerSettings310.bin"/><Relationship Id="rId9" Type="http://schemas.openxmlformats.org/officeDocument/2006/relationships/printerSettings" Target="../printerSettings/printerSettings315.bin"/><Relationship Id="rId14" Type="http://schemas.openxmlformats.org/officeDocument/2006/relationships/printerSettings" Target="../printerSettings/printerSettings32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70.xml.rels><?xml version="1.0" encoding="UTF-8" standalone="yes"?>
<Relationships xmlns="http://schemas.openxmlformats.org/package/2006/relationships"><Relationship Id="rId8" Type="http://schemas.openxmlformats.org/officeDocument/2006/relationships/printerSettings" Target="../printerSettings/printerSettings329.bin"/><Relationship Id="rId13" Type="http://schemas.openxmlformats.org/officeDocument/2006/relationships/printerSettings" Target="../printerSettings/printerSettings334.bin"/><Relationship Id="rId3" Type="http://schemas.openxmlformats.org/officeDocument/2006/relationships/printerSettings" Target="../printerSettings/printerSettings324.bin"/><Relationship Id="rId7" Type="http://schemas.openxmlformats.org/officeDocument/2006/relationships/printerSettings" Target="../printerSettings/printerSettings328.bin"/><Relationship Id="rId12" Type="http://schemas.openxmlformats.org/officeDocument/2006/relationships/printerSettings" Target="../printerSettings/printerSettings333.bin"/><Relationship Id="rId2" Type="http://schemas.openxmlformats.org/officeDocument/2006/relationships/printerSettings" Target="../printerSettings/printerSettings323.bin"/><Relationship Id="rId16" Type="http://schemas.openxmlformats.org/officeDocument/2006/relationships/drawing" Target="../drawings/drawing10.xml"/><Relationship Id="rId1" Type="http://schemas.openxmlformats.org/officeDocument/2006/relationships/printerSettings" Target="../printerSettings/printerSettings322.bin"/><Relationship Id="rId6" Type="http://schemas.openxmlformats.org/officeDocument/2006/relationships/printerSettings" Target="../printerSettings/printerSettings327.bin"/><Relationship Id="rId11" Type="http://schemas.openxmlformats.org/officeDocument/2006/relationships/printerSettings" Target="../printerSettings/printerSettings332.bin"/><Relationship Id="rId5" Type="http://schemas.openxmlformats.org/officeDocument/2006/relationships/printerSettings" Target="../printerSettings/printerSettings326.bin"/><Relationship Id="rId15" Type="http://schemas.openxmlformats.org/officeDocument/2006/relationships/printerSettings" Target="../printerSettings/printerSettings336.bin"/><Relationship Id="rId10" Type="http://schemas.openxmlformats.org/officeDocument/2006/relationships/printerSettings" Target="../printerSettings/printerSettings331.bin"/><Relationship Id="rId4" Type="http://schemas.openxmlformats.org/officeDocument/2006/relationships/printerSettings" Target="../printerSettings/printerSettings325.bin"/><Relationship Id="rId9" Type="http://schemas.openxmlformats.org/officeDocument/2006/relationships/printerSettings" Target="../printerSettings/printerSettings330.bin"/><Relationship Id="rId14" Type="http://schemas.openxmlformats.org/officeDocument/2006/relationships/printerSettings" Target="../printerSettings/printerSettings335.bin"/></Relationships>
</file>

<file path=xl/worksheets/_rels/sheet71.xml.rels><?xml version="1.0" encoding="UTF-8" standalone="yes"?>
<Relationships xmlns="http://schemas.openxmlformats.org/package/2006/relationships"><Relationship Id="rId8" Type="http://schemas.openxmlformats.org/officeDocument/2006/relationships/drawing" Target="../drawings/drawing11.xml"/><Relationship Id="rId3" Type="http://schemas.openxmlformats.org/officeDocument/2006/relationships/printerSettings" Target="../printerSettings/printerSettings339.bin"/><Relationship Id="rId7" Type="http://schemas.openxmlformats.org/officeDocument/2006/relationships/printerSettings" Target="../printerSettings/printerSettings343.bin"/><Relationship Id="rId2" Type="http://schemas.openxmlformats.org/officeDocument/2006/relationships/printerSettings" Target="../printerSettings/printerSettings338.bin"/><Relationship Id="rId1" Type="http://schemas.openxmlformats.org/officeDocument/2006/relationships/printerSettings" Target="../printerSettings/printerSettings337.bin"/><Relationship Id="rId6" Type="http://schemas.openxmlformats.org/officeDocument/2006/relationships/printerSettings" Target="../printerSettings/printerSettings342.bin"/><Relationship Id="rId5" Type="http://schemas.openxmlformats.org/officeDocument/2006/relationships/printerSettings" Target="../printerSettings/printerSettings341.bin"/><Relationship Id="rId4" Type="http://schemas.openxmlformats.org/officeDocument/2006/relationships/printerSettings" Target="../printerSettings/printerSettings34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344.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345.bin"/></Relationships>
</file>

<file path=xl/worksheets/_rels/sheet74.xml.rels><?xml version="1.0" encoding="UTF-8" standalone="yes"?>
<Relationships xmlns="http://schemas.openxmlformats.org/package/2006/relationships"><Relationship Id="rId8" Type="http://schemas.openxmlformats.org/officeDocument/2006/relationships/printerSettings" Target="../printerSettings/printerSettings353.bin"/><Relationship Id="rId3" Type="http://schemas.openxmlformats.org/officeDocument/2006/relationships/printerSettings" Target="../printerSettings/printerSettings348.bin"/><Relationship Id="rId7" Type="http://schemas.openxmlformats.org/officeDocument/2006/relationships/printerSettings" Target="../printerSettings/printerSettings352.bin"/><Relationship Id="rId2" Type="http://schemas.openxmlformats.org/officeDocument/2006/relationships/printerSettings" Target="../printerSettings/printerSettings347.bin"/><Relationship Id="rId1" Type="http://schemas.openxmlformats.org/officeDocument/2006/relationships/printerSettings" Target="../printerSettings/printerSettings346.bin"/><Relationship Id="rId6" Type="http://schemas.openxmlformats.org/officeDocument/2006/relationships/printerSettings" Target="../printerSettings/printerSettings351.bin"/><Relationship Id="rId5" Type="http://schemas.openxmlformats.org/officeDocument/2006/relationships/printerSettings" Target="../printerSettings/printerSettings350.bin"/><Relationship Id="rId10" Type="http://schemas.openxmlformats.org/officeDocument/2006/relationships/comments" Target="../comments14.xml"/><Relationship Id="rId4" Type="http://schemas.openxmlformats.org/officeDocument/2006/relationships/printerSettings" Target="../printerSettings/printerSettings349.bin"/><Relationship Id="rId9" Type="http://schemas.openxmlformats.org/officeDocument/2006/relationships/vmlDrawing" Target="../drawings/vmlDrawing14.vml"/></Relationships>
</file>

<file path=xl/worksheets/_rels/sheet75.xml.rels><?xml version="1.0" encoding="UTF-8" standalone="yes"?>
<Relationships xmlns="http://schemas.openxmlformats.org/package/2006/relationships"><Relationship Id="rId8" Type="http://schemas.openxmlformats.org/officeDocument/2006/relationships/printerSettings" Target="../printerSettings/printerSettings361.bin"/><Relationship Id="rId3" Type="http://schemas.openxmlformats.org/officeDocument/2006/relationships/printerSettings" Target="../printerSettings/printerSettings356.bin"/><Relationship Id="rId7" Type="http://schemas.openxmlformats.org/officeDocument/2006/relationships/printerSettings" Target="../printerSettings/printerSettings360.bin"/><Relationship Id="rId2" Type="http://schemas.openxmlformats.org/officeDocument/2006/relationships/printerSettings" Target="../printerSettings/printerSettings355.bin"/><Relationship Id="rId1" Type="http://schemas.openxmlformats.org/officeDocument/2006/relationships/printerSettings" Target="../printerSettings/printerSettings354.bin"/><Relationship Id="rId6" Type="http://schemas.openxmlformats.org/officeDocument/2006/relationships/printerSettings" Target="../printerSettings/printerSettings359.bin"/><Relationship Id="rId5" Type="http://schemas.openxmlformats.org/officeDocument/2006/relationships/printerSettings" Target="../printerSettings/printerSettings358.bin"/><Relationship Id="rId10" Type="http://schemas.openxmlformats.org/officeDocument/2006/relationships/comments" Target="../comments15.xml"/><Relationship Id="rId4" Type="http://schemas.openxmlformats.org/officeDocument/2006/relationships/printerSettings" Target="../printerSettings/printerSettings357.bin"/><Relationship Id="rId9" Type="http://schemas.openxmlformats.org/officeDocument/2006/relationships/vmlDrawing" Target="../drawings/vmlDrawing15.vml"/></Relationships>
</file>

<file path=xl/worksheets/_rels/sheet76.xml.rels><?xml version="1.0" encoding="UTF-8" standalone="yes"?>
<Relationships xmlns="http://schemas.openxmlformats.org/package/2006/relationships"><Relationship Id="rId8" Type="http://schemas.openxmlformats.org/officeDocument/2006/relationships/printerSettings" Target="../printerSettings/printerSettings369.bin"/><Relationship Id="rId3" Type="http://schemas.openxmlformats.org/officeDocument/2006/relationships/printerSettings" Target="../printerSettings/printerSettings364.bin"/><Relationship Id="rId7" Type="http://schemas.openxmlformats.org/officeDocument/2006/relationships/printerSettings" Target="../printerSettings/printerSettings368.bin"/><Relationship Id="rId2" Type="http://schemas.openxmlformats.org/officeDocument/2006/relationships/printerSettings" Target="../printerSettings/printerSettings363.bin"/><Relationship Id="rId1" Type="http://schemas.openxmlformats.org/officeDocument/2006/relationships/printerSettings" Target="../printerSettings/printerSettings362.bin"/><Relationship Id="rId6" Type="http://schemas.openxmlformats.org/officeDocument/2006/relationships/printerSettings" Target="../printerSettings/printerSettings367.bin"/><Relationship Id="rId5" Type="http://schemas.openxmlformats.org/officeDocument/2006/relationships/printerSettings" Target="../printerSettings/printerSettings366.bin"/><Relationship Id="rId4" Type="http://schemas.openxmlformats.org/officeDocument/2006/relationships/printerSettings" Target="../printerSettings/printerSettings365.bin"/><Relationship Id="rId9" Type="http://schemas.openxmlformats.org/officeDocument/2006/relationships/drawing" Target="../drawings/drawing12.xml"/></Relationships>
</file>

<file path=xl/worksheets/_rels/sheet77.xml.rels><?xml version="1.0" encoding="UTF-8" standalone="yes"?>
<Relationships xmlns="http://schemas.openxmlformats.org/package/2006/relationships"><Relationship Id="rId8" Type="http://schemas.openxmlformats.org/officeDocument/2006/relationships/printerSettings" Target="../printerSettings/printerSettings377.bin"/><Relationship Id="rId3" Type="http://schemas.openxmlformats.org/officeDocument/2006/relationships/printerSettings" Target="../printerSettings/printerSettings372.bin"/><Relationship Id="rId7" Type="http://schemas.openxmlformats.org/officeDocument/2006/relationships/printerSettings" Target="../printerSettings/printerSettings376.bin"/><Relationship Id="rId2" Type="http://schemas.openxmlformats.org/officeDocument/2006/relationships/printerSettings" Target="../printerSettings/printerSettings371.bin"/><Relationship Id="rId1" Type="http://schemas.openxmlformats.org/officeDocument/2006/relationships/printerSettings" Target="../printerSettings/printerSettings370.bin"/><Relationship Id="rId6" Type="http://schemas.openxmlformats.org/officeDocument/2006/relationships/printerSettings" Target="../printerSettings/printerSettings375.bin"/><Relationship Id="rId5" Type="http://schemas.openxmlformats.org/officeDocument/2006/relationships/printerSettings" Target="../printerSettings/printerSettings374.bin"/><Relationship Id="rId4" Type="http://schemas.openxmlformats.org/officeDocument/2006/relationships/printerSettings" Target="../printerSettings/printerSettings373.bin"/></Relationships>
</file>

<file path=xl/worksheets/_rels/sheet78.xml.rels><?xml version="1.0" encoding="UTF-8" standalone="yes"?>
<Relationships xmlns="http://schemas.openxmlformats.org/package/2006/relationships"><Relationship Id="rId8" Type="http://schemas.openxmlformats.org/officeDocument/2006/relationships/printerSettings" Target="../printerSettings/printerSettings385.bin"/><Relationship Id="rId3" Type="http://schemas.openxmlformats.org/officeDocument/2006/relationships/printerSettings" Target="../printerSettings/printerSettings380.bin"/><Relationship Id="rId7" Type="http://schemas.openxmlformats.org/officeDocument/2006/relationships/printerSettings" Target="../printerSettings/printerSettings384.bin"/><Relationship Id="rId2" Type="http://schemas.openxmlformats.org/officeDocument/2006/relationships/printerSettings" Target="../printerSettings/printerSettings379.bin"/><Relationship Id="rId1" Type="http://schemas.openxmlformats.org/officeDocument/2006/relationships/printerSettings" Target="../printerSettings/printerSettings378.bin"/><Relationship Id="rId6" Type="http://schemas.openxmlformats.org/officeDocument/2006/relationships/printerSettings" Target="../printerSettings/printerSettings383.bin"/><Relationship Id="rId5" Type="http://schemas.openxmlformats.org/officeDocument/2006/relationships/printerSettings" Target="../printerSettings/printerSettings382.bin"/><Relationship Id="rId4" Type="http://schemas.openxmlformats.org/officeDocument/2006/relationships/printerSettings" Target="../printerSettings/printerSettings381.bin"/></Relationships>
</file>

<file path=xl/worksheets/_rels/sheet79.xml.rels><?xml version="1.0" encoding="UTF-8" standalone="yes"?>
<Relationships xmlns="http://schemas.openxmlformats.org/package/2006/relationships"><Relationship Id="rId8" Type="http://schemas.openxmlformats.org/officeDocument/2006/relationships/printerSettings" Target="../printerSettings/printerSettings393.bin"/><Relationship Id="rId3" Type="http://schemas.openxmlformats.org/officeDocument/2006/relationships/printerSettings" Target="../printerSettings/printerSettings388.bin"/><Relationship Id="rId7" Type="http://schemas.openxmlformats.org/officeDocument/2006/relationships/printerSettings" Target="../printerSettings/printerSettings392.bin"/><Relationship Id="rId2" Type="http://schemas.openxmlformats.org/officeDocument/2006/relationships/printerSettings" Target="../printerSettings/printerSettings387.bin"/><Relationship Id="rId1" Type="http://schemas.openxmlformats.org/officeDocument/2006/relationships/printerSettings" Target="../printerSettings/printerSettings386.bin"/><Relationship Id="rId6" Type="http://schemas.openxmlformats.org/officeDocument/2006/relationships/printerSettings" Target="../printerSettings/printerSettings391.bin"/><Relationship Id="rId5" Type="http://schemas.openxmlformats.org/officeDocument/2006/relationships/printerSettings" Target="../printerSettings/printerSettings390.bin"/><Relationship Id="rId4" Type="http://schemas.openxmlformats.org/officeDocument/2006/relationships/printerSettings" Target="../printerSettings/printerSettings38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396.bin"/><Relationship Id="rId7" Type="http://schemas.openxmlformats.org/officeDocument/2006/relationships/printerSettings" Target="../printerSettings/printerSettings400.bin"/><Relationship Id="rId2" Type="http://schemas.openxmlformats.org/officeDocument/2006/relationships/printerSettings" Target="../printerSettings/printerSettings395.bin"/><Relationship Id="rId1" Type="http://schemas.openxmlformats.org/officeDocument/2006/relationships/printerSettings" Target="../printerSettings/printerSettings394.bin"/><Relationship Id="rId6" Type="http://schemas.openxmlformats.org/officeDocument/2006/relationships/printerSettings" Target="../printerSettings/printerSettings399.bin"/><Relationship Id="rId5" Type="http://schemas.openxmlformats.org/officeDocument/2006/relationships/printerSettings" Target="../printerSettings/printerSettings398.bin"/><Relationship Id="rId4" Type="http://schemas.openxmlformats.org/officeDocument/2006/relationships/printerSettings" Target="../printerSettings/printerSettings397.bin"/></Relationships>
</file>

<file path=xl/worksheets/_rels/sheet81.xml.rels><?xml version="1.0" encoding="UTF-8" standalone="yes"?>
<Relationships xmlns="http://schemas.openxmlformats.org/package/2006/relationships"><Relationship Id="rId8" Type="http://schemas.openxmlformats.org/officeDocument/2006/relationships/vmlDrawing" Target="../drawings/vmlDrawing16.vml"/><Relationship Id="rId3" Type="http://schemas.openxmlformats.org/officeDocument/2006/relationships/printerSettings" Target="../printerSettings/printerSettings403.bin"/><Relationship Id="rId7" Type="http://schemas.openxmlformats.org/officeDocument/2006/relationships/printerSettings" Target="../printerSettings/printerSettings407.bin"/><Relationship Id="rId2" Type="http://schemas.openxmlformats.org/officeDocument/2006/relationships/printerSettings" Target="../printerSettings/printerSettings402.bin"/><Relationship Id="rId1" Type="http://schemas.openxmlformats.org/officeDocument/2006/relationships/printerSettings" Target="../printerSettings/printerSettings401.bin"/><Relationship Id="rId6" Type="http://schemas.openxmlformats.org/officeDocument/2006/relationships/printerSettings" Target="../printerSettings/printerSettings406.bin"/><Relationship Id="rId5" Type="http://schemas.openxmlformats.org/officeDocument/2006/relationships/printerSettings" Target="../printerSettings/printerSettings405.bin"/><Relationship Id="rId4" Type="http://schemas.openxmlformats.org/officeDocument/2006/relationships/printerSettings" Target="../printerSettings/printerSettings404.bin"/><Relationship Id="rId9" Type="http://schemas.openxmlformats.org/officeDocument/2006/relationships/comments" Target="../comments16.xml"/></Relationships>
</file>

<file path=xl/worksheets/_rels/sheet82.xml.rels><?xml version="1.0" encoding="UTF-8" standalone="yes"?>
<Relationships xmlns="http://schemas.openxmlformats.org/package/2006/relationships"><Relationship Id="rId8" Type="http://schemas.openxmlformats.org/officeDocument/2006/relationships/printerSettings" Target="../printerSettings/printerSettings415.bin"/><Relationship Id="rId3" Type="http://schemas.openxmlformats.org/officeDocument/2006/relationships/printerSettings" Target="../printerSettings/printerSettings410.bin"/><Relationship Id="rId7" Type="http://schemas.openxmlformats.org/officeDocument/2006/relationships/printerSettings" Target="../printerSettings/printerSettings414.bin"/><Relationship Id="rId2" Type="http://schemas.openxmlformats.org/officeDocument/2006/relationships/printerSettings" Target="../printerSettings/printerSettings409.bin"/><Relationship Id="rId1" Type="http://schemas.openxmlformats.org/officeDocument/2006/relationships/printerSettings" Target="../printerSettings/printerSettings408.bin"/><Relationship Id="rId6" Type="http://schemas.openxmlformats.org/officeDocument/2006/relationships/printerSettings" Target="../printerSettings/printerSettings413.bin"/><Relationship Id="rId5" Type="http://schemas.openxmlformats.org/officeDocument/2006/relationships/printerSettings" Target="../printerSettings/printerSettings412.bin"/><Relationship Id="rId4" Type="http://schemas.openxmlformats.org/officeDocument/2006/relationships/printerSettings" Target="../printerSettings/printerSettings411.bin"/></Relationships>
</file>

<file path=xl/worksheets/_rels/sheet83.xml.rels><?xml version="1.0" encoding="UTF-8" standalone="yes"?>
<Relationships xmlns="http://schemas.openxmlformats.org/package/2006/relationships"><Relationship Id="rId8" Type="http://schemas.openxmlformats.org/officeDocument/2006/relationships/printerSettings" Target="../printerSettings/printerSettings423.bin"/><Relationship Id="rId3" Type="http://schemas.openxmlformats.org/officeDocument/2006/relationships/printerSettings" Target="../printerSettings/printerSettings418.bin"/><Relationship Id="rId7" Type="http://schemas.openxmlformats.org/officeDocument/2006/relationships/printerSettings" Target="../printerSettings/printerSettings422.bin"/><Relationship Id="rId2" Type="http://schemas.openxmlformats.org/officeDocument/2006/relationships/printerSettings" Target="../printerSettings/printerSettings417.bin"/><Relationship Id="rId1" Type="http://schemas.openxmlformats.org/officeDocument/2006/relationships/printerSettings" Target="../printerSettings/printerSettings416.bin"/><Relationship Id="rId6" Type="http://schemas.openxmlformats.org/officeDocument/2006/relationships/printerSettings" Target="../printerSettings/printerSettings421.bin"/><Relationship Id="rId5" Type="http://schemas.openxmlformats.org/officeDocument/2006/relationships/printerSettings" Target="../printerSettings/printerSettings420.bin"/><Relationship Id="rId4" Type="http://schemas.openxmlformats.org/officeDocument/2006/relationships/printerSettings" Target="../printerSettings/printerSettings419.bin"/><Relationship Id="rId9" Type="http://schemas.openxmlformats.org/officeDocument/2006/relationships/drawing" Target="../drawings/drawing13.xml"/></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426.bin"/><Relationship Id="rId7" Type="http://schemas.openxmlformats.org/officeDocument/2006/relationships/printerSettings" Target="../printerSettings/printerSettings430.bin"/><Relationship Id="rId2" Type="http://schemas.openxmlformats.org/officeDocument/2006/relationships/printerSettings" Target="../printerSettings/printerSettings425.bin"/><Relationship Id="rId1" Type="http://schemas.openxmlformats.org/officeDocument/2006/relationships/printerSettings" Target="../printerSettings/printerSettings424.bin"/><Relationship Id="rId6" Type="http://schemas.openxmlformats.org/officeDocument/2006/relationships/printerSettings" Target="../printerSettings/printerSettings429.bin"/><Relationship Id="rId5" Type="http://schemas.openxmlformats.org/officeDocument/2006/relationships/printerSettings" Target="../printerSettings/printerSettings428.bin"/><Relationship Id="rId4" Type="http://schemas.openxmlformats.org/officeDocument/2006/relationships/printerSettings" Target="../printerSettings/printerSettings42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tabSelected="1" view="pageBreakPreview" topLeftCell="A25" zoomScale="77" zoomScaleNormal="110" zoomScaleSheetLayoutView="77" workbookViewId="0">
      <selection activeCell="S17" sqref="S17"/>
    </sheetView>
  </sheetViews>
  <sheetFormatPr defaultColWidth="9.140625" defaultRowHeight="15"/>
  <cols>
    <col min="1" max="1" width="3.140625" customWidth="1"/>
    <col min="2" max="2" width="8.5703125" customWidth="1"/>
    <col min="3" max="5" width="7.5703125" customWidth="1"/>
    <col min="6" max="6" width="14.7109375" customWidth="1"/>
    <col min="7" max="13" width="7.5703125" customWidth="1"/>
    <col min="14" max="14" width="2.42578125" customWidth="1"/>
  </cols>
  <sheetData>
    <row r="1" spans="1:13">
      <c r="A1" s="666"/>
      <c r="B1" s="666"/>
      <c r="C1" s="666"/>
      <c r="D1" s="666"/>
      <c r="E1" s="666"/>
      <c r="F1" s="666"/>
      <c r="G1" s="666"/>
      <c r="H1" s="666"/>
      <c r="I1" s="666"/>
      <c r="J1" s="666"/>
      <c r="K1" s="666"/>
      <c r="L1" s="666"/>
      <c r="M1" s="666"/>
    </row>
    <row r="2" spans="1:13">
      <c r="A2" s="666"/>
      <c r="B2" s="1323" t="s">
        <v>0</v>
      </c>
      <c r="C2" s="1301" t="s">
        <v>0</v>
      </c>
      <c r="D2" s="1301" t="s">
        <v>0</v>
      </c>
      <c r="E2" s="1301" t="s">
        <v>0</v>
      </c>
      <c r="F2" s="1301" t="s">
        <v>0</v>
      </c>
      <c r="G2" s="1301" t="s">
        <v>0</v>
      </c>
      <c r="H2" s="1301" t="s">
        <v>0</v>
      </c>
      <c r="I2" s="1301" t="s">
        <v>0</v>
      </c>
      <c r="J2" s="1301" t="s">
        <v>0</v>
      </c>
      <c r="K2" s="1301" t="s">
        <v>0</v>
      </c>
      <c r="L2" s="1301" t="s">
        <v>0</v>
      </c>
      <c r="M2" s="775" t="s">
        <v>0</v>
      </c>
    </row>
    <row r="3" spans="1:13">
      <c r="A3" s="666"/>
      <c r="B3" s="667" t="s">
        <v>0</v>
      </c>
      <c r="C3" s="666"/>
      <c r="D3" s="666"/>
      <c r="E3" s="666"/>
      <c r="F3" s="666"/>
      <c r="G3" s="666"/>
      <c r="H3" s="666"/>
      <c r="I3" s="666"/>
      <c r="J3" s="666"/>
      <c r="K3" s="666"/>
      <c r="L3" s="666"/>
      <c r="M3" s="668" t="s">
        <v>0</v>
      </c>
    </row>
    <row r="4" spans="1:13">
      <c r="A4" s="666"/>
      <c r="B4" s="667" t="s">
        <v>0</v>
      </c>
      <c r="C4" s="666"/>
      <c r="D4" s="666"/>
      <c r="E4" s="666"/>
      <c r="F4" s="666"/>
      <c r="G4" s="666"/>
      <c r="H4" s="666"/>
      <c r="I4" s="666"/>
      <c r="J4" s="666"/>
      <c r="K4" s="666"/>
      <c r="L4" s="666"/>
      <c r="M4" s="668" t="s">
        <v>0</v>
      </c>
    </row>
    <row r="5" spans="1:13">
      <c r="A5" s="666"/>
      <c r="B5" s="667" t="s">
        <v>0</v>
      </c>
      <c r="C5" s="666"/>
      <c r="D5" s="666"/>
      <c r="E5" s="666"/>
      <c r="F5" s="666"/>
      <c r="G5" s="666"/>
      <c r="H5" s="666"/>
      <c r="I5" s="666"/>
      <c r="J5" s="666"/>
      <c r="K5" s="666"/>
      <c r="L5" s="666"/>
      <c r="M5" s="668" t="s">
        <v>0</v>
      </c>
    </row>
    <row r="6" spans="1:13">
      <c r="A6" s="666"/>
      <c r="B6" s="667" t="s">
        <v>0</v>
      </c>
      <c r="C6" s="666"/>
      <c r="D6" s="666"/>
      <c r="E6" s="666"/>
      <c r="F6" s="666"/>
      <c r="G6" s="666"/>
      <c r="H6" s="666"/>
      <c r="I6" s="666"/>
      <c r="J6" s="666"/>
      <c r="K6" s="666"/>
      <c r="L6" s="666"/>
      <c r="M6" s="668" t="s">
        <v>0</v>
      </c>
    </row>
    <row r="7" spans="1:13">
      <c r="A7" s="666"/>
      <c r="B7" s="667" t="s">
        <v>0</v>
      </c>
      <c r="C7" s="3408" t="s">
        <v>0</v>
      </c>
      <c r="D7" s="3409"/>
      <c r="E7" s="3409"/>
      <c r="F7" s="3409"/>
      <c r="G7" s="3409"/>
      <c r="H7" s="3409"/>
      <c r="I7" s="3409"/>
      <c r="J7" s="3409"/>
      <c r="K7" s="3409"/>
      <c r="L7" s="3410"/>
      <c r="M7" s="668" t="s">
        <v>0</v>
      </c>
    </row>
    <row r="8" spans="1:13">
      <c r="A8" s="666"/>
      <c r="B8" s="667" t="s">
        <v>0</v>
      </c>
      <c r="C8" s="3411"/>
      <c r="D8" s="3412"/>
      <c r="E8" s="3412"/>
      <c r="F8" s="3412"/>
      <c r="G8" s="3412"/>
      <c r="H8" s="3412"/>
      <c r="I8" s="3412"/>
      <c r="J8" s="3412"/>
      <c r="K8" s="3412"/>
      <c r="L8" s="3413"/>
      <c r="M8" s="668" t="s">
        <v>0</v>
      </c>
    </row>
    <row r="9" spans="1:13">
      <c r="A9" s="666"/>
      <c r="B9" s="667" t="s">
        <v>0</v>
      </c>
      <c r="C9" s="3411"/>
      <c r="D9" s="3412"/>
      <c r="E9" s="3412"/>
      <c r="F9" s="3412"/>
      <c r="G9" s="3412"/>
      <c r="H9" s="3412"/>
      <c r="I9" s="3412"/>
      <c r="J9" s="3412"/>
      <c r="K9" s="3412"/>
      <c r="L9" s="3413"/>
      <c r="M9" s="668" t="s">
        <v>0</v>
      </c>
    </row>
    <row r="10" spans="1:13">
      <c r="A10" s="666"/>
      <c r="B10" s="667" t="s">
        <v>0</v>
      </c>
      <c r="C10" s="3411"/>
      <c r="D10" s="3412"/>
      <c r="E10" s="3412"/>
      <c r="F10" s="3412"/>
      <c r="G10" s="3412"/>
      <c r="H10" s="3412"/>
      <c r="I10" s="3412"/>
      <c r="J10" s="3412"/>
      <c r="K10" s="3412"/>
      <c r="L10" s="3413"/>
      <c r="M10" s="668" t="s">
        <v>0</v>
      </c>
    </row>
    <row r="11" spans="1:13">
      <c r="A11" s="666"/>
      <c r="B11" s="667" t="s">
        <v>0</v>
      </c>
      <c r="C11" s="3411"/>
      <c r="D11" s="3412"/>
      <c r="E11" s="3412"/>
      <c r="F11" s="3412"/>
      <c r="G11" s="3412"/>
      <c r="H11" s="3412"/>
      <c r="I11" s="3412"/>
      <c r="J11" s="3412"/>
      <c r="K11" s="3412"/>
      <c r="L11" s="3413"/>
      <c r="M11" s="668" t="s">
        <v>0</v>
      </c>
    </row>
    <row r="12" spans="1:13">
      <c r="A12" s="666"/>
      <c r="B12" s="667" t="s">
        <v>0</v>
      </c>
      <c r="C12" s="3411"/>
      <c r="D12" s="3412"/>
      <c r="E12" s="3412"/>
      <c r="F12" s="3412"/>
      <c r="G12" s="3412"/>
      <c r="H12" s="3412"/>
      <c r="I12" s="3412"/>
      <c r="J12" s="3412"/>
      <c r="K12" s="3412"/>
      <c r="L12" s="3413"/>
      <c r="M12" s="668" t="s">
        <v>0</v>
      </c>
    </row>
    <row r="13" spans="1:13">
      <c r="A13" s="666"/>
      <c r="B13" s="667" t="s">
        <v>0</v>
      </c>
      <c r="C13" s="3411"/>
      <c r="D13" s="3412"/>
      <c r="E13" s="3412"/>
      <c r="F13" s="3412"/>
      <c r="G13" s="3412"/>
      <c r="H13" s="3412"/>
      <c r="I13" s="3412"/>
      <c r="J13" s="3412"/>
      <c r="K13" s="3412"/>
      <c r="L13" s="3413"/>
      <c r="M13" s="668" t="s">
        <v>0</v>
      </c>
    </row>
    <row r="14" spans="1:13">
      <c r="A14" s="666"/>
      <c r="B14" s="667" t="s">
        <v>0</v>
      </c>
      <c r="C14" s="3411"/>
      <c r="D14" s="3412"/>
      <c r="E14" s="3412"/>
      <c r="F14" s="3412"/>
      <c r="G14" s="3412"/>
      <c r="H14" s="3412"/>
      <c r="I14" s="3412"/>
      <c r="J14" s="3412"/>
      <c r="K14" s="3412"/>
      <c r="L14" s="3413"/>
      <c r="M14" s="668" t="s">
        <v>0</v>
      </c>
    </row>
    <row r="15" spans="1:13">
      <c r="A15" s="666"/>
      <c r="B15" s="667" t="s">
        <v>0</v>
      </c>
      <c r="C15" s="3414"/>
      <c r="D15" s="3415"/>
      <c r="E15" s="3415"/>
      <c r="F15" s="3415"/>
      <c r="G15" s="3415"/>
      <c r="H15" s="3415"/>
      <c r="I15" s="3415"/>
      <c r="J15" s="3415"/>
      <c r="K15" s="3415"/>
      <c r="L15" s="3416"/>
      <c r="M15" s="668" t="s">
        <v>0</v>
      </c>
    </row>
    <row r="16" spans="1:13">
      <c r="A16" s="666"/>
      <c r="B16" s="667" t="s">
        <v>0</v>
      </c>
      <c r="C16" s="666"/>
      <c r="D16" s="666"/>
      <c r="E16" s="666"/>
      <c r="F16" s="666"/>
      <c r="G16" s="666"/>
      <c r="H16" s="666"/>
      <c r="I16" s="666"/>
      <c r="J16" s="666"/>
      <c r="K16" s="666"/>
      <c r="L16" s="666"/>
      <c r="M16" s="668" t="s">
        <v>0</v>
      </c>
    </row>
    <row r="17" spans="1:13" ht="27.75" customHeight="1">
      <c r="A17" s="666"/>
      <c r="B17" s="667" t="s">
        <v>0</v>
      </c>
      <c r="C17" s="666"/>
      <c r="D17" s="666"/>
      <c r="E17" s="666"/>
      <c r="F17" s="666"/>
      <c r="G17" s="666"/>
      <c r="H17" s="666"/>
      <c r="I17" s="666"/>
      <c r="J17" s="666"/>
      <c r="K17" s="666"/>
      <c r="L17" s="666"/>
      <c r="M17" s="668" t="s">
        <v>0</v>
      </c>
    </row>
    <row r="18" spans="1:13" ht="27.75" customHeight="1">
      <c r="A18" s="666"/>
      <c r="B18" s="667" t="s">
        <v>0</v>
      </c>
      <c r="C18" s="666"/>
      <c r="D18" s="666"/>
      <c r="E18" s="666"/>
      <c r="F18" s="666"/>
      <c r="G18" s="666"/>
      <c r="H18" s="666"/>
      <c r="I18" s="666"/>
      <c r="J18" s="666"/>
      <c r="K18" s="666"/>
      <c r="L18" s="666"/>
      <c r="M18" s="668" t="s">
        <v>0</v>
      </c>
    </row>
    <row r="19" spans="1:13" ht="27.75" customHeight="1">
      <c r="A19" s="666"/>
      <c r="B19" s="667" t="s">
        <v>0</v>
      </c>
      <c r="C19" s="666"/>
      <c r="D19" s="666"/>
      <c r="E19" s="666"/>
      <c r="F19" s="666"/>
      <c r="G19" s="666"/>
      <c r="H19" s="666"/>
      <c r="I19" s="666"/>
      <c r="J19" s="666"/>
      <c r="K19" s="666"/>
      <c r="L19" s="666"/>
      <c r="M19" s="668" t="s">
        <v>0</v>
      </c>
    </row>
    <row r="20" spans="1:13" ht="27.75" customHeight="1">
      <c r="A20" s="666"/>
      <c r="B20" s="667" t="s">
        <v>0</v>
      </c>
      <c r="C20" s="666"/>
      <c r="D20" s="666"/>
      <c r="E20" s="666"/>
      <c r="F20" s="666"/>
      <c r="G20" s="666"/>
      <c r="H20" s="666"/>
      <c r="I20" s="666"/>
      <c r="J20" s="666"/>
      <c r="K20" s="666"/>
      <c r="L20" s="666"/>
      <c r="M20" s="668" t="s">
        <v>0</v>
      </c>
    </row>
    <row r="21" spans="1:13" ht="27.75" customHeight="1">
      <c r="A21" s="666"/>
      <c r="B21" s="667" t="s">
        <v>0</v>
      </c>
      <c r="C21" s="666"/>
      <c r="D21" s="666"/>
      <c r="E21" s="666"/>
      <c r="F21" s="666"/>
      <c r="G21" s="666"/>
      <c r="H21" s="666"/>
      <c r="I21" s="666"/>
      <c r="J21" s="666"/>
      <c r="K21" s="666"/>
      <c r="L21" s="666"/>
      <c r="M21" s="668" t="s">
        <v>0</v>
      </c>
    </row>
    <row r="22" spans="1:13" ht="27.75" customHeight="1">
      <c r="A22" s="666"/>
      <c r="B22" s="667" t="s">
        <v>0</v>
      </c>
      <c r="D22" s="666"/>
      <c r="E22" s="666"/>
      <c r="F22" s="666"/>
      <c r="G22" s="666"/>
      <c r="H22" s="666"/>
      <c r="I22" s="666"/>
      <c r="J22" s="666"/>
      <c r="K22" s="666"/>
      <c r="L22" s="666"/>
      <c r="M22" s="668" t="s">
        <v>0</v>
      </c>
    </row>
    <row r="23" spans="1:13">
      <c r="A23" s="666"/>
      <c r="B23" s="667" t="s">
        <v>0</v>
      </c>
      <c r="C23" s="666"/>
      <c r="D23" s="666"/>
      <c r="E23" s="666"/>
      <c r="F23" s="666"/>
      <c r="G23" s="666"/>
      <c r="H23" s="666"/>
      <c r="I23" s="666"/>
      <c r="J23" s="666"/>
      <c r="K23" s="666"/>
      <c r="L23" s="666"/>
      <c r="M23" s="668" t="s">
        <v>0</v>
      </c>
    </row>
    <row r="24" spans="1:13" ht="23.25">
      <c r="A24" s="666"/>
      <c r="B24" s="667" t="s">
        <v>0</v>
      </c>
      <c r="C24" s="666"/>
      <c r="D24" s="666"/>
      <c r="E24" s="666"/>
      <c r="F24" s="669" t="s">
        <v>1</v>
      </c>
      <c r="H24" s="666"/>
      <c r="I24" s="666"/>
      <c r="J24" s="666"/>
      <c r="K24" s="666"/>
      <c r="L24" s="666"/>
      <c r="M24" s="668" t="s">
        <v>0</v>
      </c>
    </row>
    <row r="25" spans="1:13" ht="23.25">
      <c r="A25" s="666"/>
      <c r="B25" s="669" t="s">
        <v>2</v>
      </c>
      <c r="D25" s="666"/>
      <c r="E25" s="666"/>
      <c r="F25" s="666"/>
      <c r="H25" s="666"/>
      <c r="I25" s="666"/>
      <c r="J25" s="666"/>
      <c r="K25" s="666"/>
      <c r="L25" s="666"/>
      <c r="M25" s="668" t="s">
        <v>0</v>
      </c>
    </row>
    <row r="26" spans="1:13" ht="23.25">
      <c r="A26" s="666"/>
      <c r="B26" s="667" t="s">
        <v>0</v>
      </c>
      <c r="C26" s="666"/>
      <c r="D26" s="666"/>
      <c r="E26" s="666"/>
      <c r="F26" s="917">
        <v>44835</v>
      </c>
      <c r="G26" s="905"/>
      <c r="H26" s="666"/>
      <c r="I26" s="666"/>
      <c r="J26" s="666"/>
      <c r="K26" s="666"/>
      <c r="L26" s="666"/>
      <c r="M26" s="668" t="s">
        <v>0</v>
      </c>
    </row>
    <row r="27" spans="1:13" ht="38.25" customHeight="1">
      <c r="A27" s="666"/>
      <c r="B27" s="667" t="s">
        <v>0</v>
      </c>
      <c r="C27" s="666"/>
      <c r="D27" s="666"/>
      <c r="E27" s="666"/>
      <c r="F27" s="666"/>
      <c r="G27" s="666"/>
      <c r="H27" s="666"/>
      <c r="I27" s="666"/>
      <c r="J27" s="666"/>
      <c r="K27" s="666"/>
      <c r="L27" s="666"/>
      <c r="M27" s="668" t="s">
        <v>0</v>
      </c>
    </row>
    <row r="28" spans="1:13" ht="38.25" customHeight="1">
      <c r="A28" s="666"/>
      <c r="B28" s="667" t="s">
        <v>0</v>
      </c>
      <c r="C28" s="666"/>
      <c r="D28" s="666"/>
      <c r="E28" s="666"/>
      <c r="F28" s="666"/>
      <c r="G28" s="666"/>
      <c r="H28" s="666"/>
      <c r="I28" s="666"/>
      <c r="J28" s="666"/>
      <c r="K28" s="666"/>
      <c r="L28" s="666"/>
      <c r="M28" s="668" t="s">
        <v>0</v>
      </c>
    </row>
    <row r="29" spans="1:13" ht="38.25" customHeight="1">
      <c r="A29" s="666"/>
      <c r="B29" s="667" t="s">
        <v>0</v>
      </c>
      <c r="C29" s="666"/>
      <c r="D29" s="666"/>
      <c r="E29" s="666"/>
      <c r="F29" s="666"/>
      <c r="G29" s="666"/>
      <c r="H29" s="666"/>
      <c r="I29" s="666"/>
      <c r="J29" s="666"/>
      <c r="K29" s="666"/>
      <c r="L29" s="666"/>
      <c r="M29" s="668" t="s">
        <v>0</v>
      </c>
    </row>
    <row r="30" spans="1:13" ht="38.25" customHeight="1">
      <c r="A30" s="666"/>
      <c r="B30" s="667" t="s">
        <v>0</v>
      </c>
      <c r="C30" s="666"/>
      <c r="D30" s="666"/>
      <c r="E30" s="666"/>
      <c r="F30" s="666"/>
      <c r="G30" s="666"/>
      <c r="H30" s="666"/>
      <c r="I30" s="666"/>
      <c r="J30" s="666"/>
      <c r="K30" s="666"/>
      <c r="L30" s="666"/>
      <c r="M30" s="668" t="s">
        <v>0</v>
      </c>
    </row>
    <row r="31" spans="1:13" ht="38.25" customHeight="1">
      <c r="A31" s="666"/>
      <c r="B31" s="667" t="s">
        <v>0</v>
      </c>
      <c r="C31" s="666"/>
      <c r="D31" s="666"/>
      <c r="E31" s="666"/>
      <c r="F31" s="666"/>
      <c r="G31" s="666"/>
      <c r="H31" s="666"/>
      <c r="I31" s="666"/>
      <c r="J31" s="666"/>
      <c r="K31" s="666"/>
      <c r="L31" s="666"/>
      <c r="M31" s="668" t="s">
        <v>0</v>
      </c>
    </row>
    <row r="32" spans="1:13" ht="9.75" customHeight="1">
      <c r="A32" s="666"/>
      <c r="B32" s="667" t="s">
        <v>0</v>
      </c>
      <c r="C32" s="666"/>
      <c r="D32" s="666"/>
      <c r="E32" s="666"/>
      <c r="F32" s="666"/>
      <c r="G32" s="666"/>
      <c r="H32" s="666"/>
      <c r="I32" s="666"/>
      <c r="J32" s="666"/>
      <c r="K32" s="666"/>
      <c r="L32" s="666"/>
      <c r="M32" s="668" t="s">
        <v>0</v>
      </c>
    </row>
    <row r="33" spans="1:13">
      <c r="A33" s="666"/>
      <c r="B33" s="667" t="s">
        <v>0</v>
      </c>
      <c r="C33" s="666"/>
      <c r="D33" s="666"/>
      <c r="E33" s="666"/>
      <c r="F33" s="666"/>
      <c r="G33" s="666"/>
      <c r="H33" s="666"/>
      <c r="I33" s="666"/>
      <c r="J33" s="666"/>
      <c r="K33" s="666"/>
      <c r="L33" s="666"/>
      <c r="M33" s="668" t="s">
        <v>0</v>
      </c>
    </row>
    <row r="34" spans="1:13">
      <c r="A34" s="666"/>
      <c r="B34" s="667" t="s">
        <v>0</v>
      </c>
      <c r="C34" s="666"/>
      <c r="D34" s="666"/>
      <c r="E34" s="666"/>
      <c r="F34" s="666"/>
      <c r="G34" s="666"/>
      <c r="H34" s="666"/>
      <c r="I34" s="3412"/>
      <c r="J34" s="3412"/>
      <c r="K34" s="3412"/>
      <c r="L34" s="3412"/>
      <c r="M34" s="668" t="s">
        <v>0</v>
      </c>
    </row>
    <row r="35" spans="1:13">
      <c r="A35" s="666"/>
      <c r="B35" s="667" t="s">
        <v>0</v>
      </c>
      <c r="C35" s="666"/>
      <c r="D35" s="666"/>
      <c r="E35" s="666"/>
      <c r="F35" s="666"/>
      <c r="G35" s="666"/>
      <c r="H35" s="666"/>
      <c r="I35" s="3412"/>
      <c r="J35" s="3412"/>
      <c r="K35" s="3412"/>
      <c r="L35" s="3412"/>
      <c r="M35" s="668" t="s">
        <v>0</v>
      </c>
    </row>
    <row r="36" spans="1:13">
      <c r="A36" s="666"/>
      <c r="B36" s="667" t="s">
        <v>0</v>
      </c>
      <c r="C36" s="666"/>
      <c r="D36" s="666"/>
      <c r="E36" s="666"/>
      <c r="F36" s="666"/>
      <c r="G36" s="666"/>
      <c r="H36" s="666"/>
      <c r="I36" s="3412"/>
      <c r="J36" s="3412"/>
      <c r="K36" s="3412"/>
      <c r="L36" s="3412"/>
      <c r="M36" s="668" t="s">
        <v>0</v>
      </c>
    </row>
    <row r="37" spans="1:13">
      <c r="A37" s="666"/>
      <c r="B37" s="667" t="s">
        <v>0</v>
      </c>
      <c r="C37" s="666"/>
      <c r="D37" s="666"/>
      <c r="E37" s="666"/>
      <c r="F37" s="666"/>
      <c r="G37" s="666"/>
      <c r="H37" s="666"/>
      <c r="I37" s="3412"/>
      <c r="J37" s="3412"/>
      <c r="K37" s="3412"/>
      <c r="L37" s="3412"/>
      <c r="M37" s="668" t="s">
        <v>0</v>
      </c>
    </row>
    <row r="38" spans="1:13">
      <c r="A38" s="666"/>
      <c r="B38" s="667" t="s">
        <v>0</v>
      </c>
      <c r="C38" s="666"/>
      <c r="D38" s="666"/>
      <c r="E38" s="666"/>
      <c r="F38" s="666"/>
      <c r="G38" s="666"/>
      <c r="H38" s="666"/>
      <c r="I38" s="3412"/>
      <c r="J38" s="3412"/>
      <c r="K38" s="3412"/>
      <c r="L38" s="3412"/>
      <c r="M38" s="668" t="s">
        <v>0</v>
      </c>
    </row>
    <row r="39" spans="1:13">
      <c r="A39" s="666"/>
      <c r="B39" s="667" t="s">
        <v>0</v>
      </c>
      <c r="C39" s="666"/>
      <c r="D39" s="666"/>
      <c r="E39" s="666"/>
      <c r="F39" s="666"/>
      <c r="G39" s="666"/>
      <c r="H39" s="666"/>
      <c r="I39" s="3412"/>
      <c r="J39" s="3412"/>
      <c r="K39" s="3412"/>
      <c r="L39" s="3412"/>
      <c r="M39" s="668" t="s">
        <v>0</v>
      </c>
    </row>
    <row r="40" spans="1:13">
      <c r="A40" s="666"/>
      <c r="B40" s="667" t="s">
        <v>0</v>
      </c>
      <c r="C40" s="666"/>
      <c r="D40" s="666"/>
      <c r="E40" s="666"/>
      <c r="F40" s="666"/>
      <c r="G40" s="666"/>
      <c r="H40" s="666"/>
      <c r="I40" s="666"/>
      <c r="J40" s="666"/>
      <c r="K40" s="666"/>
      <c r="L40" s="666"/>
      <c r="M40" s="668" t="s">
        <v>0</v>
      </c>
    </row>
    <row r="41" spans="1:13">
      <c r="A41" s="666"/>
      <c r="B41" s="670" t="s">
        <v>0</v>
      </c>
      <c r="C41" s="671" t="s">
        <v>0</v>
      </c>
      <c r="D41" s="671" t="s">
        <v>0</v>
      </c>
      <c r="E41" s="671" t="s">
        <v>0</v>
      </c>
      <c r="F41" s="671" t="s">
        <v>0</v>
      </c>
      <c r="G41" s="671" t="s">
        <v>0</v>
      </c>
      <c r="H41" s="671" t="s">
        <v>0</v>
      </c>
      <c r="I41" s="671" t="s">
        <v>0</v>
      </c>
      <c r="J41" s="671" t="s">
        <v>0</v>
      </c>
      <c r="K41" s="671" t="s">
        <v>0</v>
      </c>
      <c r="L41" s="671" t="s">
        <v>0</v>
      </c>
      <c r="M41" s="672" t="s">
        <v>0</v>
      </c>
    </row>
  </sheetData>
  <mergeCells count="2">
    <mergeCell ref="C7:L15"/>
    <mergeCell ref="I34:L39"/>
  </mergeCells>
  <pageMargins left="0.7" right="0.7" top="0.75" bottom="0.75" header="0.3" footer="0.3"/>
  <pageSetup paperSize="9" scale="8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tabColor rgb="FF00B050"/>
  </sheetPr>
  <dimension ref="A1:T65"/>
  <sheetViews>
    <sheetView topLeftCell="A25" workbookViewId="0">
      <selection activeCell="D30" sqref="D30:J30"/>
    </sheetView>
  </sheetViews>
  <sheetFormatPr defaultRowHeight="15"/>
  <cols>
    <col min="1" max="1" width="6.42578125" customWidth="1"/>
    <col min="2" max="2" width="1.140625" hidden="1" customWidth="1"/>
    <col min="3" max="3" width="14.42578125" customWidth="1"/>
    <col min="4" max="4" width="14.7109375" customWidth="1"/>
    <col min="5" max="5" width="14.85546875" bestFit="1" customWidth="1"/>
    <col min="6" max="6" width="11.140625" bestFit="1" customWidth="1"/>
    <col min="7" max="7" width="14.7109375" bestFit="1" customWidth="1"/>
    <col min="8" max="8" width="9.5703125" customWidth="1"/>
    <col min="9" max="9" width="14.85546875" bestFit="1" customWidth="1"/>
    <col min="10" max="10" width="15.42578125" customWidth="1"/>
    <col min="11" max="11" width="11" customWidth="1"/>
    <col min="12" max="12" width="13.140625" customWidth="1"/>
    <col min="13" max="13" width="7.28515625" customWidth="1"/>
    <col min="14" max="14" width="14.7109375" customWidth="1"/>
    <col min="15" max="15" width="12" style="111" customWidth="1"/>
    <col min="16" max="16" width="10.28515625" bestFit="1" customWidth="1"/>
    <col min="17" max="17" width="10.5703125" customWidth="1"/>
    <col min="18" max="18" width="11.7109375" customWidth="1"/>
    <col min="19" max="19" width="12" customWidth="1"/>
  </cols>
  <sheetData>
    <row r="1" spans="1:20">
      <c r="B1" s="3"/>
      <c r="C1" s="3"/>
      <c r="D1" s="40"/>
      <c r="F1" s="41"/>
      <c r="H1" s="41"/>
      <c r="I1" s="150"/>
    </row>
    <row r="2" spans="1:20">
      <c r="B2" s="42"/>
      <c r="C2" s="42"/>
      <c r="D2" s="3"/>
      <c r="E2" s="3"/>
      <c r="F2" s="316"/>
      <c r="G2" s="316"/>
      <c r="H2" s="3"/>
      <c r="I2" s="3"/>
      <c r="J2" s="3"/>
      <c r="K2" s="3"/>
      <c r="L2" s="3"/>
      <c r="M2" s="3"/>
    </row>
    <row r="3" spans="1:20">
      <c r="B3" s="2083"/>
      <c r="C3" s="2083" t="s">
        <v>169</v>
      </c>
      <c r="D3" s="2084"/>
      <c r="E3" s="2084"/>
      <c r="F3" s="2084"/>
      <c r="G3" s="2084"/>
      <c r="H3" s="2084"/>
      <c r="I3" s="2084"/>
      <c r="J3" s="2084"/>
      <c r="K3" s="2084"/>
      <c r="L3" s="2084"/>
      <c r="M3" s="2085"/>
    </row>
    <row r="4" spans="1:20">
      <c r="B4" s="2083"/>
      <c r="C4" s="3474" t="s">
        <v>170</v>
      </c>
      <c r="D4" s="3474"/>
      <c r="E4" s="3474"/>
      <c r="F4" s="3474"/>
      <c r="G4" s="3474"/>
      <c r="H4" s="3474"/>
      <c r="I4" s="3474"/>
      <c r="J4" s="3474"/>
      <c r="K4" s="3474"/>
      <c r="L4" s="3474"/>
      <c r="M4" s="3475"/>
    </row>
    <row r="5" spans="1:20">
      <c r="B5" s="3479" t="s">
        <v>83</v>
      </c>
      <c r="C5" s="3479" t="s">
        <v>83</v>
      </c>
      <c r="D5" s="3476" t="s">
        <v>171</v>
      </c>
      <c r="E5" s="3477"/>
      <c r="F5" s="3477"/>
      <c r="G5" s="3477"/>
      <c r="H5" s="3478"/>
      <c r="I5" s="3476" t="s">
        <v>172</v>
      </c>
      <c r="J5" s="3481"/>
      <c r="K5" s="3481"/>
      <c r="L5" s="3481"/>
      <c r="M5" s="3482"/>
    </row>
    <row r="6" spans="1:20" ht="48" customHeight="1">
      <c r="B6" s="3480"/>
      <c r="C6" s="3483"/>
      <c r="D6" s="2086" t="s">
        <v>153</v>
      </c>
      <c r="E6" s="2087" t="s">
        <v>154</v>
      </c>
      <c r="F6" s="2086" t="s">
        <v>173</v>
      </c>
      <c r="G6" s="2086" t="s">
        <v>174</v>
      </c>
      <c r="H6" s="2088" t="s">
        <v>157</v>
      </c>
      <c r="I6" s="2086" t="s">
        <v>153</v>
      </c>
      <c r="J6" s="2087" t="s">
        <v>154</v>
      </c>
      <c r="K6" s="2086" t="s">
        <v>173</v>
      </c>
      <c r="L6" s="2086" t="s">
        <v>174</v>
      </c>
      <c r="M6" s="2088" t="s">
        <v>157</v>
      </c>
      <c r="O6" s="106"/>
      <c r="P6" s="43"/>
      <c r="Q6" s="43"/>
      <c r="R6" s="43"/>
      <c r="S6" s="106"/>
      <c r="T6" s="43"/>
    </row>
    <row r="7" spans="1:20" ht="20.100000000000001" customHeight="1">
      <c r="A7">
        <v>1</v>
      </c>
      <c r="B7" s="2089" t="s">
        <v>175</v>
      </c>
      <c r="C7" s="2052" t="s">
        <v>125</v>
      </c>
      <c r="D7" s="2090">
        <v>36115715</v>
      </c>
      <c r="E7" s="2090">
        <v>4831102</v>
      </c>
      <c r="F7" s="2090">
        <v>189</v>
      </c>
      <c r="G7" s="2090">
        <f>D7+E7-F7</f>
        <v>40946628</v>
      </c>
      <c r="H7" s="2091">
        <f>G7/G28*100</f>
        <v>0.18298064521856153</v>
      </c>
      <c r="I7" s="2090">
        <v>38589030</v>
      </c>
      <c r="J7" s="2090">
        <v>5595491</v>
      </c>
      <c r="K7" s="2090">
        <v>26385</v>
      </c>
      <c r="L7" s="2090">
        <v>44158136</v>
      </c>
      <c r="M7" s="2091">
        <f>L7/L28*100</f>
        <v>0.1689404773684714</v>
      </c>
      <c r="N7" s="14"/>
      <c r="R7" s="186"/>
      <c r="S7" s="14"/>
      <c r="T7" s="14"/>
    </row>
    <row r="8" spans="1:20" ht="20.100000000000001" customHeight="1">
      <c r="A8">
        <v>2</v>
      </c>
      <c r="B8" s="2089" t="s">
        <v>176</v>
      </c>
      <c r="C8" s="2052" t="s">
        <v>127</v>
      </c>
      <c r="D8" s="2090">
        <v>0</v>
      </c>
      <c r="E8" s="2090">
        <v>877849.7566940001</v>
      </c>
      <c r="F8" s="2090">
        <v>0</v>
      </c>
      <c r="G8" s="2090">
        <f>D8+E8-F8</f>
        <v>877849.7566940001</v>
      </c>
      <c r="H8" s="2091">
        <f>G7/G28*100</f>
        <v>0.18298064521856153</v>
      </c>
      <c r="I8" s="2090">
        <v>0</v>
      </c>
      <c r="J8" s="2090">
        <v>877849.7566940001</v>
      </c>
      <c r="K8" s="2090">
        <v>0</v>
      </c>
      <c r="L8" s="2090">
        <f t="shared" ref="L8:L28" si="0">I8+J8-K8</f>
        <v>877849.7566940001</v>
      </c>
      <c r="M8" s="2091">
        <f>L8/L28*100</f>
        <v>3.3584831785852748E-3</v>
      </c>
      <c r="N8" s="58"/>
      <c r="O8" s="58"/>
      <c r="P8" s="58"/>
      <c r="Q8" s="58"/>
      <c r="R8" s="186"/>
      <c r="S8" s="58"/>
      <c r="T8" s="58"/>
    </row>
    <row r="9" spans="1:20" ht="20.100000000000001" customHeight="1">
      <c r="A9">
        <v>3</v>
      </c>
      <c r="B9" s="2089" t="s">
        <v>177</v>
      </c>
      <c r="C9" s="2052" t="s">
        <v>92</v>
      </c>
      <c r="D9" s="2090"/>
      <c r="E9" s="2090">
        <v>1970061</v>
      </c>
      <c r="F9" s="2090"/>
      <c r="G9" s="2090">
        <f t="shared" ref="G9:G27" si="1">D9+E9-F9</f>
        <v>1970061</v>
      </c>
      <c r="H9" s="2091">
        <f>G9/G28*100</f>
        <v>8.803729403552462E-3</v>
      </c>
      <c r="I9" s="2090">
        <v>0</v>
      </c>
      <c r="J9" s="2090">
        <v>2727780</v>
      </c>
      <c r="K9" s="2090">
        <v>0</v>
      </c>
      <c r="L9" s="2090">
        <f t="shared" si="0"/>
        <v>2727780</v>
      </c>
      <c r="M9" s="2091">
        <f>L9/L28*100</f>
        <v>1.043595806118648E-2</v>
      </c>
      <c r="O9" s="99"/>
      <c r="P9" s="99"/>
      <c r="Q9" s="99"/>
      <c r="R9" s="99"/>
      <c r="S9" s="99"/>
      <c r="T9" s="99"/>
    </row>
    <row r="10" spans="1:20" ht="20.100000000000001" customHeight="1">
      <c r="A10">
        <v>4</v>
      </c>
      <c r="B10" s="2089" t="s">
        <v>178</v>
      </c>
      <c r="C10" s="2052" t="s">
        <v>93</v>
      </c>
      <c r="D10" s="2090">
        <v>621737.5117472501</v>
      </c>
      <c r="E10" s="2090"/>
      <c r="F10" s="2090"/>
      <c r="G10" s="2090">
        <f t="shared" si="1"/>
        <v>621737.5117472501</v>
      </c>
      <c r="H10" s="2091">
        <f>G10/G28*100</f>
        <v>2.7783955996595082E-3</v>
      </c>
      <c r="I10" s="2090">
        <v>1069783.7977776085</v>
      </c>
      <c r="J10" s="2090">
        <v>0</v>
      </c>
      <c r="K10" s="2090">
        <v>0</v>
      </c>
      <c r="L10" s="2090">
        <f t="shared" si="0"/>
        <v>1069783.7977776085</v>
      </c>
      <c r="M10" s="2091">
        <f>L10/L28*100</f>
        <v>4.0927856528546738E-3</v>
      </c>
      <c r="O10" s="21"/>
      <c r="R10" s="14"/>
      <c r="S10" s="14"/>
      <c r="T10" s="14"/>
    </row>
    <row r="11" spans="1:20" ht="20.100000000000001" customHeight="1">
      <c r="A11">
        <v>5</v>
      </c>
      <c r="B11" s="2089" t="s">
        <v>179</v>
      </c>
      <c r="C11" s="2052" t="s">
        <v>126</v>
      </c>
      <c r="D11" s="2090">
        <v>899002.18392999994</v>
      </c>
      <c r="E11" s="2090">
        <v>1337353.14188</v>
      </c>
      <c r="F11" s="2090">
        <v>66277.441000000006</v>
      </c>
      <c r="G11" s="2090">
        <f t="shared" si="1"/>
        <v>2170077.8848099997</v>
      </c>
      <c r="H11" s="2091">
        <f>G11/G28*100</f>
        <v>9.6975568180379841E-3</v>
      </c>
      <c r="I11" s="2090">
        <v>1006855.51333</v>
      </c>
      <c r="J11" s="2090">
        <v>1602459.9923800002</v>
      </c>
      <c r="K11" s="2090">
        <v>44253.078999999998</v>
      </c>
      <c r="L11" s="2090">
        <f t="shared" si="0"/>
        <v>2565062.4267100003</v>
      </c>
      <c r="M11" s="2091">
        <f>L11/L28*100</f>
        <v>9.8134321350954925E-3</v>
      </c>
      <c r="N11" s="14"/>
      <c r="O11" s="20"/>
    </row>
    <row r="12" spans="1:20" ht="20.100000000000001" customHeight="1">
      <c r="A12">
        <v>6</v>
      </c>
      <c r="B12" s="2089" t="s">
        <v>180</v>
      </c>
      <c r="C12" s="2052" t="s">
        <v>96</v>
      </c>
      <c r="D12" s="2090">
        <v>574548880.0200001</v>
      </c>
      <c r="E12" s="2090">
        <v>0</v>
      </c>
      <c r="F12" s="2090">
        <v>0</v>
      </c>
      <c r="G12" s="2090">
        <f t="shared" si="1"/>
        <v>574548880.0200001</v>
      </c>
      <c r="H12" s="2091">
        <f>G12/G28*100</f>
        <v>2.5675209391030078</v>
      </c>
      <c r="I12" s="2090">
        <v>576387191.11000001</v>
      </c>
      <c r="J12" s="2090"/>
      <c r="K12" s="2090"/>
      <c r="L12" s="2090">
        <f t="shared" si="0"/>
        <v>576387191.11000001</v>
      </c>
      <c r="M12" s="2091">
        <f>L12/L28*100</f>
        <v>2.2051457791423932</v>
      </c>
      <c r="O12" s="20"/>
    </row>
    <row r="13" spans="1:20" ht="20.100000000000001" customHeight="1">
      <c r="A13">
        <v>7</v>
      </c>
      <c r="B13" s="2089" t="s">
        <v>181</v>
      </c>
      <c r="C13" s="2052" t="s">
        <v>124</v>
      </c>
      <c r="D13" s="2090">
        <v>3896593664.4123263</v>
      </c>
      <c r="E13" s="2090">
        <v>1809536830.1605849</v>
      </c>
      <c r="F13" s="2090"/>
      <c r="G13" s="2090">
        <f t="shared" si="1"/>
        <v>5706130494.5729113</v>
      </c>
      <c r="H13" s="2091">
        <f>G13/G28*100</f>
        <v>25.499326576983606</v>
      </c>
      <c r="I13" s="2090">
        <v>5265406901.5063429</v>
      </c>
      <c r="J13" s="2090">
        <v>2074620983.4072509</v>
      </c>
      <c r="K13" s="2090">
        <v>0</v>
      </c>
      <c r="L13" s="2090">
        <f t="shared" si="0"/>
        <v>7340027884.9135933</v>
      </c>
      <c r="M13" s="2091">
        <f>L13/L28*100</f>
        <v>28.081525333750363</v>
      </c>
      <c r="N13" s="14"/>
      <c r="O13" s="20"/>
    </row>
    <row r="14" spans="1:20" ht="20.100000000000001" customHeight="1">
      <c r="A14">
        <v>8</v>
      </c>
      <c r="B14" s="2089" t="s">
        <v>182</v>
      </c>
      <c r="C14" s="2052" t="s">
        <v>128</v>
      </c>
      <c r="D14" s="2090">
        <v>52991651</v>
      </c>
      <c r="E14" s="2090">
        <v>20153222</v>
      </c>
      <c r="F14" s="2090">
        <v>4809161</v>
      </c>
      <c r="G14" s="2090">
        <f t="shared" si="1"/>
        <v>68335712</v>
      </c>
      <c r="H14" s="2091">
        <f>G14/G28*100</f>
        <v>0.30537588280113803</v>
      </c>
      <c r="I14" s="2092">
        <v>64046017.954829998</v>
      </c>
      <c r="J14" s="2090">
        <v>24011104</v>
      </c>
      <c r="K14" s="2090">
        <v>6483228</v>
      </c>
      <c r="L14" s="2090">
        <f t="shared" si="0"/>
        <v>81573893.954829991</v>
      </c>
      <c r="M14" s="2091">
        <f>L14/L28*100</f>
        <v>0.31208592195861806</v>
      </c>
      <c r="O14" s="21"/>
    </row>
    <row r="15" spans="1:20" ht="20.100000000000001" customHeight="1">
      <c r="A15">
        <v>9</v>
      </c>
      <c r="B15" s="2089" t="s">
        <v>183</v>
      </c>
      <c r="C15" s="2052" t="s">
        <v>130</v>
      </c>
      <c r="D15" s="2092">
        <v>0</v>
      </c>
      <c r="E15" s="2092">
        <v>0</v>
      </c>
      <c r="F15" s="2092">
        <v>0</v>
      </c>
      <c r="G15" s="2090">
        <f t="shared" si="1"/>
        <v>0</v>
      </c>
      <c r="H15" s="2091">
        <f>G15/G28*100</f>
        <v>0</v>
      </c>
      <c r="I15" s="2092">
        <v>0</v>
      </c>
      <c r="J15" s="2092">
        <v>0</v>
      </c>
      <c r="K15" s="2092">
        <v>0</v>
      </c>
      <c r="L15" s="2090">
        <f t="shared" si="0"/>
        <v>0</v>
      </c>
      <c r="M15" s="2091">
        <f>L15/L28*100</f>
        <v>0</v>
      </c>
      <c r="O15" s="20"/>
    </row>
    <row r="16" spans="1:20" ht="20.100000000000001" customHeight="1">
      <c r="A16">
        <v>10</v>
      </c>
      <c r="B16" s="2089" t="s">
        <v>184</v>
      </c>
      <c r="C16" s="2052" t="s">
        <v>99</v>
      </c>
      <c r="D16" s="2090"/>
      <c r="E16" s="2090">
        <v>1313231.1247274249</v>
      </c>
      <c r="F16" s="2090"/>
      <c r="G16" s="2090">
        <f t="shared" si="1"/>
        <v>1313231.1247274249</v>
      </c>
      <c r="H16" s="2091">
        <f>G16/G28*100</f>
        <v>5.8685144604269119E-3</v>
      </c>
      <c r="I16" s="2090">
        <v>0</v>
      </c>
      <c r="J16" s="2090">
        <v>1415145.3073086524</v>
      </c>
      <c r="K16" s="2090">
        <v>0</v>
      </c>
      <c r="L16" s="2090">
        <f t="shared" si="0"/>
        <v>1415145.3073086524</v>
      </c>
      <c r="M16" s="2091">
        <f>L16/L28*100</f>
        <v>5.4140719110624576E-3</v>
      </c>
      <c r="O16" s="20"/>
    </row>
    <row r="17" spans="1:15" ht="20.100000000000001" customHeight="1">
      <c r="A17">
        <v>11</v>
      </c>
      <c r="B17" s="2089" t="s">
        <v>185</v>
      </c>
      <c r="C17" s="2052" t="s">
        <v>129</v>
      </c>
      <c r="D17" s="2090">
        <v>845507.18628000002</v>
      </c>
      <c r="E17" s="2090">
        <v>1499022.1700399995</v>
      </c>
      <c r="F17" s="2090">
        <v>24583.892</v>
      </c>
      <c r="G17" s="2090">
        <f t="shared" si="1"/>
        <v>2319945.4643199993</v>
      </c>
      <c r="H17" s="2091">
        <f>G17/G28*100</f>
        <v>1.036727903291936E-2</v>
      </c>
      <c r="I17" s="2090">
        <v>977823.36600449902</v>
      </c>
      <c r="J17" s="2092">
        <v>2031451.08292</v>
      </c>
      <c r="K17" s="2092">
        <v>6385.5942800000003</v>
      </c>
      <c r="L17" s="2090">
        <f t="shared" si="0"/>
        <v>3002888.8546444993</v>
      </c>
      <c r="M17" s="2091">
        <f>L17/L28*100</f>
        <v>1.1488471265818466E-2</v>
      </c>
      <c r="O17" s="20"/>
    </row>
    <row r="18" spans="1:15" ht="20.100000000000001" customHeight="1">
      <c r="A18">
        <v>12</v>
      </c>
      <c r="B18" s="2089" t="s">
        <v>186</v>
      </c>
      <c r="C18" s="2052" t="s">
        <v>131</v>
      </c>
      <c r="D18" s="2090">
        <v>4375309.9953300003</v>
      </c>
      <c r="E18" s="2090">
        <v>2643968.2601200002</v>
      </c>
      <c r="F18" s="2090">
        <v>2039754.0000000002</v>
      </c>
      <c r="G18" s="2090">
        <f t="shared" si="1"/>
        <v>4979524.255450001</v>
      </c>
      <c r="H18" s="2091">
        <f>G18/G28*100</f>
        <v>2.2252297823979996E-2</v>
      </c>
      <c r="I18" s="2090">
        <v>5101422.8000000007</v>
      </c>
      <c r="J18" s="2090">
        <v>2933254.4972099997</v>
      </c>
      <c r="K18" s="2090">
        <v>0</v>
      </c>
      <c r="L18" s="2090">
        <f t="shared" si="0"/>
        <v>8034677.2972100005</v>
      </c>
      <c r="M18" s="2091">
        <f>L18/L28*100</f>
        <v>3.0739119470357103E-2</v>
      </c>
      <c r="O18" s="20"/>
    </row>
    <row r="19" spans="1:15" ht="20.100000000000001" customHeight="1">
      <c r="A19">
        <v>13</v>
      </c>
      <c r="B19" s="2089" t="s">
        <v>187</v>
      </c>
      <c r="C19" s="2052" t="s">
        <v>132</v>
      </c>
      <c r="D19" s="2090">
        <f>6225304789.14451+590958</f>
        <v>6225895747.1445103</v>
      </c>
      <c r="E19" s="2090">
        <v>9580533396.5501842</v>
      </c>
      <c r="F19" s="2090">
        <v>0</v>
      </c>
      <c r="G19" s="2090">
        <f t="shared" si="1"/>
        <v>15806429143.694695</v>
      </c>
      <c r="H19" s="2091">
        <f>G19/G28*100</f>
        <v>70.635135164603298</v>
      </c>
      <c r="I19" s="2090">
        <f>7199652841.21+331256</f>
        <v>7199984097.21</v>
      </c>
      <c r="J19" s="2090">
        <v>10692653911.000002</v>
      </c>
      <c r="K19" s="2090">
        <v>0</v>
      </c>
      <c r="L19" s="2090">
        <f t="shared" si="0"/>
        <v>17892638008.210003</v>
      </c>
      <c r="M19" s="2091">
        <f>L19/L28*100</f>
        <v>68.453768213591559</v>
      </c>
      <c r="O19" s="20"/>
    </row>
    <row r="20" spans="1:15" ht="20.100000000000001" customHeight="1">
      <c r="A20">
        <v>14</v>
      </c>
      <c r="B20" s="2089" t="s">
        <v>188</v>
      </c>
      <c r="C20" s="2052" t="s">
        <v>106</v>
      </c>
      <c r="D20" s="2090">
        <v>807179</v>
      </c>
      <c r="E20" s="2090">
        <v>0</v>
      </c>
      <c r="F20" s="2090">
        <v>0</v>
      </c>
      <c r="G20" s="2090">
        <f t="shared" si="1"/>
        <v>807179</v>
      </c>
      <c r="H20" s="2091">
        <f>G20/G28*100</f>
        <v>3.6070890679172234E-3</v>
      </c>
      <c r="I20" s="2090">
        <v>1404322</v>
      </c>
      <c r="J20" s="2090">
        <v>0</v>
      </c>
      <c r="K20" s="2090">
        <v>0</v>
      </c>
      <c r="L20" s="2090">
        <f t="shared" si="0"/>
        <v>1404322</v>
      </c>
      <c r="M20" s="2091">
        <f>L20/L28*100</f>
        <v>5.3726640331703884E-3</v>
      </c>
      <c r="O20" s="20"/>
    </row>
    <row r="21" spans="1:15" ht="20.100000000000001" customHeight="1">
      <c r="A21">
        <v>15</v>
      </c>
      <c r="B21" s="2089" t="s">
        <v>189</v>
      </c>
      <c r="C21" s="2052" t="s">
        <v>133</v>
      </c>
      <c r="D21" s="2090">
        <v>235258.19600999999</v>
      </c>
      <c r="E21" s="2090">
        <v>1698884.4920899996</v>
      </c>
      <c r="F21" s="2090">
        <v>3814.3910000000001</v>
      </c>
      <c r="G21" s="2090">
        <f t="shared" si="1"/>
        <v>1930328.2970999996</v>
      </c>
      <c r="H21" s="2091">
        <f>G21/G28*100</f>
        <v>8.6261734980229657E-3</v>
      </c>
      <c r="I21" s="2090">
        <v>235258</v>
      </c>
      <c r="J21" s="2090">
        <v>1698884.4920899996</v>
      </c>
      <c r="K21" s="2090">
        <v>3814.3910000000001</v>
      </c>
      <c r="L21" s="2090">
        <f t="shared" si="0"/>
        <v>1930328.1010899995</v>
      </c>
      <c r="M21" s="2091">
        <f>L21/L28*100</f>
        <v>7.3850615179028266E-3</v>
      </c>
      <c r="N21" s="18"/>
      <c r="O21" s="22"/>
    </row>
    <row r="22" spans="1:15" ht="20.100000000000001" customHeight="1">
      <c r="A22">
        <v>16</v>
      </c>
      <c r="B22" s="2089" t="s">
        <v>190</v>
      </c>
      <c r="C22" s="2052" t="s">
        <v>109</v>
      </c>
      <c r="D22" s="2090">
        <v>213718</v>
      </c>
      <c r="E22" s="2090">
        <v>1091219</v>
      </c>
      <c r="F22" s="2090">
        <v>0</v>
      </c>
      <c r="G22" s="2090">
        <f t="shared" si="1"/>
        <v>1304937</v>
      </c>
      <c r="H22" s="2091">
        <f>G22/G28*100</f>
        <v>5.8314500092553172E-3</v>
      </c>
      <c r="I22" s="2090">
        <v>279450</v>
      </c>
      <c r="J22" s="2090">
        <v>1248344.8790099998</v>
      </c>
      <c r="K22" s="2090">
        <v>0</v>
      </c>
      <c r="L22" s="2090">
        <f t="shared" si="0"/>
        <v>1527794.8790099998</v>
      </c>
      <c r="M22" s="2091">
        <f>L22/L28*100</f>
        <v>5.8450473584540658E-3</v>
      </c>
    </row>
    <row r="23" spans="1:15" ht="20.100000000000001" customHeight="1">
      <c r="A23">
        <v>17</v>
      </c>
      <c r="B23" s="2089" t="s">
        <v>191</v>
      </c>
      <c r="C23" s="2052" t="s">
        <v>111</v>
      </c>
      <c r="D23" s="2090">
        <v>0</v>
      </c>
      <c r="E23" s="2090">
        <v>928425.29215393949</v>
      </c>
      <c r="F23" s="2090">
        <v>0</v>
      </c>
      <c r="G23" s="2090">
        <f t="shared" si="1"/>
        <v>928425.29215393949</v>
      </c>
      <c r="H23" s="2091">
        <f>G23/G28*100</f>
        <v>4.1489096243910329E-3</v>
      </c>
      <c r="I23" s="2090">
        <v>0</v>
      </c>
      <c r="J23" s="2090">
        <v>929205.62006575894</v>
      </c>
      <c r="K23" s="2090">
        <v>0</v>
      </c>
      <c r="L23" s="2090">
        <f t="shared" si="0"/>
        <v>929205.62006575894</v>
      </c>
      <c r="M23" s="2091">
        <f>L23/L28*100</f>
        <v>3.5549607670798374E-3</v>
      </c>
    </row>
    <row r="24" spans="1:15" ht="20.100000000000001" customHeight="1">
      <c r="A24">
        <v>18</v>
      </c>
      <c r="B24" s="2089" t="s">
        <v>192</v>
      </c>
      <c r="C24" s="2052" t="s">
        <v>112</v>
      </c>
      <c r="D24" s="2090">
        <v>0</v>
      </c>
      <c r="E24" s="2090">
        <v>3163419</v>
      </c>
      <c r="F24" s="2090">
        <v>0</v>
      </c>
      <c r="G24" s="2090">
        <f t="shared" si="1"/>
        <v>3163419</v>
      </c>
      <c r="H24" s="2091">
        <f>G24/G28*100</f>
        <v>1.4136559662902075E-2</v>
      </c>
      <c r="I24" s="2090">
        <v>0</v>
      </c>
      <c r="J24" s="2090">
        <v>3853668.7748255096</v>
      </c>
      <c r="K24" s="2090">
        <v>0</v>
      </c>
      <c r="L24" s="2090">
        <f t="shared" si="0"/>
        <v>3853668.7748255096</v>
      </c>
      <c r="M24" s="2091">
        <f>L24/L28*100</f>
        <v>1.4743390491822253E-2</v>
      </c>
    </row>
    <row r="25" spans="1:15" ht="20.100000000000001" customHeight="1">
      <c r="A25">
        <v>19</v>
      </c>
      <c r="B25" s="2089" t="s">
        <v>193</v>
      </c>
      <c r="C25" s="2052" t="s">
        <v>134</v>
      </c>
      <c r="D25" s="2090">
        <v>475235</v>
      </c>
      <c r="E25" s="2090">
        <v>483343</v>
      </c>
      <c r="F25" s="2090">
        <v>0</v>
      </c>
      <c r="G25" s="2090">
        <f t="shared" si="1"/>
        <v>958578</v>
      </c>
      <c r="H25" s="2091">
        <f>G25/G28*100</f>
        <v>4.2836548331237016E-3</v>
      </c>
      <c r="I25" s="2090">
        <v>709052</v>
      </c>
      <c r="J25" s="2090">
        <v>481345</v>
      </c>
      <c r="K25" s="2090">
        <v>0</v>
      </c>
      <c r="L25" s="2090">
        <f t="shared" si="0"/>
        <v>1190397</v>
      </c>
      <c r="M25" s="2091">
        <f>L25/L28*100</f>
        <v>4.5542284085088253E-3</v>
      </c>
      <c r="O25" s="17"/>
    </row>
    <row r="26" spans="1:15" ht="20.100000000000001" customHeight="1">
      <c r="A26">
        <v>20</v>
      </c>
      <c r="B26" s="2089" t="s">
        <v>194</v>
      </c>
      <c r="C26" s="2052" t="s">
        <v>115</v>
      </c>
      <c r="D26" s="2090">
        <v>82583945.305500016</v>
      </c>
      <c r="E26" s="2090">
        <v>49798431.409699976</v>
      </c>
      <c r="F26" s="2090">
        <v>282157</v>
      </c>
      <c r="G26" s="2090">
        <f t="shared" si="1"/>
        <v>132100219.71519999</v>
      </c>
      <c r="H26" s="2091">
        <f>G26/G28*100</f>
        <v>0.59032415164933816</v>
      </c>
      <c r="I26" s="2090">
        <v>85872885.3125</v>
      </c>
      <c r="J26" s="2090">
        <v>57032597.35489998</v>
      </c>
      <c r="K26" s="2090">
        <v>0</v>
      </c>
      <c r="L26" s="2090">
        <f t="shared" si="0"/>
        <v>142905482.66739997</v>
      </c>
      <c r="M26" s="2091">
        <f>L26/L28*100</f>
        <v>0.54672870386563344</v>
      </c>
    </row>
    <row r="27" spans="1:15" ht="20.100000000000001" customHeight="1">
      <c r="A27">
        <v>21</v>
      </c>
      <c r="B27" s="2089" t="s">
        <v>195</v>
      </c>
      <c r="C27" s="2052" t="s">
        <v>135</v>
      </c>
      <c r="D27" s="2093">
        <v>19470171.755439997</v>
      </c>
      <c r="E27" s="2093">
        <v>7106666.9566799989</v>
      </c>
      <c r="F27" s="2090">
        <v>839915</v>
      </c>
      <c r="G27" s="2090">
        <f t="shared" si="1"/>
        <v>25736923.712119997</v>
      </c>
      <c r="H27" s="2091">
        <f>G27/G28*100</f>
        <v>0.11501213010225439</v>
      </c>
      <c r="I27" s="2090">
        <v>22967532.090350006</v>
      </c>
      <c r="J27" s="2090">
        <v>7743332.6034599999</v>
      </c>
      <c r="K27" s="2090">
        <v>649778.12127000024</v>
      </c>
      <c r="L27" s="2090">
        <f t="shared" si="0"/>
        <v>30061086.572540004</v>
      </c>
      <c r="M27" s="2091">
        <f>L27/L28*100</f>
        <v>0.11500789607106272</v>
      </c>
    </row>
    <row r="28" spans="1:15" s="15" customFormat="1" ht="24.75" customHeight="1">
      <c r="B28" s="2094" t="s">
        <v>158</v>
      </c>
      <c r="C28" s="2095" t="s">
        <v>158</v>
      </c>
      <c r="D28" s="2096">
        <f>SUM(D7:D27)</f>
        <v>10896672721.711075</v>
      </c>
      <c r="E28" s="2096">
        <f>SUM(E7:E27)</f>
        <v>11488966425.314856</v>
      </c>
      <c r="F28" s="2096">
        <f>SUM(F7:F27)</f>
        <v>8065851.7239999995</v>
      </c>
      <c r="G28" s="2090">
        <f>D28+E28-F28</f>
        <v>22377573295.301933</v>
      </c>
      <c r="H28" s="2091">
        <f>G28/G28*100</f>
        <v>100</v>
      </c>
      <c r="I28" s="2096">
        <f>SUM(I7:I27)</f>
        <v>13264037622.661135</v>
      </c>
      <c r="J28" s="2096">
        <f>SUM(J7:J27)</f>
        <v>12881456808.768118</v>
      </c>
      <c r="K28" s="2096">
        <f>SUM(K7:K27)</f>
        <v>7213844.1855499996</v>
      </c>
      <c r="L28" s="2090">
        <f t="shared" si="0"/>
        <v>26138280587.243702</v>
      </c>
      <c r="M28" s="2091">
        <f>L28/L28*100</f>
        <v>100</v>
      </c>
      <c r="N28" s="187"/>
      <c r="O28" s="188"/>
    </row>
    <row r="29" spans="1:15">
      <c r="B29" s="4"/>
      <c r="C29" s="4"/>
      <c r="D29" s="151"/>
      <c r="E29" s="99"/>
      <c r="G29" s="4"/>
      <c r="H29" s="4"/>
      <c r="I29" s="151"/>
      <c r="J29" s="151"/>
      <c r="K29" s="5"/>
      <c r="L29" s="5"/>
      <c r="M29" s="4"/>
      <c r="O29" s="19"/>
    </row>
    <row r="30" spans="1:15">
      <c r="D30" t="s">
        <v>196</v>
      </c>
      <c r="H30" s="16"/>
      <c r="I30" s="16"/>
      <c r="J30" s="16"/>
      <c r="K30" s="16"/>
      <c r="N30" s="111"/>
      <c r="O30"/>
    </row>
    <row r="31" spans="1:15">
      <c r="O31"/>
    </row>
    <row r="32" spans="1:15">
      <c r="O32"/>
    </row>
    <row r="33" spans="1:15">
      <c r="O33"/>
    </row>
    <row r="34" spans="1:15">
      <c r="O34"/>
    </row>
    <row r="35" spans="1:15">
      <c r="O35"/>
    </row>
    <row r="36" spans="1:15">
      <c r="O36"/>
    </row>
    <row r="37" spans="1:15">
      <c r="O37"/>
    </row>
    <row r="38" spans="1:15">
      <c r="O38"/>
    </row>
    <row r="39" spans="1:15">
      <c r="O39"/>
    </row>
    <row r="40" spans="1:15">
      <c r="O40"/>
    </row>
    <row r="41" spans="1:15">
      <c r="O41"/>
    </row>
    <row r="42" spans="1:15">
      <c r="O42"/>
    </row>
    <row r="43" spans="1:15">
      <c r="A43" s="111"/>
      <c r="O43"/>
    </row>
    <row r="44" spans="1:15">
      <c r="A44" s="111"/>
      <c r="O44"/>
    </row>
    <row r="45" spans="1:15">
      <c r="A45" s="111"/>
      <c r="O45"/>
    </row>
    <row r="46" spans="1:15">
      <c r="A46" s="111"/>
      <c r="O46"/>
    </row>
    <row r="47" spans="1:15">
      <c r="A47" s="111"/>
      <c r="O47"/>
    </row>
    <row r="48" spans="1:15">
      <c r="A48" s="111"/>
      <c r="O48"/>
    </row>
    <row r="49" spans="1:15">
      <c r="A49" s="111"/>
      <c r="O49"/>
    </row>
    <row r="50" spans="1:15">
      <c r="A50" s="111"/>
      <c r="O50"/>
    </row>
    <row r="51" spans="1:15">
      <c r="A51" s="111"/>
      <c r="O51"/>
    </row>
    <row r="52" spans="1:15">
      <c r="B52" s="111"/>
      <c r="O52"/>
    </row>
    <row r="53" spans="1:15">
      <c r="B53" s="111"/>
      <c r="O53"/>
    </row>
    <row r="54" spans="1:15">
      <c r="B54" s="111"/>
      <c r="O54"/>
    </row>
    <row r="55" spans="1:15">
      <c r="B55" s="111"/>
      <c r="O55"/>
    </row>
    <row r="56" spans="1:15">
      <c r="B56" s="111"/>
      <c r="O56"/>
    </row>
    <row r="57" spans="1:15">
      <c r="B57" s="111"/>
      <c r="O57"/>
    </row>
    <row r="58" spans="1:15">
      <c r="B58" s="111"/>
      <c r="O58"/>
    </row>
    <row r="59" spans="1:15" ht="28.5" customHeight="1">
      <c r="B59" s="111"/>
      <c r="O59"/>
    </row>
    <row r="60" spans="1:15" ht="51.75" customHeight="1">
      <c r="B60" s="111"/>
      <c r="O60"/>
    </row>
    <row r="61" spans="1:15">
      <c r="B61" s="111"/>
      <c r="O61"/>
    </row>
    <row r="62" spans="1:15">
      <c r="B62" s="111"/>
      <c r="O62"/>
    </row>
    <row r="63" spans="1:15">
      <c r="B63" s="111"/>
      <c r="O63"/>
    </row>
    <row r="64" spans="1:15">
      <c r="B64" s="111"/>
      <c r="O64"/>
    </row>
    <row r="65" spans="2:15">
      <c r="B65" s="111"/>
      <c r="O65"/>
    </row>
  </sheetData>
  <customSheetViews>
    <customSheetView guid="{5E394B0B-7867-4722-9497-A93AB2A9A773}" showPageBreaks="1" printArea="1" hiddenColumns="1" state="hidden" topLeftCell="A25">
      <selection activeCell="D30" sqref="D30:J30"/>
      <colBreaks count="1" manualBreakCount="1">
        <brk id="13" max="1048575" man="1"/>
      </colBreaks>
      <pageMargins left="0" right="0" top="0" bottom="0" header="0" footer="0"/>
      <pageSetup scale="90" orientation="landscape" r:id="rId1"/>
    </customSheetView>
    <customSheetView guid="{B1E1B596-A9A1-411D-A882-A48CB025B978}" showPageBreaks="1" printArea="1" hiddenColumns="1" state="hidden" topLeftCell="A25">
      <selection activeCell="D30" sqref="D30:J30"/>
      <colBreaks count="1" manualBreakCount="1">
        <brk id="13" max="1048575" man="1"/>
      </colBreaks>
      <pageMargins left="0" right="0" top="0" bottom="0" header="0" footer="0"/>
      <pageSetup scale="90" orientation="landscape" r:id="rId2"/>
    </customSheetView>
    <customSheetView guid="{E82B35BE-4719-4C53-A9EF-1CC6F153A6F3}" showPageBreaks="1" printArea="1" hiddenColumns="1" topLeftCell="A13">
      <selection activeCell="D30" sqref="D30"/>
      <colBreaks count="1" manualBreakCount="1">
        <brk id="13" max="1048575" man="1"/>
      </colBreaks>
      <pageMargins left="0" right="0" top="0" bottom="0" header="0" footer="0"/>
      <pageSetup scale="90" orientation="landscape" r:id="rId3"/>
    </customSheetView>
    <customSheetView guid="{46F31544-8E6F-41C5-8628-1D6EE074AF15}" hiddenColumns="1" state="hidden" topLeftCell="A25">
      <selection activeCell="D30" sqref="D30:J30"/>
      <colBreaks count="1" manualBreakCount="1">
        <brk id="13" max="1048575" man="1"/>
      </colBreaks>
      <pageMargins left="0" right="0" top="0" bottom="0" header="0" footer="0"/>
      <pageSetup scale="90" orientation="landscape" r:id="rId4"/>
    </customSheetView>
    <customSheetView guid="{B2E1A0C6-5BA1-4CF1-B412-16D81FCDF11F}" showPageBreaks="1" printArea="1" hiddenColumns="1" state="hidden" topLeftCell="A25">
      <selection activeCell="D30" sqref="D30:J30"/>
      <colBreaks count="1" manualBreakCount="1">
        <brk id="13" max="1048575" man="1"/>
      </colBreaks>
      <pageMargins left="0" right="0" top="0" bottom="0" header="0" footer="0"/>
      <pageSetup scale="90" orientation="landscape" r:id="rId5"/>
    </customSheetView>
    <customSheetView guid="{967E0446-E234-427F-8E57-7FE287052E2E}" showPageBreaks="1" printArea="1" hiddenColumns="1" state="hidden" topLeftCell="A25">
      <selection activeCell="D30" sqref="D30:J30"/>
      <colBreaks count="1" manualBreakCount="1">
        <brk id="13" max="1048575" man="1"/>
      </colBreaks>
      <pageMargins left="0" right="0" top="0" bottom="0" header="0" footer="0"/>
      <pageSetup scale="90" orientation="landscape" r:id="rId6"/>
    </customSheetView>
    <customSheetView guid="{2ACFE167-4169-43A6-9AB2-59D5A2DA2DB4}" showPageBreaks="1" printArea="1" hiddenColumns="1" state="hidden" topLeftCell="A25">
      <selection activeCell="D30" sqref="D30:J30"/>
      <colBreaks count="1" manualBreakCount="1">
        <brk id="13" max="1048575" man="1"/>
      </colBreaks>
      <pageMargins left="0" right="0" top="0" bottom="0" header="0" footer="0"/>
      <pageSetup scale="90" orientation="landscape" r:id="rId7"/>
    </customSheetView>
  </customSheetViews>
  <mergeCells count="5">
    <mergeCell ref="C4:M4"/>
    <mergeCell ref="D5:H5"/>
    <mergeCell ref="B5:B6"/>
    <mergeCell ref="I5:M5"/>
    <mergeCell ref="C5:C6"/>
  </mergeCells>
  <pageMargins left="0.31" right="0.2" top="0.65" bottom="0.75" header="0.3" footer="0.3"/>
  <pageSetup scale="90" orientation="landscape" r:id="rId8"/>
  <colBreaks count="1" manualBreakCount="1">
    <brk id="13" max="1048575" man="1"/>
  </col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B2:AB71"/>
  <sheetViews>
    <sheetView showGridLines="0" view="pageBreakPreview" zoomScale="70" zoomScaleNormal="100" zoomScaleSheetLayoutView="70" workbookViewId="0">
      <pane xSplit="2" ySplit="8" topLeftCell="C21" activePane="bottomRight" state="frozen"/>
      <selection pane="topRight" activeCell="C1" sqref="C1"/>
      <selection pane="bottomLeft" activeCell="A9" sqref="A9"/>
      <selection pane="bottomRight" activeCell="L13" sqref="L13"/>
    </sheetView>
  </sheetViews>
  <sheetFormatPr defaultColWidth="9.140625" defaultRowHeight="12.75"/>
  <cols>
    <col min="1" max="1" width="3.7109375" style="2" customWidth="1"/>
    <col min="2" max="2" width="18.85546875" style="2" customWidth="1"/>
    <col min="3" max="3" width="16.85546875" style="2" customWidth="1"/>
    <col min="4" max="4" width="13.140625" style="2" customWidth="1"/>
    <col min="5" max="5" width="15.7109375" style="2" customWidth="1"/>
    <col min="6" max="6" width="15.42578125" style="2" customWidth="1"/>
    <col min="7" max="7" width="16" style="2" bestFit="1" customWidth="1"/>
    <col min="8" max="8" width="16.7109375" style="2" customWidth="1"/>
    <col min="9" max="9" width="14.140625" style="2" bestFit="1" customWidth="1"/>
    <col min="10" max="10" width="11.85546875" style="2" bestFit="1" customWidth="1"/>
    <col min="11" max="11" width="4" style="2" customWidth="1"/>
    <col min="12" max="12" width="13.28515625" style="2" bestFit="1" customWidth="1"/>
    <col min="13" max="13" width="13.85546875" style="2" customWidth="1"/>
    <col min="14" max="14" width="17" style="2" customWidth="1"/>
    <col min="15" max="15" width="13.42578125" style="2" customWidth="1"/>
    <col min="16" max="16" width="15.5703125" style="2" customWidth="1"/>
    <col min="17" max="17" width="13.42578125" style="2" customWidth="1"/>
    <col min="18" max="18" width="18" style="2" customWidth="1"/>
    <col min="19" max="20" width="13.42578125" style="2" customWidth="1"/>
    <col min="21" max="21" width="12.42578125" style="2" bestFit="1" customWidth="1"/>
    <col min="22" max="22" width="9.140625" style="2"/>
    <col min="23" max="23" width="13.5703125" style="2" customWidth="1"/>
    <col min="24" max="24" width="12.5703125" style="2" customWidth="1"/>
    <col min="25" max="25" width="11.7109375" style="2" customWidth="1"/>
    <col min="26" max="26" width="12.7109375" style="2" customWidth="1"/>
    <col min="27" max="27" width="13.140625" style="2" customWidth="1"/>
    <col min="28" max="28" width="12.5703125" style="2" customWidth="1"/>
    <col min="29" max="16384" width="9.140625" style="2"/>
  </cols>
  <sheetData>
    <row r="2" spans="2:27">
      <c r="B2" s="772" t="s">
        <v>197</v>
      </c>
    </row>
    <row r="3" spans="2:27">
      <c r="B3" s="1"/>
    </row>
    <row r="4" spans="2:27" ht="15" customHeight="1">
      <c r="B4" s="3420" t="s">
        <v>83</v>
      </c>
      <c r="C4" s="3471" t="s">
        <v>137</v>
      </c>
      <c r="D4" s="3469"/>
      <c r="E4" s="3467" t="s">
        <v>84</v>
      </c>
      <c r="F4" s="3468"/>
      <c r="G4" s="3468"/>
      <c r="H4" s="3468"/>
      <c r="I4" s="3468"/>
      <c r="J4" s="3469"/>
    </row>
    <row r="5" spans="2:27" ht="33" customHeight="1">
      <c r="B5" s="3485"/>
      <c r="C5" s="3488" t="s">
        <v>198</v>
      </c>
      <c r="D5" s="3486" t="s">
        <v>157</v>
      </c>
      <c r="E5" s="3490" t="s">
        <v>199</v>
      </c>
      <c r="F5" s="3491" t="s">
        <v>200</v>
      </c>
      <c r="G5" s="3490" t="s">
        <v>201</v>
      </c>
      <c r="H5" s="3491" t="s">
        <v>202</v>
      </c>
      <c r="I5" s="3490" t="s">
        <v>198</v>
      </c>
      <c r="J5" s="3486" t="s">
        <v>157</v>
      </c>
    </row>
    <row r="6" spans="2:27">
      <c r="B6" s="3485"/>
      <c r="C6" s="3488"/>
      <c r="D6" s="3487"/>
      <c r="E6" s="3490"/>
      <c r="F6" s="3492"/>
      <c r="G6" s="3490"/>
      <c r="H6" s="3492"/>
      <c r="I6" s="3490"/>
      <c r="J6" s="3487"/>
    </row>
    <row r="7" spans="2:27">
      <c r="B7" s="3485"/>
      <c r="C7" s="3489"/>
      <c r="D7" s="3487"/>
      <c r="E7" s="3491"/>
      <c r="F7" s="3492"/>
      <c r="G7" s="3491"/>
      <c r="H7" s="3492"/>
      <c r="I7" s="3491"/>
      <c r="J7" s="3487"/>
    </row>
    <row r="8" spans="2:27" ht="14.25" customHeight="1">
      <c r="B8" s="3421"/>
      <c r="C8" s="2098" t="s">
        <v>140</v>
      </c>
      <c r="D8" s="3487"/>
      <c r="E8" s="2099" t="s">
        <v>140</v>
      </c>
      <c r="F8" s="2097" t="s">
        <v>140</v>
      </c>
      <c r="G8" s="2097" t="s">
        <v>140</v>
      </c>
      <c r="H8" s="2097" t="s">
        <v>140</v>
      </c>
      <c r="I8" s="2098" t="s">
        <v>140</v>
      </c>
      <c r="J8" s="3493"/>
    </row>
    <row r="9" spans="2:27" ht="17.25" customHeight="1">
      <c r="B9" s="1732" t="s">
        <v>91</v>
      </c>
      <c r="C9" s="2100">
        <v>20579684</v>
      </c>
      <c r="D9" s="2101">
        <f>C9/C36*100</f>
        <v>8.6844771824159359</v>
      </c>
      <c r="E9" s="2102">
        <v>511922</v>
      </c>
      <c r="F9" s="2102">
        <v>6080848</v>
      </c>
      <c r="G9" s="2103">
        <v>13156326</v>
      </c>
      <c r="H9" s="2104">
        <f>F9+G9</f>
        <v>19237174</v>
      </c>
      <c r="I9" s="2105">
        <f>E9+H9</f>
        <v>19749096</v>
      </c>
      <c r="J9" s="2106">
        <f>I9/$I$36*100</f>
        <v>7.6145483982665754</v>
      </c>
      <c r="K9" s="655"/>
      <c r="L9" s="640"/>
      <c r="M9" s="906"/>
      <c r="N9" s="907"/>
      <c r="O9" s="908"/>
      <c r="P9" s="907"/>
      <c r="Q9" s="909"/>
      <c r="S9" s="908"/>
      <c r="U9" s="240"/>
      <c r="V9" s="240"/>
      <c r="W9" s="240"/>
      <c r="X9" s="240"/>
      <c r="Y9" s="240"/>
      <c r="Z9" s="240"/>
      <c r="AA9" s="240"/>
    </row>
    <row r="10" spans="2:27" ht="17.25" customHeight="1">
      <c r="B10" s="2107" t="s">
        <v>92</v>
      </c>
      <c r="C10" s="2100">
        <v>11559232</v>
      </c>
      <c r="D10" s="2101">
        <f>C10/C36*100</f>
        <v>4.8779119519158858</v>
      </c>
      <c r="E10" s="2108">
        <v>8619972</v>
      </c>
      <c r="F10" s="1989"/>
      <c r="G10" s="2109">
        <v>3714848</v>
      </c>
      <c r="H10" s="2104">
        <f t="shared" ref="H10:H36" si="0">F10+G10</f>
        <v>3714848</v>
      </c>
      <c r="I10" s="2105">
        <f t="shared" ref="I10:I16" si="1">E10+H10</f>
        <v>12334820</v>
      </c>
      <c r="J10" s="2106">
        <f>I10/$I$36*100</f>
        <v>4.755867502690073</v>
      </c>
      <c r="K10" s="640"/>
      <c r="L10" s="640"/>
      <c r="M10" s="906"/>
      <c r="N10" s="907"/>
      <c r="O10" s="908"/>
      <c r="P10" s="907"/>
      <c r="Q10" s="909"/>
      <c r="S10" s="908"/>
      <c r="U10" s="240"/>
      <c r="V10" s="240"/>
      <c r="W10" s="240"/>
      <c r="X10" s="240"/>
      <c r="Y10" s="240"/>
      <c r="Z10" s="240"/>
      <c r="AA10" s="240"/>
    </row>
    <row r="11" spans="2:27" ht="17.25" customHeight="1">
      <c r="B11" s="2107" t="s">
        <v>93</v>
      </c>
      <c r="C11" s="2100">
        <v>2079140</v>
      </c>
      <c r="D11" s="2101">
        <f>C11/C36*100</f>
        <v>0.87738197967705767</v>
      </c>
      <c r="E11" s="2102">
        <v>739624</v>
      </c>
      <c r="F11" s="1989"/>
      <c r="G11" s="2110">
        <v>584901</v>
      </c>
      <c r="H11" s="2104">
        <f t="shared" si="0"/>
        <v>584901</v>
      </c>
      <c r="I11" s="2105">
        <f t="shared" si="1"/>
        <v>1324525</v>
      </c>
      <c r="J11" s="2106">
        <f t="shared" ref="J11:J36" si="2">I11/$I$36*100</f>
        <v>0.5106896901617185</v>
      </c>
      <c r="K11" s="640"/>
      <c r="L11" s="640"/>
      <c r="M11" s="906"/>
      <c r="N11" s="907"/>
      <c r="O11" s="908"/>
      <c r="P11" s="907"/>
      <c r="Q11" s="909"/>
      <c r="S11" s="908"/>
      <c r="U11" s="240"/>
      <c r="V11" s="240"/>
      <c r="W11" s="240"/>
      <c r="X11" s="240"/>
      <c r="Y11" s="240"/>
      <c r="Z11" s="240"/>
      <c r="AA11" s="240"/>
    </row>
    <row r="12" spans="2:27" ht="17.25" customHeight="1">
      <c r="B12" s="2107" t="s">
        <v>95</v>
      </c>
      <c r="C12" s="2100">
        <v>1505015</v>
      </c>
      <c r="D12" s="2101">
        <f>C12/C36*100</f>
        <v>0.63510539941690647</v>
      </c>
      <c r="E12" s="2108">
        <v>1860001</v>
      </c>
      <c r="F12" s="1989"/>
      <c r="G12" s="2109">
        <v>-308625</v>
      </c>
      <c r="H12" s="2104">
        <f>F12+G12</f>
        <v>-308625</v>
      </c>
      <c r="I12" s="2105">
        <f t="shared" si="1"/>
        <v>1551376</v>
      </c>
      <c r="J12" s="2106">
        <f t="shared" si="2"/>
        <v>0.59815536042303941</v>
      </c>
      <c r="K12" s="640"/>
      <c r="L12" s="640"/>
      <c r="M12" s="906"/>
      <c r="N12" s="909"/>
      <c r="O12" s="908"/>
      <c r="P12" s="907"/>
      <c r="Q12" s="909"/>
      <c r="R12" s="909"/>
      <c r="S12" s="908"/>
      <c r="T12" s="909"/>
      <c r="U12" s="240"/>
      <c r="V12" s="240"/>
      <c r="W12" s="240"/>
      <c r="X12" s="240"/>
      <c r="Y12" s="240"/>
      <c r="Z12" s="240"/>
      <c r="AA12" s="240"/>
    </row>
    <row r="13" spans="2:27" ht="17.25" customHeight="1">
      <c r="B13" s="2111" t="s">
        <v>94</v>
      </c>
      <c r="C13" s="2100">
        <v>459612</v>
      </c>
      <c r="D13" s="2101">
        <f>C13/C36*100</f>
        <v>0.19395292594213562</v>
      </c>
      <c r="E13" s="2102">
        <v>500000</v>
      </c>
      <c r="F13" s="1989"/>
      <c r="G13" s="2110">
        <v>-26546</v>
      </c>
      <c r="H13" s="2104">
        <f t="shared" si="0"/>
        <v>-26546</v>
      </c>
      <c r="I13" s="2105">
        <f t="shared" si="1"/>
        <v>473454</v>
      </c>
      <c r="J13" s="2106">
        <f>I13/$I$36*100</f>
        <v>0.18254700859993303</v>
      </c>
      <c r="K13" s="640"/>
      <c r="L13" s="640"/>
      <c r="M13" s="906"/>
      <c r="N13" s="909"/>
      <c r="O13" s="908"/>
      <c r="P13" s="907"/>
      <c r="Q13" s="909"/>
      <c r="R13" s="909"/>
      <c r="S13" s="908"/>
      <c r="T13" s="909"/>
      <c r="U13" s="240"/>
      <c r="V13" s="240"/>
      <c r="W13" s="240"/>
      <c r="X13" s="240"/>
      <c r="Y13" s="240"/>
      <c r="Z13" s="240"/>
      <c r="AA13" s="240"/>
    </row>
    <row r="14" spans="2:27" ht="17.25" customHeight="1">
      <c r="B14" s="2107" t="s">
        <v>96</v>
      </c>
      <c r="C14" s="2100">
        <v>1860809</v>
      </c>
      <c r="D14" s="2101">
        <f>C14/C36*100</f>
        <v>0.78524788336566365</v>
      </c>
      <c r="E14" s="2102">
        <v>675565</v>
      </c>
      <c r="F14" s="1989"/>
      <c r="G14" s="2110">
        <v>1395580</v>
      </c>
      <c r="H14" s="2104">
        <f t="shared" si="0"/>
        <v>1395580</v>
      </c>
      <c r="I14" s="2105">
        <f>E14+H14</f>
        <v>2071145</v>
      </c>
      <c r="J14" s="2106">
        <f t="shared" si="2"/>
        <v>0.79855978432267616</v>
      </c>
      <c r="K14" s="640"/>
      <c r="L14" s="640"/>
      <c r="M14" s="906"/>
      <c r="N14" s="909"/>
      <c r="O14" s="908"/>
      <c r="P14" s="907"/>
      <c r="Q14" s="909"/>
      <c r="R14" s="909"/>
      <c r="S14" s="908"/>
      <c r="T14" s="909"/>
      <c r="U14" s="240"/>
      <c r="V14" s="240"/>
      <c r="W14" s="240"/>
      <c r="X14" s="240"/>
      <c r="Y14" s="240"/>
      <c r="Z14" s="240"/>
      <c r="AA14" s="240"/>
    </row>
    <row r="15" spans="2:27" ht="17.25" customHeight="1">
      <c r="B15" s="2052" t="s">
        <v>98</v>
      </c>
      <c r="C15" s="2100">
        <v>12972646</v>
      </c>
      <c r="D15" s="2101">
        <f>C15/C36*100</f>
        <v>5.4743623946101101</v>
      </c>
      <c r="E15" s="2108">
        <v>500200</v>
      </c>
      <c r="F15" s="1989"/>
      <c r="G15" s="2109">
        <v>13967904</v>
      </c>
      <c r="H15" s="2104">
        <f t="shared" si="0"/>
        <v>13967904</v>
      </c>
      <c r="I15" s="2105">
        <f t="shared" si="1"/>
        <v>14468104</v>
      </c>
      <c r="J15" s="2106">
        <f t="shared" si="2"/>
        <v>5.5783858734169005</v>
      </c>
      <c r="K15" s="640"/>
      <c r="L15" s="640"/>
      <c r="M15" s="906"/>
      <c r="N15" s="909"/>
      <c r="O15" s="908"/>
      <c r="P15" s="907"/>
      <c r="Q15" s="909"/>
      <c r="R15" s="909"/>
      <c r="S15" s="908"/>
      <c r="T15" s="909"/>
      <c r="U15" s="240"/>
      <c r="V15" s="240"/>
      <c r="W15" s="240"/>
      <c r="X15" s="240"/>
      <c r="Y15" s="240"/>
      <c r="Z15" s="240"/>
      <c r="AA15" s="240"/>
    </row>
    <row r="16" spans="2:27" ht="17.25" customHeight="1">
      <c r="B16" s="2052" t="s">
        <v>97</v>
      </c>
      <c r="C16" s="2100">
        <v>38145036</v>
      </c>
      <c r="D16" s="2101">
        <f>C16/C36*100</f>
        <v>16.096928153242509</v>
      </c>
      <c r="E16" s="2102">
        <v>500001</v>
      </c>
      <c r="F16" s="2102">
        <v>3456184</v>
      </c>
      <c r="G16" s="2110">
        <v>40237848</v>
      </c>
      <c r="H16" s="2104">
        <f t="shared" si="0"/>
        <v>43694032</v>
      </c>
      <c r="I16" s="2105">
        <f t="shared" si="1"/>
        <v>44194033</v>
      </c>
      <c r="J16" s="2106">
        <f t="shared" si="2"/>
        <v>17.039645925721874</v>
      </c>
      <c r="K16" s="640"/>
      <c r="L16" s="640"/>
      <c r="M16" s="906"/>
      <c r="N16" s="909"/>
      <c r="O16" s="908"/>
      <c r="P16" s="907"/>
      <c r="Q16" s="909"/>
      <c r="R16" s="909"/>
      <c r="S16" s="908"/>
      <c r="T16" s="909"/>
      <c r="U16" s="240"/>
      <c r="V16" s="240"/>
      <c r="W16" s="240"/>
      <c r="X16" s="240"/>
      <c r="Y16" s="240"/>
      <c r="Z16" s="240"/>
      <c r="AA16" s="240"/>
    </row>
    <row r="17" spans="2:28" ht="17.25" customHeight="1">
      <c r="B17" s="2052" t="s">
        <v>99</v>
      </c>
      <c r="C17" s="2100">
        <v>2843804</v>
      </c>
      <c r="D17" s="2101">
        <f>C17/C36*100</f>
        <v>1.2000646340956045</v>
      </c>
      <c r="E17" s="2109">
        <v>1250000</v>
      </c>
      <c r="F17" s="1989"/>
      <c r="G17" s="2109">
        <v>2214469</v>
      </c>
      <c r="H17" s="2104">
        <f t="shared" si="0"/>
        <v>2214469</v>
      </c>
      <c r="I17" s="2105">
        <f t="shared" ref="I17:I36" si="3">E17+H17</f>
        <v>3464469</v>
      </c>
      <c r="J17" s="2106">
        <f t="shared" si="2"/>
        <v>1.3357759198088968</v>
      </c>
      <c r="K17" s="640"/>
      <c r="L17" s="640"/>
      <c r="M17" s="906"/>
      <c r="N17" s="909"/>
      <c r="O17" s="908"/>
      <c r="P17" s="907"/>
      <c r="Q17" s="909"/>
      <c r="R17" s="909"/>
      <c r="S17" s="908"/>
      <c r="T17" s="909"/>
      <c r="U17" s="240"/>
      <c r="V17" s="240"/>
      <c r="W17" s="240"/>
      <c r="X17" s="240"/>
      <c r="Y17" s="240"/>
      <c r="Z17" s="240"/>
      <c r="AA17" s="240"/>
    </row>
    <row r="18" spans="2:28" ht="17.25" customHeight="1">
      <c r="B18" s="2052" t="s">
        <v>101</v>
      </c>
      <c r="C18" s="2100">
        <v>3399461</v>
      </c>
      <c r="D18" s="2101">
        <f>C18/C36*100</f>
        <v>1.4345478524846571</v>
      </c>
      <c r="E18" s="2109">
        <v>2198316</v>
      </c>
      <c r="F18" s="1989"/>
      <c r="G18" s="2109">
        <v>2429162</v>
      </c>
      <c r="H18" s="2104">
        <f t="shared" si="0"/>
        <v>2429162</v>
      </c>
      <c r="I18" s="2105">
        <f t="shared" si="3"/>
        <v>4627478</v>
      </c>
      <c r="J18" s="2106">
        <f t="shared" si="2"/>
        <v>1.7841907899436922</v>
      </c>
      <c r="K18" s="640"/>
      <c r="L18" s="640"/>
      <c r="M18" s="906"/>
      <c r="N18" s="909"/>
      <c r="O18" s="908"/>
      <c r="P18" s="907"/>
      <c r="Q18" s="909"/>
      <c r="R18" s="909"/>
      <c r="S18" s="908"/>
      <c r="T18" s="909"/>
      <c r="U18" s="240"/>
      <c r="V18" s="240"/>
      <c r="W18" s="240"/>
      <c r="X18" s="240"/>
      <c r="Y18" s="240"/>
      <c r="Z18" s="240"/>
      <c r="AA18" s="240"/>
    </row>
    <row r="19" spans="2:28" ht="17.25" customHeight="1">
      <c r="B19" s="2052" t="s">
        <v>100</v>
      </c>
      <c r="C19" s="2100">
        <v>1077740</v>
      </c>
      <c r="D19" s="2101">
        <f>C19/C36*100</f>
        <v>0.45479845261846347</v>
      </c>
      <c r="E19" s="2102">
        <v>544260</v>
      </c>
      <c r="F19" s="1989"/>
      <c r="G19" s="2110">
        <v>420438</v>
      </c>
      <c r="H19" s="2104">
        <f t="shared" si="0"/>
        <v>420438</v>
      </c>
      <c r="I19" s="2105">
        <f t="shared" si="3"/>
        <v>964698</v>
      </c>
      <c r="J19" s="2106">
        <f t="shared" si="2"/>
        <v>0.37195320791954067</v>
      </c>
      <c r="K19" s="640"/>
      <c r="L19" s="640"/>
      <c r="M19" s="906"/>
      <c r="N19" s="909"/>
      <c r="O19" s="908"/>
      <c r="P19" s="907"/>
      <c r="Q19" s="909"/>
      <c r="R19" s="909"/>
      <c r="S19" s="908"/>
      <c r="T19" s="909"/>
      <c r="U19" s="240"/>
      <c r="V19" s="240"/>
      <c r="W19" s="240"/>
      <c r="X19" s="240"/>
      <c r="Y19" s="240"/>
      <c r="Z19" s="240"/>
      <c r="AA19" s="240"/>
    </row>
    <row r="20" spans="2:28" ht="17.25" customHeight="1">
      <c r="B20" s="2112" t="s">
        <v>102</v>
      </c>
      <c r="C20" s="2100">
        <v>6304508</v>
      </c>
      <c r="D20" s="2101">
        <f>C20/C36*100</f>
        <v>2.6604565877862227</v>
      </c>
      <c r="E20" s="2109">
        <v>3131949</v>
      </c>
      <c r="F20" s="1989"/>
      <c r="G20" s="2109">
        <v>3745463</v>
      </c>
      <c r="H20" s="2104">
        <f t="shared" si="0"/>
        <v>3745463</v>
      </c>
      <c r="I20" s="2105">
        <f t="shared" si="3"/>
        <v>6877412</v>
      </c>
      <c r="J20" s="2106">
        <f t="shared" si="2"/>
        <v>2.6516852482168969</v>
      </c>
      <c r="K20" s="640"/>
      <c r="L20" s="640"/>
      <c r="M20" s="906"/>
      <c r="N20" s="909"/>
      <c r="O20" s="908"/>
      <c r="P20" s="907"/>
      <c r="Q20" s="909"/>
      <c r="R20" s="909"/>
      <c r="S20" s="908"/>
      <c r="T20" s="909"/>
      <c r="U20" s="240"/>
      <c r="V20" s="240"/>
      <c r="W20" s="240"/>
      <c r="X20" s="240"/>
      <c r="Y20" s="240"/>
      <c r="Z20" s="240"/>
      <c r="AA20" s="240"/>
    </row>
    <row r="21" spans="2:28" ht="17.25" customHeight="1">
      <c r="B21" s="2052" t="s">
        <v>104</v>
      </c>
      <c r="C21" s="2100">
        <v>2083242</v>
      </c>
      <c r="D21" s="2101">
        <f>C21/C36*100</f>
        <v>0.87911299388516062</v>
      </c>
      <c r="E21" s="2113">
        <v>1150000</v>
      </c>
      <c r="F21" s="1989"/>
      <c r="G21" s="2109">
        <v>1090623</v>
      </c>
      <c r="H21" s="2104">
        <f>F21+G21</f>
        <v>1090623</v>
      </c>
      <c r="I21" s="2105">
        <f t="shared" si="3"/>
        <v>2240623</v>
      </c>
      <c r="J21" s="2106">
        <f t="shared" si="2"/>
        <v>0.86390446812194577</v>
      </c>
      <c r="K21" s="640"/>
      <c r="L21" s="640"/>
      <c r="M21" s="906"/>
      <c r="N21" s="909"/>
      <c r="O21" s="908"/>
      <c r="P21" s="907"/>
      <c r="Q21" s="909"/>
      <c r="R21" s="909"/>
      <c r="S21" s="908"/>
      <c r="T21" s="909"/>
      <c r="U21" s="240"/>
      <c r="V21" s="240"/>
      <c r="W21" s="240"/>
      <c r="X21" s="240"/>
      <c r="Y21" s="240"/>
      <c r="Z21" s="240"/>
      <c r="AA21" s="240"/>
    </row>
    <row r="22" spans="2:28" ht="17.25" customHeight="1">
      <c r="B22" s="2052" t="s">
        <v>103</v>
      </c>
      <c r="C22" s="2100">
        <v>7260988</v>
      </c>
      <c r="D22" s="2101">
        <f>C22/C36*100</f>
        <v>3.0640842010886038</v>
      </c>
      <c r="E22" s="2102">
        <v>1171875</v>
      </c>
      <c r="F22" s="2102">
        <v>381156</v>
      </c>
      <c r="G22" s="2110">
        <v>5479354</v>
      </c>
      <c r="H22" s="2104">
        <f t="shared" si="0"/>
        <v>5860510</v>
      </c>
      <c r="I22" s="2105">
        <f t="shared" si="3"/>
        <v>7032385</v>
      </c>
      <c r="J22" s="2106">
        <f t="shared" si="2"/>
        <v>2.7114373203585567</v>
      </c>
      <c r="K22" s="640"/>
      <c r="L22" s="640"/>
      <c r="M22" s="906"/>
      <c r="N22" s="909"/>
      <c r="O22" s="908"/>
      <c r="P22" s="907"/>
      <c r="Q22" s="909"/>
      <c r="R22" s="909"/>
      <c r="S22" s="908"/>
      <c r="T22" s="909"/>
      <c r="U22" s="240"/>
      <c r="V22" s="240"/>
      <c r="W22" s="240"/>
      <c r="X22" s="240"/>
      <c r="Y22" s="240"/>
      <c r="Z22" s="240"/>
      <c r="AA22" s="240"/>
    </row>
    <row r="23" spans="2:28" ht="17.25" customHeight="1">
      <c r="B23" s="2052" t="s">
        <v>105</v>
      </c>
      <c r="C23" s="2100">
        <v>10067150</v>
      </c>
      <c r="D23" s="2101">
        <f>C23/C36*100</f>
        <v>4.2482641845695293</v>
      </c>
      <c r="E23" s="2102">
        <f>4753752+100000</f>
        <v>4853752</v>
      </c>
      <c r="F23" s="2102">
        <v>1795829</v>
      </c>
      <c r="G23" s="2110">
        <v>3556867</v>
      </c>
      <c r="H23" s="2104">
        <f t="shared" si="0"/>
        <v>5352696</v>
      </c>
      <c r="I23" s="2105">
        <f t="shared" si="3"/>
        <v>10206448</v>
      </c>
      <c r="J23" s="2106">
        <f t="shared" si="2"/>
        <v>3.9352430243081042</v>
      </c>
      <c r="K23" s="640"/>
      <c r="L23" s="640"/>
      <c r="M23" s="906"/>
      <c r="N23" s="909"/>
      <c r="O23" s="908"/>
      <c r="P23" s="907"/>
      <c r="Q23" s="909"/>
      <c r="R23" s="909"/>
      <c r="S23" s="908"/>
      <c r="T23" s="909"/>
      <c r="U23" s="240"/>
      <c r="V23" s="240"/>
      <c r="W23" s="240"/>
      <c r="X23" s="240"/>
      <c r="Y23" s="240"/>
      <c r="Z23" s="240"/>
      <c r="AA23" s="240"/>
    </row>
    <row r="24" spans="2:28" ht="17.25" customHeight="1">
      <c r="B24" s="2052" t="s">
        <v>106</v>
      </c>
      <c r="C24" s="2100">
        <v>60841</v>
      </c>
      <c r="D24" s="2101">
        <f>C24/C36*100</f>
        <v>2.5674460125596099E-2</v>
      </c>
      <c r="E24" s="2102">
        <v>839016</v>
      </c>
      <c r="F24" s="1989"/>
      <c r="G24" s="2110">
        <v>-513860</v>
      </c>
      <c r="H24" s="2104">
        <f t="shared" si="0"/>
        <v>-513860</v>
      </c>
      <c r="I24" s="2105">
        <f t="shared" si="3"/>
        <v>325156</v>
      </c>
      <c r="J24" s="2106">
        <f t="shared" si="2"/>
        <v>0.12536857884466035</v>
      </c>
      <c r="K24" s="640"/>
      <c r="L24" s="640"/>
      <c r="M24" s="906"/>
      <c r="N24" s="909"/>
      <c r="O24" s="908"/>
      <c r="P24" s="907"/>
      <c r="Q24" s="909"/>
      <c r="R24" s="909"/>
      <c r="S24" s="908"/>
      <c r="T24" s="909"/>
      <c r="U24" s="240"/>
      <c r="V24" s="240"/>
      <c r="W24" s="240"/>
      <c r="X24" s="240"/>
      <c r="Y24" s="240"/>
      <c r="Z24" s="240"/>
      <c r="AA24" s="240"/>
    </row>
    <row r="25" spans="2:28" ht="17.25" customHeight="1">
      <c r="B25" s="2052" t="s">
        <v>108</v>
      </c>
      <c r="C25" s="2100">
        <v>3063539</v>
      </c>
      <c r="D25" s="2101">
        <f>C25/C36*100</f>
        <v>1.2927912082100645</v>
      </c>
      <c r="E25" s="2109">
        <v>800000</v>
      </c>
      <c r="F25" s="1989"/>
      <c r="G25" s="2109">
        <v>3204018</v>
      </c>
      <c r="H25" s="2104">
        <f t="shared" si="0"/>
        <v>3204018</v>
      </c>
      <c r="I25" s="2105">
        <f t="shared" si="3"/>
        <v>4004018</v>
      </c>
      <c r="J25" s="2106">
        <f t="shared" si="2"/>
        <v>1.5438068075890936</v>
      </c>
      <c r="K25" s="640"/>
      <c r="L25" s="640"/>
      <c r="M25" s="906"/>
      <c r="N25" s="909"/>
      <c r="O25" s="908"/>
      <c r="P25" s="907"/>
      <c r="Q25" s="909"/>
      <c r="R25" s="909"/>
      <c r="S25" s="908"/>
      <c r="T25" s="909"/>
      <c r="U25" s="240"/>
      <c r="V25" s="240"/>
      <c r="W25" s="240"/>
      <c r="X25" s="240"/>
      <c r="Y25" s="240"/>
      <c r="Z25" s="240"/>
      <c r="AA25" s="240"/>
    </row>
    <row r="26" spans="2:28" ht="21" customHeight="1">
      <c r="B26" s="2052" t="s">
        <v>107</v>
      </c>
      <c r="C26" s="2100">
        <v>1797256</v>
      </c>
      <c r="D26" s="2101">
        <f>C26/C36*100</f>
        <v>0.75842897893670935</v>
      </c>
      <c r="E26" s="2022">
        <v>1350000</v>
      </c>
      <c r="F26" s="2022">
        <v>256134</v>
      </c>
      <c r="G26" s="2114">
        <v>795682</v>
      </c>
      <c r="H26" s="2104">
        <f t="shared" si="0"/>
        <v>1051816</v>
      </c>
      <c r="I26" s="2105">
        <f t="shared" si="3"/>
        <v>2401816</v>
      </c>
      <c r="J26" s="2106">
        <f t="shared" si="2"/>
        <v>0.92605475084687572</v>
      </c>
      <c r="K26" s="640"/>
      <c r="L26" s="640"/>
      <c r="M26" s="906"/>
      <c r="N26" s="909"/>
      <c r="O26" s="908"/>
      <c r="P26" s="907"/>
      <c r="Q26" s="909"/>
      <c r="R26" s="909"/>
      <c r="S26" s="908"/>
      <c r="T26" s="909"/>
      <c r="U26" s="240"/>
      <c r="V26" s="240"/>
      <c r="W26" s="240"/>
      <c r="X26" s="240"/>
      <c r="Y26" s="240"/>
      <c r="Z26" s="910"/>
      <c r="AA26" s="910"/>
    </row>
    <row r="27" spans="2:28" ht="17.25" customHeight="1">
      <c r="B27" s="2052" t="s">
        <v>109</v>
      </c>
      <c r="C27" s="2100">
        <v>1029668</v>
      </c>
      <c r="D27" s="2101">
        <f>C27/C36*100</f>
        <v>0.43451241775451221</v>
      </c>
      <c r="E27" s="2109">
        <v>2280022</v>
      </c>
      <c r="F27" s="1989"/>
      <c r="G27" s="2115">
        <v>-1313041</v>
      </c>
      <c r="H27" s="2104">
        <f t="shared" si="0"/>
        <v>-1313041</v>
      </c>
      <c r="I27" s="2105">
        <f t="shared" si="3"/>
        <v>966981</v>
      </c>
      <c r="J27" s="2106">
        <f t="shared" si="2"/>
        <v>0.37283345145034541</v>
      </c>
      <c r="K27" s="696"/>
      <c r="L27" s="640"/>
      <c r="M27" s="906"/>
      <c r="N27" s="909"/>
      <c r="O27" s="908"/>
      <c r="P27" s="907"/>
      <c r="Q27" s="909"/>
      <c r="R27" s="909"/>
      <c r="S27" s="908"/>
      <c r="T27" s="909"/>
      <c r="U27" s="240"/>
      <c r="V27" s="240"/>
      <c r="W27" s="696"/>
      <c r="X27" s="696"/>
      <c r="Y27" s="696"/>
      <c r="Z27" s="696"/>
      <c r="AB27" s="640"/>
    </row>
    <row r="28" spans="2:28" ht="17.25" customHeight="1">
      <c r="B28" s="2052" t="s">
        <v>110</v>
      </c>
      <c r="C28" s="2100">
        <v>13087460</v>
      </c>
      <c r="D28" s="2101">
        <v>5.5228131058808669</v>
      </c>
      <c r="E28" s="1989"/>
      <c r="F28" s="1989"/>
      <c r="G28" s="2116">
        <v>14751327</v>
      </c>
      <c r="H28" s="2104">
        <f t="shared" si="0"/>
        <v>14751327</v>
      </c>
      <c r="I28" s="2105">
        <f t="shared" si="3"/>
        <v>14751327</v>
      </c>
      <c r="J28" s="2106">
        <f t="shared" si="2"/>
        <v>5.6875865801734156</v>
      </c>
      <c r="K28" s="640"/>
      <c r="L28" s="640"/>
      <c r="M28" s="906"/>
      <c r="N28" s="909"/>
      <c r="O28" s="908"/>
      <c r="P28" s="907"/>
      <c r="Q28" s="909"/>
      <c r="R28" s="909"/>
      <c r="S28" s="908"/>
      <c r="T28" s="909"/>
      <c r="U28" s="240"/>
      <c r="V28" s="240"/>
      <c r="W28" s="240"/>
      <c r="X28" s="240"/>
      <c r="Y28" s="240"/>
      <c r="Z28" s="240"/>
    </row>
    <row r="29" spans="2:28" ht="17.25" customHeight="1">
      <c r="B29" s="2052" t="s">
        <v>111</v>
      </c>
      <c r="C29" s="2100">
        <v>1016320</v>
      </c>
      <c r="D29" s="2101">
        <f>C29/C36*100</f>
        <v>0.4288796586980132</v>
      </c>
      <c r="E29" s="2108">
        <v>825000</v>
      </c>
      <c r="F29" s="1989"/>
      <c r="G29" s="2108">
        <v>329136</v>
      </c>
      <c r="H29" s="2104">
        <f t="shared" si="0"/>
        <v>329136</v>
      </c>
      <c r="I29" s="2105">
        <f t="shared" si="3"/>
        <v>1154136</v>
      </c>
      <c r="J29" s="2106">
        <f t="shared" si="2"/>
        <v>0.44499375719181233</v>
      </c>
      <c r="K29" s="640"/>
      <c r="L29" s="640"/>
      <c r="M29" s="906"/>
      <c r="N29" s="909"/>
      <c r="O29" s="908"/>
      <c r="P29" s="907"/>
      <c r="Q29" s="909"/>
      <c r="R29" s="909"/>
      <c r="S29" s="908"/>
      <c r="T29" s="909"/>
      <c r="U29" s="240"/>
      <c r="V29" s="240"/>
      <c r="W29" s="240"/>
      <c r="X29" s="240"/>
      <c r="Y29" s="240"/>
      <c r="Z29" s="240"/>
      <c r="AA29" s="240"/>
      <c r="AB29" s="908"/>
    </row>
    <row r="30" spans="2:28" ht="17.25" customHeight="1">
      <c r="B30" s="2052" t="s">
        <v>112</v>
      </c>
      <c r="C30" s="2100">
        <v>4619185</v>
      </c>
      <c r="D30" s="2101">
        <f>C30/C36*100</f>
        <v>1.9492625219054847</v>
      </c>
      <c r="E30" s="2117">
        <v>1350000</v>
      </c>
      <c r="F30" s="1989"/>
      <c r="G30" s="2109">
        <v>3591619</v>
      </c>
      <c r="H30" s="2104">
        <f t="shared" si="0"/>
        <v>3591619</v>
      </c>
      <c r="I30" s="2105">
        <f t="shared" si="3"/>
        <v>4941619</v>
      </c>
      <c r="J30" s="2106">
        <f t="shared" si="2"/>
        <v>1.9053123768953109</v>
      </c>
      <c r="K30" s="640"/>
      <c r="L30" s="640"/>
      <c r="M30" s="906"/>
      <c r="N30" s="909"/>
      <c r="O30" s="908"/>
      <c r="P30" s="907"/>
      <c r="Q30" s="909"/>
      <c r="R30" s="909"/>
      <c r="S30" s="908"/>
      <c r="T30" s="909"/>
      <c r="U30" s="240"/>
      <c r="V30" s="240"/>
      <c r="W30" s="240"/>
      <c r="X30" s="240"/>
      <c r="Y30" s="240"/>
      <c r="Z30" s="240"/>
      <c r="AA30" s="240"/>
    </row>
    <row r="31" spans="2:28" ht="17.25" customHeight="1">
      <c r="B31" s="2052" t="s">
        <v>203</v>
      </c>
      <c r="C31" s="2100">
        <v>732349</v>
      </c>
      <c r="D31" s="2101">
        <f>C31/C36*100</f>
        <v>0.30904595911507327</v>
      </c>
      <c r="E31" s="2108">
        <v>508996</v>
      </c>
      <c r="F31" s="1989"/>
      <c r="G31" s="2108">
        <v>231819</v>
      </c>
      <c r="H31" s="2104">
        <f t="shared" si="0"/>
        <v>231819</v>
      </c>
      <c r="I31" s="2105">
        <f t="shared" si="3"/>
        <v>740815</v>
      </c>
      <c r="J31" s="2106">
        <f t="shared" si="2"/>
        <v>0.28563189280470624</v>
      </c>
      <c r="K31" s="640"/>
      <c r="L31" s="640"/>
      <c r="M31" s="906"/>
      <c r="N31" s="909"/>
      <c r="O31" s="908"/>
      <c r="P31" s="907"/>
      <c r="Q31" s="909"/>
      <c r="R31" s="909"/>
      <c r="S31" s="908"/>
      <c r="T31" s="909"/>
      <c r="U31" s="240"/>
      <c r="V31" s="240"/>
      <c r="W31" s="240"/>
      <c r="X31" s="240"/>
      <c r="Y31" s="240"/>
      <c r="Z31" s="240"/>
      <c r="AA31" s="240"/>
    </row>
    <row r="32" spans="2:28" ht="21.75" customHeight="1">
      <c r="B32" s="2052" t="s">
        <v>113</v>
      </c>
      <c r="C32" s="2100">
        <v>1092456</v>
      </c>
      <c r="D32" s="2101">
        <f>C32/C36*100</f>
        <v>0.46100849773948832</v>
      </c>
      <c r="E32" s="2102">
        <v>1045346</v>
      </c>
      <c r="F32" s="1989"/>
      <c r="G32" s="2110">
        <v>176549</v>
      </c>
      <c r="H32" s="2104">
        <f t="shared" si="0"/>
        <v>176549</v>
      </c>
      <c r="I32" s="2105">
        <f t="shared" si="3"/>
        <v>1221895</v>
      </c>
      <c r="J32" s="2106">
        <f t="shared" si="2"/>
        <v>0.47111921553776115</v>
      </c>
      <c r="K32" s="640"/>
      <c r="L32" s="640"/>
      <c r="M32" s="906"/>
      <c r="N32" s="909"/>
      <c r="O32" s="908"/>
      <c r="P32" s="907"/>
      <c r="Q32" s="909"/>
      <c r="R32" s="909"/>
      <c r="S32" s="908"/>
      <c r="T32" s="909"/>
      <c r="U32" s="240"/>
      <c r="V32" s="240"/>
      <c r="W32" s="240"/>
      <c r="X32" s="240"/>
      <c r="Y32" s="240"/>
      <c r="Z32" s="240"/>
      <c r="AA32" s="240"/>
    </row>
    <row r="33" spans="2:27" ht="17.25" customHeight="1">
      <c r="B33" s="2052" t="s">
        <v>115</v>
      </c>
      <c r="C33" s="2100">
        <v>63229026</v>
      </c>
      <c r="D33" s="2101">
        <f>C33/C36*100</f>
        <v>26.68218975390409</v>
      </c>
      <c r="E33" s="2109">
        <v>6000000</v>
      </c>
      <c r="F33" s="2102">
        <v>98237</v>
      </c>
      <c r="G33" s="2109">
        <v>65130454</v>
      </c>
      <c r="H33" s="2104">
        <f>F33+G33</f>
        <v>65228691</v>
      </c>
      <c r="I33" s="2105">
        <f>E33+H33</f>
        <v>71228691</v>
      </c>
      <c r="J33" s="2106">
        <f t="shared" si="2"/>
        <v>27.463247683067355</v>
      </c>
      <c r="K33" s="640"/>
      <c r="L33" s="640"/>
      <c r="M33" s="906"/>
      <c r="N33" s="909"/>
      <c r="O33" s="908"/>
      <c r="P33" s="907"/>
      <c r="Q33" s="909"/>
      <c r="R33" s="909"/>
      <c r="S33" s="908"/>
      <c r="T33" s="909"/>
      <c r="U33" s="240"/>
      <c r="V33" s="240"/>
      <c r="W33" s="240"/>
      <c r="X33" s="240"/>
      <c r="Y33" s="240"/>
      <c r="Z33" s="240"/>
      <c r="AA33" s="240"/>
    </row>
    <row r="34" spans="2:27" ht="17.25" customHeight="1">
      <c r="B34" s="2118" t="s">
        <v>204</v>
      </c>
      <c r="C34" s="2100">
        <v>9936247</v>
      </c>
      <c r="D34" s="2101">
        <f>C34/C36*100</f>
        <v>4.1930240692883718</v>
      </c>
      <c r="E34" s="2102">
        <v>1062500</v>
      </c>
      <c r="F34" s="2102">
        <v>798004</v>
      </c>
      <c r="G34" s="2119">
        <v>8727926</v>
      </c>
      <c r="H34" s="2104">
        <f t="shared" si="0"/>
        <v>9525930</v>
      </c>
      <c r="I34" s="2105">
        <f t="shared" si="3"/>
        <v>10588430</v>
      </c>
      <c r="J34" s="2106">
        <f t="shared" si="2"/>
        <v>4.0825216858866735</v>
      </c>
      <c r="K34" s="640"/>
      <c r="L34" s="640"/>
      <c r="M34" s="906"/>
      <c r="N34" s="909"/>
      <c r="O34" s="908"/>
      <c r="P34" s="907"/>
      <c r="Q34" s="909"/>
      <c r="R34" s="909"/>
      <c r="S34" s="908"/>
      <c r="T34" s="909"/>
      <c r="U34" s="240"/>
      <c r="V34" s="240"/>
      <c r="W34" s="240"/>
      <c r="X34" s="240"/>
      <c r="Y34" s="240"/>
      <c r="Z34" s="240"/>
      <c r="AA34" s="240"/>
    </row>
    <row r="35" spans="2:27" ht="17.25" customHeight="1">
      <c r="B35" s="2052" t="s">
        <v>117</v>
      </c>
      <c r="C35" s="2100">
        <v>15108489</v>
      </c>
      <c r="D35" s="2101">
        <f>C35/C36*100</f>
        <v>6.3756726284661198</v>
      </c>
      <c r="E35" s="2102">
        <v>1000000</v>
      </c>
      <c r="F35" s="2102">
        <v>3381934</v>
      </c>
      <c r="G35" s="2119">
        <v>11073159</v>
      </c>
      <c r="H35" s="2104">
        <f t="shared" si="0"/>
        <v>14455093</v>
      </c>
      <c r="I35" s="2105">
        <f t="shared" si="3"/>
        <v>15455093</v>
      </c>
      <c r="J35" s="2106">
        <f t="shared" si="2"/>
        <v>5.9589336974315659</v>
      </c>
      <c r="K35" s="640"/>
      <c r="L35" s="640"/>
      <c r="M35" s="906"/>
      <c r="N35" s="909"/>
      <c r="O35" s="908"/>
      <c r="P35" s="907"/>
      <c r="Q35" s="909"/>
      <c r="R35" s="909"/>
      <c r="S35" s="908"/>
      <c r="T35" s="909"/>
      <c r="U35" s="240"/>
      <c r="V35" s="240"/>
      <c r="W35" s="240"/>
      <c r="X35" s="240"/>
      <c r="Y35" s="240"/>
      <c r="Z35" s="240"/>
      <c r="AA35" s="240"/>
    </row>
    <row r="36" spans="2:27" ht="17.25" customHeight="1">
      <c r="B36" s="2068" t="s">
        <v>118</v>
      </c>
      <c r="C36" s="2120">
        <f>SUM(C9:C35)</f>
        <v>236970903</v>
      </c>
      <c r="D36" s="2120">
        <f t="shared" ref="D36" si="4">SUM(D9:D35)</f>
        <v>100.00000003713882</v>
      </c>
      <c r="E36" s="2121">
        <f>SUM(E9:E35)</f>
        <v>45268317</v>
      </c>
      <c r="F36" s="2121">
        <f t="shared" ref="F36:G36" si="5">SUM(F9:F35)</f>
        <v>16248326</v>
      </c>
      <c r="G36" s="2121">
        <f t="shared" si="5"/>
        <v>197843400</v>
      </c>
      <c r="H36" s="2122">
        <f t="shared" si="0"/>
        <v>214091726</v>
      </c>
      <c r="I36" s="2123">
        <f t="shared" si="3"/>
        <v>259360043</v>
      </c>
      <c r="J36" s="2124">
        <f t="shared" si="2"/>
        <v>100</v>
      </c>
      <c r="K36" s="642"/>
      <c r="L36" s="640"/>
      <c r="M36" s="906"/>
      <c r="N36" s="909"/>
      <c r="O36" s="908"/>
      <c r="P36" s="907"/>
      <c r="Q36" s="909"/>
      <c r="R36" s="909"/>
      <c r="S36" s="908"/>
      <c r="T36" s="909"/>
      <c r="U36" s="240"/>
      <c r="V36" s="240"/>
      <c r="W36" s="240"/>
      <c r="X36" s="240"/>
      <c r="Y36" s="240"/>
      <c r="Z36" s="240"/>
      <c r="AA36" s="240"/>
    </row>
    <row r="37" spans="2:27" ht="17.25" customHeight="1">
      <c r="L37" s="908"/>
    </row>
    <row r="38" spans="2:27" ht="16.899999999999999" customHeight="1">
      <c r="B38" s="3484" t="s">
        <v>205</v>
      </c>
      <c r="C38" s="3484"/>
      <c r="D38" s="3484"/>
      <c r="E38" s="3484"/>
      <c r="F38" s="3484"/>
      <c r="J38" s="2">
        <v>6</v>
      </c>
    </row>
    <row r="39" spans="2:27" ht="16.899999999999999" customHeight="1"/>
    <row r="40" spans="2:27" ht="16.149999999999999" customHeight="1">
      <c r="B40" s="490"/>
    </row>
    <row r="41" spans="2:27" ht="15" customHeight="1">
      <c r="B41" s="450"/>
    </row>
    <row r="42" spans="2:27">
      <c r="B42" s="450"/>
    </row>
    <row r="43" spans="2:27">
      <c r="B43" s="450"/>
    </row>
    <row r="44" spans="2:27" ht="17.25" customHeight="1">
      <c r="C44" s="1295"/>
      <c r="D44" s="1296"/>
      <c r="E44" s="1297"/>
      <c r="F44" s="907"/>
      <c r="G44" s="291"/>
    </row>
    <row r="45" spans="2:27" ht="15">
      <c r="C45" s="1295"/>
      <c r="D45" s="157"/>
      <c r="E45" s="1297"/>
      <c r="F45" s="907"/>
      <c r="G45" s="1964"/>
      <c r="H45" s="384"/>
      <c r="I45" s="384"/>
    </row>
    <row r="46" spans="2:27" ht="14.45" customHeight="1">
      <c r="C46" s="1295"/>
      <c r="D46" s="157"/>
      <c r="E46" s="1297"/>
      <c r="F46" s="384"/>
      <c r="G46" s="1298"/>
    </row>
    <row r="47" spans="2:27" ht="15">
      <c r="C47" s="1295"/>
      <c r="D47" s="157"/>
      <c r="E47" s="1297"/>
      <c r="G47" s="1298"/>
    </row>
    <row r="48" spans="2:27" ht="15" customHeight="1">
      <c r="G48" s="1298"/>
    </row>
    <row r="49" spans="7:7">
      <c r="G49" s="907"/>
    </row>
    <row r="51" spans="7:7">
      <c r="G51" s="240"/>
    </row>
    <row r="71" spans="2:2">
      <c r="B71" s="1"/>
    </row>
  </sheetData>
  <mergeCells count="12">
    <mergeCell ref="B38:F38"/>
    <mergeCell ref="B4:B8"/>
    <mergeCell ref="C4:D4"/>
    <mergeCell ref="D5:D8"/>
    <mergeCell ref="C5:C7"/>
    <mergeCell ref="E4:J4"/>
    <mergeCell ref="E5:E7"/>
    <mergeCell ref="F5:F7"/>
    <mergeCell ref="G5:G7"/>
    <mergeCell ref="H5:H7"/>
    <mergeCell ref="I5:I7"/>
    <mergeCell ref="J5:J8"/>
  </mergeCells>
  <pageMargins left="0.7" right="0.7" top="0.75" bottom="0.75" header="0.3" footer="0.3"/>
  <pageSetup paperSize="9" scale="59" orientation="landscape"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6">
    <tabColor rgb="FF00B050"/>
  </sheetPr>
  <dimension ref="A1:M51"/>
  <sheetViews>
    <sheetView workbookViewId="0">
      <pane xSplit="2" ySplit="9" topLeftCell="D10" activePane="bottomRight" state="frozen"/>
      <selection pane="topRight" activeCell="C1" sqref="C1"/>
      <selection pane="bottomLeft" activeCell="A10" sqref="A10"/>
      <selection pane="bottomRight" activeCell="D21" sqref="D21"/>
    </sheetView>
  </sheetViews>
  <sheetFormatPr defaultRowHeight="15"/>
  <cols>
    <col min="1" max="1" width="3.5703125" customWidth="1"/>
    <col min="2" max="2" width="9.140625" hidden="1" customWidth="1"/>
    <col min="3" max="3" width="11.5703125" customWidth="1"/>
    <col min="4" max="4" width="19.85546875" customWidth="1"/>
    <col min="5" max="5" width="7.28515625" customWidth="1"/>
    <col min="6" max="6" width="13.5703125" customWidth="1"/>
    <col min="7" max="7" width="12.28515625" customWidth="1"/>
    <col min="8" max="8" width="13.7109375" customWidth="1"/>
    <col min="9" max="9" width="13.85546875" bestFit="1" customWidth="1"/>
    <col min="10" max="10" width="17.85546875" customWidth="1"/>
    <col min="11" max="11" width="7.42578125" customWidth="1"/>
    <col min="12" max="12" width="11.28515625" bestFit="1" customWidth="1"/>
    <col min="13" max="13" width="11.5703125" bestFit="1" customWidth="1"/>
  </cols>
  <sheetData>
    <row r="1" spans="1:12">
      <c r="B1" s="3"/>
      <c r="C1" s="3"/>
      <c r="D1" s="40"/>
      <c r="F1" s="41"/>
      <c r="H1" s="41"/>
      <c r="I1" s="202"/>
    </row>
    <row r="2" spans="1:12">
      <c r="A2" s="220"/>
      <c r="B2" s="201"/>
      <c r="C2" s="201"/>
      <c r="D2" s="241"/>
      <c r="E2" s="241"/>
      <c r="F2" s="242"/>
      <c r="G2" s="242"/>
      <c r="H2" s="242"/>
      <c r="I2" s="242"/>
      <c r="J2" s="242"/>
      <c r="K2" s="3"/>
    </row>
    <row r="3" spans="1:12">
      <c r="G3" s="242"/>
      <c r="H3" s="242"/>
      <c r="I3" s="242"/>
      <c r="J3" s="242"/>
      <c r="K3" s="3"/>
    </row>
    <row r="4" spans="1:12">
      <c r="B4" s="42" t="s">
        <v>30</v>
      </c>
      <c r="C4" s="42" t="s">
        <v>30</v>
      </c>
      <c r="D4" s="241"/>
      <c r="E4" s="241"/>
      <c r="F4" s="242"/>
      <c r="G4" s="242"/>
      <c r="H4" s="242"/>
      <c r="I4" s="242"/>
      <c r="J4" s="242"/>
      <c r="K4" s="3"/>
    </row>
    <row r="5" spans="1:12">
      <c r="B5" s="3499" t="s">
        <v>83</v>
      </c>
      <c r="C5" s="3499" t="s">
        <v>83</v>
      </c>
      <c r="D5" s="3495" t="s">
        <v>206</v>
      </c>
      <c r="E5" s="3495"/>
      <c r="F5" s="3496" t="s">
        <v>207</v>
      </c>
      <c r="G5" s="3474"/>
      <c r="H5" s="3474"/>
      <c r="I5" s="3474"/>
      <c r="J5" s="3474"/>
      <c r="K5" s="3475"/>
    </row>
    <row r="6" spans="1:12" ht="15" customHeight="1">
      <c r="B6" s="3500"/>
      <c r="C6" s="3500"/>
      <c r="D6" s="3502" t="s">
        <v>208</v>
      </c>
      <c r="E6" s="3502" t="s">
        <v>157</v>
      </c>
      <c r="F6" s="2126" t="s">
        <v>209</v>
      </c>
      <c r="G6" s="2126" t="s">
        <v>210</v>
      </c>
      <c r="H6" s="2126" t="s">
        <v>211</v>
      </c>
      <c r="I6" s="3497" t="s">
        <v>212</v>
      </c>
      <c r="J6" s="3502" t="s">
        <v>208</v>
      </c>
      <c r="K6" s="3499" t="s">
        <v>157</v>
      </c>
    </row>
    <row r="7" spans="1:12">
      <c r="B7" s="3500"/>
      <c r="C7" s="3500"/>
      <c r="D7" s="3503"/>
      <c r="E7" s="3503"/>
      <c r="F7" s="243" t="s">
        <v>210</v>
      </c>
      <c r="G7" s="243" t="s">
        <v>213</v>
      </c>
      <c r="H7" s="243" t="s">
        <v>214</v>
      </c>
      <c r="I7" s="3498"/>
      <c r="J7" s="3503"/>
      <c r="K7" s="3500"/>
    </row>
    <row r="8" spans="1:12">
      <c r="B8" s="3500"/>
      <c r="C8" s="3500"/>
      <c r="D8" s="3503"/>
      <c r="E8" s="3503"/>
      <c r="F8" s="243"/>
      <c r="G8" s="243"/>
      <c r="H8" s="243" t="s">
        <v>215</v>
      </c>
      <c r="I8" s="3498"/>
      <c r="J8" s="3503"/>
      <c r="K8" s="3500"/>
    </row>
    <row r="9" spans="1:12">
      <c r="B9" s="3501"/>
      <c r="C9" s="3501"/>
      <c r="D9" s="171" t="s">
        <v>140</v>
      </c>
      <c r="E9" s="3504"/>
      <c r="F9" s="171" t="s">
        <v>140</v>
      </c>
      <c r="G9" s="244" t="s">
        <v>216</v>
      </c>
      <c r="H9" s="244" t="s">
        <v>216</v>
      </c>
      <c r="I9" s="171" t="s">
        <v>140</v>
      </c>
      <c r="J9" s="171" t="s">
        <v>140</v>
      </c>
      <c r="K9" s="3501"/>
    </row>
    <row r="10" spans="1:12" s="39" customFormat="1" ht="20.100000000000001" customHeight="1">
      <c r="A10" s="39">
        <v>1</v>
      </c>
      <c r="B10" s="2127" t="s">
        <v>175</v>
      </c>
      <c r="C10" s="2003" t="s">
        <v>125</v>
      </c>
      <c r="D10" s="2128">
        <v>4017462</v>
      </c>
      <c r="E10" s="2129">
        <f>D10/D31*100</f>
        <v>7.4590393542945749E-2</v>
      </c>
      <c r="F10" s="2090">
        <v>300000</v>
      </c>
      <c r="G10" s="2090">
        <v>72096</v>
      </c>
      <c r="H10" s="2090">
        <v>4166354</v>
      </c>
      <c r="I10" s="2090">
        <f>G10+H10</f>
        <v>4238450</v>
      </c>
      <c r="J10" s="2090">
        <f>F10+I10</f>
        <v>4538450</v>
      </c>
      <c r="K10" s="2130">
        <f>J10/J31*100</f>
        <v>7.0204670120961307E-2</v>
      </c>
      <c r="L10" s="328"/>
    </row>
    <row r="11" spans="1:12" s="39" customFormat="1" ht="20.100000000000001" customHeight="1">
      <c r="A11" s="39">
        <v>2</v>
      </c>
      <c r="B11" s="2127" t="s">
        <v>176</v>
      </c>
      <c r="C11" s="2127" t="s">
        <v>127</v>
      </c>
      <c r="D11" s="2128">
        <v>229338.86594820017</v>
      </c>
      <c r="E11" s="2129">
        <f>D11/D31*100</f>
        <v>4.2580306337108177E-3</v>
      </c>
      <c r="F11" s="2090">
        <v>536264.82270999998</v>
      </c>
      <c r="G11" s="2090">
        <v>0</v>
      </c>
      <c r="H11" s="2090">
        <v>-193459.40358620189</v>
      </c>
      <c r="I11" s="2090">
        <f t="shared" ref="I11:I30" si="0">G11+H11</f>
        <v>-193459.40358620189</v>
      </c>
      <c r="J11" s="2090">
        <f t="shared" ref="J11:J30" si="1">F11+I11</f>
        <v>342805.41912379808</v>
      </c>
      <c r="K11" s="2130">
        <f>J11/J31*100</f>
        <v>5.3028107316956509E-3</v>
      </c>
    </row>
    <row r="12" spans="1:12" s="39" customFormat="1" ht="20.100000000000001" customHeight="1">
      <c r="A12" s="39">
        <v>3</v>
      </c>
      <c r="B12" s="2127" t="s">
        <v>177</v>
      </c>
      <c r="C12" s="2127" t="s">
        <v>92</v>
      </c>
      <c r="D12" s="2128">
        <v>780285</v>
      </c>
      <c r="E12" s="2129">
        <f>D12/D31*100</f>
        <v>1.4487197445963999E-2</v>
      </c>
      <c r="F12" s="2090">
        <v>250000</v>
      </c>
      <c r="G12" s="2090">
        <v>0</v>
      </c>
      <c r="H12" s="2090">
        <v>624849</v>
      </c>
      <c r="I12" s="2090">
        <f t="shared" si="0"/>
        <v>624849</v>
      </c>
      <c r="J12" s="2090">
        <f t="shared" si="1"/>
        <v>874849</v>
      </c>
      <c r="K12" s="2130">
        <f>J12/J31*100</f>
        <v>1.353292103045156E-2</v>
      </c>
    </row>
    <row r="13" spans="1:12" s="39" customFormat="1" ht="20.100000000000001" customHeight="1">
      <c r="A13" s="39">
        <v>4</v>
      </c>
      <c r="B13" s="2127" t="s">
        <v>178</v>
      </c>
      <c r="C13" s="2127" t="s">
        <v>93</v>
      </c>
      <c r="D13" s="2128">
        <v>155104.78389500198</v>
      </c>
      <c r="E13" s="2129">
        <f>D13/D31*100</f>
        <v>2.8797601249549469E-3</v>
      </c>
      <c r="F13" s="2090">
        <v>592623.5</v>
      </c>
      <c r="G13" s="2090">
        <v>0</v>
      </c>
      <c r="H13" s="2090">
        <v>-330709.946500608</v>
      </c>
      <c r="I13" s="2090">
        <f t="shared" si="0"/>
        <v>-330709.946500608</v>
      </c>
      <c r="J13" s="2090">
        <f t="shared" si="1"/>
        <v>261913.553499392</v>
      </c>
      <c r="K13" s="2130">
        <f>J13/J31*100</f>
        <v>4.051505387000753E-3</v>
      </c>
    </row>
    <row r="14" spans="1:12" s="39" customFormat="1" ht="20.100000000000001" customHeight="1">
      <c r="A14" s="39">
        <v>5</v>
      </c>
      <c r="B14" s="2127" t="s">
        <v>179</v>
      </c>
      <c r="C14" s="2127" t="s">
        <v>126</v>
      </c>
      <c r="D14" s="2128">
        <v>837986.86999999988</v>
      </c>
      <c r="E14" s="2129">
        <f>D14/D31*100</f>
        <v>1.5558521877026169E-2</v>
      </c>
      <c r="F14" s="2090">
        <v>1250000.8999999999</v>
      </c>
      <c r="G14" s="2090">
        <v>30128</v>
      </c>
      <c r="H14" s="2090">
        <v>-373397.451</v>
      </c>
      <c r="I14" s="2090">
        <f t="shared" si="0"/>
        <v>-343269.451</v>
      </c>
      <c r="J14" s="2090">
        <f t="shared" si="1"/>
        <v>906731.44899999991</v>
      </c>
      <c r="K14" s="2130">
        <f>J14/J31*100</f>
        <v>1.4026106328227973E-2</v>
      </c>
      <c r="L14" s="197"/>
    </row>
    <row r="15" spans="1:12" s="39" customFormat="1" ht="20.100000000000001" customHeight="1">
      <c r="A15" s="39">
        <v>6</v>
      </c>
      <c r="B15" s="2127" t="s">
        <v>180</v>
      </c>
      <c r="C15" s="2003" t="s">
        <v>96</v>
      </c>
      <c r="D15" s="2128">
        <v>470459092.13015085</v>
      </c>
      <c r="E15" s="2129">
        <f>D15/D31*100</f>
        <v>8.7348004356593592</v>
      </c>
      <c r="F15" s="2090">
        <v>563000070</v>
      </c>
      <c r="G15" s="2090">
        <v>0</v>
      </c>
      <c r="H15" s="2090">
        <v>-46333735.789999992</v>
      </c>
      <c r="I15" s="2090">
        <f t="shared" si="0"/>
        <v>-46333735.789999992</v>
      </c>
      <c r="J15" s="2090">
        <f t="shared" si="1"/>
        <v>516666334.21000004</v>
      </c>
      <c r="K15" s="2130">
        <f>J15/J31*100</f>
        <v>7.9922417468121054</v>
      </c>
    </row>
    <row r="16" spans="1:12" s="39" customFormat="1" ht="20.100000000000001" customHeight="1">
      <c r="A16" s="39">
        <v>7</v>
      </c>
      <c r="B16" s="2127" t="s">
        <v>181</v>
      </c>
      <c r="C16" s="2127" t="s">
        <v>124</v>
      </c>
      <c r="D16" s="2128">
        <v>1461503320.4200001</v>
      </c>
      <c r="E16" s="2129">
        <f>D16/D31*100</f>
        <v>27.135068815697505</v>
      </c>
      <c r="F16" s="2090">
        <v>1062500000</v>
      </c>
      <c r="G16" s="2090">
        <v>114662115.94999999</v>
      </c>
      <c r="H16" s="2090">
        <v>654530403.82999992</v>
      </c>
      <c r="I16" s="2090">
        <f t="shared" si="0"/>
        <v>769192519.77999997</v>
      </c>
      <c r="J16" s="2090">
        <f t="shared" si="1"/>
        <v>1831692519.78</v>
      </c>
      <c r="K16" s="2130">
        <f>J16/J31*100</f>
        <v>28.334204213814694</v>
      </c>
      <c r="L16" s="197" t="s">
        <v>217</v>
      </c>
    </row>
    <row r="17" spans="1:13" s="39" customFormat="1" ht="20.100000000000001" customHeight="1">
      <c r="A17" s="39">
        <v>8</v>
      </c>
      <c r="B17" s="2127" t="s">
        <v>182</v>
      </c>
      <c r="C17" s="2127" t="s">
        <v>128</v>
      </c>
      <c r="D17" s="2131">
        <v>12500697</v>
      </c>
      <c r="E17" s="2129">
        <f>D17/D31*100</f>
        <v>0.23209476749030139</v>
      </c>
      <c r="F17" s="2092">
        <v>1324822</v>
      </c>
      <c r="G17" s="2090">
        <v>711535</v>
      </c>
      <c r="H17" s="2090">
        <v>13885802</v>
      </c>
      <c r="I17" s="2090">
        <f t="shared" si="0"/>
        <v>14597337</v>
      </c>
      <c r="J17" s="2090">
        <f t="shared" si="1"/>
        <v>15922159</v>
      </c>
      <c r="K17" s="2130">
        <f>J17/J31*100</f>
        <v>0.24629772724355123</v>
      </c>
      <c r="L17" s="197" t="s">
        <v>218</v>
      </c>
    </row>
    <row r="18" spans="1:13" s="39" customFormat="1" ht="20.100000000000001" customHeight="1">
      <c r="A18" s="39">
        <v>9</v>
      </c>
      <c r="B18" s="2127" t="s">
        <v>183</v>
      </c>
      <c r="C18" s="2127" t="s">
        <v>130</v>
      </c>
      <c r="D18" s="2128">
        <v>0</v>
      </c>
      <c r="E18" s="2129">
        <v>0</v>
      </c>
      <c r="F18" s="2090">
        <v>0</v>
      </c>
      <c r="G18" s="2090">
        <v>0</v>
      </c>
      <c r="H18" s="2090">
        <v>0</v>
      </c>
      <c r="I18" s="2090">
        <f t="shared" si="0"/>
        <v>0</v>
      </c>
      <c r="J18" s="2090">
        <f t="shared" si="1"/>
        <v>0</v>
      </c>
      <c r="K18" s="2130">
        <f>J18/J31*100</f>
        <v>0</v>
      </c>
      <c r="L18" s="197">
        <v>1324822</v>
      </c>
    </row>
    <row r="19" spans="1:13" s="39" customFormat="1" ht="20.100000000000001" customHeight="1">
      <c r="A19" s="39">
        <v>10</v>
      </c>
      <c r="B19" s="2127" t="s">
        <v>184</v>
      </c>
      <c r="C19" s="2127" t="s">
        <v>99</v>
      </c>
      <c r="D19" s="2128">
        <v>504077.74014395714</v>
      </c>
      <c r="E19" s="2129">
        <f>D19/D31*100</f>
        <v>9.358982614789263E-3</v>
      </c>
      <c r="F19" s="2090">
        <v>500000.07</v>
      </c>
      <c r="G19" s="2090">
        <v>0</v>
      </c>
      <c r="H19" s="2090">
        <v>67275.673808572261</v>
      </c>
      <c r="I19" s="2090">
        <f t="shared" si="0"/>
        <v>67275.673808572261</v>
      </c>
      <c r="J19" s="2090">
        <f t="shared" si="1"/>
        <v>567275.7438085723</v>
      </c>
      <c r="K19" s="2130">
        <f>J19/J31*100</f>
        <v>8.7751118689649056E-3</v>
      </c>
    </row>
    <row r="20" spans="1:13" s="39" customFormat="1" ht="20.100000000000001" customHeight="1">
      <c r="A20" s="39">
        <v>11</v>
      </c>
      <c r="B20" s="2127" t="s">
        <v>185</v>
      </c>
      <c r="C20" s="2127" t="s">
        <v>129</v>
      </c>
      <c r="D20" s="2128">
        <v>753979.06112000009</v>
      </c>
      <c r="E20" s="2129">
        <f>D20/D31*100</f>
        <v>1.3998787018292031E-2</v>
      </c>
      <c r="F20" s="2090">
        <v>632019.95299999998</v>
      </c>
      <c r="G20" s="2090">
        <v>3036.0003999999999</v>
      </c>
      <c r="H20" s="2090">
        <v>360944.58178803331</v>
      </c>
      <c r="I20" s="2090">
        <f t="shared" si="0"/>
        <v>363980.58218803332</v>
      </c>
      <c r="J20" s="2090">
        <f t="shared" si="1"/>
        <v>996000.53518803325</v>
      </c>
      <c r="K20" s="2130">
        <f>J20/J31*100</f>
        <v>1.5406997766457004E-2</v>
      </c>
      <c r="L20" s="197">
        <f>+L18+G17+H17</f>
        <v>15922159</v>
      </c>
    </row>
    <row r="21" spans="1:13" s="39" customFormat="1" ht="20.100000000000001" customHeight="1">
      <c r="A21" s="39">
        <v>12</v>
      </c>
      <c r="B21" s="2127" t="s">
        <v>186</v>
      </c>
      <c r="C21" s="2127" t="s">
        <v>131</v>
      </c>
      <c r="D21" s="2128">
        <v>1914517</v>
      </c>
      <c r="E21" s="2129">
        <f>D21/D31*100</f>
        <v>3.5545968194511821E-2</v>
      </c>
      <c r="F21" s="2090">
        <v>1171875</v>
      </c>
      <c r="G21" s="2090">
        <v>0</v>
      </c>
      <c r="H21" s="2090">
        <v>941737</v>
      </c>
      <c r="I21" s="2090">
        <f t="shared" si="0"/>
        <v>941737</v>
      </c>
      <c r="J21" s="2090">
        <f t="shared" si="1"/>
        <v>2113612</v>
      </c>
      <c r="K21" s="2130">
        <f>J21/J31*100</f>
        <v>3.2695178579406028E-2</v>
      </c>
    </row>
    <row r="22" spans="1:13" s="39" customFormat="1" ht="20.100000000000001" customHeight="1">
      <c r="A22" s="39">
        <v>13</v>
      </c>
      <c r="B22" s="2127" t="s">
        <v>187</v>
      </c>
      <c r="C22" s="2127" t="s">
        <v>132</v>
      </c>
      <c r="D22" s="2128">
        <f>3376380101.76738</f>
        <v>3376380101.7673802</v>
      </c>
      <c r="E22" s="2129">
        <f>D22/D31*100</f>
        <v>62.687716907191685</v>
      </c>
      <c r="F22" s="2090">
        <f>1496000400</f>
        <v>1496000400</v>
      </c>
      <c r="G22" s="2090">
        <v>0</v>
      </c>
      <c r="H22" s="2090">
        <f>2532490857.93883</f>
        <v>2532490857.9388299</v>
      </c>
      <c r="I22" s="2090">
        <f t="shared" si="0"/>
        <v>2532490857.9388299</v>
      </c>
      <c r="J22" s="2090">
        <f t="shared" si="1"/>
        <v>4028491257.9388299</v>
      </c>
      <c r="K22" s="2130">
        <f>J22/J31*100</f>
        <v>62.316187211222342</v>
      </c>
    </row>
    <row r="23" spans="1:13" s="39" customFormat="1" ht="20.100000000000001" customHeight="1">
      <c r="A23" s="39">
        <v>14</v>
      </c>
      <c r="B23" s="2127" t="s">
        <v>188</v>
      </c>
      <c r="C23" s="2127" t="s">
        <v>106</v>
      </c>
      <c r="D23" s="2128">
        <v>597143</v>
      </c>
      <c r="E23" s="2129">
        <f>D23/D31*100</f>
        <v>1.1086883054877743E-2</v>
      </c>
      <c r="F23" s="2090">
        <v>500000</v>
      </c>
      <c r="G23" s="2090">
        <v>0</v>
      </c>
      <c r="H23" s="2090">
        <v>177226</v>
      </c>
      <c r="I23" s="2090">
        <f t="shared" si="0"/>
        <v>177226</v>
      </c>
      <c r="J23" s="2090">
        <f t="shared" si="1"/>
        <v>677226</v>
      </c>
      <c r="K23" s="2130">
        <f>J23/J31*100</f>
        <v>1.047591753293264E-2</v>
      </c>
    </row>
    <row r="24" spans="1:13" s="39" customFormat="1" ht="20.100000000000001" customHeight="1">
      <c r="A24" s="39">
        <v>15</v>
      </c>
      <c r="B24" s="2127" t="s">
        <v>189</v>
      </c>
      <c r="C24" s="2127" t="s">
        <v>133</v>
      </c>
      <c r="D24" s="2128">
        <v>586356.50856999995</v>
      </c>
      <c r="E24" s="2129">
        <f>D24/D31*100</f>
        <v>1.088661516417677E-2</v>
      </c>
      <c r="F24" s="2090">
        <v>650000</v>
      </c>
      <c r="G24" s="2090">
        <v>0</v>
      </c>
      <c r="H24" s="2090">
        <v>65243.938979999395</v>
      </c>
      <c r="I24" s="2090">
        <f t="shared" si="0"/>
        <v>65243.938979999395</v>
      </c>
      <c r="J24" s="2090">
        <f t="shared" si="1"/>
        <v>715243.9389799994</v>
      </c>
      <c r="K24" s="2130">
        <f>J24/J31*100</f>
        <v>1.1064011896596379E-2</v>
      </c>
    </row>
    <row r="25" spans="1:13" s="39" customFormat="1" ht="20.100000000000001" customHeight="1">
      <c r="A25" s="39">
        <v>16</v>
      </c>
      <c r="B25" s="2127" t="s">
        <v>190</v>
      </c>
      <c r="C25" s="2127" t="s">
        <v>109</v>
      </c>
      <c r="D25" s="2128">
        <v>400851</v>
      </c>
      <c r="E25" s="2129">
        <f>D25/D31*100</f>
        <v>7.4424185822002413E-3</v>
      </c>
      <c r="F25" s="2090">
        <v>880724.245</v>
      </c>
      <c r="G25" s="2090">
        <v>1961</v>
      </c>
      <c r="H25" s="2090">
        <v>-483633.61800000002</v>
      </c>
      <c r="I25" s="2090">
        <f t="shared" si="0"/>
        <v>-481672.61800000002</v>
      </c>
      <c r="J25" s="2090">
        <f t="shared" si="1"/>
        <v>399051.62699999998</v>
      </c>
      <c r="K25" s="2130">
        <f>J25/J31*100</f>
        <v>6.1728757251413796E-3</v>
      </c>
      <c r="L25" s="197" t="s">
        <v>217</v>
      </c>
    </row>
    <row r="26" spans="1:13" s="39" customFormat="1" ht="20.100000000000001" customHeight="1">
      <c r="A26" s="39">
        <v>17</v>
      </c>
      <c r="B26" s="2127" t="s">
        <v>191</v>
      </c>
      <c r="C26" s="2127" t="s">
        <v>111</v>
      </c>
      <c r="D26" s="2128">
        <v>673561.17307999998</v>
      </c>
      <c r="E26" s="2129">
        <f>D26/D31*100</f>
        <v>1.2505704590431817E-2</v>
      </c>
      <c r="F26" s="2090">
        <v>750000</v>
      </c>
      <c r="G26" s="2090">
        <v>0</v>
      </c>
      <c r="H26" s="2090">
        <v>-69669.947789999991</v>
      </c>
      <c r="I26" s="2090">
        <f t="shared" si="0"/>
        <v>-69669.947789999991</v>
      </c>
      <c r="J26" s="2090">
        <f t="shared" si="1"/>
        <v>680330.05220999999</v>
      </c>
      <c r="K26" s="2130">
        <f>J26/J31*100</f>
        <v>1.0523933697359107E-2</v>
      </c>
    </row>
    <row r="27" spans="1:13" s="39" customFormat="1" ht="20.100000000000001" customHeight="1">
      <c r="A27" s="39">
        <v>18</v>
      </c>
      <c r="B27" s="2127" t="s">
        <v>192</v>
      </c>
      <c r="C27" s="2127" t="s">
        <v>112</v>
      </c>
      <c r="D27" s="2128">
        <v>863002</v>
      </c>
      <c r="E27" s="2129">
        <f>D27/D31*100</f>
        <v>1.6022966442084396E-2</v>
      </c>
      <c r="F27" s="2090">
        <v>600000</v>
      </c>
      <c r="G27" s="2090">
        <v>0</v>
      </c>
      <c r="H27" s="2090">
        <v>484881.24699999997</v>
      </c>
      <c r="I27" s="2090">
        <f t="shared" si="0"/>
        <v>484881.24699999997</v>
      </c>
      <c r="J27" s="2090">
        <f t="shared" si="1"/>
        <v>1084881.247</v>
      </c>
      <c r="K27" s="2130">
        <f>J27/J31*100</f>
        <v>1.6781881493913593E-2</v>
      </c>
    </row>
    <row r="28" spans="1:13" s="39" customFormat="1" ht="20.100000000000001" customHeight="1">
      <c r="A28" s="39">
        <v>19</v>
      </c>
      <c r="B28" s="2127" t="s">
        <v>193</v>
      </c>
      <c r="C28" s="2127" t="s">
        <v>134</v>
      </c>
      <c r="D28" s="2128">
        <v>377602</v>
      </c>
      <c r="E28" s="2129">
        <f>D28/D31*100</f>
        <v>7.0107649512561408E-3</v>
      </c>
      <c r="F28" s="2090">
        <v>352922</v>
      </c>
      <c r="G28" s="2090">
        <v>-882</v>
      </c>
      <c r="H28" s="2090">
        <v>64671</v>
      </c>
      <c r="I28" s="2090">
        <f t="shared" si="0"/>
        <v>63789</v>
      </c>
      <c r="J28" s="2090">
        <f t="shared" si="1"/>
        <v>416711</v>
      </c>
      <c r="K28" s="2130">
        <f>J28/J31*100</f>
        <v>6.4460461811358298E-3</v>
      </c>
    </row>
    <row r="29" spans="1:13" s="39" customFormat="1" ht="20.100000000000001" customHeight="1">
      <c r="A29" s="39">
        <v>20</v>
      </c>
      <c r="B29" s="2127" t="s">
        <v>194</v>
      </c>
      <c r="C29" s="2127" t="s">
        <v>115</v>
      </c>
      <c r="D29" s="2128">
        <v>48187839.26811</v>
      </c>
      <c r="E29" s="2129">
        <f>D29/D31*100</f>
        <v>0.89468174060950401</v>
      </c>
      <c r="F29" s="2090">
        <v>6000000</v>
      </c>
      <c r="G29" s="2090">
        <v>5231794.6532500004</v>
      </c>
      <c r="H29" s="2090">
        <v>40901986.99927</v>
      </c>
      <c r="I29" s="2090">
        <f t="shared" si="0"/>
        <v>46133781.652520001</v>
      </c>
      <c r="J29" s="2090">
        <f t="shared" si="1"/>
        <v>52133781.652520001</v>
      </c>
      <c r="K29" s="2130">
        <f>J29/J31*100</f>
        <v>0.8064504275850547</v>
      </c>
      <c r="L29" s="39" t="s">
        <v>219</v>
      </c>
    </row>
    <row r="30" spans="1:13" s="39" customFormat="1" ht="20.100000000000001" customHeight="1">
      <c r="A30" s="39">
        <v>21</v>
      </c>
      <c r="B30" s="2127" t="s">
        <v>195</v>
      </c>
      <c r="C30" s="2127" t="s">
        <v>135</v>
      </c>
      <c r="D30" s="2128">
        <v>4309058.8071799995</v>
      </c>
      <c r="E30" s="2129">
        <f>D30/D31*100</f>
        <v>8.0004339114409184E-2</v>
      </c>
      <c r="F30" s="2090">
        <v>1138432.3049999999</v>
      </c>
      <c r="G30" s="2090">
        <v>812520.99821999995</v>
      </c>
      <c r="H30" s="2090">
        <v>3166339.0935199996</v>
      </c>
      <c r="I30" s="2090">
        <f t="shared" si="0"/>
        <v>3978860.0917399996</v>
      </c>
      <c r="J30" s="2090">
        <f t="shared" si="1"/>
        <v>5117292.3967399998</v>
      </c>
      <c r="K30" s="2130">
        <f>J30/J31*100</f>
        <v>7.915870498201702E-2</v>
      </c>
      <c r="L30" s="197" t="s">
        <v>217</v>
      </c>
    </row>
    <row r="31" spans="1:13" s="39" customFormat="1" ht="20.100000000000001" customHeight="1">
      <c r="B31" s="2095" t="s">
        <v>118</v>
      </c>
      <c r="C31" s="2095" t="s">
        <v>118</v>
      </c>
      <c r="D31" s="2132">
        <f>SUM(D10:D30)</f>
        <v>5386031376.3955793</v>
      </c>
      <c r="E31" s="2129">
        <f>D31/D31*100</f>
        <v>100</v>
      </c>
      <c r="F31" s="2132">
        <f>SUM(F10:F30)</f>
        <v>3138930154.7957101</v>
      </c>
      <c r="G31" s="2132">
        <f>SUM(G10:G30)</f>
        <v>121524305.60186999</v>
      </c>
      <c r="H31" s="2132">
        <f>SUM(H10:H30)</f>
        <v>3204143966.1463199</v>
      </c>
      <c r="I31" s="2132">
        <f>SUM(I10:I30)</f>
        <v>3325668271.7481899</v>
      </c>
      <c r="J31" s="2132">
        <f>SUM(J10:J30)</f>
        <v>6464598426.5438995</v>
      </c>
      <c r="K31" s="2130">
        <f>J31/J31*100</f>
        <v>100</v>
      </c>
      <c r="M31" s="251"/>
    </row>
    <row r="33" spans="2:11">
      <c r="B33" s="175"/>
      <c r="C33" s="175"/>
    </row>
    <row r="34" spans="2:11">
      <c r="B34" s="175"/>
      <c r="C34" s="175"/>
    </row>
    <row r="35" spans="2:11">
      <c r="B35" s="175"/>
      <c r="C35" s="175"/>
    </row>
    <row r="36" spans="2:11">
      <c r="B36" s="175"/>
      <c r="C36" s="175"/>
    </row>
    <row r="37" spans="2:11">
      <c r="B37" s="232"/>
      <c r="C37" s="232"/>
      <c r="D37" s="13"/>
    </row>
    <row r="38" spans="2:11">
      <c r="B38" s="3494"/>
      <c r="C38" s="3494"/>
      <c r="D38" s="3494"/>
      <c r="E38" s="3494"/>
      <c r="F38" s="3494"/>
      <c r="G38" s="3494"/>
      <c r="H38" s="3494"/>
      <c r="I38" s="3494"/>
      <c r="J38" s="3494"/>
      <c r="K38" s="3494"/>
    </row>
    <row r="39" spans="2:11">
      <c r="B39" s="3494"/>
      <c r="C39" s="3494"/>
      <c r="D39" s="3494"/>
      <c r="E39" s="3494"/>
      <c r="F39" s="3494"/>
      <c r="G39" s="3494"/>
      <c r="H39" s="3494"/>
      <c r="I39" s="3494"/>
      <c r="J39" s="3494"/>
      <c r="K39" s="3494"/>
    </row>
    <row r="40" spans="2:11">
      <c r="D40" s="41"/>
      <c r="E40" s="15"/>
    </row>
    <row r="41" spans="2:11">
      <c r="E41" s="15"/>
    </row>
    <row r="42" spans="2:11">
      <c r="D42" s="58"/>
      <c r="J42" s="58"/>
    </row>
    <row r="43" spans="2:11">
      <c r="D43" s="14"/>
      <c r="J43" s="14"/>
    </row>
    <row r="44" spans="2:11">
      <c r="D44" s="58"/>
    </row>
    <row r="45" spans="2:11">
      <c r="D45" s="14"/>
    </row>
    <row r="46" spans="2:11">
      <c r="C46" s="42"/>
      <c r="D46" s="14"/>
    </row>
    <row r="48" spans="2:11">
      <c r="F48" s="186"/>
      <c r="G48" s="186"/>
      <c r="H48" s="186"/>
      <c r="I48" s="193"/>
    </row>
    <row r="49" spans="4:10">
      <c r="F49" s="186"/>
      <c r="G49" s="186"/>
      <c r="H49" s="186"/>
      <c r="I49" s="186"/>
    </row>
    <row r="51" spans="4:10">
      <c r="D51" s="14"/>
      <c r="J51" s="14"/>
    </row>
  </sheetData>
  <customSheetViews>
    <customSheetView guid="{5E394B0B-7867-4722-9497-A93AB2A9A773}" showPageBreaks="1" printArea="1" hiddenColumns="1" state="hidden">
      <pane xSplit="1" ySplit="9" topLeftCell="D10" activePane="bottomRight" state="frozen"/>
      <selection pane="bottomRight" activeCell="D21" sqref="D21"/>
      <rowBreaks count="1" manualBreakCount="1">
        <brk id="32" max="16383" man="1"/>
      </rowBreaks>
      <pageMargins left="0" right="0" top="0" bottom="0" header="0" footer="0"/>
      <pageSetup orientation="portrait" r:id="rId1"/>
    </customSheetView>
    <customSheetView guid="{B1E1B596-A9A1-411D-A882-A48CB025B978}" showPageBreaks="1" printArea="1" hiddenColumns="1" state="hidden">
      <pane xSplit="1" ySplit="9" topLeftCell="D10" activePane="bottomRight" state="frozen"/>
      <selection pane="bottomRight" activeCell="D21" sqref="D21"/>
      <rowBreaks count="1" manualBreakCount="1">
        <brk id="32" max="16383" man="1"/>
      </rowBreaks>
      <pageMargins left="0" right="0" top="0" bottom="0" header="0" footer="0"/>
      <pageSetup orientation="portrait" r:id="rId2"/>
    </customSheetView>
    <customSheetView guid="{E82B35BE-4719-4C53-A9EF-1CC6F153A6F3}" showPageBreaks="1" printArea="1" hiddenColumns="1">
      <pane xSplit="1" ySplit="9" topLeftCell="C16" activePane="bottomRight" state="frozen"/>
      <selection pane="bottomRight" activeCell="J30" sqref="J30"/>
      <rowBreaks count="1" manualBreakCount="1">
        <brk id="32" max="16383" man="1"/>
      </rowBreaks>
      <pageMargins left="0" right="0" top="0" bottom="0" header="0" footer="0"/>
      <pageSetup orientation="portrait" r:id="rId3"/>
    </customSheetView>
    <customSheetView guid="{B4A67912-05A8-4D20-958A-E8812294BB39}">
      <selection activeCell="C9" sqref="C9"/>
      <pageMargins left="0" right="0" top="0" bottom="0" header="0" footer="0"/>
      <pageSetup orientation="landscape" r:id="rId4"/>
    </customSheetView>
    <customSheetView guid="{F7C0CA98-A3B8-42B1-9940-E27294444C95}" showPageBreaks="1" topLeftCell="A37">
      <selection activeCell="J53" sqref="J53"/>
      <pageMargins left="0" right="0" top="0" bottom="0" header="0" footer="0"/>
      <pageSetup scale="60" orientation="landscape" r:id="rId5"/>
    </customSheetView>
    <customSheetView guid="{B8318771-9061-42D8-AFEA-0FF27D639C94}" scale="124" topLeftCell="E4">
      <selection activeCell="I17" sqref="I17"/>
      <pageMargins left="0" right="0" top="0" bottom="0" header="0" footer="0"/>
      <pageSetup orientation="landscape" r:id="rId6"/>
    </customSheetView>
    <customSheetView guid="{3199A5C7-1303-43ED-A74D-8C27C3B99779}" scale="124">
      <selection activeCell="F17" sqref="F17"/>
      <pageMargins left="0" right="0" top="0" bottom="0" header="0" footer="0"/>
      <pageSetup orientation="landscape" r:id="rId7"/>
    </customSheetView>
    <customSheetView guid="{C4538C36-F6A2-4603-9311-8D97FB7695CB}" topLeftCell="A16">
      <selection activeCell="I37" sqref="I37"/>
      <pageMargins left="0" right="0" top="0" bottom="0" header="0" footer="0"/>
      <pageSetup orientation="landscape" r:id="rId8"/>
    </customSheetView>
    <customSheetView guid="{F66B1C5E-2E3D-4890-AA4B-3A6E976CA29E}" topLeftCell="A28">
      <selection activeCell="D67" sqref="D67"/>
      <pageMargins left="0" right="0" top="0" bottom="0" header="0" footer="0"/>
      <pageSetup orientation="landscape" r:id="rId9"/>
    </customSheetView>
    <customSheetView guid="{D020F570-D9CD-4C16-921E-7638848CF929}" scale="124" topLeftCell="A31">
      <selection activeCell="G60" sqref="G60"/>
      <pageMargins left="0" right="0" top="0" bottom="0" header="0" footer="0"/>
      <pageSetup orientation="landscape" r:id="rId10"/>
    </customSheetView>
    <customSheetView guid="{46F31544-8E6F-41C5-8628-1D6EE074AF15}" hiddenColumns="1" state="hidden">
      <pane xSplit="1" ySplit="9" topLeftCell="D10" activePane="bottomRight" state="frozen"/>
      <selection pane="bottomRight" activeCell="D21" sqref="D21"/>
      <rowBreaks count="1" manualBreakCount="1">
        <brk id="32" max="16383" man="1"/>
      </rowBreaks>
      <pageMargins left="0" right="0" top="0" bottom="0" header="0" footer="0"/>
      <pageSetup orientation="portrait" r:id="rId11"/>
    </customSheetView>
    <customSheetView guid="{B2E1A0C6-5BA1-4CF1-B412-16D81FCDF11F}" showPageBreaks="1" printArea="1" hiddenColumns="1" state="hidden">
      <pane xSplit="1" ySplit="9" topLeftCell="D10" activePane="bottomRight" state="frozen"/>
      <selection pane="bottomRight" activeCell="D21" sqref="D21"/>
      <rowBreaks count="1" manualBreakCount="1">
        <brk id="32" max="16383" man="1"/>
      </rowBreaks>
      <pageMargins left="0" right="0" top="0" bottom="0" header="0" footer="0"/>
      <pageSetup orientation="portrait" r:id="rId12"/>
    </customSheetView>
    <customSheetView guid="{967E0446-E234-427F-8E57-7FE287052E2E}" showPageBreaks="1" printArea="1" hiddenColumns="1" state="hidden">
      <pane xSplit="1" ySplit="9" topLeftCell="D10" activePane="bottomRight" state="frozen"/>
      <selection pane="bottomRight" activeCell="D21" sqref="D21"/>
      <rowBreaks count="1" manualBreakCount="1">
        <brk id="32" max="16383" man="1"/>
      </rowBreaks>
      <pageMargins left="0" right="0" top="0" bottom="0" header="0" footer="0"/>
      <pageSetup orientation="portrait" r:id="rId13"/>
    </customSheetView>
    <customSheetView guid="{2ACFE167-4169-43A6-9AB2-59D5A2DA2DB4}" showPageBreaks="1" printArea="1" hiddenColumns="1" state="hidden">
      <pane xSplit="1" ySplit="9" topLeftCell="D10" activePane="bottomRight" state="frozen"/>
      <selection pane="bottomRight" activeCell="D21" sqref="D21"/>
      <rowBreaks count="1" manualBreakCount="1">
        <brk id="32" max="16383" man="1"/>
      </rowBreaks>
      <pageMargins left="0" right="0" top="0" bottom="0" header="0" footer="0"/>
      <pageSetup orientation="portrait" r:id="rId14"/>
    </customSheetView>
  </customSheetViews>
  <mergeCells count="10">
    <mergeCell ref="B38:K39"/>
    <mergeCell ref="D5:E5"/>
    <mergeCell ref="F5:K5"/>
    <mergeCell ref="I6:I8"/>
    <mergeCell ref="B5:B9"/>
    <mergeCell ref="C5:C9"/>
    <mergeCell ref="E6:E9"/>
    <mergeCell ref="K6:K9"/>
    <mergeCell ref="D6:D8"/>
    <mergeCell ref="J6:J8"/>
  </mergeCells>
  <pageMargins left="0.7" right="0.7" top="0.75" bottom="0.75" header="0.3" footer="0.3"/>
  <pageSetup orientation="portrait" r:id="rId15"/>
  <rowBreaks count="1" manualBreakCount="1">
    <brk id="32" max="16383" man="1"/>
  </rowBreaks>
  <legacyDrawing r:id="rId1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23"/>
  <sheetViews>
    <sheetView showGridLines="0" view="pageBreakPreview" topLeftCell="A13" zoomScaleNormal="100" zoomScaleSheetLayoutView="100" workbookViewId="0">
      <selection activeCell="I15" sqref="I15"/>
    </sheetView>
  </sheetViews>
  <sheetFormatPr defaultColWidth="9.140625" defaultRowHeight="12.75"/>
  <cols>
    <col min="1" max="1" width="3.5703125" style="54" customWidth="1"/>
    <col min="2" max="2" width="25.5703125" style="54" customWidth="1"/>
    <col min="3" max="4" width="17.28515625" style="54" customWidth="1"/>
    <col min="5" max="5" width="14" style="54" customWidth="1"/>
    <col min="6" max="6" width="15.28515625" style="54" customWidth="1"/>
    <col min="7" max="9" width="7.42578125" style="54" customWidth="1"/>
    <col min="10" max="10" width="4.5703125" style="54" customWidth="1"/>
    <col min="11" max="11" width="12.85546875" style="54" customWidth="1"/>
    <col min="12" max="12" width="14.85546875" style="54" customWidth="1"/>
    <col min="13" max="13" width="12.140625" style="54" customWidth="1"/>
    <col min="14" max="14" width="12.85546875" style="54" customWidth="1"/>
    <col min="15" max="15" width="16.42578125" style="54" customWidth="1"/>
    <col min="16" max="16" width="15.140625" style="54" customWidth="1"/>
    <col min="17" max="17" width="16.28515625" style="54" customWidth="1"/>
    <col min="18" max="18" width="12.42578125" style="54" bestFit="1" customWidth="1"/>
    <col min="19" max="19" width="17.42578125" style="54" customWidth="1"/>
    <col min="20" max="20" width="9.140625" style="54"/>
    <col min="21" max="21" width="10.7109375" style="54" customWidth="1"/>
    <col min="22" max="16384" width="9.140625" style="54"/>
  </cols>
  <sheetData>
    <row r="1" spans="1:9">
      <c r="B1" s="390"/>
    </row>
    <row r="2" spans="1:9">
      <c r="B2" s="3505" t="s">
        <v>220</v>
      </c>
      <c r="C2" s="3505"/>
      <c r="D2" s="3505"/>
      <c r="G2" s="37"/>
    </row>
    <row r="3" spans="1:9">
      <c r="B3" s="409"/>
      <c r="C3" s="409"/>
      <c r="D3" s="409"/>
      <c r="G3" s="37"/>
    </row>
    <row r="4" spans="1:9">
      <c r="B4" s="3432" t="s">
        <v>221</v>
      </c>
      <c r="C4" s="3506" t="s">
        <v>137</v>
      </c>
      <c r="D4" s="3507"/>
      <c r="E4" s="3508" t="s">
        <v>84</v>
      </c>
      <c r="F4" s="3507"/>
      <c r="G4" s="37"/>
    </row>
    <row r="5" spans="1:9" s="52" customFormat="1">
      <c r="B5" s="3434"/>
      <c r="C5" s="1899" t="s">
        <v>216</v>
      </c>
      <c r="D5" s="1898" t="s">
        <v>157</v>
      </c>
      <c r="E5" s="1898" t="s">
        <v>216</v>
      </c>
      <c r="F5" s="1898" t="s">
        <v>157</v>
      </c>
      <c r="G5" s="518"/>
    </row>
    <row r="6" spans="1:9" s="52" customFormat="1">
      <c r="B6" s="1934" t="s">
        <v>222</v>
      </c>
      <c r="C6" s="2133">
        <v>230273823</v>
      </c>
      <c r="D6" s="2057">
        <v>43.202311822202908</v>
      </c>
      <c r="E6" s="2134">
        <v>262410756.38999999</v>
      </c>
      <c r="F6" s="2060">
        <v>41.479558981095913</v>
      </c>
      <c r="G6" s="264"/>
      <c r="H6" s="264"/>
      <c r="I6" s="264"/>
    </row>
    <row r="7" spans="1:9" s="52" customFormat="1">
      <c r="B7" s="2107" t="s">
        <v>223</v>
      </c>
      <c r="C7" s="2133">
        <v>38681099.565740004</v>
      </c>
      <c r="D7" s="2057">
        <v>6.8684200487445297</v>
      </c>
      <c r="E7" s="2134">
        <v>49049128.537999995</v>
      </c>
      <c r="F7" s="2060">
        <v>7.7532500883097963</v>
      </c>
      <c r="G7" s="264"/>
      <c r="H7" s="264"/>
      <c r="I7" s="264"/>
    </row>
    <row r="8" spans="1:9" s="52" customFormat="1">
      <c r="B8" s="2107" t="s">
        <v>224</v>
      </c>
      <c r="C8" s="2133">
        <v>121703471</v>
      </c>
      <c r="D8" s="2057">
        <v>21.588036680292408</v>
      </c>
      <c r="E8" s="2134">
        <v>139619921.13999999</v>
      </c>
      <c r="F8" s="2060">
        <v>22.069875615854905</v>
      </c>
      <c r="G8" s="264"/>
      <c r="H8" s="264"/>
      <c r="I8" s="264"/>
    </row>
    <row r="9" spans="1:9" s="52" customFormat="1">
      <c r="B9" s="2107" t="s">
        <v>225</v>
      </c>
      <c r="C9" s="2133">
        <v>8735425</v>
      </c>
      <c r="D9" s="2057">
        <v>2.9983305584896258</v>
      </c>
      <c r="E9" s="2134">
        <v>9273786.5</v>
      </c>
      <c r="F9" s="2060">
        <v>1.4659177062521374</v>
      </c>
      <c r="G9" s="264"/>
      <c r="H9" s="264"/>
      <c r="I9" s="264"/>
    </row>
    <row r="10" spans="1:9" s="52" customFormat="1">
      <c r="A10" s="412"/>
      <c r="B10" s="2107" t="s">
        <v>226</v>
      </c>
      <c r="C10" s="2133">
        <v>80765691</v>
      </c>
      <c r="D10" s="2057">
        <v>14.302676753577012</v>
      </c>
      <c r="E10" s="2134">
        <v>88265111.709999993</v>
      </c>
      <c r="F10" s="2060">
        <v>13.952163995089872</v>
      </c>
      <c r="G10" s="264"/>
      <c r="H10" s="264"/>
      <c r="I10" s="264"/>
    </row>
    <row r="11" spans="1:9" s="52" customFormat="1">
      <c r="B11" s="2107" t="s">
        <v>227</v>
      </c>
      <c r="C11" s="2133">
        <v>9991047</v>
      </c>
      <c r="D11" s="2057">
        <v>1.7721894818248274</v>
      </c>
      <c r="E11" s="2134">
        <v>13426655.949999999</v>
      </c>
      <c r="F11" s="2060">
        <v>2.1223663803236219</v>
      </c>
      <c r="G11" s="264"/>
      <c r="H11" s="264"/>
      <c r="I11" s="264"/>
    </row>
    <row r="12" spans="1:9" s="52" customFormat="1">
      <c r="B12" s="2107" t="s">
        <v>228</v>
      </c>
      <c r="C12" s="2133">
        <v>6940431</v>
      </c>
      <c r="D12" s="2057">
        <v>1.2318859358118213</v>
      </c>
      <c r="E12" s="2134">
        <v>7022135.2000000002</v>
      </c>
      <c r="F12" s="2060">
        <v>1.1099966907127301</v>
      </c>
      <c r="G12" s="264"/>
      <c r="H12" s="264"/>
      <c r="I12" s="264"/>
    </row>
    <row r="13" spans="1:9" s="52" customFormat="1">
      <c r="B13" s="2107" t="s">
        <v>229</v>
      </c>
      <c r="C13" s="1328">
        <v>46944802.454170004</v>
      </c>
      <c r="D13" s="2057">
        <v>6.8879612101253986</v>
      </c>
      <c r="E13" s="2134">
        <v>48448720.686000004</v>
      </c>
      <c r="F13" s="2060">
        <v>7.6583429539672494</v>
      </c>
      <c r="G13" s="264"/>
      <c r="H13" s="264"/>
      <c r="I13" s="264"/>
    </row>
    <row r="14" spans="1:9" s="52" customFormat="1">
      <c r="B14" s="2107" t="s">
        <v>230</v>
      </c>
      <c r="C14" s="2133">
        <v>18670177</v>
      </c>
      <c r="D14" s="2057">
        <v>1.1481875089314835</v>
      </c>
      <c r="E14" s="2134">
        <v>15110462.76</v>
      </c>
      <c r="F14" s="2060">
        <v>2.3885275883937638</v>
      </c>
      <c r="G14" s="264"/>
      <c r="H14" s="264"/>
      <c r="I14" s="264"/>
    </row>
    <row r="15" spans="1:9" s="52" customFormat="1">
      <c r="B15" s="1994" t="s">
        <v>118</v>
      </c>
      <c r="C15" s="1996">
        <f>SUM(C6:C14)</f>
        <v>562705967.01990998</v>
      </c>
      <c r="D15" s="1996">
        <f t="shared" ref="D15" si="0">SUM(D6:D14)</f>
        <v>100.00000000000001</v>
      </c>
      <c r="E15" s="1996">
        <f>SUM(E6:E14)</f>
        <v>632626678.87400007</v>
      </c>
      <c r="F15" s="1996">
        <f>SUM(F6:F14)</f>
        <v>100</v>
      </c>
      <c r="G15" s="264"/>
      <c r="H15" s="264"/>
      <c r="I15" s="264"/>
    </row>
    <row r="16" spans="1:9" s="52" customFormat="1">
      <c r="C16" s="410"/>
      <c r="F16" s="264"/>
      <c r="G16" s="37"/>
    </row>
    <row r="17" spans="2:7">
      <c r="B17" s="232"/>
      <c r="C17" s="2"/>
      <c r="D17" s="2"/>
      <c r="E17" s="389"/>
      <c r="F17" s="109"/>
      <c r="G17" s="37"/>
    </row>
    <row r="18" spans="2:7">
      <c r="B18" s="632"/>
      <c r="C18" s="411"/>
      <c r="D18" s="389"/>
      <c r="E18" s="389"/>
      <c r="F18" s="389">
        <v>7</v>
      </c>
      <c r="G18" s="37"/>
    </row>
    <row r="19" spans="2:7">
      <c r="B19" s="520"/>
      <c r="C19" s="389"/>
      <c r="F19" s="346"/>
    </row>
    <row r="20" spans="2:7">
      <c r="B20" s="490"/>
      <c r="C20" s="238"/>
      <c r="F20" s="346"/>
    </row>
    <row r="21" spans="2:7">
      <c r="B21" s="520"/>
      <c r="C21" s="66"/>
      <c r="E21" s="66"/>
      <c r="F21" s="346"/>
    </row>
    <row r="23" spans="2:7">
      <c r="C23" s="77"/>
      <c r="E23" s="77"/>
    </row>
  </sheetData>
  <mergeCells count="4">
    <mergeCell ref="B2:D2"/>
    <mergeCell ref="B4:B5"/>
    <mergeCell ref="C4:D4"/>
    <mergeCell ref="E4:F4"/>
  </mergeCells>
  <pageMargins left="0.2" right="0.2" top="1" bottom="0.28999999999999998" header="0.3" footer="0.3"/>
  <pageSetup paperSize="9" scale="112" orientation="landscape" r:id="rId1"/>
  <colBreaks count="1" manualBreakCount="1">
    <brk id="10" min="1" max="60" man="1"/>
  </col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R44"/>
  <sheetViews>
    <sheetView showGridLines="0" view="pageBreakPreview" zoomScale="80" zoomScaleNormal="100" zoomScaleSheetLayoutView="80" workbookViewId="0">
      <pane xSplit="2" ySplit="4" topLeftCell="C5" activePane="bottomRight" state="frozen"/>
      <selection pane="topRight" activeCell="C1" sqref="C1"/>
      <selection pane="bottomLeft" activeCell="A5" sqref="A5"/>
      <selection pane="bottomRight" activeCell="N22" sqref="N22"/>
    </sheetView>
  </sheetViews>
  <sheetFormatPr defaultColWidth="9.140625" defaultRowHeight="12.75"/>
  <cols>
    <col min="1" max="1" width="6" style="54" customWidth="1"/>
    <col min="2" max="2" width="32.7109375" style="54" customWidth="1"/>
    <col min="3" max="6" width="15.28515625" style="54" customWidth="1"/>
    <col min="7" max="7" width="18.5703125" style="54" customWidth="1"/>
    <col min="8" max="8" width="17.5703125" style="54" customWidth="1"/>
    <col min="9" max="9" width="17" style="54" customWidth="1"/>
    <col min="10" max="10" width="18.140625" style="54" customWidth="1"/>
    <col min="11" max="19" width="8.5703125" style="54" customWidth="1"/>
    <col min="20" max="16384" width="9.140625" style="54"/>
  </cols>
  <sheetData>
    <row r="1" spans="2:18">
      <c r="B1" s="390"/>
      <c r="C1" s="390"/>
    </row>
    <row r="2" spans="2:18">
      <c r="B2" s="3419" t="s">
        <v>231</v>
      </c>
      <c r="C2" s="3419"/>
      <c r="D2" s="3419"/>
      <c r="E2" s="3419"/>
      <c r="F2" s="3419"/>
      <c r="G2" s="3419"/>
      <c r="H2" s="3419"/>
      <c r="I2" s="3419"/>
      <c r="J2" s="3419"/>
    </row>
    <row r="3" spans="2:18">
      <c r="B3" s="443"/>
      <c r="C3" s="382"/>
      <c r="D3" s="382"/>
      <c r="E3" s="382"/>
      <c r="F3" s="382"/>
      <c r="G3" s="382"/>
      <c r="H3" s="382"/>
      <c r="I3" s="51" t="s">
        <v>232</v>
      </c>
      <c r="J3" s="382"/>
    </row>
    <row r="4" spans="2:18" s="52" customFormat="1">
      <c r="B4" s="1901" t="s">
        <v>221</v>
      </c>
      <c r="C4" s="2135" t="s">
        <v>125</v>
      </c>
      <c r="D4" s="2026" t="s">
        <v>93</v>
      </c>
      <c r="E4" s="2027" t="s">
        <v>94</v>
      </c>
      <c r="F4" s="2026" t="s">
        <v>96</v>
      </c>
      <c r="G4" s="2026" t="s">
        <v>128</v>
      </c>
      <c r="H4" s="2136" t="s">
        <v>233</v>
      </c>
      <c r="I4" s="2026" t="s">
        <v>131</v>
      </c>
      <c r="J4" s="2026" t="s">
        <v>132</v>
      </c>
      <c r="L4" s="214"/>
    </row>
    <row r="5" spans="2:18" s="52" customFormat="1">
      <c r="B5" s="1900" t="s">
        <v>222</v>
      </c>
      <c r="C5" s="1981">
        <v>49406906.039999999</v>
      </c>
      <c r="D5" s="1981">
        <v>4768321</v>
      </c>
      <c r="E5" s="1981">
        <v>219475</v>
      </c>
      <c r="F5" s="1981">
        <v>1647119.2</v>
      </c>
      <c r="G5" s="1981">
        <v>58703963</v>
      </c>
      <c r="H5" s="1981">
        <v>939368</v>
      </c>
      <c r="I5" s="1981">
        <v>12175057</v>
      </c>
      <c r="J5" s="1981">
        <f>6371031+260352</f>
        <v>6631383</v>
      </c>
      <c r="K5" s="284"/>
      <c r="L5" s="284"/>
      <c r="M5" s="305"/>
      <c r="N5" s="305"/>
      <c r="O5" s="305"/>
      <c r="P5" s="305"/>
      <c r="Q5" s="305"/>
      <c r="R5" s="305"/>
    </row>
    <row r="6" spans="2:18" s="52" customFormat="1">
      <c r="B6" s="2137" t="s">
        <v>223</v>
      </c>
      <c r="C6" s="1981">
        <f>1701028.62+1000</f>
        <v>1702028.62</v>
      </c>
      <c r="D6" s="1981">
        <v>201238</v>
      </c>
      <c r="E6" s="1981">
        <v>116476</v>
      </c>
      <c r="F6" s="1981">
        <v>233916</v>
      </c>
      <c r="G6" s="1981">
        <v>2069321</v>
      </c>
      <c r="H6" s="1981">
        <v>1841</v>
      </c>
      <c r="I6" s="1981">
        <v>215221</v>
      </c>
      <c r="J6" s="1981">
        <v>3503134</v>
      </c>
      <c r="K6" s="264"/>
      <c r="L6" s="264"/>
      <c r="M6" s="305"/>
      <c r="O6" s="305"/>
      <c r="P6" s="305"/>
      <c r="Q6" s="305"/>
      <c r="R6" s="305"/>
    </row>
    <row r="7" spans="2:18" s="52" customFormat="1">
      <c r="B7" s="2137" t="s">
        <v>224</v>
      </c>
      <c r="C7" s="1981">
        <v>13337200</v>
      </c>
      <c r="D7" s="1981">
        <v>60935</v>
      </c>
      <c r="E7" s="1989"/>
      <c r="F7" s="1981">
        <v>1100968</v>
      </c>
      <c r="G7" s="1981">
        <v>28554206</v>
      </c>
      <c r="H7" s="1981">
        <v>1486745</v>
      </c>
      <c r="I7" s="1981">
        <f>6339921+1150000</f>
        <v>7489921</v>
      </c>
      <c r="J7" s="1981">
        <v>7228853</v>
      </c>
      <c r="K7" s="305"/>
      <c r="L7" s="305"/>
      <c r="M7" s="305"/>
      <c r="N7" s="305"/>
      <c r="O7" s="305"/>
      <c r="P7" s="305"/>
      <c r="Q7" s="305"/>
      <c r="R7" s="305"/>
    </row>
    <row r="8" spans="2:18" s="52" customFormat="1">
      <c r="B8" s="2137" t="s">
        <v>225</v>
      </c>
      <c r="C8" s="1989"/>
      <c r="D8" s="1989"/>
      <c r="E8" s="1981">
        <v>147500</v>
      </c>
      <c r="F8" s="1989"/>
      <c r="G8" s="1981">
        <v>4045700</v>
      </c>
      <c r="H8" s="1981">
        <v>204000</v>
      </c>
      <c r="I8" s="1989"/>
      <c r="J8" s="1981">
        <v>1742354</v>
      </c>
      <c r="K8" s="305"/>
      <c r="L8" s="305"/>
      <c r="M8" s="305"/>
      <c r="O8" s="305"/>
      <c r="P8" s="305"/>
      <c r="R8" s="305"/>
    </row>
    <row r="9" spans="2:18" s="52" customFormat="1">
      <c r="B9" s="2137" t="s">
        <v>226</v>
      </c>
      <c r="C9" s="1981">
        <v>1123644.18</v>
      </c>
      <c r="D9" s="1981">
        <v>347297</v>
      </c>
      <c r="E9" s="1981">
        <v>2366037</v>
      </c>
      <c r="F9" s="1981">
        <v>412221</v>
      </c>
      <c r="G9" s="1981">
        <v>57517815</v>
      </c>
      <c r="H9" s="1981">
        <v>752095</v>
      </c>
      <c r="I9" s="1981">
        <v>7170837</v>
      </c>
      <c r="J9" s="1981">
        <v>1615681</v>
      </c>
      <c r="K9" s="305"/>
      <c r="L9" s="305"/>
      <c r="M9" s="305"/>
      <c r="N9" s="305"/>
      <c r="O9" s="305"/>
      <c r="P9" s="305"/>
      <c r="Q9" s="305"/>
      <c r="R9" s="305"/>
    </row>
    <row r="10" spans="2:18" s="52" customFormat="1">
      <c r="B10" s="2137" t="s">
        <v>227</v>
      </c>
      <c r="C10" s="1989"/>
      <c r="D10" s="1981">
        <v>218951</v>
      </c>
      <c r="E10" s="1981">
        <v>92083</v>
      </c>
      <c r="F10" s="1981">
        <v>75870</v>
      </c>
      <c r="G10" s="1989"/>
      <c r="H10" s="1989"/>
      <c r="I10" s="1989"/>
      <c r="J10" s="1981">
        <v>2572733</v>
      </c>
      <c r="K10" s="305"/>
      <c r="L10" s="305"/>
      <c r="M10" s="305"/>
      <c r="Q10" s="305"/>
      <c r="R10" s="305"/>
    </row>
    <row r="11" spans="2:18" s="52" customFormat="1">
      <c r="B11" s="2137" t="s">
        <v>234</v>
      </c>
      <c r="C11" s="1989"/>
      <c r="D11" s="1989"/>
      <c r="E11" s="1981">
        <v>142731</v>
      </c>
      <c r="F11" s="1989"/>
      <c r="G11" s="1989"/>
      <c r="H11" s="1989"/>
      <c r="I11" s="1989"/>
      <c r="J11" s="1989"/>
      <c r="K11" s="305"/>
      <c r="L11" s="305"/>
      <c r="M11" s="305"/>
    </row>
    <row r="12" spans="2:18" s="52" customFormat="1">
      <c r="B12" s="2137" t="s">
        <v>235</v>
      </c>
      <c r="C12" s="1981">
        <v>160130.39000000001</v>
      </c>
      <c r="D12" s="1981">
        <v>111551</v>
      </c>
      <c r="E12" s="1989"/>
      <c r="F12" s="1981">
        <v>8374</v>
      </c>
      <c r="G12" s="1981">
        <v>392170</v>
      </c>
      <c r="H12" s="1981">
        <v>12351</v>
      </c>
      <c r="I12" s="1981">
        <v>317009</v>
      </c>
      <c r="J12" s="1981">
        <v>55400</v>
      </c>
      <c r="K12" s="305"/>
      <c r="L12" s="305"/>
      <c r="M12" s="305"/>
      <c r="N12" s="305"/>
      <c r="O12" s="305"/>
      <c r="P12" s="305"/>
      <c r="Q12" s="305"/>
      <c r="R12" s="305"/>
    </row>
    <row r="13" spans="2:18" s="52" customFormat="1">
      <c r="B13" s="2137" t="s">
        <v>228</v>
      </c>
      <c r="C13" s="1981">
        <v>460486.69</v>
      </c>
      <c r="D13" s="1989"/>
      <c r="E13" s="1989"/>
      <c r="F13" s="1981">
        <v>425525.38</v>
      </c>
      <c r="G13" s="1981">
        <v>1561981</v>
      </c>
      <c r="H13" s="1981">
        <v>31232</v>
      </c>
      <c r="I13" s="1981">
        <v>403452</v>
      </c>
      <c r="J13" s="1981">
        <f>229397+34853</f>
        <v>264250</v>
      </c>
      <c r="K13" s="305"/>
      <c r="L13" s="305"/>
      <c r="M13" s="305"/>
      <c r="N13" s="305"/>
      <c r="O13" s="305"/>
      <c r="P13" s="305"/>
      <c r="Q13" s="305"/>
      <c r="R13" s="305"/>
    </row>
    <row r="14" spans="2:18" s="52" customFormat="1" ht="25.5">
      <c r="B14" s="2138" t="s">
        <v>236</v>
      </c>
      <c r="C14" s="1981">
        <v>408965.32</v>
      </c>
      <c r="D14" s="1981">
        <v>52517</v>
      </c>
      <c r="E14" s="1981">
        <v>35952</v>
      </c>
      <c r="F14" s="1981">
        <v>62470</v>
      </c>
      <c r="G14" s="1981">
        <v>336496</v>
      </c>
      <c r="H14" s="1981">
        <v>12719</v>
      </c>
      <c r="I14" s="1981">
        <v>7822</v>
      </c>
      <c r="J14" s="1981">
        <v>152413</v>
      </c>
      <c r="K14" s="305"/>
      <c r="L14" s="305"/>
      <c r="M14" s="305"/>
      <c r="N14" s="305"/>
      <c r="O14" s="305"/>
      <c r="P14" s="305"/>
      <c r="Q14" s="305"/>
      <c r="R14" s="305"/>
    </row>
    <row r="15" spans="2:18" s="52" customFormat="1">
      <c r="B15" s="2137" t="s">
        <v>237</v>
      </c>
      <c r="C15" s="1981">
        <v>1501618</v>
      </c>
      <c r="D15" s="1981">
        <v>56548</v>
      </c>
      <c r="E15" s="1981">
        <v>13460</v>
      </c>
      <c r="F15" s="1981">
        <v>57692</v>
      </c>
      <c r="G15" s="1981">
        <v>10177018</v>
      </c>
      <c r="H15" s="1981">
        <v>76217</v>
      </c>
      <c r="I15" s="1981">
        <v>141390</v>
      </c>
      <c r="J15" s="1981">
        <v>243726</v>
      </c>
      <c r="K15" s="305"/>
      <c r="L15" s="305"/>
      <c r="M15" s="305"/>
      <c r="N15" s="305"/>
      <c r="O15" s="305"/>
      <c r="P15" s="305"/>
      <c r="Q15" s="305"/>
      <c r="R15" s="305"/>
    </row>
    <row r="16" spans="2:18" s="52" customFormat="1">
      <c r="B16" s="2137" t="s">
        <v>229</v>
      </c>
      <c r="C16" s="1981">
        <v>3503266</v>
      </c>
      <c r="D16" s="1981">
        <v>2213803</v>
      </c>
      <c r="E16" s="1981">
        <v>128567</v>
      </c>
      <c r="F16" s="1981">
        <v>242066</v>
      </c>
      <c r="G16" s="1981">
        <v>9909935</v>
      </c>
      <c r="H16" s="1981">
        <v>196801</v>
      </c>
      <c r="I16" s="1981">
        <v>1201245</v>
      </c>
      <c r="J16" s="1981">
        <f>1448106+187511</f>
        <v>1635617</v>
      </c>
      <c r="K16" s="305"/>
      <c r="L16" s="305"/>
      <c r="M16" s="305"/>
      <c r="N16" s="305"/>
      <c r="O16" s="305"/>
      <c r="P16" s="305"/>
      <c r="Q16" s="305"/>
      <c r="R16" s="305"/>
    </row>
    <row r="17" spans="1:18" s="52" customFormat="1">
      <c r="B17" s="2137" t="s">
        <v>230</v>
      </c>
      <c r="C17" s="1981">
        <v>659595.5</v>
      </c>
      <c r="D17" s="1981">
        <v>160110</v>
      </c>
      <c r="E17" s="1981">
        <v>75220</v>
      </c>
      <c r="F17" s="1981">
        <v>150015</v>
      </c>
      <c r="G17" s="1981">
        <v>494350</v>
      </c>
      <c r="H17" s="1981">
        <v>6458</v>
      </c>
      <c r="I17" s="1981">
        <v>341997</v>
      </c>
      <c r="J17" s="1981">
        <f>319149+80843</f>
        <v>399992</v>
      </c>
      <c r="K17" s="305"/>
      <c r="L17" s="305"/>
      <c r="M17" s="305"/>
      <c r="N17" s="305"/>
      <c r="O17" s="305"/>
      <c r="P17" s="305"/>
      <c r="Q17" s="305"/>
      <c r="R17" s="492"/>
    </row>
    <row r="18" spans="1:18" s="52" customFormat="1">
      <c r="B18" s="1994" t="s">
        <v>118</v>
      </c>
      <c r="C18" s="1996">
        <f t="shared" ref="C18:J18" si="0">SUM(C5:C17)</f>
        <v>72263840.739999995</v>
      </c>
      <c r="D18" s="1996">
        <f t="shared" si="0"/>
        <v>8191271</v>
      </c>
      <c r="E18" s="1996">
        <f t="shared" si="0"/>
        <v>3337501</v>
      </c>
      <c r="F18" s="1996">
        <f t="shared" si="0"/>
        <v>4416236.58</v>
      </c>
      <c r="G18" s="1996">
        <f t="shared" si="0"/>
        <v>173762955</v>
      </c>
      <c r="H18" s="1996">
        <f t="shared" si="0"/>
        <v>3719827</v>
      </c>
      <c r="I18" s="1996">
        <f t="shared" si="0"/>
        <v>29463951</v>
      </c>
      <c r="J18" s="1996">
        <f t="shared" si="0"/>
        <v>26045536</v>
      </c>
      <c r="K18" s="305"/>
      <c r="L18" s="305"/>
      <c r="M18" s="305"/>
      <c r="N18" s="305"/>
      <c r="O18" s="305"/>
      <c r="P18" s="305"/>
      <c r="Q18" s="305"/>
      <c r="R18" s="305"/>
    </row>
    <row r="19" spans="1:18" s="52" customFormat="1">
      <c r="B19" s="236"/>
      <c r="C19" s="279"/>
      <c r="D19" s="279"/>
      <c r="E19" s="279"/>
      <c r="F19" s="279"/>
      <c r="G19" s="279"/>
      <c r="H19" s="279"/>
      <c r="I19" s="279"/>
      <c r="J19" s="279"/>
    </row>
    <row r="20" spans="1:18" s="52" customFormat="1">
      <c r="C20" s="279"/>
      <c r="D20" s="279"/>
      <c r="E20" s="279"/>
      <c r="F20" s="279"/>
      <c r="G20" s="279"/>
      <c r="H20" s="279"/>
      <c r="I20" s="279"/>
      <c r="J20" s="264">
        <v>8</v>
      </c>
    </row>
    <row r="21" spans="1:18" s="52" customFormat="1">
      <c r="C21" s="279"/>
      <c r="D21" s="279"/>
      <c r="E21" s="279"/>
      <c r="F21" s="279"/>
      <c r="G21" s="279"/>
      <c r="H21" s="279"/>
      <c r="I21" s="279"/>
      <c r="J21" s="279"/>
    </row>
    <row r="22" spans="1:18" s="52" customFormat="1">
      <c r="B22" s="3419" t="s">
        <v>238</v>
      </c>
      <c r="C22" s="3419"/>
      <c r="D22" s="3419"/>
      <c r="E22" s="3419"/>
      <c r="F22" s="3419"/>
      <c r="G22" s="3419"/>
      <c r="H22" s="3419"/>
      <c r="I22" s="3419"/>
      <c r="J22" s="3419"/>
    </row>
    <row r="23" spans="1:18" s="52" customFormat="1">
      <c r="B23" s="493"/>
      <c r="C23" s="493"/>
      <c r="D23" s="493"/>
      <c r="E23" s="493"/>
      <c r="F23" s="493"/>
      <c r="G23" s="493"/>
      <c r="H23" s="493"/>
      <c r="I23" s="51" t="s">
        <v>232</v>
      </c>
      <c r="J23" s="493"/>
    </row>
    <row r="24" spans="1:18">
      <c r="A24" s="52"/>
      <c r="B24" s="1901" t="s">
        <v>221</v>
      </c>
      <c r="C24" s="2135" t="s">
        <v>106</v>
      </c>
      <c r="D24" s="2026" t="s">
        <v>107</v>
      </c>
      <c r="E24" s="2026" t="s">
        <v>109</v>
      </c>
      <c r="F24" s="2026" t="s">
        <v>113</v>
      </c>
      <c r="G24" s="2026" t="s">
        <v>115</v>
      </c>
      <c r="H24" s="2136" t="s">
        <v>116</v>
      </c>
      <c r="I24" s="2026" t="s">
        <v>117</v>
      </c>
      <c r="J24" s="2013" t="s">
        <v>118</v>
      </c>
    </row>
    <row r="25" spans="1:18" s="52" customFormat="1">
      <c r="B25" s="1900" t="s">
        <v>222</v>
      </c>
      <c r="C25" s="1981">
        <v>1358522</v>
      </c>
      <c r="D25" s="1981">
        <v>4885631</v>
      </c>
      <c r="E25" s="1981">
        <v>778687</v>
      </c>
      <c r="F25" s="1981">
        <v>332356</v>
      </c>
      <c r="G25" s="1981">
        <v>69150522.799999997</v>
      </c>
      <c r="H25" s="2139">
        <v>13164690</v>
      </c>
      <c r="I25" s="1981">
        <v>38248756</v>
      </c>
      <c r="J25" s="1995">
        <f>C5+D5+E5+F5+G5+H5+I5+J5+C25+D25+E25+F25+G25+H25+I25</f>
        <v>262410757.04000002</v>
      </c>
      <c r="K25" s="305"/>
      <c r="L25" s="182"/>
      <c r="M25" s="494"/>
      <c r="N25" s="305"/>
      <c r="O25" s="305"/>
      <c r="P25" s="305"/>
    </row>
    <row r="26" spans="1:18" s="52" customFormat="1" ht="15">
      <c r="B26" s="2137" t="s">
        <v>223</v>
      </c>
      <c r="C26" s="1981">
        <v>327403</v>
      </c>
      <c r="D26" s="1981">
        <v>89550</v>
      </c>
      <c r="E26" s="1981"/>
      <c r="F26" s="1981">
        <f>340553+306141+400</f>
        <v>647094</v>
      </c>
      <c r="G26" s="1981">
        <f>27674040.05+3296543.37</f>
        <v>30970583.420000002</v>
      </c>
      <c r="H26" s="2140">
        <v>2540271</v>
      </c>
      <c r="I26" s="1981">
        <f>3768020+1513031</f>
        <v>5281051</v>
      </c>
      <c r="J26" s="1995">
        <f t="shared" ref="J26:J37" si="1">C6+D6+E6+F6+G6+H6+I6+J6+C26+D26+E26+F26+G26+H26+I26</f>
        <v>47899128.040000007</v>
      </c>
      <c r="K26" s="419"/>
      <c r="L26" s="182"/>
      <c r="M26" s="494"/>
      <c r="N26" s="305"/>
      <c r="O26" s="305"/>
      <c r="P26" s="305"/>
    </row>
    <row r="27" spans="1:18" s="52" customFormat="1">
      <c r="B27" s="2137" t="s">
        <v>224</v>
      </c>
      <c r="C27" s="1981">
        <v>423076</v>
      </c>
      <c r="D27" s="1981">
        <v>2315070</v>
      </c>
      <c r="E27" s="1989"/>
      <c r="F27" s="1981">
        <v>377964</v>
      </c>
      <c r="G27" s="1981">
        <v>56054728.890000001</v>
      </c>
      <c r="H27" s="2139">
        <v>10212249</v>
      </c>
      <c r="I27" s="1981">
        <v>12128005</v>
      </c>
      <c r="J27" s="1995">
        <f t="shared" si="1"/>
        <v>140769920.88999999</v>
      </c>
      <c r="K27" s="305"/>
      <c r="L27" s="182"/>
      <c r="M27" s="494"/>
      <c r="N27" s="305"/>
      <c r="O27" s="305"/>
    </row>
    <row r="28" spans="1:18" s="52" customFormat="1">
      <c r="B28" s="2137" t="s">
        <v>225</v>
      </c>
      <c r="C28" s="1981">
        <v>300000</v>
      </c>
      <c r="D28" s="1989"/>
      <c r="E28" s="1989"/>
      <c r="F28" s="1989"/>
      <c r="G28" s="2139">
        <v>97939.5</v>
      </c>
      <c r="H28" s="2139">
        <v>288132</v>
      </c>
      <c r="I28" s="1981">
        <v>2448161</v>
      </c>
      <c r="J28" s="1995">
        <f>C8+D8+E8+F8+G8+H8+I8+J8+C28+D28+E28+F28+G28+H28+I28</f>
        <v>9273786.5</v>
      </c>
      <c r="K28" s="305"/>
      <c r="L28" s="182"/>
      <c r="M28" s="494"/>
      <c r="N28" s="305"/>
      <c r="O28" s="305"/>
    </row>
    <row r="29" spans="1:18" s="52" customFormat="1">
      <c r="B29" s="2137" t="s">
        <v>226</v>
      </c>
      <c r="C29" s="1981">
        <v>707025</v>
      </c>
      <c r="D29" s="1981">
        <v>77489</v>
      </c>
      <c r="E29" s="1981">
        <v>142194</v>
      </c>
      <c r="F29" s="1981">
        <v>717645</v>
      </c>
      <c r="G29" s="1981">
        <v>7911667</v>
      </c>
      <c r="H29" s="2139">
        <v>4360432</v>
      </c>
      <c r="I29" s="2139">
        <v>3043033</v>
      </c>
      <c r="J29" s="1995">
        <f>C9+D9+E9+F9+G9+H9+I9+J9+C29+D29+E29+F29+G29+H29+I29</f>
        <v>88265112.180000007</v>
      </c>
      <c r="K29" s="305"/>
      <c r="L29" s="182"/>
      <c r="M29" s="494"/>
      <c r="N29" s="305"/>
      <c r="O29" s="305"/>
    </row>
    <row r="30" spans="1:18" s="52" customFormat="1">
      <c r="B30" s="2137" t="s">
        <v>227</v>
      </c>
      <c r="C30" s="1981">
        <v>87834</v>
      </c>
      <c r="D30" s="1981">
        <v>1452389</v>
      </c>
      <c r="E30" s="1981">
        <v>46900.72</v>
      </c>
      <c r="F30" s="1981">
        <v>41789</v>
      </c>
      <c r="G30" s="1981">
        <v>2757062</v>
      </c>
      <c r="H30" s="2139">
        <v>3939787</v>
      </c>
      <c r="I30" s="1981">
        <v>2141257</v>
      </c>
      <c r="J30" s="1995">
        <f t="shared" si="1"/>
        <v>13426655.719999999</v>
      </c>
      <c r="K30" s="305"/>
      <c r="L30" s="182"/>
      <c r="M30" s="494"/>
      <c r="N30" s="305"/>
      <c r="O30" s="305"/>
    </row>
    <row r="31" spans="1:18" s="52" customFormat="1">
      <c r="B31" s="2137" t="s">
        <v>234</v>
      </c>
      <c r="C31" s="1989"/>
      <c r="D31" s="1989"/>
      <c r="E31" s="1989"/>
      <c r="F31" s="1989"/>
      <c r="G31" s="1989"/>
      <c r="H31" s="1989"/>
      <c r="I31" s="1989"/>
      <c r="J31" s="1995">
        <f t="shared" si="1"/>
        <v>142731</v>
      </c>
      <c r="L31" s="182"/>
      <c r="M31" s="494"/>
    </row>
    <row r="32" spans="1:18" s="52" customFormat="1">
      <c r="B32" s="2137" t="s">
        <v>235</v>
      </c>
      <c r="C32" s="1989"/>
      <c r="D32" s="1981">
        <v>50772</v>
      </c>
      <c r="E32" s="1981">
        <v>12726</v>
      </c>
      <c r="F32" s="1981">
        <v>16058</v>
      </c>
      <c r="G32" s="1981">
        <v>827253</v>
      </c>
      <c r="H32" s="2139">
        <v>231587</v>
      </c>
      <c r="I32" s="1981">
        <v>969446</v>
      </c>
      <c r="J32" s="1995">
        <f t="shared" si="1"/>
        <v>3164827.39</v>
      </c>
      <c r="L32" s="182"/>
      <c r="M32" s="494"/>
      <c r="N32" s="305"/>
      <c r="O32" s="305"/>
    </row>
    <row r="33" spans="2:15" s="52" customFormat="1">
      <c r="B33" s="2137" t="s">
        <v>228</v>
      </c>
      <c r="C33" s="1981">
        <v>85593</v>
      </c>
      <c r="D33" s="1981">
        <v>72119</v>
      </c>
      <c r="E33" s="1981">
        <v>3979.13</v>
      </c>
      <c r="F33" s="1981">
        <v>31589</v>
      </c>
      <c r="G33" s="1981">
        <v>1525651</v>
      </c>
      <c r="H33" s="2139">
        <v>224198</v>
      </c>
      <c r="I33" s="1981">
        <v>1932079</v>
      </c>
      <c r="J33" s="1995">
        <f t="shared" si="1"/>
        <v>7022135.2000000002</v>
      </c>
      <c r="K33" s="305"/>
      <c r="L33" s="182"/>
      <c r="M33" s="494"/>
      <c r="N33" s="305"/>
      <c r="O33" s="305"/>
    </row>
    <row r="34" spans="2:15" s="52" customFormat="1" ht="25.5">
      <c r="B34" s="2138" t="s">
        <v>236</v>
      </c>
      <c r="C34" s="1981">
        <v>11908</v>
      </c>
      <c r="D34" s="1981">
        <v>175873</v>
      </c>
      <c r="E34" s="1981">
        <v>1677.45</v>
      </c>
      <c r="F34" s="1981">
        <v>16515</v>
      </c>
      <c r="G34" s="1981">
        <v>507391</v>
      </c>
      <c r="H34" s="2139">
        <v>983657</v>
      </c>
      <c r="I34" s="1981">
        <v>532975</v>
      </c>
      <c r="J34" s="1995">
        <f t="shared" si="1"/>
        <v>3299350.77</v>
      </c>
      <c r="K34" s="305"/>
      <c r="L34" s="182"/>
      <c r="M34" s="494"/>
      <c r="N34" s="305"/>
      <c r="O34" s="305"/>
    </row>
    <row r="35" spans="2:15" s="52" customFormat="1">
      <c r="B35" s="2137" t="s">
        <v>237</v>
      </c>
      <c r="C35" s="1981">
        <v>20995</v>
      </c>
      <c r="D35" s="1981">
        <v>27658</v>
      </c>
      <c r="E35" s="1981">
        <v>116.73</v>
      </c>
      <c r="F35" s="1981">
        <v>130545</v>
      </c>
      <c r="G35" s="1989"/>
      <c r="H35" s="2139">
        <v>329613</v>
      </c>
      <c r="I35" s="1981">
        <v>297953</v>
      </c>
      <c r="J35" s="1995">
        <f t="shared" si="1"/>
        <v>13074549.73</v>
      </c>
      <c r="K35" s="305"/>
      <c r="L35" s="342"/>
      <c r="M35" s="494"/>
      <c r="N35" s="305"/>
      <c r="O35" s="305"/>
    </row>
    <row r="36" spans="2:15" s="52" customFormat="1">
      <c r="B36" s="2137" t="s">
        <v>229</v>
      </c>
      <c r="C36" s="1981">
        <v>97790</v>
      </c>
      <c r="D36" s="1981">
        <v>226306</v>
      </c>
      <c r="E36" s="1981">
        <v>7824.13</v>
      </c>
      <c r="F36" s="1981">
        <v>334328</v>
      </c>
      <c r="G36" s="1981">
        <v>3928346</v>
      </c>
      <c r="H36" s="2139">
        <v>2372196</v>
      </c>
      <c r="I36" s="1981">
        <v>2769172</v>
      </c>
      <c r="J36" s="1995">
        <f t="shared" si="1"/>
        <v>28767262.129999999</v>
      </c>
      <c r="K36" s="305"/>
      <c r="L36" s="342"/>
      <c r="M36" s="494"/>
      <c r="N36" s="305"/>
      <c r="O36" s="305"/>
    </row>
    <row r="37" spans="2:15" s="52" customFormat="1">
      <c r="B37" s="2061" t="s">
        <v>230</v>
      </c>
      <c r="C37" s="1981">
        <v>71394</v>
      </c>
      <c r="D37" s="1981">
        <v>249289</v>
      </c>
      <c r="E37" s="1981">
        <v>10157.379999999999</v>
      </c>
      <c r="F37" s="1981">
        <v>36614</v>
      </c>
      <c r="G37" s="1981">
        <v>10788603</v>
      </c>
      <c r="H37" s="2139">
        <v>696920</v>
      </c>
      <c r="I37" s="1981">
        <v>969748</v>
      </c>
      <c r="J37" s="1995">
        <f t="shared" si="1"/>
        <v>15110462.879999999</v>
      </c>
      <c r="K37" s="492"/>
      <c r="L37" s="342"/>
      <c r="M37" s="494"/>
      <c r="N37" s="305"/>
      <c r="O37" s="305"/>
    </row>
    <row r="38" spans="2:15" s="52" customFormat="1">
      <c r="B38" s="1994" t="s">
        <v>118</v>
      </c>
      <c r="C38" s="1996">
        <f>SUM(C25:C37)</f>
        <v>3491540</v>
      </c>
      <c r="D38" s="1996">
        <f>SUM(D25:D37)</f>
        <v>9622146</v>
      </c>
      <c r="E38" s="1996">
        <f t="shared" ref="E38:I38" si="2">SUM(E25:E37)</f>
        <v>1004262.5399999999</v>
      </c>
      <c r="F38" s="1996">
        <f t="shared" si="2"/>
        <v>2682497</v>
      </c>
      <c r="G38" s="1996">
        <f t="shared" si="2"/>
        <v>184519747.61000001</v>
      </c>
      <c r="H38" s="1996">
        <f>SUM(H25:H37)</f>
        <v>39343732</v>
      </c>
      <c r="I38" s="1996">
        <f t="shared" si="2"/>
        <v>70761636</v>
      </c>
      <c r="J38" s="1995">
        <f>C18+D18+E18+F18+G18+H18+I18+J18+C38+D38+E38+F38+G38+H38+I38</f>
        <v>632626679.47000003</v>
      </c>
      <c r="K38" s="305"/>
      <c r="L38" s="519"/>
      <c r="M38" s="494"/>
      <c r="N38" s="305"/>
      <c r="O38" s="305"/>
    </row>
    <row r="39" spans="2:15">
      <c r="C39" s="342"/>
      <c r="D39" s="342"/>
      <c r="E39" s="342"/>
      <c r="F39" s="342"/>
      <c r="G39" s="342"/>
      <c r="H39" s="342"/>
      <c r="I39" s="342"/>
      <c r="J39" s="342"/>
      <c r="M39" s="494"/>
    </row>
    <row r="40" spans="2:15">
      <c r="B40" s="3509" t="s">
        <v>239</v>
      </c>
      <c r="C40" s="3509"/>
      <c r="D40" s="3509"/>
      <c r="E40" s="3509"/>
      <c r="F40" s="3509"/>
      <c r="G40" s="342"/>
      <c r="H40" s="342"/>
      <c r="I40" s="342"/>
      <c r="J40" s="342"/>
      <c r="M40" s="494"/>
    </row>
    <row r="41" spans="2:15">
      <c r="C41" s="342"/>
      <c r="D41" s="342"/>
      <c r="E41" s="342"/>
      <c r="F41" s="342"/>
      <c r="G41" s="342"/>
      <c r="H41" s="342"/>
      <c r="I41" s="342"/>
      <c r="J41" s="346">
        <v>9</v>
      </c>
      <c r="M41" s="494"/>
    </row>
    <row r="42" spans="2:15">
      <c r="B42" s="2"/>
      <c r="C42" s="451"/>
      <c r="D42" s="451"/>
      <c r="E42" s="451"/>
      <c r="F42" s="451"/>
      <c r="G42" s="451"/>
      <c r="H42" s="451"/>
      <c r="I42" s="451"/>
      <c r="J42" s="77"/>
      <c r="M42" s="494"/>
    </row>
    <row r="43" spans="2:15">
      <c r="B43" s="384"/>
      <c r="C43" s="452"/>
      <c r="D43" s="452"/>
      <c r="E43" s="452"/>
      <c r="F43" s="452"/>
      <c r="G43" s="452"/>
      <c r="H43" s="452"/>
      <c r="I43" s="452"/>
      <c r="J43" s="452"/>
      <c r="M43" s="494"/>
    </row>
    <row r="44" spans="2:15">
      <c r="B44" s="490"/>
      <c r="C44" s="494"/>
      <c r="D44" s="494"/>
      <c r="E44" s="494"/>
      <c r="F44" s="494"/>
      <c r="G44" s="494"/>
      <c r="H44" s="494"/>
      <c r="I44" s="494"/>
      <c r="J44" s="494"/>
      <c r="M44" s="494"/>
    </row>
  </sheetData>
  <mergeCells count="3">
    <mergeCell ref="B2:J2"/>
    <mergeCell ref="B22:J22"/>
    <mergeCell ref="B40:F40"/>
  </mergeCells>
  <pageMargins left="0.22" right="0.24" top="0.19" bottom="0.28999999999999998" header="0.17" footer="0.17"/>
  <pageSetup paperSize="9" scale="83" orientation="landscape" r:id="rId1"/>
  <rowBreaks count="1" manualBreakCount="1">
    <brk id="20" max="9" man="1"/>
  </rowBreaks>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99"/>
  </sheetPr>
  <dimension ref="A1:N49"/>
  <sheetViews>
    <sheetView showGridLines="0" view="pageBreakPreview" zoomScaleNormal="100" zoomScaleSheetLayoutView="100" workbookViewId="0">
      <selection activeCell="H10" sqref="H10"/>
    </sheetView>
  </sheetViews>
  <sheetFormatPr defaultColWidth="9.140625" defaultRowHeight="12.75"/>
  <cols>
    <col min="1" max="1" width="3.140625" style="2" customWidth="1"/>
    <col min="2" max="2" width="37.85546875" style="2" customWidth="1"/>
    <col min="3" max="3" width="18" style="2" customWidth="1"/>
    <col min="4" max="4" width="15.5703125" style="2" customWidth="1"/>
    <col min="5" max="5" width="14.28515625" style="2" customWidth="1"/>
    <col min="6" max="6" width="14.7109375" style="2" bestFit="1" customWidth="1"/>
    <col min="7" max="7" width="16.85546875" style="54" bestFit="1" customWidth="1"/>
    <col min="8" max="8" width="14.5703125" style="2" bestFit="1" customWidth="1"/>
    <col min="9" max="9" width="14.42578125" style="2" customWidth="1"/>
    <col min="10" max="10" width="14.85546875" style="2" bestFit="1" customWidth="1"/>
    <col min="11" max="11" width="15.42578125" style="2" bestFit="1" customWidth="1"/>
    <col min="12" max="12" width="14.85546875" style="2" customWidth="1"/>
    <col min="13" max="13" width="11.42578125" style="2" customWidth="1"/>
    <col min="14" max="14" width="12.5703125" style="2" customWidth="1"/>
    <col min="15" max="15" width="10.42578125" style="2" bestFit="1" customWidth="1"/>
    <col min="16" max="16" width="14" style="2" bestFit="1" customWidth="1"/>
    <col min="17" max="17" width="11.28515625" style="2" bestFit="1" customWidth="1"/>
    <col min="18" max="18" width="13.42578125" style="2" bestFit="1" customWidth="1"/>
    <col min="19" max="20" width="13.42578125" style="2" customWidth="1"/>
    <col min="21" max="21" width="14.85546875" style="2" bestFit="1" customWidth="1"/>
    <col min="22" max="22" width="13.28515625" style="2" bestFit="1" customWidth="1"/>
    <col min="23" max="16384" width="9.140625" style="2"/>
  </cols>
  <sheetData>
    <row r="1" spans="1:14">
      <c r="B1" s="1"/>
    </row>
    <row r="2" spans="1:14">
      <c r="B2" s="3470" t="s">
        <v>240</v>
      </c>
      <c r="C2" s="3470"/>
      <c r="D2" s="3470"/>
    </row>
    <row r="3" spans="1:14">
      <c r="B3" s="391"/>
      <c r="C3" s="453"/>
    </row>
    <row r="4" spans="1:14">
      <c r="B4" s="3432" t="s">
        <v>221</v>
      </c>
      <c r="C4" s="3510" t="s">
        <v>137</v>
      </c>
      <c r="D4" s="3511"/>
      <c r="E4" s="3510" t="s">
        <v>84</v>
      </c>
      <c r="F4" s="3511"/>
    </row>
    <row r="5" spans="1:14">
      <c r="B5" s="3434"/>
      <c r="C5" s="1902" t="s">
        <v>216</v>
      </c>
      <c r="D5" s="1902" t="s">
        <v>157</v>
      </c>
      <c r="E5" s="1902" t="s">
        <v>216</v>
      </c>
      <c r="F5" s="1902" t="s">
        <v>157</v>
      </c>
    </row>
    <row r="6" spans="1:14" s="292" customFormat="1">
      <c r="B6" s="1732" t="s">
        <v>222</v>
      </c>
      <c r="C6" s="1334">
        <v>65700091</v>
      </c>
      <c r="D6" s="1335">
        <v>28.99</v>
      </c>
      <c r="E6" s="1332">
        <v>76226076</v>
      </c>
      <c r="F6" s="1333">
        <v>30.59</v>
      </c>
      <c r="G6" s="396"/>
      <c r="H6" s="396"/>
      <c r="N6" s="396"/>
    </row>
    <row r="7" spans="1:14" s="292" customFormat="1">
      <c r="B7" s="2052" t="s">
        <v>223</v>
      </c>
      <c r="C7" s="1334">
        <v>32566853</v>
      </c>
      <c r="D7" s="1335">
        <v>14.37</v>
      </c>
      <c r="E7" s="1332">
        <v>34972269</v>
      </c>
      <c r="F7" s="1333">
        <v>14.03</v>
      </c>
      <c r="G7" s="396"/>
      <c r="H7" s="396"/>
      <c r="N7" s="396"/>
    </row>
    <row r="8" spans="1:14" s="292" customFormat="1">
      <c r="B8" s="2052" t="s">
        <v>224</v>
      </c>
      <c r="C8" s="1334">
        <v>17812377</v>
      </c>
      <c r="D8" s="1335">
        <v>7.86</v>
      </c>
      <c r="E8" s="1332">
        <v>20092438</v>
      </c>
      <c r="F8" s="1333">
        <v>8.06</v>
      </c>
      <c r="G8" s="396"/>
      <c r="H8" s="396"/>
    </row>
    <row r="9" spans="1:14" s="292" customFormat="1">
      <c r="B9" s="2052" t="s">
        <v>225</v>
      </c>
      <c r="C9" s="1334">
        <v>1964966</v>
      </c>
      <c r="D9" s="1335">
        <v>0.87</v>
      </c>
      <c r="E9" s="1332">
        <v>2203600</v>
      </c>
      <c r="F9" s="1333">
        <v>0.88</v>
      </c>
      <c r="G9" s="396"/>
      <c r="H9" s="396"/>
    </row>
    <row r="10" spans="1:14" s="292" customFormat="1">
      <c r="B10" s="2052" t="s">
        <v>226</v>
      </c>
      <c r="C10" s="1334">
        <v>25664111</v>
      </c>
      <c r="D10" s="1335">
        <v>11.32</v>
      </c>
      <c r="E10" s="1332">
        <v>23470757</v>
      </c>
      <c r="F10" s="1333">
        <v>9.42</v>
      </c>
      <c r="G10" s="396"/>
      <c r="H10" s="396"/>
    </row>
    <row r="11" spans="1:14" s="292" customFormat="1">
      <c r="A11" s="292" t="s">
        <v>241</v>
      </c>
      <c r="B11" s="2052" t="s">
        <v>227</v>
      </c>
      <c r="C11" s="1334">
        <v>6549296</v>
      </c>
      <c r="D11" s="1335">
        <v>2.89</v>
      </c>
      <c r="E11" s="1332">
        <v>7356946</v>
      </c>
      <c r="F11" s="1333">
        <v>2.95</v>
      </c>
      <c r="G11" s="396"/>
      <c r="H11" s="396"/>
    </row>
    <row r="12" spans="1:14" s="292" customFormat="1">
      <c r="B12" s="2052" t="s">
        <v>242</v>
      </c>
      <c r="C12" s="1334">
        <v>12974157</v>
      </c>
      <c r="D12" s="1335">
        <v>5.72</v>
      </c>
      <c r="E12" s="1332">
        <v>14966120</v>
      </c>
      <c r="F12" s="1333">
        <v>6.01</v>
      </c>
      <c r="G12" s="396"/>
      <c r="H12" s="396"/>
    </row>
    <row r="13" spans="1:14" s="292" customFormat="1" ht="25.5">
      <c r="B13" s="2112" t="s">
        <v>236</v>
      </c>
      <c r="C13" s="1334">
        <v>27576167</v>
      </c>
      <c r="D13" s="1335">
        <v>12.17</v>
      </c>
      <c r="E13" s="1332">
        <v>28673779</v>
      </c>
      <c r="F13" s="1333">
        <v>11.51</v>
      </c>
      <c r="G13" s="396"/>
      <c r="H13" s="396"/>
    </row>
    <row r="14" spans="1:14" s="292" customFormat="1">
      <c r="B14" s="2052" t="s">
        <v>237</v>
      </c>
      <c r="C14" s="1334">
        <v>18628155</v>
      </c>
      <c r="D14" s="1335">
        <v>8.2200000000000006</v>
      </c>
      <c r="E14" s="1332">
        <v>20783833</v>
      </c>
      <c r="F14" s="1333">
        <v>8.34</v>
      </c>
      <c r="G14" s="396"/>
      <c r="H14" s="396"/>
    </row>
    <row r="15" spans="1:14" s="292" customFormat="1" ht="15">
      <c r="B15" s="2052" t="s">
        <v>229</v>
      </c>
      <c r="C15" s="2141">
        <v>13017177</v>
      </c>
      <c r="D15" s="2142">
        <v>5.74</v>
      </c>
      <c r="E15" s="2143">
        <v>15177549</v>
      </c>
      <c r="F15" s="2144">
        <v>6.09</v>
      </c>
      <c r="G15" s="396"/>
      <c r="H15" s="396"/>
    </row>
    <row r="16" spans="1:14" s="292" customFormat="1">
      <c r="B16" s="2052" t="s">
        <v>230</v>
      </c>
      <c r="C16" s="1334">
        <v>4186189</v>
      </c>
      <c r="D16" s="1335">
        <v>1.85</v>
      </c>
      <c r="E16" s="1332">
        <v>5294128</v>
      </c>
      <c r="F16" s="1333">
        <v>2.12</v>
      </c>
      <c r="G16" s="396"/>
      <c r="H16" s="396"/>
    </row>
    <row r="17" spans="2:8">
      <c r="B17" s="2068" t="s">
        <v>118</v>
      </c>
      <c r="C17" s="1996">
        <f>SUM(C6:C16)</f>
        <v>226639539</v>
      </c>
      <c r="D17" s="2145">
        <f>SUM(D6:D16)</f>
        <v>99.999999999999986</v>
      </c>
      <c r="E17" s="2050">
        <f>SUM(E6:E16)</f>
        <v>249217495</v>
      </c>
      <c r="F17" s="2050">
        <f>SUM(F6:F16)</f>
        <v>100.00000000000003</v>
      </c>
      <c r="G17" s="396"/>
      <c r="H17" s="396"/>
    </row>
    <row r="18" spans="2:8">
      <c r="B18" s="778"/>
      <c r="C18" s="778"/>
      <c r="D18" s="778"/>
      <c r="E18" s="553"/>
      <c r="F18" s="553"/>
      <c r="G18" s="396"/>
      <c r="H18" s="396"/>
    </row>
    <row r="19" spans="2:8">
      <c r="B19" s="204" t="s">
        <v>243</v>
      </c>
      <c r="C19" s="204"/>
      <c r="D19" s="204"/>
    </row>
    <row r="20" spans="2:8">
      <c r="B20" s="204" t="s">
        <v>244</v>
      </c>
      <c r="C20" s="204"/>
      <c r="D20" s="204"/>
    </row>
    <row r="21" spans="2:8">
      <c r="B21" s="295"/>
      <c r="C21" s="295"/>
      <c r="D21" s="292"/>
      <c r="F21" s="292">
        <v>10</v>
      </c>
    </row>
    <row r="22" spans="2:8">
      <c r="B22" s="295"/>
      <c r="C22" s="295"/>
      <c r="D22" s="295"/>
    </row>
    <row r="23" spans="2:8">
      <c r="B23" s="54"/>
      <c r="C23" s="392"/>
      <c r="D23" s="392"/>
    </row>
    <row r="24" spans="2:8">
      <c r="B24" s="233"/>
      <c r="C24" s="381"/>
      <c r="D24" s="381"/>
      <c r="E24" s="381"/>
    </row>
    <row r="25" spans="2:8">
      <c r="B25" s="233"/>
      <c r="C25" s="240"/>
      <c r="E25" s="240"/>
    </row>
    <row r="26" spans="2:8">
      <c r="B26" s="233"/>
    </row>
    <row r="27" spans="2:8">
      <c r="B27" s="233"/>
    </row>
    <row r="28" spans="2:8">
      <c r="B28" s="233"/>
    </row>
    <row r="29" spans="2:8">
      <c r="B29" s="233"/>
    </row>
    <row r="30" spans="2:8">
      <c r="B30" s="233"/>
    </row>
    <row r="31" spans="2:8">
      <c r="B31" s="233"/>
    </row>
    <row r="32" spans="2:8">
      <c r="B32" s="233"/>
    </row>
    <row r="33" spans="2:2">
      <c r="B33" s="233"/>
    </row>
    <row r="34" spans="2:2">
      <c r="B34" s="233"/>
    </row>
    <row r="35" spans="2:2">
      <c r="B35" s="233"/>
    </row>
    <row r="36" spans="2:2">
      <c r="B36" s="233"/>
    </row>
    <row r="37" spans="2:2">
      <c r="B37" s="233"/>
    </row>
    <row r="38" spans="2:2">
      <c r="B38" s="233"/>
    </row>
    <row r="39" spans="2:2">
      <c r="B39" s="233"/>
    </row>
    <row r="40" spans="2:2">
      <c r="B40" s="233"/>
    </row>
    <row r="41" spans="2:2">
      <c r="B41" s="233"/>
    </row>
    <row r="42" spans="2:2">
      <c r="B42" s="233"/>
    </row>
    <row r="43" spans="2:2">
      <c r="B43" s="233"/>
    </row>
    <row r="44" spans="2:2">
      <c r="B44" s="233"/>
    </row>
    <row r="45" spans="2:2">
      <c r="B45" s="233"/>
    </row>
    <row r="46" spans="2:2">
      <c r="B46" s="233"/>
    </row>
    <row r="47" spans="2:2">
      <c r="B47" s="233"/>
    </row>
    <row r="48" spans="2:2">
      <c r="B48" s="233"/>
    </row>
    <row r="49" spans="3:3">
      <c r="C49" s="2">
        <v>10</v>
      </c>
    </row>
  </sheetData>
  <mergeCells count="4">
    <mergeCell ref="B2:D2"/>
    <mergeCell ref="B4:B5"/>
    <mergeCell ref="C4:D4"/>
    <mergeCell ref="E4:F4"/>
  </mergeCells>
  <pageMargins left="0.7" right="0.2" top="0.75" bottom="0.75" header="0.3" footer="0.3"/>
  <pageSetup paperSize="9" scale="98"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99"/>
    <pageSetUpPr autoPageBreaks="0"/>
  </sheetPr>
  <dimension ref="A1:T42"/>
  <sheetViews>
    <sheetView showGridLines="0" view="pageBreakPreview" topLeftCell="B13" zoomScale="90" zoomScaleNormal="100" zoomScaleSheetLayoutView="90" workbookViewId="0">
      <pane xSplit="1" topLeftCell="C1" activePane="topRight" state="frozen"/>
      <selection activeCell="B1" sqref="B1"/>
      <selection pane="topRight" activeCell="D12" sqref="D12"/>
    </sheetView>
  </sheetViews>
  <sheetFormatPr defaultColWidth="9.140625" defaultRowHeight="12.75"/>
  <cols>
    <col min="1" max="1" width="6" style="54" customWidth="1"/>
    <col min="2" max="2" width="39" style="54" customWidth="1"/>
    <col min="3" max="9" width="18.85546875" style="54" customWidth="1"/>
    <col min="10" max="10" width="20.140625" style="77" customWidth="1"/>
    <col min="11" max="11" width="15.42578125" style="54" customWidth="1"/>
    <col min="12" max="12" width="14.5703125" style="54" bestFit="1" customWidth="1"/>
    <col min="13" max="13" width="16.42578125" style="54" customWidth="1"/>
    <col min="14" max="14" width="12.7109375" style="54" bestFit="1" customWidth="1"/>
    <col min="15" max="15" width="17.42578125" style="54" customWidth="1"/>
    <col min="16" max="16" width="16.140625" style="54" bestFit="1" customWidth="1"/>
    <col min="17" max="17" width="17.7109375" style="54" bestFit="1" customWidth="1"/>
    <col min="18" max="16384" width="9.140625" style="54"/>
  </cols>
  <sheetData>
    <row r="1" spans="2:20">
      <c r="B1" s="390"/>
      <c r="C1" s="390"/>
    </row>
    <row r="2" spans="2:20">
      <c r="B2" s="3470" t="s">
        <v>245</v>
      </c>
      <c r="C2" s="3470"/>
      <c r="D2" s="3470"/>
      <c r="E2" s="3470"/>
      <c r="F2" s="3470"/>
      <c r="G2" s="3470"/>
      <c r="H2" s="3470"/>
      <c r="I2" s="3470"/>
      <c r="J2" s="3470"/>
      <c r="K2" s="3470"/>
      <c r="L2" s="391"/>
    </row>
    <row r="3" spans="2:20">
      <c r="B3" s="443"/>
      <c r="C3" s="443"/>
      <c r="D3" s="443"/>
      <c r="E3" s="443"/>
      <c r="F3" s="443"/>
      <c r="G3" s="443"/>
      <c r="H3" s="443"/>
      <c r="I3" s="51" t="s">
        <v>232</v>
      </c>
      <c r="L3" s="443"/>
    </row>
    <row r="4" spans="2:20" s="236" customFormat="1">
      <c r="B4" s="1901" t="s">
        <v>221</v>
      </c>
      <c r="C4" s="2146" t="s">
        <v>92</v>
      </c>
      <c r="D4" s="2013" t="s">
        <v>95</v>
      </c>
      <c r="E4" s="2013" t="s">
        <v>98</v>
      </c>
      <c r="F4" s="2013" t="s">
        <v>99</v>
      </c>
      <c r="G4" s="2013" t="s">
        <v>101</v>
      </c>
      <c r="H4" s="2013" t="s">
        <v>102</v>
      </c>
      <c r="I4" s="2013" t="s">
        <v>104</v>
      </c>
      <c r="J4" s="478"/>
    </row>
    <row r="5" spans="2:20" s="52" customFormat="1">
      <c r="B5" s="1900" t="s">
        <v>222</v>
      </c>
      <c r="C5" s="2147">
        <v>14684138</v>
      </c>
      <c r="D5" s="2147">
        <v>280679</v>
      </c>
      <c r="E5" s="2147">
        <v>5429675</v>
      </c>
      <c r="F5" s="2147">
        <v>1588849</v>
      </c>
      <c r="G5" s="2147">
        <v>1786567</v>
      </c>
      <c r="H5" s="2148">
        <v>8470554</v>
      </c>
      <c r="I5" s="2147">
        <v>2087318</v>
      </c>
      <c r="J5" s="264"/>
      <c r="K5" s="415"/>
      <c r="L5" s="305"/>
      <c r="M5" s="305"/>
      <c r="N5" s="305"/>
      <c r="O5" s="305"/>
      <c r="P5" s="305"/>
      <c r="Q5" s="305"/>
      <c r="R5" s="305"/>
      <c r="S5" s="305"/>
      <c r="T5" s="305"/>
    </row>
    <row r="6" spans="2:20" s="52" customFormat="1">
      <c r="B6" s="2137" t="s">
        <v>223</v>
      </c>
      <c r="C6" s="1989"/>
      <c r="D6" s="2147">
        <v>1052868</v>
      </c>
      <c r="E6" s="2149">
        <v>656515</v>
      </c>
      <c r="F6" s="1299">
        <v>564488</v>
      </c>
      <c r="G6" s="1299">
        <v>556933</v>
      </c>
      <c r="H6" s="1300">
        <v>233945</v>
      </c>
      <c r="I6" s="1299">
        <v>3245</v>
      </c>
      <c r="J6" s="264"/>
      <c r="K6" s="415"/>
      <c r="L6" s="305"/>
      <c r="M6" s="305"/>
      <c r="N6" s="305"/>
      <c r="O6" s="305"/>
      <c r="P6" s="305"/>
      <c r="Q6" s="305"/>
      <c r="R6" s="305"/>
      <c r="S6" s="305"/>
      <c r="T6" s="305"/>
    </row>
    <row r="7" spans="2:20" s="52" customFormat="1">
      <c r="B7" s="2137" t="s">
        <v>224</v>
      </c>
      <c r="C7" s="2147">
        <v>780549</v>
      </c>
      <c r="D7" s="1989"/>
      <c r="E7" s="2149">
        <v>2085613</v>
      </c>
      <c r="F7" s="2147">
        <v>1632383</v>
      </c>
      <c r="G7" s="2147">
        <v>2378316</v>
      </c>
      <c r="H7" s="2148">
        <v>1710335</v>
      </c>
      <c r="I7" s="2147">
        <v>864879</v>
      </c>
      <c r="J7" s="264"/>
      <c r="K7" s="415"/>
      <c r="L7" s="305"/>
      <c r="M7" s="305"/>
      <c r="N7" s="305"/>
      <c r="O7" s="305"/>
      <c r="P7" s="305"/>
      <c r="Q7" s="305"/>
      <c r="R7" s="305"/>
      <c r="S7" s="305"/>
      <c r="T7" s="305"/>
    </row>
    <row r="8" spans="2:20" s="52" customFormat="1">
      <c r="B8" s="2137" t="s">
        <v>225</v>
      </c>
      <c r="C8" s="1989"/>
      <c r="D8" s="2147">
        <v>46500</v>
      </c>
      <c r="E8" s="2149">
        <v>139500</v>
      </c>
      <c r="F8" s="1881"/>
      <c r="G8" s="1989"/>
      <c r="H8" s="2150"/>
      <c r="I8" s="1989"/>
      <c r="J8" s="264"/>
      <c r="K8" s="415"/>
      <c r="L8" s="305"/>
      <c r="M8" s="305"/>
      <c r="N8" s="305"/>
      <c r="O8" s="305"/>
      <c r="P8" s="305"/>
      <c r="Q8" s="305"/>
      <c r="R8" s="305"/>
      <c r="S8" s="305"/>
      <c r="T8" s="305"/>
    </row>
    <row r="9" spans="2:20" s="52" customFormat="1">
      <c r="B9" s="2137" t="s">
        <v>226</v>
      </c>
      <c r="C9" s="2147">
        <v>884357</v>
      </c>
      <c r="D9" s="2147">
        <v>646432</v>
      </c>
      <c r="E9" s="2149">
        <v>8761508</v>
      </c>
      <c r="F9" s="1299">
        <v>1565474</v>
      </c>
      <c r="G9" s="2147">
        <v>1672495</v>
      </c>
      <c r="H9" s="2148">
        <v>62046</v>
      </c>
      <c r="I9" s="2147">
        <v>1277956</v>
      </c>
      <c r="J9" s="264"/>
      <c r="K9" s="415"/>
      <c r="L9" s="305"/>
      <c r="M9" s="305"/>
      <c r="N9" s="305"/>
      <c r="O9" s="305"/>
      <c r="P9" s="305"/>
      <c r="Q9" s="305"/>
      <c r="R9" s="305"/>
      <c r="S9" s="305"/>
      <c r="T9" s="305"/>
    </row>
    <row r="10" spans="2:20" s="52" customFormat="1">
      <c r="B10" s="2137" t="s">
        <v>227</v>
      </c>
      <c r="C10" s="1299">
        <v>644600</v>
      </c>
      <c r="D10" s="2147">
        <v>36342</v>
      </c>
      <c r="E10" s="2149">
        <v>276286</v>
      </c>
      <c r="F10" s="1299">
        <v>808391</v>
      </c>
      <c r="G10" s="1989"/>
      <c r="H10" s="2150"/>
      <c r="I10" s="1299">
        <v>193585</v>
      </c>
      <c r="J10" s="264"/>
      <c r="K10" s="415"/>
      <c r="L10" s="305"/>
      <c r="M10" s="305"/>
      <c r="N10" s="305"/>
      <c r="O10" s="305"/>
      <c r="P10" s="305"/>
      <c r="Q10" s="305"/>
      <c r="R10" s="305"/>
      <c r="S10" s="305"/>
      <c r="T10" s="305"/>
    </row>
    <row r="11" spans="2:20" s="52" customFormat="1">
      <c r="B11" s="2137" t="s">
        <v>242</v>
      </c>
      <c r="C11" s="2147">
        <v>1366259</v>
      </c>
      <c r="D11" s="2147">
        <v>256525</v>
      </c>
      <c r="E11" s="2149">
        <v>4821855</v>
      </c>
      <c r="F11" s="2147">
        <v>312242</v>
      </c>
      <c r="G11" s="2147">
        <v>615328</v>
      </c>
      <c r="H11" s="2148">
        <v>2815926</v>
      </c>
      <c r="I11" s="2147">
        <v>755197</v>
      </c>
      <c r="J11" s="264"/>
      <c r="K11" s="415"/>
      <c r="L11" s="305"/>
      <c r="M11" s="305"/>
      <c r="N11" s="305"/>
      <c r="O11" s="305"/>
      <c r="P11" s="305"/>
      <c r="Q11" s="305"/>
      <c r="R11" s="305"/>
      <c r="S11" s="305"/>
      <c r="T11" s="305"/>
    </row>
    <row r="12" spans="2:20" s="52" customFormat="1" ht="25.5">
      <c r="B12" s="2138" t="s">
        <v>236</v>
      </c>
      <c r="C12" s="2147">
        <v>3650274</v>
      </c>
      <c r="D12" s="2147">
        <v>767090</v>
      </c>
      <c r="E12" s="2149">
        <v>5190204</v>
      </c>
      <c r="F12" s="2147">
        <v>1174068</v>
      </c>
      <c r="G12" s="2147">
        <v>1010997</v>
      </c>
      <c r="H12" s="2148">
        <v>3286844</v>
      </c>
      <c r="I12" s="2147">
        <v>1240175</v>
      </c>
      <c r="J12" s="264"/>
      <c r="K12" s="415"/>
      <c r="L12" s="305"/>
      <c r="M12" s="305"/>
      <c r="N12" s="305"/>
      <c r="O12" s="305"/>
      <c r="P12" s="305"/>
      <c r="Q12" s="305"/>
      <c r="R12" s="305"/>
      <c r="S12" s="305"/>
      <c r="T12" s="305"/>
    </row>
    <row r="13" spans="2:20" s="52" customFormat="1">
      <c r="B13" s="2137" t="s">
        <v>237</v>
      </c>
      <c r="C13" s="2147">
        <v>267866</v>
      </c>
      <c r="D13" s="2147">
        <v>39576</v>
      </c>
      <c r="E13" s="2149">
        <v>4172837</v>
      </c>
      <c r="F13" s="2147">
        <v>64367</v>
      </c>
      <c r="G13" s="2147">
        <v>980173</v>
      </c>
      <c r="H13" s="2148">
        <v>567201</v>
      </c>
      <c r="I13" s="2147">
        <v>141494</v>
      </c>
      <c r="J13" s="264"/>
      <c r="K13" s="415"/>
      <c r="L13" s="305"/>
      <c r="M13" s="305"/>
      <c r="N13" s="305"/>
      <c r="O13" s="305"/>
      <c r="P13" s="305"/>
      <c r="Q13" s="305"/>
      <c r="R13" s="305"/>
      <c r="S13" s="305"/>
      <c r="T13" s="305"/>
    </row>
    <row r="14" spans="2:20" s="52" customFormat="1">
      <c r="B14" s="2137" t="s">
        <v>229</v>
      </c>
      <c r="C14" s="2147">
        <f>2298609+1400508+368509</f>
        <v>4067626</v>
      </c>
      <c r="D14" s="2147">
        <f>152277+29839+21550+15797</f>
        <v>219463</v>
      </c>
      <c r="E14" s="2149">
        <f>4577567+205634+218169</f>
        <v>5001370</v>
      </c>
      <c r="F14" s="1981">
        <f>122802+471583</f>
        <v>594385</v>
      </c>
      <c r="G14" s="2147">
        <f>77491+22145+328837+108890</f>
        <v>537363</v>
      </c>
      <c r="H14" s="2148">
        <f>1080926+693821+68963</f>
        <v>1843710</v>
      </c>
      <c r="I14" s="1981">
        <f>32812+417017+18289</f>
        <v>468118</v>
      </c>
      <c r="J14" s="264"/>
      <c r="K14" s="415"/>
      <c r="L14" s="305"/>
      <c r="M14" s="305"/>
      <c r="N14" s="305"/>
      <c r="O14" s="305"/>
      <c r="P14" s="305"/>
      <c r="Q14" s="305"/>
      <c r="R14" s="305"/>
      <c r="S14" s="305"/>
      <c r="T14" s="305"/>
    </row>
    <row r="15" spans="2:20" s="52" customFormat="1">
      <c r="B15" s="2137" t="s">
        <v>230</v>
      </c>
      <c r="C15" s="1299">
        <v>1623019</v>
      </c>
      <c r="D15" s="2147">
        <v>56793</v>
      </c>
      <c r="E15" s="2149">
        <v>113305</v>
      </c>
      <c r="F15" s="2147">
        <v>150674</v>
      </c>
      <c r="G15" s="1299">
        <v>267833</v>
      </c>
      <c r="H15" s="1300">
        <v>322244</v>
      </c>
      <c r="I15" s="2147">
        <v>536814</v>
      </c>
      <c r="J15" s="264"/>
      <c r="K15" s="415"/>
      <c r="L15" s="305"/>
      <c r="M15" s="305"/>
      <c r="N15" s="305"/>
      <c r="O15" s="305"/>
      <c r="P15" s="305"/>
      <c r="Q15" s="305"/>
      <c r="R15" s="305"/>
      <c r="S15" s="305"/>
      <c r="T15" s="305"/>
    </row>
    <row r="16" spans="2:20" s="52" customFormat="1">
      <c r="B16" s="1994" t="s">
        <v>118</v>
      </c>
      <c r="C16" s="1996">
        <f>SUM(C5:C15)</f>
        <v>27968688</v>
      </c>
      <c r="D16" s="1996">
        <f t="shared" ref="D16:I16" si="0">SUM(D5:D15)</f>
        <v>3402268</v>
      </c>
      <c r="E16" s="1996">
        <f t="shared" si="0"/>
        <v>36648668</v>
      </c>
      <c r="F16" s="1996">
        <f t="shared" si="0"/>
        <v>8455321</v>
      </c>
      <c r="G16" s="1996">
        <f t="shared" si="0"/>
        <v>9806005</v>
      </c>
      <c r="H16" s="1996">
        <f t="shared" si="0"/>
        <v>19312805</v>
      </c>
      <c r="I16" s="1996">
        <f t="shared" si="0"/>
        <v>7568781</v>
      </c>
      <c r="J16" s="279"/>
      <c r="K16" s="415"/>
      <c r="L16" s="305"/>
      <c r="M16" s="305"/>
      <c r="N16" s="305"/>
      <c r="O16" s="305"/>
      <c r="P16" s="305"/>
      <c r="Q16" s="305"/>
      <c r="R16" s="305"/>
      <c r="S16" s="305"/>
      <c r="T16" s="305"/>
    </row>
    <row r="17" spans="1:19">
      <c r="B17" s="233"/>
      <c r="C17" s="452"/>
      <c r="D17" s="452"/>
      <c r="E17" s="452"/>
      <c r="F17" s="452"/>
    </row>
    <row r="18" spans="1:19">
      <c r="B18" s="233"/>
      <c r="C18" s="452"/>
      <c r="D18" s="452"/>
      <c r="E18" s="452"/>
      <c r="F18" s="452"/>
      <c r="J18" s="77">
        <v>11</v>
      </c>
    </row>
    <row r="19" spans="1:19">
      <c r="B19" s="233"/>
      <c r="C19" s="452"/>
      <c r="D19" s="452"/>
      <c r="E19" s="452"/>
      <c r="F19" s="452"/>
    </row>
    <row r="20" spans="1:19">
      <c r="B20" s="3470" t="s">
        <v>246</v>
      </c>
      <c r="C20" s="3470"/>
      <c r="D20" s="3470"/>
      <c r="E20" s="3470"/>
      <c r="F20" s="3470"/>
      <c r="G20" s="3470"/>
      <c r="H20" s="3470"/>
      <c r="I20" s="3470"/>
      <c r="J20" s="3470"/>
      <c r="K20" s="3470"/>
      <c r="L20" s="391"/>
    </row>
    <row r="21" spans="1:19">
      <c r="B21" s="634"/>
      <c r="C21" s="634"/>
      <c r="D21" s="634"/>
      <c r="E21" s="634"/>
      <c r="F21" s="634"/>
      <c r="G21" s="634"/>
      <c r="H21" s="634"/>
      <c r="I21" s="51" t="s">
        <v>232</v>
      </c>
      <c r="J21" s="474"/>
      <c r="K21" s="634"/>
      <c r="L21" s="634"/>
    </row>
    <row r="22" spans="1:19" s="67" customFormat="1">
      <c r="A22" s="236"/>
      <c r="B22" s="1901" t="s">
        <v>221</v>
      </c>
      <c r="C22" s="2146" t="s">
        <v>108</v>
      </c>
      <c r="D22" s="2013" t="s">
        <v>109</v>
      </c>
      <c r="E22" s="2013" t="s">
        <v>110</v>
      </c>
      <c r="F22" s="2013" t="s">
        <v>111</v>
      </c>
      <c r="G22" s="2013" t="s">
        <v>112</v>
      </c>
      <c r="H22" s="2013" t="s">
        <v>114</v>
      </c>
      <c r="I22" s="2013" t="s">
        <v>115</v>
      </c>
      <c r="J22" s="2151" t="s">
        <v>118</v>
      </c>
    </row>
    <row r="23" spans="1:19" s="52" customFormat="1">
      <c r="B23" s="1900" t="s">
        <v>222</v>
      </c>
      <c r="C23" s="2147">
        <v>3788495</v>
      </c>
      <c r="D23" s="2147">
        <v>796457</v>
      </c>
      <c r="E23" s="2147">
        <v>20286011</v>
      </c>
      <c r="F23" s="2147">
        <v>437560</v>
      </c>
      <c r="G23" s="2147">
        <v>2476303</v>
      </c>
      <c r="H23" s="2147">
        <v>381985</v>
      </c>
      <c r="I23" s="2147">
        <v>13731485</v>
      </c>
      <c r="J23" s="1995">
        <f t="shared" ref="J23:J31" si="1">SUM(C5:I5)+C23+D23+E23+F23+H23+G23+I23</f>
        <v>76226076</v>
      </c>
      <c r="K23" s="305"/>
      <c r="L23" s="305"/>
      <c r="M23" s="305"/>
      <c r="N23" s="305"/>
      <c r="O23" s="305"/>
      <c r="P23" s="305"/>
      <c r="Q23" s="305"/>
      <c r="R23" s="305"/>
      <c r="S23" s="305"/>
    </row>
    <row r="24" spans="1:19" s="52" customFormat="1">
      <c r="B24" s="2137" t="s">
        <v>223</v>
      </c>
      <c r="C24" s="1299">
        <v>67581</v>
      </c>
      <c r="D24" s="1299">
        <v>13667</v>
      </c>
      <c r="E24" s="1989"/>
      <c r="F24" s="1989"/>
      <c r="G24" s="1989"/>
      <c r="H24" s="1299">
        <v>115517</v>
      </c>
      <c r="I24" s="1299">
        <v>31707510</v>
      </c>
      <c r="J24" s="1995">
        <f t="shared" si="1"/>
        <v>34972269</v>
      </c>
      <c r="K24" s="305"/>
      <c r="L24" s="305"/>
      <c r="M24" s="305"/>
      <c r="N24" s="305"/>
      <c r="O24" s="305"/>
      <c r="P24" s="305"/>
      <c r="Q24" s="305"/>
      <c r="R24" s="305"/>
      <c r="S24" s="305"/>
    </row>
    <row r="25" spans="1:19" s="52" customFormat="1">
      <c r="B25" s="2137" t="s">
        <v>224</v>
      </c>
      <c r="C25" s="2147">
        <v>2240777</v>
      </c>
      <c r="D25" s="1989"/>
      <c r="E25" s="1989"/>
      <c r="F25" s="2147">
        <v>26840</v>
      </c>
      <c r="G25" s="2147">
        <v>2554513</v>
      </c>
      <c r="H25" s="2147">
        <v>149406</v>
      </c>
      <c r="I25" s="2147">
        <v>5668827</v>
      </c>
      <c r="J25" s="1995">
        <f t="shared" si="1"/>
        <v>20092438</v>
      </c>
      <c r="K25" s="305"/>
      <c r="L25" s="305"/>
      <c r="M25" s="305"/>
      <c r="N25" s="305"/>
      <c r="O25" s="305"/>
      <c r="P25" s="305"/>
      <c r="Q25" s="305"/>
      <c r="R25" s="305"/>
      <c r="S25" s="305"/>
    </row>
    <row r="26" spans="1:19" s="52" customFormat="1">
      <c r="B26" s="2137" t="s">
        <v>225</v>
      </c>
      <c r="C26" s="1989"/>
      <c r="D26" s="1989"/>
      <c r="E26" s="1989"/>
      <c r="F26" s="1989"/>
      <c r="G26" s="1989"/>
      <c r="H26" s="1299">
        <v>75000</v>
      </c>
      <c r="I26" s="1299">
        <v>1942600</v>
      </c>
      <c r="J26" s="1995">
        <f t="shared" si="1"/>
        <v>2203600</v>
      </c>
      <c r="K26" s="305"/>
      <c r="L26" s="305"/>
      <c r="M26" s="305"/>
      <c r="N26" s="305"/>
      <c r="O26" s="305"/>
      <c r="P26" s="305"/>
      <c r="Q26" s="305"/>
      <c r="R26" s="305"/>
      <c r="S26" s="305"/>
    </row>
    <row r="27" spans="1:19" s="52" customFormat="1">
      <c r="B27" s="2137" t="s">
        <v>226</v>
      </c>
      <c r="C27" s="2147">
        <v>527779</v>
      </c>
      <c r="D27" s="2147">
        <v>232478</v>
      </c>
      <c r="E27" s="1989"/>
      <c r="F27" s="2147">
        <v>1001479</v>
      </c>
      <c r="G27" s="2147">
        <v>3010018</v>
      </c>
      <c r="H27" s="1299">
        <v>149740</v>
      </c>
      <c r="I27" s="1299">
        <v>3678995</v>
      </c>
      <c r="J27" s="1995">
        <f t="shared" si="1"/>
        <v>23470757</v>
      </c>
      <c r="K27" s="305"/>
      <c r="L27" s="305"/>
      <c r="M27" s="305"/>
      <c r="N27" s="305"/>
      <c r="O27" s="305"/>
      <c r="P27" s="305"/>
      <c r="Q27" s="305"/>
      <c r="R27" s="305"/>
      <c r="S27" s="305"/>
    </row>
    <row r="28" spans="1:19" s="52" customFormat="1">
      <c r="B28" s="2137" t="s">
        <v>227</v>
      </c>
      <c r="C28" s="1299">
        <v>1886233</v>
      </c>
      <c r="D28" s="1299">
        <v>8676</v>
      </c>
      <c r="E28" s="1989"/>
      <c r="F28" s="1989"/>
      <c r="G28" s="1299">
        <v>859055</v>
      </c>
      <c r="H28" s="1989"/>
      <c r="I28" s="1299">
        <v>2643778</v>
      </c>
      <c r="J28" s="1995">
        <f t="shared" si="1"/>
        <v>7356946</v>
      </c>
      <c r="K28" s="305"/>
      <c r="L28" s="305"/>
      <c r="M28" s="305"/>
      <c r="N28" s="305"/>
      <c r="O28" s="305"/>
      <c r="P28" s="305"/>
      <c r="Q28" s="305"/>
      <c r="R28" s="305"/>
      <c r="S28" s="305"/>
    </row>
    <row r="29" spans="1:19" s="52" customFormat="1">
      <c r="B29" s="2137" t="s">
        <v>242</v>
      </c>
      <c r="C29" s="2147">
        <v>1083078</v>
      </c>
      <c r="D29" s="2147">
        <v>35873</v>
      </c>
      <c r="E29" s="2147">
        <v>19993</v>
      </c>
      <c r="F29" s="2147">
        <v>132816</v>
      </c>
      <c r="G29" s="2147">
        <v>623990</v>
      </c>
      <c r="H29" s="2147">
        <v>36956</v>
      </c>
      <c r="I29" s="2147">
        <v>2090082</v>
      </c>
      <c r="J29" s="1995">
        <f t="shared" si="1"/>
        <v>14966120</v>
      </c>
      <c r="K29" s="305"/>
      <c r="L29" s="305"/>
      <c r="M29" s="305"/>
      <c r="N29" s="305"/>
      <c r="O29" s="305"/>
      <c r="P29" s="305"/>
      <c r="Q29" s="305"/>
      <c r="R29" s="305"/>
      <c r="S29" s="305"/>
    </row>
    <row r="30" spans="1:19" s="52" customFormat="1" ht="25.5">
      <c r="B30" s="2138" t="s">
        <v>236</v>
      </c>
      <c r="C30" s="2147">
        <v>1331479</v>
      </c>
      <c r="D30" s="2147">
        <v>122438</v>
      </c>
      <c r="E30" s="2147">
        <v>2200784</v>
      </c>
      <c r="F30" s="2147">
        <v>599503</v>
      </c>
      <c r="G30" s="2147">
        <v>1032802</v>
      </c>
      <c r="H30" s="2147">
        <v>151870</v>
      </c>
      <c r="I30" s="2147">
        <v>6915251</v>
      </c>
      <c r="J30" s="1995">
        <f t="shared" si="1"/>
        <v>28673779</v>
      </c>
      <c r="K30" s="305"/>
      <c r="L30" s="305"/>
      <c r="M30" s="305"/>
      <c r="N30" s="305"/>
      <c r="O30" s="305"/>
      <c r="P30" s="305"/>
      <c r="Q30" s="305"/>
      <c r="R30" s="305"/>
      <c r="S30" s="305"/>
    </row>
    <row r="31" spans="1:19" s="52" customFormat="1">
      <c r="B31" s="2137" t="s">
        <v>237</v>
      </c>
      <c r="C31" s="2147">
        <v>95118</v>
      </c>
      <c r="D31" s="2147">
        <v>29754</v>
      </c>
      <c r="E31" s="2147">
        <v>35295</v>
      </c>
      <c r="F31" s="2147">
        <v>39270</v>
      </c>
      <c r="G31" s="2147">
        <v>73849</v>
      </c>
      <c r="H31" s="2147">
        <v>84812</v>
      </c>
      <c r="I31" s="2147">
        <v>12392138</v>
      </c>
      <c r="J31" s="1995">
        <f t="shared" si="1"/>
        <v>18983750</v>
      </c>
      <c r="K31" s="305"/>
      <c r="L31" s="305"/>
      <c r="M31" s="305"/>
      <c r="N31" s="305"/>
      <c r="O31" s="305"/>
      <c r="P31" s="305"/>
      <c r="Q31" s="305"/>
      <c r="R31" s="305"/>
      <c r="S31" s="305"/>
    </row>
    <row r="32" spans="1:19" s="52" customFormat="1">
      <c r="B32" s="2137" t="s">
        <v>229</v>
      </c>
      <c r="C32" s="2147">
        <f>274881+18252+93027+257952</f>
        <v>644112</v>
      </c>
      <c r="D32" s="1981">
        <f>99805+49305</f>
        <v>149110</v>
      </c>
      <c r="E32" s="2147">
        <f>526335+62146+121063</f>
        <v>709544</v>
      </c>
      <c r="F32" s="1981">
        <f>104988+151198+2845</f>
        <v>259031</v>
      </c>
      <c r="G32" s="2147">
        <f>324235+49675+115204+55312+8198-1</f>
        <v>552623</v>
      </c>
      <c r="H32" s="2147">
        <f>33392+54007+74585</f>
        <v>161984</v>
      </c>
      <c r="I32" s="2147">
        <f>1598600+170593</f>
        <v>1769193</v>
      </c>
      <c r="J32" s="1995">
        <f>SUM(C14:I14)+C32+D32+E32+F32+H32+G32+I32</f>
        <v>16977632</v>
      </c>
      <c r="K32" s="305"/>
      <c r="L32" s="305"/>
      <c r="M32" s="305"/>
      <c r="N32" s="305"/>
      <c r="O32" s="305"/>
      <c r="P32" s="305"/>
      <c r="Q32" s="305"/>
      <c r="R32" s="305"/>
      <c r="S32" s="305"/>
    </row>
    <row r="33" spans="2:19" s="52" customFormat="1">
      <c r="B33" s="2137" t="s">
        <v>230</v>
      </c>
      <c r="C33" s="1299">
        <v>335269</v>
      </c>
      <c r="D33" s="2147">
        <v>10708</v>
      </c>
      <c r="E33" s="1299">
        <v>193242</v>
      </c>
      <c r="F33" s="2147">
        <v>698104</v>
      </c>
      <c r="G33" s="1299">
        <v>68316</v>
      </c>
      <c r="H33" s="1299">
        <v>64969</v>
      </c>
      <c r="I33" s="1299">
        <v>852838</v>
      </c>
      <c r="J33" s="1995">
        <f>SUM(C15:I15)+C33+D33+E33+F33+H33+G33+I33</f>
        <v>5294128</v>
      </c>
      <c r="K33" s="305"/>
      <c r="L33" s="305"/>
      <c r="M33" s="305"/>
      <c r="N33" s="305"/>
      <c r="O33" s="305"/>
      <c r="P33" s="305"/>
      <c r="Q33" s="305"/>
      <c r="R33" s="305"/>
      <c r="S33" s="305"/>
    </row>
    <row r="34" spans="2:19" s="52" customFormat="1">
      <c r="B34" s="1994" t="s">
        <v>118</v>
      </c>
      <c r="C34" s="1996">
        <f t="shared" ref="C34:I34" si="2">SUM(C23:C33)</f>
        <v>11999921</v>
      </c>
      <c r="D34" s="1996">
        <f t="shared" si="2"/>
        <v>1399161</v>
      </c>
      <c r="E34" s="1996">
        <f t="shared" si="2"/>
        <v>23444869</v>
      </c>
      <c r="F34" s="1996">
        <f t="shared" si="2"/>
        <v>3194603</v>
      </c>
      <c r="G34" s="1996">
        <f t="shared" si="2"/>
        <v>11251469</v>
      </c>
      <c r="H34" s="1996">
        <f t="shared" si="2"/>
        <v>1372239</v>
      </c>
      <c r="I34" s="1996">
        <f t="shared" si="2"/>
        <v>83392697</v>
      </c>
      <c r="J34" s="1995">
        <f>SUM(J23:J33)</f>
        <v>249217495</v>
      </c>
      <c r="K34" s="305"/>
      <c r="L34" s="305"/>
      <c r="M34" s="305"/>
      <c r="N34" s="305"/>
      <c r="O34" s="305"/>
      <c r="P34" s="305"/>
      <c r="Q34" s="305"/>
      <c r="R34" s="305"/>
      <c r="S34" s="305"/>
    </row>
    <row r="35" spans="2:19" s="52" customFormat="1">
      <c r="B35" s="236"/>
      <c r="C35" s="279"/>
      <c r="D35" s="279"/>
      <c r="E35" s="279"/>
      <c r="F35" s="279"/>
      <c r="G35" s="279"/>
      <c r="H35" s="279"/>
      <c r="I35" s="279"/>
      <c r="J35" s="419"/>
      <c r="K35" s="305"/>
      <c r="L35" s="305"/>
      <c r="M35" s="305"/>
      <c r="N35" s="305"/>
      <c r="O35" s="305"/>
      <c r="P35" s="305"/>
      <c r="Q35" s="305"/>
      <c r="R35" s="305"/>
      <c r="S35" s="305"/>
    </row>
    <row r="36" spans="2:19" s="52" customFormat="1">
      <c r="B36" s="236"/>
      <c r="C36" s="279"/>
      <c r="D36" s="279"/>
      <c r="E36" s="279"/>
      <c r="F36" s="279"/>
      <c r="G36" s="279"/>
      <c r="H36" s="279"/>
      <c r="I36" s="279"/>
      <c r="J36" s="419"/>
      <c r="K36" s="305"/>
      <c r="L36" s="305"/>
      <c r="M36" s="305"/>
      <c r="N36" s="305"/>
      <c r="O36" s="305"/>
      <c r="P36" s="305"/>
      <c r="Q36" s="305"/>
      <c r="R36" s="305"/>
      <c r="S36" s="305"/>
    </row>
    <row r="37" spans="2:19">
      <c r="B37" s="534" t="s">
        <v>247</v>
      </c>
    </row>
    <row r="38" spans="2:19">
      <c r="B38" s="233"/>
      <c r="C38" s="452"/>
      <c r="D38" s="452"/>
      <c r="E38" s="452"/>
      <c r="F38" s="452"/>
      <c r="J38" s="77">
        <v>12</v>
      </c>
    </row>
    <row r="39" spans="2:19">
      <c r="B39" s="233"/>
      <c r="C39" s="452"/>
      <c r="D39" s="452"/>
      <c r="E39" s="452"/>
      <c r="F39" s="452"/>
    </row>
    <row r="40" spans="2:19">
      <c r="C40" s="452"/>
      <c r="D40" s="452"/>
      <c r="E40" s="452"/>
      <c r="F40" s="452"/>
      <c r="I40" s="77"/>
    </row>
    <row r="41" spans="2:19">
      <c r="B41" s="233"/>
      <c r="C41" s="452"/>
      <c r="D41" s="452"/>
      <c r="E41" s="452"/>
      <c r="F41" s="452"/>
    </row>
    <row r="42" spans="2:19">
      <c r="B42" s="233"/>
      <c r="C42" s="452"/>
      <c r="D42" s="452"/>
      <c r="E42" s="452"/>
      <c r="F42" s="452"/>
    </row>
  </sheetData>
  <mergeCells count="2">
    <mergeCell ref="B2:K2"/>
    <mergeCell ref="B20:K20"/>
  </mergeCells>
  <pageMargins left="0.24" right="0.17" top="0.75" bottom="0.75" header="0.3" footer="0.3"/>
  <pageSetup paperSize="9" scale="71" orientation="landscape" r:id="rId1"/>
  <rowBreaks count="1" manualBreakCount="1">
    <brk id="18" max="9"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2:AQ892"/>
  <sheetViews>
    <sheetView showGridLines="0" view="pageBreakPreview" zoomScale="70" zoomScaleNormal="70" zoomScaleSheetLayoutView="70" workbookViewId="0">
      <selection activeCell="AD18" sqref="AD18"/>
    </sheetView>
  </sheetViews>
  <sheetFormatPr defaultColWidth="9.140625" defaultRowHeight="12.75"/>
  <cols>
    <col min="1" max="1" width="12.7109375" style="673" customWidth="1"/>
    <col min="2" max="2" width="41.7109375" style="673" customWidth="1"/>
    <col min="3" max="3" width="8.85546875" style="673" customWidth="1"/>
    <col min="4" max="6" width="15.42578125" style="673" customWidth="1"/>
    <col min="7" max="7" width="16.42578125" style="673" customWidth="1"/>
    <col min="8" max="8" width="19" style="673" customWidth="1"/>
    <col min="9" max="14" width="15.42578125" style="673" customWidth="1"/>
    <col min="15" max="15" width="13.85546875" style="673" customWidth="1"/>
    <col min="16" max="17" width="13.7109375" style="673" customWidth="1"/>
    <col min="18" max="18" width="14.85546875" style="699" customWidth="1"/>
    <col min="19" max="19" width="10.7109375" style="699" customWidth="1"/>
    <col min="20" max="20" width="9.42578125" style="699" customWidth="1"/>
    <col min="21" max="21" width="12" style="699" customWidth="1"/>
    <col min="22" max="29" width="7.28515625" style="699" customWidth="1"/>
    <col min="30" max="30" width="8.7109375" style="673" customWidth="1"/>
    <col min="31" max="31" width="15.5703125" style="699" customWidth="1"/>
    <col min="32" max="32" width="12.28515625" style="699" customWidth="1"/>
    <col min="33" max="36" width="9.140625" style="699"/>
    <col min="37" max="38" width="10.5703125" style="699" bestFit="1" customWidth="1"/>
    <col min="39" max="39" width="9.28515625" style="699" bestFit="1" customWidth="1"/>
    <col min="40" max="40" width="9.7109375" style="699" bestFit="1" customWidth="1"/>
    <col min="41" max="42" width="9.28515625" style="699" bestFit="1" customWidth="1"/>
    <col min="43" max="16384" width="9.140625" style="673"/>
  </cols>
  <sheetData>
    <row r="2" spans="1:36">
      <c r="O2" s="1146"/>
    </row>
    <row r="3" spans="1:36">
      <c r="B3" s="913" t="s">
        <v>248</v>
      </c>
      <c r="O3" s="1147"/>
    </row>
    <row r="4" spans="1:36">
      <c r="O4" s="1147"/>
    </row>
    <row r="5" spans="1:36">
      <c r="B5" s="913" t="s">
        <v>249</v>
      </c>
      <c r="O5" s="1147"/>
    </row>
    <row r="6" spans="1:36" ht="13.5" thickBot="1">
      <c r="O6" s="1147"/>
    </row>
    <row r="7" spans="1:36" ht="15.75" customHeight="1" thickBot="1">
      <c r="A7" s="3540" t="s">
        <v>250</v>
      </c>
      <c r="B7" s="3541"/>
      <c r="C7" s="3542"/>
      <c r="M7" s="3538" t="s">
        <v>251</v>
      </c>
      <c r="N7" s="3538"/>
      <c r="O7" s="1148"/>
    </row>
    <row r="8" spans="1:36" ht="13.9" customHeight="1" thickBot="1">
      <c r="A8" s="3512" t="s">
        <v>252</v>
      </c>
      <c r="B8" s="3512" t="s">
        <v>253</v>
      </c>
      <c r="C8" s="3523" t="s">
        <v>254</v>
      </c>
      <c r="D8" s="3518" t="s">
        <v>255</v>
      </c>
      <c r="E8" s="3518" t="s">
        <v>256</v>
      </c>
      <c r="F8" s="3518" t="s">
        <v>257</v>
      </c>
      <c r="G8" s="3526" t="s">
        <v>258</v>
      </c>
      <c r="H8" s="3527"/>
      <c r="I8" s="3527"/>
      <c r="J8" s="3527"/>
      <c r="K8" s="3527"/>
      <c r="L8" s="3527"/>
      <c r="M8" s="3527"/>
      <c r="N8" s="3528"/>
      <c r="O8" s="409"/>
    </row>
    <row r="9" spans="1:36" ht="13.9" customHeight="1" thickBot="1">
      <c r="A9" s="3513"/>
      <c r="B9" s="3513"/>
      <c r="C9" s="3524"/>
      <c r="D9" s="3520"/>
      <c r="E9" s="3520"/>
      <c r="F9" s="3520"/>
      <c r="G9" s="3529" t="s">
        <v>259</v>
      </c>
      <c r="H9" s="3530"/>
      <c r="I9" s="3530"/>
      <c r="J9" s="3531"/>
      <c r="K9" s="3529" t="s">
        <v>260</v>
      </c>
      <c r="L9" s="3530"/>
      <c r="M9" s="3530"/>
      <c r="N9" s="3531"/>
      <c r="O9" s="443"/>
    </row>
    <row r="10" spans="1:36" ht="39" thickBot="1">
      <c r="A10" s="3513"/>
      <c r="B10" s="3513"/>
      <c r="C10" s="3524"/>
      <c r="D10" s="3519"/>
      <c r="E10" s="3519"/>
      <c r="F10" s="3519"/>
      <c r="G10" s="1336" t="s">
        <v>261</v>
      </c>
      <c r="H10" s="1336" t="s">
        <v>262</v>
      </c>
      <c r="I10" s="1336" t="s">
        <v>263</v>
      </c>
      <c r="J10" s="1336" t="s">
        <v>158</v>
      </c>
      <c r="K10" s="1337" t="s">
        <v>264</v>
      </c>
      <c r="L10" s="1337" t="s">
        <v>265</v>
      </c>
      <c r="M10" s="1338" t="s">
        <v>266</v>
      </c>
      <c r="N10" s="1339" t="s">
        <v>158</v>
      </c>
      <c r="O10" s="443"/>
    </row>
    <row r="11" spans="1:36" ht="15.75" customHeight="1" thickBot="1">
      <c r="A11" s="3513"/>
      <c r="B11" s="3513"/>
      <c r="C11" s="3524"/>
      <c r="D11" s="1340">
        <v>1</v>
      </c>
      <c r="E11" s="3518">
        <v>2</v>
      </c>
      <c r="F11" s="3518">
        <v>3</v>
      </c>
      <c r="G11" s="3518">
        <v>4</v>
      </c>
      <c r="H11" s="3518">
        <v>5</v>
      </c>
      <c r="I11" s="3518">
        <v>6</v>
      </c>
      <c r="J11" s="1341">
        <v>7</v>
      </c>
      <c r="K11" s="3518">
        <v>8</v>
      </c>
      <c r="L11" s="3518">
        <v>9</v>
      </c>
      <c r="M11" s="3536">
        <v>10</v>
      </c>
      <c r="N11" s="1342">
        <v>11</v>
      </c>
      <c r="O11" s="409"/>
    </row>
    <row r="12" spans="1:36" ht="15.75" customHeight="1" thickBot="1">
      <c r="A12" s="3514"/>
      <c r="B12" s="3514"/>
      <c r="C12" s="3525"/>
      <c r="D12" s="1343"/>
      <c r="E12" s="3519"/>
      <c r="F12" s="3519"/>
      <c r="G12" s="3519"/>
      <c r="H12" s="3519"/>
      <c r="I12" s="3519"/>
      <c r="J12" s="1344" t="s">
        <v>267</v>
      </c>
      <c r="K12" s="3519"/>
      <c r="L12" s="3519"/>
      <c r="M12" s="3545"/>
      <c r="N12" s="1345" t="s">
        <v>268</v>
      </c>
      <c r="O12" s="703"/>
      <c r="P12" s="703"/>
      <c r="Q12" s="703"/>
    </row>
    <row r="13" spans="1:36">
      <c r="A13" s="1346"/>
      <c r="B13" s="1347" t="s">
        <v>269</v>
      </c>
      <c r="C13" s="1346"/>
      <c r="D13" s="2152"/>
      <c r="E13" s="1150"/>
      <c r="F13" s="1150"/>
      <c r="G13" s="1151"/>
      <c r="H13" s="1089"/>
      <c r="I13" s="1089"/>
      <c r="J13" s="1363"/>
      <c r="K13" s="1088"/>
      <c r="L13" s="1089"/>
      <c r="M13" s="1090"/>
      <c r="N13" s="1366"/>
      <c r="S13" s="1058"/>
    </row>
    <row r="14" spans="1:36">
      <c r="A14" s="2153">
        <v>1</v>
      </c>
      <c r="B14" s="2154" t="s">
        <v>270</v>
      </c>
      <c r="C14" s="2155"/>
      <c r="D14" s="2156">
        <f t="shared" ref="D14:N14" si="0">+D66+D118+D170+D222+D274+D326+D378+D430+D482+D534+D586+D638+D690+D742+D794+D846</f>
        <v>0</v>
      </c>
      <c r="E14" s="2157">
        <f t="shared" si="0"/>
        <v>0</v>
      </c>
      <c r="F14" s="2157">
        <f t="shared" si="0"/>
        <v>0</v>
      </c>
      <c r="G14" s="2157">
        <f t="shared" si="0"/>
        <v>0</v>
      </c>
      <c r="H14" s="2157">
        <f t="shared" si="0"/>
        <v>0</v>
      </c>
      <c r="I14" s="2157">
        <f t="shared" si="0"/>
        <v>0</v>
      </c>
      <c r="J14" s="2158">
        <f t="shared" si="0"/>
        <v>0</v>
      </c>
      <c r="K14" s="2157">
        <f t="shared" si="0"/>
        <v>0</v>
      </c>
      <c r="L14" s="2157">
        <f t="shared" si="0"/>
        <v>0</v>
      </c>
      <c r="M14" s="2159">
        <f t="shared" si="0"/>
        <v>0</v>
      </c>
      <c r="N14" s="2160">
        <f t="shared" si="0"/>
        <v>0</v>
      </c>
      <c r="O14" s="1149"/>
      <c r="P14" s="705"/>
      <c r="Q14" s="705"/>
      <c r="R14" s="706"/>
      <c r="S14" s="706"/>
      <c r="T14" s="706"/>
      <c r="U14" s="706"/>
      <c r="V14" s="706"/>
      <c r="W14" s="706"/>
      <c r="X14" s="706"/>
      <c r="Y14" s="706"/>
      <c r="Z14" s="706"/>
      <c r="AA14" s="706"/>
      <c r="AB14" s="706"/>
      <c r="AC14" s="706"/>
      <c r="AD14" s="706"/>
      <c r="AE14" s="706"/>
      <c r="AF14" s="706"/>
      <c r="AG14" s="706"/>
      <c r="AH14" s="706"/>
      <c r="AI14" s="706"/>
      <c r="AJ14" s="706"/>
    </row>
    <row r="15" spans="1:36">
      <c r="A15" s="2153">
        <v>2</v>
      </c>
      <c r="B15" s="2154" t="s">
        <v>271</v>
      </c>
      <c r="C15" s="2155"/>
      <c r="D15" s="2156">
        <f t="shared" ref="D15:N15" si="1">+D67+D119+D171+D223+D275+D327+D379+D431+D483+D535+D587+D639+D691+D743+D795+D847</f>
        <v>3400516.84351</v>
      </c>
      <c r="E15" s="2157">
        <f t="shared" si="1"/>
        <v>0</v>
      </c>
      <c r="F15" s="2157">
        <f t="shared" si="1"/>
        <v>2766920</v>
      </c>
      <c r="G15" s="2157">
        <f t="shared" si="1"/>
        <v>458</v>
      </c>
      <c r="H15" s="2157">
        <f t="shared" si="1"/>
        <v>1647.4970352450002</v>
      </c>
      <c r="I15" s="2157">
        <f t="shared" si="1"/>
        <v>631491.34647475497</v>
      </c>
      <c r="J15" s="2158">
        <f t="shared" si="1"/>
        <v>633596.84351000004</v>
      </c>
      <c r="K15" s="2157">
        <f t="shared" si="1"/>
        <v>0</v>
      </c>
      <c r="L15" s="2157">
        <f t="shared" si="1"/>
        <v>0</v>
      </c>
      <c r="M15" s="2159">
        <f t="shared" si="1"/>
        <v>0</v>
      </c>
      <c r="N15" s="2160">
        <f t="shared" si="1"/>
        <v>0</v>
      </c>
      <c r="O15" s="1149"/>
      <c r="P15" s="705"/>
      <c r="Q15" s="705"/>
      <c r="R15" s="706"/>
      <c r="S15" s="706"/>
      <c r="T15" s="706"/>
      <c r="U15" s="706"/>
      <c r="V15" s="706"/>
      <c r="W15" s="706"/>
      <c r="X15" s="706"/>
      <c r="Y15" s="706"/>
      <c r="Z15" s="706"/>
      <c r="AA15" s="706"/>
      <c r="AB15" s="706"/>
      <c r="AC15" s="706"/>
      <c r="AD15" s="706"/>
      <c r="AE15" s="706"/>
      <c r="AF15" s="706"/>
      <c r="AG15" s="706"/>
      <c r="AH15" s="706"/>
      <c r="AI15" s="706"/>
      <c r="AJ15" s="706"/>
    </row>
    <row r="16" spans="1:36">
      <c r="A16" s="2153">
        <v>3</v>
      </c>
      <c r="B16" s="2154" t="s">
        <v>272</v>
      </c>
      <c r="C16" s="2155"/>
      <c r="D16" s="2156">
        <f t="shared" ref="D16:N16" si="2">+D68+D120+D172+D224+D276+D328+D380+D432+D484+D536+D588+D640+D692+D744+D796+D848</f>
        <v>0</v>
      </c>
      <c r="E16" s="2157">
        <f t="shared" si="2"/>
        <v>0</v>
      </c>
      <c r="F16" s="2157">
        <f t="shared" si="2"/>
        <v>0</v>
      </c>
      <c r="G16" s="2157">
        <f t="shared" si="2"/>
        <v>0</v>
      </c>
      <c r="H16" s="2157">
        <f t="shared" si="2"/>
        <v>0</v>
      </c>
      <c r="I16" s="2157">
        <f t="shared" si="2"/>
        <v>0</v>
      </c>
      <c r="J16" s="2158">
        <f t="shared" si="2"/>
        <v>0</v>
      </c>
      <c r="K16" s="2157">
        <f t="shared" si="2"/>
        <v>0</v>
      </c>
      <c r="L16" s="2157">
        <f t="shared" si="2"/>
        <v>0</v>
      </c>
      <c r="M16" s="2159">
        <f t="shared" si="2"/>
        <v>0</v>
      </c>
      <c r="N16" s="2160">
        <f t="shared" si="2"/>
        <v>0</v>
      </c>
      <c r="O16" s="1149"/>
      <c r="P16" s="705"/>
      <c r="Q16" s="705"/>
      <c r="R16" s="706"/>
      <c r="S16" s="706"/>
      <c r="T16" s="706"/>
      <c r="U16" s="706"/>
      <c r="V16" s="706"/>
      <c r="W16" s="706"/>
      <c r="X16" s="706"/>
      <c r="Y16" s="706"/>
      <c r="Z16" s="706"/>
      <c r="AA16" s="706"/>
      <c r="AB16" s="706"/>
      <c r="AC16" s="706"/>
      <c r="AD16" s="706"/>
      <c r="AE16" s="706"/>
      <c r="AF16" s="706"/>
      <c r="AG16" s="706"/>
      <c r="AH16" s="706"/>
      <c r="AI16" s="706"/>
      <c r="AJ16" s="706"/>
    </row>
    <row r="17" spans="1:42">
      <c r="A17" s="2153">
        <v>4</v>
      </c>
      <c r="B17" s="2154" t="s">
        <v>273</v>
      </c>
      <c r="C17" s="2155"/>
      <c r="D17" s="2156">
        <f t="shared" ref="D17:N17" si="3">+D69+D121+D173+D225+D277+D329+D381+D433+D485+D537+D589+D641+D693+D745+D797+D849</f>
        <v>4108226.3393399999</v>
      </c>
      <c r="E17" s="2157">
        <f t="shared" si="3"/>
        <v>0</v>
      </c>
      <c r="F17" s="2157">
        <f t="shared" si="3"/>
        <v>1770847</v>
      </c>
      <c r="G17" s="2157">
        <f t="shared" si="3"/>
        <v>1201965.7863912159</v>
      </c>
      <c r="H17" s="2157">
        <f t="shared" si="3"/>
        <v>584324.55294878408</v>
      </c>
      <c r="I17" s="2157">
        <f t="shared" si="3"/>
        <v>551089</v>
      </c>
      <c r="J17" s="2158">
        <f t="shared" si="3"/>
        <v>2337379.3393399999</v>
      </c>
      <c r="K17" s="2157">
        <f t="shared" si="3"/>
        <v>0</v>
      </c>
      <c r="L17" s="2157">
        <f t="shared" si="3"/>
        <v>0</v>
      </c>
      <c r="M17" s="2159">
        <f t="shared" si="3"/>
        <v>0</v>
      </c>
      <c r="N17" s="2160">
        <f t="shared" si="3"/>
        <v>0</v>
      </c>
      <c r="O17" s="1149"/>
      <c r="P17" s="705"/>
      <c r="Q17" s="705"/>
      <c r="R17" s="706"/>
      <c r="S17" s="706"/>
      <c r="T17" s="706"/>
      <c r="U17" s="706"/>
      <c r="V17" s="706"/>
      <c r="W17" s="706"/>
      <c r="X17" s="706"/>
      <c r="Y17" s="706"/>
      <c r="Z17" s="706"/>
      <c r="AA17" s="706"/>
      <c r="AB17" s="706"/>
      <c r="AC17" s="706"/>
      <c r="AD17" s="706"/>
      <c r="AE17" s="706"/>
      <c r="AF17" s="706"/>
      <c r="AG17" s="706"/>
      <c r="AH17" s="706"/>
      <c r="AI17" s="706"/>
      <c r="AJ17" s="706"/>
    </row>
    <row r="18" spans="1:42">
      <c r="A18" s="2153">
        <v>5</v>
      </c>
      <c r="B18" s="2154" t="s">
        <v>274</v>
      </c>
      <c r="C18" s="2161"/>
      <c r="D18" s="2156">
        <f t="shared" ref="D18:N18" si="4">+D70+D122+D174+D226+D278+D330+D382+D434+D486+D538+D590+D642+D694+D746+D798+D850</f>
        <v>14620221.43678</v>
      </c>
      <c r="E18" s="2157">
        <f t="shared" si="4"/>
        <v>0</v>
      </c>
      <c r="F18" s="2157">
        <f t="shared" si="4"/>
        <v>4198151.5</v>
      </c>
      <c r="G18" s="2157">
        <f t="shared" si="4"/>
        <v>7526825</v>
      </c>
      <c r="H18" s="2157">
        <f t="shared" si="4"/>
        <v>2571343.5097776102</v>
      </c>
      <c r="I18" s="2157">
        <f t="shared" si="4"/>
        <v>323901.42700239003</v>
      </c>
      <c r="J18" s="2158">
        <f t="shared" si="4"/>
        <v>10422069.93678</v>
      </c>
      <c r="K18" s="2157">
        <f t="shared" si="4"/>
        <v>0</v>
      </c>
      <c r="L18" s="2157">
        <f t="shared" si="4"/>
        <v>0</v>
      </c>
      <c r="M18" s="2159">
        <f t="shared" si="4"/>
        <v>0</v>
      </c>
      <c r="N18" s="2160">
        <f t="shared" si="4"/>
        <v>0</v>
      </c>
      <c r="O18" s="1149"/>
      <c r="P18" s="705"/>
      <c r="Q18" s="705"/>
      <c r="R18" s="706"/>
      <c r="S18" s="706"/>
      <c r="T18" s="706"/>
      <c r="U18" s="706"/>
      <c r="V18" s="706"/>
      <c r="W18" s="706"/>
      <c r="X18" s="706"/>
      <c r="Y18" s="706"/>
      <c r="Z18" s="706"/>
      <c r="AA18" s="706"/>
      <c r="AB18" s="706"/>
      <c r="AC18" s="706"/>
      <c r="AD18" s="706"/>
      <c r="AE18" s="706"/>
      <c r="AF18" s="706"/>
      <c r="AG18" s="706"/>
      <c r="AH18" s="706"/>
      <c r="AI18" s="706"/>
      <c r="AJ18" s="706"/>
    </row>
    <row r="19" spans="1:42">
      <c r="A19" s="2153">
        <v>6</v>
      </c>
      <c r="B19" s="2154" t="s">
        <v>275</v>
      </c>
      <c r="C19" s="2155"/>
      <c r="D19" s="2156">
        <f t="shared" ref="D19:N19" si="5">+D71+D123+D175+D227+D279+D331+D383+D435+D487+D539+D591+D643+D695+D747+D799+D851</f>
        <v>6296943</v>
      </c>
      <c r="E19" s="2157">
        <f t="shared" si="5"/>
        <v>0</v>
      </c>
      <c r="F19" s="2157">
        <f t="shared" si="5"/>
        <v>4346454</v>
      </c>
      <c r="G19" s="2157">
        <f t="shared" si="5"/>
        <v>1806861</v>
      </c>
      <c r="H19" s="2157">
        <f t="shared" si="5"/>
        <v>143628</v>
      </c>
      <c r="I19" s="2157">
        <f t="shared" si="5"/>
        <v>0</v>
      </c>
      <c r="J19" s="2158">
        <f t="shared" si="5"/>
        <v>1950489</v>
      </c>
      <c r="K19" s="2157">
        <f t="shared" si="5"/>
        <v>0</v>
      </c>
      <c r="L19" s="2157">
        <f t="shared" si="5"/>
        <v>0</v>
      </c>
      <c r="M19" s="2159">
        <f t="shared" si="5"/>
        <v>0</v>
      </c>
      <c r="N19" s="2160">
        <f t="shared" si="5"/>
        <v>0</v>
      </c>
      <c r="O19" s="1149"/>
      <c r="P19" s="705"/>
      <c r="Q19" s="705"/>
      <c r="R19" s="706"/>
      <c r="S19" s="706"/>
      <c r="T19" s="706"/>
      <c r="U19" s="706"/>
      <c r="V19" s="706"/>
      <c r="W19" s="706"/>
      <c r="X19" s="706"/>
      <c r="Y19" s="706"/>
      <c r="Z19" s="706"/>
      <c r="AA19" s="706"/>
      <c r="AB19" s="706"/>
      <c r="AC19" s="706"/>
      <c r="AD19" s="706"/>
      <c r="AE19" s="706"/>
      <c r="AF19" s="706"/>
      <c r="AG19" s="706"/>
      <c r="AH19" s="706"/>
      <c r="AI19" s="706"/>
      <c r="AJ19" s="706"/>
    </row>
    <row r="20" spans="1:42">
      <c r="A20" s="2153">
        <v>7</v>
      </c>
      <c r="B20" s="2154" t="s">
        <v>276</v>
      </c>
      <c r="C20" s="2161"/>
      <c r="D20" s="2156">
        <f t="shared" ref="D20:N20" si="6">+D72+D124+D176+D228+D280+D332+D384+D436+D488+D540+D592+D644+D696+D748+D800+D852</f>
        <v>7402715.3689999999</v>
      </c>
      <c r="E20" s="2157">
        <f t="shared" si="6"/>
        <v>0</v>
      </c>
      <c r="F20" s="2157">
        <f t="shared" si="6"/>
        <v>7387715.3689999999</v>
      </c>
      <c r="G20" s="2157">
        <f t="shared" si="6"/>
        <v>15000</v>
      </c>
      <c r="H20" s="2157">
        <f t="shared" si="6"/>
        <v>0</v>
      </c>
      <c r="I20" s="2157">
        <f t="shared" si="6"/>
        <v>0</v>
      </c>
      <c r="J20" s="2158">
        <f t="shared" si="6"/>
        <v>15000</v>
      </c>
      <c r="K20" s="2157">
        <f t="shared" si="6"/>
        <v>0</v>
      </c>
      <c r="L20" s="2157">
        <f t="shared" si="6"/>
        <v>0</v>
      </c>
      <c r="M20" s="2159">
        <f t="shared" si="6"/>
        <v>0</v>
      </c>
      <c r="N20" s="2160">
        <f t="shared" si="6"/>
        <v>0</v>
      </c>
      <c r="O20" s="1149"/>
      <c r="P20" s="705"/>
      <c r="Q20" s="705"/>
      <c r="R20" s="706"/>
      <c r="S20" s="706"/>
      <c r="T20" s="706"/>
      <c r="U20" s="706"/>
      <c r="V20" s="706"/>
      <c r="W20" s="706"/>
      <c r="X20" s="706"/>
      <c r="Y20" s="706"/>
      <c r="Z20" s="706"/>
      <c r="AA20" s="706"/>
      <c r="AB20" s="706"/>
      <c r="AC20" s="706"/>
      <c r="AD20" s="706"/>
      <c r="AE20" s="706"/>
      <c r="AF20" s="706"/>
      <c r="AG20" s="706"/>
      <c r="AH20" s="706"/>
      <c r="AI20" s="706"/>
      <c r="AJ20" s="706"/>
    </row>
    <row r="21" spans="1:42">
      <c r="A21" s="2155"/>
      <c r="B21" s="2162" t="s">
        <v>277</v>
      </c>
      <c r="C21" s="2161"/>
      <c r="D21" s="2156">
        <f t="shared" ref="D21:N21" si="7">+D73+D125+D177+D229+D281+D333+D385+D437+D489+D541+D593+D645+D697+D749+D801+D853</f>
        <v>2969172</v>
      </c>
      <c r="E21" s="2157">
        <f t="shared" si="7"/>
        <v>0</v>
      </c>
      <c r="F21" s="2157">
        <f t="shared" si="7"/>
        <v>2969172</v>
      </c>
      <c r="G21" s="2157">
        <f t="shared" si="7"/>
        <v>0</v>
      </c>
      <c r="H21" s="2157">
        <f t="shared" si="7"/>
        <v>0</v>
      </c>
      <c r="I21" s="2157">
        <f t="shared" si="7"/>
        <v>0</v>
      </c>
      <c r="J21" s="2158">
        <f t="shared" si="7"/>
        <v>0</v>
      </c>
      <c r="K21" s="2157">
        <f t="shared" si="7"/>
        <v>0</v>
      </c>
      <c r="L21" s="2157">
        <f t="shared" si="7"/>
        <v>0</v>
      </c>
      <c r="M21" s="2159">
        <f t="shared" si="7"/>
        <v>0</v>
      </c>
      <c r="N21" s="2160">
        <f t="shared" si="7"/>
        <v>0</v>
      </c>
      <c r="O21" s="1149"/>
      <c r="P21" s="705"/>
      <c r="Q21" s="705"/>
      <c r="R21" s="706"/>
      <c r="S21" s="706"/>
      <c r="T21" s="706"/>
      <c r="U21" s="706"/>
      <c r="V21" s="706"/>
      <c r="W21" s="706"/>
      <c r="X21" s="706"/>
      <c r="Y21" s="706"/>
      <c r="Z21" s="706"/>
      <c r="AA21" s="706"/>
      <c r="AB21" s="706"/>
      <c r="AC21" s="706"/>
      <c r="AD21" s="706"/>
      <c r="AE21" s="706"/>
      <c r="AF21" s="706"/>
      <c r="AG21" s="706"/>
      <c r="AH21" s="706"/>
      <c r="AI21" s="706"/>
      <c r="AJ21" s="706"/>
    </row>
    <row r="22" spans="1:42">
      <c r="A22" s="2155"/>
      <c r="B22" s="2162" t="s">
        <v>278</v>
      </c>
      <c r="C22" s="2161"/>
      <c r="D22" s="2156">
        <f t="shared" ref="D22:N22" si="8">+D74+D126+D178+D230+D282+D334+D386+D438+D490+D542+D594+D646+D698+D750+D802+D854</f>
        <v>4433543.3689999999</v>
      </c>
      <c r="E22" s="2157">
        <f t="shared" si="8"/>
        <v>0</v>
      </c>
      <c r="F22" s="2157">
        <f t="shared" si="8"/>
        <v>4418543.3689999999</v>
      </c>
      <c r="G22" s="2157">
        <f t="shared" si="8"/>
        <v>15000</v>
      </c>
      <c r="H22" s="2157">
        <f t="shared" si="8"/>
        <v>0</v>
      </c>
      <c r="I22" s="2157">
        <f t="shared" si="8"/>
        <v>0</v>
      </c>
      <c r="J22" s="2158">
        <f t="shared" si="8"/>
        <v>15000</v>
      </c>
      <c r="K22" s="2157">
        <f t="shared" si="8"/>
        <v>0</v>
      </c>
      <c r="L22" s="2157">
        <f t="shared" si="8"/>
        <v>0</v>
      </c>
      <c r="M22" s="2159">
        <f t="shared" si="8"/>
        <v>0</v>
      </c>
      <c r="N22" s="2160">
        <f t="shared" si="8"/>
        <v>0</v>
      </c>
      <c r="O22" s="1149"/>
      <c r="P22" s="705"/>
      <c r="Q22" s="705"/>
      <c r="R22" s="706"/>
      <c r="S22" s="706"/>
      <c r="T22" s="706"/>
      <c r="U22" s="706"/>
      <c r="V22" s="706"/>
      <c r="W22" s="706"/>
      <c r="X22" s="706"/>
      <c r="Y22" s="706"/>
      <c r="Z22" s="706"/>
      <c r="AA22" s="706"/>
      <c r="AB22" s="706"/>
      <c r="AC22" s="706"/>
      <c r="AD22" s="706"/>
      <c r="AE22" s="706"/>
      <c r="AF22" s="706"/>
      <c r="AG22" s="706"/>
      <c r="AH22" s="706"/>
      <c r="AI22" s="706"/>
      <c r="AJ22" s="706"/>
    </row>
    <row r="23" spans="1:42">
      <c r="A23" s="2153">
        <v>8</v>
      </c>
      <c r="B23" s="2154" t="s">
        <v>279</v>
      </c>
      <c r="C23" s="2155"/>
      <c r="D23" s="2156">
        <f t="shared" ref="D23:N23" si="9">+D75+D127+D179+D231+D283+D335+D387+D439+D491+D543+D595+D647+D699+D751+D803+D855</f>
        <v>897622</v>
      </c>
      <c r="E23" s="2157">
        <f t="shared" si="9"/>
        <v>0</v>
      </c>
      <c r="F23" s="2157">
        <f t="shared" si="9"/>
        <v>854632</v>
      </c>
      <c r="G23" s="2157">
        <f t="shared" si="9"/>
        <v>13858</v>
      </c>
      <c r="H23" s="2157">
        <f t="shared" si="9"/>
        <v>29132</v>
      </c>
      <c r="I23" s="2157">
        <f t="shared" si="9"/>
        <v>0</v>
      </c>
      <c r="J23" s="2158">
        <f t="shared" si="9"/>
        <v>42990</v>
      </c>
      <c r="K23" s="2157">
        <f t="shared" si="9"/>
        <v>0</v>
      </c>
      <c r="L23" s="2157">
        <f t="shared" si="9"/>
        <v>0</v>
      </c>
      <c r="M23" s="2159">
        <f t="shared" si="9"/>
        <v>0</v>
      </c>
      <c r="N23" s="2160">
        <f t="shared" si="9"/>
        <v>0</v>
      </c>
      <c r="O23" s="1149"/>
      <c r="P23" s="705"/>
      <c r="Q23" s="705"/>
      <c r="R23" s="706"/>
      <c r="S23" s="706"/>
      <c r="T23" s="706"/>
      <c r="U23" s="706"/>
      <c r="V23" s="706"/>
      <c r="W23" s="706"/>
      <c r="X23" s="706"/>
      <c r="Y23" s="706"/>
      <c r="Z23" s="706"/>
      <c r="AA23" s="706"/>
      <c r="AB23" s="706"/>
      <c r="AC23" s="706"/>
      <c r="AD23" s="706"/>
      <c r="AE23" s="706"/>
      <c r="AF23" s="706"/>
      <c r="AG23" s="706"/>
      <c r="AH23" s="706"/>
      <c r="AI23" s="706"/>
      <c r="AJ23" s="706"/>
    </row>
    <row r="24" spans="1:42">
      <c r="A24" s="2153"/>
      <c r="B24" s="2162" t="s">
        <v>280</v>
      </c>
      <c r="C24" s="2155"/>
      <c r="D24" s="2156">
        <f t="shared" ref="D24:N24" si="10">+D76+D128+D180+D232+D284+D336+D388+D440+D492+D544+D596+D648+D700+D752+D804+D856</f>
        <v>0</v>
      </c>
      <c r="E24" s="2157">
        <f t="shared" si="10"/>
        <v>0</v>
      </c>
      <c r="F24" s="2157">
        <f t="shared" si="10"/>
        <v>0</v>
      </c>
      <c r="G24" s="2157">
        <f t="shared" si="10"/>
        <v>0</v>
      </c>
      <c r="H24" s="2157">
        <f t="shared" si="10"/>
        <v>0</v>
      </c>
      <c r="I24" s="2157">
        <f t="shared" si="10"/>
        <v>0</v>
      </c>
      <c r="J24" s="2158">
        <f t="shared" si="10"/>
        <v>0</v>
      </c>
      <c r="K24" s="2157">
        <f t="shared" si="10"/>
        <v>0</v>
      </c>
      <c r="L24" s="2157">
        <f t="shared" si="10"/>
        <v>0</v>
      </c>
      <c r="M24" s="2159">
        <f t="shared" si="10"/>
        <v>0</v>
      </c>
      <c r="N24" s="2160">
        <f t="shared" si="10"/>
        <v>0</v>
      </c>
      <c r="O24" s="1149"/>
      <c r="P24" s="705"/>
      <c r="Q24" s="705"/>
      <c r="R24" s="706"/>
      <c r="S24" s="706"/>
      <c r="T24" s="706"/>
      <c r="U24" s="706"/>
      <c r="V24" s="706"/>
      <c r="W24" s="706"/>
      <c r="X24" s="706"/>
      <c r="Y24" s="706"/>
      <c r="Z24" s="706"/>
      <c r="AA24" s="706"/>
      <c r="AB24" s="706"/>
      <c r="AC24" s="706"/>
      <c r="AD24" s="706"/>
      <c r="AE24" s="706"/>
      <c r="AF24" s="706"/>
      <c r="AG24" s="706"/>
      <c r="AH24" s="706"/>
      <c r="AI24" s="706"/>
      <c r="AJ24" s="706"/>
    </row>
    <row r="25" spans="1:42">
      <c r="A25" s="2153"/>
      <c r="B25" s="2162" t="s">
        <v>281</v>
      </c>
      <c r="C25" s="2155"/>
      <c r="D25" s="2156">
        <f t="shared" ref="D25:N25" si="11">+D77+D129+D181+D233+D285+D337+D389+D441+D493+D545+D597+D649+D701+D753+D805+D857</f>
        <v>897622</v>
      </c>
      <c r="E25" s="2157">
        <f t="shared" si="11"/>
        <v>0</v>
      </c>
      <c r="F25" s="2157">
        <f t="shared" si="11"/>
        <v>854632</v>
      </c>
      <c r="G25" s="2157">
        <f t="shared" si="11"/>
        <v>13858</v>
      </c>
      <c r="H25" s="2157">
        <f t="shared" si="11"/>
        <v>29132</v>
      </c>
      <c r="I25" s="2157">
        <f t="shared" si="11"/>
        <v>0</v>
      </c>
      <c r="J25" s="2158">
        <f t="shared" si="11"/>
        <v>42990</v>
      </c>
      <c r="K25" s="2157">
        <f t="shared" si="11"/>
        <v>0</v>
      </c>
      <c r="L25" s="2157">
        <f t="shared" si="11"/>
        <v>0</v>
      </c>
      <c r="M25" s="2159">
        <f t="shared" si="11"/>
        <v>0</v>
      </c>
      <c r="N25" s="2160">
        <f t="shared" si="11"/>
        <v>0</v>
      </c>
      <c r="O25" s="1149"/>
      <c r="P25" s="705"/>
      <c r="Q25" s="705"/>
      <c r="R25" s="706"/>
      <c r="S25" s="706"/>
      <c r="T25" s="706"/>
      <c r="U25" s="706"/>
      <c r="V25" s="706"/>
      <c r="W25" s="706"/>
      <c r="X25" s="706"/>
      <c r="Y25" s="706"/>
      <c r="Z25" s="706"/>
      <c r="AA25" s="706"/>
      <c r="AB25" s="706"/>
      <c r="AC25" s="706"/>
      <c r="AD25" s="706"/>
      <c r="AE25" s="706"/>
      <c r="AF25" s="706"/>
      <c r="AG25" s="706"/>
      <c r="AH25" s="706"/>
      <c r="AI25" s="706"/>
      <c r="AJ25" s="706"/>
    </row>
    <row r="26" spans="1:42" s="913" customFormat="1" ht="25.5">
      <c r="A26" s="2163">
        <v>9</v>
      </c>
      <c r="B26" s="2164" t="s">
        <v>282</v>
      </c>
      <c r="C26" s="2165"/>
      <c r="D26" s="2166">
        <f t="shared" ref="D26:K35" si="12">+D78+D130+D182+D234+D286+D338+D390+D442+D494+D546+D598+D650+D702+D754+D806+D858</f>
        <v>545455841.49372995</v>
      </c>
      <c r="E26" s="2167">
        <f t="shared" si="12"/>
        <v>0</v>
      </c>
      <c r="F26" s="2167">
        <f t="shared" si="12"/>
        <v>100579142.35191688</v>
      </c>
      <c r="G26" s="2167">
        <f t="shared" si="12"/>
        <v>219303434.60939479</v>
      </c>
      <c r="H26" s="2167">
        <f t="shared" si="12"/>
        <v>83780083.532418311</v>
      </c>
      <c r="I26" s="2167">
        <f t="shared" si="12"/>
        <v>132102013</v>
      </c>
      <c r="J26" s="2168">
        <f t="shared" si="12"/>
        <v>435185531.1418131</v>
      </c>
      <c r="K26" s="2167">
        <f t="shared" si="12"/>
        <v>457909</v>
      </c>
      <c r="L26" s="2167">
        <f>+M78+L130+L182+L234+L286+L338+L390+L442+L494+L546+L598+L650+L702+L754+L806+L858</f>
        <v>5285271</v>
      </c>
      <c r="M26" s="2169">
        <f t="shared" ref="M26:N54" si="13">+M78+M130+M182+M234+M286+M338+M390+M442+M494+M546+M598+M650+M702+M754+M806+M858</f>
        <v>9150842</v>
      </c>
      <c r="N26" s="2170">
        <f t="shared" si="13"/>
        <v>9691168</v>
      </c>
      <c r="O26" s="1155"/>
      <c r="P26" s="705"/>
      <c r="Q26" s="1025"/>
      <c r="R26" s="706"/>
      <c r="S26" s="1027"/>
      <c r="T26" s="1027"/>
      <c r="U26" s="1027"/>
      <c r="V26" s="1027"/>
      <c r="W26" s="1027"/>
      <c r="X26" s="1027"/>
      <c r="Y26" s="1027"/>
      <c r="Z26" s="1027"/>
      <c r="AA26" s="1027"/>
      <c r="AB26" s="1027"/>
      <c r="AC26" s="1027"/>
      <c r="AD26" s="1027"/>
      <c r="AE26" s="1027"/>
      <c r="AF26" s="1027"/>
      <c r="AG26" s="1027"/>
      <c r="AH26" s="1027"/>
      <c r="AI26" s="1027"/>
      <c r="AJ26" s="1027"/>
      <c r="AK26" s="1058"/>
      <c r="AL26" s="1058"/>
      <c r="AM26" s="1058"/>
      <c r="AN26" s="1058"/>
      <c r="AO26" s="1058"/>
      <c r="AP26" s="1058"/>
    </row>
    <row r="27" spans="1:42">
      <c r="A27" s="2155">
        <v>10</v>
      </c>
      <c r="B27" s="2171" t="s">
        <v>283</v>
      </c>
      <c r="C27" s="2155"/>
      <c r="D27" s="2156">
        <f t="shared" si="12"/>
        <v>153566491.9876</v>
      </c>
      <c r="E27" s="2157">
        <f t="shared" si="12"/>
        <v>0</v>
      </c>
      <c r="F27" s="2157">
        <f t="shared" si="12"/>
        <v>13280113.49368</v>
      </c>
      <c r="G27" s="2157">
        <f t="shared" si="12"/>
        <v>96548150.215918154</v>
      </c>
      <c r="H27" s="2157">
        <f t="shared" si="12"/>
        <v>15493430.27800183</v>
      </c>
      <c r="I27" s="2157">
        <f t="shared" si="12"/>
        <v>28244798</v>
      </c>
      <c r="J27" s="2158">
        <f t="shared" si="12"/>
        <v>140286378.49392</v>
      </c>
      <c r="K27" s="2157">
        <f t="shared" si="12"/>
        <v>0</v>
      </c>
      <c r="L27" s="2157">
        <f t="shared" ref="L27:L54" si="14">+L79+L131+L183+L235+L287+L339+L391+L443+L495+L547+L599+L651+L703+L755+L807+L859</f>
        <v>0</v>
      </c>
      <c r="M27" s="2159">
        <f t="shared" si="13"/>
        <v>0</v>
      </c>
      <c r="N27" s="2160">
        <f t="shared" si="13"/>
        <v>0</v>
      </c>
      <c r="O27" s="1149"/>
      <c r="P27" s="705"/>
      <c r="Q27" s="705"/>
      <c r="R27" s="706"/>
      <c r="S27" s="706"/>
      <c r="T27" s="706"/>
      <c r="U27" s="706"/>
      <c r="V27" s="706"/>
      <c r="W27" s="706"/>
      <c r="X27" s="706"/>
      <c r="Y27" s="706"/>
      <c r="Z27" s="706"/>
      <c r="AA27" s="706"/>
      <c r="AB27" s="706"/>
      <c r="AC27" s="706"/>
      <c r="AD27" s="706"/>
      <c r="AE27" s="706"/>
      <c r="AF27" s="706"/>
      <c r="AG27" s="706"/>
      <c r="AH27" s="706"/>
      <c r="AI27" s="706"/>
      <c r="AJ27" s="706"/>
    </row>
    <row r="28" spans="1:42">
      <c r="A28" s="2155">
        <v>11</v>
      </c>
      <c r="B28" s="2171" t="s">
        <v>284</v>
      </c>
      <c r="C28" s="2155"/>
      <c r="D28" s="2156">
        <f t="shared" si="12"/>
        <v>216216407.10685</v>
      </c>
      <c r="E28" s="2157">
        <f t="shared" si="12"/>
        <v>0</v>
      </c>
      <c r="F28" s="2157">
        <f t="shared" si="12"/>
        <v>49427346.957326889</v>
      </c>
      <c r="G28" s="2157">
        <f t="shared" si="12"/>
        <v>56444620.125483111</v>
      </c>
      <c r="H28" s="2157">
        <f t="shared" si="12"/>
        <v>49807431.024039999</v>
      </c>
      <c r="I28" s="2157">
        <f t="shared" si="12"/>
        <v>54256116</v>
      </c>
      <c r="J28" s="2158">
        <f t="shared" si="12"/>
        <v>160508167.14952311</v>
      </c>
      <c r="K28" s="2157">
        <f t="shared" si="12"/>
        <v>329544</v>
      </c>
      <c r="L28" s="2157">
        <f t="shared" si="14"/>
        <v>82417</v>
      </c>
      <c r="M28" s="2159">
        <f t="shared" si="13"/>
        <v>5868932</v>
      </c>
      <c r="N28" s="2160">
        <f t="shared" si="13"/>
        <v>6280893</v>
      </c>
      <c r="O28" s="1149"/>
      <c r="P28" s="705"/>
      <c r="Q28" s="705"/>
      <c r="R28" s="706"/>
      <c r="S28" s="706"/>
      <c r="T28" s="706"/>
      <c r="U28" s="706"/>
      <c r="V28" s="706"/>
      <c r="W28" s="706"/>
      <c r="X28" s="706"/>
      <c r="Y28" s="706"/>
      <c r="Z28" s="706"/>
      <c r="AA28" s="706"/>
      <c r="AB28" s="706"/>
      <c r="AC28" s="706"/>
      <c r="AD28" s="706"/>
      <c r="AE28" s="706"/>
      <c r="AF28" s="706"/>
      <c r="AG28" s="706"/>
      <c r="AH28" s="706"/>
      <c r="AI28" s="706"/>
      <c r="AJ28" s="706"/>
    </row>
    <row r="29" spans="1:42">
      <c r="A29" s="2155">
        <v>12</v>
      </c>
      <c r="B29" s="2171" t="s">
        <v>285</v>
      </c>
      <c r="C29" s="2155"/>
      <c r="D29" s="2156">
        <f t="shared" si="12"/>
        <v>133944181.86818999</v>
      </c>
      <c r="E29" s="2157">
        <f t="shared" si="12"/>
        <v>0</v>
      </c>
      <c r="F29" s="2157">
        <f t="shared" si="12"/>
        <v>31408066.636929996</v>
      </c>
      <c r="G29" s="2157">
        <f t="shared" si="12"/>
        <v>50569267.665993251</v>
      </c>
      <c r="H29" s="2157">
        <f t="shared" si="12"/>
        <v>7827141.5652667508</v>
      </c>
      <c r="I29" s="2157">
        <f t="shared" si="12"/>
        <v>43423651</v>
      </c>
      <c r="J29" s="2158">
        <f t="shared" si="12"/>
        <v>101820060.23126</v>
      </c>
      <c r="K29" s="2157">
        <f t="shared" si="12"/>
        <v>128365</v>
      </c>
      <c r="L29" s="2157">
        <f t="shared" si="14"/>
        <v>0</v>
      </c>
      <c r="M29" s="2159">
        <f t="shared" si="13"/>
        <v>587690</v>
      </c>
      <c r="N29" s="2160">
        <f t="shared" si="13"/>
        <v>716055</v>
      </c>
      <c r="O29" s="1149"/>
      <c r="P29" s="705"/>
      <c r="Q29" s="705"/>
      <c r="R29" s="706"/>
      <c r="S29" s="706"/>
      <c r="T29" s="706"/>
      <c r="U29" s="706"/>
      <c r="V29" s="706"/>
      <c r="W29" s="706"/>
      <c r="X29" s="706"/>
      <c r="Y29" s="706"/>
      <c r="Z29" s="706"/>
      <c r="AA29" s="706"/>
      <c r="AB29" s="706"/>
      <c r="AC29" s="706"/>
      <c r="AD29" s="706"/>
      <c r="AE29" s="706"/>
      <c r="AF29" s="706"/>
      <c r="AG29" s="706"/>
      <c r="AH29" s="706"/>
      <c r="AI29" s="706"/>
      <c r="AJ29" s="706"/>
    </row>
    <row r="30" spans="1:42" ht="25.5">
      <c r="A30" s="2155">
        <v>13</v>
      </c>
      <c r="B30" s="2171" t="s">
        <v>286</v>
      </c>
      <c r="C30" s="2155"/>
      <c r="D30" s="2156">
        <f t="shared" si="12"/>
        <v>41728761.531089999</v>
      </c>
      <c r="E30" s="2157">
        <f t="shared" si="12"/>
        <v>0</v>
      </c>
      <c r="F30" s="2157">
        <f t="shared" si="12"/>
        <v>6463615.2639799993</v>
      </c>
      <c r="G30" s="2157">
        <f t="shared" si="12"/>
        <v>15741396.602000268</v>
      </c>
      <c r="H30" s="2157">
        <f t="shared" si="12"/>
        <v>10652081.665109731</v>
      </c>
      <c r="I30" s="2157">
        <f t="shared" si="12"/>
        <v>6177448</v>
      </c>
      <c r="J30" s="2158">
        <f t="shared" si="12"/>
        <v>32570926.267109998</v>
      </c>
      <c r="K30" s="2157">
        <f t="shared" si="12"/>
        <v>0</v>
      </c>
      <c r="L30" s="2157">
        <f t="shared" si="14"/>
        <v>0</v>
      </c>
      <c r="M30" s="2159">
        <f t="shared" si="13"/>
        <v>2694220</v>
      </c>
      <c r="N30" s="2160">
        <f t="shared" si="13"/>
        <v>2694220</v>
      </c>
      <c r="O30" s="1149"/>
      <c r="P30" s="705"/>
      <c r="Q30" s="705"/>
      <c r="R30" s="706"/>
      <c r="S30" s="706"/>
      <c r="T30" s="706"/>
      <c r="U30" s="706"/>
      <c r="V30" s="706"/>
      <c r="W30" s="706"/>
      <c r="X30" s="706"/>
      <c r="Y30" s="706"/>
      <c r="Z30" s="706"/>
      <c r="AA30" s="706"/>
      <c r="AB30" s="706"/>
      <c r="AC30" s="706"/>
      <c r="AD30" s="706"/>
      <c r="AE30" s="706"/>
      <c r="AF30" s="706"/>
      <c r="AG30" s="706"/>
      <c r="AH30" s="706"/>
      <c r="AI30" s="706"/>
      <c r="AJ30" s="706"/>
    </row>
    <row r="31" spans="1:42">
      <c r="A31" s="2155">
        <v>14</v>
      </c>
      <c r="B31" s="2154" t="s">
        <v>287</v>
      </c>
      <c r="C31" s="2155"/>
      <c r="D31" s="2156">
        <f t="shared" si="12"/>
        <v>7016920.6480299998</v>
      </c>
      <c r="E31" s="2157">
        <f t="shared" si="12"/>
        <v>0</v>
      </c>
      <c r="F31" s="2157">
        <f t="shared" si="12"/>
        <v>0</v>
      </c>
      <c r="G31" s="2157">
        <f t="shared" si="12"/>
        <v>2580360.5261322306</v>
      </c>
      <c r="H31" s="2157">
        <f t="shared" si="12"/>
        <v>1616145.7462985849</v>
      </c>
      <c r="I31" s="2157">
        <f t="shared" si="12"/>
        <v>2820414.375599185</v>
      </c>
      <c r="J31" s="2158">
        <f t="shared" si="12"/>
        <v>7016920.6480299998</v>
      </c>
      <c r="K31" s="2157">
        <f t="shared" si="12"/>
        <v>0</v>
      </c>
      <c r="L31" s="2157">
        <f t="shared" si="14"/>
        <v>0</v>
      </c>
      <c r="M31" s="2159">
        <f t="shared" si="13"/>
        <v>0</v>
      </c>
      <c r="N31" s="2160">
        <f t="shared" si="13"/>
        <v>0</v>
      </c>
      <c r="O31" s="1149"/>
      <c r="P31" s="705"/>
      <c r="Q31" s="705"/>
      <c r="R31" s="706"/>
      <c r="S31" s="706"/>
      <c r="T31" s="706"/>
      <c r="U31" s="706"/>
      <c r="V31" s="706"/>
      <c r="W31" s="706"/>
      <c r="X31" s="706"/>
      <c r="Y31" s="706"/>
      <c r="Z31" s="706"/>
      <c r="AA31" s="706"/>
      <c r="AB31" s="706"/>
      <c r="AC31" s="706"/>
      <c r="AD31" s="706"/>
      <c r="AE31" s="706"/>
      <c r="AF31" s="706"/>
      <c r="AG31" s="706"/>
      <c r="AH31" s="706"/>
      <c r="AI31" s="706"/>
      <c r="AJ31" s="706"/>
    </row>
    <row r="32" spans="1:42">
      <c r="A32" s="2155">
        <v>15</v>
      </c>
      <c r="B32" s="2154" t="s">
        <v>288</v>
      </c>
      <c r="C32" s="2161"/>
      <c r="D32" s="2156">
        <f t="shared" si="12"/>
        <v>3164824.8922099997</v>
      </c>
      <c r="E32" s="2157">
        <f t="shared" si="12"/>
        <v>0</v>
      </c>
      <c r="F32" s="2157">
        <f t="shared" si="12"/>
        <v>0</v>
      </c>
      <c r="G32" s="2157">
        <f t="shared" si="12"/>
        <v>788508.0129471462</v>
      </c>
      <c r="H32" s="2157">
        <f t="shared" si="12"/>
        <v>1948224.5238033338</v>
      </c>
      <c r="I32" s="2157">
        <f t="shared" si="12"/>
        <v>390117.35545952001</v>
      </c>
      <c r="J32" s="2158">
        <f t="shared" si="12"/>
        <v>3126849.8922099997</v>
      </c>
      <c r="K32" s="2157">
        <f t="shared" si="12"/>
        <v>13940</v>
      </c>
      <c r="L32" s="2157">
        <f t="shared" si="14"/>
        <v>0</v>
      </c>
      <c r="M32" s="2159">
        <f t="shared" si="13"/>
        <v>24035</v>
      </c>
      <c r="N32" s="2160">
        <f t="shared" si="13"/>
        <v>37975</v>
      </c>
      <c r="O32" s="1149"/>
      <c r="P32" s="705"/>
      <c r="Q32" s="705"/>
      <c r="R32" s="706"/>
      <c r="S32" s="706"/>
      <c r="T32" s="706"/>
      <c r="U32" s="706"/>
      <c r="V32" s="706"/>
      <c r="W32" s="706"/>
      <c r="X32" s="706"/>
      <c r="Y32" s="706"/>
      <c r="Z32" s="706"/>
      <c r="AA32" s="706"/>
      <c r="AB32" s="706"/>
      <c r="AC32" s="706"/>
      <c r="AD32" s="706"/>
      <c r="AE32" s="706"/>
      <c r="AF32" s="706"/>
      <c r="AG32" s="706"/>
      <c r="AH32" s="706"/>
      <c r="AI32" s="706"/>
      <c r="AJ32" s="706"/>
    </row>
    <row r="33" spans="1:42">
      <c r="A33" s="2155">
        <v>16</v>
      </c>
      <c r="B33" s="2154" t="s">
        <v>289</v>
      </c>
      <c r="C33" s="2155"/>
      <c r="D33" s="2156">
        <f t="shared" si="12"/>
        <v>3299351.4858999997</v>
      </c>
      <c r="E33" s="2157">
        <f t="shared" si="12"/>
        <v>0</v>
      </c>
      <c r="F33" s="2157">
        <f t="shared" si="12"/>
        <v>0</v>
      </c>
      <c r="G33" s="2157">
        <f t="shared" si="12"/>
        <v>695723.3802229563</v>
      </c>
      <c r="H33" s="2157">
        <f t="shared" si="12"/>
        <v>1628856.8422136838</v>
      </c>
      <c r="I33" s="2157">
        <f t="shared" si="12"/>
        <v>955152.26346336002</v>
      </c>
      <c r="J33" s="2158">
        <f t="shared" si="12"/>
        <v>3279732.4858999997</v>
      </c>
      <c r="K33" s="2157">
        <f t="shared" si="12"/>
        <v>3901</v>
      </c>
      <c r="L33" s="2157">
        <f t="shared" si="14"/>
        <v>0</v>
      </c>
      <c r="M33" s="2159">
        <f t="shared" si="13"/>
        <v>15718</v>
      </c>
      <c r="N33" s="2160">
        <f t="shared" si="13"/>
        <v>19619</v>
      </c>
      <c r="O33" s="1149"/>
      <c r="P33" s="705"/>
      <c r="Q33" s="705"/>
      <c r="R33" s="706"/>
      <c r="S33" s="706"/>
      <c r="T33" s="706"/>
      <c r="U33" s="706"/>
      <c r="V33" s="706"/>
      <c r="W33" s="706"/>
      <c r="X33" s="706"/>
      <c r="Y33" s="706"/>
      <c r="Z33" s="706"/>
      <c r="AA33" s="706"/>
      <c r="AB33" s="706"/>
      <c r="AC33" s="706"/>
      <c r="AD33" s="706"/>
      <c r="AE33" s="706"/>
      <c r="AF33" s="706"/>
      <c r="AG33" s="706"/>
      <c r="AH33" s="706"/>
      <c r="AI33" s="706"/>
      <c r="AJ33" s="706"/>
    </row>
    <row r="34" spans="1:42">
      <c r="A34" s="2155">
        <v>17</v>
      </c>
      <c r="B34" s="2154" t="s">
        <v>290</v>
      </c>
      <c r="C34" s="2161"/>
      <c r="D34" s="2156">
        <f t="shared" si="12"/>
        <v>20241307.873034917</v>
      </c>
      <c r="E34" s="2157">
        <f t="shared" si="12"/>
        <v>-2438202</v>
      </c>
      <c r="F34" s="2157">
        <f t="shared" si="12"/>
        <v>12609933.710932365</v>
      </c>
      <c r="G34" s="2157">
        <f t="shared" si="12"/>
        <v>4886152.1564272996</v>
      </c>
      <c r="H34" s="2157">
        <f t="shared" si="12"/>
        <v>3677123.6412926959</v>
      </c>
      <c r="I34" s="2157">
        <f t="shared" si="12"/>
        <v>1313723</v>
      </c>
      <c r="J34" s="2158">
        <f t="shared" si="12"/>
        <v>9816058.1621025484</v>
      </c>
      <c r="K34" s="2157">
        <f t="shared" si="12"/>
        <v>109470</v>
      </c>
      <c r="L34" s="2157">
        <f t="shared" si="14"/>
        <v>0</v>
      </c>
      <c r="M34" s="2159">
        <f t="shared" si="13"/>
        <v>144048</v>
      </c>
      <c r="N34" s="2160">
        <f t="shared" si="13"/>
        <v>253518</v>
      </c>
      <c r="O34" s="1149"/>
      <c r="P34" s="705"/>
      <c r="Q34" s="705"/>
      <c r="R34" s="706"/>
      <c r="S34" s="706"/>
      <c r="T34" s="706"/>
      <c r="U34" s="706"/>
      <c r="V34" s="706"/>
      <c r="W34" s="706"/>
      <c r="X34" s="706"/>
      <c r="Y34" s="706"/>
      <c r="Z34" s="706"/>
      <c r="AA34" s="706"/>
      <c r="AB34" s="706"/>
      <c r="AC34" s="706"/>
      <c r="AD34" s="706"/>
      <c r="AE34" s="706"/>
      <c r="AF34" s="706"/>
      <c r="AG34" s="706"/>
      <c r="AH34" s="706"/>
      <c r="AI34" s="706"/>
      <c r="AJ34" s="706"/>
    </row>
    <row r="35" spans="1:42">
      <c r="A35" s="2155">
        <v>18</v>
      </c>
      <c r="B35" s="2154" t="s">
        <v>291</v>
      </c>
      <c r="C35" s="2155"/>
      <c r="D35" s="2156">
        <f t="shared" si="12"/>
        <v>1625625</v>
      </c>
      <c r="E35" s="2157">
        <f t="shared" si="12"/>
        <v>0</v>
      </c>
      <c r="F35" s="2157">
        <f t="shared" si="12"/>
        <v>0</v>
      </c>
      <c r="G35" s="2157">
        <f t="shared" si="12"/>
        <v>0</v>
      </c>
      <c r="H35" s="2157">
        <f t="shared" si="12"/>
        <v>0</v>
      </c>
      <c r="I35" s="2157">
        <f t="shared" si="12"/>
        <v>1625625</v>
      </c>
      <c r="J35" s="2158">
        <f t="shared" si="12"/>
        <v>1625625</v>
      </c>
      <c r="K35" s="2157">
        <f t="shared" si="12"/>
        <v>0</v>
      </c>
      <c r="L35" s="2157">
        <f t="shared" si="14"/>
        <v>0</v>
      </c>
      <c r="M35" s="2159">
        <f t="shared" si="13"/>
        <v>0</v>
      </c>
      <c r="N35" s="2160">
        <f t="shared" si="13"/>
        <v>0</v>
      </c>
      <c r="O35" s="1149"/>
      <c r="P35" s="705"/>
      <c r="Q35" s="705"/>
      <c r="R35" s="706"/>
      <c r="S35" s="706"/>
      <c r="T35" s="706"/>
      <c r="U35" s="706"/>
      <c r="V35" s="706"/>
      <c r="W35" s="706"/>
      <c r="X35" s="706"/>
      <c r="Y35" s="706"/>
      <c r="Z35" s="706"/>
      <c r="AA35" s="706"/>
      <c r="AB35" s="706"/>
      <c r="AC35" s="706"/>
      <c r="AD35" s="706"/>
      <c r="AE35" s="706"/>
      <c r="AF35" s="706"/>
      <c r="AG35" s="706"/>
      <c r="AH35" s="706"/>
      <c r="AI35" s="706"/>
      <c r="AJ35" s="706"/>
    </row>
    <row r="36" spans="1:42" ht="13.5" thickBot="1">
      <c r="A36" s="2172">
        <v>19</v>
      </c>
      <c r="B36" s="2173" t="s">
        <v>292</v>
      </c>
      <c r="C36" s="2172"/>
      <c r="D36" s="1361">
        <f t="shared" ref="D36:K45" si="15">+D88+D140+D192+D244+D296+D348+D400+D452+D504+D556+D608+D660+D712+D764+D816+D868</f>
        <v>15096563.625</v>
      </c>
      <c r="E36" s="1097">
        <f t="shared" si="15"/>
        <v>0</v>
      </c>
      <c r="F36" s="1097">
        <f t="shared" si="15"/>
        <v>3665615.8335564681</v>
      </c>
      <c r="G36" s="1097">
        <f t="shared" si="15"/>
        <v>1194917.0153612995</v>
      </c>
      <c r="H36" s="1097">
        <f t="shared" si="15"/>
        <v>7252308.7760822326</v>
      </c>
      <c r="I36" s="1097">
        <f t="shared" si="15"/>
        <v>2934193</v>
      </c>
      <c r="J36" s="1364">
        <f t="shared" si="15"/>
        <v>11381418.791443532</v>
      </c>
      <c r="K36" s="1097">
        <f t="shared" si="15"/>
        <v>31391</v>
      </c>
      <c r="L36" s="1097">
        <f t="shared" si="14"/>
        <v>38</v>
      </c>
      <c r="M36" s="1235">
        <f t="shared" si="13"/>
        <v>18100</v>
      </c>
      <c r="N36" s="2174">
        <f t="shared" si="13"/>
        <v>49529</v>
      </c>
      <c r="O36" s="1149"/>
      <c r="P36" s="705"/>
      <c r="Q36" s="705"/>
      <c r="R36" s="706"/>
      <c r="S36" s="706"/>
      <c r="T36" s="706"/>
      <c r="U36" s="706"/>
      <c r="V36" s="706"/>
      <c r="W36" s="706"/>
      <c r="X36" s="706"/>
      <c r="Y36" s="706"/>
      <c r="Z36" s="706"/>
      <c r="AA36" s="706"/>
      <c r="AB36" s="706"/>
      <c r="AC36" s="706"/>
      <c r="AD36" s="706"/>
      <c r="AE36" s="706"/>
      <c r="AF36" s="706"/>
      <c r="AG36" s="706"/>
      <c r="AH36" s="706"/>
      <c r="AI36" s="706"/>
      <c r="AJ36" s="706"/>
    </row>
    <row r="37" spans="1:42" s="913" customFormat="1" ht="26.25" thickBot="1">
      <c r="A37" s="1356">
        <v>20</v>
      </c>
      <c r="B37" s="1357" t="s">
        <v>293</v>
      </c>
      <c r="C37" s="1356"/>
      <c r="D37" s="1358">
        <f t="shared" si="15"/>
        <v>632626678.64215243</v>
      </c>
      <c r="E37" s="1358">
        <f t="shared" si="15"/>
        <v>-2438202</v>
      </c>
      <c r="F37" s="1358">
        <f t="shared" si="15"/>
        <v>138179411.76540571</v>
      </c>
      <c r="G37" s="1358">
        <f t="shared" si="15"/>
        <v>240014063.48687696</v>
      </c>
      <c r="H37" s="1358">
        <f t="shared" si="15"/>
        <v>103232818.62187047</v>
      </c>
      <c r="I37" s="1358">
        <f t="shared" si="15"/>
        <v>143647719.7679992</v>
      </c>
      <c r="J37" s="1358">
        <f t="shared" si="15"/>
        <v>486833661.24112922</v>
      </c>
      <c r="K37" s="1358">
        <f t="shared" si="15"/>
        <v>616611</v>
      </c>
      <c r="L37" s="1358">
        <f t="shared" si="14"/>
        <v>82455</v>
      </c>
      <c r="M37" s="1359">
        <f t="shared" si="13"/>
        <v>9352743</v>
      </c>
      <c r="N37" s="1360">
        <f t="shared" si="13"/>
        <v>10051809</v>
      </c>
      <c r="O37" s="1155"/>
      <c r="P37" s="705"/>
      <c r="Q37" s="1025"/>
      <c r="R37" s="706"/>
      <c r="S37" s="1027"/>
      <c r="T37" s="1027"/>
      <c r="U37" s="1027"/>
      <c r="V37" s="1027"/>
      <c r="W37" s="1027"/>
      <c r="X37" s="1027"/>
      <c r="Y37" s="1027"/>
      <c r="Z37" s="1027"/>
      <c r="AA37" s="1027"/>
      <c r="AB37" s="1027"/>
      <c r="AC37" s="1027"/>
      <c r="AD37" s="1027"/>
      <c r="AE37" s="1027"/>
      <c r="AF37" s="1027"/>
      <c r="AG37" s="1027"/>
      <c r="AH37" s="1027"/>
      <c r="AI37" s="1027"/>
      <c r="AJ37" s="1027"/>
      <c r="AK37" s="1058"/>
      <c r="AL37" s="1058"/>
      <c r="AM37" s="1058"/>
      <c r="AN37" s="1058"/>
      <c r="AO37" s="1058"/>
      <c r="AP37" s="1058"/>
    </row>
    <row r="38" spans="1:42">
      <c r="A38" s="2155"/>
      <c r="B38" s="2175" t="s">
        <v>294</v>
      </c>
      <c r="C38" s="2155"/>
      <c r="D38" s="2156">
        <f t="shared" si="15"/>
        <v>0</v>
      </c>
      <c r="E38" s="2157">
        <f t="shared" si="15"/>
        <v>0</v>
      </c>
      <c r="F38" s="2157">
        <f t="shared" si="15"/>
        <v>0</v>
      </c>
      <c r="G38" s="2157">
        <f t="shared" si="15"/>
        <v>0</v>
      </c>
      <c r="H38" s="2157">
        <f t="shared" si="15"/>
        <v>0</v>
      </c>
      <c r="I38" s="2157">
        <f t="shared" si="15"/>
        <v>0</v>
      </c>
      <c r="J38" s="2158">
        <f t="shared" si="15"/>
        <v>0</v>
      </c>
      <c r="K38" s="2157">
        <f t="shared" si="15"/>
        <v>0</v>
      </c>
      <c r="L38" s="2157">
        <f t="shared" si="14"/>
        <v>0</v>
      </c>
      <c r="M38" s="2159">
        <f t="shared" si="13"/>
        <v>0</v>
      </c>
      <c r="N38" s="2160">
        <f t="shared" si="13"/>
        <v>0</v>
      </c>
      <c r="O38" s="1149"/>
      <c r="P38" s="705"/>
      <c r="Q38" s="705"/>
      <c r="R38" s="706"/>
      <c r="S38" s="706"/>
      <c r="T38" s="706"/>
      <c r="U38" s="706"/>
      <c r="V38" s="706"/>
      <c r="W38" s="706"/>
      <c r="X38" s="706"/>
      <c r="Y38" s="706"/>
      <c r="Z38" s="706"/>
      <c r="AA38" s="706"/>
      <c r="AB38" s="706"/>
      <c r="AC38" s="706"/>
      <c r="AD38" s="706"/>
      <c r="AE38" s="706"/>
      <c r="AF38" s="706"/>
      <c r="AG38" s="706"/>
      <c r="AH38" s="706"/>
      <c r="AI38" s="706"/>
      <c r="AJ38" s="706"/>
    </row>
    <row r="39" spans="1:42">
      <c r="A39" s="2155"/>
      <c r="B39" s="2175" t="s">
        <v>295</v>
      </c>
      <c r="C39" s="2155"/>
      <c r="D39" s="2156">
        <f t="shared" si="15"/>
        <v>0</v>
      </c>
      <c r="E39" s="2157">
        <f t="shared" si="15"/>
        <v>0</v>
      </c>
      <c r="F39" s="2157">
        <f t="shared" si="15"/>
        <v>0</v>
      </c>
      <c r="G39" s="2157">
        <f t="shared" si="15"/>
        <v>0</v>
      </c>
      <c r="H39" s="2157">
        <f t="shared" si="15"/>
        <v>0</v>
      </c>
      <c r="I39" s="2157">
        <f t="shared" si="15"/>
        <v>0</v>
      </c>
      <c r="J39" s="2158">
        <f t="shared" si="15"/>
        <v>0</v>
      </c>
      <c r="K39" s="2157">
        <f t="shared" si="15"/>
        <v>0</v>
      </c>
      <c r="L39" s="2157">
        <f t="shared" si="14"/>
        <v>0</v>
      </c>
      <c r="M39" s="2159">
        <f t="shared" si="13"/>
        <v>0</v>
      </c>
      <c r="N39" s="2160">
        <f t="shared" si="13"/>
        <v>0</v>
      </c>
      <c r="O39" s="1149"/>
      <c r="P39" s="705"/>
      <c r="Q39" s="705"/>
      <c r="R39" s="706"/>
      <c r="S39" s="706"/>
      <c r="T39" s="706"/>
      <c r="U39" s="706"/>
      <c r="V39" s="706"/>
      <c r="W39" s="706"/>
      <c r="X39" s="706"/>
      <c r="Y39" s="706"/>
      <c r="Z39" s="706"/>
      <c r="AA39" s="706"/>
      <c r="AB39" s="706"/>
      <c r="AC39" s="706"/>
      <c r="AD39" s="706"/>
      <c r="AE39" s="706"/>
      <c r="AF39" s="706"/>
      <c r="AG39" s="706"/>
      <c r="AH39" s="706"/>
      <c r="AI39" s="706"/>
      <c r="AJ39" s="706"/>
    </row>
    <row r="40" spans="1:42">
      <c r="A40" s="2155">
        <v>21</v>
      </c>
      <c r="B40" s="2154" t="s">
        <v>296</v>
      </c>
      <c r="C40" s="2161"/>
      <c r="D40" s="2156">
        <f t="shared" si="15"/>
        <v>450374480.02359521</v>
      </c>
      <c r="E40" s="2157">
        <f t="shared" si="15"/>
        <v>0</v>
      </c>
      <c r="F40" s="2157">
        <f t="shared" si="15"/>
        <v>0</v>
      </c>
      <c r="G40" s="2157">
        <f t="shared" si="15"/>
        <v>228268494.73345467</v>
      </c>
      <c r="H40" s="2157">
        <f t="shared" si="15"/>
        <v>77740231.5383479</v>
      </c>
      <c r="I40" s="2157">
        <f t="shared" si="15"/>
        <v>134933732.75179267</v>
      </c>
      <c r="J40" s="2158">
        <f t="shared" si="15"/>
        <v>440942459.02359521</v>
      </c>
      <c r="K40" s="2157">
        <f t="shared" si="15"/>
        <v>182957</v>
      </c>
      <c r="L40" s="2157">
        <f t="shared" si="14"/>
        <v>82367</v>
      </c>
      <c r="M40" s="2159">
        <f t="shared" si="13"/>
        <v>9166697</v>
      </c>
      <c r="N40" s="2160">
        <f t="shared" si="13"/>
        <v>9432021</v>
      </c>
      <c r="O40" s="1149"/>
      <c r="P40" s="705"/>
      <c r="Q40" s="705"/>
      <c r="R40" s="706"/>
      <c r="S40" s="706"/>
      <c r="T40" s="706"/>
      <c r="U40" s="706"/>
      <c r="V40" s="706"/>
      <c r="W40" s="706"/>
      <c r="X40" s="706"/>
      <c r="Y40" s="706"/>
      <c r="Z40" s="706"/>
      <c r="AA40" s="706"/>
      <c r="AB40" s="706"/>
      <c r="AC40" s="706"/>
      <c r="AD40" s="706"/>
      <c r="AE40" s="706"/>
      <c r="AF40" s="706"/>
      <c r="AG40" s="706"/>
      <c r="AH40" s="706"/>
      <c r="AI40" s="706"/>
      <c r="AJ40" s="706"/>
    </row>
    <row r="41" spans="1:42">
      <c r="A41" s="2155">
        <v>22</v>
      </c>
      <c r="B41" s="2154" t="s">
        <v>297</v>
      </c>
      <c r="C41" s="2155"/>
      <c r="D41" s="2156">
        <f t="shared" si="15"/>
        <v>2126140.4517200002</v>
      </c>
      <c r="E41" s="2157">
        <f t="shared" si="15"/>
        <v>0</v>
      </c>
      <c r="F41" s="2157">
        <f t="shared" si="15"/>
        <v>523455</v>
      </c>
      <c r="G41" s="2157">
        <f t="shared" si="15"/>
        <v>854004.42405306338</v>
      </c>
      <c r="H41" s="2157">
        <f t="shared" si="15"/>
        <v>738638.53846693668</v>
      </c>
      <c r="I41" s="2157">
        <f t="shared" si="15"/>
        <v>10042.4892</v>
      </c>
      <c r="J41" s="2158">
        <f t="shared" si="15"/>
        <v>1602685.45172</v>
      </c>
      <c r="K41" s="2157">
        <f t="shared" si="15"/>
        <v>0</v>
      </c>
      <c r="L41" s="2157">
        <f t="shared" si="14"/>
        <v>0</v>
      </c>
      <c r="M41" s="2159">
        <f t="shared" si="13"/>
        <v>0</v>
      </c>
      <c r="N41" s="2160">
        <f t="shared" si="13"/>
        <v>0</v>
      </c>
      <c r="O41" s="1149"/>
      <c r="P41" s="705"/>
      <c r="Q41" s="705"/>
      <c r="R41" s="706"/>
      <c r="S41" s="706"/>
      <c r="T41" s="706"/>
      <c r="U41" s="706"/>
      <c r="V41" s="706"/>
      <c r="W41" s="706"/>
      <c r="X41" s="706"/>
      <c r="Y41" s="706"/>
      <c r="Z41" s="706"/>
      <c r="AA41" s="706"/>
      <c r="AB41" s="706"/>
      <c r="AC41" s="706"/>
      <c r="AD41" s="706"/>
      <c r="AE41" s="706"/>
      <c r="AF41" s="706"/>
      <c r="AG41" s="706"/>
      <c r="AH41" s="706"/>
      <c r="AI41" s="706"/>
      <c r="AJ41" s="706"/>
    </row>
    <row r="42" spans="1:42">
      <c r="A42" s="2155">
        <v>23</v>
      </c>
      <c r="B42" s="2154" t="s">
        <v>298</v>
      </c>
      <c r="C42" s="2155"/>
      <c r="D42" s="2156">
        <f t="shared" si="15"/>
        <v>5143933.3012943948</v>
      </c>
      <c r="E42" s="2157">
        <f t="shared" si="15"/>
        <v>0</v>
      </c>
      <c r="F42" s="2157">
        <f t="shared" si="15"/>
        <v>0</v>
      </c>
      <c r="G42" s="2157">
        <f t="shared" si="15"/>
        <v>1043828.9954512566</v>
      </c>
      <c r="H42" s="2157">
        <f t="shared" si="15"/>
        <v>3633886.8064923319</v>
      </c>
      <c r="I42" s="2157">
        <f t="shared" si="15"/>
        <v>389358.49935080693</v>
      </c>
      <c r="J42" s="2158">
        <f t="shared" si="15"/>
        <v>5067074.3012943948</v>
      </c>
      <c r="K42" s="2157">
        <f t="shared" si="15"/>
        <v>65814</v>
      </c>
      <c r="L42" s="2157">
        <f t="shared" si="14"/>
        <v>0</v>
      </c>
      <c r="M42" s="2159">
        <f t="shared" si="13"/>
        <v>11045</v>
      </c>
      <c r="N42" s="2160">
        <f t="shared" si="13"/>
        <v>76859</v>
      </c>
      <c r="O42" s="1149"/>
      <c r="P42" s="705"/>
      <c r="Q42" s="705"/>
      <c r="R42" s="706"/>
      <c r="S42" s="706"/>
      <c r="T42" s="706"/>
      <c r="U42" s="706"/>
      <c r="V42" s="706"/>
      <c r="W42" s="706"/>
      <c r="X42" s="706"/>
      <c r="Y42" s="706"/>
      <c r="Z42" s="706"/>
      <c r="AA42" s="706"/>
      <c r="AB42" s="706"/>
      <c r="AC42" s="706"/>
      <c r="AD42" s="706"/>
      <c r="AE42" s="706"/>
      <c r="AF42" s="706"/>
      <c r="AG42" s="706"/>
      <c r="AH42" s="706"/>
      <c r="AI42" s="706"/>
      <c r="AJ42" s="706"/>
    </row>
    <row r="43" spans="1:42">
      <c r="A43" s="2155">
        <v>24</v>
      </c>
      <c r="B43" s="2154" t="s">
        <v>299</v>
      </c>
      <c r="C43" s="2155"/>
      <c r="D43" s="2156">
        <f t="shared" si="15"/>
        <v>1056783</v>
      </c>
      <c r="E43" s="2157">
        <f t="shared" si="15"/>
        <v>0</v>
      </c>
      <c r="F43" s="2157">
        <f t="shared" si="15"/>
        <v>0</v>
      </c>
      <c r="G43" s="2157">
        <f t="shared" si="15"/>
        <v>212179</v>
      </c>
      <c r="H43" s="2157">
        <f t="shared" si="15"/>
        <v>719024</v>
      </c>
      <c r="I43" s="2157">
        <f t="shared" si="15"/>
        <v>118444</v>
      </c>
      <c r="J43" s="2158">
        <f t="shared" si="15"/>
        <v>1049647</v>
      </c>
      <c r="K43" s="2157">
        <f t="shared" si="15"/>
        <v>7136</v>
      </c>
      <c r="L43" s="2157">
        <f t="shared" si="14"/>
        <v>0</v>
      </c>
      <c r="M43" s="2159">
        <f t="shared" si="13"/>
        <v>0</v>
      </c>
      <c r="N43" s="2160">
        <f t="shared" si="13"/>
        <v>7136</v>
      </c>
      <c r="O43" s="1149"/>
      <c r="P43" s="705"/>
      <c r="Q43" s="705"/>
      <c r="R43" s="706"/>
      <c r="S43" s="706"/>
      <c r="T43" s="706"/>
      <c r="U43" s="706"/>
      <c r="V43" s="706"/>
      <c r="W43" s="706"/>
      <c r="X43" s="706"/>
      <c r="Y43" s="706"/>
      <c r="Z43" s="706"/>
      <c r="AA43" s="706"/>
      <c r="AB43" s="706"/>
      <c r="AC43" s="706"/>
      <c r="AD43" s="706"/>
      <c r="AE43" s="706"/>
      <c r="AF43" s="706"/>
      <c r="AG43" s="706"/>
      <c r="AH43" s="706"/>
      <c r="AI43" s="706"/>
      <c r="AJ43" s="706"/>
    </row>
    <row r="44" spans="1:42">
      <c r="A44" s="2155">
        <v>25</v>
      </c>
      <c r="B44" s="2176" t="s">
        <v>300</v>
      </c>
      <c r="C44" s="2155"/>
      <c r="D44" s="2156">
        <f t="shared" si="15"/>
        <v>7017960.1115499996</v>
      </c>
      <c r="E44" s="2157">
        <f t="shared" si="15"/>
        <v>0</v>
      </c>
      <c r="F44" s="2157">
        <f t="shared" si="15"/>
        <v>3435604.11155</v>
      </c>
      <c r="G44" s="2157">
        <f t="shared" si="15"/>
        <v>89752</v>
      </c>
      <c r="H44" s="2157">
        <f t="shared" si="15"/>
        <v>3492604</v>
      </c>
      <c r="I44" s="2157">
        <f t="shared" si="15"/>
        <v>0</v>
      </c>
      <c r="J44" s="2158">
        <f t="shared" si="15"/>
        <v>3582356</v>
      </c>
      <c r="K44" s="2157">
        <f t="shared" si="15"/>
        <v>0</v>
      </c>
      <c r="L44" s="2157">
        <f t="shared" si="14"/>
        <v>0</v>
      </c>
      <c r="M44" s="2159">
        <f t="shared" si="13"/>
        <v>0</v>
      </c>
      <c r="N44" s="2160">
        <f t="shared" si="13"/>
        <v>0</v>
      </c>
      <c r="O44" s="1149"/>
      <c r="P44" s="705"/>
      <c r="Q44" s="705"/>
      <c r="R44" s="706"/>
      <c r="S44" s="706"/>
      <c r="T44" s="706"/>
      <c r="U44" s="706"/>
      <c r="V44" s="706"/>
      <c r="W44" s="706"/>
      <c r="X44" s="706"/>
      <c r="Y44" s="706"/>
      <c r="Z44" s="706"/>
      <c r="AA44" s="706"/>
      <c r="AB44" s="706"/>
      <c r="AC44" s="706"/>
      <c r="AD44" s="706"/>
      <c r="AE44" s="706"/>
      <c r="AF44" s="706"/>
      <c r="AG44" s="706"/>
      <c r="AH44" s="706"/>
      <c r="AI44" s="706"/>
      <c r="AJ44" s="706"/>
    </row>
    <row r="45" spans="1:42" ht="13.5" thickBot="1">
      <c r="A45" s="2172">
        <v>26</v>
      </c>
      <c r="B45" s="2173" t="s">
        <v>301</v>
      </c>
      <c r="C45" s="2177"/>
      <c r="D45" s="1361">
        <f t="shared" si="15"/>
        <v>32195115.382069536</v>
      </c>
      <c r="E45" s="1097">
        <f t="shared" si="15"/>
        <v>-2438202.4772800002</v>
      </c>
      <c r="F45" s="1097">
        <f t="shared" si="15"/>
        <v>2758094.6648244499</v>
      </c>
      <c r="G45" s="1097">
        <f t="shared" si="15"/>
        <v>9813235.5372642279</v>
      </c>
      <c r="H45" s="1097">
        <f t="shared" si="15"/>
        <v>14920941.340138458</v>
      </c>
      <c r="I45" s="1097">
        <f t="shared" si="15"/>
        <v>6672968.9527398478</v>
      </c>
      <c r="J45" s="1364">
        <f t="shared" si="15"/>
        <v>31346205.194525085</v>
      </c>
      <c r="K45" s="1097">
        <f t="shared" si="15"/>
        <v>359059</v>
      </c>
      <c r="L45" s="1097">
        <f t="shared" si="14"/>
        <v>88</v>
      </c>
      <c r="M45" s="1235">
        <f t="shared" si="13"/>
        <v>169871</v>
      </c>
      <c r="N45" s="2174">
        <f t="shared" si="13"/>
        <v>529018</v>
      </c>
      <c r="O45" s="1149"/>
      <c r="P45" s="705"/>
      <c r="Q45" s="705"/>
      <c r="R45" s="706"/>
      <c r="S45" s="706"/>
      <c r="T45" s="706"/>
      <c r="U45" s="706"/>
      <c r="V45" s="706"/>
      <c r="W45" s="706"/>
      <c r="X45" s="706"/>
      <c r="Y45" s="706"/>
      <c r="Z45" s="706"/>
      <c r="AA45" s="706"/>
      <c r="AB45" s="706"/>
      <c r="AC45" s="706"/>
      <c r="AD45" s="706"/>
      <c r="AE45" s="706"/>
      <c r="AF45" s="706"/>
      <c r="AG45" s="706"/>
      <c r="AH45" s="706"/>
      <c r="AI45" s="706"/>
      <c r="AJ45" s="706"/>
    </row>
    <row r="46" spans="1:42" s="913" customFormat="1" ht="34.5" customHeight="1" thickBot="1">
      <c r="A46" s="1348">
        <v>27</v>
      </c>
      <c r="B46" s="1349" t="s">
        <v>302</v>
      </c>
      <c r="C46" s="1348"/>
      <c r="D46" s="1362">
        <f t="shared" ref="D46:K54" si="16">+D98+D150+D202+D254+D306+D358+D410+D462+D514+D566+D618+D670+D722+D774+D826+D878</f>
        <v>497914412.27022922</v>
      </c>
      <c r="E46" s="1100">
        <f t="shared" si="16"/>
        <v>-2438202.4772800002</v>
      </c>
      <c r="F46" s="1100">
        <f t="shared" si="16"/>
        <v>6717153.77637445</v>
      </c>
      <c r="G46" s="1100">
        <f t="shared" si="16"/>
        <v>240281494.69022325</v>
      </c>
      <c r="H46" s="1100">
        <f t="shared" si="16"/>
        <v>101245326.22344561</v>
      </c>
      <c r="I46" s="1100">
        <f t="shared" si="16"/>
        <v>142124546.69308335</v>
      </c>
      <c r="J46" s="1365">
        <f t="shared" si="16"/>
        <v>483590426.97113478</v>
      </c>
      <c r="K46" s="1100">
        <f t="shared" si="16"/>
        <v>614966</v>
      </c>
      <c r="L46" s="1100">
        <f t="shared" si="14"/>
        <v>82455</v>
      </c>
      <c r="M46" s="1101">
        <f t="shared" si="13"/>
        <v>9347613</v>
      </c>
      <c r="N46" s="1367">
        <f t="shared" si="13"/>
        <v>10045034</v>
      </c>
      <c r="O46" s="1155"/>
      <c r="P46" s="705"/>
      <c r="Q46" s="1025"/>
      <c r="R46" s="706"/>
      <c r="S46" s="1027"/>
      <c r="T46" s="1027"/>
      <c r="U46" s="1027"/>
      <c r="V46" s="1027"/>
      <c r="W46" s="1027"/>
      <c r="X46" s="1027"/>
      <c r="Y46" s="1027"/>
      <c r="Z46" s="1027"/>
      <c r="AA46" s="1027"/>
      <c r="AB46" s="1027"/>
      <c r="AC46" s="1027"/>
      <c r="AD46" s="1027"/>
      <c r="AE46" s="1027"/>
      <c r="AF46" s="1027"/>
      <c r="AG46" s="1027"/>
      <c r="AH46" s="1027"/>
      <c r="AI46" s="1027"/>
      <c r="AJ46" s="1027"/>
      <c r="AK46" s="1058"/>
      <c r="AL46" s="1058"/>
      <c r="AM46" s="1058"/>
      <c r="AN46" s="1058"/>
      <c r="AO46" s="1058"/>
      <c r="AP46" s="1058"/>
    </row>
    <row r="47" spans="1:42">
      <c r="A47" s="1346"/>
      <c r="B47" s="1347" t="s">
        <v>303</v>
      </c>
      <c r="C47" s="1346"/>
      <c r="D47" s="2156">
        <f t="shared" si="16"/>
        <v>0</v>
      </c>
      <c r="E47" s="2157">
        <f t="shared" si="16"/>
        <v>0</v>
      </c>
      <c r="F47" s="2157">
        <f t="shared" si="16"/>
        <v>0</v>
      </c>
      <c r="G47" s="2157">
        <f t="shared" si="16"/>
        <v>0</v>
      </c>
      <c r="H47" s="2157">
        <f t="shared" si="16"/>
        <v>0</v>
      </c>
      <c r="I47" s="2157">
        <f t="shared" si="16"/>
        <v>0</v>
      </c>
      <c r="J47" s="2158">
        <f t="shared" si="16"/>
        <v>0</v>
      </c>
      <c r="K47" s="2157">
        <f t="shared" si="16"/>
        <v>0</v>
      </c>
      <c r="L47" s="2157">
        <f t="shared" si="14"/>
        <v>0</v>
      </c>
      <c r="M47" s="2159">
        <f t="shared" si="13"/>
        <v>0</v>
      </c>
      <c r="N47" s="2160">
        <f t="shared" si="13"/>
        <v>0</v>
      </c>
      <c r="O47" s="1149"/>
      <c r="P47" s="705"/>
      <c r="Q47" s="705"/>
      <c r="R47" s="706"/>
      <c r="S47" s="706"/>
      <c r="T47" s="706"/>
      <c r="U47" s="706"/>
      <c r="V47" s="706"/>
      <c r="W47" s="706"/>
      <c r="X47" s="706"/>
      <c r="Y47" s="706"/>
      <c r="Z47" s="706"/>
      <c r="AA47" s="706"/>
      <c r="AB47" s="706"/>
      <c r="AC47" s="706"/>
      <c r="AD47" s="706"/>
      <c r="AE47" s="706"/>
      <c r="AF47" s="706"/>
      <c r="AG47" s="706"/>
      <c r="AH47" s="706"/>
      <c r="AI47" s="706"/>
      <c r="AJ47" s="706"/>
    </row>
    <row r="48" spans="1:42">
      <c r="A48" s="2155">
        <v>28</v>
      </c>
      <c r="B48" s="2154" t="s">
        <v>304</v>
      </c>
      <c r="C48" s="2161"/>
      <c r="D48" s="2156">
        <f t="shared" si="16"/>
        <v>18454194.06941</v>
      </c>
      <c r="E48" s="2157">
        <f t="shared" si="16"/>
        <v>0</v>
      </c>
      <c r="F48" s="2157">
        <f t="shared" si="16"/>
        <v>18340107.939440001</v>
      </c>
      <c r="G48" s="2157">
        <f t="shared" si="16"/>
        <v>99030.954838465172</v>
      </c>
      <c r="H48" s="2157">
        <f t="shared" si="16"/>
        <v>15055.175131534836</v>
      </c>
      <c r="I48" s="2157">
        <f t="shared" si="16"/>
        <v>0</v>
      </c>
      <c r="J48" s="2158">
        <f t="shared" si="16"/>
        <v>114086.12997000001</v>
      </c>
      <c r="K48" s="2157">
        <f t="shared" si="16"/>
        <v>0</v>
      </c>
      <c r="L48" s="2157">
        <f t="shared" si="14"/>
        <v>0</v>
      </c>
      <c r="M48" s="2159">
        <f t="shared" si="13"/>
        <v>0</v>
      </c>
      <c r="N48" s="2160">
        <f t="shared" si="13"/>
        <v>0</v>
      </c>
      <c r="O48" s="1149"/>
      <c r="P48" s="705"/>
      <c r="Q48" s="705"/>
      <c r="R48" s="706"/>
      <c r="S48" s="706"/>
      <c r="T48" s="706"/>
      <c r="U48" s="706"/>
      <c r="V48" s="706"/>
      <c r="W48" s="706"/>
      <c r="X48" s="706"/>
      <c r="Y48" s="706"/>
      <c r="Z48" s="706"/>
      <c r="AA48" s="706"/>
      <c r="AB48" s="706"/>
      <c r="AC48" s="706"/>
      <c r="AD48" s="706"/>
      <c r="AE48" s="706"/>
      <c r="AF48" s="706"/>
      <c r="AG48" s="706"/>
      <c r="AH48" s="706"/>
      <c r="AI48" s="706"/>
      <c r="AJ48" s="706"/>
    </row>
    <row r="49" spans="1:42">
      <c r="A49" s="2155">
        <v>29</v>
      </c>
      <c r="B49" s="2154" t="s">
        <v>305</v>
      </c>
      <c r="C49" s="2161"/>
      <c r="D49" s="2156">
        <f t="shared" si="16"/>
        <v>5462996.1053399993</v>
      </c>
      <c r="E49" s="2157">
        <f t="shared" si="16"/>
        <v>0</v>
      </c>
      <c r="F49" s="2157">
        <f t="shared" si="16"/>
        <v>6068939.1053399993</v>
      </c>
      <c r="G49" s="2157">
        <f t="shared" si="16"/>
        <v>-503878</v>
      </c>
      <c r="H49" s="2157">
        <f t="shared" si="16"/>
        <v>-7492</v>
      </c>
      <c r="I49" s="2157">
        <f t="shared" si="16"/>
        <v>-101349</v>
      </c>
      <c r="J49" s="2158">
        <f t="shared" si="16"/>
        <v>-612719</v>
      </c>
      <c r="K49" s="2157">
        <f t="shared" si="16"/>
        <v>1645</v>
      </c>
      <c r="L49" s="2157">
        <f t="shared" si="14"/>
        <v>0</v>
      </c>
      <c r="M49" s="2159">
        <f t="shared" si="13"/>
        <v>5131</v>
      </c>
      <c r="N49" s="2160">
        <f t="shared" si="13"/>
        <v>6776</v>
      </c>
      <c r="O49" s="1149"/>
      <c r="P49" s="705"/>
      <c r="Q49" s="705"/>
      <c r="R49" s="706"/>
      <c r="S49" s="706"/>
      <c r="T49" s="706"/>
      <c r="U49" s="706"/>
      <c r="V49" s="706"/>
      <c r="W49" s="706"/>
      <c r="X49" s="706"/>
      <c r="Y49" s="706"/>
      <c r="Z49" s="706"/>
      <c r="AA49" s="706"/>
      <c r="AB49" s="706"/>
      <c r="AC49" s="706"/>
      <c r="AD49" s="706"/>
      <c r="AE49" s="706"/>
      <c r="AF49" s="706"/>
      <c r="AG49" s="706"/>
      <c r="AH49" s="706"/>
      <c r="AI49" s="706"/>
      <c r="AJ49" s="706"/>
    </row>
    <row r="50" spans="1:42">
      <c r="A50" s="2155">
        <v>30</v>
      </c>
      <c r="B50" s="2173" t="s">
        <v>306</v>
      </c>
      <c r="C50" s="2177"/>
      <c r="D50" s="2156">
        <f t="shared" si="16"/>
        <v>3437959</v>
      </c>
      <c r="E50" s="2157">
        <f t="shared" si="16"/>
        <v>0</v>
      </c>
      <c r="F50" s="2157">
        <f t="shared" si="16"/>
        <v>1440198</v>
      </c>
      <c r="G50" s="2157">
        <f t="shared" si="16"/>
        <v>173116</v>
      </c>
      <c r="H50" s="2157">
        <f t="shared" si="16"/>
        <v>1824645</v>
      </c>
      <c r="I50" s="2157">
        <f t="shared" si="16"/>
        <v>0</v>
      </c>
      <c r="J50" s="2158">
        <f t="shared" si="16"/>
        <v>1997761</v>
      </c>
      <c r="K50" s="2157">
        <f t="shared" si="16"/>
        <v>0</v>
      </c>
      <c r="L50" s="2157">
        <f t="shared" si="14"/>
        <v>0</v>
      </c>
      <c r="M50" s="2159">
        <f t="shared" si="13"/>
        <v>0</v>
      </c>
      <c r="N50" s="2160">
        <f t="shared" si="13"/>
        <v>0</v>
      </c>
      <c r="O50" s="1149"/>
      <c r="P50" s="705"/>
      <c r="Q50" s="705"/>
      <c r="R50" s="706"/>
      <c r="S50" s="706"/>
      <c r="T50" s="706"/>
      <c r="U50" s="706"/>
      <c r="V50" s="706"/>
      <c r="W50" s="706"/>
      <c r="X50" s="706"/>
      <c r="Y50" s="706"/>
      <c r="Z50" s="706"/>
      <c r="AA50" s="706"/>
      <c r="AB50" s="706"/>
      <c r="AC50" s="706"/>
      <c r="AD50" s="706"/>
      <c r="AE50" s="706"/>
      <c r="AF50" s="706"/>
      <c r="AG50" s="706"/>
      <c r="AH50" s="706"/>
      <c r="AI50" s="706"/>
      <c r="AJ50" s="706"/>
    </row>
    <row r="51" spans="1:42">
      <c r="A51" s="2155">
        <v>31</v>
      </c>
      <c r="B51" s="2178" t="s">
        <v>307</v>
      </c>
      <c r="C51" s="2177"/>
      <c r="D51" s="2156">
        <f t="shared" si="16"/>
        <v>30921534.032443576</v>
      </c>
      <c r="E51" s="2157">
        <f t="shared" si="16"/>
        <v>0</v>
      </c>
      <c r="F51" s="2157">
        <f t="shared" si="16"/>
        <v>30968457.577853575</v>
      </c>
      <c r="G51" s="2157">
        <f t="shared" si="16"/>
        <v>-40731.362415223659</v>
      </c>
      <c r="H51" s="2157">
        <f t="shared" si="16"/>
        <v>-6192.1829947763408</v>
      </c>
      <c r="I51" s="2157">
        <f t="shared" si="16"/>
        <v>0</v>
      </c>
      <c r="J51" s="2158">
        <f t="shared" si="16"/>
        <v>-46923.545409999999</v>
      </c>
      <c r="K51" s="2157">
        <f t="shared" si="16"/>
        <v>0</v>
      </c>
      <c r="L51" s="2157">
        <f t="shared" si="14"/>
        <v>0</v>
      </c>
      <c r="M51" s="2159">
        <f t="shared" si="13"/>
        <v>0</v>
      </c>
      <c r="N51" s="2160">
        <f t="shared" si="13"/>
        <v>0</v>
      </c>
      <c r="O51" s="1149"/>
      <c r="P51" s="705"/>
      <c r="Q51" s="705"/>
      <c r="R51" s="706"/>
      <c r="S51" s="706"/>
      <c r="T51" s="706"/>
      <c r="U51" s="706"/>
      <c r="V51" s="706"/>
      <c r="W51" s="706"/>
      <c r="X51" s="706"/>
      <c r="Y51" s="706"/>
      <c r="Z51" s="706"/>
      <c r="AA51" s="706"/>
      <c r="AB51" s="706"/>
      <c r="AC51" s="706"/>
      <c r="AD51" s="706"/>
      <c r="AE51" s="706"/>
      <c r="AF51" s="706"/>
      <c r="AG51" s="706"/>
      <c r="AH51" s="706"/>
      <c r="AI51" s="706"/>
      <c r="AJ51" s="706"/>
    </row>
    <row r="52" spans="1:42" ht="13.5" thickBot="1">
      <c r="A52" s="2172">
        <v>32</v>
      </c>
      <c r="B52" s="2173" t="s">
        <v>308</v>
      </c>
      <c r="C52" s="2177"/>
      <c r="D52" s="1361">
        <f t="shared" si="16"/>
        <v>76435585.187989175</v>
      </c>
      <c r="E52" s="1097">
        <f t="shared" si="16"/>
        <v>0</v>
      </c>
      <c r="F52" s="1097">
        <f t="shared" si="16"/>
        <v>74644557.187989175</v>
      </c>
      <c r="G52" s="1097">
        <f t="shared" si="16"/>
        <v>5034</v>
      </c>
      <c r="H52" s="1097">
        <f t="shared" si="16"/>
        <v>161475</v>
      </c>
      <c r="I52" s="1097">
        <f t="shared" si="16"/>
        <v>1624519</v>
      </c>
      <c r="J52" s="1364">
        <f t="shared" si="16"/>
        <v>1791028</v>
      </c>
      <c r="K52" s="1097">
        <f t="shared" si="16"/>
        <v>0</v>
      </c>
      <c r="L52" s="1097">
        <f t="shared" si="14"/>
        <v>0</v>
      </c>
      <c r="M52" s="1235">
        <f t="shared" si="13"/>
        <v>0</v>
      </c>
      <c r="N52" s="2174">
        <f t="shared" si="13"/>
        <v>0</v>
      </c>
      <c r="O52" s="1149"/>
      <c r="P52" s="705"/>
      <c r="Q52" s="705"/>
      <c r="R52" s="706"/>
      <c r="S52" s="706"/>
      <c r="T52" s="706"/>
      <c r="U52" s="706"/>
      <c r="V52" s="706"/>
      <c r="W52" s="706"/>
      <c r="X52" s="706"/>
      <c r="Y52" s="706"/>
      <c r="Z52" s="706"/>
      <c r="AA52" s="706"/>
      <c r="AB52" s="706"/>
      <c r="AC52" s="706"/>
      <c r="AD52" s="706"/>
      <c r="AE52" s="706"/>
      <c r="AF52" s="706"/>
      <c r="AG52" s="706"/>
      <c r="AH52" s="706"/>
      <c r="AI52" s="706"/>
      <c r="AJ52" s="706"/>
    </row>
    <row r="53" spans="1:42" s="913" customFormat="1" ht="18" customHeight="1" thickBot="1">
      <c r="A53" s="1348">
        <v>33</v>
      </c>
      <c r="B53" s="1350" t="s">
        <v>309</v>
      </c>
      <c r="C53" s="1377"/>
      <c r="D53" s="1362">
        <f t="shared" si="16"/>
        <v>134712268.39518273</v>
      </c>
      <c r="E53" s="1100">
        <f t="shared" si="16"/>
        <v>0</v>
      </c>
      <c r="F53" s="1100">
        <f t="shared" si="16"/>
        <v>131462259.81062275</v>
      </c>
      <c r="G53" s="1100">
        <f t="shared" si="16"/>
        <v>-267428.40757675847</v>
      </c>
      <c r="H53" s="1100">
        <f t="shared" si="16"/>
        <v>1987490.9921367585</v>
      </c>
      <c r="I53" s="1100">
        <f t="shared" si="16"/>
        <v>1523170</v>
      </c>
      <c r="J53" s="1365">
        <f t="shared" si="16"/>
        <v>3243232.5845600003</v>
      </c>
      <c r="K53" s="1100">
        <f t="shared" si="16"/>
        <v>1645</v>
      </c>
      <c r="L53" s="1100">
        <f t="shared" si="14"/>
        <v>0</v>
      </c>
      <c r="M53" s="1101">
        <f t="shared" si="13"/>
        <v>5131</v>
      </c>
      <c r="N53" s="1367">
        <f t="shared" si="13"/>
        <v>6776</v>
      </c>
      <c r="O53" s="1155"/>
      <c r="P53" s="705"/>
      <c r="Q53" s="1025"/>
      <c r="R53" s="706"/>
      <c r="S53" s="1027"/>
      <c r="T53" s="1027"/>
      <c r="U53" s="1027"/>
      <c r="V53" s="1027"/>
      <c r="W53" s="1027"/>
      <c r="X53" s="1027"/>
      <c r="Y53" s="1027"/>
      <c r="Z53" s="1027"/>
      <c r="AA53" s="1027"/>
      <c r="AB53" s="1027"/>
      <c r="AC53" s="1027"/>
      <c r="AD53" s="1027"/>
      <c r="AE53" s="1027"/>
      <c r="AF53" s="1027"/>
      <c r="AG53" s="1027"/>
      <c r="AH53" s="1027"/>
      <c r="AI53" s="1027"/>
      <c r="AJ53" s="1027"/>
      <c r="AK53" s="1058"/>
      <c r="AL53" s="1058"/>
      <c r="AM53" s="1058"/>
      <c r="AN53" s="1058"/>
      <c r="AO53" s="1058"/>
      <c r="AP53" s="1058"/>
    </row>
    <row r="54" spans="1:42" s="913" customFormat="1" ht="26.25" thickBot="1">
      <c r="A54" s="1356">
        <v>34</v>
      </c>
      <c r="B54" s="1357" t="s">
        <v>310</v>
      </c>
      <c r="C54" s="1356"/>
      <c r="D54" s="1358">
        <f t="shared" si="16"/>
        <v>632626680.66541195</v>
      </c>
      <c r="E54" s="1358">
        <f t="shared" si="16"/>
        <v>-2438202.4772800002</v>
      </c>
      <c r="F54" s="1358">
        <f t="shared" si="16"/>
        <v>138179413.58699721</v>
      </c>
      <c r="G54" s="1358">
        <f t="shared" si="16"/>
        <v>240014066.28264648</v>
      </c>
      <c r="H54" s="1358">
        <f t="shared" si="16"/>
        <v>103232817.21558237</v>
      </c>
      <c r="I54" s="1358">
        <f t="shared" si="16"/>
        <v>143647716.69308335</v>
      </c>
      <c r="J54" s="1358">
        <f t="shared" si="16"/>
        <v>486833659.55569476</v>
      </c>
      <c r="K54" s="1358">
        <f t="shared" si="16"/>
        <v>616611</v>
      </c>
      <c r="L54" s="1358">
        <f t="shared" si="14"/>
        <v>82455</v>
      </c>
      <c r="M54" s="1359">
        <f t="shared" si="13"/>
        <v>9352744</v>
      </c>
      <c r="N54" s="1360">
        <f t="shared" si="13"/>
        <v>10051810</v>
      </c>
      <c r="O54" s="1155"/>
      <c r="P54" s="705"/>
      <c r="Q54" s="1025"/>
      <c r="R54" s="706"/>
      <c r="S54" s="1027"/>
      <c r="T54" s="1027"/>
      <c r="U54" s="1027"/>
      <c r="V54" s="1027"/>
      <c r="W54" s="1027"/>
      <c r="X54" s="1027"/>
      <c r="Y54" s="1027"/>
      <c r="Z54" s="1027"/>
      <c r="AA54" s="1027"/>
      <c r="AB54" s="1027"/>
      <c r="AC54" s="1027"/>
      <c r="AD54" s="1027"/>
      <c r="AE54" s="1027"/>
      <c r="AF54" s="1027"/>
      <c r="AG54" s="1027"/>
      <c r="AH54" s="1027"/>
      <c r="AI54" s="1027"/>
      <c r="AJ54" s="1027"/>
      <c r="AK54" s="1058"/>
      <c r="AL54" s="1058"/>
      <c r="AM54" s="1058"/>
      <c r="AN54" s="1058"/>
      <c r="AO54" s="1058"/>
      <c r="AP54" s="1058"/>
    </row>
    <row r="55" spans="1:42">
      <c r="D55" s="679"/>
    </row>
    <row r="56" spans="1:42">
      <c r="B56" s="680"/>
      <c r="D56" s="679"/>
      <c r="E56" s="679"/>
      <c r="F56" s="679"/>
      <c r="G56" s="679"/>
      <c r="H56" s="679"/>
      <c r="I56" s="679"/>
      <c r="J56" s="679"/>
      <c r="K56" s="679"/>
      <c r="L56" s="679"/>
      <c r="M56" s="679"/>
      <c r="N56" s="911">
        <v>13</v>
      </c>
      <c r="O56" s="679"/>
    </row>
    <row r="58" spans="1:42" ht="13.5" thickBot="1"/>
    <row r="59" spans="1:42" ht="15.75" customHeight="1" thickBot="1">
      <c r="A59" s="1368" t="s">
        <v>311</v>
      </c>
      <c r="B59" s="3543" t="s">
        <v>312</v>
      </c>
      <c r="C59" s="3544"/>
      <c r="M59" s="3538" t="s">
        <v>251</v>
      </c>
      <c r="N59" s="3538"/>
      <c r="O59" s="1148"/>
    </row>
    <row r="60" spans="1:42" ht="12" customHeight="1" thickBot="1">
      <c r="A60" s="3512" t="s">
        <v>252</v>
      </c>
      <c r="B60" s="3512"/>
      <c r="C60" s="3512" t="s">
        <v>254</v>
      </c>
      <c r="D60" s="3512" t="s">
        <v>255</v>
      </c>
      <c r="E60" s="3518" t="s">
        <v>256</v>
      </c>
      <c r="F60" s="3518" t="s">
        <v>257</v>
      </c>
      <c r="G60" s="3526" t="s">
        <v>258</v>
      </c>
      <c r="H60" s="3527"/>
      <c r="I60" s="3527"/>
      <c r="J60" s="3527"/>
      <c r="K60" s="3527"/>
      <c r="L60" s="3527"/>
      <c r="M60" s="3527"/>
      <c r="N60" s="3528"/>
      <c r="O60" s="409"/>
    </row>
    <row r="61" spans="1:42" ht="13.9" customHeight="1" thickBot="1">
      <c r="A61" s="3513"/>
      <c r="B61" s="3513"/>
      <c r="C61" s="3513"/>
      <c r="D61" s="3513"/>
      <c r="E61" s="3520"/>
      <c r="F61" s="3520"/>
      <c r="G61" s="3529" t="s">
        <v>259</v>
      </c>
      <c r="H61" s="3530"/>
      <c r="I61" s="3530"/>
      <c r="J61" s="3531"/>
      <c r="K61" s="3529" t="s">
        <v>260</v>
      </c>
      <c r="L61" s="3530"/>
      <c r="M61" s="3530"/>
      <c r="N61" s="3531"/>
      <c r="O61" s="443"/>
    </row>
    <row r="62" spans="1:42" ht="39" thickBot="1">
      <c r="A62" s="3513"/>
      <c r="B62" s="3513"/>
      <c r="C62" s="3513"/>
      <c r="D62" s="3513"/>
      <c r="E62" s="3519"/>
      <c r="F62" s="3519"/>
      <c r="G62" s="1336" t="s">
        <v>261</v>
      </c>
      <c r="H62" s="1369" t="s">
        <v>262</v>
      </c>
      <c r="I62" s="1336" t="s">
        <v>263</v>
      </c>
      <c r="J62" s="1370" t="s">
        <v>158</v>
      </c>
      <c r="K62" s="1337" t="s">
        <v>264</v>
      </c>
      <c r="L62" s="1337" t="s">
        <v>265</v>
      </c>
      <c r="M62" s="1338" t="s">
        <v>266</v>
      </c>
      <c r="N62" s="1339" t="s">
        <v>158</v>
      </c>
      <c r="O62" s="443"/>
    </row>
    <row r="63" spans="1:42" ht="13.5" thickBot="1">
      <c r="A63" s="3513"/>
      <c r="B63" s="3513"/>
      <c r="C63" s="3513"/>
      <c r="D63" s="3513">
        <v>1</v>
      </c>
      <c r="E63" s="3518">
        <v>2</v>
      </c>
      <c r="F63" s="3518">
        <v>3</v>
      </c>
      <c r="G63" s="3518">
        <v>4</v>
      </c>
      <c r="H63" s="3536">
        <v>5</v>
      </c>
      <c r="I63" s="3518">
        <v>6</v>
      </c>
      <c r="J63" s="1341">
        <v>7</v>
      </c>
      <c r="K63" s="3536">
        <v>8</v>
      </c>
      <c r="L63" s="3518">
        <v>9</v>
      </c>
      <c r="M63" s="3546">
        <v>10</v>
      </c>
      <c r="N63" s="1340">
        <v>11</v>
      </c>
      <c r="O63" s="409"/>
    </row>
    <row r="64" spans="1:42" ht="13.5" thickBot="1">
      <c r="A64" s="3514"/>
      <c r="B64" s="3514"/>
      <c r="C64" s="3514"/>
      <c r="D64" s="3514"/>
      <c r="E64" s="3535"/>
      <c r="F64" s="3535"/>
      <c r="G64" s="3535"/>
      <c r="H64" s="3537"/>
      <c r="I64" s="3535"/>
      <c r="J64" s="1371" t="s">
        <v>267</v>
      </c>
      <c r="K64" s="3537"/>
      <c r="L64" s="3535"/>
      <c r="M64" s="3547"/>
      <c r="N64" s="1372" t="s">
        <v>268</v>
      </c>
      <c r="O64" s="703"/>
      <c r="P64" s="703"/>
      <c r="Q64" s="703"/>
    </row>
    <row r="65" spans="1:43">
      <c r="A65" s="1346"/>
      <c r="B65" s="1347" t="s">
        <v>269</v>
      </c>
      <c r="C65" s="1375"/>
      <c r="D65" s="1386"/>
      <c r="E65" s="1156"/>
      <c r="F65" s="1157"/>
      <c r="G65" s="1158"/>
      <c r="H65" s="1159"/>
      <c r="I65" s="1168"/>
      <c r="J65" s="1392"/>
      <c r="K65" s="1164"/>
      <c r="L65" s="1168"/>
      <c r="M65" s="1166"/>
      <c r="N65" s="1399"/>
      <c r="Q65" s="703"/>
    </row>
    <row r="66" spans="1:43">
      <c r="A66" s="2153">
        <v>1</v>
      </c>
      <c r="B66" s="2154" t="s">
        <v>270</v>
      </c>
      <c r="C66" s="2179"/>
      <c r="D66" s="2180">
        <f>+E66+F66+J66+N66</f>
        <v>0</v>
      </c>
      <c r="E66" s="2181"/>
      <c r="F66" s="2157"/>
      <c r="G66" s="2182"/>
      <c r="H66" s="2183"/>
      <c r="I66" s="2184"/>
      <c r="J66" s="2185">
        <f>G66+H66+I66</f>
        <v>0</v>
      </c>
      <c r="K66" s="2159"/>
      <c r="L66" s="2184"/>
      <c r="M66" s="2159"/>
      <c r="N66" s="2160">
        <f>K66+L66+M66</f>
        <v>0</v>
      </c>
      <c r="O66" s="1149"/>
      <c r="P66" s="705"/>
      <c r="Q66" s="54"/>
      <c r="S66" s="706"/>
      <c r="T66" s="706"/>
      <c r="U66" s="706"/>
      <c r="V66" s="706"/>
      <c r="W66" s="706"/>
      <c r="X66" s="706"/>
      <c r="Y66" s="706"/>
      <c r="Z66" s="706"/>
      <c r="AA66" s="706"/>
      <c r="AB66" s="706"/>
      <c r="AC66" s="706"/>
      <c r="AF66" s="706"/>
      <c r="AG66" s="706"/>
      <c r="AH66" s="706"/>
      <c r="AI66" s="706"/>
      <c r="AJ66" s="706"/>
      <c r="AK66" s="706"/>
      <c r="AL66" s="706"/>
      <c r="AM66" s="706"/>
      <c r="AN66" s="706"/>
      <c r="AO66" s="706"/>
      <c r="AP66" s="706"/>
      <c r="AQ66" s="679"/>
    </row>
    <row r="67" spans="1:43">
      <c r="A67" s="2153">
        <v>2</v>
      </c>
      <c r="B67" s="2154" t="s">
        <v>271</v>
      </c>
      <c r="C67" s="2179"/>
      <c r="D67" s="2186">
        <f>+E67+F67+J67+N67</f>
        <v>1347912</v>
      </c>
      <c r="E67" s="2187"/>
      <c r="F67" s="2188">
        <v>1347912</v>
      </c>
      <c r="G67" s="2189"/>
      <c r="H67" s="2190"/>
      <c r="I67" s="2191"/>
      <c r="J67" s="2192">
        <f t="shared" ref="J67:J77" si="17">G67+H67+I67</f>
        <v>0</v>
      </c>
      <c r="K67" s="2193"/>
      <c r="L67" s="2194"/>
      <c r="M67" s="2193"/>
      <c r="N67" s="2195">
        <f t="shared" ref="N67:N106" si="18">K67+L67+M67</f>
        <v>0</v>
      </c>
      <c r="O67" s="1149"/>
      <c r="P67" s="705"/>
      <c r="Q67" s="707"/>
      <c r="R67" s="706"/>
      <c r="S67" s="706"/>
      <c r="T67" s="706"/>
      <c r="U67" s="708"/>
      <c r="V67" s="706"/>
      <c r="W67" s="706"/>
      <c r="X67" s="706"/>
      <c r="Y67" s="706"/>
      <c r="Z67" s="706"/>
      <c r="AA67" s="706"/>
      <c r="AB67" s="706"/>
      <c r="AC67" s="706"/>
      <c r="AF67" s="706"/>
      <c r="AG67" s="706"/>
      <c r="AH67" s="706"/>
      <c r="AI67" s="706"/>
      <c r="AJ67" s="706"/>
      <c r="AK67" s="706"/>
      <c r="AL67" s="706"/>
      <c r="AM67" s="706"/>
      <c r="AN67" s="706"/>
      <c r="AO67" s="706"/>
      <c r="AP67" s="706"/>
    </row>
    <row r="68" spans="1:43">
      <c r="A68" s="2153">
        <v>3</v>
      </c>
      <c r="B68" s="2154" t="s">
        <v>272</v>
      </c>
      <c r="C68" s="2179"/>
      <c r="D68" s="2186">
        <f t="shared" ref="D68:D105" si="19">+E68+F68+J68+N68</f>
        <v>0</v>
      </c>
      <c r="E68" s="2187"/>
      <c r="F68" s="1171">
        <v>0</v>
      </c>
      <c r="G68" s="2189"/>
      <c r="H68" s="2190"/>
      <c r="I68" s="2191"/>
      <c r="J68" s="2192">
        <f t="shared" si="17"/>
        <v>0</v>
      </c>
      <c r="K68" s="2193"/>
      <c r="L68" s="2194"/>
      <c r="M68" s="2193"/>
      <c r="N68" s="2195">
        <f t="shared" si="18"/>
        <v>0</v>
      </c>
      <c r="O68" s="1149"/>
      <c r="P68" s="705"/>
      <c r="Q68" s="54"/>
      <c r="R68" s="706"/>
      <c r="S68" s="706"/>
      <c r="T68" s="706"/>
      <c r="U68" s="708"/>
      <c r="V68" s="706"/>
      <c r="W68" s="706"/>
      <c r="X68" s="706"/>
      <c r="Y68" s="706"/>
      <c r="Z68" s="706"/>
      <c r="AA68" s="706"/>
      <c r="AB68" s="706"/>
      <c r="AC68" s="706"/>
      <c r="AF68" s="706"/>
      <c r="AG68" s="706"/>
      <c r="AH68" s="706"/>
      <c r="AI68" s="706"/>
      <c r="AJ68" s="706"/>
      <c r="AK68" s="706"/>
      <c r="AL68" s="706"/>
      <c r="AM68" s="706"/>
      <c r="AN68" s="706"/>
      <c r="AO68" s="706"/>
      <c r="AP68" s="706"/>
    </row>
    <row r="69" spans="1:43" ht="15">
      <c r="A69" s="2153">
        <v>4</v>
      </c>
      <c r="B69" s="1376" t="s">
        <v>273</v>
      </c>
      <c r="C69" s="2179"/>
      <c r="D69" s="2186">
        <f t="shared" si="19"/>
        <v>897449</v>
      </c>
      <c r="E69" s="2187"/>
      <c r="F69" s="1171">
        <v>897449</v>
      </c>
      <c r="G69" s="2189"/>
      <c r="H69" s="2190"/>
      <c r="I69" s="2191"/>
      <c r="J69" s="2192">
        <f t="shared" si="17"/>
        <v>0</v>
      </c>
      <c r="K69" s="2193"/>
      <c r="L69" s="2194"/>
      <c r="M69" s="2193"/>
      <c r="N69" s="2195">
        <f t="shared" si="18"/>
        <v>0</v>
      </c>
      <c r="O69" s="1149"/>
      <c r="P69" s="705"/>
      <c r="Q69" s="707"/>
      <c r="R69" s="706"/>
      <c r="S69" s="706"/>
      <c r="T69" s="706"/>
      <c r="U69" s="708"/>
      <c r="V69" s="706"/>
      <c r="W69" s="706"/>
      <c r="X69" s="706"/>
      <c r="Y69" s="706"/>
      <c r="Z69" s="706"/>
      <c r="AA69" s="706"/>
      <c r="AB69" s="706"/>
      <c r="AC69" s="706"/>
      <c r="AF69" s="706"/>
      <c r="AG69" s="706"/>
      <c r="AH69" s="706"/>
      <c r="AI69" s="706"/>
      <c r="AJ69" s="706"/>
      <c r="AK69" s="706"/>
      <c r="AL69" s="706"/>
      <c r="AM69" s="706"/>
      <c r="AN69" s="706"/>
      <c r="AO69" s="706"/>
      <c r="AP69" s="706"/>
    </row>
    <row r="70" spans="1:43">
      <c r="A70" s="2153">
        <v>5</v>
      </c>
      <c r="B70" s="2154" t="s">
        <v>274</v>
      </c>
      <c r="C70" s="2196">
        <v>5</v>
      </c>
      <c r="D70" s="2186">
        <f t="shared" si="19"/>
        <v>604169</v>
      </c>
      <c r="E70" s="2187"/>
      <c r="F70" s="2188">
        <v>604169</v>
      </c>
      <c r="G70" s="2189"/>
      <c r="H70" s="2190"/>
      <c r="I70" s="2191"/>
      <c r="J70" s="2192">
        <f t="shared" si="17"/>
        <v>0</v>
      </c>
      <c r="K70" s="2193"/>
      <c r="L70" s="2194"/>
      <c r="M70" s="2193"/>
      <c r="N70" s="2195">
        <f t="shared" si="18"/>
        <v>0</v>
      </c>
      <c r="O70" s="1149"/>
      <c r="P70" s="705"/>
      <c r="Q70" s="1141"/>
      <c r="R70" s="706"/>
      <c r="S70" s="706"/>
      <c r="T70" s="706"/>
      <c r="U70" s="708"/>
      <c r="V70" s="706"/>
      <c r="W70" s="706"/>
      <c r="X70" s="706"/>
      <c r="Y70" s="706"/>
      <c r="Z70" s="706"/>
      <c r="AA70" s="706"/>
      <c r="AB70" s="706"/>
      <c r="AC70" s="706"/>
      <c r="AF70" s="706"/>
      <c r="AG70" s="706"/>
      <c r="AH70" s="706"/>
      <c r="AI70" s="706"/>
      <c r="AJ70" s="706"/>
      <c r="AK70" s="706"/>
      <c r="AL70" s="706"/>
      <c r="AM70" s="706"/>
      <c r="AN70" s="706"/>
      <c r="AO70" s="706"/>
      <c r="AP70" s="706"/>
    </row>
    <row r="71" spans="1:43">
      <c r="A71" s="2153">
        <v>6</v>
      </c>
      <c r="B71" s="2154" t="s">
        <v>275</v>
      </c>
      <c r="C71" s="2179">
        <v>6</v>
      </c>
      <c r="D71" s="2186">
        <f t="shared" si="19"/>
        <v>0</v>
      </c>
      <c r="E71" s="2187"/>
      <c r="F71" s="1171">
        <v>0</v>
      </c>
      <c r="G71" s="2189"/>
      <c r="H71" s="2190"/>
      <c r="I71" s="2191"/>
      <c r="J71" s="2192">
        <f t="shared" si="17"/>
        <v>0</v>
      </c>
      <c r="K71" s="2193"/>
      <c r="L71" s="2194"/>
      <c r="M71" s="2193"/>
      <c r="N71" s="2195">
        <f t="shared" si="18"/>
        <v>0</v>
      </c>
      <c r="O71" s="1149"/>
      <c r="P71" s="705"/>
      <c r="Q71" s="54"/>
      <c r="R71" s="706"/>
      <c r="S71" s="706"/>
      <c r="T71" s="706"/>
      <c r="U71" s="708"/>
      <c r="V71" s="706"/>
      <c r="W71" s="706"/>
      <c r="X71" s="706"/>
      <c r="Y71" s="706"/>
      <c r="Z71" s="706"/>
      <c r="AA71" s="706"/>
      <c r="AB71" s="706"/>
      <c r="AC71" s="706"/>
      <c r="AF71" s="706"/>
      <c r="AG71" s="706"/>
      <c r="AH71" s="706"/>
      <c r="AI71" s="706"/>
      <c r="AJ71" s="706"/>
      <c r="AK71" s="706"/>
      <c r="AL71" s="706"/>
      <c r="AM71" s="706"/>
      <c r="AN71" s="706"/>
      <c r="AO71" s="706"/>
      <c r="AP71" s="706"/>
    </row>
    <row r="72" spans="1:43">
      <c r="A72" s="2153">
        <v>7</v>
      </c>
      <c r="B72" s="2154" t="s">
        <v>276</v>
      </c>
      <c r="C72" s="2196">
        <v>7</v>
      </c>
      <c r="D72" s="2186">
        <f t="shared" si="19"/>
        <v>1000</v>
      </c>
      <c r="E72" s="2187"/>
      <c r="F72" s="1171">
        <v>1000</v>
      </c>
      <c r="G72" s="2188"/>
      <c r="H72" s="2193"/>
      <c r="I72" s="2194"/>
      <c r="J72" s="2192">
        <f t="shared" si="17"/>
        <v>0</v>
      </c>
      <c r="K72" s="2193">
        <f t="shared" ref="K72:M72" si="20">K73+K74</f>
        <v>0</v>
      </c>
      <c r="L72" s="2194">
        <f t="shared" si="20"/>
        <v>0</v>
      </c>
      <c r="M72" s="2193">
        <f t="shared" si="20"/>
        <v>0</v>
      </c>
      <c r="N72" s="2195">
        <f t="shared" si="18"/>
        <v>0</v>
      </c>
      <c r="O72" s="1149"/>
      <c r="P72" s="705"/>
      <c r="Q72" s="1141"/>
      <c r="R72" s="706"/>
      <c r="S72" s="706"/>
      <c r="T72" s="706"/>
      <c r="U72" s="708"/>
      <c r="V72" s="706"/>
      <c r="W72" s="706"/>
      <c r="X72" s="706"/>
      <c r="Y72" s="706"/>
      <c r="Z72" s="706"/>
      <c r="AA72" s="706"/>
      <c r="AB72" s="706"/>
      <c r="AC72" s="706"/>
      <c r="AF72" s="706"/>
      <c r="AG72" s="706"/>
      <c r="AH72" s="706"/>
      <c r="AI72" s="706"/>
      <c r="AJ72" s="706"/>
      <c r="AK72" s="706"/>
      <c r="AL72" s="706"/>
      <c r="AM72" s="706"/>
      <c r="AN72" s="706"/>
      <c r="AO72" s="706"/>
      <c r="AP72" s="706"/>
    </row>
    <row r="73" spans="1:43">
      <c r="A73" s="2155"/>
      <c r="B73" s="2162" t="s">
        <v>277</v>
      </c>
      <c r="C73" s="2196"/>
      <c r="D73" s="2186">
        <f t="shared" si="19"/>
        <v>0</v>
      </c>
      <c r="E73" s="2187"/>
      <c r="F73" s="1171">
        <v>0</v>
      </c>
      <c r="G73" s="2189"/>
      <c r="H73" s="2197"/>
      <c r="I73" s="2194"/>
      <c r="J73" s="2192">
        <f t="shared" si="17"/>
        <v>0</v>
      </c>
      <c r="K73" s="2193"/>
      <c r="L73" s="2194"/>
      <c r="M73" s="2193"/>
      <c r="N73" s="2195">
        <f t="shared" si="18"/>
        <v>0</v>
      </c>
      <c r="O73" s="1149"/>
      <c r="P73" s="705"/>
      <c r="Q73" s="1142"/>
      <c r="R73" s="706"/>
      <c r="S73" s="706"/>
      <c r="T73" s="706"/>
      <c r="U73" s="708"/>
      <c r="V73" s="706"/>
      <c r="W73" s="706"/>
      <c r="X73" s="706"/>
      <c r="Y73" s="706"/>
      <c r="Z73" s="706"/>
      <c r="AA73" s="706"/>
      <c r="AB73" s="706"/>
      <c r="AC73" s="706"/>
      <c r="AF73" s="706"/>
      <c r="AG73" s="706"/>
      <c r="AH73" s="706"/>
      <c r="AI73" s="706"/>
      <c r="AJ73" s="706"/>
      <c r="AK73" s="706"/>
      <c r="AL73" s="706"/>
      <c r="AM73" s="706"/>
      <c r="AN73" s="706"/>
      <c r="AO73" s="706"/>
      <c r="AP73" s="706"/>
    </row>
    <row r="74" spans="1:43">
      <c r="A74" s="2155"/>
      <c r="B74" s="2162" t="s">
        <v>278</v>
      </c>
      <c r="C74" s="2196"/>
      <c r="D74" s="2186">
        <f t="shared" si="19"/>
        <v>1000</v>
      </c>
      <c r="E74" s="2187"/>
      <c r="F74" s="1171">
        <v>1000</v>
      </c>
      <c r="G74" s="2189"/>
      <c r="H74" s="2197"/>
      <c r="I74" s="2194"/>
      <c r="J74" s="2192">
        <f t="shared" si="17"/>
        <v>0</v>
      </c>
      <c r="K74" s="2193"/>
      <c r="L74" s="2194"/>
      <c r="M74" s="2193"/>
      <c r="N74" s="2195">
        <f t="shared" si="18"/>
        <v>0</v>
      </c>
      <c r="O74" s="1149"/>
      <c r="P74" s="705"/>
      <c r="Q74" s="1141"/>
      <c r="R74" s="706"/>
      <c r="S74" s="706"/>
      <c r="T74" s="706"/>
      <c r="U74" s="708"/>
      <c r="V74" s="706"/>
      <c r="W74" s="706"/>
      <c r="X74" s="706"/>
      <c r="Y74" s="706"/>
      <c r="Z74" s="706"/>
      <c r="AA74" s="706"/>
      <c r="AB74" s="706"/>
      <c r="AC74" s="706"/>
      <c r="AF74" s="706"/>
      <c r="AG74" s="706"/>
      <c r="AH74" s="706"/>
      <c r="AI74" s="706"/>
      <c r="AJ74" s="706"/>
      <c r="AK74" s="706"/>
      <c r="AL74" s="706"/>
      <c r="AM74" s="706"/>
      <c r="AN74" s="706"/>
      <c r="AO74" s="706"/>
      <c r="AP74" s="706"/>
    </row>
    <row r="75" spans="1:43">
      <c r="A75" s="2153">
        <v>8</v>
      </c>
      <c r="B75" s="2154" t="s">
        <v>279</v>
      </c>
      <c r="C75" s="2179">
        <v>8</v>
      </c>
      <c r="D75" s="2186">
        <f t="shared" si="19"/>
        <v>0</v>
      </c>
      <c r="E75" s="2187"/>
      <c r="F75" s="1171">
        <v>0</v>
      </c>
      <c r="G75" s="2188"/>
      <c r="H75" s="2193"/>
      <c r="I75" s="2194"/>
      <c r="J75" s="2192">
        <f t="shared" si="17"/>
        <v>0</v>
      </c>
      <c r="K75" s="2193">
        <f t="shared" ref="K75:M75" si="21">K76+K77</f>
        <v>0</v>
      </c>
      <c r="L75" s="2194">
        <f t="shared" si="21"/>
        <v>0</v>
      </c>
      <c r="M75" s="2193">
        <f t="shared" si="21"/>
        <v>0</v>
      </c>
      <c r="N75" s="2195">
        <f t="shared" si="18"/>
        <v>0</v>
      </c>
      <c r="O75" s="1149"/>
      <c r="P75" s="705"/>
      <c r="Q75" s="54"/>
      <c r="R75" s="706"/>
      <c r="S75" s="706"/>
      <c r="T75" s="706"/>
      <c r="U75" s="708"/>
      <c r="V75" s="706"/>
      <c r="W75" s="706"/>
      <c r="X75" s="706"/>
      <c r="Y75" s="706"/>
      <c r="Z75" s="706"/>
      <c r="AA75" s="706"/>
      <c r="AB75" s="706"/>
      <c r="AC75" s="706"/>
      <c r="AF75" s="706"/>
      <c r="AG75" s="706"/>
      <c r="AH75" s="706"/>
      <c r="AI75" s="706"/>
      <c r="AJ75" s="706"/>
      <c r="AK75" s="706"/>
      <c r="AL75" s="706"/>
      <c r="AM75" s="706"/>
      <c r="AN75" s="706"/>
      <c r="AO75" s="706"/>
      <c r="AP75" s="706"/>
    </row>
    <row r="76" spans="1:43">
      <c r="A76" s="2153"/>
      <c r="B76" s="2162" t="s">
        <v>280</v>
      </c>
      <c r="C76" s="2179"/>
      <c r="D76" s="2186">
        <f t="shared" si="19"/>
        <v>0</v>
      </c>
      <c r="E76" s="2187"/>
      <c r="F76" s="1171">
        <v>0</v>
      </c>
      <c r="G76" s="2189"/>
      <c r="H76" s="2197"/>
      <c r="I76" s="2194"/>
      <c r="J76" s="2192">
        <f t="shared" si="17"/>
        <v>0</v>
      </c>
      <c r="K76" s="2193"/>
      <c r="L76" s="2194"/>
      <c r="M76" s="2193"/>
      <c r="N76" s="2195">
        <f t="shared" si="18"/>
        <v>0</v>
      </c>
      <c r="O76" s="1149"/>
      <c r="P76" s="705"/>
      <c r="Q76" s="54"/>
      <c r="R76" s="706"/>
      <c r="S76" s="706"/>
      <c r="T76" s="706"/>
      <c r="U76" s="708"/>
      <c r="V76" s="706"/>
      <c r="W76" s="706"/>
      <c r="X76" s="706"/>
      <c r="Y76" s="706"/>
      <c r="Z76" s="706"/>
      <c r="AA76" s="706"/>
      <c r="AB76" s="706"/>
      <c r="AC76" s="706"/>
      <c r="AF76" s="706"/>
      <c r="AG76" s="706"/>
      <c r="AH76" s="706"/>
      <c r="AI76" s="706"/>
      <c r="AJ76" s="706"/>
      <c r="AK76" s="706"/>
      <c r="AL76" s="706"/>
      <c r="AM76" s="706"/>
      <c r="AN76" s="706"/>
      <c r="AO76" s="706"/>
      <c r="AP76" s="706"/>
    </row>
    <row r="77" spans="1:43">
      <c r="A77" s="2153"/>
      <c r="B77" s="2162" t="s">
        <v>281</v>
      </c>
      <c r="C77" s="2179"/>
      <c r="D77" s="2186">
        <f t="shared" si="19"/>
        <v>0</v>
      </c>
      <c r="E77" s="2187"/>
      <c r="F77" s="1171">
        <v>0</v>
      </c>
      <c r="G77" s="2189"/>
      <c r="H77" s="2197"/>
      <c r="I77" s="2194"/>
      <c r="J77" s="2192">
        <f t="shared" si="17"/>
        <v>0</v>
      </c>
      <c r="K77" s="2193"/>
      <c r="L77" s="2194"/>
      <c r="M77" s="2193"/>
      <c r="N77" s="2195">
        <f t="shared" si="18"/>
        <v>0</v>
      </c>
      <c r="O77" s="1149"/>
      <c r="P77" s="705"/>
      <c r="Q77" s="54"/>
      <c r="R77" s="706"/>
      <c r="S77" s="706"/>
      <c r="T77" s="706"/>
      <c r="U77" s="708"/>
      <c r="V77" s="706"/>
      <c r="W77" s="706"/>
      <c r="X77" s="706"/>
      <c r="Y77" s="706"/>
      <c r="Z77" s="706"/>
      <c r="AA77" s="706"/>
      <c r="AB77" s="706"/>
      <c r="AC77" s="706"/>
      <c r="AF77" s="706"/>
      <c r="AG77" s="706"/>
      <c r="AH77" s="706"/>
      <c r="AI77" s="706"/>
      <c r="AJ77" s="706"/>
      <c r="AK77" s="706"/>
      <c r="AL77" s="706"/>
      <c r="AM77" s="706"/>
      <c r="AN77" s="706"/>
      <c r="AO77" s="706"/>
      <c r="AP77" s="706"/>
    </row>
    <row r="78" spans="1:43" s="913" customFormat="1" ht="25.5">
      <c r="A78" s="2163">
        <v>9</v>
      </c>
      <c r="B78" s="2164" t="s">
        <v>282</v>
      </c>
      <c r="C78" s="2198"/>
      <c r="D78" s="2199">
        <f t="shared" si="19"/>
        <v>65568781</v>
      </c>
      <c r="E78" s="2200">
        <f>SUM(E79:E82)</f>
        <v>0</v>
      </c>
      <c r="F78" s="2200">
        <f t="shared" ref="F78:M78" si="22">SUM(F79:F82)</f>
        <v>17394057</v>
      </c>
      <c r="G78" s="2200">
        <f t="shared" si="22"/>
        <v>0</v>
      </c>
      <c r="H78" s="2201">
        <f t="shared" si="22"/>
        <v>439944</v>
      </c>
      <c r="I78" s="2202">
        <f t="shared" si="22"/>
        <v>42174914</v>
      </c>
      <c r="J78" s="2203">
        <f>G78+H78+I78</f>
        <v>42614858</v>
      </c>
      <c r="K78" s="2201">
        <f t="shared" si="22"/>
        <v>192178</v>
      </c>
      <c r="L78" s="2202">
        <f t="shared" si="22"/>
        <v>82417</v>
      </c>
      <c r="M78" s="2204">
        <f t="shared" si="22"/>
        <v>5285271</v>
      </c>
      <c r="N78" s="2205">
        <f t="shared" si="18"/>
        <v>5559866</v>
      </c>
      <c r="O78" s="1155"/>
      <c r="P78" s="1025"/>
      <c r="Q78" s="710"/>
      <c r="R78" s="1027"/>
      <c r="S78" s="1027"/>
      <c r="T78" s="1027"/>
      <c r="U78" s="1162"/>
      <c r="V78" s="1027"/>
      <c r="W78" s="1027"/>
      <c r="X78" s="1027"/>
      <c r="Y78" s="1027"/>
      <c r="Z78" s="1027"/>
      <c r="AA78" s="1027"/>
      <c r="AB78" s="1027"/>
      <c r="AC78" s="1027"/>
      <c r="AE78" s="1058"/>
      <c r="AF78" s="1027"/>
      <c r="AG78" s="1027"/>
      <c r="AH78" s="1027"/>
      <c r="AI78" s="1027"/>
      <c r="AJ78" s="1027"/>
      <c r="AK78" s="1027"/>
      <c r="AL78" s="1027"/>
      <c r="AM78" s="1027"/>
      <c r="AN78" s="1027"/>
      <c r="AO78" s="1027"/>
      <c r="AP78" s="1027"/>
    </row>
    <row r="79" spans="1:43">
      <c r="A79" s="2155">
        <v>10</v>
      </c>
      <c r="B79" s="2171" t="s">
        <v>283</v>
      </c>
      <c r="C79" s="2179">
        <v>9</v>
      </c>
      <c r="D79" s="2186">
        <f t="shared" si="19"/>
        <v>0</v>
      </c>
      <c r="E79" s="2187"/>
      <c r="F79" s="2188">
        <v>0</v>
      </c>
      <c r="G79" s="1171"/>
      <c r="H79" s="1172"/>
      <c r="I79" s="2194">
        <v>0</v>
      </c>
      <c r="J79" s="2192">
        <f t="shared" ref="J79:J105" si="23">G79+H79+I79</f>
        <v>0</v>
      </c>
      <c r="K79" s="2193"/>
      <c r="L79" s="2194"/>
      <c r="M79" s="2193"/>
      <c r="N79" s="2195">
        <f t="shared" si="18"/>
        <v>0</v>
      </c>
      <c r="O79" s="1149"/>
      <c r="P79" s="705"/>
      <c r="Q79" s="54"/>
      <c r="R79" s="706"/>
      <c r="S79" s="706"/>
      <c r="T79" s="706"/>
      <c r="U79" s="708"/>
      <c r="V79" s="706"/>
      <c r="W79" s="706"/>
      <c r="X79" s="706"/>
      <c r="Y79" s="706"/>
      <c r="Z79" s="706"/>
      <c r="AA79" s="706"/>
      <c r="AB79" s="706"/>
      <c r="AC79" s="706"/>
      <c r="AF79" s="706"/>
      <c r="AG79" s="706"/>
      <c r="AH79" s="706"/>
      <c r="AI79" s="706"/>
      <c r="AJ79" s="706"/>
      <c r="AK79" s="706"/>
      <c r="AL79" s="706"/>
      <c r="AM79" s="706"/>
      <c r="AN79" s="706"/>
      <c r="AO79" s="706"/>
      <c r="AP79" s="706"/>
    </row>
    <row r="80" spans="1:43">
      <c r="A80" s="2155">
        <v>11</v>
      </c>
      <c r="B80" s="2171" t="s">
        <v>284</v>
      </c>
      <c r="C80" s="2179">
        <v>10</v>
      </c>
      <c r="D80" s="2186">
        <f t="shared" si="19"/>
        <v>19476994</v>
      </c>
      <c r="E80" s="2187"/>
      <c r="F80" s="1171">
        <v>2898884</v>
      </c>
      <c r="G80" s="2188"/>
      <c r="H80" s="2193">
        <v>35847</v>
      </c>
      <c r="I80" s="1173">
        <v>12631953</v>
      </c>
      <c r="J80" s="2192">
        <f t="shared" si="23"/>
        <v>12667800</v>
      </c>
      <c r="K80" s="2197">
        <v>192178</v>
      </c>
      <c r="L80" s="2194">
        <v>82417</v>
      </c>
      <c r="M80" s="2193">
        <v>3635715</v>
      </c>
      <c r="N80" s="2206">
        <f t="shared" si="18"/>
        <v>3910310</v>
      </c>
      <c r="O80" s="1149"/>
      <c r="P80" s="705"/>
      <c r="Q80" s="707"/>
      <c r="R80" s="706"/>
      <c r="S80" s="706"/>
      <c r="T80" s="706"/>
      <c r="U80" s="708"/>
      <c r="V80" s="706"/>
      <c r="W80" s="706"/>
      <c r="X80" s="706"/>
      <c r="Y80" s="706"/>
      <c r="Z80" s="706"/>
      <c r="AA80" s="706"/>
      <c r="AB80" s="706"/>
      <c r="AC80" s="706"/>
      <c r="AF80" s="706"/>
      <c r="AG80" s="706"/>
      <c r="AH80" s="706"/>
      <c r="AI80" s="706"/>
      <c r="AJ80" s="706"/>
      <c r="AK80" s="706"/>
      <c r="AL80" s="706"/>
      <c r="AM80" s="706"/>
      <c r="AN80" s="706"/>
      <c r="AO80" s="706"/>
      <c r="AP80" s="706"/>
    </row>
    <row r="81" spans="1:42">
      <c r="A81" s="2155">
        <v>12</v>
      </c>
      <c r="B81" s="2171" t="s">
        <v>285</v>
      </c>
      <c r="C81" s="2179">
        <v>11</v>
      </c>
      <c r="D81" s="2186">
        <f t="shared" si="19"/>
        <v>44442231</v>
      </c>
      <c r="E81" s="2187"/>
      <c r="F81" s="1171">
        <v>14495173</v>
      </c>
      <c r="G81" s="1171"/>
      <c r="H81" s="1172">
        <v>404097</v>
      </c>
      <c r="I81" s="1173">
        <v>29542961</v>
      </c>
      <c r="J81" s="2192">
        <f t="shared" si="23"/>
        <v>29947058</v>
      </c>
      <c r="K81" s="1174"/>
      <c r="L81" s="1173"/>
      <c r="M81" s="1172"/>
      <c r="N81" s="2206"/>
      <c r="O81" s="1149"/>
      <c r="P81" s="705"/>
      <c r="Q81" s="707"/>
      <c r="R81" s="706"/>
      <c r="S81" s="706"/>
      <c r="T81" s="706"/>
      <c r="U81" s="708"/>
      <c r="V81" s="706"/>
      <c r="W81" s="706"/>
      <c r="X81" s="706"/>
      <c r="Y81" s="706"/>
      <c r="Z81" s="706"/>
      <c r="AA81" s="706"/>
      <c r="AB81" s="706"/>
      <c r="AC81" s="706"/>
      <c r="AF81" s="706"/>
      <c r="AG81" s="706"/>
      <c r="AH81" s="706"/>
      <c r="AI81" s="706"/>
      <c r="AJ81" s="706"/>
      <c r="AK81" s="706"/>
      <c r="AL81" s="706"/>
      <c r="AM81" s="706"/>
      <c r="AN81" s="706"/>
      <c r="AO81" s="706"/>
      <c r="AP81" s="706"/>
    </row>
    <row r="82" spans="1:42" ht="25.5">
      <c r="A82" s="2155">
        <v>13</v>
      </c>
      <c r="B82" s="2171" t="s">
        <v>286</v>
      </c>
      <c r="C82" s="2179">
        <v>12</v>
      </c>
      <c r="D82" s="2186">
        <f t="shared" si="19"/>
        <v>1649556</v>
      </c>
      <c r="E82" s="2187"/>
      <c r="F82" s="1171">
        <v>0</v>
      </c>
      <c r="G82" s="1171"/>
      <c r="H82" s="1172"/>
      <c r="I82" s="2191"/>
      <c r="J82" s="2192">
        <f t="shared" si="23"/>
        <v>0</v>
      </c>
      <c r="K82" s="2197"/>
      <c r="L82" s="2194"/>
      <c r="M82" s="2193">
        <v>1649556</v>
      </c>
      <c r="N82" s="2206">
        <f t="shared" si="18"/>
        <v>1649556</v>
      </c>
      <c r="O82" s="1149"/>
      <c r="P82" s="705"/>
      <c r="Q82" s="707"/>
      <c r="R82" s="706"/>
      <c r="S82" s="706"/>
      <c r="T82" s="706"/>
      <c r="U82" s="708"/>
      <c r="V82" s="706"/>
      <c r="W82" s="706"/>
      <c r="X82" s="706"/>
      <c r="Y82" s="706"/>
      <c r="Z82" s="706"/>
      <c r="AA82" s="706"/>
      <c r="AB82" s="706"/>
      <c r="AC82" s="706"/>
      <c r="AF82" s="706"/>
      <c r="AG82" s="706"/>
      <c r="AH82" s="706"/>
      <c r="AI82" s="706"/>
      <c r="AJ82" s="706"/>
      <c r="AK82" s="706"/>
      <c r="AL82" s="706"/>
      <c r="AM82" s="706"/>
      <c r="AN82" s="706"/>
      <c r="AO82" s="706"/>
      <c r="AP82" s="706"/>
    </row>
    <row r="83" spans="1:42">
      <c r="A83" s="2155">
        <v>14</v>
      </c>
      <c r="B83" s="2154" t="s">
        <v>287</v>
      </c>
      <c r="C83" s="2179">
        <v>13</v>
      </c>
      <c r="D83" s="2186">
        <f t="shared" si="19"/>
        <v>460487</v>
      </c>
      <c r="E83" s="2187"/>
      <c r="F83" s="2188"/>
      <c r="G83" s="1171"/>
      <c r="H83" s="1172"/>
      <c r="I83" s="2194">
        <v>460487</v>
      </c>
      <c r="J83" s="2192">
        <f t="shared" si="23"/>
        <v>460487</v>
      </c>
      <c r="K83" s="2190"/>
      <c r="L83" s="2191"/>
      <c r="M83" s="2190"/>
      <c r="N83" s="2206"/>
      <c r="O83" s="1149"/>
      <c r="P83" s="705"/>
      <c r="Q83" s="707"/>
      <c r="R83" s="706"/>
      <c r="S83" s="706"/>
      <c r="T83" s="706"/>
      <c r="U83" s="708"/>
      <c r="V83" s="706"/>
      <c r="W83" s="706"/>
      <c r="X83" s="706"/>
      <c r="Y83" s="706"/>
      <c r="Z83" s="706"/>
      <c r="AA83" s="706"/>
      <c r="AB83" s="706"/>
      <c r="AC83" s="706"/>
      <c r="AF83" s="706"/>
      <c r="AG83" s="706"/>
      <c r="AH83" s="706"/>
      <c r="AI83" s="706"/>
      <c r="AJ83" s="706"/>
      <c r="AK83" s="706"/>
      <c r="AL83" s="706"/>
      <c r="AM83" s="706"/>
      <c r="AN83" s="706"/>
      <c r="AO83" s="706"/>
      <c r="AP83" s="706"/>
    </row>
    <row r="84" spans="1:42">
      <c r="A84" s="2155">
        <v>15</v>
      </c>
      <c r="B84" s="2154" t="s">
        <v>288</v>
      </c>
      <c r="C84" s="2196">
        <v>14</v>
      </c>
      <c r="D84" s="2186">
        <f t="shared" si="19"/>
        <v>160130</v>
      </c>
      <c r="E84" s="2187"/>
      <c r="F84" s="2188"/>
      <c r="G84" s="2188"/>
      <c r="H84" s="2193">
        <v>1390</v>
      </c>
      <c r="I84" s="1173">
        <v>145391</v>
      </c>
      <c r="J84" s="2192">
        <f t="shared" si="23"/>
        <v>146781</v>
      </c>
      <c r="K84" s="2197">
        <v>13349</v>
      </c>
      <c r="L84" s="2191"/>
      <c r="M84" s="2190"/>
      <c r="N84" s="2206">
        <f t="shared" si="18"/>
        <v>13349</v>
      </c>
      <c r="O84" s="1149"/>
      <c r="P84" s="705"/>
      <c r="Q84" s="1141"/>
      <c r="R84" s="706"/>
      <c r="S84" s="706"/>
      <c r="T84" s="706"/>
      <c r="U84" s="708"/>
      <c r="V84" s="706"/>
      <c r="W84" s="706"/>
      <c r="X84" s="706"/>
      <c r="Y84" s="706"/>
      <c r="Z84" s="706"/>
      <c r="AA84" s="706"/>
      <c r="AB84" s="706"/>
      <c r="AC84" s="706"/>
      <c r="AF84" s="706"/>
      <c r="AG84" s="706"/>
      <c r="AH84" s="706"/>
      <c r="AI84" s="706"/>
      <c r="AJ84" s="706"/>
      <c r="AK84" s="706"/>
      <c r="AL84" s="706"/>
      <c r="AM84" s="706"/>
      <c r="AN84" s="706"/>
      <c r="AO84" s="706"/>
      <c r="AP84" s="706"/>
    </row>
    <row r="85" spans="1:42">
      <c r="A85" s="2155">
        <v>16</v>
      </c>
      <c r="B85" s="2154" t="s">
        <v>289</v>
      </c>
      <c r="C85" s="2179">
        <v>15</v>
      </c>
      <c r="D85" s="2186">
        <f t="shared" si="19"/>
        <v>408965</v>
      </c>
      <c r="E85" s="2187"/>
      <c r="F85" s="2188"/>
      <c r="G85" s="1171"/>
      <c r="H85" s="1172">
        <v>39</v>
      </c>
      <c r="I85" s="1173">
        <v>408926</v>
      </c>
      <c r="J85" s="2192">
        <f t="shared" si="23"/>
        <v>408965</v>
      </c>
      <c r="K85" s="1174">
        <v>0</v>
      </c>
      <c r="L85" s="2191"/>
      <c r="M85" s="2190"/>
      <c r="N85" s="2206"/>
      <c r="O85" s="1149"/>
      <c r="P85" s="705"/>
      <c r="Q85" s="707"/>
      <c r="R85" s="706"/>
      <c r="S85" s="706"/>
      <c r="T85" s="706"/>
      <c r="U85" s="708"/>
      <c r="V85" s="706"/>
      <c r="W85" s="706"/>
      <c r="X85" s="706"/>
      <c r="Y85" s="706"/>
      <c r="Z85" s="706"/>
      <c r="AA85" s="706"/>
      <c r="AB85" s="706"/>
      <c r="AC85" s="706"/>
      <c r="AF85" s="706"/>
      <c r="AG85" s="706"/>
      <c r="AH85" s="706"/>
      <c r="AI85" s="706"/>
      <c r="AJ85" s="706"/>
      <c r="AK85" s="706"/>
      <c r="AL85" s="706"/>
      <c r="AM85" s="706"/>
      <c r="AN85" s="706"/>
      <c r="AO85" s="706"/>
      <c r="AP85" s="706"/>
    </row>
    <row r="86" spans="1:42">
      <c r="A86" s="2155">
        <v>17</v>
      </c>
      <c r="B86" s="2154" t="s">
        <v>290</v>
      </c>
      <c r="C86" s="2196">
        <v>16</v>
      </c>
      <c r="D86" s="2186">
        <f t="shared" si="19"/>
        <v>2155353</v>
      </c>
      <c r="E86" s="2187"/>
      <c r="F86" s="2188">
        <f>1244183+297061</f>
        <v>1541244</v>
      </c>
      <c r="G86" s="2189"/>
      <c r="H86" s="2190"/>
      <c r="I86" s="1173">
        <v>535701</v>
      </c>
      <c r="J86" s="2192">
        <f t="shared" si="23"/>
        <v>535701</v>
      </c>
      <c r="K86" s="1174">
        <v>72865</v>
      </c>
      <c r="L86" s="2194"/>
      <c r="M86" s="2193">
        <v>5543</v>
      </c>
      <c r="N86" s="2206">
        <f t="shared" si="18"/>
        <v>78408</v>
      </c>
      <c r="O86" s="1149"/>
      <c r="P86" s="705"/>
      <c r="Q86" s="1141"/>
      <c r="R86" s="706"/>
      <c r="S86" s="706"/>
      <c r="T86" s="706"/>
      <c r="U86" s="708"/>
      <c r="V86" s="706"/>
      <c r="W86" s="706"/>
      <c r="X86" s="706"/>
      <c r="Y86" s="706"/>
      <c r="Z86" s="706"/>
      <c r="AA86" s="706"/>
      <c r="AB86" s="706"/>
      <c r="AC86" s="706"/>
      <c r="AF86" s="706"/>
      <c r="AG86" s="706"/>
      <c r="AH86" s="706"/>
      <c r="AI86" s="706"/>
      <c r="AJ86" s="706"/>
      <c r="AK86" s="706"/>
      <c r="AL86" s="706"/>
      <c r="AM86" s="706"/>
      <c r="AN86" s="706"/>
      <c r="AO86" s="706"/>
      <c r="AP86" s="706"/>
    </row>
    <row r="87" spans="1:42">
      <c r="A87" s="2155">
        <v>18</v>
      </c>
      <c r="B87" s="2154" t="s">
        <v>291</v>
      </c>
      <c r="C87" s="2179"/>
      <c r="D87" s="2186">
        <f t="shared" si="19"/>
        <v>0</v>
      </c>
      <c r="E87" s="2187"/>
      <c r="F87" s="2188">
        <v>0</v>
      </c>
      <c r="G87" s="2189"/>
      <c r="H87" s="2190"/>
      <c r="I87" s="1173">
        <v>0</v>
      </c>
      <c r="J87" s="2192">
        <f t="shared" si="23"/>
        <v>0</v>
      </c>
      <c r="K87" s="1174">
        <v>0</v>
      </c>
      <c r="L87" s="2194"/>
      <c r="M87" s="2193"/>
      <c r="N87" s="2206">
        <f t="shared" si="18"/>
        <v>0</v>
      </c>
      <c r="O87" s="1149"/>
      <c r="P87" s="705"/>
      <c r="Q87" s="54"/>
      <c r="R87" s="706"/>
      <c r="S87" s="706"/>
      <c r="T87" s="706"/>
      <c r="U87" s="708"/>
      <c r="V87" s="706"/>
      <c r="W87" s="706"/>
      <c r="X87" s="706"/>
      <c r="Y87" s="706"/>
      <c r="Z87" s="706"/>
      <c r="AA87" s="706"/>
      <c r="AB87" s="706"/>
      <c r="AC87" s="706"/>
      <c r="AF87" s="706"/>
      <c r="AG87" s="706"/>
      <c r="AH87" s="706"/>
      <c r="AI87" s="706"/>
      <c r="AJ87" s="706"/>
      <c r="AK87" s="706"/>
      <c r="AL87" s="706"/>
      <c r="AM87" s="706"/>
      <c r="AN87" s="706"/>
      <c r="AO87" s="706"/>
      <c r="AP87" s="706"/>
    </row>
    <row r="88" spans="1:42" ht="13.5" thickBot="1">
      <c r="A88" s="2172">
        <v>19</v>
      </c>
      <c r="B88" s="2173" t="s">
        <v>292</v>
      </c>
      <c r="C88" s="2207"/>
      <c r="D88" s="2208">
        <f t="shared" si="19"/>
        <v>659595</v>
      </c>
      <c r="E88" s="2209"/>
      <c r="F88" s="1175">
        <v>1234</v>
      </c>
      <c r="G88" s="1176"/>
      <c r="H88" s="1177">
        <v>17</v>
      </c>
      <c r="I88" s="1178">
        <v>626531</v>
      </c>
      <c r="J88" s="1393">
        <f t="shared" si="23"/>
        <v>626548</v>
      </c>
      <c r="K88" s="2210">
        <v>30287</v>
      </c>
      <c r="L88" s="2211">
        <v>38</v>
      </c>
      <c r="M88" s="1177">
        <v>1488</v>
      </c>
      <c r="N88" s="2212">
        <f t="shared" si="18"/>
        <v>31813</v>
      </c>
      <c r="O88" s="1149"/>
      <c r="P88" s="705"/>
      <c r="Q88" s="707"/>
      <c r="R88" s="706"/>
      <c r="S88" s="706"/>
      <c r="T88" s="706"/>
      <c r="U88" s="708"/>
      <c r="V88" s="706"/>
      <c r="W88" s="706"/>
      <c r="X88" s="706"/>
      <c r="Y88" s="706"/>
      <c r="Z88" s="706"/>
      <c r="AA88" s="706"/>
      <c r="AB88" s="706"/>
      <c r="AC88" s="706"/>
      <c r="AF88" s="706"/>
      <c r="AG88" s="706"/>
      <c r="AH88" s="706"/>
      <c r="AI88" s="706"/>
      <c r="AJ88" s="706"/>
      <c r="AK88" s="706"/>
      <c r="AL88" s="706"/>
      <c r="AM88" s="706"/>
      <c r="AN88" s="706"/>
      <c r="AO88" s="706"/>
      <c r="AP88" s="706"/>
    </row>
    <row r="89" spans="1:42" s="913" customFormat="1" ht="26.25" thickBot="1">
      <c r="A89" s="1351">
        <v>20</v>
      </c>
      <c r="B89" s="1352" t="s">
        <v>293</v>
      </c>
      <c r="C89" s="1351"/>
      <c r="D89" s="1378">
        <f t="shared" si="19"/>
        <v>72263841</v>
      </c>
      <c r="E89" s="1378">
        <f>SUM(E66:E72)+E75+E78+SUM(E83:E88)</f>
        <v>0</v>
      </c>
      <c r="F89" s="1378">
        <f>SUM(F66:F72)+F75+F78+SUM(F83:F88)</f>
        <v>21787065</v>
      </c>
      <c r="G89" s="1378">
        <f>SUM(G66:G72)+G75+G78+SUM(G83:G88)</f>
        <v>0</v>
      </c>
      <c r="H89" s="1379">
        <f>SUM(H66:H72)+H75+H78+SUM(H83:H88)</f>
        <v>441390</v>
      </c>
      <c r="I89" s="1380">
        <f>SUM(I66:I72)+I75+I78+SUM(I83:I88)</f>
        <v>44351950</v>
      </c>
      <c r="J89" s="1378">
        <f t="shared" si="23"/>
        <v>44793340</v>
      </c>
      <c r="K89" s="1379">
        <f>SUM(K66:K72)+K75+K78+SUM(K83:K88)</f>
        <v>308679</v>
      </c>
      <c r="L89" s="1380">
        <f>SUM(L66:L72)+L75+L78+SUM(L83:L88)</f>
        <v>82455</v>
      </c>
      <c r="M89" s="1379">
        <f>SUM(M66:M72)+M75+M78+SUM(M83:M88)</f>
        <v>5292302</v>
      </c>
      <c r="N89" s="1380">
        <f>SUM(N66:N72)+N75+N78+SUM(N83:N88)</f>
        <v>5683436</v>
      </c>
      <c r="O89" s="1155"/>
      <c r="P89" s="1025"/>
      <c r="Q89" s="710"/>
      <c r="R89" s="1027"/>
      <c r="S89" s="1027"/>
      <c r="T89" s="1027"/>
      <c r="U89" s="1162"/>
      <c r="V89" s="1027"/>
      <c r="W89" s="1027"/>
      <c r="X89" s="1027"/>
      <c r="Y89" s="1027"/>
      <c r="Z89" s="1027"/>
      <c r="AA89" s="1027"/>
      <c r="AB89" s="1027"/>
      <c r="AC89" s="1027"/>
      <c r="AE89" s="1058"/>
      <c r="AF89" s="1027"/>
      <c r="AG89" s="1027"/>
      <c r="AH89" s="1027"/>
      <c r="AI89" s="1027"/>
      <c r="AJ89" s="1027"/>
      <c r="AK89" s="1027"/>
      <c r="AL89" s="1027"/>
      <c r="AM89" s="1027"/>
      <c r="AN89" s="1027"/>
      <c r="AO89" s="1027"/>
      <c r="AP89" s="1027"/>
    </row>
    <row r="90" spans="1:42">
      <c r="A90" s="2155"/>
      <c r="B90" s="2175" t="s">
        <v>294</v>
      </c>
      <c r="C90" s="2155"/>
      <c r="D90" s="1387">
        <f t="shared" si="19"/>
        <v>0</v>
      </c>
      <c r="E90" s="1171"/>
      <c r="F90" s="1171"/>
      <c r="G90" s="1182"/>
      <c r="H90" s="1174"/>
      <c r="I90" s="1173"/>
      <c r="J90" s="1395">
        <f t="shared" si="23"/>
        <v>0</v>
      </c>
      <c r="K90" s="1183"/>
      <c r="L90" s="1184"/>
      <c r="M90" s="1183"/>
      <c r="N90" s="1401">
        <f t="shared" si="18"/>
        <v>0</v>
      </c>
      <c r="O90" s="1149"/>
      <c r="P90" s="705"/>
      <c r="Q90" s="707"/>
      <c r="R90" s="706"/>
      <c r="S90" s="706"/>
      <c r="T90" s="706"/>
      <c r="U90" s="708"/>
      <c r="V90" s="706"/>
      <c r="W90" s="706"/>
      <c r="X90" s="706"/>
      <c r="Y90" s="706"/>
      <c r="Z90" s="706"/>
      <c r="AA90" s="706"/>
      <c r="AB90" s="706"/>
      <c r="AC90" s="706"/>
      <c r="AF90" s="706"/>
      <c r="AG90" s="706"/>
      <c r="AH90" s="706"/>
      <c r="AI90" s="706"/>
      <c r="AJ90" s="706"/>
      <c r="AK90" s="706"/>
      <c r="AL90" s="706"/>
      <c r="AM90" s="706"/>
      <c r="AN90" s="706"/>
      <c r="AO90" s="706"/>
      <c r="AP90" s="706"/>
    </row>
    <row r="91" spans="1:42">
      <c r="A91" s="2155"/>
      <c r="B91" s="2175" t="s">
        <v>295</v>
      </c>
      <c r="C91" s="2155"/>
      <c r="D91" s="2213">
        <f t="shared" si="19"/>
        <v>0</v>
      </c>
      <c r="E91" s="2188"/>
      <c r="F91" s="2188"/>
      <c r="G91" s="2189"/>
      <c r="H91" s="2197"/>
      <c r="I91" s="2194"/>
      <c r="J91" s="2214">
        <f t="shared" si="23"/>
        <v>0</v>
      </c>
      <c r="K91" s="2190"/>
      <c r="L91" s="2191"/>
      <c r="M91" s="2190"/>
      <c r="N91" s="2195">
        <f t="shared" si="18"/>
        <v>0</v>
      </c>
      <c r="O91" s="1149"/>
      <c r="P91" s="705"/>
      <c r="Q91" s="54"/>
      <c r="R91" s="706"/>
      <c r="S91" s="706"/>
      <c r="T91" s="706"/>
      <c r="U91" s="708"/>
      <c r="V91" s="706"/>
      <c r="W91" s="706"/>
      <c r="X91" s="706"/>
      <c r="Y91" s="706"/>
      <c r="Z91" s="706"/>
      <c r="AA91" s="706"/>
      <c r="AB91" s="706"/>
      <c r="AC91" s="706"/>
      <c r="AF91" s="706"/>
      <c r="AG91" s="706"/>
      <c r="AH91" s="706"/>
      <c r="AI91" s="706"/>
      <c r="AJ91" s="706"/>
      <c r="AK91" s="706"/>
      <c r="AL91" s="706"/>
      <c r="AM91" s="706"/>
      <c r="AN91" s="706"/>
      <c r="AO91" s="706"/>
      <c r="AP91" s="706"/>
    </row>
    <row r="92" spans="1:42">
      <c r="A92" s="2155">
        <v>21</v>
      </c>
      <c r="B92" s="2154" t="s">
        <v>296</v>
      </c>
      <c r="C92" s="2161">
        <v>17</v>
      </c>
      <c r="D92" s="2213">
        <f t="shared" si="19"/>
        <v>46019744</v>
      </c>
      <c r="E92" s="2188"/>
      <c r="F92" s="2188">
        <v>0</v>
      </c>
      <c r="G92" s="2189"/>
      <c r="H92" s="2193">
        <v>371343</v>
      </c>
      <c r="I92" s="2194">
        <v>40205664</v>
      </c>
      <c r="J92" s="2214">
        <f t="shared" si="23"/>
        <v>40577007</v>
      </c>
      <c r="K92" s="2197">
        <v>72865</v>
      </c>
      <c r="L92" s="2194">
        <v>82367</v>
      </c>
      <c r="M92" s="2193">
        <v>5287505</v>
      </c>
      <c r="N92" s="2195">
        <f t="shared" si="18"/>
        <v>5442737</v>
      </c>
      <c r="O92" s="1149"/>
      <c r="P92" s="705"/>
      <c r="Q92" s="1141"/>
      <c r="R92" s="706"/>
      <c r="S92" s="706"/>
      <c r="T92" s="706"/>
      <c r="U92" s="708"/>
      <c r="V92" s="706"/>
      <c r="W92" s="706"/>
      <c r="X92" s="706"/>
      <c r="Y92" s="706"/>
      <c r="Z92" s="706"/>
      <c r="AA92" s="706"/>
      <c r="AB92" s="706"/>
      <c r="AC92" s="706"/>
      <c r="AF92" s="706"/>
      <c r="AG92" s="706"/>
      <c r="AH92" s="706"/>
      <c r="AI92" s="706"/>
      <c r="AJ92" s="706"/>
      <c r="AK92" s="706"/>
      <c r="AL92" s="706"/>
      <c r="AM92" s="706"/>
      <c r="AN92" s="706"/>
      <c r="AO92" s="706"/>
      <c r="AP92" s="706"/>
    </row>
    <row r="93" spans="1:42">
      <c r="A93" s="2155">
        <v>22</v>
      </c>
      <c r="B93" s="2154" t="s">
        <v>297</v>
      </c>
      <c r="C93" s="2155"/>
      <c r="D93" s="2213">
        <f t="shared" si="19"/>
        <v>333207</v>
      </c>
      <c r="E93" s="2188"/>
      <c r="F93" s="1171">
        <v>333207</v>
      </c>
      <c r="G93" s="2189"/>
      <c r="H93" s="1172">
        <v>0</v>
      </c>
      <c r="I93" s="1173">
        <v>0</v>
      </c>
      <c r="J93" s="2214">
        <v>0</v>
      </c>
      <c r="K93" s="1174">
        <v>0</v>
      </c>
      <c r="L93" s="1173">
        <v>0</v>
      </c>
      <c r="M93" s="1172">
        <v>0</v>
      </c>
      <c r="N93" s="2195">
        <f t="shared" si="18"/>
        <v>0</v>
      </c>
      <c r="O93" s="1149"/>
      <c r="P93" s="705"/>
      <c r="Q93" s="707"/>
      <c r="R93" s="706"/>
      <c r="S93" s="706"/>
      <c r="T93" s="706"/>
      <c r="U93" s="708"/>
      <c r="V93" s="706"/>
      <c r="W93" s="706"/>
      <c r="X93" s="706"/>
      <c r="Y93" s="706"/>
      <c r="Z93" s="706"/>
      <c r="AA93" s="706"/>
      <c r="AB93" s="706"/>
      <c r="AC93" s="706"/>
      <c r="AF93" s="706"/>
      <c r="AG93" s="706"/>
      <c r="AH93" s="706"/>
      <c r="AI93" s="706"/>
      <c r="AJ93" s="706"/>
      <c r="AK93" s="706"/>
      <c r="AL93" s="706"/>
      <c r="AM93" s="706"/>
      <c r="AN93" s="706"/>
      <c r="AO93" s="706"/>
      <c r="AP93" s="706"/>
    </row>
    <row r="94" spans="1:42">
      <c r="A94" s="2155">
        <v>23</v>
      </c>
      <c r="B94" s="2154" t="s">
        <v>298</v>
      </c>
      <c r="C94" s="2155">
        <v>18</v>
      </c>
      <c r="D94" s="2213">
        <f t="shared" si="19"/>
        <v>385839</v>
      </c>
      <c r="E94" s="2188"/>
      <c r="F94" s="1171">
        <v>0</v>
      </c>
      <c r="G94" s="1208"/>
      <c r="H94" s="1172">
        <v>43410</v>
      </c>
      <c r="I94" s="1173">
        <v>315696</v>
      </c>
      <c r="J94" s="2214">
        <f t="shared" si="23"/>
        <v>359106</v>
      </c>
      <c r="K94" s="1174">
        <v>26733</v>
      </c>
      <c r="L94" s="1173">
        <v>0</v>
      </c>
      <c r="M94" s="1172">
        <v>0</v>
      </c>
      <c r="N94" s="2195">
        <f t="shared" si="18"/>
        <v>26733</v>
      </c>
      <c r="O94" s="1149"/>
      <c r="P94" s="705"/>
      <c r="Q94" s="707"/>
      <c r="R94" s="706"/>
      <c r="S94" s="706"/>
      <c r="T94" s="706"/>
      <c r="U94" s="708"/>
      <c r="V94" s="706"/>
      <c r="W94" s="706"/>
      <c r="X94" s="706"/>
      <c r="Y94" s="706"/>
      <c r="Z94" s="706"/>
      <c r="AA94" s="706"/>
      <c r="AB94" s="706"/>
      <c r="AC94" s="706"/>
      <c r="AF94" s="706"/>
      <c r="AG94" s="706"/>
      <c r="AH94" s="706"/>
      <c r="AI94" s="706"/>
      <c r="AJ94" s="706"/>
      <c r="AK94" s="706"/>
      <c r="AL94" s="706"/>
      <c r="AM94" s="706"/>
      <c r="AN94" s="706"/>
      <c r="AO94" s="706"/>
      <c r="AP94" s="706"/>
    </row>
    <row r="95" spans="1:42">
      <c r="A95" s="2155">
        <v>24</v>
      </c>
      <c r="B95" s="2154" t="s">
        <v>299</v>
      </c>
      <c r="C95" s="2155"/>
      <c r="D95" s="2213">
        <f t="shared" si="19"/>
        <v>55257</v>
      </c>
      <c r="E95" s="2188"/>
      <c r="F95" s="1171">
        <v>0</v>
      </c>
      <c r="G95" s="1208"/>
      <c r="H95" s="1172">
        <v>0</v>
      </c>
      <c r="I95" s="1173">
        <v>48121</v>
      </c>
      <c r="J95" s="2214">
        <f t="shared" si="23"/>
        <v>48121</v>
      </c>
      <c r="K95" s="1174">
        <v>7136</v>
      </c>
      <c r="L95" s="1173">
        <v>0</v>
      </c>
      <c r="M95" s="1172">
        <v>0</v>
      </c>
      <c r="N95" s="2195">
        <f t="shared" si="18"/>
        <v>7136</v>
      </c>
      <c r="O95" s="1149"/>
      <c r="P95" s="705"/>
      <c r="Q95" s="707"/>
      <c r="R95" s="706"/>
      <c r="S95" s="706"/>
      <c r="T95" s="706"/>
      <c r="U95" s="708"/>
      <c r="V95" s="706"/>
      <c r="W95" s="706"/>
      <c r="X95" s="706"/>
      <c r="Y95" s="706"/>
      <c r="Z95" s="706"/>
      <c r="AA95" s="706"/>
      <c r="AB95" s="706"/>
      <c r="AC95" s="706"/>
      <c r="AF95" s="706"/>
      <c r="AG95" s="706"/>
      <c r="AH95" s="706"/>
      <c r="AI95" s="706"/>
      <c r="AJ95" s="706"/>
      <c r="AK95" s="706"/>
      <c r="AL95" s="706"/>
      <c r="AM95" s="706"/>
      <c r="AN95" s="706"/>
      <c r="AO95" s="706"/>
      <c r="AP95" s="706"/>
    </row>
    <row r="96" spans="1:42">
      <c r="A96" s="2155">
        <v>25</v>
      </c>
      <c r="B96" s="2176" t="s">
        <v>300</v>
      </c>
      <c r="C96" s="2155"/>
      <c r="D96" s="2213">
        <f t="shared" si="19"/>
        <v>0</v>
      </c>
      <c r="E96" s="2188"/>
      <c r="F96" s="1171">
        <v>0</v>
      </c>
      <c r="G96" s="1208"/>
      <c r="H96" s="1172">
        <v>0</v>
      </c>
      <c r="I96" s="1173">
        <v>0</v>
      </c>
      <c r="J96" s="2214">
        <f t="shared" si="23"/>
        <v>0</v>
      </c>
      <c r="K96" s="1174">
        <v>0</v>
      </c>
      <c r="L96" s="1173">
        <v>0</v>
      </c>
      <c r="M96" s="1172">
        <v>0</v>
      </c>
      <c r="N96" s="2195">
        <f t="shared" si="18"/>
        <v>0</v>
      </c>
      <c r="O96" s="1149"/>
      <c r="P96" s="705"/>
      <c r="Q96" s="54"/>
      <c r="R96" s="706"/>
      <c r="S96" s="706"/>
      <c r="T96" s="706"/>
      <c r="U96" s="708"/>
      <c r="V96" s="706"/>
      <c r="W96" s="706"/>
      <c r="X96" s="706"/>
      <c r="Y96" s="706"/>
      <c r="Z96" s="706"/>
      <c r="AA96" s="706"/>
      <c r="AB96" s="706"/>
      <c r="AC96" s="706"/>
      <c r="AF96" s="706"/>
      <c r="AG96" s="706"/>
      <c r="AH96" s="706"/>
      <c r="AI96" s="706"/>
      <c r="AJ96" s="706"/>
      <c r="AK96" s="706"/>
      <c r="AL96" s="706"/>
      <c r="AM96" s="706"/>
      <c r="AN96" s="706"/>
      <c r="AO96" s="706"/>
      <c r="AP96" s="706"/>
    </row>
    <row r="97" spans="1:42" ht="13.5" thickBot="1">
      <c r="A97" s="2172">
        <v>26</v>
      </c>
      <c r="B97" s="2173" t="s">
        <v>301</v>
      </c>
      <c r="C97" s="2177">
        <v>19</v>
      </c>
      <c r="D97" s="1388">
        <f t="shared" si="19"/>
        <v>5720698</v>
      </c>
      <c r="E97" s="1176">
        <v>0</v>
      </c>
      <c r="F97" s="1176">
        <v>1704762</v>
      </c>
      <c r="G97" s="1176"/>
      <c r="H97" s="1177">
        <v>26637</v>
      </c>
      <c r="I97" s="2211">
        <v>3782469</v>
      </c>
      <c r="J97" s="1396">
        <f t="shared" si="23"/>
        <v>3809106</v>
      </c>
      <c r="K97" s="2210">
        <v>201945</v>
      </c>
      <c r="L97" s="2211">
        <v>88</v>
      </c>
      <c r="M97" s="1177">
        <v>4797</v>
      </c>
      <c r="N97" s="2215">
        <f t="shared" si="18"/>
        <v>206830</v>
      </c>
      <c r="O97" s="1149"/>
      <c r="P97" s="705"/>
      <c r="Q97" s="1141"/>
      <c r="R97" s="706"/>
      <c r="S97" s="706"/>
      <c r="T97" s="706"/>
      <c r="U97" s="708"/>
      <c r="V97" s="706"/>
      <c r="W97" s="706"/>
      <c r="X97" s="706"/>
      <c r="Y97" s="706"/>
      <c r="Z97" s="706"/>
      <c r="AA97" s="706"/>
      <c r="AB97" s="706"/>
      <c r="AC97" s="706"/>
      <c r="AF97" s="706"/>
      <c r="AG97" s="706"/>
      <c r="AH97" s="706"/>
      <c r="AI97" s="706"/>
      <c r="AJ97" s="706"/>
      <c r="AK97" s="706"/>
      <c r="AL97" s="706"/>
      <c r="AM97" s="706"/>
      <c r="AN97" s="706"/>
      <c r="AO97" s="706"/>
      <c r="AP97" s="706"/>
    </row>
    <row r="98" spans="1:42" s="913" customFormat="1" ht="36.75" customHeight="1" thickBot="1">
      <c r="A98" s="1348">
        <v>27</v>
      </c>
      <c r="B98" s="1349" t="s">
        <v>302</v>
      </c>
      <c r="C98" s="1348"/>
      <c r="D98" s="1389">
        <f t="shared" si="19"/>
        <v>52514745</v>
      </c>
      <c r="E98" s="1181">
        <f>SUM(E92:E97)</f>
        <v>0</v>
      </c>
      <c r="F98" s="1181">
        <f>SUM(F92:F97)</f>
        <v>2037969</v>
      </c>
      <c r="G98" s="1181">
        <f>SUM(G92:G97)</f>
        <v>0</v>
      </c>
      <c r="H98" s="1185">
        <f>SUM(H92:H97)</f>
        <v>441390</v>
      </c>
      <c r="I98" s="1181">
        <f>SUM(I92:I97)</f>
        <v>44351950</v>
      </c>
      <c r="J98" s="1394">
        <f>G98+H98+I98</f>
        <v>44793340</v>
      </c>
      <c r="K98" s="1185">
        <f>SUM(K92:K97)</f>
        <v>308679</v>
      </c>
      <c r="L98" s="1181">
        <f>SUM(L92:L97)</f>
        <v>82455</v>
      </c>
      <c r="M98" s="1180">
        <f>SUM(M92:M97)</f>
        <v>5292302</v>
      </c>
      <c r="N98" s="1400">
        <f t="shared" si="18"/>
        <v>5683436</v>
      </c>
      <c r="O98" s="1155"/>
      <c r="P98" s="1025"/>
      <c r="Q98" s="710"/>
      <c r="R98" s="1027"/>
      <c r="S98" s="1027"/>
      <c r="T98" s="1027"/>
      <c r="U98" s="1162"/>
      <c r="V98" s="1027"/>
      <c r="W98" s="1027"/>
      <c r="X98" s="1027"/>
      <c r="Y98" s="1027"/>
      <c r="Z98" s="1027"/>
      <c r="AA98" s="1027"/>
      <c r="AB98" s="1027"/>
      <c r="AC98" s="1027"/>
      <c r="AE98" s="1058"/>
      <c r="AF98" s="1027"/>
      <c r="AG98" s="1027"/>
      <c r="AH98" s="1027"/>
      <c r="AI98" s="1027"/>
      <c r="AJ98" s="1027"/>
      <c r="AK98" s="1027"/>
      <c r="AL98" s="1027"/>
      <c r="AM98" s="1027"/>
      <c r="AN98" s="1027"/>
      <c r="AO98" s="1027"/>
      <c r="AP98" s="1027"/>
    </row>
    <row r="99" spans="1:42">
      <c r="A99" s="1346"/>
      <c r="B99" s="1347" t="s">
        <v>303</v>
      </c>
      <c r="C99" s="1346">
        <v>20</v>
      </c>
      <c r="D99" s="1387">
        <f t="shared" si="19"/>
        <v>0</v>
      </c>
      <c r="E99" s="1171"/>
      <c r="F99" s="1171"/>
      <c r="G99" s="1171"/>
      <c r="H99" s="1172"/>
      <c r="I99" s="1173"/>
      <c r="J99" s="1395">
        <f t="shared" si="23"/>
        <v>0</v>
      </c>
      <c r="K99" s="1172"/>
      <c r="L99" s="1173"/>
      <c r="M99" s="1172"/>
      <c r="N99" s="1401">
        <f t="shared" si="18"/>
        <v>0</v>
      </c>
      <c r="O99" s="1149"/>
      <c r="P99" s="705"/>
      <c r="Q99" s="54"/>
      <c r="R99" s="706"/>
      <c r="S99" s="706"/>
      <c r="T99" s="706"/>
      <c r="U99" s="708"/>
      <c r="V99" s="706"/>
      <c r="W99" s="706"/>
      <c r="X99" s="706"/>
      <c r="Y99" s="706"/>
      <c r="Z99" s="706"/>
      <c r="AA99" s="706"/>
      <c r="AB99" s="706"/>
      <c r="AC99" s="706"/>
      <c r="AF99" s="706"/>
      <c r="AG99" s="706"/>
      <c r="AH99" s="706"/>
      <c r="AI99" s="706"/>
      <c r="AJ99" s="706"/>
      <c r="AK99" s="706"/>
      <c r="AL99" s="706"/>
      <c r="AM99" s="706"/>
      <c r="AN99" s="706"/>
      <c r="AO99" s="706"/>
      <c r="AP99" s="706"/>
    </row>
    <row r="100" spans="1:42">
      <c r="A100" s="2155">
        <v>28</v>
      </c>
      <c r="B100" s="2154" t="s">
        <v>304</v>
      </c>
      <c r="C100" s="2161"/>
      <c r="D100" s="2213">
        <f t="shared" si="19"/>
        <v>511922</v>
      </c>
      <c r="E100" s="2188"/>
      <c r="F100" s="2188">
        <v>511922</v>
      </c>
      <c r="G100" s="2188"/>
      <c r="H100" s="2193"/>
      <c r="I100" s="2194"/>
      <c r="J100" s="2214">
        <f t="shared" si="23"/>
        <v>0</v>
      </c>
      <c r="K100" s="2193"/>
      <c r="L100" s="2194"/>
      <c r="M100" s="2193"/>
      <c r="N100" s="2195">
        <f t="shared" si="18"/>
        <v>0</v>
      </c>
      <c r="O100" s="1149"/>
      <c r="P100" s="705"/>
      <c r="Q100" s="707"/>
      <c r="R100" s="706"/>
      <c r="S100" s="706"/>
      <c r="T100" s="706"/>
      <c r="U100" s="708"/>
      <c r="V100" s="706"/>
      <c r="W100" s="706"/>
      <c r="X100" s="706"/>
      <c r="Y100" s="706"/>
      <c r="Z100" s="706"/>
      <c r="AA100" s="706"/>
      <c r="AB100" s="706"/>
      <c r="AC100" s="706"/>
      <c r="AF100" s="706"/>
      <c r="AG100" s="706"/>
      <c r="AH100" s="706"/>
      <c r="AI100" s="706"/>
      <c r="AJ100" s="706"/>
      <c r="AK100" s="706"/>
      <c r="AL100" s="706"/>
      <c r="AM100" s="706"/>
      <c r="AN100" s="706"/>
      <c r="AO100" s="706"/>
      <c r="AP100" s="706"/>
    </row>
    <row r="101" spans="1:42">
      <c r="A101" s="2155">
        <v>29</v>
      </c>
      <c r="B101" s="2154" t="s">
        <v>305</v>
      </c>
      <c r="C101" s="2161"/>
      <c r="D101" s="2213">
        <f t="shared" si="19"/>
        <v>38258</v>
      </c>
      <c r="E101" s="2188"/>
      <c r="F101" s="1171">
        <v>38258</v>
      </c>
      <c r="G101" s="2188"/>
      <c r="H101" s="2193"/>
      <c r="I101" s="2194"/>
      <c r="J101" s="2214">
        <f t="shared" si="23"/>
        <v>0</v>
      </c>
      <c r="K101" s="2193"/>
      <c r="L101" s="2194"/>
      <c r="M101" s="2193"/>
      <c r="N101" s="2195">
        <f t="shared" si="18"/>
        <v>0</v>
      </c>
      <c r="O101" s="1149"/>
      <c r="P101" s="705"/>
      <c r="Q101" s="707"/>
      <c r="R101" s="706"/>
      <c r="S101" s="706"/>
      <c r="T101" s="706"/>
      <c r="U101" s="708"/>
      <c r="V101" s="706"/>
      <c r="W101" s="706"/>
      <c r="X101" s="706"/>
      <c r="Y101" s="706"/>
      <c r="Z101" s="706"/>
      <c r="AA101" s="706"/>
      <c r="AB101" s="706"/>
      <c r="AC101" s="706"/>
      <c r="AF101" s="706"/>
      <c r="AG101" s="706"/>
      <c r="AH101" s="706"/>
      <c r="AI101" s="706"/>
      <c r="AJ101" s="706"/>
      <c r="AK101" s="706"/>
      <c r="AL101" s="706"/>
      <c r="AM101" s="706"/>
      <c r="AN101" s="706"/>
      <c r="AO101" s="706"/>
      <c r="AP101" s="706"/>
    </row>
    <row r="102" spans="1:42">
      <c r="A102" s="2155">
        <v>30</v>
      </c>
      <c r="B102" s="2173" t="s">
        <v>306</v>
      </c>
      <c r="C102" s="2177"/>
      <c r="D102" s="2213">
        <f>+E102+F102+J102+N102</f>
        <v>228416</v>
      </c>
      <c r="E102" s="2188"/>
      <c r="F102" s="1171">
        <v>228416</v>
      </c>
      <c r="G102" s="2188"/>
      <c r="H102" s="2193"/>
      <c r="I102" s="2194"/>
      <c r="J102" s="2214">
        <f t="shared" si="23"/>
        <v>0</v>
      </c>
      <c r="K102" s="2193"/>
      <c r="L102" s="2194"/>
      <c r="M102" s="2193"/>
      <c r="N102" s="2195">
        <f t="shared" si="18"/>
        <v>0</v>
      </c>
      <c r="O102" s="1149"/>
      <c r="P102" s="705"/>
      <c r="Q102" s="707"/>
      <c r="R102" s="706"/>
      <c r="S102" s="706"/>
      <c r="T102" s="706"/>
      <c r="U102" s="708"/>
      <c r="V102" s="706"/>
      <c r="W102" s="706"/>
      <c r="X102" s="706"/>
      <c r="Y102" s="706"/>
      <c r="Z102" s="706"/>
      <c r="AA102" s="706"/>
      <c r="AB102" s="706"/>
      <c r="AC102" s="706"/>
      <c r="AF102" s="706"/>
      <c r="AG102" s="706"/>
      <c r="AH102" s="706"/>
      <c r="AI102" s="706"/>
      <c r="AJ102" s="706"/>
      <c r="AK102" s="706"/>
      <c r="AL102" s="706"/>
      <c r="AM102" s="706"/>
      <c r="AN102" s="706"/>
      <c r="AO102" s="706"/>
      <c r="AP102" s="706"/>
    </row>
    <row r="103" spans="1:42">
      <c r="A103" s="2155">
        <v>31</v>
      </c>
      <c r="B103" s="2173" t="s">
        <v>307</v>
      </c>
      <c r="C103" s="2177"/>
      <c r="D103" s="2213">
        <f t="shared" si="19"/>
        <v>6080848</v>
      </c>
      <c r="E103" s="2188"/>
      <c r="F103" s="1171">
        <v>6080848</v>
      </c>
      <c r="G103" s="2188"/>
      <c r="H103" s="2193"/>
      <c r="I103" s="2194"/>
      <c r="J103" s="2214">
        <f t="shared" si="23"/>
        <v>0</v>
      </c>
      <c r="K103" s="2193"/>
      <c r="L103" s="2194"/>
      <c r="M103" s="2193"/>
      <c r="N103" s="2195">
        <f t="shared" si="18"/>
        <v>0</v>
      </c>
      <c r="O103" s="1149"/>
      <c r="P103" s="705"/>
      <c r="Q103" s="707"/>
      <c r="R103" s="706"/>
      <c r="S103" s="706"/>
      <c r="T103" s="706"/>
      <c r="U103" s="708"/>
      <c r="V103" s="706"/>
      <c r="W103" s="706"/>
      <c r="X103" s="706"/>
      <c r="Y103" s="706"/>
      <c r="Z103" s="706"/>
      <c r="AA103" s="706"/>
      <c r="AB103" s="706"/>
      <c r="AC103" s="706"/>
      <c r="AF103" s="706"/>
      <c r="AG103" s="706"/>
      <c r="AH103" s="706"/>
      <c r="AI103" s="706"/>
      <c r="AJ103" s="706"/>
      <c r="AK103" s="706"/>
      <c r="AL103" s="706"/>
      <c r="AM103" s="706"/>
      <c r="AN103" s="706"/>
      <c r="AO103" s="706"/>
      <c r="AP103" s="706"/>
    </row>
    <row r="104" spans="1:42" ht="13.5" thickBot="1">
      <c r="A104" s="2172">
        <v>32</v>
      </c>
      <c r="B104" s="2154" t="s">
        <v>308</v>
      </c>
      <c r="C104" s="2177"/>
      <c r="D104" s="2213">
        <f t="shared" si="19"/>
        <v>12889652</v>
      </c>
      <c r="E104" s="2188"/>
      <c r="F104" s="1171">
        <v>12889652</v>
      </c>
      <c r="G104" s="2188"/>
      <c r="H104" s="2193"/>
      <c r="I104" s="2194"/>
      <c r="J104" s="2214">
        <f t="shared" si="23"/>
        <v>0</v>
      </c>
      <c r="K104" s="2193"/>
      <c r="L104" s="2194"/>
      <c r="M104" s="2193"/>
      <c r="N104" s="2195">
        <f t="shared" si="18"/>
        <v>0</v>
      </c>
      <c r="O104" s="1149"/>
      <c r="P104" s="705"/>
      <c r="Q104" s="707"/>
      <c r="R104" s="706"/>
      <c r="S104" s="706"/>
      <c r="T104" s="706"/>
      <c r="U104" s="708"/>
      <c r="V104" s="706"/>
      <c r="W104" s="706"/>
      <c r="X104" s="706"/>
      <c r="Y104" s="706"/>
      <c r="Z104" s="706"/>
      <c r="AA104" s="706"/>
      <c r="AB104" s="706"/>
      <c r="AC104" s="706"/>
      <c r="AF104" s="706"/>
      <c r="AG104" s="706"/>
      <c r="AH104" s="706"/>
      <c r="AI104" s="706"/>
      <c r="AJ104" s="706"/>
      <c r="AK104" s="706"/>
      <c r="AL104" s="706"/>
      <c r="AM104" s="706"/>
      <c r="AN104" s="706"/>
      <c r="AO104" s="706"/>
      <c r="AP104" s="706"/>
    </row>
    <row r="105" spans="1:42" s="913" customFormat="1" ht="13.5" thickBot="1">
      <c r="A105" s="1348">
        <v>33</v>
      </c>
      <c r="B105" s="1384" t="s">
        <v>309</v>
      </c>
      <c r="C105" s="1385"/>
      <c r="D105" s="1390">
        <f t="shared" si="19"/>
        <v>19749096</v>
      </c>
      <c r="E105" s="1186">
        <f t="shared" ref="E105:M105" si="24">SUM(E100:E104)</f>
        <v>0</v>
      </c>
      <c r="F105" s="1186">
        <f t="shared" si="24"/>
        <v>19749096</v>
      </c>
      <c r="G105" s="1186">
        <f t="shared" si="24"/>
        <v>0</v>
      </c>
      <c r="H105" s="1187">
        <f t="shared" si="24"/>
        <v>0</v>
      </c>
      <c r="I105" s="1188">
        <f t="shared" si="24"/>
        <v>0</v>
      </c>
      <c r="J105" s="1397">
        <f t="shared" si="23"/>
        <v>0</v>
      </c>
      <c r="K105" s="1187">
        <f t="shared" si="24"/>
        <v>0</v>
      </c>
      <c r="L105" s="1188">
        <f t="shared" si="24"/>
        <v>0</v>
      </c>
      <c r="M105" s="1187">
        <f t="shared" si="24"/>
        <v>0</v>
      </c>
      <c r="N105" s="1402">
        <f t="shared" si="18"/>
        <v>0</v>
      </c>
      <c r="O105" s="1155"/>
      <c r="P105" s="1025"/>
      <c r="Q105" s="710"/>
      <c r="R105" s="1027"/>
      <c r="S105" s="1027"/>
      <c r="T105" s="1027"/>
      <c r="U105" s="1162"/>
      <c r="V105" s="1027"/>
      <c r="W105" s="1027"/>
      <c r="X105" s="1027"/>
      <c r="Y105" s="1027"/>
      <c r="Z105" s="1027"/>
      <c r="AA105" s="1027"/>
      <c r="AB105" s="1027"/>
      <c r="AC105" s="1027"/>
      <c r="AE105" s="1058"/>
      <c r="AF105" s="1027"/>
      <c r="AG105" s="1027"/>
      <c r="AH105" s="1027"/>
      <c r="AI105" s="1027"/>
      <c r="AJ105" s="1027"/>
      <c r="AK105" s="1027"/>
      <c r="AL105" s="1027"/>
      <c r="AM105" s="1027"/>
      <c r="AN105" s="1027"/>
      <c r="AO105" s="1027"/>
      <c r="AP105" s="1027"/>
    </row>
    <row r="106" spans="1:42" s="913" customFormat="1" ht="26.25" thickBot="1">
      <c r="A106" s="1351">
        <v>34</v>
      </c>
      <c r="B106" s="1352" t="s">
        <v>310</v>
      </c>
      <c r="C106" s="1351"/>
      <c r="D106" s="1381">
        <f>+E106+F106+J106+N106</f>
        <v>72263841</v>
      </c>
      <c r="E106" s="1381">
        <f t="shared" ref="E106:M106" si="25">E105+E98</f>
        <v>0</v>
      </c>
      <c r="F106" s="1381">
        <f t="shared" si="25"/>
        <v>21787065</v>
      </c>
      <c r="G106" s="1381">
        <f t="shared" si="25"/>
        <v>0</v>
      </c>
      <c r="H106" s="1382">
        <f t="shared" si="25"/>
        <v>441390</v>
      </c>
      <c r="I106" s="1383">
        <f t="shared" si="25"/>
        <v>44351950</v>
      </c>
      <c r="J106" s="1381">
        <f>G106+H106+I106</f>
        <v>44793340</v>
      </c>
      <c r="K106" s="1382">
        <f t="shared" si="25"/>
        <v>308679</v>
      </c>
      <c r="L106" s="1383">
        <f t="shared" si="25"/>
        <v>82455</v>
      </c>
      <c r="M106" s="1382">
        <f t="shared" si="25"/>
        <v>5292302</v>
      </c>
      <c r="N106" s="1383">
        <f t="shared" si="18"/>
        <v>5683436</v>
      </c>
      <c r="O106" s="1155"/>
      <c r="P106" s="1025"/>
      <c r="Q106" s="710"/>
      <c r="R106" s="1027"/>
      <c r="S106" s="1058"/>
      <c r="T106" s="1027"/>
      <c r="U106" s="1162"/>
      <c r="V106" s="1027"/>
      <c r="W106" s="1027"/>
      <c r="X106" s="1027"/>
      <c r="Y106" s="1027"/>
      <c r="Z106" s="1027"/>
      <c r="AA106" s="1027"/>
      <c r="AB106" s="1027"/>
      <c r="AC106" s="1027"/>
      <c r="AE106" s="1058"/>
      <c r="AF106" s="1027"/>
      <c r="AG106" s="1027"/>
      <c r="AH106" s="1027"/>
      <c r="AI106" s="1027"/>
      <c r="AJ106" s="1027"/>
      <c r="AK106" s="1027"/>
      <c r="AL106" s="1027"/>
      <c r="AM106" s="1027"/>
      <c r="AN106" s="1027"/>
      <c r="AO106" s="1027"/>
      <c r="AP106" s="1027"/>
    </row>
    <row r="107" spans="1:42">
      <c r="Q107" s="707"/>
      <c r="R107" s="706"/>
    </row>
    <row r="108" spans="1:42">
      <c r="B108" s="680"/>
      <c r="D108" s="684"/>
      <c r="E108" s="679"/>
      <c r="F108" s="679"/>
      <c r="G108" s="679"/>
      <c r="H108" s="679"/>
      <c r="I108" s="679"/>
      <c r="J108" s="679"/>
      <c r="K108" s="679"/>
      <c r="L108" s="679"/>
      <c r="M108" s="679"/>
      <c r="N108" s="911">
        <v>14</v>
      </c>
      <c r="O108" s="679"/>
    </row>
    <row r="109" spans="1:42">
      <c r="D109" s="679"/>
      <c r="E109" s="679"/>
      <c r="F109" s="679"/>
      <c r="G109" s="679"/>
      <c r="H109" s="679"/>
      <c r="I109" s="679"/>
      <c r="J109" s="679"/>
      <c r="K109" s="679"/>
      <c r="L109" s="679"/>
      <c r="M109" s="679"/>
      <c r="N109" s="679"/>
    </row>
    <row r="110" spans="1:42" ht="13.5" thickBot="1"/>
    <row r="111" spans="1:42" ht="15.75" customHeight="1" thickBot="1">
      <c r="A111" s="1368" t="s">
        <v>178</v>
      </c>
      <c r="B111" s="3543" t="s">
        <v>93</v>
      </c>
      <c r="C111" s="3544"/>
      <c r="D111" s="411"/>
      <c r="M111" s="3538" t="s">
        <v>251</v>
      </c>
      <c r="N111" s="3538"/>
      <c r="O111" s="1148"/>
    </row>
    <row r="112" spans="1:42" ht="13.9" customHeight="1" thickBot="1">
      <c r="A112" s="3512" t="s">
        <v>252</v>
      </c>
      <c r="B112" s="3515"/>
      <c r="C112" s="3523" t="s">
        <v>254</v>
      </c>
      <c r="D112" s="3518" t="s">
        <v>255</v>
      </c>
      <c r="E112" s="3518" t="s">
        <v>256</v>
      </c>
      <c r="F112" s="3518" t="s">
        <v>257</v>
      </c>
      <c r="G112" s="3526" t="s">
        <v>258</v>
      </c>
      <c r="H112" s="3527"/>
      <c r="I112" s="3527"/>
      <c r="J112" s="3527"/>
      <c r="K112" s="3527"/>
      <c r="L112" s="3527"/>
      <c r="M112" s="3527"/>
      <c r="N112" s="3528"/>
      <c r="O112" s="409"/>
    </row>
    <row r="113" spans="1:29" ht="13.9" customHeight="1" thickBot="1">
      <c r="A113" s="3513"/>
      <c r="B113" s="3516"/>
      <c r="C113" s="3524"/>
      <c r="D113" s="3520"/>
      <c r="E113" s="3520"/>
      <c r="F113" s="3520"/>
      <c r="G113" s="3529" t="s">
        <v>259</v>
      </c>
      <c r="H113" s="3530"/>
      <c r="I113" s="3530"/>
      <c r="J113" s="3531"/>
      <c r="K113" s="3529" t="s">
        <v>260</v>
      </c>
      <c r="L113" s="3530"/>
      <c r="M113" s="3530"/>
      <c r="N113" s="3531"/>
      <c r="O113" s="443"/>
    </row>
    <row r="114" spans="1:29" ht="39" thickBot="1">
      <c r="A114" s="3513"/>
      <c r="B114" s="3516"/>
      <c r="C114" s="3524"/>
      <c r="D114" s="3519"/>
      <c r="E114" s="3519"/>
      <c r="F114" s="3519"/>
      <c r="G114" s="1336" t="s">
        <v>261</v>
      </c>
      <c r="H114" s="1336" t="s">
        <v>262</v>
      </c>
      <c r="I114" s="1336" t="s">
        <v>263</v>
      </c>
      <c r="J114" s="1336" t="s">
        <v>158</v>
      </c>
      <c r="K114" s="1337" t="s">
        <v>264</v>
      </c>
      <c r="L114" s="1337" t="s">
        <v>265</v>
      </c>
      <c r="M114" s="1337" t="s">
        <v>266</v>
      </c>
      <c r="N114" s="1404" t="s">
        <v>158</v>
      </c>
      <c r="O114" s="443"/>
    </row>
    <row r="115" spans="1:29" ht="15.75" customHeight="1" thickBot="1">
      <c r="A115" s="3513"/>
      <c r="B115" s="3516"/>
      <c r="C115" s="3524"/>
      <c r="D115" s="1340">
        <v>1</v>
      </c>
      <c r="E115" s="3518">
        <v>2</v>
      </c>
      <c r="F115" s="3518">
        <v>3</v>
      </c>
      <c r="G115" s="3518">
        <v>4</v>
      </c>
      <c r="H115" s="3518">
        <v>5</v>
      </c>
      <c r="I115" s="3518">
        <v>6</v>
      </c>
      <c r="J115" s="1341">
        <v>7</v>
      </c>
      <c r="K115" s="3518">
        <v>8</v>
      </c>
      <c r="L115" s="3518">
        <v>9</v>
      </c>
      <c r="M115" s="3518">
        <v>10</v>
      </c>
      <c r="N115" s="1340">
        <v>11</v>
      </c>
      <c r="O115" s="409"/>
    </row>
    <row r="116" spans="1:29" ht="15.75" customHeight="1" thickBot="1">
      <c r="A116" s="3514"/>
      <c r="B116" s="3517"/>
      <c r="C116" s="3525"/>
      <c r="D116" s="1343"/>
      <c r="E116" s="3519"/>
      <c r="F116" s="3519"/>
      <c r="G116" s="3519"/>
      <c r="H116" s="3519"/>
      <c r="I116" s="3519"/>
      <c r="J116" s="1371" t="s">
        <v>267</v>
      </c>
      <c r="K116" s="3519"/>
      <c r="L116" s="3519"/>
      <c r="M116" s="3519"/>
      <c r="N116" s="1372" t="s">
        <v>268</v>
      </c>
      <c r="O116" s="703"/>
      <c r="P116" s="703"/>
      <c r="Q116" s="703"/>
    </row>
    <row r="117" spans="1:29">
      <c r="A117" s="1405"/>
      <c r="B117" s="1406" t="s">
        <v>269</v>
      </c>
      <c r="C117" s="1405"/>
      <c r="D117" s="2152"/>
      <c r="E117" s="1150"/>
      <c r="F117" s="1150"/>
      <c r="G117" s="1151"/>
      <c r="H117" s="1089"/>
      <c r="I117" s="1191"/>
      <c r="J117" s="1410"/>
      <c r="K117" s="1088"/>
      <c r="L117" s="1089"/>
      <c r="M117" s="1192"/>
      <c r="N117" s="2216"/>
      <c r="Q117" s="61"/>
      <c r="R117" s="706"/>
    </row>
    <row r="118" spans="1:29">
      <c r="A118" s="2217">
        <v>1</v>
      </c>
      <c r="B118" s="2218" t="s">
        <v>270</v>
      </c>
      <c r="C118" s="2219"/>
      <c r="D118" s="2213">
        <f>+E118+F118+J118+N118</f>
        <v>0</v>
      </c>
      <c r="E118" s="2188"/>
      <c r="F118" s="2188"/>
      <c r="G118" s="2189"/>
      <c r="H118" s="2197"/>
      <c r="I118" s="2220"/>
      <c r="J118" s="2221">
        <f>G118+H118+I118</f>
        <v>0</v>
      </c>
      <c r="K118" s="2188"/>
      <c r="L118" s="2193"/>
      <c r="M118" s="2222"/>
      <c r="N118" s="2214">
        <f>K118+L118+M118</f>
        <v>0</v>
      </c>
      <c r="O118" s="1149"/>
      <c r="P118" s="705"/>
      <c r="Q118" s="54"/>
      <c r="R118" s="706"/>
      <c r="S118" s="706"/>
      <c r="T118" s="706"/>
      <c r="U118" s="706"/>
      <c r="V118" s="706"/>
      <c r="W118" s="706"/>
      <c r="X118" s="706"/>
      <c r="Y118" s="706"/>
      <c r="Z118" s="706"/>
      <c r="AA118" s="706"/>
      <c r="AB118" s="706"/>
      <c r="AC118" s="706"/>
    </row>
    <row r="119" spans="1:29">
      <c r="A119" s="2217">
        <v>2</v>
      </c>
      <c r="B119" s="2218" t="s">
        <v>271</v>
      </c>
      <c r="C119" s="2219"/>
      <c r="D119" s="2213">
        <f t="shared" ref="D119:D157" si="26">+E119+F119+J119+N119</f>
        <v>18022</v>
      </c>
      <c r="E119" s="2188"/>
      <c r="F119" s="2188">
        <v>18022</v>
      </c>
      <c r="G119" s="2189"/>
      <c r="H119" s="2197"/>
      <c r="I119" s="2220"/>
      <c r="J119" s="2221">
        <f t="shared" ref="J119:J129" si="27">G119+H119+I119</f>
        <v>0</v>
      </c>
      <c r="K119" s="2188"/>
      <c r="L119" s="2193"/>
      <c r="M119" s="2222"/>
      <c r="N119" s="2214">
        <f t="shared" ref="N119:N158" si="28">K119+L119+M119</f>
        <v>0</v>
      </c>
      <c r="O119" s="1149"/>
      <c r="P119" s="705"/>
      <c r="Q119" s="707"/>
      <c r="R119" s="706"/>
      <c r="S119" s="706"/>
      <c r="T119" s="706"/>
      <c r="U119" s="706"/>
      <c r="V119" s="706"/>
      <c r="W119" s="706"/>
      <c r="X119" s="706"/>
      <c r="Y119" s="706"/>
      <c r="Z119" s="706"/>
      <c r="AA119" s="706"/>
      <c r="AB119" s="706"/>
      <c r="AC119" s="706"/>
    </row>
    <row r="120" spans="1:29">
      <c r="A120" s="2217">
        <v>3</v>
      </c>
      <c r="B120" s="2218" t="s">
        <v>272</v>
      </c>
      <c r="C120" s="2219"/>
      <c r="D120" s="2213">
        <f t="shared" si="26"/>
        <v>0</v>
      </c>
      <c r="E120" s="2188"/>
      <c r="F120" s="2188"/>
      <c r="G120" s="2189"/>
      <c r="H120" s="2197"/>
      <c r="I120" s="2220"/>
      <c r="J120" s="2221">
        <f t="shared" si="27"/>
        <v>0</v>
      </c>
      <c r="K120" s="2188"/>
      <c r="L120" s="2193"/>
      <c r="M120" s="2222"/>
      <c r="N120" s="2214">
        <f t="shared" si="28"/>
        <v>0</v>
      </c>
      <c r="O120" s="1149"/>
      <c r="P120" s="705"/>
      <c r="Q120" s="54"/>
      <c r="R120" s="706"/>
      <c r="S120" s="706"/>
      <c r="T120" s="706"/>
      <c r="U120" s="706"/>
      <c r="V120" s="706"/>
      <c r="W120" s="706"/>
      <c r="X120" s="706"/>
      <c r="Y120" s="706"/>
      <c r="Z120" s="706"/>
      <c r="AA120" s="706"/>
      <c r="AB120" s="706"/>
      <c r="AC120" s="706"/>
    </row>
    <row r="121" spans="1:29">
      <c r="A121" s="2217">
        <v>4</v>
      </c>
      <c r="B121" s="2218" t="s">
        <v>273</v>
      </c>
      <c r="C121" s="2219"/>
      <c r="D121" s="2213">
        <f t="shared" si="26"/>
        <v>56548</v>
      </c>
      <c r="E121" s="2188"/>
      <c r="F121" s="2188">
        <v>56548</v>
      </c>
      <c r="G121" s="2189"/>
      <c r="H121" s="2197"/>
      <c r="I121" s="2220"/>
      <c r="J121" s="2221">
        <f t="shared" si="27"/>
        <v>0</v>
      </c>
      <c r="K121" s="2188"/>
      <c r="L121" s="2193"/>
      <c r="M121" s="2222"/>
      <c r="N121" s="2214">
        <f t="shared" si="28"/>
        <v>0</v>
      </c>
      <c r="O121" s="1149"/>
      <c r="P121" s="705"/>
      <c r="Q121" s="707"/>
      <c r="R121" s="706"/>
      <c r="S121" s="706"/>
      <c r="T121" s="706"/>
      <c r="U121" s="706"/>
      <c r="V121" s="706"/>
      <c r="W121" s="706"/>
      <c r="X121" s="706"/>
      <c r="Y121" s="706"/>
      <c r="Z121" s="706"/>
      <c r="AA121" s="706"/>
      <c r="AB121" s="706"/>
      <c r="AC121" s="706"/>
    </row>
    <row r="122" spans="1:29">
      <c r="A122" s="2217">
        <v>5</v>
      </c>
      <c r="B122" s="2218" t="s">
        <v>274</v>
      </c>
      <c r="C122" s="2223">
        <v>5</v>
      </c>
      <c r="D122" s="2213">
        <f t="shared" si="26"/>
        <v>0</v>
      </c>
      <c r="E122" s="2188"/>
      <c r="F122" s="2188"/>
      <c r="G122" s="2189"/>
      <c r="H122" s="2197"/>
      <c r="I122" s="2220"/>
      <c r="J122" s="2221">
        <f t="shared" si="27"/>
        <v>0</v>
      </c>
      <c r="K122" s="2188"/>
      <c r="L122" s="2193"/>
      <c r="M122" s="2222"/>
      <c r="N122" s="2214">
        <f t="shared" si="28"/>
        <v>0</v>
      </c>
      <c r="O122" s="1149"/>
      <c r="P122" s="705"/>
      <c r="Q122" s="1142"/>
      <c r="R122" s="706"/>
      <c r="S122" s="706"/>
      <c r="T122" s="706"/>
      <c r="U122" s="706"/>
      <c r="V122" s="706"/>
      <c r="W122" s="706"/>
      <c r="X122" s="706"/>
      <c r="Y122" s="706"/>
      <c r="Z122" s="706"/>
      <c r="AA122" s="706"/>
      <c r="AB122" s="706"/>
      <c r="AC122" s="706"/>
    </row>
    <row r="123" spans="1:29">
      <c r="A123" s="2217">
        <v>6</v>
      </c>
      <c r="B123" s="2218" t="s">
        <v>275</v>
      </c>
      <c r="C123" s="2219">
        <v>6</v>
      </c>
      <c r="D123" s="2213">
        <f t="shared" si="26"/>
        <v>0</v>
      </c>
      <c r="E123" s="2188"/>
      <c r="F123" s="2188"/>
      <c r="G123" s="2189"/>
      <c r="H123" s="2197"/>
      <c r="I123" s="2220"/>
      <c r="J123" s="2221">
        <f t="shared" si="27"/>
        <v>0</v>
      </c>
      <c r="K123" s="2188"/>
      <c r="L123" s="2193"/>
      <c r="M123" s="2222"/>
      <c r="N123" s="2214">
        <f t="shared" si="28"/>
        <v>0</v>
      </c>
      <c r="O123" s="1149"/>
      <c r="P123" s="705"/>
      <c r="Q123" s="54"/>
      <c r="R123" s="706"/>
      <c r="S123" s="706"/>
      <c r="T123" s="706"/>
      <c r="U123" s="706"/>
      <c r="V123" s="706"/>
      <c r="W123" s="706"/>
      <c r="X123" s="706"/>
      <c r="Y123" s="706"/>
      <c r="Z123" s="706"/>
      <c r="AA123" s="706"/>
      <c r="AB123" s="706"/>
      <c r="AC123" s="706"/>
    </row>
    <row r="124" spans="1:29">
      <c r="A124" s="2217">
        <v>7</v>
      </c>
      <c r="B124" s="2218" t="s">
        <v>276</v>
      </c>
      <c r="C124" s="2223">
        <v>7</v>
      </c>
      <c r="D124" s="2213">
        <f t="shared" si="26"/>
        <v>0</v>
      </c>
      <c r="E124" s="2188">
        <v>0</v>
      </c>
      <c r="F124" s="2188">
        <f>F125+F126</f>
        <v>0</v>
      </c>
      <c r="G124" s="2188">
        <f t="shared" ref="G124:M124" si="29">G125+G126</f>
        <v>0</v>
      </c>
      <c r="H124" s="2193">
        <f t="shared" si="29"/>
        <v>0</v>
      </c>
      <c r="I124" s="2220">
        <f>I125+I126</f>
        <v>0</v>
      </c>
      <c r="J124" s="2221">
        <f t="shared" si="27"/>
        <v>0</v>
      </c>
      <c r="K124" s="2188">
        <f t="shared" si="29"/>
        <v>0</v>
      </c>
      <c r="L124" s="2193">
        <f t="shared" si="29"/>
        <v>0</v>
      </c>
      <c r="M124" s="2222">
        <f t="shared" si="29"/>
        <v>0</v>
      </c>
      <c r="N124" s="2214">
        <f t="shared" si="28"/>
        <v>0</v>
      </c>
      <c r="O124" s="1149"/>
      <c r="P124" s="705"/>
      <c r="Q124" s="1142"/>
      <c r="R124" s="706"/>
      <c r="S124" s="706"/>
      <c r="T124" s="706"/>
      <c r="U124" s="706"/>
      <c r="V124" s="706"/>
      <c r="W124" s="706"/>
      <c r="X124" s="706"/>
      <c r="Y124" s="706"/>
      <c r="Z124" s="706"/>
      <c r="AA124" s="706"/>
      <c r="AB124" s="706"/>
      <c r="AC124" s="706"/>
    </row>
    <row r="125" spans="1:29">
      <c r="A125" s="2219"/>
      <c r="B125" s="2224" t="s">
        <v>277</v>
      </c>
      <c r="C125" s="2223"/>
      <c r="D125" s="2213">
        <f t="shared" si="26"/>
        <v>0</v>
      </c>
      <c r="E125" s="2188"/>
      <c r="F125" s="2188"/>
      <c r="G125" s="2188"/>
      <c r="H125" s="2193"/>
      <c r="I125" s="2220"/>
      <c r="J125" s="2221">
        <f t="shared" si="27"/>
        <v>0</v>
      </c>
      <c r="K125" s="2188"/>
      <c r="L125" s="2193"/>
      <c r="M125" s="2222"/>
      <c r="N125" s="2214">
        <f t="shared" si="28"/>
        <v>0</v>
      </c>
      <c r="O125" s="1149"/>
      <c r="P125" s="705"/>
      <c r="Q125" s="1142"/>
      <c r="R125" s="706"/>
      <c r="S125" s="706"/>
      <c r="T125" s="706"/>
      <c r="U125" s="706"/>
      <c r="V125" s="706"/>
      <c r="W125" s="706"/>
      <c r="X125" s="706"/>
      <c r="Y125" s="706"/>
      <c r="Z125" s="706"/>
      <c r="AA125" s="706"/>
      <c r="AB125" s="706"/>
      <c r="AC125" s="706"/>
    </row>
    <row r="126" spans="1:29">
      <c r="A126" s="2219"/>
      <c r="B126" s="2224" t="s">
        <v>278</v>
      </c>
      <c r="C126" s="2223"/>
      <c r="D126" s="2213">
        <f t="shared" si="26"/>
        <v>0</v>
      </c>
      <c r="E126" s="2188"/>
      <c r="F126" s="2188"/>
      <c r="G126" s="2188"/>
      <c r="H126" s="2193"/>
      <c r="I126" s="2220"/>
      <c r="J126" s="2221">
        <f t="shared" si="27"/>
        <v>0</v>
      </c>
      <c r="K126" s="2188"/>
      <c r="L126" s="2193"/>
      <c r="M126" s="2222"/>
      <c r="N126" s="2214">
        <f t="shared" si="28"/>
        <v>0</v>
      </c>
      <c r="O126" s="1149"/>
      <c r="P126" s="705"/>
      <c r="Q126" s="1142"/>
      <c r="R126" s="706"/>
      <c r="S126" s="706"/>
      <c r="T126" s="706"/>
      <c r="U126" s="706"/>
      <c r="V126" s="706"/>
      <c r="W126" s="706"/>
      <c r="X126" s="706"/>
      <c r="Y126" s="706"/>
      <c r="Z126" s="706"/>
      <c r="AA126" s="706"/>
      <c r="AB126" s="706"/>
      <c r="AC126" s="706"/>
    </row>
    <row r="127" spans="1:29">
      <c r="A127" s="2217">
        <v>8</v>
      </c>
      <c r="B127" s="2218" t="s">
        <v>279</v>
      </c>
      <c r="C127" s="2219">
        <v>8</v>
      </c>
      <c r="D127" s="2213">
        <f t="shared" si="26"/>
        <v>0</v>
      </c>
      <c r="E127" s="2188">
        <v>0</v>
      </c>
      <c r="F127" s="2188">
        <f>F128+F129</f>
        <v>0</v>
      </c>
      <c r="G127" s="2188">
        <f t="shared" ref="G127:M127" si="30">G128+G129</f>
        <v>0</v>
      </c>
      <c r="H127" s="2193">
        <f t="shared" si="30"/>
        <v>0</v>
      </c>
      <c r="I127" s="2220">
        <f>I128+I129</f>
        <v>0</v>
      </c>
      <c r="J127" s="2221">
        <f t="shared" si="27"/>
        <v>0</v>
      </c>
      <c r="K127" s="2188">
        <f t="shared" si="30"/>
        <v>0</v>
      </c>
      <c r="L127" s="2193">
        <f t="shared" si="30"/>
        <v>0</v>
      </c>
      <c r="M127" s="2222">
        <f t="shared" si="30"/>
        <v>0</v>
      </c>
      <c r="N127" s="2214">
        <f t="shared" si="28"/>
        <v>0</v>
      </c>
      <c r="O127" s="1149"/>
      <c r="P127" s="705"/>
      <c r="Q127" s="54"/>
      <c r="R127" s="706"/>
      <c r="S127" s="706"/>
      <c r="T127" s="706"/>
      <c r="U127" s="706"/>
      <c r="V127" s="706"/>
      <c r="W127" s="706"/>
      <c r="X127" s="706"/>
      <c r="Y127" s="706"/>
      <c r="Z127" s="706"/>
      <c r="AA127" s="706"/>
      <c r="AB127" s="706"/>
      <c r="AC127" s="706"/>
    </row>
    <row r="128" spans="1:29">
      <c r="A128" s="2217"/>
      <c r="B128" s="2224" t="s">
        <v>280</v>
      </c>
      <c r="C128" s="2219"/>
      <c r="D128" s="2213">
        <f t="shared" si="26"/>
        <v>0</v>
      </c>
      <c r="E128" s="2188"/>
      <c r="F128" s="2188"/>
      <c r="G128" s="2189"/>
      <c r="H128" s="2197"/>
      <c r="I128" s="2220"/>
      <c r="J128" s="2221">
        <f t="shared" si="27"/>
        <v>0</v>
      </c>
      <c r="K128" s="2188"/>
      <c r="L128" s="2225"/>
      <c r="M128" s="2222"/>
      <c r="N128" s="2214">
        <f t="shared" si="28"/>
        <v>0</v>
      </c>
      <c r="O128" s="1149"/>
      <c r="P128" s="705"/>
      <c r="Q128" s="54"/>
      <c r="R128" s="706"/>
      <c r="S128" s="706"/>
      <c r="T128" s="706"/>
      <c r="U128" s="706"/>
      <c r="V128" s="706"/>
      <c r="W128" s="706"/>
      <c r="X128" s="706"/>
      <c r="Y128" s="706"/>
      <c r="Z128" s="706"/>
      <c r="AA128" s="706"/>
      <c r="AB128" s="706"/>
      <c r="AC128" s="706"/>
    </row>
    <row r="129" spans="1:42">
      <c r="A129" s="2217"/>
      <c r="B129" s="2224" t="s">
        <v>281</v>
      </c>
      <c r="C129" s="2219"/>
      <c r="D129" s="2213">
        <f t="shared" si="26"/>
        <v>0</v>
      </c>
      <c r="E129" s="2188"/>
      <c r="F129" s="2188"/>
      <c r="G129" s="2188"/>
      <c r="H129" s="2193"/>
      <c r="I129" s="2220"/>
      <c r="J129" s="2221">
        <f t="shared" si="27"/>
        <v>0</v>
      </c>
      <c r="K129" s="2193"/>
      <c r="L129" s="1193"/>
      <c r="M129" s="2226"/>
      <c r="N129" s="2214">
        <f t="shared" si="28"/>
        <v>0</v>
      </c>
      <c r="O129" s="1149"/>
      <c r="P129" s="705"/>
      <c r="Q129" s="54"/>
      <c r="R129" s="706"/>
      <c r="S129" s="706"/>
      <c r="T129" s="706"/>
      <c r="U129" s="706"/>
      <c r="V129" s="706"/>
      <c r="W129" s="706"/>
      <c r="X129" s="706"/>
      <c r="Y129" s="706"/>
      <c r="Z129" s="706"/>
      <c r="AA129" s="706"/>
      <c r="AB129" s="706"/>
      <c r="AC129" s="706"/>
    </row>
    <row r="130" spans="1:42" s="913" customFormat="1" ht="25.5">
      <c r="A130" s="2227">
        <v>9</v>
      </c>
      <c r="B130" s="2228" t="s">
        <v>282</v>
      </c>
      <c r="C130" s="2229"/>
      <c r="D130" s="2230">
        <f t="shared" si="26"/>
        <v>5625661</v>
      </c>
      <c r="E130" s="2231">
        <f>SUM(E131:E134)</f>
        <v>0</v>
      </c>
      <c r="F130" s="2231">
        <f>SUM(F131:F134)</f>
        <v>0</v>
      </c>
      <c r="G130" s="2231">
        <f>SUM(G131:G134)</f>
        <v>0</v>
      </c>
      <c r="H130" s="2204">
        <f>SUM(H131:H134)</f>
        <v>192974</v>
      </c>
      <c r="I130" s="2201">
        <f>SUM(I131:I134)</f>
        <v>4907617</v>
      </c>
      <c r="J130" s="2232">
        <f>G130+H130+I130</f>
        <v>5100591</v>
      </c>
      <c r="K130" s="2204">
        <f>SUM(K131:K134)</f>
        <v>0</v>
      </c>
      <c r="L130" s="1205">
        <f>SUM(L131:L134)</f>
        <v>0</v>
      </c>
      <c r="M130" s="1206">
        <f>SUM(M131:M134)</f>
        <v>525070</v>
      </c>
      <c r="N130" s="2233">
        <f t="shared" si="28"/>
        <v>525070</v>
      </c>
      <c r="O130" s="1155"/>
      <c r="P130" s="1025"/>
      <c r="Q130" s="1143"/>
      <c r="R130" s="1027"/>
      <c r="S130" s="1027"/>
      <c r="T130" s="1027"/>
      <c r="U130" s="1027"/>
      <c r="V130" s="1027"/>
      <c r="W130" s="1027"/>
      <c r="X130" s="1027"/>
      <c r="Y130" s="1027"/>
      <c r="Z130" s="1027"/>
      <c r="AA130" s="1027"/>
      <c r="AB130" s="1027"/>
      <c r="AC130" s="1027"/>
      <c r="AE130" s="1058"/>
      <c r="AF130" s="1058"/>
      <c r="AG130" s="1058"/>
      <c r="AH130" s="1058"/>
      <c r="AI130" s="1058"/>
      <c r="AJ130" s="1058"/>
      <c r="AK130" s="1058"/>
      <c r="AL130" s="1058"/>
      <c r="AM130" s="1058"/>
      <c r="AN130" s="1058"/>
      <c r="AO130" s="1058"/>
      <c r="AP130" s="1058"/>
    </row>
    <row r="131" spans="1:42">
      <c r="A131" s="2219">
        <v>10</v>
      </c>
      <c r="B131" s="2234" t="s">
        <v>283</v>
      </c>
      <c r="C131" s="2219">
        <v>9</v>
      </c>
      <c r="D131" s="2213">
        <f t="shared" si="26"/>
        <v>0</v>
      </c>
      <c r="E131" s="2188"/>
      <c r="F131" s="2188"/>
      <c r="G131" s="2189"/>
      <c r="H131" s="2197">
        <v>0</v>
      </c>
      <c r="I131" s="2220"/>
      <c r="J131" s="2221">
        <f t="shared" ref="J131:J149" si="31">G131+H131+I131</f>
        <v>0</v>
      </c>
      <c r="K131" s="2190"/>
      <c r="L131" s="2235"/>
      <c r="M131" s="2236"/>
      <c r="N131" s="2214">
        <f t="shared" si="28"/>
        <v>0</v>
      </c>
      <c r="O131" s="1149"/>
      <c r="P131" s="705"/>
      <c r="Q131" s="54"/>
      <c r="R131" s="706"/>
      <c r="S131" s="706"/>
      <c r="T131" s="706"/>
      <c r="U131" s="706"/>
      <c r="V131" s="706"/>
      <c r="W131" s="706"/>
      <c r="X131" s="706"/>
      <c r="Y131" s="706"/>
      <c r="Z131" s="706"/>
      <c r="AA131" s="706"/>
      <c r="AB131" s="706"/>
      <c r="AC131" s="706"/>
    </row>
    <row r="132" spans="1:42">
      <c r="A132" s="2219">
        <v>11</v>
      </c>
      <c r="B132" s="2234" t="s">
        <v>284</v>
      </c>
      <c r="C132" s="2219">
        <v>10</v>
      </c>
      <c r="D132" s="2213">
        <f t="shared" si="26"/>
        <v>347297</v>
      </c>
      <c r="E132" s="2188"/>
      <c r="F132" s="2188"/>
      <c r="G132" s="2189"/>
      <c r="H132" s="2189">
        <v>170367</v>
      </c>
      <c r="I132" s="2235"/>
      <c r="J132" s="2221">
        <f t="shared" si="31"/>
        <v>170367</v>
      </c>
      <c r="K132" s="2190"/>
      <c r="L132" s="2235"/>
      <c r="M132" s="2236">
        <v>176930</v>
      </c>
      <c r="N132" s="2214">
        <f t="shared" si="28"/>
        <v>176930</v>
      </c>
      <c r="O132" s="1149"/>
      <c r="P132" s="705"/>
      <c r="Q132" s="707"/>
      <c r="R132" s="706"/>
      <c r="S132" s="706"/>
      <c r="T132" s="706"/>
      <c r="U132" s="706"/>
      <c r="V132" s="706"/>
      <c r="W132" s="706"/>
      <c r="X132" s="706"/>
      <c r="Y132" s="706"/>
      <c r="Z132" s="706"/>
      <c r="AA132" s="706"/>
      <c r="AB132" s="706"/>
      <c r="AC132" s="706"/>
    </row>
    <row r="133" spans="1:42">
      <c r="A133" s="2219">
        <v>12</v>
      </c>
      <c r="B133" s="2234" t="s">
        <v>285</v>
      </c>
      <c r="C133" s="2219">
        <v>11</v>
      </c>
      <c r="D133" s="2213">
        <f t="shared" si="26"/>
        <v>5278364</v>
      </c>
      <c r="E133" s="2188"/>
      <c r="F133" s="2188"/>
      <c r="G133" s="2189"/>
      <c r="H133" s="1182">
        <v>22607</v>
      </c>
      <c r="I133" s="2189">
        <v>4907617</v>
      </c>
      <c r="J133" s="2221">
        <f t="shared" si="31"/>
        <v>4930224</v>
      </c>
      <c r="K133" s="2190"/>
      <c r="L133" s="2235"/>
      <c r="M133" s="1195">
        <v>348140</v>
      </c>
      <c r="N133" s="2214">
        <f t="shared" si="28"/>
        <v>348140</v>
      </c>
      <c r="O133" s="1149"/>
      <c r="P133" s="705"/>
      <c r="Q133" s="707"/>
      <c r="R133" s="706"/>
      <c r="S133" s="706"/>
      <c r="T133" s="706"/>
      <c r="U133" s="706"/>
      <c r="V133" s="706"/>
      <c r="W133" s="706"/>
      <c r="X133" s="706"/>
      <c r="Y133" s="706"/>
      <c r="Z133" s="706"/>
      <c r="AA133" s="706"/>
      <c r="AB133" s="706"/>
      <c r="AC133" s="706"/>
    </row>
    <row r="134" spans="1:42" ht="25.5">
      <c r="A134" s="2219">
        <v>13</v>
      </c>
      <c r="B134" s="2234" t="s">
        <v>286</v>
      </c>
      <c r="C134" s="2219">
        <v>12</v>
      </c>
      <c r="D134" s="2213">
        <f t="shared" si="26"/>
        <v>0</v>
      </c>
      <c r="E134" s="2188"/>
      <c r="F134" s="2188"/>
      <c r="G134" s="2189"/>
      <c r="H134" s="1182">
        <v>0</v>
      </c>
      <c r="I134" s="2235"/>
      <c r="J134" s="2221">
        <f t="shared" si="31"/>
        <v>0</v>
      </c>
      <c r="K134" s="2190"/>
      <c r="L134" s="2237"/>
      <c r="M134" s="2236"/>
      <c r="N134" s="2214">
        <f t="shared" si="28"/>
        <v>0</v>
      </c>
      <c r="O134" s="1149"/>
      <c r="P134" s="705"/>
      <c r="Q134" s="54"/>
      <c r="R134" s="706"/>
      <c r="S134" s="706"/>
      <c r="T134" s="706"/>
      <c r="U134" s="706"/>
      <c r="V134" s="706"/>
      <c r="W134" s="706"/>
      <c r="X134" s="706"/>
      <c r="Y134" s="706"/>
      <c r="Z134" s="706"/>
      <c r="AA134" s="706"/>
      <c r="AB134" s="706"/>
      <c r="AC134" s="706"/>
    </row>
    <row r="135" spans="1:42">
      <c r="A135" s="2219">
        <v>14</v>
      </c>
      <c r="B135" s="2218" t="s">
        <v>287</v>
      </c>
      <c r="C135" s="2219">
        <v>13</v>
      </c>
      <c r="D135" s="2213">
        <f t="shared" si="26"/>
        <v>0</v>
      </c>
      <c r="E135" s="2188"/>
      <c r="F135" s="2188"/>
      <c r="G135" s="2189"/>
      <c r="H135" s="2197"/>
      <c r="I135" s="2220"/>
      <c r="J135" s="2221">
        <f t="shared" si="31"/>
        <v>0</v>
      </c>
      <c r="K135" s="2189"/>
      <c r="L135" s="1196"/>
      <c r="M135" s="2236"/>
      <c r="N135" s="2214">
        <f t="shared" si="28"/>
        <v>0</v>
      </c>
      <c r="O135" s="1149"/>
      <c r="P135" s="705"/>
      <c r="Q135" s="54"/>
      <c r="R135" s="706"/>
      <c r="S135" s="706"/>
      <c r="T135" s="706"/>
      <c r="U135" s="706"/>
      <c r="V135" s="706"/>
      <c r="W135" s="706"/>
      <c r="X135" s="706"/>
      <c r="Y135" s="706"/>
      <c r="Z135" s="706"/>
      <c r="AA135" s="706"/>
      <c r="AB135" s="706"/>
      <c r="AC135" s="706"/>
    </row>
    <row r="136" spans="1:42">
      <c r="A136" s="2219">
        <v>15</v>
      </c>
      <c r="B136" s="2218" t="s">
        <v>288</v>
      </c>
      <c r="C136" s="2223">
        <v>14</v>
      </c>
      <c r="D136" s="2213">
        <f t="shared" si="26"/>
        <v>111550</v>
      </c>
      <c r="E136" s="2188"/>
      <c r="F136" s="2188"/>
      <c r="G136" s="2189"/>
      <c r="H136" s="2197">
        <v>46553</v>
      </c>
      <c r="I136" s="2197">
        <v>40962</v>
      </c>
      <c r="J136" s="2221">
        <f t="shared" si="31"/>
        <v>87515</v>
      </c>
      <c r="K136" s="2189"/>
      <c r="L136" s="2238"/>
      <c r="M136" s="2236">
        <v>24035</v>
      </c>
      <c r="N136" s="2214">
        <f t="shared" si="28"/>
        <v>24035</v>
      </c>
      <c r="O136" s="1149"/>
      <c r="P136" s="705"/>
      <c r="Q136" s="1141"/>
      <c r="R136" s="706"/>
      <c r="S136" s="706"/>
      <c r="T136" s="706"/>
      <c r="U136" s="706"/>
      <c r="V136" s="706"/>
      <c r="W136" s="706"/>
      <c r="X136" s="706"/>
      <c r="Y136" s="706"/>
      <c r="Z136" s="706"/>
      <c r="AA136" s="706"/>
      <c r="AB136" s="706"/>
      <c r="AC136" s="706"/>
    </row>
    <row r="137" spans="1:42">
      <c r="A137" s="2219">
        <v>16</v>
      </c>
      <c r="B137" s="2218" t="s">
        <v>289</v>
      </c>
      <c r="C137" s="2219">
        <v>15</v>
      </c>
      <c r="D137" s="2213">
        <f t="shared" si="26"/>
        <v>52517</v>
      </c>
      <c r="E137" s="2188"/>
      <c r="F137" s="2188"/>
      <c r="G137" s="2189"/>
      <c r="H137" s="1174">
        <v>1214</v>
      </c>
      <c r="I137" s="1174">
        <v>51085</v>
      </c>
      <c r="J137" s="2221">
        <f t="shared" si="31"/>
        <v>52299</v>
      </c>
      <c r="K137" s="2189"/>
      <c r="L137" s="2238"/>
      <c r="M137" s="1197">
        <v>218</v>
      </c>
      <c r="N137" s="2214">
        <f t="shared" si="28"/>
        <v>218</v>
      </c>
      <c r="O137" s="1149"/>
      <c r="P137" s="705"/>
      <c r="Q137" s="707"/>
      <c r="R137" s="706"/>
      <c r="S137" s="706"/>
      <c r="T137" s="706"/>
      <c r="U137" s="706"/>
      <c r="V137" s="706"/>
      <c r="W137" s="706"/>
      <c r="X137" s="706"/>
      <c r="Y137" s="706"/>
      <c r="Z137" s="706"/>
      <c r="AA137" s="706"/>
      <c r="AB137" s="706"/>
      <c r="AC137" s="706"/>
    </row>
    <row r="138" spans="1:42">
      <c r="A138" s="2219">
        <v>17</v>
      </c>
      <c r="B138" s="2218" t="s">
        <v>290</v>
      </c>
      <c r="C138" s="2223">
        <v>16</v>
      </c>
      <c r="D138" s="2213">
        <f t="shared" si="26"/>
        <v>555138</v>
      </c>
      <c r="E138" s="2188"/>
      <c r="F138" s="2188">
        <v>555138</v>
      </c>
      <c r="G138" s="2189"/>
      <c r="H138" s="1182">
        <v>0</v>
      </c>
      <c r="I138" s="1182">
        <v>0</v>
      </c>
      <c r="J138" s="2221">
        <f t="shared" si="31"/>
        <v>0</v>
      </c>
      <c r="K138" s="2189"/>
      <c r="L138" s="2190"/>
      <c r="M138" s="1198"/>
      <c r="N138" s="2214">
        <f t="shared" si="28"/>
        <v>0</v>
      </c>
      <c r="O138" s="1149"/>
      <c r="P138" s="705"/>
      <c r="Q138" s="1141"/>
      <c r="R138" s="706"/>
      <c r="S138" s="706"/>
      <c r="T138" s="706"/>
      <c r="U138" s="706"/>
      <c r="V138" s="706"/>
      <c r="W138" s="706"/>
      <c r="X138" s="706"/>
      <c r="Y138" s="706"/>
      <c r="Z138" s="706"/>
      <c r="AA138" s="706"/>
      <c r="AB138" s="706"/>
      <c r="AC138" s="706"/>
    </row>
    <row r="139" spans="1:42">
      <c r="A139" s="2219">
        <v>18</v>
      </c>
      <c r="B139" s="2218" t="s">
        <v>291</v>
      </c>
      <c r="C139" s="2219"/>
      <c r="D139" s="2213">
        <f t="shared" si="26"/>
        <v>1625625</v>
      </c>
      <c r="E139" s="2188"/>
      <c r="F139" s="1171">
        <v>0</v>
      </c>
      <c r="G139" s="2189"/>
      <c r="H139" s="1174">
        <v>0</v>
      </c>
      <c r="I139" s="1174">
        <v>1625625</v>
      </c>
      <c r="J139" s="2221">
        <f t="shared" si="31"/>
        <v>1625625</v>
      </c>
      <c r="K139" s="2189"/>
      <c r="L139" s="2238"/>
      <c r="M139" s="1199"/>
      <c r="N139" s="2214">
        <f t="shared" si="28"/>
        <v>0</v>
      </c>
      <c r="O139" s="1149"/>
      <c r="P139" s="705"/>
      <c r="Q139" s="707"/>
      <c r="R139" s="706"/>
      <c r="S139" s="706"/>
      <c r="T139" s="706"/>
      <c r="U139" s="706"/>
      <c r="V139" s="706"/>
      <c r="W139" s="706"/>
      <c r="X139" s="706"/>
      <c r="Y139" s="706"/>
      <c r="Z139" s="706"/>
      <c r="AA139" s="706"/>
      <c r="AB139" s="706"/>
      <c r="AC139" s="706"/>
    </row>
    <row r="140" spans="1:42" ht="13.5" thickBot="1">
      <c r="A140" s="2239">
        <v>19</v>
      </c>
      <c r="B140" s="2240" t="s">
        <v>292</v>
      </c>
      <c r="C140" s="2239"/>
      <c r="D140" s="1388">
        <f t="shared" si="26"/>
        <v>146210</v>
      </c>
      <c r="E140" s="1176"/>
      <c r="F140" s="1175">
        <v>-517759</v>
      </c>
      <c r="G140" s="1208"/>
      <c r="H140" s="2210">
        <v>-5336</v>
      </c>
      <c r="I140" s="1200">
        <v>668133</v>
      </c>
      <c r="J140" s="2241">
        <f t="shared" si="31"/>
        <v>662797</v>
      </c>
      <c r="K140" s="1208"/>
      <c r="L140" s="2242"/>
      <c r="M140" s="1198">
        <v>1172</v>
      </c>
      <c r="N140" s="1396">
        <f t="shared" si="28"/>
        <v>1172</v>
      </c>
      <c r="O140" s="1149"/>
      <c r="P140" s="705"/>
      <c r="Q140" s="707"/>
      <c r="R140" s="706"/>
      <c r="S140" s="706"/>
      <c r="T140" s="706"/>
      <c r="U140" s="706"/>
      <c r="V140" s="706"/>
      <c r="W140" s="706"/>
      <c r="X140" s="706"/>
      <c r="Y140" s="706"/>
      <c r="Z140" s="706"/>
      <c r="AA140" s="706"/>
      <c r="AB140" s="706"/>
      <c r="AC140" s="706"/>
    </row>
    <row r="141" spans="1:42" s="913" customFormat="1" ht="26.25" thickBot="1">
      <c r="A141" s="1413">
        <v>20</v>
      </c>
      <c r="B141" s="1352" t="s">
        <v>293</v>
      </c>
      <c r="C141" s="1413"/>
      <c r="D141" s="1378">
        <f>+E141+F141+J141+N141</f>
        <v>8191271</v>
      </c>
      <c r="E141" s="1378">
        <f>SUM(E118:E124)+E127+E130+SUM(E135:E140)</f>
        <v>0</v>
      </c>
      <c r="F141" s="1378">
        <f>SUM(F118:F124)+F127+F130+SUM(F135:F140)</f>
        <v>111949</v>
      </c>
      <c r="G141" s="1378">
        <f>SUM(G118:G124)+G127+G130+SUM(G135:G140)</f>
        <v>0</v>
      </c>
      <c r="H141" s="1379">
        <f>SUM(H118:H124)+H127+H130+SUM(H135:H140)</f>
        <v>235405</v>
      </c>
      <c r="I141" s="1414">
        <f>SUM(I118:I124)+I127+I130+SUM(I135:I140)</f>
        <v>7293422</v>
      </c>
      <c r="J141" s="1415">
        <f t="shared" si="31"/>
        <v>7528827</v>
      </c>
      <c r="K141" s="1378">
        <f>SUM(K118:K124)+K127+K130+SUM(K135:K140)</f>
        <v>0</v>
      </c>
      <c r="L141" s="1379">
        <f>SUM(L118:L124)+L127+L130+SUM(L135:L140)</f>
        <v>0</v>
      </c>
      <c r="M141" s="1415">
        <f>SUM(M118:M124)+M127+M130+SUM(M135:M140)</f>
        <v>550495</v>
      </c>
      <c r="N141" s="1378">
        <f t="shared" si="28"/>
        <v>550495</v>
      </c>
      <c r="O141" s="1155"/>
      <c r="P141" s="1025"/>
      <c r="Q141" s="710"/>
      <c r="R141" s="1027"/>
      <c r="S141" s="1027"/>
      <c r="T141" s="1027"/>
      <c r="U141" s="1027"/>
      <c r="V141" s="1027"/>
      <c r="W141" s="1027"/>
      <c r="X141" s="1027"/>
      <c r="Y141" s="1027"/>
      <c r="Z141" s="1027"/>
      <c r="AA141" s="1027"/>
      <c r="AB141" s="1027"/>
      <c r="AC141" s="1027"/>
      <c r="AE141" s="1058"/>
      <c r="AF141" s="1058"/>
      <c r="AG141" s="1058"/>
      <c r="AH141" s="1058"/>
      <c r="AI141" s="1058"/>
      <c r="AJ141" s="1058"/>
      <c r="AK141" s="1058"/>
      <c r="AL141" s="1058"/>
      <c r="AM141" s="1058"/>
      <c r="AN141" s="1058"/>
      <c r="AO141" s="1058"/>
      <c r="AP141" s="1058"/>
    </row>
    <row r="142" spans="1:42">
      <c r="A142" s="1405"/>
      <c r="B142" s="1406" t="s">
        <v>294</v>
      </c>
      <c r="C142" s="1405"/>
      <c r="D142" s="1387">
        <f t="shared" si="26"/>
        <v>0</v>
      </c>
      <c r="E142" s="1171"/>
      <c r="F142" s="1171"/>
      <c r="G142" s="1182"/>
      <c r="H142" s="1174"/>
      <c r="I142" s="1201"/>
      <c r="J142" s="1412">
        <f t="shared" si="31"/>
        <v>0</v>
      </c>
      <c r="K142" s="1182"/>
      <c r="L142" s="1196"/>
      <c r="M142" s="1195"/>
      <c r="N142" s="1395">
        <f t="shared" si="28"/>
        <v>0</v>
      </c>
      <c r="O142" s="1149"/>
      <c r="P142" s="705"/>
      <c r="Q142" s="54"/>
      <c r="R142" s="706"/>
      <c r="S142" s="706"/>
      <c r="T142" s="706"/>
      <c r="U142" s="706"/>
      <c r="V142" s="706"/>
      <c r="W142" s="706"/>
      <c r="X142" s="706"/>
      <c r="Y142" s="706"/>
      <c r="Z142" s="706"/>
      <c r="AA142" s="706"/>
      <c r="AB142" s="706"/>
      <c r="AC142" s="706"/>
    </row>
    <row r="143" spans="1:42">
      <c r="A143" s="2219"/>
      <c r="B143" s="2243" t="s">
        <v>295</v>
      </c>
      <c r="C143" s="2219"/>
      <c r="D143" s="2213">
        <f t="shared" si="26"/>
        <v>0</v>
      </c>
      <c r="E143" s="2188"/>
      <c r="F143" s="2188"/>
      <c r="G143" s="2189"/>
      <c r="H143" s="2197"/>
      <c r="I143" s="2220"/>
      <c r="J143" s="2221">
        <f t="shared" si="31"/>
        <v>0</v>
      </c>
      <c r="K143" s="2189"/>
      <c r="L143" s="2238"/>
      <c r="M143" s="2236"/>
      <c r="N143" s="2214">
        <f t="shared" si="28"/>
        <v>0</v>
      </c>
      <c r="O143" s="1149"/>
      <c r="P143" s="705"/>
      <c r="Q143" s="54"/>
      <c r="R143" s="706"/>
      <c r="S143" s="706"/>
      <c r="T143" s="706"/>
      <c r="U143" s="706"/>
      <c r="V143" s="706"/>
      <c r="W143" s="706"/>
      <c r="X143" s="706"/>
      <c r="Y143" s="706"/>
      <c r="Z143" s="706"/>
      <c r="AA143" s="706"/>
      <c r="AB143" s="706"/>
      <c r="AC143" s="706"/>
    </row>
    <row r="144" spans="1:42">
      <c r="A144" s="2219">
        <v>21</v>
      </c>
      <c r="B144" s="2218" t="s">
        <v>296</v>
      </c>
      <c r="C144" s="2223">
        <v>17</v>
      </c>
      <c r="D144" s="2213">
        <f t="shared" si="26"/>
        <v>6307399</v>
      </c>
      <c r="E144" s="2188"/>
      <c r="F144" s="2188"/>
      <c r="G144" s="2189"/>
      <c r="H144" s="2197">
        <v>177093</v>
      </c>
      <c r="I144" s="2197">
        <v>5605236</v>
      </c>
      <c r="J144" s="2221">
        <f t="shared" si="31"/>
        <v>5782329</v>
      </c>
      <c r="K144" s="2189"/>
      <c r="L144" s="2238"/>
      <c r="M144" s="2236">
        <v>525070</v>
      </c>
      <c r="N144" s="2214">
        <f t="shared" si="28"/>
        <v>525070</v>
      </c>
      <c r="O144" s="1149"/>
      <c r="P144" s="705"/>
      <c r="Q144" s="1141"/>
      <c r="R144" s="706"/>
      <c r="S144" s="706"/>
      <c r="T144" s="706"/>
      <c r="U144" s="706"/>
      <c r="V144" s="706"/>
      <c r="W144" s="706"/>
      <c r="X144" s="706"/>
      <c r="Y144" s="706"/>
      <c r="Z144" s="706"/>
      <c r="AA144" s="706"/>
      <c r="AB144" s="706"/>
      <c r="AC144" s="706"/>
    </row>
    <row r="145" spans="1:42">
      <c r="A145" s="2219">
        <v>22</v>
      </c>
      <c r="B145" s="2218" t="s">
        <v>297</v>
      </c>
      <c r="C145" s="2219"/>
      <c r="D145" s="2213">
        <f t="shared" si="26"/>
        <v>22098</v>
      </c>
      <c r="E145" s="2188"/>
      <c r="F145" s="2188">
        <v>22098</v>
      </c>
      <c r="G145" s="2189"/>
      <c r="H145" s="1174">
        <v>0</v>
      </c>
      <c r="I145" s="2220"/>
      <c r="J145" s="2221">
        <f t="shared" si="31"/>
        <v>0</v>
      </c>
      <c r="K145" s="2189"/>
      <c r="L145" s="2238"/>
      <c r="M145" s="1195">
        <v>0</v>
      </c>
      <c r="N145" s="2214">
        <f t="shared" si="28"/>
        <v>0</v>
      </c>
      <c r="O145" s="1149"/>
      <c r="P145" s="705"/>
      <c r="Q145" s="707"/>
      <c r="R145" s="706"/>
      <c r="S145" s="706"/>
      <c r="T145" s="706"/>
      <c r="U145" s="706"/>
      <c r="V145" s="706"/>
      <c r="W145" s="706"/>
      <c r="X145" s="706"/>
      <c r="Y145" s="706"/>
      <c r="Z145" s="706"/>
      <c r="AA145" s="706"/>
      <c r="AB145" s="706"/>
      <c r="AC145" s="706"/>
    </row>
    <row r="146" spans="1:42">
      <c r="A146" s="2219">
        <v>23</v>
      </c>
      <c r="B146" s="2218" t="s">
        <v>298</v>
      </c>
      <c r="C146" s="2219">
        <v>18</v>
      </c>
      <c r="D146" s="2213">
        <f t="shared" si="26"/>
        <v>164708</v>
      </c>
      <c r="E146" s="2188"/>
      <c r="F146" s="2188"/>
      <c r="G146" s="2189"/>
      <c r="H146" s="1174">
        <v>47285</v>
      </c>
      <c r="I146" s="2197">
        <v>106378</v>
      </c>
      <c r="J146" s="2221">
        <f t="shared" si="31"/>
        <v>153663</v>
      </c>
      <c r="K146" s="2189"/>
      <c r="L146" s="2238"/>
      <c r="M146" s="1195">
        <v>11045</v>
      </c>
      <c r="N146" s="2214">
        <f t="shared" si="28"/>
        <v>11045</v>
      </c>
      <c r="O146" s="1149"/>
      <c r="P146" s="705"/>
      <c r="Q146" s="707"/>
      <c r="R146" s="706"/>
      <c r="S146" s="706"/>
      <c r="T146" s="706"/>
      <c r="U146" s="706"/>
      <c r="V146" s="706"/>
      <c r="W146" s="706"/>
      <c r="X146" s="706"/>
      <c r="Y146" s="706"/>
      <c r="Z146" s="706"/>
      <c r="AA146" s="706"/>
      <c r="AB146" s="706"/>
      <c r="AC146" s="706"/>
    </row>
    <row r="147" spans="1:42">
      <c r="A147" s="2219">
        <v>24</v>
      </c>
      <c r="B147" s="2218" t="s">
        <v>299</v>
      </c>
      <c r="C147" s="2219"/>
      <c r="D147" s="2213">
        <f t="shared" si="26"/>
        <v>82795</v>
      </c>
      <c r="E147" s="2188"/>
      <c r="F147" s="2188"/>
      <c r="G147" s="2189"/>
      <c r="H147" s="1174">
        <v>12472</v>
      </c>
      <c r="I147" s="1174">
        <v>70323</v>
      </c>
      <c r="J147" s="2221">
        <f t="shared" si="31"/>
        <v>82795</v>
      </c>
      <c r="K147" s="2189"/>
      <c r="L147" s="2238"/>
      <c r="M147" s="1195">
        <v>0</v>
      </c>
      <c r="N147" s="2214">
        <f t="shared" si="28"/>
        <v>0</v>
      </c>
      <c r="O147" s="1149"/>
      <c r="P147" s="705"/>
      <c r="Q147" s="707"/>
      <c r="R147" s="706"/>
      <c r="S147" s="706"/>
      <c r="T147" s="706"/>
      <c r="U147" s="706"/>
      <c r="V147" s="706"/>
      <c r="W147" s="706"/>
      <c r="X147" s="706"/>
      <c r="Y147" s="706"/>
      <c r="Z147" s="706"/>
      <c r="AA147" s="706"/>
      <c r="AB147" s="706"/>
      <c r="AC147" s="706"/>
    </row>
    <row r="148" spans="1:42">
      <c r="A148" s="2219">
        <v>25</v>
      </c>
      <c r="B148" s="2244" t="s">
        <v>300</v>
      </c>
      <c r="C148" s="2219"/>
      <c r="D148" s="2213">
        <f t="shared" si="26"/>
        <v>0</v>
      </c>
      <c r="E148" s="2188"/>
      <c r="F148" s="2188"/>
      <c r="G148" s="2189"/>
      <c r="H148" s="1174">
        <v>0</v>
      </c>
      <c r="I148" s="2220"/>
      <c r="J148" s="2221">
        <f t="shared" si="31"/>
        <v>0</v>
      </c>
      <c r="K148" s="2189"/>
      <c r="L148" s="2238"/>
      <c r="M148" s="1195">
        <v>0</v>
      </c>
      <c r="N148" s="2214">
        <f t="shared" si="28"/>
        <v>0</v>
      </c>
      <c r="O148" s="1149"/>
      <c r="P148" s="705"/>
      <c r="Q148" s="54"/>
      <c r="R148" s="706"/>
      <c r="S148" s="706"/>
      <c r="T148" s="706"/>
      <c r="U148" s="706"/>
      <c r="V148" s="706"/>
      <c r="W148" s="706"/>
      <c r="X148" s="706"/>
      <c r="Y148" s="706"/>
      <c r="Z148" s="706"/>
      <c r="AA148" s="706"/>
      <c r="AB148" s="706"/>
      <c r="AC148" s="706"/>
    </row>
    <row r="149" spans="1:42" ht="13.5" thickBot="1">
      <c r="A149" s="2239">
        <v>26</v>
      </c>
      <c r="B149" s="2240" t="s">
        <v>301</v>
      </c>
      <c r="C149" s="2245">
        <v>19</v>
      </c>
      <c r="D149" s="1388">
        <f t="shared" si="26"/>
        <v>289746</v>
      </c>
      <c r="E149" s="1176"/>
      <c r="F149" s="1176">
        <v>275366</v>
      </c>
      <c r="G149" s="1208"/>
      <c r="H149" s="1202">
        <v>0</v>
      </c>
      <c r="I149" s="2246"/>
      <c r="J149" s="2241">
        <f t="shared" si="31"/>
        <v>0</v>
      </c>
      <c r="K149" s="1208"/>
      <c r="L149" s="1209"/>
      <c r="M149" s="1198">
        <v>14380</v>
      </c>
      <c r="N149" s="1396">
        <f t="shared" si="28"/>
        <v>14380</v>
      </c>
      <c r="O149" s="1149"/>
      <c r="P149" s="705"/>
      <c r="Q149" s="1141"/>
      <c r="R149" s="706"/>
      <c r="S149" s="706"/>
      <c r="T149" s="706"/>
      <c r="U149" s="706"/>
      <c r="V149" s="706"/>
      <c r="W149" s="706"/>
      <c r="X149" s="706"/>
      <c r="Y149" s="706"/>
      <c r="Z149" s="706"/>
      <c r="AA149" s="706"/>
      <c r="AB149" s="706"/>
      <c r="AC149" s="706"/>
    </row>
    <row r="150" spans="1:42" s="913" customFormat="1" ht="29.25" customHeight="1" thickBot="1">
      <c r="A150" s="1407">
        <v>27</v>
      </c>
      <c r="B150" s="1349" t="s">
        <v>302</v>
      </c>
      <c r="C150" s="1407"/>
      <c r="D150" s="1389">
        <f t="shared" si="26"/>
        <v>6866746</v>
      </c>
      <c r="E150" s="1181">
        <f>SUM(E144:E149)</f>
        <v>0</v>
      </c>
      <c r="F150" s="1181">
        <f>SUM(F144:F149)</f>
        <v>297464</v>
      </c>
      <c r="G150" s="1181">
        <f>SUM(G144:G149)</f>
        <v>0</v>
      </c>
      <c r="H150" s="1185">
        <f>SUM(H144:H149)</f>
        <v>236850</v>
      </c>
      <c r="I150" s="1211">
        <f>SUM(I144:I149)</f>
        <v>5781937</v>
      </c>
      <c r="J150" s="1411">
        <f>G150+H150+I150</f>
        <v>6018787</v>
      </c>
      <c r="K150" s="1179">
        <f>SUM(K144:K149)</f>
        <v>0</v>
      </c>
      <c r="L150" s="1185">
        <f>SUM(L144:L149)</f>
        <v>0</v>
      </c>
      <c r="M150" s="1212">
        <f>SUM(M144:M149)</f>
        <v>550495</v>
      </c>
      <c r="N150" s="1394">
        <f t="shared" si="28"/>
        <v>550495</v>
      </c>
      <c r="O150" s="1155"/>
      <c r="P150" s="1025"/>
      <c r="Q150" s="710"/>
      <c r="R150" s="1027"/>
      <c r="S150" s="1027"/>
      <c r="T150" s="1027"/>
      <c r="U150" s="1027"/>
      <c r="V150" s="1027"/>
      <c r="W150" s="1027"/>
      <c r="X150" s="1027"/>
      <c r="Y150" s="1027"/>
      <c r="Z150" s="1027"/>
      <c r="AA150" s="1027"/>
      <c r="AB150" s="1027"/>
      <c r="AC150" s="1027"/>
      <c r="AE150" s="1058"/>
      <c r="AF150" s="1058"/>
      <c r="AG150" s="1058"/>
      <c r="AH150" s="1058"/>
      <c r="AI150" s="1058"/>
      <c r="AJ150" s="1058"/>
      <c r="AK150" s="1058"/>
      <c r="AL150" s="1058"/>
      <c r="AM150" s="1058"/>
      <c r="AN150" s="1058"/>
      <c r="AO150" s="1058"/>
      <c r="AP150" s="1058"/>
    </row>
    <row r="151" spans="1:42">
      <c r="A151" s="1405"/>
      <c r="B151" s="1406" t="s">
        <v>303</v>
      </c>
      <c r="C151" s="1405">
        <v>20</v>
      </c>
      <c r="D151" s="1387">
        <f t="shared" si="26"/>
        <v>0</v>
      </c>
      <c r="E151" s="1171"/>
      <c r="F151" s="1171"/>
      <c r="G151" s="1182"/>
      <c r="H151" s="1174"/>
      <c r="I151" s="1194"/>
      <c r="J151" s="1395">
        <f t="shared" ref="J151:J157" si="32">G151+H151+I151</f>
        <v>0</v>
      </c>
      <c r="K151" s="1182"/>
      <c r="L151" s="1196"/>
      <c r="M151" s="1195"/>
      <c r="N151" s="1395">
        <f t="shared" si="28"/>
        <v>0</v>
      </c>
      <c r="O151" s="1149"/>
      <c r="P151" s="705"/>
      <c r="Q151" s="54"/>
      <c r="R151" s="706"/>
      <c r="S151" s="706"/>
      <c r="T151" s="706"/>
      <c r="U151" s="706"/>
      <c r="V151" s="706"/>
      <c r="W151" s="706"/>
      <c r="X151" s="706"/>
      <c r="Y151" s="706"/>
      <c r="Z151" s="706"/>
      <c r="AA151" s="706"/>
      <c r="AB151" s="706"/>
      <c r="AC151" s="706"/>
    </row>
    <row r="152" spans="1:42">
      <c r="A152" s="2219">
        <v>28</v>
      </c>
      <c r="B152" s="2218" t="s">
        <v>304</v>
      </c>
      <c r="C152" s="2223"/>
      <c r="D152" s="2213">
        <f t="shared" si="26"/>
        <v>739624</v>
      </c>
      <c r="E152" s="2188"/>
      <c r="F152" s="2188">
        <v>739624</v>
      </c>
      <c r="G152" s="2189"/>
      <c r="H152" s="2197"/>
      <c r="I152" s="2222"/>
      <c r="J152" s="2214">
        <f t="shared" si="32"/>
        <v>0</v>
      </c>
      <c r="K152" s="2189"/>
      <c r="L152" s="2238"/>
      <c r="M152" s="2236"/>
      <c r="N152" s="2214">
        <f t="shared" si="28"/>
        <v>0</v>
      </c>
      <c r="O152" s="1149"/>
      <c r="P152" s="705"/>
      <c r="Q152" s="1141"/>
      <c r="R152" s="706"/>
      <c r="S152" s="706"/>
      <c r="T152" s="706"/>
      <c r="U152" s="706"/>
      <c r="V152" s="706"/>
      <c r="W152" s="706"/>
      <c r="X152" s="706"/>
      <c r="Y152" s="706"/>
      <c r="Z152" s="706"/>
      <c r="AA152" s="706"/>
      <c r="AB152" s="706"/>
      <c r="AC152" s="706"/>
    </row>
    <row r="153" spans="1:42">
      <c r="A153" s="2219">
        <v>29</v>
      </c>
      <c r="B153" s="2218" t="s">
        <v>305</v>
      </c>
      <c r="C153" s="2223"/>
      <c r="D153" s="2213">
        <f t="shared" si="26"/>
        <v>-87845</v>
      </c>
      <c r="E153" s="2188"/>
      <c r="F153" s="1171">
        <v>27740</v>
      </c>
      <c r="G153" s="2189"/>
      <c r="H153" s="2197">
        <v>-1445</v>
      </c>
      <c r="I153" s="2222">
        <v>-114140</v>
      </c>
      <c r="J153" s="2214">
        <f t="shared" si="32"/>
        <v>-115585</v>
      </c>
      <c r="K153" s="2189"/>
      <c r="L153" s="2238"/>
      <c r="M153" s="2236"/>
      <c r="N153" s="2214">
        <f t="shared" si="28"/>
        <v>0</v>
      </c>
      <c r="O153" s="1149"/>
      <c r="P153" s="705"/>
      <c r="Q153" s="1141"/>
      <c r="R153" s="706"/>
      <c r="S153" s="706"/>
      <c r="T153" s="706"/>
      <c r="U153" s="706"/>
      <c r="V153" s="706"/>
      <c r="W153" s="706"/>
      <c r="X153" s="706"/>
      <c r="Y153" s="706"/>
      <c r="Z153" s="706"/>
      <c r="AA153" s="706"/>
      <c r="AB153" s="706"/>
      <c r="AC153" s="706"/>
    </row>
    <row r="154" spans="1:42">
      <c r="A154" s="2219">
        <v>30</v>
      </c>
      <c r="B154" s="2240" t="s">
        <v>306</v>
      </c>
      <c r="C154" s="2245"/>
      <c r="D154" s="2213">
        <f t="shared" si="26"/>
        <v>0</v>
      </c>
      <c r="E154" s="2188"/>
      <c r="F154" s="1175">
        <v>0</v>
      </c>
      <c r="G154" s="1208"/>
      <c r="H154" s="2210"/>
      <c r="I154" s="1193"/>
      <c r="J154" s="2214">
        <f t="shared" si="32"/>
        <v>0</v>
      </c>
      <c r="K154" s="2189"/>
      <c r="L154" s="2242"/>
      <c r="M154" s="2247"/>
      <c r="N154" s="2214">
        <f t="shared" si="28"/>
        <v>0</v>
      </c>
      <c r="O154" s="1149"/>
      <c r="P154" s="705"/>
      <c r="Q154" s="1142"/>
      <c r="R154" s="706"/>
      <c r="S154" s="706"/>
      <c r="T154" s="706"/>
      <c r="U154" s="706"/>
      <c r="V154" s="706"/>
      <c r="W154" s="706"/>
      <c r="X154" s="706"/>
      <c r="Y154" s="706"/>
      <c r="Z154" s="706"/>
      <c r="AA154" s="706"/>
      <c r="AB154" s="706"/>
      <c r="AC154" s="706"/>
    </row>
    <row r="155" spans="1:42">
      <c r="A155" s="2219">
        <v>31</v>
      </c>
      <c r="B155" s="2240" t="s">
        <v>307</v>
      </c>
      <c r="C155" s="2245"/>
      <c r="D155" s="2213">
        <f t="shared" si="26"/>
        <v>0</v>
      </c>
      <c r="E155" s="2188"/>
      <c r="F155" s="1176">
        <v>0</v>
      </c>
      <c r="G155" s="1208"/>
      <c r="H155" s="2210"/>
      <c r="I155" s="2248">
        <v>0</v>
      </c>
      <c r="J155" s="2214">
        <f t="shared" si="32"/>
        <v>0</v>
      </c>
      <c r="K155" s="2189"/>
      <c r="L155" s="2242"/>
      <c r="M155" s="2247"/>
      <c r="N155" s="2214">
        <f t="shared" si="28"/>
        <v>0</v>
      </c>
      <c r="O155" s="1149"/>
      <c r="P155" s="705"/>
      <c r="Q155" s="1142"/>
      <c r="R155" s="706"/>
      <c r="S155" s="706"/>
      <c r="T155" s="706"/>
      <c r="U155" s="706"/>
      <c r="V155" s="706"/>
      <c r="W155" s="706"/>
      <c r="X155" s="706"/>
      <c r="Y155" s="706"/>
      <c r="Z155" s="706"/>
      <c r="AA155" s="706"/>
      <c r="AB155" s="706"/>
      <c r="AC155" s="706"/>
    </row>
    <row r="156" spans="1:42" ht="13.5" thickBot="1">
      <c r="A156" s="2239">
        <v>32</v>
      </c>
      <c r="B156" s="2240" t="s">
        <v>308</v>
      </c>
      <c r="C156" s="2245"/>
      <c r="D156" s="2213">
        <f t="shared" si="26"/>
        <v>672746</v>
      </c>
      <c r="E156" s="2188"/>
      <c r="F156" s="1176">
        <v>-952879</v>
      </c>
      <c r="G156" s="1208"/>
      <c r="H156" s="2210"/>
      <c r="I156" s="2248">
        <v>1625625</v>
      </c>
      <c r="J156" s="2214">
        <f t="shared" si="32"/>
        <v>1625625</v>
      </c>
      <c r="K156" s="2189"/>
      <c r="L156" s="2210"/>
      <c r="M156" s="2248"/>
      <c r="N156" s="2214">
        <f t="shared" si="28"/>
        <v>0</v>
      </c>
      <c r="O156" s="1149"/>
      <c r="P156" s="705"/>
      <c r="Q156" s="1141"/>
      <c r="R156" s="706"/>
      <c r="S156" s="706"/>
      <c r="T156" s="706"/>
      <c r="U156" s="706"/>
      <c r="V156" s="706"/>
      <c r="W156" s="706"/>
      <c r="X156" s="706"/>
      <c r="Y156" s="706"/>
      <c r="Z156" s="706"/>
      <c r="AA156" s="706"/>
      <c r="AB156" s="706"/>
      <c r="AC156" s="706"/>
    </row>
    <row r="157" spans="1:42" s="913" customFormat="1" ht="13.5" thickBot="1">
      <c r="A157" s="1407">
        <v>33</v>
      </c>
      <c r="B157" s="1408" t="s">
        <v>309</v>
      </c>
      <c r="C157" s="1409"/>
      <c r="D157" s="1390">
        <f t="shared" si="26"/>
        <v>1324525</v>
      </c>
      <c r="E157" s="1186">
        <f>SUM(E152:E156)</f>
        <v>0</v>
      </c>
      <c r="F157" s="1186">
        <f>SUM(F152:F156)</f>
        <v>-185515</v>
      </c>
      <c r="G157" s="1186">
        <f>SUM(G152:G156)</f>
        <v>0</v>
      </c>
      <c r="H157" s="1187">
        <f>SUM(H152:H156)</f>
        <v>-1445</v>
      </c>
      <c r="I157" s="1210">
        <f>SUM(I152:I156)</f>
        <v>1511485</v>
      </c>
      <c r="J157" s="1397">
        <f t="shared" si="32"/>
        <v>1510040</v>
      </c>
      <c r="K157" s="1186">
        <f>SUM(K152:K156)</f>
        <v>0</v>
      </c>
      <c r="L157" s="1187">
        <f>SUM(L152:L156)</f>
        <v>0</v>
      </c>
      <c r="M157" s="1210">
        <f>SUM(M152:M156)</f>
        <v>0</v>
      </c>
      <c r="N157" s="1397">
        <f t="shared" si="28"/>
        <v>0</v>
      </c>
      <c r="O157" s="1155"/>
      <c r="P157" s="1025"/>
      <c r="Q157" s="710"/>
      <c r="R157" s="1027"/>
      <c r="S157" s="1027"/>
      <c r="T157" s="1027"/>
      <c r="U157" s="1027"/>
      <c r="V157" s="1027"/>
      <c r="W157" s="1027"/>
      <c r="X157" s="1027"/>
      <c r="Y157" s="1027"/>
      <c r="Z157" s="1027"/>
      <c r="AA157" s="1027"/>
      <c r="AB157" s="1027"/>
      <c r="AC157" s="1027"/>
      <c r="AE157" s="1058"/>
      <c r="AF157" s="1058"/>
      <c r="AG157" s="1058"/>
      <c r="AH157" s="1058"/>
      <c r="AI157" s="1058"/>
      <c r="AJ157" s="1058"/>
      <c r="AK157" s="1058"/>
      <c r="AL157" s="1058"/>
      <c r="AM157" s="1058"/>
      <c r="AN157" s="1058"/>
      <c r="AO157" s="1058"/>
      <c r="AP157" s="1058"/>
    </row>
    <row r="158" spans="1:42" s="913" customFormat="1" ht="26.25" thickBot="1">
      <c r="A158" s="1413">
        <v>34</v>
      </c>
      <c r="B158" s="1352" t="s">
        <v>310</v>
      </c>
      <c r="C158" s="1413"/>
      <c r="D158" s="1381">
        <f>+E158+F158+J158+N158</f>
        <v>8191271</v>
      </c>
      <c r="E158" s="1381">
        <f>E157+E150</f>
        <v>0</v>
      </c>
      <c r="F158" s="1381">
        <f>F157+F150</f>
        <v>111949</v>
      </c>
      <c r="G158" s="1381">
        <f>G157+G150</f>
        <v>0</v>
      </c>
      <c r="H158" s="1381">
        <f>H157+H150</f>
        <v>235405</v>
      </c>
      <c r="I158" s="1381">
        <f>I157+I150</f>
        <v>7293422</v>
      </c>
      <c r="J158" s="1381">
        <f>G158+H158+I158</f>
        <v>7528827</v>
      </c>
      <c r="K158" s="1381">
        <f>K157+K150</f>
        <v>0</v>
      </c>
      <c r="L158" s="1381">
        <f>L157+L150</f>
        <v>0</v>
      </c>
      <c r="M158" s="1381">
        <f>M157+M150</f>
        <v>550495</v>
      </c>
      <c r="N158" s="1381">
        <f t="shared" si="28"/>
        <v>550495</v>
      </c>
      <c r="O158" s="1155"/>
      <c r="P158" s="1025"/>
      <c r="Q158" s="710"/>
      <c r="R158" s="1027"/>
      <c r="S158" s="1027"/>
      <c r="T158" s="1027"/>
      <c r="U158" s="1027"/>
      <c r="V158" s="1027"/>
      <c r="W158" s="1027"/>
      <c r="X158" s="1027"/>
      <c r="Y158" s="1027"/>
      <c r="Z158" s="1027"/>
      <c r="AA158" s="1027"/>
      <c r="AB158" s="1027"/>
      <c r="AC158" s="1027"/>
      <c r="AE158" s="1058"/>
      <c r="AF158" s="1058"/>
      <c r="AG158" s="1058"/>
      <c r="AH158" s="1058"/>
      <c r="AI158" s="1058"/>
      <c r="AJ158" s="1058"/>
      <c r="AK158" s="1058"/>
      <c r="AL158" s="1058"/>
      <c r="AM158" s="1058"/>
      <c r="AN158" s="1058"/>
      <c r="AO158" s="1058"/>
      <c r="AP158" s="1058"/>
    </row>
    <row r="159" spans="1:42">
      <c r="S159" s="706"/>
    </row>
    <row r="160" spans="1:42">
      <c r="B160" s="680"/>
      <c r="D160" s="679"/>
      <c r="E160" s="679"/>
      <c r="F160" s="679"/>
      <c r="G160" s="679"/>
      <c r="H160" s="679"/>
      <c r="I160" s="679"/>
      <c r="J160" s="679"/>
      <c r="K160" s="679"/>
      <c r="L160" s="679"/>
      <c r="M160" s="679"/>
      <c r="N160" s="911">
        <v>15</v>
      </c>
      <c r="O160" s="679"/>
    </row>
    <row r="161" spans="1:29">
      <c r="D161" s="679"/>
      <c r="E161" s="679"/>
      <c r="F161" s="679"/>
      <c r="G161" s="679"/>
      <c r="H161" s="679"/>
      <c r="I161" s="679"/>
      <c r="J161" s="679"/>
      <c r="K161" s="679"/>
      <c r="L161" s="679"/>
      <c r="M161" s="679"/>
      <c r="N161" s="679"/>
    </row>
    <row r="162" spans="1:29" ht="13.5" thickBot="1">
      <c r="D162" s="679"/>
      <c r="E162" s="679"/>
      <c r="F162" s="679"/>
      <c r="G162" s="679"/>
      <c r="H162" s="679"/>
      <c r="I162" s="679"/>
      <c r="J162" s="679"/>
      <c r="K162" s="679"/>
      <c r="L162" s="679"/>
      <c r="M162" s="679"/>
      <c r="N162" s="679"/>
    </row>
    <row r="163" spans="1:29" ht="15.75" customHeight="1" thickBot="1">
      <c r="A163" s="1368" t="s">
        <v>180</v>
      </c>
      <c r="B163" s="3533" t="s">
        <v>94</v>
      </c>
      <c r="C163" s="3534"/>
      <c r="E163" s="679"/>
      <c r="F163" s="679"/>
      <c r="G163" s="679"/>
      <c r="H163" s="679"/>
      <c r="I163" s="679"/>
      <c r="J163" s="679"/>
      <c r="K163" s="679"/>
      <c r="L163" s="679"/>
      <c r="M163" s="3538" t="s">
        <v>251</v>
      </c>
      <c r="N163" s="3538"/>
      <c r="O163" s="1148"/>
    </row>
    <row r="164" spans="1:29" ht="18.75" customHeight="1" thickBot="1">
      <c r="A164" s="3512" t="s">
        <v>252</v>
      </c>
      <c r="B164" s="3515"/>
      <c r="C164" s="3523" t="s">
        <v>254</v>
      </c>
      <c r="D164" s="3518" t="s">
        <v>255</v>
      </c>
      <c r="E164" s="3518" t="s">
        <v>256</v>
      </c>
      <c r="F164" s="3518" t="s">
        <v>257</v>
      </c>
      <c r="G164" s="3529" t="s">
        <v>258</v>
      </c>
      <c r="H164" s="3530"/>
      <c r="I164" s="3530"/>
      <c r="J164" s="3530"/>
      <c r="K164" s="3530"/>
      <c r="L164" s="3530"/>
      <c r="M164" s="3530"/>
      <c r="N164" s="3531"/>
      <c r="O164" s="409"/>
    </row>
    <row r="165" spans="1:29" ht="18" customHeight="1" thickBot="1">
      <c r="A165" s="3513"/>
      <c r="B165" s="3516"/>
      <c r="C165" s="3524"/>
      <c r="D165" s="3520"/>
      <c r="E165" s="3520"/>
      <c r="F165" s="3520"/>
      <c r="G165" s="3529" t="s">
        <v>259</v>
      </c>
      <c r="H165" s="3530"/>
      <c r="I165" s="3530"/>
      <c r="J165" s="3531"/>
      <c r="K165" s="3529" t="s">
        <v>260</v>
      </c>
      <c r="L165" s="3530"/>
      <c r="M165" s="3530"/>
      <c r="N165" s="3531"/>
      <c r="O165" s="443"/>
    </row>
    <row r="166" spans="1:29" ht="39" thickBot="1">
      <c r="A166" s="3513"/>
      <c r="B166" s="3516"/>
      <c r="C166" s="3524"/>
      <c r="D166" s="3519"/>
      <c r="E166" s="3519"/>
      <c r="F166" s="3519"/>
      <c r="G166" s="1336" t="s">
        <v>261</v>
      </c>
      <c r="H166" s="1336" t="s">
        <v>262</v>
      </c>
      <c r="I166" s="1336" t="s">
        <v>263</v>
      </c>
      <c r="J166" s="1336" t="s">
        <v>158</v>
      </c>
      <c r="K166" s="1337" t="s">
        <v>264</v>
      </c>
      <c r="L166" s="1337" t="s">
        <v>265</v>
      </c>
      <c r="M166" s="1338" t="s">
        <v>266</v>
      </c>
      <c r="N166" s="1339" t="s">
        <v>158</v>
      </c>
      <c r="O166" s="443"/>
    </row>
    <row r="167" spans="1:29" ht="13.5" thickBot="1">
      <c r="A167" s="3513"/>
      <c r="B167" s="3516"/>
      <c r="C167" s="3524"/>
      <c r="D167" s="1340">
        <v>1</v>
      </c>
      <c r="E167" s="3518">
        <v>2</v>
      </c>
      <c r="F167" s="3518">
        <v>3</v>
      </c>
      <c r="G167" s="3518">
        <v>4</v>
      </c>
      <c r="H167" s="3518">
        <v>5</v>
      </c>
      <c r="I167" s="3518">
        <v>6</v>
      </c>
      <c r="J167" s="1341">
        <v>7</v>
      </c>
      <c r="K167" s="3518">
        <v>8</v>
      </c>
      <c r="L167" s="3518">
        <v>9</v>
      </c>
      <c r="M167" s="3536">
        <v>10</v>
      </c>
      <c r="N167" s="1340">
        <v>11</v>
      </c>
      <c r="O167" s="409"/>
    </row>
    <row r="168" spans="1:29" ht="15.75" customHeight="1" thickBot="1">
      <c r="A168" s="3514"/>
      <c r="B168" s="3517"/>
      <c r="C168" s="3525"/>
      <c r="D168" s="1343"/>
      <c r="E168" s="3519"/>
      <c r="F168" s="3519"/>
      <c r="G168" s="3519"/>
      <c r="H168" s="3519"/>
      <c r="I168" s="3519"/>
      <c r="J168" s="1344" t="s">
        <v>267</v>
      </c>
      <c r="K168" s="3519"/>
      <c r="L168" s="3519"/>
      <c r="M168" s="3545"/>
      <c r="N168" s="1372" t="s">
        <v>268</v>
      </c>
      <c r="O168" s="703"/>
      <c r="P168" s="703"/>
      <c r="Q168" s="703"/>
    </row>
    <row r="169" spans="1:29">
      <c r="A169" s="1346"/>
      <c r="B169" s="1347" t="s">
        <v>269</v>
      </c>
      <c r="C169" s="1346"/>
      <c r="D169" s="2152"/>
      <c r="E169" s="1150"/>
      <c r="F169" s="1150"/>
      <c r="G169" s="1151"/>
      <c r="H169" s="1089"/>
      <c r="I169" s="1152"/>
      <c r="J169" s="1417"/>
      <c r="K169" s="1088"/>
      <c r="L169" s="1089"/>
      <c r="M169" s="1090"/>
      <c r="N169" s="2249"/>
      <c r="Q169" s="709"/>
      <c r="R169" s="706"/>
    </row>
    <row r="170" spans="1:29">
      <c r="A170" s="2153">
        <v>1</v>
      </c>
      <c r="B170" s="2154" t="s">
        <v>270</v>
      </c>
      <c r="C170" s="2155"/>
      <c r="D170" s="2213">
        <f>+E170+F170+J170+N170</f>
        <v>0</v>
      </c>
      <c r="E170" s="2188"/>
      <c r="F170" s="2188"/>
      <c r="G170" s="2189"/>
      <c r="H170" s="2197"/>
      <c r="I170" s="2222"/>
      <c r="J170" s="2214">
        <f>G170+H170+I170</f>
        <v>0</v>
      </c>
      <c r="K170" s="2188"/>
      <c r="L170" s="2188"/>
      <c r="M170" s="2193"/>
      <c r="N170" s="2195">
        <f>K170+L170+M170</f>
        <v>0</v>
      </c>
      <c r="O170" s="1149"/>
      <c r="P170" s="705"/>
      <c r="Q170" s="54"/>
      <c r="R170" s="706"/>
      <c r="S170" s="706"/>
      <c r="T170" s="706"/>
      <c r="U170" s="706"/>
      <c r="V170" s="706"/>
      <c r="W170" s="706"/>
      <c r="X170" s="706"/>
      <c r="Y170" s="706"/>
      <c r="Z170" s="706"/>
      <c r="AA170" s="706"/>
      <c r="AB170" s="706"/>
      <c r="AC170" s="706"/>
    </row>
    <row r="171" spans="1:29">
      <c r="A171" s="2153">
        <v>2</v>
      </c>
      <c r="B171" s="2154" t="s">
        <v>271</v>
      </c>
      <c r="C171" s="2155"/>
      <c r="D171" s="2213">
        <f t="shared" ref="D171:D209" si="33">+E171+F171+J171+N171</f>
        <v>17444</v>
      </c>
      <c r="E171" s="2188"/>
      <c r="F171" s="2188">
        <v>17444</v>
      </c>
      <c r="G171" s="2188">
        <v>0</v>
      </c>
      <c r="H171" s="2193">
        <v>0</v>
      </c>
      <c r="I171" s="2222"/>
      <c r="J171" s="2214">
        <f t="shared" ref="J171:J181" si="34">G171+H171+I171</f>
        <v>0</v>
      </c>
      <c r="K171" s="2188"/>
      <c r="L171" s="2188"/>
      <c r="M171" s="2193"/>
      <c r="N171" s="2195">
        <f t="shared" ref="N171:N210" si="35">K171+L171+M171</f>
        <v>0</v>
      </c>
      <c r="O171" s="1149"/>
      <c r="P171" s="705"/>
      <c r="Q171" s="707"/>
      <c r="R171" s="706"/>
      <c r="S171" s="706"/>
      <c r="T171" s="706"/>
      <c r="U171" s="706"/>
      <c r="V171" s="706"/>
      <c r="W171" s="706"/>
      <c r="X171" s="706"/>
      <c r="Y171" s="706"/>
      <c r="Z171" s="706"/>
      <c r="AA171" s="706"/>
      <c r="AB171" s="706"/>
      <c r="AC171" s="706"/>
    </row>
    <row r="172" spans="1:29">
      <c r="A172" s="2153">
        <v>3</v>
      </c>
      <c r="B172" s="2154" t="s">
        <v>272</v>
      </c>
      <c r="C172" s="2155"/>
      <c r="D172" s="2213">
        <f t="shared" si="33"/>
        <v>0</v>
      </c>
      <c r="E172" s="2188"/>
      <c r="F172" s="1171">
        <v>0</v>
      </c>
      <c r="G172" s="2189"/>
      <c r="H172" s="2197"/>
      <c r="I172" s="2222"/>
      <c r="J172" s="2214">
        <f t="shared" si="34"/>
        <v>0</v>
      </c>
      <c r="K172" s="2188"/>
      <c r="L172" s="2188"/>
      <c r="M172" s="2193"/>
      <c r="N172" s="2195">
        <f t="shared" si="35"/>
        <v>0</v>
      </c>
      <c r="O172" s="1149"/>
      <c r="P172" s="705"/>
      <c r="Q172" s="54"/>
      <c r="R172" s="706"/>
      <c r="S172" s="706"/>
      <c r="T172" s="706"/>
      <c r="U172" s="706"/>
      <c r="V172" s="706"/>
      <c r="W172" s="706"/>
      <c r="X172" s="706"/>
      <c r="Y172" s="706"/>
      <c r="Z172" s="706"/>
      <c r="AA172" s="706"/>
      <c r="AB172" s="706"/>
      <c r="AC172" s="706"/>
    </row>
    <row r="173" spans="1:29">
      <c r="A173" s="2153">
        <v>4</v>
      </c>
      <c r="B173" s="2154" t="s">
        <v>313</v>
      </c>
      <c r="C173" s="2155"/>
      <c r="D173" s="2213">
        <f t="shared" si="33"/>
        <v>14140</v>
      </c>
      <c r="E173" s="2188"/>
      <c r="F173" s="1171">
        <v>14140</v>
      </c>
      <c r="G173" s="2189"/>
      <c r="H173" s="2197"/>
      <c r="I173" s="2222"/>
      <c r="J173" s="2214"/>
      <c r="K173" s="2188"/>
      <c r="L173" s="2188"/>
      <c r="M173" s="2193"/>
      <c r="N173" s="2195"/>
      <c r="O173" s="1149"/>
      <c r="P173" s="705"/>
      <c r="Q173" s="707"/>
      <c r="R173" s="706"/>
      <c r="S173" s="706"/>
      <c r="T173" s="706"/>
      <c r="U173" s="706"/>
      <c r="V173" s="706"/>
      <c r="W173" s="706"/>
      <c r="X173" s="706"/>
      <c r="Y173" s="706"/>
      <c r="Z173" s="706"/>
      <c r="AA173" s="706"/>
      <c r="AB173" s="706"/>
      <c r="AC173" s="706"/>
    </row>
    <row r="174" spans="1:29">
      <c r="A174" s="2153">
        <v>5</v>
      </c>
      <c r="B174" s="2154" t="s">
        <v>274</v>
      </c>
      <c r="C174" s="2161">
        <v>5</v>
      </c>
      <c r="D174" s="2213">
        <f t="shared" si="33"/>
        <v>13460</v>
      </c>
      <c r="E174" s="2188"/>
      <c r="F174" s="1171">
        <v>13460</v>
      </c>
      <c r="G174" s="2189"/>
      <c r="H174" s="2197"/>
      <c r="I174" s="2222"/>
      <c r="J174" s="2214">
        <f t="shared" si="34"/>
        <v>0</v>
      </c>
      <c r="K174" s="2188"/>
      <c r="L174" s="2188"/>
      <c r="M174" s="2193"/>
      <c r="N174" s="2195">
        <f t="shared" si="35"/>
        <v>0</v>
      </c>
      <c r="O174" s="1149"/>
      <c r="P174" s="705"/>
      <c r="Q174" s="1141"/>
      <c r="R174" s="706"/>
      <c r="S174" s="706"/>
      <c r="T174" s="706"/>
      <c r="U174" s="706"/>
      <c r="V174" s="706"/>
      <c r="W174" s="706"/>
      <c r="X174" s="706"/>
      <c r="Y174" s="706"/>
      <c r="Z174" s="706"/>
      <c r="AA174" s="706"/>
      <c r="AB174" s="706"/>
      <c r="AC174" s="706"/>
    </row>
    <row r="175" spans="1:29">
      <c r="A175" s="2153">
        <v>6</v>
      </c>
      <c r="B175" s="2154" t="s">
        <v>275</v>
      </c>
      <c r="C175" s="2155">
        <v>6</v>
      </c>
      <c r="D175" s="2213">
        <f t="shared" si="33"/>
        <v>147500</v>
      </c>
      <c r="E175" s="2188"/>
      <c r="F175" s="1171">
        <v>147500</v>
      </c>
      <c r="G175" s="2189"/>
      <c r="H175" s="2197"/>
      <c r="I175" s="2222"/>
      <c r="J175" s="2214">
        <f t="shared" si="34"/>
        <v>0</v>
      </c>
      <c r="K175" s="2188"/>
      <c r="L175" s="2188"/>
      <c r="M175" s="2193"/>
      <c r="N175" s="2195">
        <f t="shared" si="35"/>
        <v>0</v>
      </c>
      <c r="O175" s="1149"/>
      <c r="P175" s="705"/>
      <c r="Q175" s="707"/>
      <c r="R175" s="706"/>
      <c r="S175" s="706"/>
      <c r="T175" s="706"/>
      <c r="U175" s="706"/>
      <c r="V175" s="706"/>
      <c r="W175" s="706"/>
      <c r="X175" s="706"/>
      <c r="Y175" s="706"/>
      <c r="Z175" s="706"/>
      <c r="AA175" s="706"/>
      <c r="AB175" s="706"/>
      <c r="AC175" s="706"/>
    </row>
    <row r="176" spans="1:29">
      <c r="A176" s="2153">
        <v>7</v>
      </c>
      <c r="B176" s="2154" t="s">
        <v>276</v>
      </c>
      <c r="C176" s="2161">
        <v>7</v>
      </c>
      <c r="D176" s="2213">
        <f t="shared" si="33"/>
        <v>0</v>
      </c>
      <c r="E176" s="2188">
        <v>0</v>
      </c>
      <c r="F176" s="2188">
        <f>F177+F178</f>
        <v>0</v>
      </c>
      <c r="G176" s="2188">
        <f t="shared" ref="G176:M176" si="36">G177+G178</f>
        <v>0</v>
      </c>
      <c r="H176" s="2193">
        <f t="shared" si="36"/>
        <v>0</v>
      </c>
      <c r="I176" s="2222">
        <f t="shared" si="36"/>
        <v>0</v>
      </c>
      <c r="J176" s="2214">
        <f t="shared" si="34"/>
        <v>0</v>
      </c>
      <c r="K176" s="2188">
        <f t="shared" si="36"/>
        <v>0</v>
      </c>
      <c r="L176" s="2188">
        <f t="shared" si="36"/>
        <v>0</v>
      </c>
      <c r="M176" s="2193">
        <f t="shared" si="36"/>
        <v>0</v>
      </c>
      <c r="N176" s="2195">
        <f t="shared" si="35"/>
        <v>0</v>
      </c>
      <c r="O176" s="1149"/>
      <c r="P176" s="705"/>
      <c r="Q176" s="1142"/>
      <c r="R176" s="706"/>
      <c r="S176" s="706"/>
      <c r="T176" s="706"/>
      <c r="U176" s="706"/>
      <c r="V176" s="706"/>
      <c r="W176" s="706"/>
      <c r="X176" s="706"/>
      <c r="Y176" s="706"/>
      <c r="Z176" s="706"/>
      <c r="AA176" s="706"/>
      <c r="AB176" s="706"/>
      <c r="AC176" s="706"/>
    </row>
    <row r="177" spans="1:42">
      <c r="A177" s="2155"/>
      <c r="B177" s="2162" t="s">
        <v>277</v>
      </c>
      <c r="C177" s="2161"/>
      <c r="D177" s="2213">
        <f t="shared" si="33"/>
        <v>0</v>
      </c>
      <c r="E177" s="2188"/>
      <c r="F177" s="2188"/>
      <c r="G177" s="2188"/>
      <c r="H177" s="2193"/>
      <c r="I177" s="2222"/>
      <c r="J177" s="2214">
        <f t="shared" si="34"/>
        <v>0</v>
      </c>
      <c r="K177" s="2188"/>
      <c r="L177" s="2188"/>
      <c r="M177" s="2193"/>
      <c r="N177" s="2195">
        <f t="shared" si="35"/>
        <v>0</v>
      </c>
      <c r="O177" s="1149"/>
      <c r="P177" s="705"/>
      <c r="Q177" s="1142"/>
      <c r="R177" s="706"/>
      <c r="S177" s="706"/>
      <c r="T177" s="706"/>
      <c r="U177" s="706"/>
      <c r="V177" s="706"/>
      <c r="W177" s="706"/>
      <c r="X177" s="706"/>
      <c r="Y177" s="706"/>
      <c r="Z177" s="706"/>
      <c r="AA177" s="706"/>
      <c r="AB177" s="706"/>
      <c r="AC177" s="706"/>
    </row>
    <row r="178" spans="1:42">
      <c r="A178" s="2155"/>
      <c r="B178" s="2162" t="s">
        <v>278</v>
      </c>
      <c r="C178" s="2161"/>
      <c r="D178" s="2213">
        <f t="shared" si="33"/>
        <v>0</v>
      </c>
      <c r="E178" s="2188"/>
      <c r="F178" s="2188"/>
      <c r="G178" s="2188"/>
      <c r="H178" s="2193"/>
      <c r="I178" s="2222"/>
      <c r="J178" s="2214">
        <f t="shared" si="34"/>
        <v>0</v>
      </c>
      <c r="K178" s="2188"/>
      <c r="L178" s="2188"/>
      <c r="M178" s="2193"/>
      <c r="N178" s="2195">
        <f t="shared" si="35"/>
        <v>0</v>
      </c>
      <c r="O178" s="1149"/>
      <c r="P178" s="705"/>
      <c r="Q178" s="1142"/>
      <c r="R178" s="706"/>
      <c r="S178" s="706"/>
      <c r="T178" s="706"/>
      <c r="U178" s="706"/>
      <c r="V178" s="706"/>
      <c r="W178" s="706"/>
      <c r="X178" s="706"/>
      <c r="Y178" s="706"/>
      <c r="Z178" s="706"/>
      <c r="AA178" s="706"/>
      <c r="AB178" s="706"/>
      <c r="AC178" s="706"/>
    </row>
    <row r="179" spans="1:42">
      <c r="A179" s="2153">
        <v>8</v>
      </c>
      <c r="B179" s="2154" t="s">
        <v>279</v>
      </c>
      <c r="C179" s="2155">
        <v>8</v>
      </c>
      <c r="D179" s="2213">
        <f t="shared" si="33"/>
        <v>0</v>
      </c>
      <c r="E179" s="2188">
        <v>0</v>
      </c>
      <c r="F179" s="2188">
        <f>F180+F181</f>
        <v>0</v>
      </c>
      <c r="G179" s="2188">
        <f t="shared" ref="G179:M179" si="37">G180+G181</f>
        <v>0</v>
      </c>
      <c r="H179" s="2193">
        <f t="shared" si="37"/>
        <v>0</v>
      </c>
      <c r="I179" s="2222">
        <f t="shared" si="37"/>
        <v>0</v>
      </c>
      <c r="J179" s="2214">
        <f t="shared" si="34"/>
        <v>0</v>
      </c>
      <c r="K179" s="2188">
        <f t="shared" si="37"/>
        <v>0</v>
      </c>
      <c r="L179" s="2188">
        <f t="shared" si="37"/>
        <v>0</v>
      </c>
      <c r="M179" s="2193">
        <f t="shared" si="37"/>
        <v>0</v>
      </c>
      <c r="N179" s="2195">
        <f t="shared" si="35"/>
        <v>0</v>
      </c>
      <c r="O179" s="1149"/>
      <c r="P179" s="705"/>
      <c r="Q179" s="54"/>
      <c r="R179" s="706"/>
      <c r="S179" s="706"/>
      <c r="T179" s="706"/>
      <c r="U179" s="706"/>
      <c r="V179" s="706"/>
      <c r="W179" s="706"/>
      <c r="X179" s="706"/>
      <c r="Y179" s="706"/>
      <c r="Z179" s="706"/>
      <c r="AA179" s="706"/>
      <c r="AB179" s="706"/>
      <c r="AC179" s="706"/>
    </row>
    <row r="180" spans="1:42">
      <c r="A180" s="2153"/>
      <c r="B180" s="2162" t="s">
        <v>280</v>
      </c>
      <c r="C180" s="2155"/>
      <c r="D180" s="2213">
        <f t="shared" si="33"/>
        <v>0</v>
      </c>
      <c r="E180" s="2188"/>
      <c r="F180" s="2188"/>
      <c r="G180" s="2189"/>
      <c r="H180" s="2197"/>
      <c r="I180" s="2222"/>
      <c r="J180" s="2214">
        <f t="shared" si="34"/>
        <v>0</v>
      </c>
      <c r="K180" s="2188"/>
      <c r="L180" s="2188"/>
      <c r="M180" s="2193"/>
      <c r="N180" s="2195">
        <f t="shared" si="35"/>
        <v>0</v>
      </c>
      <c r="O180" s="1149"/>
      <c r="P180" s="705"/>
      <c r="Q180" s="54"/>
      <c r="R180" s="706"/>
      <c r="S180" s="706"/>
      <c r="T180" s="706"/>
      <c r="U180" s="706"/>
      <c r="V180" s="706"/>
      <c r="W180" s="706"/>
      <c r="X180" s="706"/>
      <c r="Y180" s="706"/>
      <c r="Z180" s="706"/>
      <c r="AA180" s="706"/>
      <c r="AB180" s="706"/>
      <c r="AC180" s="706"/>
    </row>
    <row r="181" spans="1:42">
      <c r="A181" s="2153"/>
      <c r="B181" s="2162" t="s">
        <v>281</v>
      </c>
      <c r="C181" s="2155"/>
      <c r="D181" s="2213">
        <f t="shared" si="33"/>
        <v>0</v>
      </c>
      <c r="E181" s="2188"/>
      <c r="F181" s="2188"/>
      <c r="G181" s="2189"/>
      <c r="H181" s="2197"/>
      <c r="I181" s="2222"/>
      <c r="J181" s="2214">
        <f t="shared" si="34"/>
        <v>0</v>
      </c>
      <c r="K181" s="2188"/>
      <c r="L181" s="2188"/>
      <c r="M181" s="2193"/>
      <c r="N181" s="2195">
        <f t="shared" si="35"/>
        <v>0</v>
      </c>
      <c r="O181" s="1149"/>
      <c r="P181" s="705"/>
      <c r="Q181" s="54"/>
      <c r="R181" s="706"/>
      <c r="S181" s="706"/>
      <c r="T181" s="706"/>
      <c r="U181" s="706"/>
      <c r="V181" s="706"/>
      <c r="W181" s="706"/>
      <c r="X181" s="706"/>
      <c r="Y181" s="706"/>
      <c r="Z181" s="706"/>
      <c r="AA181" s="706"/>
      <c r="AB181" s="706"/>
      <c r="AC181" s="706"/>
    </row>
    <row r="182" spans="1:42" s="913" customFormat="1" ht="25.5">
      <c r="A182" s="2163">
        <v>9</v>
      </c>
      <c r="B182" s="2164" t="s">
        <v>282</v>
      </c>
      <c r="C182" s="2165"/>
      <c r="D182" s="2230">
        <f t="shared" si="33"/>
        <v>2936802</v>
      </c>
      <c r="E182" s="2231">
        <f>SUM(E183:E186)</f>
        <v>0</v>
      </c>
      <c r="F182" s="2231">
        <f>SUM(F183:F186)</f>
        <v>330864</v>
      </c>
      <c r="G182" s="2231">
        <f>SUM(G183:G186)</f>
        <v>0</v>
      </c>
      <c r="H182" s="2204">
        <f>SUM(H183:H186)</f>
        <v>549290</v>
      </c>
      <c r="I182" s="2250">
        <f>SUM(I183:I186)</f>
        <v>0</v>
      </c>
      <c r="J182" s="2233">
        <f>G182+H182+I182</f>
        <v>549290</v>
      </c>
      <c r="K182" s="2231">
        <f>SUM(K183:K186)</f>
        <v>32343</v>
      </c>
      <c r="L182" s="2231">
        <f>SUM(L183:L186)</f>
        <v>0</v>
      </c>
      <c r="M182" s="2204">
        <f>SUM(M183:M186)</f>
        <v>2024305</v>
      </c>
      <c r="N182" s="2205">
        <f t="shared" si="35"/>
        <v>2056648</v>
      </c>
      <c r="O182" s="1155"/>
      <c r="P182" s="1025"/>
      <c r="Q182" s="1143"/>
      <c r="R182" s="1027"/>
      <c r="S182" s="1027"/>
      <c r="T182" s="1027"/>
      <c r="U182" s="1027"/>
      <c r="V182" s="1027"/>
      <c r="W182" s="1027"/>
      <c r="X182" s="1027"/>
      <c r="Y182" s="1027"/>
      <c r="Z182" s="1027"/>
      <c r="AA182" s="1027"/>
      <c r="AB182" s="1027"/>
      <c r="AC182" s="1027"/>
      <c r="AE182" s="1058"/>
      <c r="AF182" s="1058"/>
      <c r="AG182" s="1058"/>
      <c r="AH182" s="1058"/>
      <c r="AI182" s="1058"/>
      <c r="AJ182" s="1058"/>
      <c r="AK182" s="1058"/>
      <c r="AL182" s="1058"/>
      <c r="AM182" s="1058"/>
      <c r="AN182" s="1058"/>
      <c r="AO182" s="1058"/>
      <c r="AP182" s="1058"/>
    </row>
    <row r="183" spans="1:42">
      <c r="A183" s="2155">
        <v>10</v>
      </c>
      <c r="B183" s="2171" t="s">
        <v>283</v>
      </c>
      <c r="C183" s="2155">
        <v>9</v>
      </c>
      <c r="D183" s="2213">
        <f t="shared" si="33"/>
        <v>0</v>
      </c>
      <c r="E183" s="2188"/>
      <c r="F183" s="2188">
        <v>0</v>
      </c>
      <c r="G183" s="2188"/>
      <c r="H183" s="2188">
        <v>0</v>
      </c>
      <c r="I183" s="2222"/>
      <c r="J183" s="2214">
        <f t="shared" ref="J183:J201" si="38">G183+H183+I183</f>
        <v>0</v>
      </c>
      <c r="K183" s="2188">
        <v>0</v>
      </c>
      <c r="L183" s="2189"/>
      <c r="M183" s="2197">
        <v>0</v>
      </c>
      <c r="N183" s="2195">
        <f t="shared" si="35"/>
        <v>0</v>
      </c>
      <c r="O183" s="1149"/>
      <c r="P183" s="705"/>
      <c r="Q183" s="54"/>
      <c r="R183" s="706"/>
      <c r="S183" s="706"/>
      <c r="T183" s="706"/>
      <c r="U183" s="706"/>
      <c r="V183" s="706"/>
      <c r="W183" s="706"/>
      <c r="X183" s="706"/>
      <c r="Y183" s="706"/>
      <c r="Z183" s="706"/>
      <c r="AA183" s="706"/>
      <c r="AB183" s="706"/>
      <c r="AC183" s="706"/>
    </row>
    <row r="184" spans="1:42">
      <c r="A184" s="2155">
        <v>11</v>
      </c>
      <c r="B184" s="2171" t="s">
        <v>284</v>
      </c>
      <c r="C184" s="2155">
        <v>10</v>
      </c>
      <c r="D184" s="2213">
        <f t="shared" si="33"/>
        <v>2585511</v>
      </c>
      <c r="E184" s="2188"/>
      <c r="F184" s="1171">
        <v>271633</v>
      </c>
      <c r="G184" s="2188"/>
      <c r="H184" s="1171">
        <v>412379</v>
      </c>
      <c r="I184" s="2236"/>
      <c r="J184" s="2214">
        <f t="shared" si="38"/>
        <v>412379</v>
      </c>
      <c r="K184" s="1171">
        <v>32343</v>
      </c>
      <c r="L184" s="2189"/>
      <c r="M184" s="1174">
        <v>1869156</v>
      </c>
      <c r="N184" s="2195">
        <f t="shared" si="35"/>
        <v>1901499</v>
      </c>
      <c r="O184" s="1149"/>
      <c r="P184" s="705"/>
      <c r="Q184" s="707"/>
      <c r="R184" s="706"/>
      <c r="S184" s="706"/>
      <c r="T184" s="706"/>
      <c r="U184" s="706"/>
      <c r="V184" s="706"/>
      <c r="W184" s="706"/>
      <c r="X184" s="706"/>
      <c r="Y184" s="706"/>
      <c r="Z184" s="706"/>
      <c r="AA184" s="706"/>
      <c r="AB184" s="706"/>
      <c r="AC184" s="706"/>
    </row>
    <row r="185" spans="1:42">
      <c r="A185" s="2155">
        <v>12</v>
      </c>
      <c r="B185" s="2171" t="s">
        <v>285</v>
      </c>
      <c r="C185" s="2155">
        <v>11</v>
      </c>
      <c r="D185" s="2213">
        <f t="shared" si="33"/>
        <v>92083</v>
      </c>
      <c r="E185" s="2188"/>
      <c r="F185" s="1171">
        <v>0</v>
      </c>
      <c r="G185" s="2188"/>
      <c r="H185" s="1171">
        <v>60973</v>
      </c>
      <c r="I185" s="2236"/>
      <c r="J185" s="2214">
        <f t="shared" si="38"/>
        <v>60973</v>
      </c>
      <c r="K185" s="1171">
        <v>0</v>
      </c>
      <c r="L185" s="2189"/>
      <c r="M185" s="1174">
        <v>31110</v>
      </c>
      <c r="N185" s="2195">
        <f t="shared" si="35"/>
        <v>31110</v>
      </c>
      <c r="O185" s="1149"/>
      <c r="P185" s="705"/>
      <c r="Q185" s="707"/>
      <c r="R185" s="706"/>
      <c r="S185" s="706"/>
      <c r="T185" s="706"/>
      <c r="U185" s="706"/>
      <c r="V185" s="706"/>
      <c r="W185" s="706"/>
      <c r="X185" s="706"/>
      <c r="Y185" s="706"/>
      <c r="Z185" s="706"/>
      <c r="AA185" s="706"/>
      <c r="AB185" s="706"/>
      <c r="AC185" s="706"/>
    </row>
    <row r="186" spans="1:42" ht="25.5">
      <c r="A186" s="2155">
        <v>13</v>
      </c>
      <c r="B186" s="2171" t="s">
        <v>286</v>
      </c>
      <c r="C186" s="2155">
        <v>12</v>
      </c>
      <c r="D186" s="2213">
        <f t="shared" si="33"/>
        <v>259208</v>
      </c>
      <c r="E186" s="2188"/>
      <c r="F186" s="1171">
        <v>59231</v>
      </c>
      <c r="G186" s="2188"/>
      <c r="H186" s="1171">
        <v>75938</v>
      </c>
      <c r="I186" s="2236"/>
      <c r="J186" s="2214">
        <f t="shared" si="38"/>
        <v>75938</v>
      </c>
      <c r="K186" s="1171">
        <v>0</v>
      </c>
      <c r="L186" s="2189"/>
      <c r="M186" s="1174">
        <v>124039</v>
      </c>
      <c r="N186" s="2195">
        <f t="shared" si="35"/>
        <v>124039</v>
      </c>
      <c r="O186" s="1149"/>
      <c r="P186" s="705"/>
      <c r="Q186" s="707"/>
      <c r="R186" s="706"/>
      <c r="S186" s="706"/>
      <c r="T186" s="706"/>
      <c r="U186" s="706"/>
      <c r="V186" s="706"/>
      <c r="W186" s="706"/>
      <c r="X186" s="706"/>
      <c r="Y186" s="706"/>
      <c r="Z186" s="706"/>
      <c r="AA186" s="706"/>
      <c r="AB186" s="706"/>
      <c r="AC186" s="706"/>
    </row>
    <row r="187" spans="1:42">
      <c r="A187" s="2155">
        <v>14</v>
      </c>
      <c r="B187" s="2154" t="s">
        <v>287</v>
      </c>
      <c r="C187" s="2155">
        <v>13</v>
      </c>
      <c r="D187" s="2213">
        <f t="shared" si="33"/>
        <v>0</v>
      </c>
      <c r="E187" s="2188"/>
      <c r="F187" s="1171">
        <v>0</v>
      </c>
      <c r="G187" s="2188"/>
      <c r="H187" s="2188">
        <v>0</v>
      </c>
      <c r="I187" s="2222"/>
      <c r="J187" s="2214">
        <f t="shared" si="38"/>
        <v>0</v>
      </c>
      <c r="K187" s="1171">
        <v>0</v>
      </c>
      <c r="L187" s="2189"/>
      <c r="M187" s="1174">
        <v>0</v>
      </c>
      <c r="N187" s="2195">
        <f t="shared" si="35"/>
        <v>0</v>
      </c>
      <c r="O187" s="1149"/>
      <c r="P187" s="705"/>
      <c r="Q187" s="54"/>
      <c r="R187" s="706"/>
      <c r="S187" s="706"/>
      <c r="T187" s="706"/>
      <c r="U187" s="706"/>
      <c r="V187" s="706"/>
      <c r="W187" s="706"/>
      <c r="X187" s="706"/>
      <c r="Y187" s="706"/>
      <c r="Z187" s="706"/>
      <c r="AA187" s="706"/>
      <c r="AB187" s="706"/>
      <c r="AC187" s="706"/>
    </row>
    <row r="188" spans="1:42">
      <c r="A188" s="2155">
        <v>15</v>
      </c>
      <c r="B188" s="2154" t="s">
        <v>288</v>
      </c>
      <c r="C188" s="2161">
        <v>14</v>
      </c>
      <c r="D188" s="2213">
        <f t="shared" si="33"/>
        <v>0</v>
      </c>
      <c r="E188" s="2188"/>
      <c r="F188" s="2188"/>
      <c r="G188" s="2188"/>
      <c r="H188" s="1171">
        <v>0</v>
      </c>
      <c r="I188" s="2222"/>
      <c r="J188" s="2214">
        <f t="shared" si="38"/>
        <v>0</v>
      </c>
      <c r="K188" s="1171">
        <v>0</v>
      </c>
      <c r="L188" s="2189"/>
      <c r="M188" s="1174">
        <v>0</v>
      </c>
      <c r="N188" s="2195">
        <f t="shared" si="35"/>
        <v>0</v>
      </c>
      <c r="O188" s="1149"/>
      <c r="P188" s="705"/>
      <c r="Q188" s="1142"/>
      <c r="R188" s="706"/>
      <c r="S188" s="706"/>
      <c r="T188" s="706"/>
      <c r="U188" s="706"/>
      <c r="V188" s="706"/>
      <c r="W188" s="706"/>
      <c r="X188" s="706"/>
      <c r="Y188" s="706"/>
      <c r="Z188" s="706"/>
      <c r="AA188" s="706"/>
      <c r="AB188" s="706"/>
      <c r="AC188" s="706"/>
    </row>
    <row r="189" spans="1:42">
      <c r="A189" s="2155">
        <v>16</v>
      </c>
      <c r="B189" s="2154" t="s">
        <v>289</v>
      </c>
      <c r="C189" s="2155">
        <v>15</v>
      </c>
      <c r="D189" s="2213">
        <f t="shared" si="33"/>
        <v>35952</v>
      </c>
      <c r="E189" s="2188"/>
      <c r="F189" s="2188"/>
      <c r="G189" s="2188"/>
      <c r="H189" s="1171">
        <v>16551</v>
      </c>
      <c r="I189" s="2222"/>
      <c r="J189" s="2214">
        <f t="shared" si="38"/>
        <v>16551</v>
      </c>
      <c r="K189" s="1171">
        <v>3901</v>
      </c>
      <c r="L189" s="2189"/>
      <c r="M189" s="1174">
        <v>15500</v>
      </c>
      <c r="N189" s="2195">
        <f t="shared" si="35"/>
        <v>19401</v>
      </c>
      <c r="O189" s="1149"/>
      <c r="P189" s="705"/>
      <c r="Q189" s="707"/>
      <c r="R189" s="706"/>
      <c r="S189" s="706"/>
      <c r="T189" s="706"/>
      <c r="U189" s="706"/>
      <c r="V189" s="706"/>
      <c r="W189" s="706"/>
      <c r="X189" s="706"/>
      <c r="Y189" s="706"/>
      <c r="Z189" s="706"/>
      <c r="AA189" s="706"/>
      <c r="AB189" s="706"/>
      <c r="AC189" s="706"/>
    </row>
    <row r="190" spans="1:42">
      <c r="A190" s="2155">
        <v>17</v>
      </c>
      <c r="B190" s="2154" t="s">
        <v>290</v>
      </c>
      <c r="C190" s="2161">
        <v>16</v>
      </c>
      <c r="D190" s="2213">
        <f t="shared" si="33"/>
        <v>96983</v>
      </c>
      <c r="E190" s="2188">
        <v>-133488</v>
      </c>
      <c r="F190" s="2188">
        <v>75817</v>
      </c>
      <c r="G190" s="2188"/>
      <c r="H190" s="1171">
        <v>763</v>
      </c>
      <c r="I190" s="2236"/>
      <c r="J190" s="2214">
        <f t="shared" si="38"/>
        <v>763</v>
      </c>
      <c r="K190" s="1171">
        <v>32966</v>
      </c>
      <c r="L190" s="2189"/>
      <c r="M190" s="1174">
        <v>120925</v>
      </c>
      <c r="N190" s="2195">
        <f t="shared" si="35"/>
        <v>153891</v>
      </c>
      <c r="O190" s="1149"/>
      <c r="P190" s="705"/>
      <c r="Q190" s="1141"/>
      <c r="R190" s="706"/>
      <c r="S190" s="706"/>
      <c r="T190" s="706"/>
      <c r="U190" s="706"/>
      <c r="V190" s="706"/>
      <c r="W190" s="706"/>
      <c r="X190" s="706"/>
      <c r="Y190" s="706"/>
      <c r="Z190" s="706"/>
      <c r="AA190" s="706"/>
      <c r="AB190" s="706"/>
      <c r="AC190" s="706"/>
    </row>
    <row r="191" spans="1:42">
      <c r="A191" s="2155">
        <v>18</v>
      </c>
      <c r="B191" s="2154" t="s">
        <v>291</v>
      </c>
      <c r="C191" s="2155"/>
      <c r="D191" s="2213">
        <f t="shared" si="33"/>
        <v>0</v>
      </c>
      <c r="E191" s="2188"/>
      <c r="F191" s="2188"/>
      <c r="G191" s="2188"/>
      <c r="H191" s="1171">
        <v>0</v>
      </c>
      <c r="I191" s="2222"/>
      <c r="J191" s="2214">
        <f t="shared" si="38"/>
        <v>0</v>
      </c>
      <c r="K191" s="1171">
        <v>0</v>
      </c>
      <c r="L191" s="2189"/>
      <c r="M191" s="1174">
        <v>0</v>
      </c>
      <c r="N191" s="2195">
        <f t="shared" si="35"/>
        <v>0</v>
      </c>
      <c r="O191" s="1149"/>
      <c r="P191" s="705"/>
      <c r="Q191" s="54"/>
      <c r="R191" s="706"/>
      <c r="S191" s="706"/>
      <c r="T191" s="706"/>
      <c r="U191" s="706"/>
      <c r="V191" s="706"/>
      <c r="W191" s="706"/>
      <c r="X191" s="706"/>
      <c r="Y191" s="706"/>
      <c r="Z191" s="706"/>
      <c r="AA191" s="706"/>
      <c r="AB191" s="706"/>
      <c r="AC191" s="706"/>
    </row>
    <row r="192" spans="1:42" ht="13.5" thickBot="1">
      <c r="A192" s="2172">
        <v>19</v>
      </c>
      <c r="B192" s="2173" t="s">
        <v>292</v>
      </c>
      <c r="C192" s="2172"/>
      <c r="D192" s="1388">
        <f t="shared" si="33"/>
        <v>75220</v>
      </c>
      <c r="E192" s="1176"/>
      <c r="F192" s="1176">
        <v>10754</v>
      </c>
      <c r="G192" s="1176"/>
      <c r="H192" s="1175">
        <v>49082</v>
      </c>
      <c r="I192" s="2248"/>
      <c r="J192" s="2215">
        <v>49082</v>
      </c>
      <c r="K192" s="1175">
        <v>0</v>
      </c>
      <c r="L192" s="1208"/>
      <c r="M192" s="1200">
        <v>15384</v>
      </c>
      <c r="N192" s="2215">
        <f t="shared" si="35"/>
        <v>15384</v>
      </c>
      <c r="O192" s="1149"/>
      <c r="P192" s="705"/>
      <c r="Q192" s="707"/>
      <c r="R192" s="706"/>
      <c r="S192" s="706"/>
      <c r="T192" s="706"/>
      <c r="U192" s="706"/>
      <c r="V192" s="706"/>
      <c r="W192" s="706"/>
      <c r="X192" s="706"/>
      <c r="Y192" s="706"/>
      <c r="Z192" s="706"/>
      <c r="AA192" s="706"/>
      <c r="AB192" s="706"/>
      <c r="AC192" s="706"/>
    </row>
    <row r="193" spans="1:42" s="913" customFormat="1" ht="26.25" thickBot="1">
      <c r="A193" s="1351">
        <v>20</v>
      </c>
      <c r="B193" s="1352" t="s">
        <v>293</v>
      </c>
      <c r="C193" s="1351"/>
      <c r="D193" s="1378">
        <f t="shared" si="33"/>
        <v>3337501</v>
      </c>
      <c r="E193" s="1378">
        <f>SUM(E170:E176)+E179+E182+SUM(E187:E192)</f>
        <v>-133488</v>
      </c>
      <c r="F193" s="1378">
        <f>SUM(F170:F176)+F179+F182+SUM(F187:F192)</f>
        <v>609979</v>
      </c>
      <c r="G193" s="1378">
        <f>SUM(G170:G176)+G179+G182+SUM(G187:G192)</f>
        <v>0</v>
      </c>
      <c r="H193" s="1379">
        <f>SUM(H170:H176)+H179+H182+SUM(H187:H192)</f>
        <v>615686</v>
      </c>
      <c r="I193" s="1415">
        <f>SUM(I170:I176)+I179+I182+SUM(I187:I192)</f>
        <v>0</v>
      </c>
      <c r="J193" s="1378">
        <f t="shared" si="38"/>
        <v>615686</v>
      </c>
      <c r="K193" s="1378">
        <f>SUM(K170:K176)+K179+K182+SUM(K187:K192)</f>
        <v>69210</v>
      </c>
      <c r="L193" s="1379">
        <f>SUM(L170:L176)+L179+L182+SUM(L187:L192)</f>
        <v>0</v>
      </c>
      <c r="M193" s="1414">
        <f>SUM(M170:M176)+M179+M182+SUM(M187:M192)</f>
        <v>2176114</v>
      </c>
      <c r="N193" s="1380">
        <f t="shared" si="35"/>
        <v>2245324</v>
      </c>
      <c r="O193" s="1155"/>
      <c r="P193" s="1025"/>
      <c r="Q193" s="710"/>
      <c r="R193" s="1027"/>
      <c r="S193" s="1027"/>
      <c r="T193" s="1027"/>
      <c r="U193" s="1027"/>
      <c r="V193" s="1027"/>
      <c r="W193" s="1027"/>
      <c r="X193" s="1027"/>
      <c r="Y193" s="1027"/>
      <c r="Z193" s="1027"/>
      <c r="AA193" s="1027"/>
      <c r="AB193" s="1027"/>
      <c r="AC193" s="1027"/>
      <c r="AE193" s="1058"/>
      <c r="AF193" s="1058"/>
      <c r="AG193" s="1058"/>
      <c r="AH193" s="1058"/>
      <c r="AI193" s="1058"/>
      <c r="AJ193" s="1058"/>
      <c r="AK193" s="1058"/>
      <c r="AL193" s="1058"/>
      <c r="AM193" s="1058"/>
      <c r="AN193" s="1058"/>
      <c r="AO193" s="1058"/>
      <c r="AP193" s="1058"/>
    </row>
    <row r="194" spans="1:42">
      <c r="A194" s="1346"/>
      <c r="B194" s="1347" t="s">
        <v>294</v>
      </c>
      <c r="C194" s="1346"/>
      <c r="D194" s="1387">
        <f t="shared" si="33"/>
        <v>0</v>
      </c>
      <c r="E194" s="1171"/>
      <c r="F194" s="1171"/>
      <c r="G194" s="1182"/>
      <c r="H194" s="1174"/>
      <c r="I194" s="1194"/>
      <c r="J194" s="1395">
        <f t="shared" si="38"/>
        <v>0</v>
      </c>
      <c r="K194" s="1182"/>
      <c r="L194" s="1196"/>
      <c r="M194" s="1217"/>
      <c r="N194" s="1401">
        <f t="shared" si="35"/>
        <v>0</v>
      </c>
      <c r="O194" s="1149"/>
      <c r="P194" s="705"/>
      <c r="Q194" s="54"/>
      <c r="R194" s="706"/>
      <c r="S194" s="706"/>
      <c r="T194" s="706"/>
      <c r="U194" s="706"/>
      <c r="V194" s="706"/>
      <c r="W194" s="706"/>
      <c r="X194" s="706"/>
      <c r="Y194" s="706"/>
      <c r="Z194" s="706"/>
      <c r="AA194" s="706"/>
      <c r="AB194" s="706"/>
      <c r="AC194" s="706"/>
    </row>
    <row r="195" spans="1:42">
      <c r="A195" s="2155"/>
      <c r="B195" s="2175" t="s">
        <v>295</v>
      </c>
      <c r="C195" s="2155"/>
      <c r="D195" s="2213">
        <f t="shared" si="33"/>
        <v>0</v>
      </c>
      <c r="E195" s="2188"/>
      <c r="F195" s="2188"/>
      <c r="G195" s="2189"/>
      <c r="H195" s="2197"/>
      <c r="I195" s="2222"/>
      <c r="J195" s="2214">
        <f t="shared" si="38"/>
        <v>0</v>
      </c>
      <c r="K195" s="2189"/>
      <c r="L195" s="2238"/>
      <c r="M195" s="2235"/>
      <c r="N195" s="2195">
        <f t="shared" si="35"/>
        <v>0</v>
      </c>
      <c r="O195" s="1149"/>
      <c r="P195" s="705"/>
      <c r="Q195" s="54"/>
      <c r="R195" s="706"/>
      <c r="S195" s="706"/>
      <c r="T195" s="706"/>
      <c r="U195" s="706"/>
      <c r="V195" s="706"/>
      <c r="W195" s="706"/>
      <c r="X195" s="706"/>
      <c r="Y195" s="706"/>
      <c r="Z195" s="706"/>
      <c r="AA195" s="706"/>
      <c r="AB195" s="706"/>
      <c r="AC195" s="706"/>
    </row>
    <row r="196" spans="1:42">
      <c r="A196" s="2155">
        <v>21</v>
      </c>
      <c r="B196" s="2154" t="s">
        <v>296</v>
      </c>
      <c r="C196" s="2161">
        <v>17</v>
      </c>
      <c r="D196" s="2213">
        <f t="shared" si="33"/>
        <v>2536701</v>
      </c>
      <c r="E196" s="2188"/>
      <c r="F196" s="2188">
        <v>0</v>
      </c>
      <c r="G196" s="2188"/>
      <c r="H196" s="2188">
        <v>398150</v>
      </c>
      <c r="I196" s="2222"/>
      <c r="J196" s="2214">
        <f t="shared" si="38"/>
        <v>398150</v>
      </c>
      <c r="K196" s="2189">
        <v>19473</v>
      </c>
      <c r="L196" s="2190"/>
      <c r="M196" s="2235">
        <v>2119078</v>
      </c>
      <c r="N196" s="2195">
        <f t="shared" si="35"/>
        <v>2138551</v>
      </c>
      <c r="O196" s="1149"/>
      <c r="P196" s="705"/>
      <c r="Q196" s="1141"/>
      <c r="R196" s="706"/>
      <c r="S196" s="706"/>
      <c r="T196" s="706"/>
      <c r="U196" s="706"/>
      <c r="V196" s="706"/>
      <c r="W196" s="706"/>
      <c r="X196" s="706"/>
      <c r="Y196" s="706"/>
      <c r="Z196" s="706"/>
      <c r="AA196" s="706"/>
      <c r="AB196" s="706"/>
      <c r="AC196" s="706"/>
    </row>
    <row r="197" spans="1:42">
      <c r="A197" s="2155">
        <v>22</v>
      </c>
      <c r="B197" s="2154" t="s">
        <v>297</v>
      </c>
      <c r="C197" s="2155"/>
      <c r="D197" s="2213">
        <f t="shared" si="33"/>
        <v>14711</v>
      </c>
      <c r="E197" s="2188"/>
      <c r="F197" s="1171">
        <v>14711</v>
      </c>
      <c r="G197" s="2188"/>
      <c r="H197" s="1174">
        <v>0</v>
      </c>
      <c r="I197" s="2222"/>
      <c r="J197" s="2214">
        <f t="shared" si="38"/>
        <v>0</v>
      </c>
      <c r="K197" s="1182">
        <v>0</v>
      </c>
      <c r="L197" s="2190"/>
      <c r="M197" s="2235"/>
      <c r="N197" s="2195">
        <f t="shared" si="35"/>
        <v>0</v>
      </c>
      <c r="O197" s="1149"/>
      <c r="P197" s="705"/>
      <c r="Q197" s="707"/>
      <c r="R197" s="706"/>
      <c r="S197" s="706"/>
      <c r="T197" s="706"/>
      <c r="U197" s="706"/>
      <c r="V197" s="706"/>
      <c r="W197" s="706"/>
      <c r="X197" s="706"/>
      <c r="Y197" s="706"/>
      <c r="Z197" s="706"/>
      <c r="AA197" s="706"/>
      <c r="AB197" s="706"/>
      <c r="AC197" s="706"/>
    </row>
    <row r="198" spans="1:42">
      <c r="A198" s="2155">
        <v>23</v>
      </c>
      <c r="B198" s="2154" t="s">
        <v>298</v>
      </c>
      <c r="C198" s="2155">
        <v>18</v>
      </c>
      <c r="D198" s="2213">
        <f t="shared" si="33"/>
        <v>83408</v>
      </c>
      <c r="E198" s="2188"/>
      <c r="F198" s="1171">
        <v>0</v>
      </c>
      <c r="G198" s="2188"/>
      <c r="H198" s="1174">
        <v>45719</v>
      </c>
      <c r="I198" s="2222"/>
      <c r="J198" s="2214">
        <f t="shared" si="38"/>
        <v>45719</v>
      </c>
      <c r="K198" s="1182">
        <v>37689</v>
      </c>
      <c r="L198" s="2190"/>
      <c r="M198" s="2235"/>
      <c r="N198" s="2195">
        <f t="shared" si="35"/>
        <v>37689</v>
      </c>
      <c r="O198" s="1149"/>
      <c r="P198" s="705"/>
      <c r="Q198" s="707"/>
      <c r="R198" s="706"/>
      <c r="S198" s="706"/>
      <c r="T198" s="706"/>
      <c r="U198" s="706"/>
      <c r="V198" s="706"/>
      <c r="W198" s="706"/>
      <c r="X198" s="706"/>
      <c r="Y198" s="706"/>
      <c r="Z198" s="706"/>
      <c r="AA198" s="706"/>
      <c r="AB198" s="706"/>
      <c r="AC198" s="706"/>
    </row>
    <row r="199" spans="1:42">
      <c r="A199" s="2155">
        <v>24</v>
      </c>
      <c r="B199" s="2154" t="s">
        <v>299</v>
      </c>
      <c r="C199" s="2155"/>
      <c r="D199" s="2213">
        <f t="shared" si="33"/>
        <v>0</v>
      </c>
      <c r="E199" s="2188"/>
      <c r="F199" s="1171">
        <v>0</v>
      </c>
      <c r="G199" s="2188"/>
      <c r="H199" s="2193"/>
      <c r="I199" s="2222"/>
      <c r="J199" s="2214">
        <f t="shared" si="38"/>
        <v>0</v>
      </c>
      <c r="K199" s="2189"/>
      <c r="L199" s="2190"/>
      <c r="M199" s="2235"/>
      <c r="N199" s="2195">
        <f t="shared" si="35"/>
        <v>0</v>
      </c>
      <c r="O199" s="1149"/>
      <c r="P199" s="705"/>
      <c r="Q199" s="54"/>
      <c r="R199" s="706"/>
      <c r="S199" s="706"/>
      <c r="T199" s="706"/>
      <c r="U199" s="706"/>
      <c r="V199" s="706"/>
      <c r="W199" s="706"/>
      <c r="X199" s="706"/>
      <c r="Y199" s="706"/>
      <c r="Z199" s="706"/>
      <c r="AA199" s="706"/>
      <c r="AB199" s="706"/>
      <c r="AC199" s="706"/>
    </row>
    <row r="200" spans="1:42">
      <c r="A200" s="2155">
        <v>25</v>
      </c>
      <c r="B200" s="2176" t="s">
        <v>300</v>
      </c>
      <c r="C200" s="2155"/>
      <c r="D200" s="2213">
        <f t="shared" si="33"/>
        <v>88005</v>
      </c>
      <c r="E200" s="2188"/>
      <c r="F200" s="2188">
        <v>88005</v>
      </c>
      <c r="G200" s="2188"/>
      <c r="H200" s="2193"/>
      <c r="I200" s="2222"/>
      <c r="J200" s="2214">
        <f t="shared" si="38"/>
        <v>0</v>
      </c>
      <c r="K200" s="2189"/>
      <c r="L200" s="2190"/>
      <c r="M200" s="2235"/>
      <c r="N200" s="2195">
        <f t="shared" si="35"/>
        <v>0</v>
      </c>
      <c r="O200" s="1149"/>
      <c r="P200" s="705"/>
      <c r="Q200" s="707"/>
      <c r="R200" s="706"/>
      <c r="S200" s="706"/>
      <c r="T200" s="706"/>
      <c r="U200" s="706"/>
      <c r="V200" s="706"/>
      <c r="W200" s="706"/>
      <c r="X200" s="706"/>
      <c r="Y200" s="706"/>
      <c r="Z200" s="706"/>
      <c r="AA200" s="706"/>
      <c r="AB200" s="706"/>
      <c r="AC200" s="706"/>
    </row>
    <row r="201" spans="1:42" ht="13.5" thickBot="1">
      <c r="A201" s="2172">
        <v>26</v>
      </c>
      <c r="B201" s="2173" t="s">
        <v>301</v>
      </c>
      <c r="C201" s="2177">
        <v>19</v>
      </c>
      <c r="D201" s="2213">
        <f>+E201+F201+J201+N201</f>
        <v>141223</v>
      </c>
      <c r="E201" s="2188">
        <v>-133488</v>
      </c>
      <c r="F201" s="1216">
        <v>48210</v>
      </c>
      <c r="G201" s="2188"/>
      <c r="H201" s="1208">
        <v>162548</v>
      </c>
      <c r="I201" s="2247"/>
      <c r="J201" s="2214">
        <f t="shared" si="38"/>
        <v>162548</v>
      </c>
      <c r="K201" s="2189">
        <v>12048</v>
      </c>
      <c r="L201" s="2190"/>
      <c r="M201" s="1218">
        <v>51905</v>
      </c>
      <c r="N201" s="2195">
        <f t="shared" si="35"/>
        <v>63953</v>
      </c>
      <c r="O201" s="1149"/>
      <c r="P201" s="705"/>
      <c r="Q201" s="1141"/>
      <c r="R201" s="706"/>
      <c r="S201" s="706"/>
      <c r="T201" s="706"/>
      <c r="U201" s="706"/>
      <c r="V201" s="706"/>
      <c r="W201" s="706"/>
      <c r="X201" s="706"/>
      <c r="Y201" s="706"/>
      <c r="Z201" s="706"/>
      <c r="AA201" s="706"/>
      <c r="AB201" s="706"/>
      <c r="AC201" s="706"/>
    </row>
    <row r="202" spans="1:42" s="913" customFormat="1" ht="39.75" customHeight="1" thickBot="1">
      <c r="A202" s="1348">
        <v>27</v>
      </c>
      <c r="B202" s="1349" t="s">
        <v>302</v>
      </c>
      <c r="C202" s="1348"/>
      <c r="D202" s="1389">
        <f>+E202+F202+J202+N202</f>
        <v>2864048</v>
      </c>
      <c r="E202" s="1181">
        <f>SUM(E196:E201)</f>
        <v>-133488</v>
      </c>
      <c r="F202" s="1181">
        <f>SUM(F196:F201)</f>
        <v>150926</v>
      </c>
      <c r="G202" s="1181">
        <f>SUM(G196:G201)</f>
        <v>0</v>
      </c>
      <c r="H202" s="1185">
        <f>SUM(H196:H201)</f>
        <v>606417</v>
      </c>
      <c r="I202" s="1212">
        <f>SUM(I196:I201)</f>
        <v>0</v>
      </c>
      <c r="J202" s="1394">
        <f>G202+H202+I202</f>
        <v>606417</v>
      </c>
      <c r="K202" s="1181">
        <f>SUM(K196:K201)</f>
        <v>69210</v>
      </c>
      <c r="L202" s="1181">
        <f>SUM(L196:L201)</f>
        <v>0</v>
      </c>
      <c r="M202" s="1219">
        <f>SUM(M196:M201)</f>
        <v>2170983</v>
      </c>
      <c r="N202" s="1400">
        <f>K202+L202+M202</f>
        <v>2240193</v>
      </c>
      <c r="O202" s="1155"/>
      <c r="P202" s="1025"/>
      <c r="Q202" s="710"/>
      <c r="R202" s="1027"/>
      <c r="S202" s="1027"/>
      <c r="T202" s="1027"/>
      <c r="U202" s="1027"/>
      <c r="V202" s="1027"/>
      <c r="W202" s="1027"/>
      <c r="X202" s="1027"/>
      <c r="Y202" s="1027"/>
      <c r="Z202" s="1027"/>
      <c r="AA202" s="1027"/>
      <c r="AB202" s="1027"/>
      <c r="AC202" s="1027"/>
      <c r="AE202" s="1058"/>
      <c r="AF202" s="1058"/>
      <c r="AG202" s="1058"/>
      <c r="AH202" s="1058"/>
      <c r="AI202" s="1058"/>
      <c r="AJ202" s="1058"/>
      <c r="AK202" s="1058"/>
      <c r="AL202" s="1058"/>
      <c r="AM202" s="1058"/>
      <c r="AN202" s="1058"/>
      <c r="AO202" s="1058"/>
      <c r="AP202" s="1058"/>
    </row>
    <row r="203" spans="1:42">
      <c r="A203" s="1346"/>
      <c r="B203" s="1347" t="s">
        <v>303</v>
      </c>
      <c r="C203" s="1346">
        <v>20</v>
      </c>
      <c r="D203" s="1387">
        <f t="shared" si="33"/>
        <v>0</v>
      </c>
      <c r="E203" s="1171"/>
      <c r="F203" s="1171"/>
      <c r="G203" s="1182"/>
      <c r="H203" s="1174"/>
      <c r="I203" s="1194"/>
      <c r="J203" s="1395"/>
      <c r="K203" s="1182"/>
      <c r="L203" s="1196"/>
      <c r="M203" s="1220"/>
      <c r="N203" s="1401">
        <f t="shared" si="35"/>
        <v>0</v>
      </c>
      <c r="O203" s="1149"/>
      <c r="P203" s="705"/>
      <c r="Q203" s="54"/>
      <c r="R203" s="706"/>
      <c r="S203" s="706"/>
      <c r="T203" s="706"/>
      <c r="U203" s="706"/>
      <c r="V203" s="706"/>
      <c r="W203" s="706"/>
      <c r="X203" s="706"/>
      <c r="Y203" s="706"/>
      <c r="Z203" s="706"/>
      <c r="AA203" s="706"/>
      <c r="AB203" s="706"/>
      <c r="AC203" s="706"/>
    </row>
    <row r="204" spans="1:42">
      <c r="A204" s="2155">
        <v>28</v>
      </c>
      <c r="B204" s="2154" t="s">
        <v>304</v>
      </c>
      <c r="C204" s="2161"/>
      <c r="D204" s="2213">
        <f t="shared" si="33"/>
        <v>500000</v>
      </c>
      <c r="E204" s="2188"/>
      <c r="F204" s="2188">
        <v>500000</v>
      </c>
      <c r="G204" s="2188"/>
      <c r="H204" s="2188">
        <v>0</v>
      </c>
      <c r="I204" s="2222"/>
      <c r="J204" s="2214">
        <f t="shared" ref="J204:J209" si="39">G204+H204+I204</f>
        <v>0</v>
      </c>
      <c r="K204" s="2189"/>
      <c r="L204" s="2190"/>
      <c r="M204" s="2220">
        <v>0</v>
      </c>
      <c r="N204" s="2195">
        <f t="shared" si="35"/>
        <v>0</v>
      </c>
      <c r="O204" s="1149"/>
      <c r="P204" s="705"/>
      <c r="Q204" s="1141"/>
      <c r="R204" s="706"/>
      <c r="S204" s="706"/>
      <c r="T204" s="706"/>
      <c r="U204" s="706"/>
      <c r="V204" s="706"/>
      <c r="W204" s="706"/>
      <c r="X204" s="706"/>
      <c r="Y204" s="706"/>
      <c r="Z204" s="706"/>
      <c r="AA204" s="706"/>
      <c r="AB204" s="706"/>
      <c r="AC204" s="706"/>
    </row>
    <row r="205" spans="1:42">
      <c r="A205" s="2155">
        <v>29</v>
      </c>
      <c r="B205" s="2154" t="s">
        <v>305</v>
      </c>
      <c r="C205" s="2161"/>
      <c r="D205" s="2213">
        <f t="shared" si="33"/>
        <v>14399</v>
      </c>
      <c r="E205" s="2188"/>
      <c r="F205" s="1171">
        <v>0</v>
      </c>
      <c r="G205" s="2188"/>
      <c r="H205" s="1171">
        <v>9268</v>
      </c>
      <c r="I205" s="2222"/>
      <c r="J205" s="2214">
        <f t="shared" si="39"/>
        <v>9268</v>
      </c>
      <c r="K205" s="2189"/>
      <c r="L205" s="2190"/>
      <c r="M205" s="1201">
        <v>5131</v>
      </c>
      <c r="N205" s="2195">
        <f t="shared" si="35"/>
        <v>5131</v>
      </c>
      <c r="O205" s="1149"/>
      <c r="P205" s="705"/>
      <c r="Q205" s="1141"/>
      <c r="R205" s="706"/>
      <c r="S205" s="706"/>
      <c r="T205" s="706"/>
      <c r="U205" s="706"/>
      <c r="V205" s="706"/>
      <c r="W205" s="706"/>
      <c r="X205" s="706"/>
      <c r="Y205" s="706"/>
      <c r="Z205" s="706"/>
      <c r="AA205" s="706"/>
      <c r="AB205" s="706"/>
      <c r="AC205" s="706"/>
    </row>
    <row r="206" spans="1:42">
      <c r="A206" s="2155">
        <v>30</v>
      </c>
      <c r="B206" s="2173" t="s">
        <v>306</v>
      </c>
      <c r="C206" s="2177"/>
      <c r="D206" s="2213">
        <f t="shared" si="33"/>
        <v>2545</v>
      </c>
      <c r="E206" s="2188"/>
      <c r="F206" s="1171">
        <v>2545</v>
      </c>
      <c r="G206" s="2188"/>
      <c r="H206" s="1200">
        <v>0</v>
      </c>
      <c r="I206" s="2222"/>
      <c r="J206" s="2214">
        <f t="shared" si="39"/>
        <v>0</v>
      </c>
      <c r="K206" s="2189"/>
      <c r="L206" s="2190"/>
      <c r="M206" s="1221">
        <v>0</v>
      </c>
      <c r="N206" s="2195">
        <f t="shared" si="35"/>
        <v>0</v>
      </c>
      <c r="O206" s="1149"/>
      <c r="P206" s="705"/>
      <c r="Q206" s="1141"/>
      <c r="R206" s="706"/>
      <c r="S206" s="706"/>
      <c r="T206" s="706"/>
      <c r="U206" s="706"/>
      <c r="V206" s="706"/>
      <c r="W206" s="706"/>
      <c r="X206" s="706"/>
      <c r="Y206" s="706"/>
      <c r="Z206" s="706"/>
      <c r="AA206" s="706"/>
      <c r="AB206" s="706"/>
      <c r="AC206" s="706"/>
    </row>
    <row r="207" spans="1:42">
      <c r="A207" s="2155">
        <v>31</v>
      </c>
      <c r="B207" s="2154" t="s">
        <v>307</v>
      </c>
      <c r="C207" s="2177"/>
      <c r="D207" s="2213">
        <f t="shared" si="33"/>
        <v>0</v>
      </c>
      <c r="E207" s="2188"/>
      <c r="F207" s="1171">
        <v>0</v>
      </c>
      <c r="G207" s="2188"/>
      <c r="H207" s="2210">
        <v>0</v>
      </c>
      <c r="I207" s="2222"/>
      <c r="J207" s="2214">
        <f t="shared" si="39"/>
        <v>0</v>
      </c>
      <c r="K207" s="2189"/>
      <c r="L207" s="2190"/>
      <c r="M207" s="2246">
        <v>0</v>
      </c>
      <c r="N207" s="2195">
        <f t="shared" si="35"/>
        <v>0</v>
      </c>
      <c r="O207" s="1149"/>
      <c r="P207" s="705"/>
      <c r="Q207" s="1142"/>
      <c r="R207" s="706"/>
      <c r="S207" s="706"/>
      <c r="T207" s="706"/>
      <c r="U207" s="706"/>
      <c r="V207" s="706"/>
      <c r="W207" s="706"/>
      <c r="X207" s="706"/>
      <c r="Y207" s="706"/>
      <c r="Z207" s="706"/>
      <c r="AA207" s="706"/>
      <c r="AB207" s="706"/>
      <c r="AC207" s="706"/>
    </row>
    <row r="208" spans="1:42" ht="13.5" thickBot="1">
      <c r="A208" s="2172">
        <v>32</v>
      </c>
      <c r="B208" s="2173" t="s">
        <v>308</v>
      </c>
      <c r="C208" s="2177"/>
      <c r="D208" s="1388">
        <f t="shared" si="33"/>
        <v>-43490</v>
      </c>
      <c r="E208" s="1176"/>
      <c r="F208" s="1175">
        <v>-43490</v>
      </c>
      <c r="G208" s="1176"/>
      <c r="H208" s="2210">
        <v>0</v>
      </c>
      <c r="I208" s="2248"/>
      <c r="J208" s="1396">
        <f t="shared" si="39"/>
        <v>0</v>
      </c>
      <c r="K208" s="1208"/>
      <c r="L208" s="1209"/>
      <c r="M208" s="2251">
        <v>0</v>
      </c>
      <c r="N208" s="2215">
        <f t="shared" si="35"/>
        <v>0</v>
      </c>
      <c r="O208" s="1149"/>
      <c r="P208" s="705"/>
      <c r="Q208" s="1141"/>
      <c r="R208" s="706"/>
      <c r="S208" s="706"/>
      <c r="T208" s="706"/>
      <c r="U208" s="706"/>
      <c r="V208" s="706"/>
      <c r="W208" s="706"/>
      <c r="X208" s="706"/>
      <c r="Y208" s="706"/>
      <c r="Z208" s="706"/>
      <c r="AA208" s="706"/>
      <c r="AB208" s="706"/>
      <c r="AC208" s="706"/>
    </row>
    <row r="209" spans="1:42" s="913" customFormat="1" ht="13.5" thickBot="1">
      <c r="A209" s="1348">
        <v>33</v>
      </c>
      <c r="B209" s="1350" t="s">
        <v>309</v>
      </c>
      <c r="C209" s="1348"/>
      <c r="D209" s="1391">
        <f t="shared" si="33"/>
        <v>473454</v>
      </c>
      <c r="E209" s="1189">
        <f>SUM(E204:E208)</f>
        <v>0</v>
      </c>
      <c r="F209" s="1189">
        <f>SUM(F204:F208)</f>
        <v>459055</v>
      </c>
      <c r="G209" s="1189">
        <f>SUM(G204:G208)</f>
        <v>0</v>
      </c>
      <c r="H209" s="1190">
        <f>SUM(H204:H208)</f>
        <v>9268</v>
      </c>
      <c r="I209" s="1207">
        <f>SUM(I204:I208)</f>
        <v>0</v>
      </c>
      <c r="J209" s="1398">
        <f t="shared" si="39"/>
        <v>9268</v>
      </c>
      <c r="K209" s="1189">
        <f>SUM(K204:K208)</f>
        <v>0</v>
      </c>
      <c r="L209" s="1189">
        <f>SUM(L204:L208)</f>
        <v>0</v>
      </c>
      <c r="M209" s="1190">
        <f>SUM(M204:M208)</f>
        <v>5131</v>
      </c>
      <c r="N209" s="1403">
        <f t="shared" si="35"/>
        <v>5131</v>
      </c>
      <c r="O209" s="1155"/>
      <c r="P209" s="1025"/>
      <c r="Q209" s="710"/>
      <c r="R209" s="1027"/>
      <c r="S209" s="1027"/>
      <c r="T209" s="1027"/>
      <c r="U209" s="1027"/>
      <c r="V209" s="1027"/>
      <c r="W209" s="1027"/>
      <c r="X209" s="1027"/>
      <c r="Y209" s="1027"/>
      <c r="Z209" s="1027"/>
      <c r="AA209" s="1027"/>
      <c r="AB209" s="1027"/>
      <c r="AC209" s="1027"/>
      <c r="AE209" s="1058"/>
      <c r="AF209" s="1058"/>
      <c r="AG209" s="1058"/>
      <c r="AH209" s="1058"/>
      <c r="AI209" s="1058"/>
      <c r="AJ209" s="1058"/>
      <c r="AK209" s="1058"/>
      <c r="AL209" s="1058"/>
      <c r="AM209" s="1058"/>
      <c r="AN209" s="1058"/>
      <c r="AO209" s="1058"/>
      <c r="AP209" s="1058"/>
    </row>
    <row r="210" spans="1:42" s="913" customFormat="1" ht="26.25" thickBot="1">
      <c r="A210" s="1418">
        <v>34</v>
      </c>
      <c r="B210" s="1352" t="s">
        <v>310</v>
      </c>
      <c r="C210" s="1351"/>
      <c r="D210" s="1381">
        <f>+E210+F210+J210+N210</f>
        <v>3337502</v>
      </c>
      <c r="E210" s="1381">
        <f>E209+E202</f>
        <v>-133488</v>
      </c>
      <c r="F210" s="1381">
        <f>F209+F202</f>
        <v>609981</v>
      </c>
      <c r="G210" s="1381">
        <f>G209+G202</f>
        <v>0</v>
      </c>
      <c r="H210" s="1381">
        <f>H209+H202</f>
        <v>615685</v>
      </c>
      <c r="I210" s="1419">
        <f>I209+I202</f>
        <v>0</v>
      </c>
      <c r="J210" s="1381">
        <f>G210+H210+I210</f>
        <v>615685</v>
      </c>
      <c r="K210" s="1381">
        <f>K209+K202</f>
        <v>69210</v>
      </c>
      <c r="L210" s="1381">
        <f>L209+L202</f>
        <v>0</v>
      </c>
      <c r="M210" s="1382">
        <f>M209+M202</f>
        <v>2176114</v>
      </c>
      <c r="N210" s="1383">
        <f t="shared" si="35"/>
        <v>2245324</v>
      </c>
      <c r="O210" s="1155"/>
      <c r="P210" s="1025"/>
      <c r="Q210" s="710"/>
      <c r="R210" s="1027"/>
      <c r="S210" s="1027"/>
      <c r="T210" s="1027"/>
      <c r="U210" s="1027"/>
      <c r="V210" s="1027"/>
      <c r="W210" s="1027"/>
      <c r="X210" s="1027"/>
      <c r="Y210" s="1027"/>
      <c r="Z210" s="1027"/>
      <c r="AA210" s="1027"/>
      <c r="AB210" s="1027"/>
      <c r="AC210" s="1027"/>
      <c r="AE210" s="1058"/>
      <c r="AF210" s="1058"/>
      <c r="AG210" s="1058"/>
      <c r="AH210" s="1058"/>
      <c r="AI210" s="1058"/>
      <c r="AJ210" s="1058"/>
      <c r="AK210" s="1058"/>
      <c r="AL210" s="1058"/>
      <c r="AM210" s="1058"/>
      <c r="AN210" s="1058"/>
      <c r="AO210" s="1058"/>
      <c r="AP210" s="1058"/>
    </row>
    <row r="212" spans="1:42">
      <c r="B212" s="680"/>
      <c r="D212" s="679"/>
      <c r="E212" s="679"/>
      <c r="F212" s="679"/>
      <c r="G212" s="679"/>
      <c r="H212" s="679"/>
      <c r="I212" s="679"/>
      <c r="J212" s="679"/>
      <c r="K212" s="679"/>
      <c r="L212" s="679"/>
      <c r="M212" s="679"/>
      <c r="N212" s="911">
        <v>16</v>
      </c>
      <c r="O212" s="679"/>
    </row>
    <row r="213" spans="1:42">
      <c r="D213" s="679"/>
      <c r="E213" s="679"/>
      <c r="F213" s="679"/>
      <c r="G213" s="679"/>
      <c r="H213" s="679"/>
      <c r="I213" s="679"/>
      <c r="J213" s="679"/>
      <c r="K213" s="679"/>
      <c r="L213" s="679"/>
      <c r="M213" s="679"/>
      <c r="N213" s="679"/>
      <c r="O213" s="679"/>
      <c r="P213" s="679"/>
      <c r="Q213" s="679"/>
    </row>
    <row r="214" spans="1:42" ht="13.5" thickBot="1">
      <c r="E214" s="679"/>
      <c r="F214" s="679"/>
      <c r="G214" s="679"/>
      <c r="H214" s="679"/>
      <c r="I214" s="679"/>
      <c r="J214" s="679"/>
      <c r="K214" s="679"/>
      <c r="L214" s="679"/>
      <c r="M214" s="679"/>
      <c r="N214" s="679"/>
    </row>
    <row r="215" spans="1:42" ht="15.75" customHeight="1" thickBot="1">
      <c r="A215" s="1368" t="s">
        <v>176</v>
      </c>
      <c r="B215" s="3533" t="s">
        <v>314</v>
      </c>
      <c r="C215" s="3534"/>
      <c r="D215" s="411"/>
      <c r="E215" s="679"/>
      <c r="F215" s="679"/>
      <c r="G215" s="679"/>
      <c r="H215" s="679"/>
      <c r="I215" s="679"/>
      <c r="J215" s="679"/>
      <c r="K215" s="679"/>
      <c r="L215" s="679"/>
      <c r="M215" s="3538" t="s">
        <v>251</v>
      </c>
      <c r="N215" s="3538"/>
      <c r="O215" s="1148"/>
    </row>
    <row r="216" spans="1:42" ht="18" customHeight="1" thickBot="1">
      <c r="A216" s="3512" t="s">
        <v>252</v>
      </c>
      <c r="B216" s="3515"/>
      <c r="C216" s="3523" t="s">
        <v>254</v>
      </c>
      <c r="D216" s="3548" t="s">
        <v>255</v>
      </c>
      <c r="E216" s="3551" t="s">
        <v>256</v>
      </c>
      <c r="F216" s="3518" t="s">
        <v>257</v>
      </c>
      <c r="G216" s="3529" t="s">
        <v>258</v>
      </c>
      <c r="H216" s="3530"/>
      <c r="I216" s="3530"/>
      <c r="J216" s="3530"/>
      <c r="K216" s="3530"/>
      <c r="L216" s="3530"/>
      <c r="M216" s="3530"/>
      <c r="N216" s="3531"/>
      <c r="O216" s="409"/>
    </row>
    <row r="217" spans="1:42" ht="18" customHeight="1" thickBot="1">
      <c r="A217" s="3513"/>
      <c r="B217" s="3516"/>
      <c r="C217" s="3524"/>
      <c r="D217" s="3549"/>
      <c r="E217" s="3552"/>
      <c r="F217" s="3520"/>
      <c r="G217" s="3529" t="s">
        <v>259</v>
      </c>
      <c r="H217" s="3530"/>
      <c r="I217" s="3530"/>
      <c r="J217" s="3531"/>
      <c r="K217" s="3529" t="s">
        <v>260</v>
      </c>
      <c r="L217" s="3530"/>
      <c r="M217" s="3530"/>
      <c r="N217" s="3531"/>
      <c r="O217" s="443"/>
    </row>
    <row r="218" spans="1:42" ht="39" thickBot="1">
      <c r="A218" s="3513"/>
      <c r="B218" s="3516"/>
      <c r="C218" s="3524"/>
      <c r="D218" s="3550"/>
      <c r="E218" s="3553"/>
      <c r="F218" s="3519"/>
      <c r="G218" s="1336" t="s">
        <v>261</v>
      </c>
      <c r="H218" s="1336" t="s">
        <v>262</v>
      </c>
      <c r="I218" s="1336" t="s">
        <v>263</v>
      </c>
      <c r="J218" s="1339" t="s">
        <v>158</v>
      </c>
      <c r="K218" s="1337" t="s">
        <v>264</v>
      </c>
      <c r="L218" s="1337" t="s">
        <v>265</v>
      </c>
      <c r="M218" s="1337" t="s">
        <v>266</v>
      </c>
      <c r="N218" s="1404" t="s">
        <v>158</v>
      </c>
      <c r="O218" s="443"/>
    </row>
    <row r="219" spans="1:42" ht="13.5" thickBot="1">
      <c r="A219" s="3513"/>
      <c r="B219" s="3516"/>
      <c r="C219" s="3524"/>
      <c r="D219" s="1344">
        <v>1</v>
      </c>
      <c r="E219" s="3518">
        <v>2</v>
      </c>
      <c r="F219" s="3518">
        <v>3</v>
      </c>
      <c r="G219" s="3536">
        <v>4</v>
      </c>
      <c r="H219" s="3518">
        <v>5</v>
      </c>
      <c r="I219" s="3546">
        <v>6</v>
      </c>
      <c r="J219" s="1340">
        <v>7</v>
      </c>
      <c r="K219" s="3551">
        <v>8</v>
      </c>
      <c r="L219" s="3518">
        <v>9</v>
      </c>
      <c r="M219" s="3518">
        <v>10</v>
      </c>
      <c r="N219" s="1341">
        <v>11</v>
      </c>
      <c r="O219" s="409"/>
    </row>
    <row r="220" spans="1:42" ht="15.75" customHeight="1" thickBot="1">
      <c r="A220" s="3514"/>
      <c r="B220" s="3517"/>
      <c r="C220" s="3525"/>
      <c r="D220" s="1344"/>
      <c r="E220" s="3519"/>
      <c r="F220" s="3519"/>
      <c r="G220" s="3545"/>
      <c r="H220" s="3519"/>
      <c r="I220" s="3554"/>
      <c r="J220" s="1372" t="s">
        <v>267</v>
      </c>
      <c r="K220" s="3553"/>
      <c r="L220" s="3519"/>
      <c r="M220" s="3519"/>
      <c r="N220" s="1371" t="s">
        <v>268</v>
      </c>
      <c r="O220" s="703"/>
      <c r="P220" s="703"/>
      <c r="Q220" s="703"/>
    </row>
    <row r="221" spans="1:42">
      <c r="A221" s="1346"/>
      <c r="B221" s="1347" t="s">
        <v>269</v>
      </c>
      <c r="C221" s="1346"/>
      <c r="D221" s="2152"/>
      <c r="E221" s="1150"/>
      <c r="F221" s="1150"/>
      <c r="G221" s="932"/>
      <c r="H221" s="1124"/>
      <c r="I221" s="1164"/>
      <c r="J221" s="1424"/>
      <c r="K221" s="1088"/>
      <c r="L221" s="1089"/>
      <c r="M221" s="1016"/>
      <c r="N221" s="2216"/>
      <c r="Q221" s="61"/>
      <c r="R221" s="706"/>
    </row>
    <row r="222" spans="1:42">
      <c r="A222" s="2153">
        <v>1</v>
      </c>
      <c r="B222" s="2154" t="s">
        <v>270</v>
      </c>
      <c r="C222" s="2155"/>
      <c r="D222" s="2156">
        <f>+E222+F222+J222+N222</f>
        <v>0</v>
      </c>
      <c r="E222" s="2188"/>
      <c r="F222" s="2188"/>
      <c r="G222" s="2190"/>
      <c r="H222" s="2194"/>
      <c r="I222" s="2193"/>
      <c r="J222" s="2160">
        <f>G222+H222+I222</f>
        <v>0</v>
      </c>
      <c r="K222" s="2157"/>
      <c r="L222" s="2157"/>
      <c r="M222" s="2184"/>
      <c r="N222" s="2158">
        <f>K222+L222+M222</f>
        <v>0</v>
      </c>
      <c r="O222" s="1149"/>
      <c r="P222" s="705"/>
      <c r="Q222" s="54"/>
      <c r="R222" s="706"/>
      <c r="S222" s="706"/>
      <c r="T222" s="706"/>
      <c r="U222" s="706"/>
      <c r="V222" s="706"/>
      <c r="W222" s="706"/>
      <c r="X222" s="706"/>
      <c r="Y222" s="706"/>
      <c r="Z222" s="706"/>
      <c r="AA222" s="706"/>
      <c r="AB222" s="706"/>
      <c r="AC222" s="706"/>
    </row>
    <row r="223" spans="1:42">
      <c r="A223" s="2153">
        <v>2</v>
      </c>
      <c r="B223" s="2154" t="s">
        <v>271</v>
      </c>
      <c r="C223" s="2155"/>
      <c r="D223" s="2156">
        <f t="shared" ref="D223:D261" si="40">+E223+F223+J223+N223</f>
        <v>586.84351000000015</v>
      </c>
      <c r="E223" s="2188"/>
      <c r="F223" s="2188"/>
      <c r="G223" s="2190"/>
      <c r="H223" s="2194">
        <v>410.49703524500018</v>
      </c>
      <c r="I223" s="2193">
        <v>176.34647475500003</v>
      </c>
      <c r="J223" s="2160">
        <f t="shared" ref="J223:J233" si="41">G223+H223+I223</f>
        <v>586.84351000000015</v>
      </c>
      <c r="K223" s="2157"/>
      <c r="L223" s="2157"/>
      <c r="M223" s="2184"/>
      <c r="N223" s="2158">
        <f t="shared" ref="N223:N262" si="42">K223+L223+M223</f>
        <v>0</v>
      </c>
      <c r="O223" s="1149"/>
      <c r="P223" s="705"/>
      <c r="Q223" s="54"/>
      <c r="R223" s="706"/>
      <c r="S223" s="706"/>
      <c r="T223" s="706"/>
      <c r="U223" s="706"/>
      <c r="V223" s="706"/>
      <c r="W223" s="706"/>
      <c r="X223" s="706"/>
      <c r="Y223" s="706"/>
      <c r="Z223" s="706"/>
      <c r="AA223" s="706"/>
      <c r="AB223" s="706"/>
      <c r="AC223" s="706"/>
    </row>
    <row r="224" spans="1:42">
      <c r="A224" s="2153">
        <v>3</v>
      </c>
      <c r="B224" s="2154" t="s">
        <v>272</v>
      </c>
      <c r="C224" s="2155"/>
      <c r="D224" s="2156">
        <f t="shared" si="40"/>
        <v>0</v>
      </c>
      <c r="E224" s="2188"/>
      <c r="F224" s="2188"/>
      <c r="G224" s="2190"/>
      <c r="H224" s="2194"/>
      <c r="I224" s="2193"/>
      <c r="J224" s="2160">
        <f t="shared" si="41"/>
        <v>0</v>
      </c>
      <c r="K224" s="2157"/>
      <c r="L224" s="2157"/>
      <c r="M224" s="2184"/>
      <c r="N224" s="2158">
        <f t="shared" si="42"/>
        <v>0</v>
      </c>
      <c r="O224" s="1149"/>
      <c r="P224" s="705"/>
      <c r="Q224" s="54"/>
      <c r="R224" s="706"/>
      <c r="S224" s="706"/>
      <c r="T224" s="706"/>
      <c r="U224" s="706"/>
      <c r="V224" s="706"/>
      <c r="W224" s="706"/>
      <c r="X224" s="706"/>
      <c r="Y224" s="706"/>
      <c r="Z224" s="706"/>
      <c r="AA224" s="706"/>
      <c r="AB224" s="706"/>
      <c r="AC224" s="706"/>
    </row>
    <row r="225" spans="1:42">
      <c r="A225" s="2153">
        <v>4</v>
      </c>
      <c r="B225" s="2154" t="s">
        <v>315</v>
      </c>
      <c r="C225" s="2155"/>
      <c r="D225" s="2156">
        <f t="shared" si="40"/>
        <v>129675</v>
      </c>
      <c r="E225" s="2188"/>
      <c r="F225" s="2188"/>
      <c r="G225" s="2190"/>
      <c r="H225" s="2194">
        <v>90708</v>
      </c>
      <c r="I225" s="2193">
        <v>38967</v>
      </c>
      <c r="J225" s="2160">
        <f t="shared" si="41"/>
        <v>129675</v>
      </c>
      <c r="K225" s="2157"/>
      <c r="L225" s="2157"/>
      <c r="M225" s="2184"/>
      <c r="N225" s="2158">
        <f t="shared" si="42"/>
        <v>0</v>
      </c>
      <c r="O225" s="1149"/>
      <c r="P225" s="705"/>
      <c r="Q225" s="54"/>
      <c r="R225" s="706"/>
      <c r="S225" s="706"/>
      <c r="T225" s="706"/>
      <c r="U225" s="706"/>
      <c r="V225" s="706"/>
      <c r="W225" s="706"/>
      <c r="X225" s="706"/>
      <c r="Y225" s="706"/>
      <c r="Z225" s="706"/>
      <c r="AA225" s="706"/>
      <c r="AB225" s="706"/>
      <c r="AC225" s="706"/>
    </row>
    <row r="226" spans="1:42" ht="13.5" thickBot="1">
      <c r="A226" s="2153">
        <v>5</v>
      </c>
      <c r="B226" s="2154" t="s">
        <v>274</v>
      </c>
      <c r="C226" s="2161">
        <v>5</v>
      </c>
      <c r="D226" s="2156">
        <f t="shared" si="40"/>
        <v>57691.936780000004</v>
      </c>
      <c r="E226" s="2188"/>
      <c r="F226" s="2188"/>
      <c r="G226" s="2190"/>
      <c r="H226" s="2194">
        <v>40355.509777610001</v>
      </c>
      <c r="I226" s="2193">
        <v>17336.427002390006</v>
      </c>
      <c r="J226" s="1425">
        <f t="shared" si="41"/>
        <v>57691.936780000004</v>
      </c>
      <c r="K226" s="2157"/>
      <c r="L226" s="2157"/>
      <c r="M226" s="2184"/>
      <c r="N226" s="2158">
        <f t="shared" si="42"/>
        <v>0</v>
      </c>
      <c r="O226" s="1149"/>
      <c r="P226" s="705"/>
      <c r="Q226" s="1141"/>
      <c r="R226" s="706"/>
      <c r="S226" s="706"/>
      <c r="T226" s="706"/>
      <c r="U226" s="706"/>
      <c r="V226" s="706"/>
      <c r="W226" s="706"/>
      <c r="X226" s="706"/>
      <c r="Y226" s="706"/>
      <c r="Z226" s="706"/>
      <c r="AA226" s="706"/>
      <c r="AB226" s="706"/>
      <c r="AC226" s="706"/>
    </row>
    <row r="227" spans="1:42">
      <c r="A227" s="2153">
        <v>6</v>
      </c>
      <c r="B227" s="2154" t="s">
        <v>275</v>
      </c>
      <c r="C227" s="2155">
        <v>6</v>
      </c>
      <c r="D227" s="2156">
        <f t="shared" si="40"/>
        <v>0</v>
      </c>
      <c r="E227" s="2157"/>
      <c r="F227" s="2157"/>
      <c r="G227" s="2252"/>
      <c r="H227" s="2184"/>
      <c r="I227" s="2159"/>
      <c r="J227" s="1363">
        <f t="shared" si="41"/>
        <v>0</v>
      </c>
      <c r="K227" s="2157"/>
      <c r="L227" s="2157"/>
      <c r="M227" s="2184"/>
      <c r="N227" s="2158">
        <f t="shared" si="42"/>
        <v>0</v>
      </c>
      <c r="O227" s="1149"/>
      <c r="P227" s="705"/>
      <c r="Q227" s="54"/>
      <c r="R227" s="706"/>
      <c r="S227" s="706"/>
      <c r="T227" s="706"/>
      <c r="U227" s="706"/>
      <c r="V227" s="706"/>
      <c r="W227" s="706"/>
      <c r="X227" s="706"/>
      <c r="Y227" s="706"/>
      <c r="Z227" s="706"/>
      <c r="AA227" s="706"/>
      <c r="AB227" s="706"/>
      <c r="AC227" s="706"/>
    </row>
    <row r="228" spans="1:42">
      <c r="A228" s="2153">
        <v>7</v>
      </c>
      <c r="B228" s="2154" t="s">
        <v>276</v>
      </c>
      <c r="C228" s="2161">
        <v>7</v>
      </c>
      <c r="D228" s="2156">
        <f t="shared" si="40"/>
        <v>0</v>
      </c>
      <c r="E228" s="2157"/>
      <c r="F228" s="2157">
        <f>F229+F230</f>
        <v>0</v>
      </c>
      <c r="G228" s="2159">
        <f t="shared" ref="G228:M228" si="43">G229+G230</f>
        <v>0</v>
      </c>
      <c r="H228" s="2184">
        <f t="shared" si="43"/>
        <v>0</v>
      </c>
      <c r="I228" s="2159">
        <f t="shared" si="43"/>
        <v>0</v>
      </c>
      <c r="J228" s="2160">
        <f t="shared" si="41"/>
        <v>0</v>
      </c>
      <c r="K228" s="2157">
        <f t="shared" si="43"/>
        <v>0</v>
      </c>
      <c r="L228" s="2157">
        <f t="shared" si="43"/>
        <v>0</v>
      </c>
      <c r="M228" s="2184">
        <f t="shared" si="43"/>
        <v>0</v>
      </c>
      <c r="N228" s="2158">
        <f t="shared" si="42"/>
        <v>0</v>
      </c>
      <c r="O228" s="1149"/>
      <c r="P228" s="705"/>
      <c r="Q228" s="1142"/>
      <c r="R228" s="706"/>
      <c r="S228" s="706"/>
      <c r="T228" s="706"/>
      <c r="U228" s="706"/>
      <c r="V228" s="706"/>
      <c r="W228" s="706"/>
      <c r="X228" s="706"/>
      <c r="Y228" s="706"/>
      <c r="Z228" s="706"/>
      <c r="AA228" s="706"/>
      <c r="AB228" s="706"/>
      <c r="AC228" s="706"/>
    </row>
    <row r="229" spans="1:42">
      <c r="A229" s="2155"/>
      <c r="B229" s="2162" t="s">
        <v>277</v>
      </c>
      <c r="C229" s="2161"/>
      <c r="D229" s="2156">
        <f t="shared" si="40"/>
        <v>0</v>
      </c>
      <c r="E229" s="2157"/>
      <c r="F229" s="2157"/>
      <c r="G229" s="2159"/>
      <c r="H229" s="2184"/>
      <c r="I229" s="2159"/>
      <c r="J229" s="2160">
        <f t="shared" si="41"/>
        <v>0</v>
      </c>
      <c r="K229" s="2157"/>
      <c r="L229" s="2157"/>
      <c r="M229" s="2184"/>
      <c r="N229" s="2158">
        <f t="shared" si="42"/>
        <v>0</v>
      </c>
      <c r="O229" s="1149"/>
      <c r="P229" s="705"/>
      <c r="Q229" s="1142"/>
      <c r="R229" s="706"/>
      <c r="S229" s="706"/>
      <c r="T229" s="706"/>
      <c r="U229" s="706"/>
      <c r="V229" s="706"/>
      <c r="W229" s="706"/>
      <c r="X229" s="706"/>
      <c r="Y229" s="706"/>
      <c r="Z229" s="706"/>
      <c r="AA229" s="706"/>
      <c r="AB229" s="706"/>
      <c r="AC229" s="706"/>
    </row>
    <row r="230" spans="1:42">
      <c r="A230" s="2155"/>
      <c r="B230" s="2162" t="s">
        <v>278</v>
      </c>
      <c r="C230" s="2161"/>
      <c r="D230" s="2156">
        <f t="shared" si="40"/>
        <v>0</v>
      </c>
      <c r="E230" s="2157"/>
      <c r="F230" s="2157"/>
      <c r="G230" s="2159"/>
      <c r="H230" s="2184"/>
      <c r="I230" s="2159"/>
      <c r="J230" s="2160">
        <f t="shared" si="41"/>
        <v>0</v>
      </c>
      <c r="K230" s="2157"/>
      <c r="L230" s="2157"/>
      <c r="M230" s="2184"/>
      <c r="N230" s="2158">
        <f t="shared" si="42"/>
        <v>0</v>
      </c>
      <c r="O230" s="1149"/>
      <c r="P230" s="705"/>
      <c r="Q230" s="1142"/>
      <c r="R230" s="706"/>
      <c r="S230" s="706"/>
      <c r="T230" s="706"/>
      <c r="U230" s="706"/>
      <c r="V230" s="706"/>
      <c r="W230" s="706"/>
      <c r="X230" s="706"/>
      <c r="Y230" s="706"/>
      <c r="Z230" s="706"/>
      <c r="AA230" s="706"/>
      <c r="AB230" s="706"/>
      <c r="AC230" s="706"/>
    </row>
    <row r="231" spans="1:42">
      <c r="A231" s="2153">
        <v>8</v>
      </c>
      <c r="B231" s="2154" t="s">
        <v>279</v>
      </c>
      <c r="C231" s="2155">
        <v>8</v>
      </c>
      <c r="D231" s="2156">
        <f t="shared" si="40"/>
        <v>0</v>
      </c>
      <c r="E231" s="2157"/>
      <c r="F231" s="2157">
        <f>F232+F233</f>
        <v>0</v>
      </c>
      <c r="G231" s="2159">
        <f t="shared" ref="G231:M231" si="44">G232+G233</f>
        <v>0</v>
      </c>
      <c r="H231" s="2184">
        <f t="shared" si="44"/>
        <v>0</v>
      </c>
      <c r="I231" s="2159">
        <f t="shared" si="44"/>
        <v>0</v>
      </c>
      <c r="J231" s="2160">
        <f t="shared" si="41"/>
        <v>0</v>
      </c>
      <c r="K231" s="2157">
        <f t="shared" si="44"/>
        <v>0</v>
      </c>
      <c r="L231" s="2157">
        <f t="shared" si="44"/>
        <v>0</v>
      </c>
      <c r="M231" s="2184">
        <f t="shared" si="44"/>
        <v>0</v>
      </c>
      <c r="N231" s="2158">
        <f t="shared" si="42"/>
        <v>0</v>
      </c>
      <c r="O231" s="1149"/>
      <c r="P231" s="705"/>
      <c r="Q231" s="54"/>
      <c r="R231" s="706"/>
      <c r="S231" s="706"/>
      <c r="T231" s="706"/>
      <c r="U231" s="706"/>
      <c r="V231" s="706"/>
      <c r="W231" s="706"/>
      <c r="X231" s="706"/>
      <c r="Y231" s="706"/>
      <c r="Z231" s="706"/>
      <c r="AA231" s="706"/>
      <c r="AB231" s="706"/>
      <c r="AC231" s="706"/>
    </row>
    <row r="232" spans="1:42">
      <c r="A232" s="2153"/>
      <c r="B232" s="2162" t="s">
        <v>280</v>
      </c>
      <c r="C232" s="2155"/>
      <c r="D232" s="2156">
        <f t="shared" si="40"/>
        <v>0</v>
      </c>
      <c r="E232" s="2157"/>
      <c r="F232" s="2157"/>
      <c r="G232" s="2159"/>
      <c r="H232" s="2184"/>
      <c r="I232" s="2159"/>
      <c r="J232" s="2160">
        <f t="shared" si="41"/>
        <v>0</v>
      </c>
      <c r="K232" s="2157"/>
      <c r="L232" s="2157"/>
      <c r="M232" s="2184"/>
      <c r="N232" s="2158">
        <f t="shared" si="42"/>
        <v>0</v>
      </c>
      <c r="O232" s="1149"/>
      <c r="P232" s="705"/>
      <c r="Q232" s="54"/>
      <c r="R232" s="706"/>
      <c r="S232" s="706"/>
      <c r="T232" s="706"/>
      <c r="U232" s="706"/>
      <c r="V232" s="706"/>
      <c r="W232" s="706"/>
      <c r="X232" s="706"/>
      <c r="Y232" s="706"/>
      <c r="Z232" s="706"/>
      <c r="AA232" s="706"/>
      <c r="AB232" s="706"/>
      <c r="AC232" s="706"/>
    </row>
    <row r="233" spans="1:42">
      <c r="A233" s="2153"/>
      <c r="B233" s="2162" t="s">
        <v>281</v>
      </c>
      <c r="C233" s="2155"/>
      <c r="D233" s="2156">
        <f t="shared" si="40"/>
        <v>0</v>
      </c>
      <c r="E233" s="2157"/>
      <c r="F233" s="2157"/>
      <c r="G233" s="2159"/>
      <c r="H233" s="2184"/>
      <c r="I233" s="2159"/>
      <c r="J233" s="2160">
        <f t="shared" si="41"/>
        <v>0</v>
      </c>
      <c r="K233" s="2157"/>
      <c r="L233" s="2157"/>
      <c r="M233" s="2184"/>
      <c r="N233" s="2158">
        <f t="shared" si="42"/>
        <v>0</v>
      </c>
      <c r="O233" s="1149"/>
      <c r="P233" s="705"/>
      <c r="Q233" s="54"/>
      <c r="R233" s="706"/>
      <c r="S233" s="706"/>
      <c r="T233" s="706"/>
      <c r="U233" s="706"/>
      <c r="V233" s="706"/>
      <c r="W233" s="706"/>
      <c r="X233" s="706"/>
      <c r="Y233" s="706"/>
      <c r="Z233" s="706"/>
      <c r="AA233" s="706"/>
      <c r="AB233" s="706"/>
      <c r="AC233" s="706"/>
    </row>
    <row r="234" spans="1:42" s="913" customFormat="1" ht="25.5">
      <c r="A234" s="2163">
        <v>9</v>
      </c>
      <c r="B234" s="2164" t="s">
        <v>282</v>
      </c>
      <c r="C234" s="2165"/>
      <c r="D234" s="2166">
        <f t="shared" si="40"/>
        <v>3470095</v>
      </c>
      <c r="E234" s="2167">
        <f>SUM(E235:E238)</f>
        <v>0</v>
      </c>
      <c r="F234" s="2167">
        <f>SUM(F235:F238)</f>
        <v>1513763</v>
      </c>
      <c r="G234" s="2169">
        <f>SUM(G235:G238)</f>
        <v>0</v>
      </c>
      <c r="H234" s="2253">
        <f>SUM(H235:H238)</f>
        <v>1368454</v>
      </c>
      <c r="I234" s="2169">
        <f>SUM(I235:I238)</f>
        <v>587878</v>
      </c>
      <c r="J234" s="2170">
        <f>G234+H234+I234</f>
        <v>1956332</v>
      </c>
      <c r="K234" s="2167">
        <f>SUM(K235:K238)</f>
        <v>0</v>
      </c>
      <c r="L234" s="2167">
        <f>SUM(L235:L238)</f>
        <v>0</v>
      </c>
      <c r="M234" s="2253">
        <f>SUM(M235:M238)</f>
        <v>0</v>
      </c>
      <c r="N234" s="2168">
        <f t="shared" si="42"/>
        <v>0</v>
      </c>
      <c r="O234" s="1155"/>
      <c r="P234" s="1025"/>
      <c r="Q234" s="1143"/>
      <c r="R234" s="1027"/>
      <c r="S234" s="1027"/>
      <c r="T234" s="1027"/>
      <c r="U234" s="1027"/>
      <c r="V234" s="1027"/>
      <c r="W234" s="1027"/>
      <c r="X234" s="1027"/>
      <c r="Y234" s="1027"/>
      <c r="Z234" s="1027"/>
      <c r="AA234" s="1027"/>
      <c r="AB234" s="1027"/>
      <c r="AC234" s="1027"/>
      <c r="AE234" s="1058"/>
      <c r="AF234" s="1058"/>
      <c r="AG234" s="1058"/>
      <c r="AH234" s="1058"/>
      <c r="AI234" s="1058"/>
      <c r="AJ234" s="1058"/>
      <c r="AK234" s="1058"/>
      <c r="AL234" s="1058"/>
      <c r="AM234" s="1058"/>
      <c r="AN234" s="1058"/>
      <c r="AO234" s="1058"/>
      <c r="AP234" s="1058"/>
    </row>
    <row r="235" spans="1:42">
      <c r="A235" s="2155">
        <v>10</v>
      </c>
      <c r="B235" s="2171" t="s">
        <v>283</v>
      </c>
      <c r="C235" s="2155">
        <v>9</v>
      </c>
      <c r="D235" s="2156">
        <f t="shared" si="40"/>
        <v>224604</v>
      </c>
      <c r="E235" s="2157"/>
      <c r="F235" s="2254">
        <v>63630</v>
      </c>
      <c r="G235" s="2252"/>
      <c r="H235" s="2255">
        <v>112601</v>
      </c>
      <c r="I235" s="2256">
        <v>48373</v>
      </c>
      <c r="J235" s="2160">
        <f t="shared" ref="J235:J253" si="45">G235+H235+I235</f>
        <v>160974</v>
      </c>
      <c r="K235" s="2157"/>
      <c r="L235" s="2157"/>
      <c r="M235" s="2184"/>
      <c r="N235" s="2158">
        <f t="shared" si="42"/>
        <v>0</v>
      </c>
      <c r="O235" s="1149"/>
      <c r="P235" s="705"/>
      <c r="Q235" s="707"/>
      <c r="R235" s="706"/>
      <c r="S235" s="706"/>
      <c r="T235" s="706"/>
      <c r="U235" s="706"/>
      <c r="V235" s="706"/>
      <c r="W235" s="706"/>
      <c r="X235" s="706"/>
      <c r="Y235" s="706"/>
      <c r="Z235" s="706"/>
      <c r="AA235" s="706"/>
      <c r="AB235" s="706"/>
      <c r="AC235" s="706"/>
    </row>
    <row r="236" spans="1:42">
      <c r="A236" s="2155">
        <v>11</v>
      </c>
      <c r="B236" s="2171" t="s">
        <v>284</v>
      </c>
      <c r="C236" s="2155">
        <v>10</v>
      </c>
      <c r="D236" s="2156">
        <f t="shared" si="40"/>
        <v>2624850</v>
      </c>
      <c r="E236" s="2157"/>
      <c r="F236" s="1161">
        <v>1140347</v>
      </c>
      <c r="G236" s="2252"/>
      <c r="H236" s="871">
        <v>1038410</v>
      </c>
      <c r="I236" s="1227">
        <v>446093</v>
      </c>
      <c r="J236" s="2160">
        <f>G236+H236+I236</f>
        <v>1484503</v>
      </c>
      <c r="K236" s="2157"/>
      <c r="L236" s="2157"/>
      <c r="M236" s="2184"/>
      <c r="N236" s="2158">
        <f t="shared" si="42"/>
        <v>0</v>
      </c>
      <c r="O236" s="1149"/>
      <c r="P236" s="705"/>
      <c r="Q236" s="707"/>
      <c r="R236" s="706"/>
      <c r="S236" s="706"/>
      <c r="T236" s="706"/>
      <c r="U236" s="706"/>
      <c r="V236" s="706"/>
      <c r="W236" s="706"/>
      <c r="X236" s="706"/>
      <c r="Y236" s="706"/>
      <c r="Z236" s="706"/>
      <c r="AA236" s="706"/>
      <c r="AB236" s="706"/>
      <c r="AC236" s="706"/>
    </row>
    <row r="237" spans="1:42">
      <c r="A237" s="2155">
        <v>12</v>
      </c>
      <c r="B237" s="2171" t="s">
        <v>285</v>
      </c>
      <c r="C237" s="2155">
        <v>11</v>
      </c>
      <c r="D237" s="2156">
        <f t="shared" si="40"/>
        <v>544771</v>
      </c>
      <c r="E237" s="2157"/>
      <c r="F237" s="1161">
        <v>233916</v>
      </c>
      <c r="G237" s="983"/>
      <c r="H237" s="1236">
        <v>217443</v>
      </c>
      <c r="I237" s="410">
        <v>93412</v>
      </c>
      <c r="J237" s="2160">
        <f t="shared" si="45"/>
        <v>310855</v>
      </c>
      <c r="K237" s="2157"/>
      <c r="L237" s="2157"/>
      <c r="M237" s="2184"/>
      <c r="N237" s="2158">
        <f t="shared" si="42"/>
        <v>0</v>
      </c>
      <c r="O237" s="1149"/>
      <c r="P237" s="705"/>
      <c r="Q237" s="707"/>
      <c r="R237" s="706"/>
      <c r="S237" s="706"/>
      <c r="T237" s="706"/>
      <c r="U237" s="706"/>
      <c r="V237" s="706"/>
      <c r="W237" s="706"/>
      <c r="X237" s="706"/>
      <c r="Y237" s="706"/>
      <c r="Z237" s="706"/>
      <c r="AA237" s="706"/>
      <c r="AB237" s="706"/>
      <c r="AC237" s="706"/>
    </row>
    <row r="238" spans="1:42" ht="25.5">
      <c r="A238" s="2155">
        <v>13</v>
      </c>
      <c r="B238" s="2171" t="s">
        <v>286</v>
      </c>
      <c r="C238" s="2155">
        <v>12</v>
      </c>
      <c r="D238" s="2156">
        <f t="shared" si="40"/>
        <v>75870</v>
      </c>
      <c r="E238" s="2157"/>
      <c r="F238" s="1170">
        <v>75870</v>
      </c>
      <c r="G238" s="1224"/>
      <c r="H238" s="1237">
        <v>0</v>
      </c>
      <c r="I238" s="1228">
        <v>0</v>
      </c>
      <c r="J238" s="2160">
        <f t="shared" si="45"/>
        <v>0</v>
      </c>
      <c r="K238" s="2157"/>
      <c r="L238" s="2157"/>
      <c r="M238" s="2184"/>
      <c r="N238" s="2158">
        <f t="shared" si="42"/>
        <v>0</v>
      </c>
      <c r="O238" s="1149"/>
      <c r="P238" s="705"/>
      <c r="Q238" s="707"/>
      <c r="R238" s="706"/>
      <c r="S238" s="706"/>
      <c r="T238" s="706"/>
      <c r="U238" s="706"/>
      <c r="V238" s="706"/>
      <c r="W238" s="706"/>
      <c r="X238" s="706"/>
      <c r="Y238" s="706"/>
      <c r="Z238" s="706"/>
      <c r="AA238" s="706"/>
      <c r="AB238" s="706"/>
      <c r="AC238" s="706"/>
    </row>
    <row r="239" spans="1:42">
      <c r="A239" s="2155">
        <v>14</v>
      </c>
      <c r="B239" s="2154" t="s">
        <v>287</v>
      </c>
      <c r="C239" s="2155">
        <v>13</v>
      </c>
      <c r="D239" s="2156">
        <f t="shared" si="40"/>
        <v>425525.37636999995</v>
      </c>
      <c r="E239" s="2157"/>
      <c r="F239" s="1167"/>
      <c r="G239" s="1224"/>
      <c r="H239" s="1238">
        <v>297655.00077081495</v>
      </c>
      <c r="I239" s="1229">
        <v>127870.37559918499</v>
      </c>
      <c r="J239" s="2160">
        <f t="shared" si="45"/>
        <v>425525.37636999995</v>
      </c>
      <c r="K239" s="2157"/>
      <c r="L239" s="2157"/>
      <c r="M239" s="2184"/>
      <c r="N239" s="2158">
        <f t="shared" si="42"/>
        <v>0</v>
      </c>
      <c r="O239" s="1149"/>
      <c r="P239" s="705"/>
      <c r="Q239" s="707"/>
      <c r="R239" s="706"/>
      <c r="S239" s="706"/>
      <c r="T239" s="706"/>
      <c r="U239" s="706"/>
      <c r="V239" s="706"/>
      <c r="W239" s="706"/>
      <c r="X239" s="706"/>
      <c r="Y239" s="706"/>
      <c r="Z239" s="706"/>
      <c r="AA239" s="706"/>
      <c r="AB239" s="706"/>
      <c r="AC239" s="706"/>
    </row>
    <row r="240" spans="1:42">
      <c r="A240" s="2155">
        <v>15</v>
      </c>
      <c r="B240" s="2154" t="s">
        <v>288</v>
      </c>
      <c r="C240" s="2161">
        <v>14</v>
      </c>
      <c r="D240" s="2156">
        <f t="shared" si="40"/>
        <v>8373.8950399999776</v>
      </c>
      <c r="E240" s="2157"/>
      <c r="F240" s="2193"/>
      <c r="G240" s="1225"/>
      <c r="H240" s="1239">
        <v>5857.5395804799846</v>
      </c>
      <c r="I240" s="1230">
        <v>2516.355459519993</v>
      </c>
      <c r="J240" s="2160">
        <f t="shared" si="45"/>
        <v>8373.8950399999776</v>
      </c>
      <c r="K240" s="2157"/>
      <c r="L240" s="2157"/>
      <c r="M240" s="2184"/>
      <c r="N240" s="2158">
        <f t="shared" si="42"/>
        <v>0</v>
      </c>
      <c r="O240" s="1149"/>
      <c r="P240" s="705"/>
      <c r="Q240" s="1141"/>
      <c r="R240" s="706"/>
      <c r="S240" s="706"/>
      <c r="T240" s="706"/>
      <c r="U240" s="706"/>
      <c r="V240" s="706"/>
      <c r="W240" s="706"/>
      <c r="X240" s="706"/>
      <c r="Y240" s="706"/>
      <c r="Z240" s="706"/>
      <c r="AA240" s="706"/>
      <c r="AB240" s="706"/>
      <c r="AC240" s="706"/>
    </row>
    <row r="241" spans="1:42">
      <c r="A241" s="2155">
        <v>16</v>
      </c>
      <c r="B241" s="2154" t="s">
        <v>289</v>
      </c>
      <c r="C241" s="2155">
        <v>15</v>
      </c>
      <c r="D241" s="2156">
        <f t="shared" si="40"/>
        <v>62470.094720000023</v>
      </c>
      <c r="E241" s="2188"/>
      <c r="F241" s="2193"/>
      <c r="G241" s="1225"/>
      <c r="H241" s="1239">
        <v>43697.83125664002</v>
      </c>
      <c r="I241" s="1230">
        <v>18772.263463360006</v>
      </c>
      <c r="J241" s="2160">
        <f t="shared" si="45"/>
        <v>62470.094720000023</v>
      </c>
      <c r="K241" s="2157"/>
      <c r="L241" s="2157"/>
      <c r="M241" s="2184"/>
      <c r="N241" s="2158">
        <f t="shared" si="42"/>
        <v>0</v>
      </c>
      <c r="O241" s="1149"/>
      <c r="P241" s="705"/>
      <c r="Q241" s="707"/>
      <c r="R241" s="706"/>
      <c r="S241" s="706"/>
      <c r="T241" s="706"/>
      <c r="U241" s="706"/>
      <c r="V241" s="706"/>
      <c r="W241" s="706"/>
      <c r="X241" s="706"/>
      <c r="Y241" s="706"/>
      <c r="Z241" s="706"/>
      <c r="AA241" s="706"/>
      <c r="AB241" s="706"/>
      <c r="AC241" s="706"/>
    </row>
    <row r="242" spans="1:42">
      <c r="A242" s="2155">
        <v>17</v>
      </c>
      <c r="B242" s="2154" t="s">
        <v>290</v>
      </c>
      <c r="C242" s="2161">
        <v>16</v>
      </c>
      <c r="D242" s="2156">
        <f t="shared" si="40"/>
        <v>111803.84037236532</v>
      </c>
      <c r="E242" s="2157"/>
      <c r="F242" s="2193">
        <v>181259.84037236532</v>
      </c>
      <c r="G242" s="1225"/>
      <c r="H242" s="1239">
        <v>-48585</v>
      </c>
      <c r="I242" s="1231">
        <v>-20871</v>
      </c>
      <c r="J242" s="2160">
        <f t="shared" si="45"/>
        <v>-69456</v>
      </c>
      <c r="K242" s="2157"/>
      <c r="L242" s="2157"/>
      <c r="M242" s="2184"/>
      <c r="N242" s="2158">
        <f t="shared" si="42"/>
        <v>0</v>
      </c>
      <c r="O242" s="1149"/>
      <c r="P242" s="705"/>
      <c r="Q242" s="1141"/>
      <c r="R242" s="706"/>
      <c r="S242" s="706"/>
      <c r="T242" s="706"/>
      <c r="U242" s="706"/>
      <c r="V242" s="706"/>
      <c r="W242" s="706"/>
      <c r="X242" s="706"/>
      <c r="Y242" s="706"/>
      <c r="Z242" s="706"/>
      <c r="AA242" s="706"/>
      <c r="AB242" s="706"/>
      <c r="AC242" s="706"/>
    </row>
    <row r="243" spans="1:42">
      <c r="A243" s="2155">
        <v>18</v>
      </c>
      <c r="B243" s="2154" t="s">
        <v>291</v>
      </c>
      <c r="C243" s="2155"/>
      <c r="D243" s="2156">
        <f t="shared" si="40"/>
        <v>0</v>
      </c>
      <c r="E243" s="2157"/>
      <c r="F243" s="1167">
        <v>0</v>
      </c>
      <c r="G243" s="1224"/>
      <c r="H243" s="1240">
        <v>0</v>
      </c>
      <c r="I243" s="1232">
        <v>0</v>
      </c>
      <c r="J243" s="2160">
        <f t="shared" si="45"/>
        <v>0</v>
      </c>
      <c r="K243" s="2157"/>
      <c r="L243" s="2157"/>
      <c r="M243" s="2184"/>
      <c r="N243" s="2158">
        <f t="shared" si="42"/>
        <v>0</v>
      </c>
      <c r="O243" s="1149"/>
      <c r="P243" s="705"/>
      <c r="Q243" s="54"/>
      <c r="R243" s="706"/>
      <c r="S243" s="706"/>
      <c r="T243" s="706"/>
      <c r="U243" s="706"/>
      <c r="V243" s="706"/>
      <c r="W243" s="706"/>
      <c r="X243" s="706"/>
      <c r="Y243" s="706"/>
      <c r="Z243" s="706"/>
      <c r="AA243" s="706"/>
      <c r="AB243" s="706"/>
      <c r="AC243" s="706"/>
    </row>
    <row r="244" spans="1:42" ht="13.5" thickBot="1">
      <c r="A244" s="2172">
        <v>19</v>
      </c>
      <c r="B244" s="2173" t="s">
        <v>292</v>
      </c>
      <c r="C244" s="2172"/>
      <c r="D244" s="1361">
        <f t="shared" si="40"/>
        <v>150015</v>
      </c>
      <c r="E244" s="1097"/>
      <c r="F244" s="1222">
        <v>397024</v>
      </c>
      <c r="G244" s="1226"/>
      <c r="H244" s="1241">
        <v>-1372227</v>
      </c>
      <c r="I244" s="1233">
        <v>1125218</v>
      </c>
      <c r="J244" s="2174">
        <f t="shared" si="45"/>
        <v>-247009</v>
      </c>
      <c r="K244" s="1097"/>
      <c r="L244" s="1097"/>
      <c r="M244" s="2257"/>
      <c r="N244" s="1364">
        <f t="shared" si="42"/>
        <v>0</v>
      </c>
      <c r="O244" s="1149"/>
      <c r="P244" s="705"/>
      <c r="Q244" s="707"/>
      <c r="R244" s="706"/>
      <c r="S244" s="706"/>
      <c r="T244" s="706"/>
      <c r="U244" s="706"/>
      <c r="V244" s="706"/>
      <c r="W244" s="706"/>
      <c r="X244" s="706"/>
      <c r="Y244" s="706"/>
      <c r="Z244" s="706"/>
      <c r="AA244" s="706"/>
      <c r="AB244" s="706"/>
      <c r="AC244" s="706"/>
    </row>
    <row r="245" spans="1:42" s="913" customFormat="1" ht="26.25" thickBot="1">
      <c r="A245" s="1351">
        <v>20</v>
      </c>
      <c r="B245" s="1352" t="s">
        <v>293</v>
      </c>
      <c r="C245" s="1351"/>
      <c r="D245" s="1353">
        <f t="shared" si="40"/>
        <v>4416236.9867923651</v>
      </c>
      <c r="E245" s="1353">
        <f>SUM(E222:E228)+E231+E234+SUM(E239:E244)</f>
        <v>0</v>
      </c>
      <c r="F245" s="1353">
        <f>SUM(F222:F228)+F231+F234+SUM(F239:F244)</f>
        <v>2092046.8403723654</v>
      </c>
      <c r="G245" s="1354">
        <f>SUM(G222:G228)+G231+G234+SUM(G239:G244)</f>
        <v>0</v>
      </c>
      <c r="H245" s="1355">
        <f>SUM(H222:H228)+H231+H234+SUM(H239:H244)</f>
        <v>426326.37842079019</v>
      </c>
      <c r="I245" s="1354">
        <f>SUM(I222:I228)+I231+I234+SUM(I239:I244)</f>
        <v>1897863.7679992099</v>
      </c>
      <c r="J245" s="1355">
        <f t="shared" si="45"/>
        <v>2324190.1464200001</v>
      </c>
      <c r="K245" s="1353">
        <f>SUM(K222:K228)+K231+K234+SUM(K239:K244)</f>
        <v>0</v>
      </c>
      <c r="L245" s="1353">
        <f>SUM(L222:L228)+L231+L234+SUM(L239:L244)</f>
        <v>0</v>
      </c>
      <c r="M245" s="1355">
        <f>SUM(M222:M228)+M231+M234+SUM(M239:M244)</f>
        <v>0</v>
      </c>
      <c r="N245" s="1353">
        <f t="shared" si="42"/>
        <v>0</v>
      </c>
      <c r="O245" s="1155"/>
      <c r="P245" s="1025"/>
      <c r="Q245" s="710"/>
      <c r="R245" s="1027"/>
      <c r="S245" s="1027"/>
      <c r="T245" s="1027"/>
      <c r="U245" s="1027"/>
      <c r="V245" s="1027"/>
      <c r="W245" s="1027"/>
      <c r="X245" s="1027"/>
      <c r="Y245" s="1027"/>
      <c r="Z245" s="1027"/>
      <c r="AA245" s="1027"/>
      <c r="AB245" s="1027"/>
      <c r="AC245" s="1027"/>
      <c r="AE245" s="1058"/>
      <c r="AF245" s="1058"/>
      <c r="AG245" s="1058"/>
      <c r="AH245" s="1058"/>
      <c r="AI245" s="1058"/>
      <c r="AJ245" s="1058"/>
      <c r="AK245" s="1058"/>
      <c r="AL245" s="1058"/>
      <c r="AM245" s="1058"/>
      <c r="AN245" s="1058"/>
      <c r="AO245" s="1058"/>
      <c r="AP245" s="1058"/>
    </row>
    <row r="246" spans="1:42">
      <c r="A246" s="2155"/>
      <c r="B246" s="2175" t="s">
        <v>294</v>
      </c>
      <c r="C246" s="2155"/>
      <c r="D246" s="1416">
        <f t="shared" si="40"/>
        <v>0</v>
      </c>
      <c r="E246" s="1088"/>
      <c r="F246" s="1088"/>
      <c r="G246" s="932"/>
      <c r="H246" s="1124"/>
      <c r="I246" s="1165"/>
      <c r="J246" s="1363">
        <f t="shared" si="45"/>
        <v>0</v>
      </c>
      <c r="K246" s="1088"/>
      <c r="L246" s="1088"/>
      <c r="M246" s="1124"/>
      <c r="N246" s="1417">
        <f t="shared" si="42"/>
        <v>0</v>
      </c>
      <c r="O246" s="1149"/>
      <c r="P246" s="705"/>
      <c r="Q246" s="54"/>
      <c r="R246" s="706"/>
      <c r="S246" s="706"/>
      <c r="T246" s="706"/>
      <c r="U246" s="706"/>
      <c r="V246" s="706"/>
      <c r="W246" s="706"/>
      <c r="X246" s="706"/>
      <c r="Y246" s="706"/>
      <c r="Z246" s="706"/>
      <c r="AA246" s="706"/>
      <c r="AB246" s="706"/>
      <c r="AC246" s="706"/>
    </row>
    <row r="247" spans="1:42">
      <c r="A247" s="2155"/>
      <c r="B247" s="2175" t="s">
        <v>295</v>
      </c>
      <c r="C247" s="2155"/>
      <c r="D247" s="2156">
        <f t="shared" si="40"/>
        <v>0</v>
      </c>
      <c r="E247" s="2157"/>
      <c r="F247" s="2157"/>
      <c r="G247" s="2252"/>
      <c r="H247" s="2184"/>
      <c r="I247" s="2159"/>
      <c r="J247" s="2160">
        <f t="shared" si="45"/>
        <v>0</v>
      </c>
      <c r="K247" s="2157"/>
      <c r="L247" s="2157"/>
      <c r="M247" s="2184"/>
      <c r="N247" s="2158">
        <f t="shared" si="42"/>
        <v>0</v>
      </c>
      <c r="O247" s="1149"/>
      <c r="P247" s="705"/>
      <c r="Q247" s="54"/>
      <c r="R247" s="706"/>
      <c r="S247" s="706"/>
      <c r="T247" s="706"/>
      <c r="U247" s="706"/>
      <c r="V247" s="706"/>
      <c r="W247" s="706"/>
      <c r="X247" s="706"/>
      <c r="Y247" s="706"/>
      <c r="Z247" s="706"/>
      <c r="AA247" s="706"/>
      <c r="AB247" s="706"/>
      <c r="AC247" s="706"/>
    </row>
    <row r="248" spans="1:42">
      <c r="A248" s="2155">
        <v>21</v>
      </c>
      <c r="B248" s="2154" t="s">
        <v>296</v>
      </c>
      <c r="C248" s="2161">
        <v>17</v>
      </c>
      <c r="D248" s="2156">
        <f t="shared" si="40"/>
        <v>1897003</v>
      </c>
      <c r="E248" s="2157"/>
      <c r="F248" s="2157"/>
      <c r="G248" s="2252"/>
      <c r="H248" s="2255">
        <v>129606</v>
      </c>
      <c r="I248" s="2256">
        <v>1767397</v>
      </c>
      <c r="J248" s="2160">
        <f t="shared" si="45"/>
        <v>1897003</v>
      </c>
      <c r="K248" s="2157"/>
      <c r="L248" s="2157"/>
      <c r="M248" s="2184"/>
      <c r="N248" s="2158">
        <f t="shared" si="42"/>
        <v>0</v>
      </c>
      <c r="O248" s="1149"/>
      <c r="P248" s="705"/>
      <c r="Q248" s="1141"/>
      <c r="R248" s="706"/>
      <c r="S248" s="706"/>
      <c r="T248" s="706"/>
      <c r="U248" s="706"/>
      <c r="V248" s="706"/>
      <c r="W248" s="706"/>
      <c r="X248" s="706"/>
      <c r="Y248" s="706"/>
      <c r="Z248" s="706"/>
      <c r="AA248" s="706"/>
      <c r="AB248" s="706"/>
      <c r="AC248" s="706"/>
    </row>
    <row r="249" spans="1:42">
      <c r="A249" s="2155">
        <v>22</v>
      </c>
      <c r="B249" s="2154" t="s">
        <v>297</v>
      </c>
      <c r="C249" s="2155"/>
      <c r="D249" s="2156">
        <f t="shared" si="40"/>
        <v>16146.222999999998</v>
      </c>
      <c r="E249" s="2157"/>
      <c r="F249" s="2157"/>
      <c r="G249" s="2252"/>
      <c r="H249" s="817">
        <v>9687.7337999999982</v>
      </c>
      <c r="I249" s="1170">
        <v>6458.4891999999991</v>
      </c>
      <c r="J249" s="2160">
        <f t="shared" si="45"/>
        <v>16146.222999999998</v>
      </c>
      <c r="K249" s="2157"/>
      <c r="L249" s="2157"/>
      <c r="M249" s="2184"/>
      <c r="N249" s="2158">
        <f t="shared" si="42"/>
        <v>0</v>
      </c>
      <c r="O249" s="1149"/>
      <c r="P249" s="705"/>
      <c r="Q249" s="707"/>
      <c r="R249" s="706"/>
      <c r="S249" s="706"/>
      <c r="T249" s="706"/>
      <c r="U249" s="706"/>
      <c r="V249" s="706"/>
      <c r="W249" s="706"/>
      <c r="X249" s="706"/>
      <c r="Y249" s="706"/>
      <c r="Z249" s="706"/>
      <c r="AA249" s="706"/>
      <c r="AB249" s="706"/>
      <c r="AC249" s="706"/>
    </row>
    <row r="250" spans="1:42">
      <c r="A250" s="2155">
        <v>23</v>
      </c>
      <c r="B250" s="2154" t="s">
        <v>298</v>
      </c>
      <c r="C250" s="2155">
        <v>18</v>
      </c>
      <c r="D250" s="2156">
        <f t="shared" si="40"/>
        <v>70001.399459999957</v>
      </c>
      <c r="E250" s="2157"/>
      <c r="F250" s="2157"/>
      <c r="G250" s="2252"/>
      <c r="H250" s="817">
        <v>48965.978922269969</v>
      </c>
      <c r="I250" s="1170">
        <v>21035.420537729988</v>
      </c>
      <c r="J250" s="2160">
        <f t="shared" si="45"/>
        <v>70001.399459999957</v>
      </c>
      <c r="K250" s="2157"/>
      <c r="L250" s="2157"/>
      <c r="M250" s="2184"/>
      <c r="N250" s="2158">
        <f t="shared" si="42"/>
        <v>0</v>
      </c>
      <c r="O250" s="1149"/>
      <c r="P250" s="705"/>
      <c r="Q250" s="707"/>
      <c r="R250" s="706"/>
      <c r="S250" s="706"/>
      <c r="T250" s="706"/>
      <c r="U250" s="706"/>
      <c r="V250" s="706"/>
      <c r="W250" s="706"/>
      <c r="X250" s="706"/>
      <c r="Y250" s="706"/>
      <c r="Z250" s="706"/>
      <c r="AA250" s="706"/>
      <c r="AB250" s="706"/>
      <c r="AC250" s="706"/>
    </row>
    <row r="251" spans="1:42">
      <c r="A251" s="2155">
        <v>24</v>
      </c>
      <c r="B251" s="2154" t="s">
        <v>299</v>
      </c>
      <c r="C251" s="2155"/>
      <c r="D251" s="2156">
        <f t="shared" si="40"/>
        <v>0</v>
      </c>
      <c r="E251" s="2157"/>
      <c r="F251" s="2157"/>
      <c r="G251" s="2252"/>
      <c r="H251" s="841"/>
      <c r="I251" s="1167"/>
      <c r="J251" s="2160">
        <f t="shared" si="45"/>
        <v>0</v>
      </c>
      <c r="K251" s="2157"/>
      <c r="L251" s="2157"/>
      <c r="M251" s="2184"/>
      <c r="N251" s="2158">
        <f t="shared" si="42"/>
        <v>0</v>
      </c>
      <c r="O251" s="1149"/>
      <c r="P251" s="705"/>
      <c r="Q251" s="54"/>
      <c r="R251" s="706"/>
      <c r="S251" s="706"/>
      <c r="T251" s="706"/>
      <c r="U251" s="706"/>
      <c r="V251" s="706"/>
      <c r="W251" s="706"/>
      <c r="X251" s="706"/>
      <c r="Y251" s="706"/>
      <c r="Z251" s="706"/>
      <c r="AA251" s="706"/>
      <c r="AB251" s="706"/>
      <c r="AC251" s="706"/>
    </row>
    <row r="252" spans="1:42">
      <c r="A252" s="2155">
        <v>25</v>
      </c>
      <c r="B252" s="2176" t="s">
        <v>300</v>
      </c>
      <c r="C252" s="2155"/>
      <c r="D252" s="2156">
        <f t="shared" si="40"/>
        <v>0</v>
      </c>
      <c r="E252" s="2157"/>
      <c r="F252" s="2157"/>
      <c r="G252" s="2252"/>
      <c r="H252" s="841"/>
      <c r="I252" s="1167"/>
      <c r="J252" s="2160">
        <f t="shared" si="45"/>
        <v>0</v>
      </c>
      <c r="K252" s="2157"/>
      <c r="L252" s="2157"/>
      <c r="M252" s="2184"/>
      <c r="N252" s="2158">
        <f t="shared" si="42"/>
        <v>0</v>
      </c>
      <c r="O252" s="1149"/>
      <c r="P252" s="705"/>
      <c r="Q252" s="54"/>
      <c r="R252" s="706"/>
      <c r="S252" s="706"/>
      <c r="T252" s="706"/>
      <c r="U252" s="706"/>
      <c r="V252" s="706"/>
      <c r="W252" s="706"/>
      <c r="X252" s="706"/>
      <c r="Y252" s="706"/>
      <c r="Z252" s="706"/>
      <c r="AA252" s="706"/>
      <c r="AB252" s="706"/>
      <c r="AC252" s="706"/>
    </row>
    <row r="253" spans="1:42" ht="13.5" thickBot="1">
      <c r="A253" s="2172">
        <v>26</v>
      </c>
      <c r="B253" s="2173" t="s">
        <v>301</v>
      </c>
      <c r="C253" s="2177">
        <v>19</v>
      </c>
      <c r="D253" s="2156">
        <f t="shared" si="40"/>
        <v>361941.2865631883</v>
      </c>
      <c r="E253" s="2157"/>
      <c r="F253" s="1302">
        <v>20901.525579999998</v>
      </c>
      <c r="G253" s="983"/>
      <c r="H253" s="1236">
        <v>238067.35572334021</v>
      </c>
      <c r="I253" s="410">
        <v>102972.40525984809</v>
      </c>
      <c r="J253" s="2160">
        <f t="shared" si="45"/>
        <v>341039.76098318829</v>
      </c>
      <c r="K253" s="2157"/>
      <c r="L253" s="2157"/>
      <c r="M253" s="2184"/>
      <c r="N253" s="2158">
        <f t="shared" si="42"/>
        <v>0</v>
      </c>
      <c r="O253" s="1149"/>
      <c r="P253" s="705"/>
      <c r="Q253" s="1141"/>
      <c r="R253" s="706"/>
      <c r="S253" s="706"/>
      <c r="T253" s="706"/>
      <c r="U253" s="706"/>
      <c r="V253" s="706"/>
      <c r="W253" s="706"/>
      <c r="X253" s="706"/>
      <c r="Y253" s="706"/>
      <c r="Z253" s="706"/>
      <c r="AA253" s="706"/>
      <c r="AB253" s="706"/>
      <c r="AC253" s="706"/>
    </row>
    <row r="254" spans="1:42" s="913" customFormat="1" ht="32.25" customHeight="1" thickBot="1">
      <c r="A254" s="1348">
        <v>27</v>
      </c>
      <c r="B254" s="1349" t="s">
        <v>302</v>
      </c>
      <c r="C254" s="1348"/>
      <c r="D254" s="1420">
        <f t="shared" si="40"/>
        <v>2345091.9090231885</v>
      </c>
      <c r="E254" s="1102">
        <f>SUM(E248:E253)</f>
        <v>0</v>
      </c>
      <c r="F254" s="1102">
        <f>SUM(F248:F253)</f>
        <v>20901.525579999998</v>
      </c>
      <c r="G254" s="1163">
        <f>SUM(G248:G253)</f>
        <v>0</v>
      </c>
      <c r="H254" s="1102">
        <f>SUM(H248:H253)</f>
        <v>426327.06844561017</v>
      </c>
      <c r="I254" s="1234">
        <f>SUM(I248:I253)</f>
        <v>1897863.314997578</v>
      </c>
      <c r="J254" s="1426">
        <f>G254+H254+I254</f>
        <v>2324190.3834431884</v>
      </c>
      <c r="K254" s="1100">
        <f>SUM(K248:K253)</f>
        <v>0</v>
      </c>
      <c r="L254" s="1102">
        <f>SUM(L248:L253)</f>
        <v>0</v>
      </c>
      <c r="M254" s="1102">
        <f>SUM(M248:M253)</f>
        <v>0</v>
      </c>
      <c r="N254" s="1365">
        <f t="shared" si="42"/>
        <v>0</v>
      </c>
      <c r="O254" s="1155"/>
      <c r="P254" s="1025"/>
      <c r="Q254" s="710"/>
      <c r="R254" s="1027"/>
      <c r="S254" s="1027"/>
      <c r="T254" s="1027"/>
      <c r="U254" s="1027"/>
      <c r="V254" s="1027"/>
      <c r="W254" s="1027"/>
      <c r="X254" s="1027"/>
      <c r="Y254" s="1027"/>
      <c r="Z254" s="1027"/>
      <c r="AA254" s="1027"/>
      <c r="AB254" s="1027"/>
      <c r="AC254" s="1027"/>
      <c r="AE254" s="1058"/>
      <c r="AF254" s="1058"/>
      <c r="AG254" s="1058"/>
      <c r="AH254" s="1058"/>
      <c r="AI254" s="1058"/>
      <c r="AJ254" s="1058"/>
      <c r="AK254" s="1058"/>
      <c r="AL254" s="1058"/>
      <c r="AM254" s="1058"/>
      <c r="AN254" s="1058"/>
      <c r="AO254" s="1058"/>
      <c r="AP254" s="1058"/>
    </row>
    <row r="255" spans="1:42">
      <c r="A255" s="1346"/>
      <c r="B255" s="1347" t="s">
        <v>303</v>
      </c>
      <c r="C255" s="1346">
        <v>20</v>
      </c>
      <c r="D255" s="1416">
        <f t="shared" si="40"/>
        <v>0</v>
      </c>
      <c r="E255" s="1088"/>
      <c r="F255" s="1088"/>
      <c r="G255" s="932"/>
      <c r="H255" s="1124"/>
      <c r="I255" s="1165"/>
      <c r="J255" s="1363">
        <f t="shared" ref="J255:J261" si="46">G255+H255+I255</f>
        <v>0</v>
      </c>
      <c r="K255" s="1088"/>
      <c r="L255" s="1088"/>
      <c r="M255" s="1124"/>
      <c r="N255" s="1417">
        <f t="shared" si="42"/>
        <v>0</v>
      </c>
      <c r="O255" s="1149"/>
      <c r="P255" s="705"/>
      <c r="Q255" s="54"/>
      <c r="R255" s="706"/>
      <c r="S255" s="706"/>
      <c r="T255" s="706"/>
      <c r="U255" s="706"/>
      <c r="V255" s="706"/>
      <c r="W255" s="706"/>
      <c r="X255" s="706"/>
      <c r="Y255" s="706"/>
      <c r="Z255" s="706"/>
      <c r="AA255" s="706"/>
      <c r="AB255" s="706"/>
      <c r="AC255" s="706"/>
    </row>
    <row r="256" spans="1:42">
      <c r="A256" s="2155">
        <v>28</v>
      </c>
      <c r="B256" s="2154" t="s">
        <v>304</v>
      </c>
      <c r="C256" s="2161"/>
      <c r="D256" s="2156">
        <f t="shared" si="40"/>
        <v>675564.87</v>
      </c>
      <c r="E256" s="2188"/>
      <c r="F256" s="2188">
        <v>675564.87</v>
      </c>
      <c r="G256" s="2252"/>
      <c r="H256" s="2184"/>
      <c r="I256" s="2159"/>
      <c r="J256" s="2160">
        <f t="shared" si="46"/>
        <v>0</v>
      </c>
      <c r="K256" s="2157"/>
      <c r="L256" s="2157"/>
      <c r="M256" s="2184"/>
      <c r="N256" s="2158">
        <f t="shared" si="42"/>
        <v>0</v>
      </c>
      <c r="O256" s="1149"/>
      <c r="P256" s="705"/>
      <c r="Q256" s="1141"/>
      <c r="R256" s="706"/>
      <c r="S256" s="706"/>
      <c r="T256" s="706"/>
      <c r="U256" s="706"/>
      <c r="V256" s="706"/>
      <c r="W256" s="706"/>
      <c r="X256" s="706"/>
      <c r="Y256" s="706"/>
      <c r="Z256" s="706"/>
      <c r="AA256" s="706"/>
      <c r="AB256" s="706"/>
      <c r="AC256" s="706"/>
    </row>
    <row r="257" spans="1:42">
      <c r="A257" s="2155">
        <v>29</v>
      </c>
      <c r="B257" s="2154" t="s">
        <v>305</v>
      </c>
      <c r="C257" s="2161"/>
      <c r="D257" s="2156">
        <f t="shared" si="40"/>
        <v>-26545.649739999997</v>
      </c>
      <c r="E257" s="2188"/>
      <c r="F257" s="2188">
        <v>-26545.649739999997</v>
      </c>
      <c r="G257" s="2252"/>
      <c r="H257" s="2184"/>
      <c r="I257" s="2159"/>
      <c r="J257" s="2160">
        <f t="shared" si="46"/>
        <v>0</v>
      </c>
      <c r="K257" s="2157"/>
      <c r="L257" s="2157"/>
      <c r="M257" s="2184"/>
      <c r="N257" s="2158">
        <f t="shared" si="42"/>
        <v>0</v>
      </c>
      <c r="O257" s="1149"/>
      <c r="P257" s="705"/>
      <c r="Q257" s="1141"/>
      <c r="R257" s="706"/>
      <c r="S257" s="706"/>
      <c r="T257" s="706"/>
      <c r="U257" s="706"/>
      <c r="V257" s="706"/>
      <c r="W257" s="706"/>
      <c r="X257" s="706"/>
      <c r="Y257" s="706"/>
      <c r="Z257" s="706"/>
      <c r="AA257" s="706"/>
      <c r="AB257" s="706"/>
      <c r="AC257" s="706"/>
    </row>
    <row r="258" spans="1:42">
      <c r="A258" s="2155">
        <v>30</v>
      </c>
      <c r="B258" s="2154" t="s">
        <v>306</v>
      </c>
      <c r="C258" s="2177"/>
      <c r="D258" s="2156">
        <f t="shared" si="40"/>
        <v>0</v>
      </c>
      <c r="E258" s="2188"/>
      <c r="F258" s="1176"/>
      <c r="G258" s="983"/>
      <c r="H258" s="2257"/>
      <c r="I258" s="1235"/>
      <c r="J258" s="2160">
        <f t="shared" si="46"/>
        <v>0</v>
      </c>
      <c r="K258" s="2157"/>
      <c r="L258" s="2157"/>
      <c r="M258" s="2184"/>
      <c r="N258" s="2158">
        <f t="shared" si="42"/>
        <v>0</v>
      </c>
      <c r="O258" s="1149"/>
      <c r="P258" s="705"/>
      <c r="Q258" s="1142"/>
      <c r="R258" s="706"/>
      <c r="S258" s="706"/>
      <c r="T258" s="706"/>
      <c r="U258" s="706"/>
      <c r="V258" s="706"/>
      <c r="W258" s="706"/>
      <c r="X258" s="706"/>
      <c r="Y258" s="706"/>
      <c r="Z258" s="706"/>
      <c r="AA258" s="706"/>
      <c r="AB258" s="706"/>
      <c r="AC258" s="706"/>
    </row>
    <row r="259" spans="1:42">
      <c r="A259" s="2155">
        <v>31</v>
      </c>
      <c r="B259" s="2154" t="s">
        <v>307</v>
      </c>
      <c r="C259" s="2177"/>
      <c r="D259" s="2156">
        <f t="shared" si="40"/>
        <v>0</v>
      </c>
      <c r="E259" s="2188"/>
      <c r="F259" s="1176"/>
      <c r="G259" s="983"/>
      <c r="H259" s="2257"/>
      <c r="I259" s="1235"/>
      <c r="J259" s="2160">
        <f t="shared" si="46"/>
        <v>0</v>
      </c>
      <c r="K259" s="2157"/>
      <c r="L259" s="2157"/>
      <c r="M259" s="2184"/>
      <c r="N259" s="2158">
        <f t="shared" si="42"/>
        <v>0</v>
      </c>
      <c r="O259" s="1149"/>
      <c r="P259" s="705"/>
      <c r="Q259" s="1142"/>
      <c r="R259" s="706"/>
      <c r="S259" s="706"/>
      <c r="T259" s="706"/>
      <c r="U259" s="706"/>
      <c r="V259" s="706"/>
      <c r="W259" s="706"/>
      <c r="X259" s="706"/>
      <c r="Y259" s="706"/>
      <c r="Z259" s="706"/>
      <c r="AA259" s="706"/>
      <c r="AB259" s="706"/>
      <c r="AC259" s="706"/>
    </row>
    <row r="260" spans="1:42" ht="13.5" thickBot="1">
      <c r="A260" s="2172">
        <v>32</v>
      </c>
      <c r="B260" s="2173" t="s">
        <v>308</v>
      </c>
      <c r="C260" s="2177"/>
      <c r="D260" s="2156">
        <f t="shared" si="40"/>
        <v>1422126.1879891772</v>
      </c>
      <c r="E260" s="2188"/>
      <c r="F260" s="1176">
        <v>1422126.1879891772</v>
      </c>
      <c r="G260" s="983"/>
      <c r="H260" s="2257"/>
      <c r="I260" s="1235"/>
      <c r="J260" s="2160">
        <f t="shared" si="46"/>
        <v>0</v>
      </c>
      <c r="K260" s="2157"/>
      <c r="L260" s="2157"/>
      <c r="M260" s="2184"/>
      <c r="N260" s="2158">
        <f t="shared" si="42"/>
        <v>0</v>
      </c>
      <c r="O260" s="1149"/>
      <c r="P260" s="705"/>
      <c r="Q260" s="1141"/>
      <c r="R260" s="706"/>
      <c r="S260" s="706"/>
      <c r="T260" s="706"/>
      <c r="U260" s="706"/>
      <c r="V260" s="706"/>
      <c r="W260" s="706"/>
      <c r="X260" s="706"/>
      <c r="Y260" s="706"/>
      <c r="Z260" s="706"/>
      <c r="AA260" s="706"/>
      <c r="AB260" s="706"/>
      <c r="AC260" s="706"/>
    </row>
    <row r="261" spans="1:42" s="913" customFormat="1" ht="23.25" customHeight="1" thickBot="1">
      <c r="A261" s="1348">
        <v>33</v>
      </c>
      <c r="B261" s="1384" t="s">
        <v>309</v>
      </c>
      <c r="C261" s="1385"/>
      <c r="D261" s="1421">
        <f t="shared" si="40"/>
        <v>2071145.408249177</v>
      </c>
      <c r="E261" s="1125">
        <f>SUM(E256:E260)</f>
        <v>0</v>
      </c>
      <c r="F261" s="1125">
        <f>SUM(F256:F260)</f>
        <v>2071145.408249177</v>
      </c>
      <c r="G261" s="1126">
        <f>SUM(G256:G260)</f>
        <v>0</v>
      </c>
      <c r="H261" s="1127">
        <f>SUM(H256:H260)</f>
        <v>0</v>
      </c>
      <c r="I261" s="1126">
        <f>SUM(I256:I260)</f>
        <v>0</v>
      </c>
      <c r="J261" s="1427">
        <f t="shared" si="46"/>
        <v>0</v>
      </c>
      <c r="K261" s="1125">
        <f>SUM(K256:K260)</f>
        <v>0</v>
      </c>
      <c r="L261" s="1125">
        <f>SUM(L256:L260)</f>
        <v>0</v>
      </c>
      <c r="M261" s="1127">
        <f>SUM(M256:M260)</f>
        <v>0</v>
      </c>
      <c r="N261" s="1429">
        <f t="shared" si="42"/>
        <v>0</v>
      </c>
      <c r="O261" s="1155"/>
      <c r="P261" s="1025"/>
      <c r="Q261" s="710"/>
      <c r="R261" s="1027"/>
      <c r="S261" s="1027"/>
      <c r="T261" s="1027"/>
      <c r="U261" s="1027"/>
      <c r="V261" s="1027"/>
      <c r="W261" s="1027"/>
      <c r="X261" s="1027"/>
      <c r="Y261" s="1027"/>
      <c r="Z261" s="1027"/>
      <c r="AA261" s="1027"/>
      <c r="AB261" s="1027"/>
      <c r="AC261" s="1027"/>
      <c r="AE261" s="1058"/>
      <c r="AF261" s="1058"/>
      <c r="AG261" s="1058"/>
      <c r="AH261" s="1058"/>
      <c r="AI261" s="1058"/>
      <c r="AJ261" s="1058"/>
      <c r="AK261" s="1058"/>
      <c r="AL261" s="1058"/>
      <c r="AM261" s="1058"/>
      <c r="AN261" s="1058"/>
      <c r="AO261" s="1058"/>
      <c r="AP261" s="1058"/>
    </row>
    <row r="262" spans="1:42" s="913" customFormat="1" ht="26.25" thickBot="1">
      <c r="A262" s="1351">
        <v>34</v>
      </c>
      <c r="B262" s="1352" t="s">
        <v>310</v>
      </c>
      <c r="C262" s="1351"/>
      <c r="D262" s="1431">
        <f>+E262+F262+J262+N262</f>
        <v>4416237.3172723651</v>
      </c>
      <c r="E262" s="1431">
        <f>E261+E254</f>
        <v>0</v>
      </c>
      <c r="F262" s="1431">
        <f>F261+F254</f>
        <v>2092046.9338291769</v>
      </c>
      <c r="G262" s="1432">
        <f>G261+G254</f>
        <v>0</v>
      </c>
      <c r="H262" s="1423">
        <f>H261+H254</f>
        <v>426327.06844561017</v>
      </c>
      <c r="I262" s="1432">
        <f>I261+I254</f>
        <v>1897863.314997578</v>
      </c>
      <c r="J262" s="1423">
        <f>G262+H262+I262</f>
        <v>2324190.3834431884</v>
      </c>
      <c r="K262" s="1431">
        <f>K261+K254</f>
        <v>0</v>
      </c>
      <c r="L262" s="1431">
        <f>L261+L254</f>
        <v>0</v>
      </c>
      <c r="M262" s="1423">
        <f>M261+M254</f>
        <v>0</v>
      </c>
      <c r="N262" s="1431">
        <f t="shared" si="42"/>
        <v>0</v>
      </c>
      <c r="O262" s="1155"/>
      <c r="P262" s="1025"/>
      <c r="Q262" s="710"/>
      <c r="R262" s="1027"/>
      <c r="S262" s="1027"/>
      <c r="T262" s="1027"/>
      <c r="U262" s="1027"/>
      <c r="V262" s="1027"/>
      <c r="W262" s="1027"/>
      <c r="X262" s="1027"/>
      <c r="Y262" s="1027"/>
      <c r="Z262" s="1027"/>
      <c r="AA262" s="1027"/>
      <c r="AB262" s="1027"/>
      <c r="AC262" s="1027"/>
      <c r="AE262" s="1058"/>
      <c r="AF262" s="1058"/>
      <c r="AG262" s="1058"/>
      <c r="AH262" s="1058"/>
      <c r="AI262" s="1058"/>
      <c r="AJ262" s="1058"/>
      <c r="AK262" s="1058"/>
      <c r="AL262" s="1058"/>
      <c r="AM262" s="1058"/>
      <c r="AN262" s="1058"/>
      <c r="AO262" s="1058"/>
      <c r="AP262" s="1058"/>
    </row>
    <row r="264" spans="1:42">
      <c r="B264" s="680"/>
      <c r="D264" s="679"/>
      <c r="E264" s="679"/>
      <c r="F264" s="679"/>
      <c r="G264" s="679"/>
      <c r="H264" s="679"/>
      <c r="I264" s="679"/>
      <c r="J264" s="679"/>
      <c r="K264" s="679"/>
      <c r="L264" s="679"/>
      <c r="M264" s="679"/>
      <c r="N264" s="911">
        <v>17</v>
      </c>
      <c r="O264" s="679"/>
    </row>
    <row r="265" spans="1:42">
      <c r="D265" s="679"/>
      <c r="E265" s="679"/>
      <c r="F265" s="679"/>
      <c r="G265" s="679"/>
      <c r="H265" s="679"/>
      <c r="I265" s="679"/>
      <c r="J265" s="679"/>
      <c r="K265" s="679"/>
      <c r="L265" s="679"/>
      <c r="M265" s="679"/>
      <c r="N265" s="679"/>
      <c r="O265" s="679"/>
    </row>
    <row r="266" spans="1:42" ht="13.5" thickBot="1"/>
    <row r="267" spans="1:42" ht="15.75" customHeight="1" thickBot="1">
      <c r="A267" s="1368" t="s">
        <v>175</v>
      </c>
      <c r="B267" s="3533" t="s">
        <v>116</v>
      </c>
      <c r="C267" s="3534"/>
      <c r="M267" s="3538" t="s">
        <v>251</v>
      </c>
      <c r="N267" s="3538"/>
      <c r="O267" s="1148"/>
    </row>
    <row r="268" spans="1:42" ht="13.9" customHeight="1" thickBot="1">
      <c r="A268" s="3512" t="s">
        <v>252</v>
      </c>
      <c r="B268" s="3515"/>
      <c r="C268" s="3523" t="s">
        <v>254</v>
      </c>
      <c r="D268" s="3518" t="s">
        <v>255</v>
      </c>
      <c r="E268" s="3518" t="s">
        <v>256</v>
      </c>
      <c r="F268" s="3518" t="s">
        <v>257</v>
      </c>
      <c r="G268" s="3526" t="s">
        <v>258</v>
      </c>
      <c r="H268" s="3527"/>
      <c r="I268" s="3527"/>
      <c r="J268" s="3527"/>
      <c r="K268" s="3527"/>
      <c r="L268" s="3527"/>
      <c r="M268" s="3527"/>
      <c r="N268" s="3528"/>
      <c r="O268" s="409"/>
    </row>
    <row r="269" spans="1:42" ht="13.15" customHeight="1" thickBot="1">
      <c r="A269" s="3513"/>
      <c r="B269" s="3516"/>
      <c r="C269" s="3524"/>
      <c r="D269" s="3520"/>
      <c r="E269" s="3520"/>
      <c r="F269" s="3520"/>
      <c r="G269" s="3529" t="s">
        <v>259</v>
      </c>
      <c r="H269" s="3530"/>
      <c r="I269" s="3530"/>
      <c r="J269" s="3531"/>
      <c r="K269" s="3529" t="s">
        <v>260</v>
      </c>
      <c r="L269" s="3530"/>
      <c r="M269" s="3530"/>
      <c r="N269" s="3531"/>
      <c r="O269" s="443"/>
    </row>
    <row r="270" spans="1:42" ht="39" thickBot="1">
      <c r="A270" s="3513"/>
      <c r="B270" s="3516"/>
      <c r="C270" s="3524"/>
      <c r="D270" s="3519"/>
      <c r="E270" s="3519"/>
      <c r="F270" s="3519"/>
      <c r="G270" s="1336" t="s">
        <v>261</v>
      </c>
      <c r="H270" s="1369" t="s">
        <v>262</v>
      </c>
      <c r="I270" s="1336" t="s">
        <v>263</v>
      </c>
      <c r="J270" s="1370" t="s">
        <v>158</v>
      </c>
      <c r="K270" s="1337" t="s">
        <v>264</v>
      </c>
      <c r="L270" s="1337" t="s">
        <v>265</v>
      </c>
      <c r="M270" s="1337" t="s">
        <v>266</v>
      </c>
      <c r="N270" s="1404" t="s">
        <v>158</v>
      </c>
      <c r="O270" s="443"/>
    </row>
    <row r="271" spans="1:42" ht="13.5" thickBot="1">
      <c r="A271" s="3513"/>
      <c r="B271" s="3516"/>
      <c r="C271" s="3524"/>
      <c r="D271" s="1340">
        <v>1</v>
      </c>
      <c r="E271" s="3518">
        <v>2</v>
      </c>
      <c r="F271" s="3518">
        <v>3</v>
      </c>
      <c r="G271" s="3518">
        <v>4</v>
      </c>
      <c r="H271" s="3536">
        <v>5</v>
      </c>
      <c r="I271" s="3518">
        <v>6</v>
      </c>
      <c r="J271" s="1341">
        <v>7</v>
      </c>
      <c r="K271" s="3518">
        <v>8</v>
      </c>
      <c r="L271" s="3518">
        <v>9</v>
      </c>
      <c r="M271" s="3518">
        <v>10</v>
      </c>
      <c r="N271" s="1340">
        <v>11</v>
      </c>
      <c r="O271" s="409"/>
    </row>
    <row r="272" spans="1:42" ht="15.75" customHeight="1" thickBot="1">
      <c r="A272" s="3514"/>
      <c r="B272" s="3517"/>
      <c r="C272" s="3525"/>
      <c r="D272" s="1343"/>
      <c r="E272" s="3519"/>
      <c r="F272" s="3519"/>
      <c r="G272" s="3519"/>
      <c r="H272" s="3545"/>
      <c r="I272" s="3519"/>
      <c r="J272" s="1344" t="s">
        <v>267</v>
      </c>
      <c r="K272" s="3519"/>
      <c r="L272" s="3519"/>
      <c r="M272" s="3519"/>
      <c r="N272" s="1343" t="s">
        <v>268</v>
      </c>
      <c r="O272" s="703"/>
      <c r="P272" s="703"/>
      <c r="Q272" s="703"/>
    </row>
    <row r="273" spans="1:42">
      <c r="A273" s="1346"/>
      <c r="B273" s="1347" t="s">
        <v>269</v>
      </c>
      <c r="C273" s="1346"/>
      <c r="D273" s="1438"/>
      <c r="E273" s="1242"/>
      <c r="F273" s="1242"/>
      <c r="G273" s="1182"/>
      <c r="H273" s="1174"/>
      <c r="I273" s="1173"/>
      <c r="J273" s="1395"/>
      <c r="K273" s="1171"/>
      <c r="L273" s="1174"/>
      <c r="M273" s="1243"/>
      <c r="N273" s="1439"/>
      <c r="Q273" s="709"/>
      <c r="R273" s="706"/>
      <c r="S273" s="706"/>
      <c r="T273" s="706"/>
      <c r="U273" s="706"/>
      <c r="V273" s="706"/>
      <c r="W273" s="706"/>
      <c r="X273" s="706"/>
      <c r="Y273" s="706"/>
      <c r="Z273" s="706"/>
      <c r="AA273" s="706"/>
      <c r="AB273" s="706"/>
      <c r="AC273" s="706"/>
    </row>
    <row r="274" spans="1:42">
      <c r="A274" s="2153">
        <v>1</v>
      </c>
      <c r="B274" s="2154" t="s">
        <v>270</v>
      </c>
      <c r="C274" s="2155"/>
      <c r="D274" s="2213">
        <f>+E274+F274+J274+N274</f>
        <v>0</v>
      </c>
      <c r="E274" s="2188"/>
      <c r="F274" s="2188"/>
      <c r="G274" s="2189"/>
      <c r="H274" s="2197"/>
      <c r="I274" s="2194"/>
      <c r="J274" s="2214">
        <f>G274+H274+I274</f>
        <v>0</v>
      </c>
      <c r="K274" s="2188"/>
      <c r="L274" s="2188"/>
      <c r="M274" s="2193"/>
      <c r="N274" s="2195">
        <f>K274+L274+M274</f>
        <v>0</v>
      </c>
      <c r="O274" s="1149"/>
      <c r="P274" s="705"/>
      <c r="Q274" s="54"/>
      <c r="R274" s="706"/>
      <c r="S274" s="706"/>
      <c r="T274" s="706"/>
      <c r="U274" s="706"/>
      <c r="V274" s="706"/>
      <c r="W274" s="706"/>
      <c r="X274" s="706"/>
      <c r="Y274" s="706"/>
      <c r="Z274" s="706"/>
      <c r="AA274" s="706"/>
      <c r="AB274" s="706"/>
      <c r="AC274" s="706"/>
    </row>
    <row r="275" spans="1:42">
      <c r="A275" s="2153">
        <v>2</v>
      </c>
      <c r="B275" s="2154" t="s">
        <v>271</v>
      </c>
      <c r="C275" s="2155"/>
      <c r="D275" s="2213">
        <f t="shared" ref="D275:D313" si="47">+E275+F275+J275+N275</f>
        <v>1356</v>
      </c>
      <c r="E275" s="2188"/>
      <c r="F275" s="2188">
        <v>1356</v>
      </c>
      <c r="G275" s="2189"/>
      <c r="H275" s="2197"/>
      <c r="I275" s="2194"/>
      <c r="J275" s="2214">
        <f t="shared" ref="J275:J285" si="48">G275+H275+I275</f>
        <v>0</v>
      </c>
      <c r="K275" s="2188"/>
      <c r="L275" s="2188"/>
      <c r="M275" s="2193"/>
      <c r="N275" s="2195">
        <f t="shared" ref="N275:N314" si="49">K275+L275+M275</f>
        <v>0</v>
      </c>
      <c r="O275" s="1149"/>
      <c r="P275" s="705"/>
      <c r="Q275" s="707"/>
      <c r="R275" s="706"/>
      <c r="S275" s="706"/>
      <c r="T275" s="706"/>
      <c r="U275" s="706"/>
      <c r="V275" s="706"/>
      <c r="W275" s="706"/>
      <c r="X275" s="706"/>
      <c r="Y275" s="706"/>
      <c r="Z275" s="706"/>
      <c r="AA275" s="706"/>
      <c r="AB275" s="706"/>
      <c r="AC275" s="706"/>
    </row>
    <row r="276" spans="1:42">
      <c r="A276" s="2153">
        <v>3</v>
      </c>
      <c r="B276" s="2154" t="s">
        <v>272</v>
      </c>
      <c r="C276" s="2155"/>
      <c r="D276" s="2213">
        <f t="shared" si="47"/>
        <v>0</v>
      </c>
      <c r="E276" s="2188"/>
      <c r="F276" s="1171">
        <v>0</v>
      </c>
      <c r="G276" s="2189"/>
      <c r="H276" s="2197"/>
      <c r="I276" s="2194"/>
      <c r="J276" s="2214">
        <f t="shared" si="48"/>
        <v>0</v>
      </c>
      <c r="K276" s="2188"/>
      <c r="L276" s="2188"/>
      <c r="M276" s="2193"/>
      <c r="N276" s="2195">
        <f t="shared" si="49"/>
        <v>0</v>
      </c>
      <c r="O276" s="1149"/>
      <c r="P276" s="705"/>
      <c r="Q276" s="54"/>
      <c r="R276" s="706"/>
      <c r="S276" s="706"/>
      <c r="T276" s="706"/>
      <c r="U276" s="706"/>
      <c r="V276" s="706"/>
      <c r="W276" s="706"/>
      <c r="X276" s="706"/>
      <c r="Y276" s="706"/>
      <c r="Z276" s="706"/>
      <c r="AA276" s="706"/>
      <c r="AB276" s="706"/>
      <c r="AC276" s="706"/>
    </row>
    <row r="277" spans="1:42">
      <c r="A277" s="2153">
        <v>4</v>
      </c>
      <c r="B277" s="2154" t="s">
        <v>273</v>
      </c>
      <c r="C277" s="2155"/>
      <c r="D277" s="2213">
        <f t="shared" si="47"/>
        <v>1234162</v>
      </c>
      <c r="E277" s="2188"/>
      <c r="F277" s="1171">
        <v>353801</v>
      </c>
      <c r="G277" s="2189">
        <v>625703</v>
      </c>
      <c r="H277" s="2197">
        <v>254658</v>
      </c>
      <c r="I277" s="2194"/>
      <c r="J277" s="2214">
        <f t="shared" si="48"/>
        <v>880361</v>
      </c>
      <c r="K277" s="2188"/>
      <c r="L277" s="2188"/>
      <c r="M277" s="2193"/>
      <c r="N277" s="2195">
        <f t="shared" si="49"/>
        <v>0</v>
      </c>
      <c r="O277" s="1149"/>
      <c r="P277" s="705"/>
      <c r="Q277" s="707"/>
      <c r="R277" s="706"/>
      <c r="S277" s="706"/>
      <c r="T277" s="706"/>
      <c r="U277" s="706"/>
      <c r="V277" s="706"/>
      <c r="W277" s="706"/>
      <c r="X277" s="706"/>
      <c r="Y277" s="706"/>
      <c r="Z277" s="706"/>
      <c r="AA277" s="706"/>
      <c r="AB277" s="706"/>
      <c r="AC277" s="706"/>
    </row>
    <row r="278" spans="1:42">
      <c r="A278" s="2153">
        <v>5</v>
      </c>
      <c r="B278" s="2154" t="s">
        <v>274</v>
      </c>
      <c r="C278" s="2161">
        <v>5</v>
      </c>
      <c r="D278" s="2213">
        <f t="shared" si="47"/>
        <v>0</v>
      </c>
      <c r="E278" s="2188"/>
      <c r="F278" s="2188"/>
      <c r="G278" s="2189"/>
      <c r="H278" s="2197"/>
      <c r="I278" s="2194"/>
      <c r="J278" s="2214">
        <f t="shared" si="48"/>
        <v>0</v>
      </c>
      <c r="K278" s="2188"/>
      <c r="L278" s="2188"/>
      <c r="M278" s="2193"/>
      <c r="N278" s="2195">
        <f t="shared" si="49"/>
        <v>0</v>
      </c>
      <c r="O278" s="1149"/>
      <c r="P278" s="705"/>
      <c r="Q278" s="1142"/>
      <c r="R278" s="706"/>
      <c r="S278" s="706"/>
      <c r="T278" s="706"/>
      <c r="U278" s="706"/>
      <c r="V278" s="706"/>
      <c r="W278" s="706"/>
      <c r="X278" s="706"/>
      <c r="Y278" s="706"/>
      <c r="Z278" s="706"/>
      <c r="AA278" s="706"/>
      <c r="AB278" s="706"/>
      <c r="AC278" s="706"/>
    </row>
    <row r="279" spans="1:42">
      <c r="A279" s="2153">
        <v>6</v>
      </c>
      <c r="B279" s="2154" t="s">
        <v>275</v>
      </c>
      <c r="C279" s="2155">
        <v>6</v>
      </c>
      <c r="D279" s="2213">
        <f t="shared" si="47"/>
        <v>0</v>
      </c>
      <c r="E279" s="2188"/>
      <c r="F279" s="2188"/>
      <c r="G279" s="2188"/>
      <c r="H279" s="2193"/>
      <c r="I279" s="2194"/>
      <c r="J279" s="2214">
        <f t="shared" si="48"/>
        <v>0</v>
      </c>
      <c r="K279" s="2188"/>
      <c r="L279" s="2188"/>
      <c r="M279" s="2193"/>
      <c r="N279" s="2195">
        <f t="shared" si="49"/>
        <v>0</v>
      </c>
      <c r="O279" s="1149"/>
      <c r="P279" s="705"/>
      <c r="Q279" s="54"/>
      <c r="R279" s="706"/>
      <c r="S279" s="706"/>
      <c r="T279" s="706"/>
      <c r="U279" s="706"/>
      <c r="V279" s="706"/>
      <c r="W279" s="706"/>
      <c r="X279" s="706"/>
      <c r="Y279" s="706"/>
      <c r="Z279" s="706"/>
      <c r="AA279" s="706"/>
      <c r="AB279" s="706"/>
      <c r="AC279" s="706"/>
    </row>
    <row r="280" spans="1:42">
      <c r="A280" s="2153">
        <v>7</v>
      </c>
      <c r="B280" s="2154" t="s">
        <v>276</v>
      </c>
      <c r="C280" s="2161">
        <v>7</v>
      </c>
      <c r="D280" s="2213">
        <f t="shared" si="47"/>
        <v>0</v>
      </c>
      <c r="E280" s="2188"/>
      <c r="F280" s="2188">
        <f>F281+F282</f>
        <v>0</v>
      </c>
      <c r="G280" s="2188">
        <f>G281+G282</f>
        <v>0</v>
      </c>
      <c r="H280" s="2193">
        <f>H281+H282</f>
        <v>0</v>
      </c>
      <c r="I280" s="2194">
        <f>I281+I282</f>
        <v>0</v>
      </c>
      <c r="J280" s="2214">
        <f t="shared" si="48"/>
        <v>0</v>
      </c>
      <c r="K280" s="2188">
        <f>K281+K282</f>
        <v>0</v>
      </c>
      <c r="L280" s="2188">
        <f>L281+L282</f>
        <v>0</v>
      </c>
      <c r="M280" s="2193">
        <f>M281+M282</f>
        <v>0</v>
      </c>
      <c r="N280" s="2195">
        <f t="shared" si="49"/>
        <v>0</v>
      </c>
      <c r="O280" s="1149"/>
      <c r="P280" s="705"/>
      <c r="Q280" s="1142"/>
      <c r="R280" s="706"/>
      <c r="S280" s="706"/>
      <c r="T280" s="706"/>
      <c r="U280" s="706"/>
      <c r="V280" s="706"/>
      <c r="W280" s="706"/>
      <c r="X280" s="706"/>
      <c r="Y280" s="706"/>
      <c r="Z280" s="706"/>
      <c r="AA280" s="706"/>
      <c r="AB280" s="706"/>
      <c r="AC280" s="706"/>
    </row>
    <row r="281" spans="1:42">
      <c r="A281" s="2155"/>
      <c r="B281" s="2162" t="s">
        <v>277</v>
      </c>
      <c r="C281" s="2161"/>
      <c r="D281" s="2213">
        <f t="shared" si="47"/>
        <v>0</v>
      </c>
      <c r="E281" s="2188"/>
      <c r="F281" s="2188"/>
      <c r="G281" s="2188"/>
      <c r="H281" s="2193"/>
      <c r="I281" s="2194"/>
      <c r="J281" s="2214">
        <f t="shared" si="48"/>
        <v>0</v>
      </c>
      <c r="K281" s="2188"/>
      <c r="L281" s="2188"/>
      <c r="M281" s="2193"/>
      <c r="N281" s="2195">
        <f t="shared" si="49"/>
        <v>0</v>
      </c>
      <c r="O281" s="1149"/>
      <c r="P281" s="705"/>
      <c r="Q281" s="1142"/>
      <c r="R281" s="706"/>
      <c r="S281" s="706"/>
      <c r="T281" s="706"/>
      <c r="U281" s="706"/>
      <c r="V281" s="706"/>
      <c r="W281" s="706"/>
      <c r="X281" s="706"/>
      <c r="Y281" s="706"/>
      <c r="Z281" s="706"/>
      <c r="AA281" s="706"/>
      <c r="AB281" s="706"/>
      <c r="AC281" s="706"/>
    </row>
    <row r="282" spans="1:42">
      <c r="A282" s="2155"/>
      <c r="B282" s="2162" t="s">
        <v>278</v>
      </c>
      <c r="C282" s="2161"/>
      <c r="D282" s="2213">
        <f t="shared" si="47"/>
        <v>0</v>
      </c>
      <c r="E282" s="2188"/>
      <c r="F282" s="2188"/>
      <c r="G282" s="2188"/>
      <c r="H282" s="2193"/>
      <c r="I282" s="2194"/>
      <c r="J282" s="2214">
        <f t="shared" si="48"/>
        <v>0</v>
      </c>
      <c r="K282" s="2188"/>
      <c r="L282" s="2188"/>
      <c r="M282" s="2193"/>
      <c r="N282" s="2195">
        <f t="shared" si="49"/>
        <v>0</v>
      </c>
      <c r="O282" s="1149"/>
      <c r="P282" s="705"/>
      <c r="Q282" s="1142"/>
      <c r="R282" s="706"/>
      <c r="S282" s="706"/>
      <c r="T282" s="706"/>
      <c r="U282" s="706"/>
      <c r="V282" s="706"/>
      <c r="W282" s="706"/>
      <c r="X282" s="706"/>
      <c r="Y282" s="706"/>
      <c r="Z282" s="706"/>
      <c r="AA282" s="706"/>
      <c r="AB282" s="706"/>
      <c r="AC282" s="706"/>
    </row>
    <row r="283" spans="1:42">
      <c r="A283" s="2153">
        <v>8</v>
      </c>
      <c r="B283" s="2154" t="s">
        <v>279</v>
      </c>
      <c r="C283" s="2155">
        <v>8</v>
      </c>
      <c r="D283" s="2213">
        <f t="shared" si="47"/>
        <v>0</v>
      </c>
      <c r="E283" s="2188"/>
      <c r="F283" s="2188">
        <f>F284+F285</f>
        <v>0</v>
      </c>
      <c r="G283" s="2188">
        <f>G284+G285</f>
        <v>0</v>
      </c>
      <c r="H283" s="2193">
        <f>H284+H285</f>
        <v>0</v>
      </c>
      <c r="I283" s="2194">
        <f>I284+I285</f>
        <v>0</v>
      </c>
      <c r="J283" s="2214">
        <f t="shared" si="48"/>
        <v>0</v>
      </c>
      <c r="K283" s="2188">
        <f>K284+K285</f>
        <v>0</v>
      </c>
      <c r="L283" s="2188">
        <f>L284+L285</f>
        <v>0</v>
      </c>
      <c r="M283" s="2193">
        <f>M284+M285</f>
        <v>0</v>
      </c>
      <c r="N283" s="2195">
        <f t="shared" si="49"/>
        <v>0</v>
      </c>
      <c r="O283" s="1149"/>
      <c r="P283" s="705"/>
      <c r="Q283" s="54"/>
      <c r="R283" s="706"/>
      <c r="S283" s="706"/>
      <c r="T283" s="706"/>
      <c r="U283" s="706"/>
      <c r="V283" s="706"/>
      <c r="W283" s="706"/>
      <c r="X283" s="706"/>
      <c r="Y283" s="706"/>
      <c r="Z283" s="706"/>
      <c r="AA283" s="706"/>
      <c r="AB283" s="706"/>
      <c r="AC283" s="706"/>
    </row>
    <row r="284" spans="1:42">
      <c r="A284" s="2153"/>
      <c r="B284" s="2162" t="s">
        <v>280</v>
      </c>
      <c r="C284" s="2155"/>
      <c r="D284" s="2213">
        <f t="shared" si="47"/>
        <v>0</v>
      </c>
      <c r="E284" s="2188"/>
      <c r="F284" s="2188"/>
      <c r="G284" s="2188"/>
      <c r="H284" s="2193"/>
      <c r="I284" s="2194"/>
      <c r="J284" s="2214">
        <f t="shared" si="48"/>
        <v>0</v>
      </c>
      <c r="K284" s="2188"/>
      <c r="L284" s="2188"/>
      <c r="M284" s="2193"/>
      <c r="N284" s="2195">
        <f t="shared" si="49"/>
        <v>0</v>
      </c>
      <c r="O284" s="1149"/>
      <c r="P284" s="705"/>
      <c r="Q284" s="54"/>
      <c r="R284" s="706"/>
      <c r="S284" s="706"/>
      <c r="T284" s="706"/>
      <c r="U284" s="706"/>
      <c r="V284" s="706"/>
      <c r="W284" s="706"/>
      <c r="X284" s="706"/>
      <c r="Y284" s="706"/>
      <c r="Z284" s="706"/>
      <c r="AA284" s="706"/>
      <c r="AB284" s="706"/>
      <c r="AC284" s="706"/>
    </row>
    <row r="285" spans="1:42">
      <c r="A285" s="2153"/>
      <c r="B285" s="2162" t="s">
        <v>281</v>
      </c>
      <c r="C285" s="2155"/>
      <c r="D285" s="2213">
        <f t="shared" si="47"/>
        <v>0</v>
      </c>
      <c r="E285" s="2188"/>
      <c r="F285" s="2188"/>
      <c r="G285" s="2188"/>
      <c r="H285" s="2193"/>
      <c r="I285" s="2194"/>
      <c r="J285" s="2214">
        <f t="shared" si="48"/>
        <v>0</v>
      </c>
      <c r="K285" s="2188"/>
      <c r="L285" s="2188"/>
      <c r="M285" s="2193"/>
      <c r="N285" s="2195">
        <f t="shared" si="49"/>
        <v>0</v>
      </c>
      <c r="O285" s="1149"/>
      <c r="P285" s="705"/>
      <c r="Q285" s="54"/>
      <c r="R285" s="706"/>
      <c r="S285" s="706"/>
      <c r="T285" s="706"/>
      <c r="U285" s="706"/>
      <c r="V285" s="706"/>
      <c r="W285" s="706"/>
      <c r="X285" s="706"/>
      <c r="Y285" s="706"/>
      <c r="Z285" s="706"/>
      <c r="AA285" s="706"/>
      <c r="AB285" s="706"/>
      <c r="AC285" s="706"/>
    </row>
    <row r="286" spans="1:42" s="913" customFormat="1" ht="25.5">
      <c r="A286" s="2163">
        <v>9</v>
      </c>
      <c r="B286" s="2164" t="s">
        <v>282</v>
      </c>
      <c r="C286" s="2165"/>
      <c r="D286" s="2230">
        <f t="shared" si="47"/>
        <v>34217429</v>
      </c>
      <c r="E286" s="2231">
        <f>SUM(E287:E290)</f>
        <v>0</v>
      </c>
      <c r="F286" s="2231">
        <f>SUM(F287:F290)</f>
        <v>10709394</v>
      </c>
      <c r="G286" s="2231">
        <f>SUM(G287:G290)</f>
        <v>8052583</v>
      </c>
      <c r="H286" s="2204">
        <f>SUM(H287:H290)</f>
        <v>14410142</v>
      </c>
      <c r="I286" s="2202">
        <f>SUM(I287:I290)</f>
        <v>1045310</v>
      </c>
      <c r="J286" s="2233">
        <f>G286+H286+I286</f>
        <v>23508035</v>
      </c>
      <c r="K286" s="2231">
        <f>SUM(K287:K290)</f>
        <v>0</v>
      </c>
      <c r="L286" s="2231">
        <f>SUM(L287:L290)</f>
        <v>0</v>
      </c>
      <c r="M286" s="2204">
        <f>SUM(M287:M290)</f>
        <v>0</v>
      </c>
      <c r="N286" s="2205">
        <f t="shared" si="49"/>
        <v>0</v>
      </c>
      <c r="O286" s="1155"/>
      <c r="P286" s="1025"/>
      <c r="Q286" s="1143"/>
      <c r="R286" s="1027"/>
      <c r="S286" s="1027"/>
      <c r="T286" s="1027"/>
      <c r="U286" s="1027"/>
      <c r="V286" s="1027"/>
      <c r="W286" s="1027"/>
      <c r="X286" s="1027"/>
      <c r="Y286" s="1027"/>
      <c r="Z286" s="1027"/>
      <c r="AA286" s="1027"/>
      <c r="AB286" s="1027"/>
      <c r="AC286" s="1027"/>
      <c r="AE286" s="1058"/>
      <c r="AF286" s="1058"/>
      <c r="AG286" s="1058"/>
      <c r="AH286" s="1058"/>
      <c r="AI286" s="1058"/>
      <c r="AJ286" s="1058"/>
      <c r="AK286" s="1058"/>
      <c r="AL286" s="1058"/>
      <c r="AM286" s="1058"/>
      <c r="AN286" s="1058"/>
      <c r="AO286" s="1058"/>
      <c r="AP286" s="1058"/>
    </row>
    <row r="287" spans="1:42">
      <c r="A287" s="2155">
        <v>10</v>
      </c>
      <c r="B287" s="2171" t="s">
        <v>283</v>
      </c>
      <c r="C287" s="2155">
        <v>9</v>
      </c>
      <c r="D287" s="2213">
        <f t="shared" si="47"/>
        <v>0</v>
      </c>
      <c r="E287" s="2188"/>
      <c r="F287" s="2258">
        <v>0</v>
      </c>
      <c r="G287" s="2258">
        <v>0</v>
      </c>
      <c r="H287" s="2258">
        <v>0</v>
      </c>
      <c r="I287" s="2194">
        <v>0</v>
      </c>
      <c r="J287" s="2214">
        <f t="shared" ref="J287:J305" si="50">G287+H287+I287</f>
        <v>0</v>
      </c>
      <c r="K287" s="2188"/>
      <c r="L287" s="2188"/>
      <c r="M287" s="2193"/>
      <c r="N287" s="2195">
        <f t="shared" si="49"/>
        <v>0</v>
      </c>
      <c r="O287" s="1149"/>
      <c r="P287" s="705"/>
      <c r="Q287" s="54"/>
      <c r="R287" s="706"/>
      <c r="S287" s="706"/>
      <c r="T287" s="706"/>
      <c r="U287" s="706"/>
      <c r="V287" s="706"/>
      <c r="W287" s="706"/>
      <c r="X287" s="706"/>
      <c r="Y287" s="706"/>
      <c r="Z287" s="706"/>
      <c r="AA287" s="706"/>
      <c r="AB287" s="706"/>
      <c r="AC287" s="706"/>
    </row>
    <row r="288" spans="1:42">
      <c r="A288" s="2155">
        <v>11</v>
      </c>
      <c r="B288" s="2171" t="s">
        <v>284</v>
      </c>
      <c r="C288" s="2155">
        <v>10</v>
      </c>
      <c r="D288" s="2213">
        <f t="shared" si="47"/>
        <v>25600336</v>
      </c>
      <c r="E288" s="2188"/>
      <c r="F288" s="1244">
        <v>8666173</v>
      </c>
      <c r="G288" s="1245">
        <v>5687136</v>
      </c>
      <c r="H288" s="1245">
        <v>10290980</v>
      </c>
      <c r="I288" s="1184">
        <v>956047</v>
      </c>
      <c r="J288" s="2214">
        <f t="shared" si="50"/>
        <v>16934163</v>
      </c>
      <c r="K288" s="2188"/>
      <c r="L288" s="2188"/>
      <c r="M288" s="2193"/>
      <c r="N288" s="2195">
        <f t="shared" si="49"/>
        <v>0</v>
      </c>
      <c r="O288" s="1149"/>
      <c r="P288" s="705"/>
      <c r="Q288" s="707"/>
      <c r="R288" s="706"/>
      <c r="S288" s="706"/>
      <c r="T288" s="706"/>
      <c r="U288" s="706"/>
      <c r="V288" s="706"/>
      <c r="W288" s="706"/>
      <c r="X288" s="706"/>
      <c r="Y288" s="706"/>
      <c r="Z288" s="706"/>
      <c r="AA288" s="706"/>
      <c r="AB288" s="706"/>
      <c r="AC288" s="706"/>
    </row>
    <row r="289" spans="1:42">
      <c r="A289" s="2155">
        <v>12</v>
      </c>
      <c r="B289" s="2171" t="s">
        <v>285</v>
      </c>
      <c r="C289" s="2155">
        <v>11</v>
      </c>
      <c r="D289" s="2213">
        <f t="shared" si="47"/>
        <v>3382909</v>
      </c>
      <c r="E289" s="2188"/>
      <c r="F289" s="1244">
        <v>1364549</v>
      </c>
      <c r="G289" s="1245">
        <v>1775867</v>
      </c>
      <c r="H289" s="1245">
        <v>242493</v>
      </c>
      <c r="I289" s="1184">
        <v>0</v>
      </c>
      <c r="J289" s="2214">
        <f t="shared" si="50"/>
        <v>2018360</v>
      </c>
      <c r="K289" s="2188"/>
      <c r="L289" s="2188"/>
      <c r="M289" s="2193"/>
      <c r="N289" s="2195">
        <f t="shared" si="49"/>
        <v>0</v>
      </c>
      <c r="O289" s="1149"/>
      <c r="P289" s="705"/>
      <c r="Q289" s="707"/>
      <c r="R289" s="706"/>
      <c r="S289" s="706"/>
      <c r="T289" s="706"/>
      <c r="U289" s="706"/>
      <c r="V289" s="706"/>
      <c r="W289" s="706"/>
      <c r="X289" s="706"/>
      <c r="Y289" s="706"/>
      <c r="Z289" s="706"/>
      <c r="AA289" s="706"/>
      <c r="AB289" s="706"/>
      <c r="AC289" s="706"/>
    </row>
    <row r="290" spans="1:42" ht="25.5">
      <c r="A290" s="2155">
        <v>13</v>
      </c>
      <c r="B290" s="2171" t="s">
        <v>286</v>
      </c>
      <c r="C290" s="2155">
        <v>12</v>
      </c>
      <c r="D290" s="2213">
        <f t="shared" si="47"/>
        <v>5234184</v>
      </c>
      <c r="E290" s="2188"/>
      <c r="F290" s="1244">
        <v>678672</v>
      </c>
      <c r="G290" s="1245">
        <v>589580</v>
      </c>
      <c r="H290" s="1245">
        <v>3876669</v>
      </c>
      <c r="I290" s="1184">
        <v>89263</v>
      </c>
      <c r="J290" s="2214">
        <f t="shared" si="50"/>
        <v>4555512</v>
      </c>
      <c r="K290" s="2188"/>
      <c r="L290" s="2188"/>
      <c r="M290" s="2193"/>
      <c r="N290" s="2195">
        <f t="shared" si="49"/>
        <v>0</v>
      </c>
      <c r="O290" s="1149"/>
      <c r="P290" s="705"/>
      <c r="Q290" s="707"/>
      <c r="R290" s="706"/>
      <c r="S290" s="706"/>
      <c r="T290" s="706"/>
      <c r="U290" s="706"/>
      <c r="V290" s="706"/>
      <c r="W290" s="706"/>
      <c r="X290" s="706"/>
      <c r="Y290" s="706"/>
      <c r="Z290" s="706"/>
      <c r="AA290" s="706"/>
      <c r="AB290" s="706"/>
      <c r="AC290" s="706"/>
    </row>
    <row r="291" spans="1:42">
      <c r="A291" s="2155">
        <v>14</v>
      </c>
      <c r="B291" s="2154" t="s">
        <v>287</v>
      </c>
      <c r="C291" s="2155">
        <v>13</v>
      </c>
      <c r="D291" s="2213">
        <f t="shared" si="47"/>
        <v>224198</v>
      </c>
      <c r="E291" s="2188"/>
      <c r="F291" s="1244">
        <v>0</v>
      </c>
      <c r="G291" s="1245">
        <v>224198</v>
      </c>
      <c r="H291" s="1245">
        <v>0</v>
      </c>
      <c r="I291" s="1173">
        <v>0</v>
      </c>
      <c r="J291" s="2214">
        <f t="shared" si="50"/>
        <v>224198</v>
      </c>
      <c r="K291" s="2188"/>
      <c r="L291" s="2188"/>
      <c r="M291" s="2193"/>
      <c r="N291" s="2195">
        <f t="shared" si="49"/>
        <v>0</v>
      </c>
      <c r="O291" s="1149"/>
      <c r="P291" s="705"/>
      <c r="Q291" s="707"/>
      <c r="R291" s="706"/>
      <c r="S291" s="706"/>
      <c r="T291" s="706"/>
      <c r="U291" s="706"/>
      <c r="V291" s="706"/>
      <c r="W291" s="706"/>
      <c r="X291" s="706"/>
      <c r="Y291" s="706"/>
      <c r="Z291" s="706"/>
      <c r="AA291" s="706"/>
      <c r="AB291" s="706"/>
      <c r="AC291" s="706"/>
    </row>
    <row r="292" spans="1:42">
      <c r="A292" s="2155">
        <v>15</v>
      </c>
      <c r="B292" s="2154" t="s">
        <v>288</v>
      </c>
      <c r="C292" s="2161">
        <v>14</v>
      </c>
      <c r="D292" s="2213">
        <f t="shared" si="47"/>
        <v>231587</v>
      </c>
      <c r="E292" s="2188"/>
      <c r="F292" s="1244">
        <v>0</v>
      </c>
      <c r="G292" s="1245">
        <v>14958</v>
      </c>
      <c r="H292" s="1245">
        <v>216462</v>
      </c>
      <c r="I292" s="1173">
        <v>167</v>
      </c>
      <c r="J292" s="2214">
        <f t="shared" si="50"/>
        <v>231587</v>
      </c>
      <c r="K292" s="2188"/>
      <c r="L292" s="2188"/>
      <c r="M292" s="2193"/>
      <c r="N292" s="2195">
        <f t="shared" si="49"/>
        <v>0</v>
      </c>
      <c r="O292" s="1149"/>
      <c r="P292" s="705"/>
      <c r="Q292" s="1141"/>
      <c r="R292" s="706"/>
      <c r="S292" s="706"/>
      <c r="T292" s="706"/>
      <c r="U292" s="706"/>
      <c r="V292" s="706"/>
      <c r="W292" s="706"/>
      <c r="X292" s="706"/>
      <c r="Y292" s="706"/>
      <c r="Z292" s="706"/>
      <c r="AA292" s="706"/>
      <c r="AB292" s="706"/>
      <c r="AC292" s="706"/>
    </row>
    <row r="293" spans="1:42">
      <c r="A293" s="2155">
        <v>16</v>
      </c>
      <c r="B293" s="2154" t="s">
        <v>289</v>
      </c>
      <c r="C293" s="2155">
        <v>15</v>
      </c>
      <c r="D293" s="2213">
        <f t="shared" si="47"/>
        <v>983657</v>
      </c>
      <c r="E293" s="2188"/>
      <c r="F293" s="1244">
        <v>0</v>
      </c>
      <c r="G293" s="1245">
        <v>80766</v>
      </c>
      <c r="H293" s="1245">
        <v>902891</v>
      </c>
      <c r="I293" s="1173">
        <v>0</v>
      </c>
      <c r="J293" s="2214">
        <f t="shared" si="50"/>
        <v>983657</v>
      </c>
      <c r="K293" s="2188"/>
      <c r="L293" s="2188"/>
      <c r="M293" s="2193"/>
      <c r="N293" s="2195">
        <f t="shared" si="49"/>
        <v>0</v>
      </c>
      <c r="O293" s="1149"/>
      <c r="P293" s="705"/>
      <c r="Q293" s="707"/>
      <c r="R293" s="706"/>
      <c r="S293" s="706"/>
      <c r="T293" s="706"/>
      <c r="U293" s="706"/>
      <c r="V293" s="706"/>
      <c r="W293" s="706"/>
      <c r="X293" s="706"/>
      <c r="Y293" s="706"/>
      <c r="Z293" s="706"/>
      <c r="AA293" s="706"/>
      <c r="AB293" s="706"/>
      <c r="AC293" s="706"/>
    </row>
    <row r="294" spans="1:42">
      <c r="A294" s="2155">
        <v>17</v>
      </c>
      <c r="B294" s="2154" t="s">
        <v>290</v>
      </c>
      <c r="C294" s="2161">
        <v>16</v>
      </c>
      <c r="D294" s="2213">
        <f t="shared" si="47"/>
        <v>1754423</v>
      </c>
      <c r="E294" s="2188"/>
      <c r="F294" s="1244">
        <v>911298</v>
      </c>
      <c r="G294" s="1245">
        <v>15235</v>
      </c>
      <c r="H294" s="1245">
        <v>827816</v>
      </c>
      <c r="I294" s="1184">
        <v>74</v>
      </c>
      <c r="J294" s="2214">
        <f t="shared" si="50"/>
        <v>843125</v>
      </c>
      <c r="K294" s="2188"/>
      <c r="L294" s="2188"/>
      <c r="M294" s="2193"/>
      <c r="N294" s="2195">
        <f t="shared" si="49"/>
        <v>0</v>
      </c>
      <c r="O294" s="1149"/>
      <c r="P294" s="705"/>
      <c r="Q294" s="1141"/>
      <c r="R294" s="706"/>
      <c r="S294" s="706"/>
      <c r="T294" s="706"/>
      <c r="U294" s="706"/>
      <c r="V294" s="706"/>
      <c r="W294" s="706"/>
      <c r="X294" s="706"/>
      <c r="Y294" s="706"/>
      <c r="Z294" s="706"/>
      <c r="AA294" s="706"/>
      <c r="AB294" s="706"/>
      <c r="AC294" s="706"/>
    </row>
    <row r="295" spans="1:42">
      <c r="A295" s="2155">
        <v>18</v>
      </c>
      <c r="B295" s="2154" t="s">
        <v>291</v>
      </c>
      <c r="C295" s="2155"/>
      <c r="D295" s="2213">
        <f t="shared" si="47"/>
        <v>0</v>
      </c>
      <c r="E295" s="2188"/>
      <c r="F295" s="1244">
        <v>0</v>
      </c>
      <c r="G295" s="1245">
        <v>0</v>
      </c>
      <c r="H295" s="1245">
        <v>0</v>
      </c>
      <c r="I295" s="1173">
        <v>0</v>
      </c>
      <c r="J295" s="2214">
        <f t="shared" si="50"/>
        <v>0</v>
      </c>
      <c r="K295" s="2188"/>
      <c r="L295" s="2188"/>
      <c r="M295" s="2193"/>
      <c r="N295" s="2195">
        <f t="shared" si="49"/>
        <v>0</v>
      </c>
      <c r="O295" s="1149"/>
      <c r="P295" s="705"/>
      <c r="Q295" s="54"/>
      <c r="R295" s="706"/>
      <c r="S295" s="706"/>
      <c r="T295" s="706"/>
      <c r="U295" s="706"/>
      <c r="V295" s="706"/>
      <c r="W295" s="706"/>
      <c r="X295" s="706"/>
      <c r="Y295" s="706"/>
      <c r="Z295" s="706"/>
      <c r="AA295" s="706"/>
      <c r="AB295" s="706"/>
      <c r="AC295" s="706"/>
    </row>
    <row r="296" spans="1:42" ht="13.5" thickBot="1">
      <c r="A296" s="2172">
        <v>19</v>
      </c>
      <c r="B296" s="2173" t="s">
        <v>292</v>
      </c>
      <c r="C296" s="2172"/>
      <c r="D296" s="1388">
        <f t="shared" si="47"/>
        <v>696920</v>
      </c>
      <c r="E296" s="1176"/>
      <c r="F296" s="1246">
        <v>2034</v>
      </c>
      <c r="G296" s="1247">
        <v>3379</v>
      </c>
      <c r="H296" s="1247">
        <v>689151</v>
      </c>
      <c r="I296" s="1178">
        <v>2356</v>
      </c>
      <c r="J296" s="1396">
        <f t="shared" si="50"/>
        <v>694886</v>
      </c>
      <c r="K296" s="1176"/>
      <c r="L296" s="1176"/>
      <c r="M296" s="1177"/>
      <c r="N296" s="2215">
        <f t="shared" si="49"/>
        <v>0</v>
      </c>
      <c r="O296" s="1149"/>
      <c r="P296" s="705"/>
      <c r="Q296" s="707"/>
      <c r="R296" s="706"/>
      <c r="S296" s="706"/>
      <c r="T296" s="706"/>
      <c r="U296" s="706"/>
      <c r="V296" s="706"/>
      <c r="W296" s="706"/>
      <c r="X296" s="706"/>
      <c r="Y296" s="706"/>
      <c r="Z296" s="706"/>
      <c r="AA296" s="706"/>
      <c r="AB296" s="706"/>
      <c r="AC296" s="706"/>
    </row>
    <row r="297" spans="1:42" s="913" customFormat="1" ht="26.25" thickBot="1">
      <c r="A297" s="1351">
        <v>20</v>
      </c>
      <c r="B297" s="1352" t="s">
        <v>293</v>
      </c>
      <c r="C297" s="1351"/>
      <c r="D297" s="1378">
        <f t="shared" si="47"/>
        <v>39343732</v>
      </c>
      <c r="E297" s="1378">
        <f>SUM(E274:E280)+E283+E286+SUM(E291:E296)</f>
        <v>0</v>
      </c>
      <c r="F297" s="1378">
        <f>SUM(F274:F280)+F283+F286+SUM(F291:F296)</f>
        <v>11977883</v>
      </c>
      <c r="G297" s="1378">
        <f>SUM(G274:G280)+G283+G286+SUM(G291:G296)</f>
        <v>9016822</v>
      </c>
      <c r="H297" s="1379">
        <f>SUM(H274:H280)+H283+H286+SUM(H291:H296)</f>
        <v>17301120</v>
      </c>
      <c r="I297" s="1380">
        <f>SUM(I274:I280)+I283+I286+SUM(I291:I296)</f>
        <v>1047907</v>
      </c>
      <c r="J297" s="1378">
        <f t="shared" si="50"/>
        <v>27365849</v>
      </c>
      <c r="K297" s="1378">
        <f>SUM(K274:K280)+K283+K286+SUM(K291:K296)</f>
        <v>0</v>
      </c>
      <c r="L297" s="1378">
        <f>SUM(L274:L280)+L283+L286+SUM(L291:L296)</f>
        <v>0</v>
      </c>
      <c r="M297" s="1379">
        <f>SUM(M274:M280)+M283+M286+SUM(M291:M296)</f>
        <v>0</v>
      </c>
      <c r="N297" s="1380">
        <f t="shared" si="49"/>
        <v>0</v>
      </c>
      <c r="O297" s="1155"/>
      <c r="P297" s="1025"/>
      <c r="Q297" s="710"/>
      <c r="R297" s="1027"/>
      <c r="S297" s="1027"/>
      <c r="T297" s="1027"/>
      <c r="U297" s="1027"/>
      <c r="V297" s="1027"/>
      <c r="W297" s="1027"/>
      <c r="X297" s="1027"/>
      <c r="Y297" s="1027"/>
      <c r="Z297" s="1027"/>
      <c r="AA297" s="1027"/>
      <c r="AB297" s="1027"/>
      <c r="AC297" s="1027"/>
      <c r="AE297" s="1058"/>
      <c r="AF297" s="1058"/>
      <c r="AG297" s="1058"/>
      <c r="AH297" s="1058"/>
      <c r="AI297" s="1058"/>
      <c r="AJ297" s="1058"/>
      <c r="AK297" s="1058"/>
      <c r="AL297" s="1058"/>
      <c r="AM297" s="1058"/>
      <c r="AN297" s="1058"/>
      <c r="AO297" s="1058"/>
      <c r="AP297" s="1058"/>
    </row>
    <row r="298" spans="1:42">
      <c r="A298" s="2155"/>
      <c r="B298" s="2175" t="s">
        <v>294</v>
      </c>
      <c r="C298" s="2155"/>
      <c r="D298" s="1387">
        <f t="shared" si="47"/>
        <v>0</v>
      </c>
      <c r="E298" s="1171"/>
      <c r="F298" s="1171"/>
      <c r="G298" s="1182"/>
      <c r="H298" s="1174"/>
      <c r="I298" s="1173"/>
      <c r="J298" s="1395">
        <f t="shared" si="50"/>
        <v>0</v>
      </c>
      <c r="K298" s="1171"/>
      <c r="L298" s="1171"/>
      <c r="M298" s="1172"/>
      <c r="N298" s="1401">
        <f t="shared" si="49"/>
        <v>0</v>
      </c>
      <c r="O298" s="1149"/>
      <c r="P298" s="705"/>
      <c r="Q298" s="54"/>
      <c r="R298" s="706"/>
      <c r="S298" s="706"/>
      <c r="T298" s="706"/>
      <c r="U298" s="706"/>
      <c r="V298" s="706"/>
      <c r="W298" s="706"/>
      <c r="X298" s="706"/>
      <c r="Y298" s="706"/>
      <c r="Z298" s="706"/>
      <c r="AA298" s="706"/>
      <c r="AB298" s="706"/>
      <c r="AC298" s="706"/>
    </row>
    <row r="299" spans="1:42">
      <c r="A299" s="2155"/>
      <c r="B299" s="2175" t="s">
        <v>295</v>
      </c>
      <c r="C299" s="2155"/>
      <c r="D299" s="2213">
        <f t="shared" si="47"/>
        <v>0</v>
      </c>
      <c r="E299" s="2188"/>
      <c r="F299" s="2188"/>
      <c r="G299" s="2189"/>
      <c r="H299" s="2197"/>
      <c r="I299" s="2194"/>
      <c r="J299" s="2214">
        <f t="shared" si="50"/>
        <v>0</v>
      </c>
      <c r="K299" s="2188"/>
      <c r="L299" s="2188"/>
      <c r="M299" s="2193"/>
      <c r="N299" s="2195">
        <f t="shared" si="49"/>
        <v>0</v>
      </c>
      <c r="O299" s="1149"/>
      <c r="P299" s="705"/>
      <c r="Q299" s="54"/>
      <c r="R299" s="706"/>
      <c r="S299" s="706"/>
      <c r="T299" s="706"/>
      <c r="U299" s="706"/>
      <c r="V299" s="706"/>
      <c r="W299" s="706"/>
      <c r="X299" s="706"/>
      <c r="Y299" s="706"/>
      <c r="Z299" s="706"/>
      <c r="AA299" s="706"/>
      <c r="AB299" s="706"/>
      <c r="AC299" s="706"/>
    </row>
    <row r="300" spans="1:42">
      <c r="A300" s="2155">
        <v>21</v>
      </c>
      <c r="B300" s="2154" t="s">
        <v>296</v>
      </c>
      <c r="C300" s="2161">
        <v>17</v>
      </c>
      <c r="D300" s="2213">
        <f t="shared" si="47"/>
        <v>20966244</v>
      </c>
      <c r="E300" s="2188"/>
      <c r="F300" s="2259">
        <v>0</v>
      </c>
      <c r="G300" s="2260">
        <v>8705109</v>
      </c>
      <c r="H300" s="2258">
        <v>10865686</v>
      </c>
      <c r="I300" s="2194">
        <v>1395449</v>
      </c>
      <c r="J300" s="2214">
        <f t="shared" si="50"/>
        <v>20966244</v>
      </c>
      <c r="K300" s="2188"/>
      <c r="L300" s="2188"/>
      <c r="M300" s="2193"/>
      <c r="N300" s="2195">
        <f t="shared" si="49"/>
        <v>0</v>
      </c>
      <c r="O300" s="1149"/>
      <c r="P300" s="705"/>
      <c r="Q300" s="1141"/>
      <c r="R300" s="706"/>
      <c r="S300" s="706"/>
      <c r="T300" s="706"/>
      <c r="U300" s="706"/>
      <c r="V300" s="706"/>
      <c r="W300" s="706"/>
      <c r="X300" s="706"/>
      <c r="Y300" s="706"/>
      <c r="Z300" s="706"/>
      <c r="AA300" s="706"/>
      <c r="AB300" s="706"/>
      <c r="AC300" s="706"/>
    </row>
    <row r="301" spans="1:42">
      <c r="A301" s="2155">
        <v>22</v>
      </c>
      <c r="B301" s="2154" t="s">
        <v>297</v>
      </c>
      <c r="C301" s="2155"/>
      <c r="D301" s="2213">
        <f t="shared" si="47"/>
        <v>192629</v>
      </c>
      <c r="E301" s="2188"/>
      <c r="F301" s="1248">
        <v>0</v>
      </c>
      <c r="G301" s="1249">
        <v>0</v>
      </c>
      <c r="H301" s="1245">
        <v>189921</v>
      </c>
      <c r="I301" s="1173">
        <v>2708</v>
      </c>
      <c r="J301" s="2214">
        <f t="shared" si="50"/>
        <v>192629</v>
      </c>
      <c r="K301" s="2188"/>
      <c r="L301" s="2188"/>
      <c r="M301" s="2193"/>
      <c r="N301" s="2195">
        <f t="shared" si="49"/>
        <v>0</v>
      </c>
      <c r="O301" s="1149"/>
      <c r="P301" s="705"/>
      <c r="Q301" s="707"/>
      <c r="R301" s="706"/>
      <c r="S301" s="706"/>
      <c r="T301" s="706"/>
      <c r="U301" s="706"/>
      <c r="V301" s="706"/>
      <c r="W301" s="706"/>
      <c r="X301" s="706"/>
      <c r="Y301" s="706"/>
      <c r="Z301" s="706"/>
      <c r="AA301" s="706"/>
      <c r="AB301" s="706"/>
      <c r="AC301" s="706"/>
    </row>
    <row r="302" spans="1:42">
      <c r="A302" s="2155">
        <v>23</v>
      </c>
      <c r="B302" s="2154" t="s">
        <v>298</v>
      </c>
      <c r="C302" s="2155">
        <v>18</v>
      </c>
      <c r="D302" s="2213">
        <f t="shared" si="47"/>
        <v>1040255</v>
      </c>
      <c r="E302" s="2188"/>
      <c r="F302" s="1248">
        <v>0</v>
      </c>
      <c r="G302" s="1250">
        <v>30510</v>
      </c>
      <c r="H302" s="1245">
        <v>1013581</v>
      </c>
      <c r="I302" s="1173">
        <v>-3836</v>
      </c>
      <c r="J302" s="2214">
        <f t="shared" si="50"/>
        <v>1040255</v>
      </c>
      <c r="K302" s="2188"/>
      <c r="L302" s="2188"/>
      <c r="M302" s="2193"/>
      <c r="N302" s="2195">
        <f t="shared" si="49"/>
        <v>0</v>
      </c>
      <c r="O302" s="1149"/>
      <c r="P302" s="705"/>
      <c r="Q302" s="707"/>
      <c r="R302" s="706"/>
      <c r="S302" s="706"/>
      <c r="T302" s="706"/>
      <c r="U302" s="706"/>
      <c r="V302" s="706"/>
      <c r="W302" s="706"/>
      <c r="X302" s="706"/>
      <c r="Y302" s="706"/>
      <c r="Z302" s="706"/>
      <c r="AA302" s="706"/>
      <c r="AB302" s="706"/>
      <c r="AC302" s="706"/>
    </row>
    <row r="303" spans="1:42">
      <c r="A303" s="2155">
        <v>24</v>
      </c>
      <c r="B303" s="2154" t="s">
        <v>299</v>
      </c>
      <c r="C303" s="2155"/>
      <c r="D303" s="2213">
        <f t="shared" si="47"/>
        <v>0</v>
      </c>
      <c r="E303" s="2188"/>
      <c r="F303" s="1248">
        <v>0</v>
      </c>
      <c r="G303" s="1249">
        <v>0</v>
      </c>
      <c r="H303" s="1251">
        <v>0</v>
      </c>
      <c r="I303" s="1173">
        <v>0</v>
      </c>
      <c r="J303" s="2214">
        <f t="shared" si="50"/>
        <v>0</v>
      </c>
      <c r="K303" s="2188"/>
      <c r="L303" s="2188"/>
      <c r="M303" s="2193"/>
      <c r="N303" s="2195">
        <f t="shared" si="49"/>
        <v>0</v>
      </c>
      <c r="O303" s="1149"/>
      <c r="P303" s="705"/>
      <c r="Q303" s="54"/>
      <c r="R303" s="706"/>
      <c r="S303" s="706"/>
      <c r="T303" s="706"/>
      <c r="U303" s="706"/>
      <c r="V303" s="706"/>
      <c r="W303" s="706"/>
      <c r="X303" s="706"/>
      <c r="Y303" s="706"/>
      <c r="Z303" s="706"/>
      <c r="AA303" s="706"/>
      <c r="AB303" s="706"/>
      <c r="AC303" s="706"/>
    </row>
    <row r="304" spans="1:42">
      <c r="A304" s="2155">
        <v>25</v>
      </c>
      <c r="B304" s="2176" t="s">
        <v>300</v>
      </c>
      <c r="C304" s="2155"/>
      <c r="D304" s="2213">
        <f t="shared" si="47"/>
        <v>3355544</v>
      </c>
      <c r="E304" s="2188"/>
      <c r="F304" s="1248">
        <v>3064994</v>
      </c>
      <c r="G304" s="1249">
        <v>0</v>
      </c>
      <c r="H304" s="1245">
        <v>290550</v>
      </c>
      <c r="I304" s="1173">
        <v>0</v>
      </c>
      <c r="J304" s="2214">
        <f t="shared" si="50"/>
        <v>290550</v>
      </c>
      <c r="K304" s="2188"/>
      <c r="L304" s="2188"/>
      <c r="M304" s="2193"/>
      <c r="N304" s="2195">
        <f t="shared" si="49"/>
        <v>0</v>
      </c>
      <c r="O304" s="1149"/>
      <c r="P304" s="705"/>
      <c r="Q304" s="707"/>
      <c r="R304" s="706"/>
      <c r="S304" s="706"/>
      <c r="T304" s="706"/>
      <c r="U304" s="706"/>
      <c r="V304" s="706"/>
      <c r="W304" s="706"/>
      <c r="X304" s="706"/>
      <c r="Y304" s="706"/>
      <c r="Z304" s="706"/>
      <c r="AA304" s="706"/>
      <c r="AB304" s="706"/>
      <c r="AC304" s="706"/>
    </row>
    <row r="305" spans="1:42" ht="13.5" thickBot="1">
      <c r="A305" s="2172">
        <v>26</v>
      </c>
      <c r="B305" s="2173" t="s">
        <v>301</v>
      </c>
      <c r="C305" s="2177">
        <v>19</v>
      </c>
      <c r="D305" s="2213">
        <f t="shared" si="47"/>
        <v>3200629</v>
      </c>
      <c r="E305" s="2188"/>
      <c r="F305" s="1252">
        <v>-2082290</v>
      </c>
      <c r="G305" s="1253">
        <v>679275</v>
      </c>
      <c r="H305" s="1245">
        <v>4950059</v>
      </c>
      <c r="I305" s="1436">
        <v>-346415</v>
      </c>
      <c r="J305" s="2214">
        <f t="shared" si="50"/>
        <v>5282919</v>
      </c>
      <c r="K305" s="2188"/>
      <c r="L305" s="2188"/>
      <c r="M305" s="2193"/>
      <c r="N305" s="2195">
        <f t="shared" si="49"/>
        <v>0</v>
      </c>
      <c r="O305" s="1149"/>
      <c r="P305" s="705"/>
      <c r="Q305" s="1141"/>
      <c r="R305" s="706"/>
      <c r="S305" s="706"/>
      <c r="T305" s="706"/>
      <c r="U305" s="706"/>
      <c r="V305" s="706"/>
      <c r="W305" s="706"/>
      <c r="X305" s="706"/>
      <c r="Y305" s="706"/>
      <c r="Z305" s="706"/>
      <c r="AA305" s="706"/>
      <c r="AB305" s="706"/>
      <c r="AC305" s="706"/>
    </row>
    <row r="306" spans="1:42" s="913" customFormat="1" ht="34.5" customHeight="1" thickBot="1">
      <c r="A306" s="1348">
        <v>27</v>
      </c>
      <c r="B306" s="1433" t="s">
        <v>302</v>
      </c>
      <c r="C306" s="1348"/>
      <c r="D306" s="1389">
        <f t="shared" si="47"/>
        <v>28755301</v>
      </c>
      <c r="E306" s="1181">
        <f>SUM(E300:E305)</f>
        <v>0</v>
      </c>
      <c r="F306" s="1181">
        <f>SUM(F300:F305)</f>
        <v>982704</v>
      </c>
      <c r="G306" s="1181">
        <f>SUM(G300:G305)</f>
        <v>9414894</v>
      </c>
      <c r="H306" s="1185">
        <f>SUM(H300:H305)</f>
        <v>17309797</v>
      </c>
      <c r="I306" s="1437">
        <f>SUM(I300:I305)</f>
        <v>1047906</v>
      </c>
      <c r="J306" s="1394">
        <f>G306+H306+I306</f>
        <v>27772597</v>
      </c>
      <c r="K306" s="1181">
        <f>SUM(K300:K305)</f>
        <v>0</v>
      </c>
      <c r="L306" s="1181">
        <f>SUM(L300:L305)</f>
        <v>0</v>
      </c>
      <c r="M306" s="1185">
        <f>SUM(M300:M305)</f>
        <v>0</v>
      </c>
      <c r="N306" s="1400">
        <f t="shared" si="49"/>
        <v>0</v>
      </c>
      <c r="O306" s="1155"/>
      <c r="P306" s="1025"/>
      <c r="Q306" s="710"/>
      <c r="R306" s="1027"/>
      <c r="S306" s="1027"/>
      <c r="T306" s="1027"/>
      <c r="U306" s="1027"/>
      <c r="V306" s="1027"/>
      <c r="W306" s="1027"/>
      <c r="X306" s="1027"/>
      <c r="Y306" s="1027"/>
      <c r="Z306" s="1027"/>
      <c r="AA306" s="1027"/>
      <c r="AB306" s="1027"/>
      <c r="AC306" s="1027"/>
      <c r="AE306" s="1058"/>
      <c r="AF306" s="1058"/>
      <c r="AG306" s="1058"/>
      <c r="AH306" s="1058"/>
      <c r="AI306" s="1058"/>
      <c r="AJ306" s="1058"/>
      <c r="AK306" s="1058"/>
      <c r="AL306" s="1058"/>
      <c r="AM306" s="1058"/>
      <c r="AN306" s="1058"/>
      <c r="AO306" s="1058"/>
      <c r="AP306" s="1058"/>
    </row>
    <row r="307" spans="1:42">
      <c r="A307" s="1346"/>
      <c r="B307" s="1347" t="s">
        <v>303</v>
      </c>
      <c r="C307" s="1346">
        <v>20</v>
      </c>
      <c r="D307" s="1387">
        <f t="shared" si="47"/>
        <v>0</v>
      </c>
      <c r="E307" s="1171"/>
      <c r="F307" s="1171"/>
      <c r="G307" s="1182"/>
      <c r="H307" s="1174"/>
      <c r="I307" s="1173"/>
      <c r="J307" s="1395">
        <f t="shared" ref="J307:J313" si="51">G307+H307+I307</f>
        <v>0</v>
      </c>
      <c r="K307" s="1171"/>
      <c r="L307" s="1171"/>
      <c r="M307" s="1172"/>
      <c r="N307" s="1401">
        <f t="shared" si="49"/>
        <v>0</v>
      </c>
      <c r="O307" s="1149"/>
      <c r="P307" s="705"/>
      <c r="Q307" s="54"/>
      <c r="R307" s="706"/>
      <c r="S307" s="706"/>
      <c r="T307" s="706"/>
      <c r="U307" s="706"/>
      <c r="V307" s="706"/>
      <c r="W307" s="706"/>
      <c r="X307" s="706"/>
      <c r="Y307" s="706"/>
      <c r="Z307" s="706"/>
      <c r="AA307" s="706"/>
      <c r="AB307" s="706"/>
      <c r="AC307" s="706"/>
    </row>
    <row r="308" spans="1:42">
      <c r="A308" s="2155">
        <v>28</v>
      </c>
      <c r="B308" s="2154" t="s">
        <v>304</v>
      </c>
      <c r="C308" s="2161"/>
      <c r="D308" s="2213">
        <f t="shared" si="47"/>
        <v>1062500</v>
      </c>
      <c r="E308" s="2188"/>
      <c r="F308" s="2261">
        <v>1062500</v>
      </c>
      <c r="G308" s="2259">
        <v>0</v>
      </c>
      <c r="H308" s="2262">
        <v>0</v>
      </c>
      <c r="I308" s="2194"/>
      <c r="J308" s="2214">
        <f t="shared" si="51"/>
        <v>0</v>
      </c>
      <c r="K308" s="2188"/>
      <c r="L308" s="2188"/>
      <c r="M308" s="2193"/>
      <c r="N308" s="2195">
        <f t="shared" si="49"/>
        <v>0</v>
      </c>
      <c r="O308" s="1149"/>
      <c r="P308" s="705"/>
      <c r="Q308" s="1141"/>
      <c r="R308" s="706"/>
      <c r="S308" s="706"/>
      <c r="T308" s="706"/>
      <c r="U308" s="706"/>
      <c r="V308" s="706"/>
      <c r="W308" s="706"/>
      <c r="X308" s="706"/>
      <c r="Y308" s="706"/>
      <c r="Z308" s="706"/>
      <c r="AA308" s="706"/>
      <c r="AB308" s="706"/>
      <c r="AC308" s="706"/>
    </row>
    <row r="309" spans="1:42">
      <c r="A309" s="2155">
        <v>29</v>
      </c>
      <c r="B309" s="2154" t="s">
        <v>305</v>
      </c>
      <c r="C309" s="2161"/>
      <c r="D309" s="2213">
        <f t="shared" si="47"/>
        <v>-1855391</v>
      </c>
      <c r="E309" s="2188"/>
      <c r="F309" s="1244">
        <v>-1356257</v>
      </c>
      <c r="G309" s="1254">
        <v>-527805</v>
      </c>
      <c r="H309" s="1434">
        <v>28671</v>
      </c>
      <c r="I309" s="2194"/>
      <c r="J309" s="2214">
        <f t="shared" si="51"/>
        <v>-499134</v>
      </c>
      <c r="K309" s="2188"/>
      <c r="L309" s="2188"/>
      <c r="M309" s="2193"/>
      <c r="N309" s="2195">
        <f t="shared" si="49"/>
        <v>0</v>
      </c>
      <c r="O309" s="1149"/>
      <c r="P309" s="705"/>
      <c r="Q309" s="1141"/>
      <c r="R309" s="706"/>
      <c r="S309" s="706"/>
      <c r="T309" s="706"/>
      <c r="U309" s="706"/>
      <c r="V309" s="706"/>
      <c r="W309" s="706"/>
      <c r="X309" s="706"/>
      <c r="Y309" s="706"/>
      <c r="Z309" s="706"/>
      <c r="AA309" s="706"/>
      <c r="AB309" s="706"/>
      <c r="AC309" s="706"/>
    </row>
    <row r="310" spans="1:42">
      <c r="A310" s="2155">
        <v>30</v>
      </c>
      <c r="B310" s="2173" t="s">
        <v>306</v>
      </c>
      <c r="C310" s="2177"/>
      <c r="D310" s="2213">
        <f t="shared" si="47"/>
        <v>129733</v>
      </c>
      <c r="E310" s="2188"/>
      <c r="F310" s="1246">
        <v>0</v>
      </c>
      <c r="G310" s="1255">
        <v>129733</v>
      </c>
      <c r="H310" s="1435">
        <v>0</v>
      </c>
      <c r="I310" s="2211"/>
      <c r="J310" s="2214">
        <f t="shared" si="51"/>
        <v>129733</v>
      </c>
      <c r="K310" s="2188"/>
      <c r="L310" s="2188"/>
      <c r="M310" s="2193"/>
      <c r="N310" s="2195">
        <f t="shared" si="49"/>
        <v>0</v>
      </c>
      <c r="O310" s="1149"/>
      <c r="P310" s="705"/>
      <c r="Q310" s="1141"/>
      <c r="R310" s="706"/>
      <c r="S310" s="706"/>
      <c r="T310" s="706"/>
      <c r="U310" s="706"/>
      <c r="V310" s="706"/>
      <c r="W310" s="706"/>
      <c r="X310" s="706"/>
      <c r="Y310" s="706"/>
      <c r="Z310" s="706"/>
      <c r="AA310" s="706"/>
      <c r="AB310" s="706"/>
      <c r="AC310" s="706"/>
    </row>
    <row r="311" spans="1:42">
      <c r="A311" s="2155">
        <v>31</v>
      </c>
      <c r="B311" s="2173" t="s">
        <v>307</v>
      </c>
      <c r="C311" s="2177"/>
      <c r="D311" s="2213">
        <f t="shared" si="47"/>
        <v>798004</v>
      </c>
      <c r="E311" s="2188"/>
      <c r="F311" s="1303">
        <v>798004</v>
      </c>
      <c r="G311" s="2263">
        <v>0</v>
      </c>
      <c r="H311" s="1320">
        <v>0</v>
      </c>
      <c r="I311" s="2211"/>
      <c r="J311" s="2214">
        <f t="shared" si="51"/>
        <v>0</v>
      </c>
      <c r="K311" s="2188"/>
      <c r="L311" s="2188"/>
      <c r="M311" s="2193"/>
      <c r="N311" s="2195">
        <f t="shared" si="49"/>
        <v>0</v>
      </c>
      <c r="O311" s="1149"/>
      <c r="P311" s="705"/>
      <c r="Q311" s="1141"/>
      <c r="R311" s="706"/>
      <c r="S311" s="706"/>
      <c r="T311" s="706"/>
      <c r="U311" s="706"/>
      <c r="V311" s="706"/>
      <c r="W311" s="706"/>
      <c r="X311" s="706"/>
      <c r="Y311" s="706"/>
      <c r="Z311" s="706"/>
      <c r="AA311" s="706"/>
      <c r="AB311" s="706"/>
      <c r="AC311" s="706"/>
    </row>
    <row r="312" spans="1:42" ht="13.5" thickBot="1">
      <c r="A312" s="2172">
        <v>32</v>
      </c>
      <c r="B312" s="2173" t="s">
        <v>308</v>
      </c>
      <c r="C312" s="2177"/>
      <c r="D312" s="2213">
        <f t="shared" si="47"/>
        <v>10453584</v>
      </c>
      <c r="E312" s="2188"/>
      <c r="F312" s="1303">
        <v>10490931</v>
      </c>
      <c r="G312" s="1256">
        <v>0</v>
      </c>
      <c r="H312" s="1320">
        <v>-37347</v>
      </c>
      <c r="I312" s="1279"/>
      <c r="J312" s="2214">
        <f t="shared" si="51"/>
        <v>-37347</v>
      </c>
      <c r="K312" s="2188"/>
      <c r="L312" s="2188"/>
      <c r="M312" s="2193"/>
      <c r="N312" s="2195">
        <f t="shared" si="49"/>
        <v>0</v>
      </c>
      <c r="O312" s="1149"/>
      <c r="P312" s="705"/>
      <c r="Q312" s="1141"/>
      <c r="R312" s="706"/>
      <c r="S312" s="706"/>
      <c r="T312" s="706"/>
      <c r="U312" s="706"/>
      <c r="V312" s="706"/>
      <c r="W312" s="706"/>
      <c r="X312" s="706"/>
      <c r="Y312" s="706"/>
      <c r="Z312" s="706"/>
      <c r="AA312" s="706"/>
      <c r="AB312" s="706"/>
      <c r="AC312" s="706"/>
    </row>
    <row r="313" spans="1:42" s="913" customFormat="1" ht="13.5" thickBot="1">
      <c r="A313" s="1348">
        <v>33</v>
      </c>
      <c r="B313" s="1384" t="s">
        <v>309</v>
      </c>
      <c r="C313" s="1385"/>
      <c r="D313" s="1390">
        <f t="shared" si="47"/>
        <v>10588430</v>
      </c>
      <c r="E313" s="1186">
        <f>SUM(E308:E312)</f>
        <v>0</v>
      </c>
      <c r="F313" s="1186">
        <f>SUM(F308:F312)</f>
        <v>10995178</v>
      </c>
      <c r="G313" s="1186">
        <f>SUM(G308:G312)</f>
        <v>-398072</v>
      </c>
      <c r="H313" s="1187">
        <f>SUM(H308:H312)</f>
        <v>-8676</v>
      </c>
      <c r="I313" s="1280">
        <f>SUM(I308:I312)</f>
        <v>0</v>
      </c>
      <c r="J313" s="1397">
        <f t="shared" si="51"/>
        <v>-406748</v>
      </c>
      <c r="K313" s="1186">
        <f>SUM(K308:K312)</f>
        <v>0</v>
      </c>
      <c r="L313" s="1186">
        <f>SUM(L308:L312)</f>
        <v>0</v>
      </c>
      <c r="M313" s="1187">
        <f>SUM(M308:M312)</f>
        <v>0</v>
      </c>
      <c r="N313" s="1402">
        <f t="shared" si="49"/>
        <v>0</v>
      </c>
      <c r="O313" s="1155"/>
      <c r="P313" s="1025"/>
      <c r="Q313" s="710"/>
      <c r="R313" s="1027"/>
      <c r="S313" s="1027"/>
      <c r="T313" s="1027"/>
      <c r="U313" s="1027"/>
      <c r="V313" s="1027"/>
      <c r="W313" s="1027"/>
      <c r="X313" s="1027"/>
      <c r="Y313" s="1027"/>
      <c r="Z313" s="1027"/>
      <c r="AA313" s="1027"/>
      <c r="AB313" s="1027"/>
      <c r="AC313" s="1027"/>
      <c r="AE313" s="1058"/>
      <c r="AF313" s="1058"/>
      <c r="AG313" s="1058"/>
      <c r="AH313" s="1058"/>
      <c r="AI313" s="1058"/>
      <c r="AJ313" s="1058"/>
      <c r="AK313" s="1058"/>
      <c r="AL313" s="1058"/>
      <c r="AM313" s="1058"/>
      <c r="AN313" s="1058"/>
      <c r="AO313" s="1058"/>
      <c r="AP313" s="1058"/>
    </row>
    <row r="314" spans="1:42" s="913" customFormat="1" ht="27.75" customHeight="1" thickBot="1">
      <c r="A314" s="1351">
        <v>34</v>
      </c>
      <c r="B314" s="1352" t="s">
        <v>310</v>
      </c>
      <c r="C314" s="1351"/>
      <c r="D314" s="1381">
        <f>+E314+F314+J314+N314</f>
        <v>39343731</v>
      </c>
      <c r="E314" s="1381">
        <f>E313+E306</f>
        <v>0</v>
      </c>
      <c r="F314" s="1381">
        <f>F313+F306</f>
        <v>11977882</v>
      </c>
      <c r="G314" s="1381">
        <f>G313+G306</f>
        <v>9016822</v>
      </c>
      <c r="H314" s="1382">
        <f>H313+H306</f>
        <v>17301121</v>
      </c>
      <c r="I314" s="1383">
        <f>I313+I306</f>
        <v>1047906</v>
      </c>
      <c r="J314" s="1381">
        <f>G314+H314+I314</f>
        <v>27365849</v>
      </c>
      <c r="K314" s="1381">
        <f>K313+K306</f>
        <v>0</v>
      </c>
      <c r="L314" s="1381">
        <f>L313+L306</f>
        <v>0</v>
      </c>
      <c r="M314" s="1382">
        <f>M313+M306</f>
        <v>0</v>
      </c>
      <c r="N314" s="1383">
        <f t="shared" si="49"/>
        <v>0</v>
      </c>
      <c r="O314" s="1155"/>
      <c r="P314" s="1025"/>
      <c r="Q314" s="710"/>
      <c r="R314" s="1027"/>
      <c r="S314" s="1027"/>
      <c r="T314" s="1027"/>
      <c r="U314" s="1027"/>
      <c r="V314" s="1027"/>
      <c r="W314" s="1027"/>
      <c r="X314" s="1027"/>
      <c r="Y314" s="1027"/>
      <c r="Z314" s="1027"/>
      <c r="AA314" s="1027"/>
      <c r="AB314" s="1027"/>
      <c r="AC314" s="1027"/>
      <c r="AE314" s="1058"/>
      <c r="AF314" s="1058"/>
      <c r="AG314" s="1058"/>
      <c r="AH314" s="1058"/>
      <c r="AI314" s="1058"/>
      <c r="AJ314" s="1058"/>
      <c r="AK314" s="1058"/>
      <c r="AL314" s="1058"/>
      <c r="AM314" s="1058"/>
      <c r="AN314" s="1058"/>
      <c r="AO314" s="1058"/>
      <c r="AP314" s="1058"/>
    </row>
    <row r="315" spans="1:42">
      <c r="B315" s="680"/>
      <c r="D315" s="679"/>
      <c r="E315" s="679"/>
      <c r="F315" s="679"/>
      <c r="G315" s="679"/>
      <c r="H315" s="679"/>
      <c r="I315" s="679"/>
      <c r="J315" s="679"/>
      <c r="K315" s="679"/>
      <c r="L315" s="679"/>
      <c r="M315" s="679"/>
      <c r="N315" s="679"/>
      <c r="O315" s="679"/>
      <c r="S315" s="706"/>
      <c r="T315" s="706"/>
      <c r="U315" s="706"/>
      <c r="V315" s="706"/>
      <c r="W315" s="706"/>
      <c r="X315" s="706"/>
      <c r="Y315" s="706"/>
      <c r="Z315" s="706"/>
      <c r="AA315" s="706"/>
      <c r="AB315" s="706"/>
      <c r="AC315" s="706"/>
    </row>
    <row r="316" spans="1:42">
      <c r="D316" s="679"/>
      <c r="E316" s="679"/>
      <c r="F316" s="679"/>
      <c r="G316" s="679"/>
      <c r="H316" s="679"/>
      <c r="I316" s="679"/>
      <c r="J316" s="679"/>
      <c r="N316" s="912">
        <v>18</v>
      </c>
      <c r="S316" s="706"/>
      <c r="T316" s="706"/>
      <c r="U316" s="706"/>
      <c r="V316" s="706"/>
      <c r="W316" s="706"/>
      <c r="X316" s="706"/>
      <c r="Y316" s="706"/>
      <c r="Z316" s="706"/>
      <c r="AA316" s="706"/>
      <c r="AB316" s="706"/>
      <c r="AC316" s="706"/>
    </row>
    <row r="317" spans="1:42">
      <c r="S317" s="706"/>
      <c r="T317" s="706"/>
      <c r="U317" s="706"/>
      <c r="V317" s="706"/>
      <c r="W317" s="706"/>
      <c r="X317" s="706"/>
      <c r="Y317" s="706"/>
      <c r="Z317" s="706"/>
      <c r="AA317" s="706"/>
      <c r="AB317" s="706"/>
      <c r="AC317" s="706"/>
    </row>
    <row r="318" spans="1:42" ht="13.5" thickBot="1"/>
    <row r="319" spans="1:42" ht="15.75" customHeight="1" thickBot="1">
      <c r="A319" s="1368" t="s">
        <v>183</v>
      </c>
      <c r="B319" s="3533" t="s">
        <v>97</v>
      </c>
      <c r="C319" s="3534"/>
      <c r="M319" s="3538" t="s">
        <v>251</v>
      </c>
      <c r="N319" s="3538"/>
      <c r="O319" s="1148"/>
    </row>
    <row r="320" spans="1:42" ht="13.15" customHeight="1" thickBot="1">
      <c r="A320" s="3512" t="s">
        <v>252</v>
      </c>
      <c r="B320" s="3515"/>
      <c r="C320" s="3523" t="s">
        <v>254</v>
      </c>
      <c r="D320" s="3518" t="s">
        <v>255</v>
      </c>
      <c r="E320" s="3518" t="s">
        <v>256</v>
      </c>
      <c r="F320" s="3518" t="s">
        <v>257</v>
      </c>
      <c r="G320" s="3526" t="s">
        <v>258</v>
      </c>
      <c r="H320" s="3527"/>
      <c r="I320" s="3527"/>
      <c r="J320" s="3527"/>
      <c r="K320" s="3527"/>
      <c r="L320" s="3527"/>
      <c r="M320" s="3527"/>
      <c r="N320" s="3528"/>
      <c r="O320" s="409"/>
    </row>
    <row r="321" spans="1:29" ht="13.15" customHeight="1" thickBot="1">
      <c r="A321" s="3513"/>
      <c r="B321" s="3516"/>
      <c r="C321" s="3524"/>
      <c r="D321" s="3520"/>
      <c r="E321" s="3520"/>
      <c r="F321" s="3520"/>
      <c r="G321" s="3529" t="s">
        <v>259</v>
      </c>
      <c r="H321" s="3530"/>
      <c r="I321" s="3530"/>
      <c r="J321" s="3531"/>
      <c r="K321" s="3529" t="s">
        <v>260</v>
      </c>
      <c r="L321" s="3530"/>
      <c r="M321" s="3530"/>
      <c r="N321" s="3531"/>
      <c r="O321" s="443"/>
    </row>
    <row r="322" spans="1:29" ht="39" thickBot="1">
      <c r="A322" s="3513"/>
      <c r="B322" s="3516"/>
      <c r="C322" s="3524"/>
      <c r="D322" s="3519"/>
      <c r="E322" s="3519"/>
      <c r="F322" s="3519"/>
      <c r="G322" s="1336" t="s">
        <v>261</v>
      </c>
      <c r="H322" s="1336" t="s">
        <v>262</v>
      </c>
      <c r="I322" s="1336" t="s">
        <v>263</v>
      </c>
      <c r="J322" s="1336" t="s">
        <v>158</v>
      </c>
      <c r="K322" s="1337" t="s">
        <v>264</v>
      </c>
      <c r="L322" s="1337" t="s">
        <v>265</v>
      </c>
      <c r="M322" s="1337" t="s">
        <v>266</v>
      </c>
      <c r="N322" s="1404" t="s">
        <v>158</v>
      </c>
      <c r="O322" s="443"/>
    </row>
    <row r="323" spans="1:29" ht="13.5" thickBot="1">
      <c r="A323" s="3513"/>
      <c r="B323" s="3516"/>
      <c r="C323" s="3524"/>
      <c r="D323" s="1340">
        <v>1</v>
      </c>
      <c r="E323" s="3518">
        <v>2</v>
      </c>
      <c r="F323" s="3518">
        <v>3</v>
      </c>
      <c r="G323" s="3518">
        <v>4</v>
      </c>
      <c r="H323" s="3518">
        <v>5</v>
      </c>
      <c r="I323" s="3518">
        <v>6</v>
      </c>
      <c r="J323" s="1341">
        <v>7</v>
      </c>
      <c r="K323" s="3518">
        <v>8</v>
      </c>
      <c r="L323" s="3518">
        <v>9</v>
      </c>
      <c r="M323" s="3518">
        <v>10</v>
      </c>
      <c r="N323" s="1340">
        <v>11</v>
      </c>
      <c r="O323" s="409"/>
    </row>
    <row r="324" spans="1:29" ht="15.75" customHeight="1" thickBot="1">
      <c r="A324" s="3514"/>
      <c r="B324" s="3517"/>
      <c r="C324" s="3525"/>
      <c r="D324" s="1343"/>
      <c r="E324" s="3519"/>
      <c r="F324" s="3519"/>
      <c r="G324" s="3519"/>
      <c r="H324" s="3519"/>
      <c r="I324" s="3519"/>
      <c r="J324" s="1344" t="s">
        <v>267</v>
      </c>
      <c r="K324" s="3519"/>
      <c r="L324" s="3519"/>
      <c r="M324" s="3519"/>
      <c r="N324" s="1372" t="s">
        <v>268</v>
      </c>
      <c r="O324" s="703"/>
      <c r="P324" s="703"/>
      <c r="Q324" s="703"/>
    </row>
    <row r="325" spans="1:29">
      <c r="A325" s="1346"/>
      <c r="B325" s="1347" t="s">
        <v>269</v>
      </c>
      <c r="C325" s="1346"/>
      <c r="D325" s="2264"/>
      <c r="E325" s="1242"/>
      <c r="F325" s="1242"/>
      <c r="G325" s="1182"/>
      <c r="H325" s="1174"/>
      <c r="I325" s="1204"/>
      <c r="J325" s="1395"/>
      <c r="K325" s="1171"/>
      <c r="L325" s="1174"/>
      <c r="M325" s="1262"/>
      <c r="N325" s="2265"/>
      <c r="Q325" s="196"/>
    </row>
    <row r="326" spans="1:29">
      <c r="A326" s="2153">
        <v>1</v>
      </c>
      <c r="B326" s="2154" t="s">
        <v>270</v>
      </c>
      <c r="C326" s="2155"/>
      <c r="D326" s="2213">
        <f>+E326+F326+J326+N326</f>
        <v>0</v>
      </c>
      <c r="E326" s="2188"/>
      <c r="F326" s="2188"/>
      <c r="G326" s="2189"/>
      <c r="H326" s="2197"/>
      <c r="I326" s="2222"/>
      <c r="J326" s="2214">
        <f>G326+H326+I326</f>
        <v>0</v>
      </c>
      <c r="K326" s="2188"/>
      <c r="L326" s="2193"/>
      <c r="M326" s="2222"/>
      <c r="N326" s="2214">
        <f>K326+L326+M326</f>
        <v>0</v>
      </c>
      <c r="O326" s="1149"/>
      <c r="P326" s="705"/>
      <c r="Q326" s="54"/>
      <c r="R326" s="706"/>
      <c r="S326" s="706"/>
      <c r="T326" s="706"/>
      <c r="U326" s="706"/>
      <c r="V326" s="706"/>
      <c r="W326" s="706"/>
      <c r="X326" s="706"/>
      <c r="Y326" s="706"/>
      <c r="Z326" s="706"/>
      <c r="AA326" s="706"/>
      <c r="AB326" s="706"/>
      <c r="AC326" s="706"/>
    </row>
    <row r="327" spans="1:29">
      <c r="A327" s="2153">
        <v>2</v>
      </c>
      <c r="B327" s="2154" t="s">
        <v>271</v>
      </c>
      <c r="C327" s="2155"/>
      <c r="D327" s="2213">
        <f t="shared" ref="D327:D365" si="52">+E327+F327+J327+N327</f>
        <v>296448</v>
      </c>
      <c r="E327" s="2188"/>
      <c r="F327" s="2188">
        <v>296448</v>
      </c>
      <c r="G327" s="2189"/>
      <c r="H327" s="2197"/>
      <c r="I327" s="2222"/>
      <c r="J327" s="2214">
        <f t="shared" ref="J327:J337" si="53">G327+H327+I327</f>
        <v>0</v>
      </c>
      <c r="K327" s="2188"/>
      <c r="L327" s="2193"/>
      <c r="M327" s="2222"/>
      <c r="N327" s="2214">
        <f t="shared" ref="N327:N366" si="54">K327+L327+M327</f>
        <v>0</v>
      </c>
      <c r="O327" s="1149"/>
      <c r="P327" s="705"/>
      <c r="Q327" s="707"/>
      <c r="R327" s="706"/>
      <c r="S327" s="706"/>
      <c r="T327" s="706"/>
      <c r="U327" s="706"/>
      <c r="V327" s="706"/>
      <c r="W327" s="706"/>
      <c r="X327" s="706"/>
      <c r="Y327" s="706"/>
      <c r="Z327" s="706"/>
      <c r="AA327" s="706"/>
      <c r="AB327" s="706"/>
      <c r="AC327" s="706"/>
    </row>
    <row r="328" spans="1:29">
      <c r="A328" s="2153">
        <v>3</v>
      </c>
      <c r="B328" s="2154" t="s">
        <v>272</v>
      </c>
      <c r="C328" s="2155"/>
      <c r="D328" s="2213">
        <f t="shared" si="52"/>
        <v>0</v>
      </c>
      <c r="E328" s="2188"/>
      <c r="F328" s="1171">
        <v>0</v>
      </c>
      <c r="G328" s="2189"/>
      <c r="H328" s="2197"/>
      <c r="I328" s="2222"/>
      <c r="J328" s="2214">
        <f t="shared" si="53"/>
        <v>0</v>
      </c>
      <c r="K328" s="2188"/>
      <c r="L328" s="2193"/>
      <c r="M328" s="2222"/>
      <c r="N328" s="2214">
        <f t="shared" si="54"/>
        <v>0</v>
      </c>
      <c r="O328" s="1149"/>
      <c r="P328" s="705"/>
      <c r="Q328" s="54"/>
      <c r="R328" s="706"/>
      <c r="S328" s="706"/>
      <c r="T328" s="706"/>
      <c r="U328" s="706"/>
      <c r="V328" s="706"/>
      <c r="W328" s="706"/>
      <c r="X328" s="706"/>
      <c r="Y328" s="706"/>
      <c r="Z328" s="706"/>
      <c r="AA328" s="706"/>
      <c r="AB328" s="706"/>
      <c r="AC328" s="706"/>
    </row>
    <row r="329" spans="1:29">
      <c r="A329" s="2153">
        <v>4</v>
      </c>
      <c r="B329" s="2154" t="s">
        <v>315</v>
      </c>
      <c r="C329" s="2155"/>
      <c r="D329" s="2213">
        <f t="shared" si="52"/>
        <v>238137</v>
      </c>
      <c r="E329" s="2188"/>
      <c r="F329" s="1171">
        <v>0</v>
      </c>
      <c r="G329" s="2189">
        <v>238137</v>
      </c>
      <c r="H329" s="2197"/>
      <c r="I329" s="2222"/>
      <c r="J329" s="2214">
        <f t="shared" si="53"/>
        <v>238137</v>
      </c>
      <c r="K329" s="2188"/>
      <c r="L329" s="2193"/>
      <c r="M329" s="2222"/>
      <c r="N329" s="2214">
        <f t="shared" si="54"/>
        <v>0</v>
      </c>
      <c r="O329" s="1149"/>
      <c r="P329" s="705"/>
      <c r="Q329" s="707"/>
      <c r="R329" s="706"/>
      <c r="S329" s="706"/>
      <c r="T329" s="706"/>
      <c r="U329" s="706"/>
      <c r="V329" s="706"/>
      <c r="W329" s="706"/>
      <c r="X329" s="706"/>
      <c r="Y329" s="706"/>
      <c r="Z329" s="706"/>
      <c r="AA329" s="706"/>
      <c r="AB329" s="706"/>
      <c r="AC329" s="706"/>
    </row>
    <row r="330" spans="1:29">
      <c r="A330" s="2153">
        <v>5</v>
      </c>
      <c r="B330" s="2154" t="s">
        <v>274</v>
      </c>
      <c r="C330" s="2161">
        <v>5</v>
      </c>
      <c r="D330" s="2213">
        <f t="shared" si="52"/>
        <v>10177018</v>
      </c>
      <c r="E330" s="2188"/>
      <c r="F330" s="1171">
        <v>2717773</v>
      </c>
      <c r="G330" s="1182">
        <v>7459245</v>
      </c>
      <c r="H330" s="2197"/>
      <c r="I330" s="2222"/>
      <c r="J330" s="2214">
        <f t="shared" si="53"/>
        <v>7459245</v>
      </c>
      <c r="K330" s="2188"/>
      <c r="L330" s="2193"/>
      <c r="M330" s="2222"/>
      <c r="N330" s="2214">
        <f t="shared" si="54"/>
        <v>0</v>
      </c>
      <c r="O330" s="1149"/>
      <c r="P330" s="705"/>
      <c r="Q330" s="707"/>
      <c r="R330" s="706"/>
      <c r="S330" s="706"/>
      <c r="T330" s="706"/>
      <c r="U330" s="706"/>
      <c r="V330" s="706"/>
      <c r="W330" s="706"/>
      <c r="X330" s="706"/>
      <c r="Y330" s="706"/>
      <c r="Z330" s="706"/>
      <c r="AA330" s="706"/>
      <c r="AB330" s="706"/>
      <c r="AC330" s="706"/>
    </row>
    <row r="331" spans="1:29">
      <c r="A331" s="2153">
        <v>6</v>
      </c>
      <c r="B331" s="2154" t="s">
        <v>275</v>
      </c>
      <c r="C331" s="2155">
        <v>6</v>
      </c>
      <c r="D331" s="2213">
        <f t="shared" si="52"/>
        <v>4045700</v>
      </c>
      <c r="E331" s="2188"/>
      <c r="F331" s="1171">
        <v>2399600</v>
      </c>
      <c r="G331" s="1182">
        <v>1646100</v>
      </c>
      <c r="H331" s="2197"/>
      <c r="I331" s="2222"/>
      <c r="J331" s="2214">
        <f t="shared" si="53"/>
        <v>1646100</v>
      </c>
      <c r="K331" s="2188"/>
      <c r="L331" s="2193"/>
      <c r="M331" s="2222"/>
      <c r="N331" s="2214">
        <f t="shared" si="54"/>
        <v>0</v>
      </c>
      <c r="O331" s="1149"/>
      <c r="P331" s="705"/>
      <c r="Q331" s="707"/>
      <c r="R331" s="706"/>
      <c r="S331" s="706"/>
      <c r="T331" s="706"/>
      <c r="U331" s="706"/>
      <c r="V331" s="706"/>
      <c r="W331" s="706"/>
      <c r="X331" s="706"/>
      <c r="Y331" s="706"/>
      <c r="Z331" s="706"/>
      <c r="AA331" s="706"/>
      <c r="AB331" s="706"/>
      <c r="AC331" s="706"/>
    </row>
    <row r="332" spans="1:29">
      <c r="A332" s="2153">
        <v>7</v>
      </c>
      <c r="B332" s="2154" t="s">
        <v>276</v>
      </c>
      <c r="C332" s="2161">
        <v>7</v>
      </c>
      <c r="D332" s="2213">
        <f t="shared" si="52"/>
        <v>1136000</v>
      </c>
      <c r="E332" s="2188">
        <f>+E333+E334</f>
        <v>0</v>
      </c>
      <c r="F332" s="1171">
        <f>+F333+F334</f>
        <v>1121000</v>
      </c>
      <c r="G332" s="1171">
        <v>15000</v>
      </c>
      <c r="H332" s="2193">
        <f t="shared" ref="H332:M332" si="55">H333+H334</f>
        <v>0</v>
      </c>
      <c r="I332" s="2222">
        <f t="shared" si="55"/>
        <v>0</v>
      </c>
      <c r="J332" s="2214">
        <f t="shared" si="53"/>
        <v>15000</v>
      </c>
      <c r="K332" s="2188">
        <f t="shared" si="55"/>
        <v>0</v>
      </c>
      <c r="L332" s="2193">
        <f t="shared" si="55"/>
        <v>0</v>
      </c>
      <c r="M332" s="2222">
        <f t="shared" si="55"/>
        <v>0</v>
      </c>
      <c r="N332" s="2214">
        <f t="shared" si="54"/>
        <v>0</v>
      </c>
      <c r="O332" s="1149"/>
      <c r="P332" s="705"/>
      <c r="Q332" s="707"/>
      <c r="R332" s="706"/>
      <c r="S332" s="706"/>
      <c r="T332" s="706"/>
      <c r="U332" s="706"/>
      <c r="V332" s="706"/>
      <c r="W332" s="706"/>
      <c r="X332" s="706"/>
      <c r="Y332" s="706"/>
      <c r="Z332" s="706"/>
      <c r="AA332" s="706"/>
      <c r="AB332" s="706"/>
      <c r="AC332" s="706"/>
    </row>
    <row r="333" spans="1:29">
      <c r="A333" s="2155"/>
      <c r="B333" s="2162" t="s">
        <v>277</v>
      </c>
      <c r="C333" s="2161"/>
      <c r="D333" s="2213">
        <f t="shared" si="52"/>
        <v>0</v>
      </c>
      <c r="E333" s="2188"/>
      <c r="F333" s="2188"/>
      <c r="G333" s="2188"/>
      <c r="H333" s="2193"/>
      <c r="I333" s="2222"/>
      <c r="J333" s="2214">
        <f t="shared" si="53"/>
        <v>0</v>
      </c>
      <c r="K333" s="2188"/>
      <c r="L333" s="2193"/>
      <c r="M333" s="2222"/>
      <c r="N333" s="2214">
        <f t="shared" si="54"/>
        <v>0</v>
      </c>
      <c r="O333" s="1149"/>
      <c r="P333" s="705"/>
      <c r="Q333" s="54"/>
      <c r="R333" s="706"/>
      <c r="S333" s="706"/>
      <c r="T333" s="706"/>
      <c r="U333" s="706"/>
      <c r="V333" s="706"/>
      <c r="W333" s="706"/>
      <c r="X333" s="706"/>
      <c r="Y333" s="706"/>
      <c r="Z333" s="706"/>
      <c r="AA333" s="706"/>
      <c r="AB333" s="706"/>
      <c r="AC333" s="706"/>
    </row>
    <row r="334" spans="1:29">
      <c r="A334" s="2155"/>
      <c r="B334" s="2162" t="s">
        <v>278</v>
      </c>
      <c r="C334" s="2161"/>
      <c r="D334" s="2213">
        <f t="shared" si="52"/>
        <v>1136000</v>
      </c>
      <c r="E334" s="2188"/>
      <c r="F334" s="2188">
        <v>1121000</v>
      </c>
      <c r="G334" s="2189">
        <v>15000</v>
      </c>
      <c r="H334" s="2197"/>
      <c r="I334" s="2222"/>
      <c r="J334" s="2214">
        <f t="shared" si="53"/>
        <v>15000</v>
      </c>
      <c r="K334" s="2188"/>
      <c r="L334" s="2193"/>
      <c r="M334" s="2222"/>
      <c r="N334" s="2214">
        <f t="shared" si="54"/>
        <v>0</v>
      </c>
      <c r="O334" s="1149"/>
      <c r="P334" s="705"/>
      <c r="Q334" s="707"/>
      <c r="R334" s="706"/>
      <c r="S334" s="706"/>
      <c r="T334" s="706"/>
      <c r="U334" s="706"/>
      <c r="V334" s="706"/>
      <c r="W334" s="706"/>
      <c r="X334" s="706"/>
      <c r="Y334" s="706"/>
      <c r="Z334" s="706"/>
      <c r="AA334" s="706"/>
      <c r="AB334" s="706"/>
      <c r="AC334" s="706"/>
    </row>
    <row r="335" spans="1:29">
      <c r="A335" s="2153">
        <v>8</v>
      </c>
      <c r="B335" s="2154" t="s">
        <v>279</v>
      </c>
      <c r="C335" s="2155">
        <v>8</v>
      </c>
      <c r="D335" s="2213">
        <f>+E335+F335+J335+N335</f>
        <v>807672</v>
      </c>
      <c r="E335" s="2188">
        <f>+E336+E337</f>
        <v>0</v>
      </c>
      <c r="F335" s="1171">
        <v>764682</v>
      </c>
      <c r="G335" s="1171">
        <v>13858</v>
      </c>
      <c r="H335" s="2193">
        <f t="shared" ref="H335:M335" si="56">H336+H337</f>
        <v>29132</v>
      </c>
      <c r="I335" s="2222">
        <f t="shared" si="56"/>
        <v>0</v>
      </c>
      <c r="J335" s="2214">
        <f t="shared" si="53"/>
        <v>42990</v>
      </c>
      <c r="K335" s="2188">
        <f t="shared" si="56"/>
        <v>0</v>
      </c>
      <c r="L335" s="2193">
        <f t="shared" si="56"/>
        <v>0</v>
      </c>
      <c r="M335" s="2222">
        <f t="shared" si="56"/>
        <v>0</v>
      </c>
      <c r="N335" s="2214">
        <f t="shared" si="54"/>
        <v>0</v>
      </c>
      <c r="O335" s="1149"/>
      <c r="P335" s="705"/>
      <c r="Q335" s="707"/>
      <c r="R335" s="706"/>
      <c r="S335" s="706"/>
      <c r="T335" s="706"/>
      <c r="U335" s="706"/>
      <c r="V335" s="706"/>
      <c r="W335" s="706"/>
      <c r="X335" s="706"/>
      <c r="Y335" s="706"/>
      <c r="Z335" s="706"/>
      <c r="AA335" s="706"/>
      <c r="AB335" s="706"/>
      <c r="AC335" s="706"/>
    </row>
    <row r="336" spans="1:29">
      <c r="A336" s="2153"/>
      <c r="B336" s="2162" t="s">
        <v>280</v>
      </c>
      <c r="C336" s="2155"/>
      <c r="D336" s="2213">
        <f t="shared" si="52"/>
        <v>0</v>
      </c>
      <c r="E336" s="2188"/>
      <c r="F336" s="2188"/>
      <c r="G336" s="2188"/>
      <c r="H336" s="2193"/>
      <c r="I336" s="2222"/>
      <c r="J336" s="2214">
        <f t="shared" si="53"/>
        <v>0</v>
      </c>
      <c r="K336" s="2188"/>
      <c r="L336" s="2193"/>
      <c r="M336" s="2222"/>
      <c r="N336" s="2214">
        <f t="shared" si="54"/>
        <v>0</v>
      </c>
      <c r="O336" s="1149"/>
      <c r="P336" s="705"/>
      <c r="Q336" s="54"/>
      <c r="R336" s="706"/>
      <c r="S336" s="706"/>
      <c r="T336" s="706"/>
      <c r="U336" s="706"/>
      <c r="V336" s="706"/>
      <c r="W336" s="706"/>
      <c r="X336" s="706"/>
      <c r="Y336" s="706"/>
      <c r="Z336" s="706"/>
      <c r="AA336" s="706"/>
      <c r="AB336" s="706"/>
      <c r="AC336" s="706"/>
    </row>
    <row r="337" spans="1:42">
      <c r="A337" s="2153"/>
      <c r="B337" s="2162" t="s">
        <v>281</v>
      </c>
      <c r="C337" s="2155"/>
      <c r="D337" s="2213">
        <f t="shared" si="52"/>
        <v>807672</v>
      </c>
      <c r="E337" s="2188"/>
      <c r="F337" s="2188">
        <v>764682</v>
      </c>
      <c r="G337" s="2189">
        <v>13858</v>
      </c>
      <c r="H337" s="2197">
        <v>29132</v>
      </c>
      <c r="I337" s="2222"/>
      <c r="J337" s="2214">
        <f t="shared" si="53"/>
        <v>42990</v>
      </c>
      <c r="K337" s="2188"/>
      <c r="L337" s="2193"/>
      <c r="M337" s="2222"/>
      <c r="N337" s="2214">
        <f t="shared" si="54"/>
        <v>0</v>
      </c>
      <c r="O337" s="1149"/>
      <c r="P337" s="705"/>
      <c r="Q337" s="707"/>
      <c r="R337" s="706"/>
      <c r="S337" s="706"/>
      <c r="T337" s="706"/>
      <c r="U337" s="706"/>
      <c r="V337" s="706"/>
      <c r="W337" s="706"/>
      <c r="X337" s="706"/>
      <c r="Y337" s="706"/>
      <c r="Z337" s="706"/>
      <c r="AA337" s="706"/>
      <c r="AB337" s="706"/>
      <c r="AC337" s="706"/>
    </row>
    <row r="338" spans="1:42" s="913" customFormat="1" ht="25.5">
      <c r="A338" s="2163">
        <v>9</v>
      </c>
      <c r="B338" s="2164" t="s">
        <v>282</v>
      </c>
      <c r="C338" s="2165"/>
      <c r="D338" s="2230">
        <f t="shared" si="52"/>
        <v>145714584</v>
      </c>
      <c r="E338" s="2231">
        <f>SUM(E339:E342)</f>
        <v>0</v>
      </c>
      <c r="F338" s="2231">
        <f>SUM(F339:F342)</f>
        <v>32542586</v>
      </c>
      <c r="G338" s="2231">
        <f>SUM(G339:G342)</f>
        <v>55723571</v>
      </c>
      <c r="H338" s="2204">
        <f>SUM(H339:H342)</f>
        <v>27164664</v>
      </c>
      <c r="I338" s="2250">
        <f>SUM(I339:I342)</f>
        <v>29887120</v>
      </c>
      <c r="J338" s="2233">
        <f>G338+H338+I338</f>
        <v>112775355</v>
      </c>
      <c r="K338" s="2231">
        <f>SUM(K339:K342)</f>
        <v>0</v>
      </c>
      <c r="L338" s="2204">
        <f>SUM(L339:L342)</f>
        <v>0</v>
      </c>
      <c r="M338" s="2250">
        <f>SUM(M339:M342)</f>
        <v>396643</v>
      </c>
      <c r="N338" s="2233">
        <f t="shared" si="54"/>
        <v>396643</v>
      </c>
      <c r="O338" s="1155"/>
      <c r="P338" s="1025"/>
      <c r="Q338" s="710"/>
      <c r="R338" s="1027"/>
      <c r="S338" s="1027"/>
      <c r="T338" s="1027"/>
      <c r="U338" s="1027"/>
      <c r="V338" s="1027"/>
      <c r="W338" s="1027"/>
      <c r="X338" s="1027"/>
      <c r="Y338" s="1027"/>
      <c r="Z338" s="1027"/>
      <c r="AA338" s="1027"/>
      <c r="AB338" s="1027"/>
      <c r="AC338" s="1027"/>
      <c r="AE338" s="1058"/>
      <c r="AF338" s="1058"/>
      <c r="AG338" s="1058"/>
      <c r="AH338" s="1058"/>
      <c r="AI338" s="1058"/>
      <c r="AJ338" s="1058"/>
      <c r="AK338" s="1058"/>
      <c r="AL338" s="1058"/>
      <c r="AM338" s="1058"/>
      <c r="AN338" s="1058"/>
      <c r="AO338" s="1058"/>
      <c r="AP338" s="1058"/>
    </row>
    <row r="339" spans="1:42">
      <c r="A339" s="2155">
        <v>10</v>
      </c>
      <c r="B339" s="2171" t="s">
        <v>283</v>
      </c>
      <c r="C339" s="2155">
        <v>9</v>
      </c>
      <c r="D339" s="2213">
        <f t="shared" si="52"/>
        <v>61990663</v>
      </c>
      <c r="E339" s="2188"/>
      <c r="F339" s="2188">
        <v>8281313</v>
      </c>
      <c r="G339" s="2189">
        <v>35193024</v>
      </c>
      <c r="H339" s="2197">
        <v>7809190</v>
      </c>
      <c r="I339" s="2222">
        <v>10707136</v>
      </c>
      <c r="J339" s="2214">
        <f t="shared" ref="J339:J365" si="57">G339+H339+I339</f>
        <v>53709350</v>
      </c>
      <c r="K339" s="2189"/>
      <c r="L339" s="2238">
        <v>0</v>
      </c>
      <c r="M339" s="2191">
        <v>0</v>
      </c>
      <c r="N339" s="2214">
        <f t="shared" si="54"/>
        <v>0</v>
      </c>
      <c r="O339" s="1149"/>
      <c r="P339" s="705"/>
      <c r="Q339" s="707"/>
      <c r="R339" s="706"/>
      <c r="S339" s="706"/>
      <c r="T339" s="706"/>
      <c r="U339" s="706"/>
      <c r="V339" s="706"/>
      <c r="W339" s="706"/>
      <c r="X339" s="706"/>
      <c r="Y339" s="706"/>
      <c r="Z339" s="706"/>
      <c r="AA339" s="706"/>
      <c r="AB339" s="706"/>
      <c r="AC339" s="706"/>
    </row>
    <row r="340" spans="1:42">
      <c r="A340" s="2155">
        <v>11</v>
      </c>
      <c r="B340" s="2171" t="s">
        <v>284</v>
      </c>
      <c r="C340" s="2155">
        <v>10</v>
      </c>
      <c r="D340" s="2213">
        <f t="shared" si="52"/>
        <v>83115222</v>
      </c>
      <c r="E340" s="2188"/>
      <c r="F340" s="1171">
        <v>24258748</v>
      </c>
      <c r="G340" s="1182">
        <v>20353446</v>
      </c>
      <c r="H340" s="1183">
        <v>19201310</v>
      </c>
      <c r="I340" s="1195">
        <v>19114587</v>
      </c>
      <c r="J340" s="2214">
        <f t="shared" si="57"/>
        <v>58669343</v>
      </c>
      <c r="K340" s="2189"/>
      <c r="L340" s="2190"/>
      <c r="M340" s="1184">
        <v>187131</v>
      </c>
      <c r="N340" s="2214">
        <f t="shared" si="54"/>
        <v>187131</v>
      </c>
      <c r="O340" s="1149"/>
      <c r="P340" s="705"/>
      <c r="Q340" s="707"/>
      <c r="R340" s="706"/>
      <c r="S340" s="706"/>
      <c r="T340" s="706"/>
      <c r="U340" s="706"/>
      <c r="V340" s="706"/>
      <c r="W340" s="706"/>
      <c r="X340" s="706"/>
      <c r="Y340" s="706"/>
      <c r="Z340" s="706"/>
      <c r="AA340" s="706"/>
      <c r="AB340" s="706"/>
      <c r="AC340" s="706"/>
    </row>
    <row r="341" spans="1:42">
      <c r="A341" s="2155">
        <v>12</v>
      </c>
      <c r="B341" s="2171" t="s">
        <v>285</v>
      </c>
      <c r="C341" s="2155">
        <v>11</v>
      </c>
      <c r="D341" s="2213">
        <f t="shared" si="52"/>
        <v>607627</v>
      </c>
      <c r="E341" s="2188"/>
      <c r="F341" s="1171">
        <v>2525</v>
      </c>
      <c r="G341" s="1182">
        <v>177101</v>
      </c>
      <c r="H341" s="1183">
        <v>154164</v>
      </c>
      <c r="I341" s="1195">
        <v>65397</v>
      </c>
      <c r="J341" s="2214">
        <f t="shared" si="57"/>
        <v>396662</v>
      </c>
      <c r="K341" s="2189"/>
      <c r="L341" s="2190"/>
      <c r="M341" s="1184">
        <v>208440</v>
      </c>
      <c r="N341" s="2214">
        <f t="shared" si="54"/>
        <v>208440</v>
      </c>
      <c r="O341" s="1149"/>
      <c r="P341" s="705"/>
      <c r="Q341" s="707"/>
      <c r="R341" s="706"/>
      <c r="S341" s="706"/>
      <c r="T341" s="706"/>
      <c r="U341" s="706"/>
      <c r="V341" s="706"/>
      <c r="W341" s="706"/>
      <c r="X341" s="706"/>
      <c r="Y341" s="706"/>
      <c r="Z341" s="706"/>
      <c r="AA341" s="706"/>
      <c r="AB341" s="706"/>
      <c r="AC341" s="706"/>
    </row>
    <row r="342" spans="1:42" ht="25.5">
      <c r="A342" s="2155">
        <v>13</v>
      </c>
      <c r="B342" s="2171" t="s">
        <v>286</v>
      </c>
      <c r="C342" s="2155">
        <v>12</v>
      </c>
      <c r="D342" s="2213">
        <f t="shared" si="52"/>
        <v>1072</v>
      </c>
      <c r="E342" s="2188"/>
      <c r="F342" s="1171">
        <v>0</v>
      </c>
      <c r="G342" s="1182">
        <v>0</v>
      </c>
      <c r="H342" s="1183">
        <v>0</v>
      </c>
      <c r="I342" s="1195">
        <v>0</v>
      </c>
      <c r="J342" s="2214">
        <f t="shared" si="57"/>
        <v>0</v>
      </c>
      <c r="K342" s="2189"/>
      <c r="L342" s="2190"/>
      <c r="M342" s="1184">
        <v>1072</v>
      </c>
      <c r="N342" s="2214">
        <f t="shared" si="54"/>
        <v>1072</v>
      </c>
      <c r="O342" s="1149"/>
      <c r="P342" s="705"/>
      <c r="Q342" s="707"/>
      <c r="R342" s="706"/>
      <c r="S342" s="706"/>
      <c r="T342" s="706"/>
      <c r="U342" s="706"/>
      <c r="V342" s="706"/>
      <c r="W342" s="706"/>
      <c r="X342" s="706"/>
      <c r="Y342" s="706"/>
      <c r="Z342" s="706"/>
      <c r="AA342" s="706"/>
      <c r="AB342" s="706"/>
      <c r="AC342" s="706"/>
    </row>
    <row r="343" spans="1:42">
      <c r="A343" s="2155">
        <v>14</v>
      </c>
      <c r="B343" s="2154" t="s">
        <v>287</v>
      </c>
      <c r="C343" s="2155">
        <v>13</v>
      </c>
      <c r="D343" s="2213">
        <f t="shared" si="52"/>
        <v>1561980</v>
      </c>
      <c r="E343" s="2188"/>
      <c r="F343" s="2188">
        <v>0</v>
      </c>
      <c r="G343" s="2189">
        <v>468028</v>
      </c>
      <c r="H343" s="2197">
        <v>1093952</v>
      </c>
      <c r="I343" s="2222"/>
      <c r="J343" s="2214">
        <f t="shared" si="57"/>
        <v>1561980</v>
      </c>
      <c r="K343" s="2189"/>
      <c r="L343" s="2238"/>
      <c r="M343" s="2236"/>
      <c r="N343" s="2214">
        <f t="shared" si="54"/>
        <v>0</v>
      </c>
      <c r="O343" s="1149"/>
      <c r="P343" s="705"/>
      <c r="Q343" s="707"/>
      <c r="R343" s="706"/>
      <c r="S343" s="706"/>
      <c r="T343" s="706"/>
      <c r="U343" s="706"/>
      <c r="V343" s="706"/>
      <c r="W343" s="706"/>
      <c r="X343" s="706"/>
      <c r="Y343" s="706"/>
      <c r="Z343" s="706"/>
      <c r="AA343" s="706"/>
      <c r="AB343" s="706"/>
      <c r="AC343" s="706"/>
    </row>
    <row r="344" spans="1:42">
      <c r="A344" s="2155">
        <v>15</v>
      </c>
      <c r="B344" s="2154" t="s">
        <v>288</v>
      </c>
      <c r="C344" s="2161">
        <v>14</v>
      </c>
      <c r="D344" s="2213">
        <f t="shared" si="52"/>
        <v>392171</v>
      </c>
      <c r="E344" s="2188"/>
      <c r="F344" s="1171">
        <v>0</v>
      </c>
      <c r="G344" s="1182">
        <v>12676</v>
      </c>
      <c r="H344" s="1174">
        <v>379495</v>
      </c>
      <c r="I344" s="2222"/>
      <c r="J344" s="2214">
        <f t="shared" si="57"/>
        <v>392171</v>
      </c>
      <c r="K344" s="2189"/>
      <c r="L344" s="2238"/>
      <c r="M344" s="2236"/>
      <c r="N344" s="2214">
        <f t="shared" si="54"/>
        <v>0</v>
      </c>
      <c r="O344" s="1149"/>
      <c r="P344" s="705"/>
      <c r="Q344" s="707"/>
      <c r="R344" s="706"/>
      <c r="S344" s="706"/>
      <c r="T344" s="706"/>
      <c r="U344" s="706"/>
      <c r="V344" s="706"/>
      <c r="W344" s="706"/>
      <c r="X344" s="706"/>
      <c r="Y344" s="706"/>
      <c r="Z344" s="706"/>
      <c r="AA344" s="706"/>
      <c r="AB344" s="706"/>
      <c r="AC344" s="706"/>
    </row>
    <row r="345" spans="1:42">
      <c r="A345" s="2155">
        <v>16</v>
      </c>
      <c r="B345" s="2154" t="s">
        <v>289</v>
      </c>
      <c r="C345" s="2155">
        <v>15</v>
      </c>
      <c r="D345" s="2213">
        <f t="shared" si="52"/>
        <v>336496</v>
      </c>
      <c r="E345" s="2188"/>
      <c r="F345" s="1171">
        <v>0</v>
      </c>
      <c r="G345" s="1182">
        <v>137789</v>
      </c>
      <c r="H345" s="1174">
        <v>198707</v>
      </c>
      <c r="I345" s="2222"/>
      <c r="J345" s="2214">
        <f t="shared" si="57"/>
        <v>336496</v>
      </c>
      <c r="K345" s="2189"/>
      <c r="L345" s="2238"/>
      <c r="M345" s="2236"/>
      <c r="N345" s="2214">
        <f t="shared" si="54"/>
        <v>0</v>
      </c>
      <c r="O345" s="1149"/>
      <c r="P345" s="705"/>
      <c r="Q345" s="707"/>
      <c r="R345" s="706"/>
      <c r="S345" s="706"/>
      <c r="T345" s="706"/>
      <c r="U345" s="706"/>
      <c r="V345" s="706"/>
      <c r="W345" s="706"/>
      <c r="X345" s="706"/>
      <c r="Y345" s="706"/>
      <c r="Z345" s="706"/>
      <c r="AA345" s="706"/>
      <c r="AB345" s="706"/>
      <c r="AC345" s="706"/>
    </row>
    <row r="346" spans="1:42">
      <c r="A346" s="2155">
        <v>17</v>
      </c>
      <c r="B346" s="2154" t="s">
        <v>290</v>
      </c>
      <c r="C346" s="2161">
        <v>16</v>
      </c>
      <c r="D346" s="2213">
        <f t="shared" si="52"/>
        <v>8562398</v>
      </c>
      <c r="E346" s="2188"/>
      <c r="F346" s="1171">
        <v>4861111</v>
      </c>
      <c r="G346" s="1182">
        <v>2045433</v>
      </c>
      <c r="H346" s="1183">
        <v>1651776</v>
      </c>
      <c r="I346" s="2236"/>
      <c r="J346" s="2214">
        <f t="shared" si="57"/>
        <v>3697209</v>
      </c>
      <c r="K346" s="2189"/>
      <c r="L346" s="2190"/>
      <c r="M346" s="2191">
        <v>4078</v>
      </c>
      <c r="N346" s="2214">
        <f t="shared" si="54"/>
        <v>4078</v>
      </c>
      <c r="O346" s="1149"/>
      <c r="P346" s="705"/>
      <c r="Q346" s="707"/>
      <c r="R346" s="706"/>
      <c r="S346" s="706"/>
      <c r="T346" s="706"/>
      <c r="U346" s="706"/>
      <c r="V346" s="706"/>
      <c r="W346" s="706"/>
      <c r="X346" s="706"/>
      <c r="Y346" s="706"/>
      <c r="Z346" s="706"/>
      <c r="AA346" s="706"/>
      <c r="AB346" s="706"/>
      <c r="AC346" s="706"/>
    </row>
    <row r="347" spans="1:42">
      <c r="A347" s="2155">
        <v>18</v>
      </c>
      <c r="B347" s="2154" t="s">
        <v>291</v>
      </c>
      <c r="C347" s="2155"/>
      <c r="D347" s="2213">
        <f t="shared" si="52"/>
        <v>0</v>
      </c>
      <c r="E347" s="2188"/>
      <c r="F347" s="1171">
        <v>0</v>
      </c>
      <c r="G347" s="1182">
        <v>0</v>
      </c>
      <c r="H347" s="1174">
        <v>0</v>
      </c>
      <c r="I347" s="2222">
        <v>0</v>
      </c>
      <c r="J347" s="2214">
        <f t="shared" si="57"/>
        <v>0</v>
      </c>
      <c r="K347" s="2189"/>
      <c r="L347" s="2238"/>
      <c r="M347" s="2236"/>
      <c r="N347" s="2214">
        <f t="shared" si="54"/>
        <v>0</v>
      </c>
      <c r="O347" s="1149"/>
      <c r="P347" s="705"/>
      <c r="Q347" s="54"/>
      <c r="R347" s="706"/>
      <c r="S347" s="706"/>
      <c r="T347" s="706"/>
      <c r="U347" s="706"/>
      <c r="V347" s="706"/>
      <c r="W347" s="706"/>
      <c r="X347" s="706"/>
      <c r="Y347" s="706"/>
      <c r="Z347" s="706"/>
      <c r="AA347" s="706"/>
      <c r="AB347" s="706"/>
      <c r="AC347" s="706"/>
    </row>
    <row r="348" spans="1:42" ht="13.5" thickBot="1">
      <c r="A348" s="2172">
        <v>19</v>
      </c>
      <c r="B348" s="2173" t="s">
        <v>292</v>
      </c>
      <c r="C348" s="2172"/>
      <c r="D348" s="1388">
        <f t="shared" si="52"/>
        <v>494350</v>
      </c>
      <c r="E348" s="1176"/>
      <c r="F348" s="1175">
        <v>134380</v>
      </c>
      <c r="G348" s="1202">
        <v>96633</v>
      </c>
      <c r="H348" s="1200">
        <v>162639</v>
      </c>
      <c r="I348" s="2248">
        <v>100698</v>
      </c>
      <c r="J348" s="1396">
        <f t="shared" si="57"/>
        <v>359970</v>
      </c>
      <c r="K348" s="1208"/>
      <c r="L348" s="2242"/>
      <c r="M348" s="2247"/>
      <c r="N348" s="1396">
        <f t="shared" si="54"/>
        <v>0</v>
      </c>
      <c r="O348" s="1149"/>
      <c r="P348" s="705"/>
      <c r="Q348" s="707"/>
      <c r="R348" s="706"/>
      <c r="S348" s="706"/>
      <c r="T348" s="706"/>
      <c r="U348" s="706"/>
      <c r="V348" s="706"/>
      <c r="W348" s="706"/>
      <c r="X348" s="706"/>
      <c r="Y348" s="706"/>
      <c r="Z348" s="706"/>
      <c r="AA348" s="706"/>
      <c r="AB348" s="706"/>
      <c r="AC348" s="706"/>
    </row>
    <row r="349" spans="1:42" s="913" customFormat="1" ht="26.25" thickBot="1">
      <c r="A349" s="1351">
        <v>20</v>
      </c>
      <c r="B349" s="1352" t="s">
        <v>293</v>
      </c>
      <c r="C349" s="1351"/>
      <c r="D349" s="1378">
        <f t="shared" si="52"/>
        <v>173762954</v>
      </c>
      <c r="E349" s="1378">
        <f>SUM(E326:E332)+E335+E338+SUM(E343:E348)</f>
        <v>0</v>
      </c>
      <c r="F349" s="1378">
        <f>SUM(F326:F332)+F335+F338+SUM(F343:F348)</f>
        <v>44837580</v>
      </c>
      <c r="G349" s="1378">
        <f>SUM(G326:G332)+G335+G338+SUM(G343:G348)</f>
        <v>67856470</v>
      </c>
      <c r="H349" s="1379">
        <f>SUM(H326:H332)+H335+H338+SUM(H343:H348)</f>
        <v>30680365</v>
      </c>
      <c r="I349" s="1415">
        <f>SUM(I326:I332)+I335+I338+SUM(I343:I348)</f>
        <v>29987818</v>
      </c>
      <c r="J349" s="1378">
        <f t="shared" si="57"/>
        <v>128524653</v>
      </c>
      <c r="K349" s="1378">
        <f>SUM(K326:K332)+K335+K338+SUM(K343:K348)</f>
        <v>0</v>
      </c>
      <c r="L349" s="1379">
        <f>SUM(L326:L332)+L335+L338+SUM(L343:L348)</f>
        <v>0</v>
      </c>
      <c r="M349" s="1415">
        <f>SUM(M326:M332)+M335+M338+SUM(M343:M348)</f>
        <v>400721</v>
      </c>
      <c r="N349" s="1378">
        <f t="shared" si="54"/>
        <v>400721</v>
      </c>
      <c r="O349" s="1155"/>
      <c r="P349" s="1025"/>
      <c r="Q349" s="710"/>
      <c r="R349" s="1027"/>
      <c r="S349" s="1027"/>
      <c r="T349" s="1027"/>
      <c r="U349" s="1027"/>
      <c r="V349" s="1027"/>
      <c r="W349" s="1027"/>
      <c r="X349" s="1027"/>
      <c r="Y349" s="1027"/>
      <c r="Z349" s="1027"/>
      <c r="AA349" s="1027"/>
      <c r="AB349" s="1027"/>
      <c r="AC349" s="1027"/>
      <c r="AE349" s="1058"/>
      <c r="AF349" s="1058"/>
      <c r="AG349" s="1058"/>
      <c r="AH349" s="1058"/>
      <c r="AI349" s="1058"/>
      <c r="AJ349" s="1058"/>
      <c r="AK349" s="1058"/>
      <c r="AL349" s="1058"/>
      <c r="AM349" s="1058"/>
      <c r="AN349" s="1058"/>
      <c r="AO349" s="1058"/>
      <c r="AP349" s="1058"/>
    </row>
    <row r="350" spans="1:42">
      <c r="A350" s="1346"/>
      <c r="B350" s="1347" t="s">
        <v>294</v>
      </c>
      <c r="C350" s="1346"/>
      <c r="D350" s="1387">
        <f t="shared" si="52"/>
        <v>0</v>
      </c>
      <c r="E350" s="1171"/>
      <c r="F350" s="1171"/>
      <c r="G350" s="1182"/>
      <c r="H350" s="1174"/>
      <c r="I350" s="1194"/>
      <c r="J350" s="1395">
        <f t="shared" si="57"/>
        <v>0</v>
      </c>
      <c r="K350" s="1182"/>
      <c r="L350" s="1196"/>
      <c r="M350" s="1195"/>
      <c r="N350" s="1395">
        <f t="shared" si="54"/>
        <v>0</v>
      </c>
      <c r="O350" s="1149"/>
      <c r="P350" s="705"/>
      <c r="Q350" s="54"/>
      <c r="R350" s="706"/>
      <c r="S350" s="706"/>
      <c r="T350" s="706"/>
      <c r="U350" s="706"/>
      <c r="V350" s="706"/>
      <c r="W350" s="706"/>
      <c r="X350" s="706"/>
      <c r="Y350" s="706"/>
      <c r="Z350" s="706"/>
      <c r="AA350" s="706"/>
      <c r="AB350" s="706"/>
      <c r="AC350" s="706"/>
    </row>
    <row r="351" spans="1:42">
      <c r="A351" s="2155"/>
      <c r="B351" s="2175" t="s">
        <v>295</v>
      </c>
      <c r="C351" s="2155"/>
      <c r="D351" s="2213">
        <f t="shared" si="52"/>
        <v>0</v>
      </c>
      <c r="E351" s="2188"/>
      <c r="F351" s="2188"/>
      <c r="G351" s="2189"/>
      <c r="H351" s="2197"/>
      <c r="I351" s="2222"/>
      <c r="J351" s="2214">
        <f t="shared" si="57"/>
        <v>0</v>
      </c>
      <c r="K351" s="2189"/>
      <c r="L351" s="2238"/>
      <c r="M351" s="2236"/>
      <c r="N351" s="2214">
        <f t="shared" si="54"/>
        <v>0</v>
      </c>
      <c r="O351" s="1149"/>
      <c r="P351" s="705"/>
      <c r="Q351" s="54"/>
      <c r="R351" s="706"/>
      <c r="S351" s="706"/>
      <c r="T351" s="706"/>
      <c r="U351" s="706"/>
      <c r="V351" s="706"/>
      <c r="W351" s="706"/>
      <c r="X351" s="706"/>
      <c r="Y351" s="706"/>
      <c r="Z351" s="706"/>
      <c r="AA351" s="706"/>
      <c r="AB351" s="706"/>
      <c r="AC351" s="706"/>
    </row>
    <row r="352" spans="1:42">
      <c r="A352" s="2155">
        <v>21</v>
      </c>
      <c r="B352" s="2154" t="s">
        <v>296</v>
      </c>
      <c r="C352" s="2161">
        <v>17</v>
      </c>
      <c r="D352" s="2213">
        <f t="shared" si="52"/>
        <v>120321846</v>
      </c>
      <c r="E352" s="2188"/>
      <c r="F352" s="2188"/>
      <c r="G352" s="2189">
        <v>65841620</v>
      </c>
      <c r="H352" s="2197">
        <v>24173557</v>
      </c>
      <c r="I352" s="2222">
        <v>29987817</v>
      </c>
      <c r="J352" s="2214">
        <f t="shared" si="57"/>
        <v>120002994</v>
      </c>
      <c r="K352" s="2189"/>
      <c r="L352" s="2238"/>
      <c r="M352" s="2191">
        <v>318852</v>
      </c>
      <c r="N352" s="2214">
        <f t="shared" si="54"/>
        <v>318852</v>
      </c>
      <c r="O352" s="1149"/>
      <c r="P352" s="705"/>
      <c r="Q352" s="707"/>
      <c r="R352" s="706"/>
      <c r="S352" s="706"/>
      <c r="T352" s="706"/>
      <c r="U352" s="706"/>
      <c r="V352" s="706"/>
      <c r="W352" s="706"/>
      <c r="X352" s="706"/>
      <c r="Y352" s="706"/>
      <c r="Z352" s="706"/>
      <c r="AA352" s="706"/>
      <c r="AB352" s="706"/>
      <c r="AC352" s="706"/>
    </row>
    <row r="353" spans="1:42">
      <c r="A353" s="2155">
        <v>22</v>
      </c>
      <c r="B353" s="2154" t="s">
        <v>297</v>
      </c>
      <c r="C353" s="2155"/>
      <c r="D353" s="2213">
        <f t="shared" si="52"/>
        <v>108450</v>
      </c>
      <c r="E353" s="2188"/>
      <c r="F353" s="2188"/>
      <c r="G353" s="1182">
        <v>54095</v>
      </c>
      <c r="H353" s="1174">
        <v>54355</v>
      </c>
      <c r="I353" s="2222"/>
      <c r="J353" s="2214">
        <f t="shared" si="57"/>
        <v>108450</v>
      </c>
      <c r="K353" s="2189"/>
      <c r="L353" s="2238"/>
      <c r="M353" s="2236"/>
      <c r="N353" s="2214">
        <f t="shared" si="54"/>
        <v>0</v>
      </c>
      <c r="O353" s="1149"/>
      <c r="P353" s="705"/>
      <c r="Q353" s="707"/>
      <c r="R353" s="706"/>
      <c r="S353" s="706"/>
      <c r="T353" s="706"/>
      <c r="U353" s="706"/>
      <c r="V353" s="706"/>
      <c r="W353" s="706"/>
      <c r="X353" s="706"/>
      <c r="Y353" s="706"/>
      <c r="Z353" s="706"/>
      <c r="AA353" s="706"/>
      <c r="AB353" s="706"/>
      <c r="AC353" s="706"/>
    </row>
    <row r="354" spans="1:42">
      <c r="A354" s="2155">
        <v>23</v>
      </c>
      <c r="B354" s="2154" t="s">
        <v>298</v>
      </c>
      <c r="C354" s="2155">
        <v>18</v>
      </c>
      <c r="D354" s="2213">
        <f t="shared" si="52"/>
        <v>524897</v>
      </c>
      <c r="E354" s="2188"/>
      <c r="F354" s="2188"/>
      <c r="G354" s="1182">
        <v>17532</v>
      </c>
      <c r="H354" s="1174">
        <v>507365</v>
      </c>
      <c r="I354" s="2222"/>
      <c r="J354" s="2214">
        <f t="shared" si="57"/>
        <v>524897</v>
      </c>
      <c r="K354" s="2189"/>
      <c r="L354" s="2238"/>
      <c r="M354" s="2236"/>
      <c r="N354" s="2214">
        <f t="shared" si="54"/>
        <v>0</v>
      </c>
      <c r="O354" s="1149"/>
      <c r="P354" s="705"/>
      <c r="Q354" s="707"/>
      <c r="R354" s="706"/>
      <c r="S354" s="706"/>
      <c r="T354" s="706"/>
      <c r="U354" s="706"/>
      <c r="V354" s="706"/>
      <c r="W354" s="706"/>
      <c r="X354" s="706"/>
      <c r="Y354" s="706"/>
      <c r="Z354" s="706"/>
      <c r="AA354" s="706"/>
      <c r="AB354" s="706"/>
      <c r="AC354" s="706"/>
    </row>
    <row r="355" spans="1:42">
      <c r="A355" s="2155">
        <v>24</v>
      </c>
      <c r="B355" s="2154" t="s">
        <v>299</v>
      </c>
      <c r="C355" s="2155"/>
      <c r="D355" s="2213">
        <f t="shared" si="52"/>
        <v>918731</v>
      </c>
      <c r="E355" s="2188"/>
      <c r="F355" s="1176"/>
      <c r="G355" s="1202">
        <v>212179</v>
      </c>
      <c r="H355" s="1200">
        <v>706552</v>
      </c>
      <c r="I355" s="2222"/>
      <c r="J355" s="2214">
        <f t="shared" si="57"/>
        <v>918731</v>
      </c>
      <c r="K355" s="2189"/>
      <c r="L355" s="2238"/>
      <c r="M355" s="2236"/>
      <c r="N355" s="2214">
        <f t="shared" si="54"/>
        <v>0</v>
      </c>
      <c r="O355" s="1149"/>
      <c r="P355" s="705"/>
      <c r="Q355" s="707"/>
      <c r="R355" s="706"/>
      <c r="S355" s="706"/>
      <c r="T355" s="706"/>
      <c r="U355" s="706"/>
      <c r="V355" s="706"/>
      <c r="W355" s="706"/>
      <c r="X355" s="706"/>
      <c r="Y355" s="706"/>
      <c r="Z355" s="706"/>
      <c r="AA355" s="706"/>
      <c r="AB355" s="706"/>
      <c r="AC355" s="706"/>
    </row>
    <row r="356" spans="1:42">
      <c r="A356" s="2155">
        <v>25</v>
      </c>
      <c r="B356" s="2176" t="s">
        <v>300</v>
      </c>
      <c r="C356" s="2155"/>
      <c r="D356" s="2213">
        <f t="shared" si="52"/>
        <v>3202054</v>
      </c>
      <c r="E356" s="2188"/>
      <c r="F356" s="1260"/>
      <c r="G356" s="1263">
        <v>0</v>
      </c>
      <c r="H356" s="1264">
        <v>3202054</v>
      </c>
      <c r="I356" s="2248"/>
      <c r="J356" s="2214">
        <f t="shared" si="57"/>
        <v>3202054</v>
      </c>
      <c r="K356" s="2189"/>
      <c r="L356" s="2238"/>
      <c r="M356" s="2236"/>
      <c r="N356" s="2214">
        <f t="shared" si="54"/>
        <v>0</v>
      </c>
      <c r="O356" s="1149"/>
      <c r="P356" s="705"/>
      <c r="Q356" s="707"/>
      <c r="R356" s="706"/>
      <c r="S356" s="706"/>
      <c r="T356" s="706"/>
      <c r="U356" s="706"/>
      <c r="V356" s="706"/>
      <c r="W356" s="706"/>
      <c r="X356" s="706"/>
      <c r="Y356" s="706"/>
      <c r="Z356" s="706"/>
      <c r="AA356" s="706"/>
      <c r="AB356" s="706"/>
      <c r="AC356" s="706"/>
    </row>
    <row r="357" spans="1:42" ht="13.5" thickBot="1">
      <c r="A357" s="2172">
        <v>26</v>
      </c>
      <c r="B357" s="2173" t="s">
        <v>301</v>
      </c>
      <c r="C357" s="2177">
        <v>19</v>
      </c>
      <c r="D357" s="2213">
        <f>+E357+F357+J357+N357</f>
        <v>4492941.8725407403</v>
      </c>
      <c r="E357" s="2188"/>
      <c r="F357" s="1265">
        <v>643547.39715784998</v>
      </c>
      <c r="G357" s="1266">
        <f>1479485.01623709+251559.59105</f>
        <v>1731044.60728709</v>
      </c>
      <c r="H357" s="1267">
        <v>2036479.8680958003</v>
      </c>
      <c r="I357" s="1261">
        <v>0</v>
      </c>
      <c r="J357" s="2214">
        <f t="shared" si="57"/>
        <v>3767524.4753828906</v>
      </c>
      <c r="K357" s="2189"/>
      <c r="L357" s="1209"/>
      <c r="M357" s="2266">
        <v>81870</v>
      </c>
      <c r="N357" s="2214">
        <f t="shared" si="54"/>
        <v>81870</v>
      </c>
      <c r="O357" s="1149"/>
      <c r="P357" s="705"/>
      <c r="Q357" s="707"/>
      <c r="R357" s="706"/>
      <c r="S357" s="706"/>
      <c r="T357" s="706"/>
      <c r="U357" s="706"/>
      <c r="V357" s="706"/>
      <c r="W357" s="706"/>
      <c r="X357" s="706"/>
      <c r="Y357" s="706"/>
      <c r="Z357" s="706"/>
      <c r="AA357" s="706"/>
      <c r="AB357" s="706"/>
      <c r="AC357" s="706"/>
    </row>
    <row r="358" spans="1:42" s="913" customFormat="1" ht="27.75" customHeight="1" thickBot="1">
      <c r="A358" s="1348">
        <v>27</v>
      </c>
      <c r="B358" s="1349" t="s">
        <v>302</v>
      </c>
      <c r="C358" s="1348"/>
      <c r="D358" s="1389">
        <f>+E358+F358+J358+N358</f>
        <v>129568919.87254074</v>
      </c>
      <c r="E358" s="1181">
        <f>SUM(E352:E357)</f>
        <v>0</v>
      </c>
      <c r="F358" s="1181">
        <f>SUM(F352:F357)</f>
        <v>643547.39715784998</v>
      </c>
      <c r="G358" s="1181">
        <f>SUM(G352:G357)</f>
        <v>67856470.607287094</v>
      </c>
      <c r="H358" s="1185">
        <f>SUM(H352:H357)</f>
        <v>30680362.8680958</v>
      </c>
      <c r="I358" s="1258">
        <f>SUM(I352:I357)</f>
        <v>29987817</v>
      </c>
      <c r="J358" s="1394">
        <f t="shared" si="57"/>
        <v>128524650.47538289</v>
      </c>
      <c r="K358" s="1181">
        <f>SUM(K352:K357)</f>
        <v>0</v>
      </c>
      <c r="L358" s="1181">
        <f>SUM(L352:L357)</f>
        <v>0</v>
      </c>
      <c r="M358" s="1181">
        <f>SUM(M352:M357)</f>
        <v>400722</v>
      </c>
      <c r="N358" s="1400">
        <f>K358+L358+M358</f>
        <v>400722</v>
      </c>
      <c r="O358" s="1155"/>
      <c r="P358" s="1025"/>
      <c r="Q358" s="710"/>
      <c r="R358" s="1027"/>
      <c r="S358" s="1027"/>
      <c r="T358" s="1027"/>
      <c r="U358" s="1027"/>
      <c r="V358" s="1027"/>
      <c r="W358" s="1027"/>
      <c r="X358" s="1027"/>
      <c r="Y358" s="1027"/>
      <c r="Z358" s="1027"/>
      <c r="AA358" s="1027"/>
      <c r="AB358" s="1027"/>
      <c r="AC358" s="1027"/>
      <c r="AE358" s="1058"/>
      <c r="AF358" s="1058"/>
      <c r="AG358" s="1058"/>
      <c r="AH358" s="1058"/>
      <c r="AI358" s="1058"/>
      <c r="AJ358" s="1058"/>
      <c r="AK358" s="1058"/>
      <c r="AL358" s="1058"/>
      <c r="AM358" s="1058"/>
      <c r="AN358" s="1058"/>
      <c r="AO358" s="1058"/>
      <c r="AP358" s="1058"/>
    </row>
    <row r="359" spans="1:42">
      <c r="A359" s="1346"/>
      <c r="B359" s="1347" t="s">
        <v>303</v>
      </c>
      <c r="C359" s="1346">
        <v>20</v>
      </c>
      <c r="D359" s="1387">
        <f t="shared" si="52"/>
        <v>0</v>
      </c>
      <c r="E359" s="1171"/>
      <c r="F359" s="1171"/>
      <c r="G359" s="1182"/>
      <c r="H359" s="1174"/>
      <c r="I359" s="1194"/>
      <c r="J359" s="1395">
        <f t="shared" si="57"/>
        <v>0</v>
      </c>
      <c r="K359" s="1171"/>
      <c r="L359" s="1172"/>
      <c r="M359" s="1194"/>
      <c r="N359" s="1395">
        <f t="shared" si="54"/>
        <v>0</v>
      </c>
      <c r="O359" s="1149"/>
      <c r="P359" s="705"/>
      <c r="Q359" s="54"/>
      <c r="R359" s="706"/>
      <c r="S359" s="706"/>
      <c r="T359" s="706"/>
      <c r="U359" s="706"/>
      <c r="V359" s="706"/>
      <c r="W359" s="706"/>
      <c r="X359" s="706"/>
      <c r="Y359" s="706"/>
      <c r="Z359" s="706"/>
      <c r="AA359" s="706"/>
      <c r="AB359" s="706"/>
      <c r="AC359" s="706"/>
    </row>
    <row r="360" spans="1:42">
      <c r="A360" s="2155">
        <v>28</v>
      </c>
      <c r="B360" s="2154" t="s">
        <v>304</v>
      </c>
      <c r="C360" s="2161"/>
      <c r="D360" s="2213">
        <f t="shared" si="52"/>
        <v>500001</v>
      </c>
      <c r="E360" s="2188"/>
      <c r="F360" s="2188">
        <v>500001</v>
      </c>
      <c r="G360" s="2189"/>
      <c r="H360" s="2197"/>
      <c r="I360" s="2222"/>
      <c r="J360" s="2214">
        <f t="shared" si="57"/>
        <v>0</v>
      </c>
      <c r="K360" s="2188"/>
      <c r="L360" s="2193"/>
      <c r="M360" s="2222"/>
      <c r="N360" s="2214">
        <f t="shared" si="54"/>
        <v>0</v>
      </c>
      <c r="O360" s="1149"/>
      <c r="P360" s="705"/>
      <c r="Q360" s="707"/>
      <c r="R360" s="706"/>
      <c r="S360" s="706"/>
      <c r="T360" s="706"/>
      <c r="U360" s="706"/>
      <c r="V360" s="706"/>
      <c r="W360" s="706"/>
      <c r="X360" s="706"/>
      <c r="Y360" s="706"/>
      <c r="Z360" s="706"/>
      <c r="AA360" s="706"/>
      <c r="AB360" s="706"/>
      <c r="AC360" s="706"/>
    </row>
    <row r="361" spans="1:42">
      <c r="A361" s="2155">
        <v>29</v>
      </c>
      <c r="B361" s="2154" t="s">
        <v>305</v>
      </c>
      <c r="C361" s="2161"/>
      <c r="D361" s="2213">
        <f t="shared" si="52"/>
        <v>7341019</v>
      </c>
      <c r="E361" s="2188"/>
      <c r="F361" s="1171">
        <v>7341019</v>
      </c>
      <c r="G361" s="2189"/>
      <c r="H361" s="2197"/>
      <c r="I361" s="2222"/>
      <c r="J361" s="2214">
        <f t="shared" si="57"/>
        <v>0</v>
      </c>
      <c r="K361" s="2188"/>
      <c r="L361" s="2193"/>
      <c r="M361" s="2222"/>
      <c r="N361" s="2214">
        <f t="shared" si="54"/>
        <v>0</v>
      </c>
      <c r="O361" s="1149"/>
      <c r="P361" s="705"/>
      <c r="Q361" s="707"/>
      <c r="R361" s="706"/>
      <c r="S361" s="706"/>
      <c r="T361" s="706"/>
      <c r="U361" s="706"/>
      <c r="V361" s="706"/>
      <c r="W361" s="706"/>
      <c r="X361" s="706"/>
      <c r="Y361" s="706"/>
      <c r="Z361" s="706"/>
      <c r="AA361" s="706"/>
      <c r="AB361" s="706"/>
      <c r="AC361" s="706"/>
    </row>
    <row r="362" spans="1:42">
      <c r="A362" s="2155">
        <v>30</v>
      </c>
      <c r="B362" s="2173" t="s">
        <v>306</v>
      </c>
      <c r="C362" s="2177"/>
      <c r="D362" s="2213">
        <f t="shared" si="52"/>
        <v>496512</v>
      </c>
      <c r="E362" s="2188"/>
      <c r="F362" s="1175">
        <v>496512</v>
      </c>
      <c r="G362" s="1208"/>
      <c r="H362" s="2210"/>
      <c r="I362" s="2248"/>
      <c r="J362" s="2214">
        <f t="shared" si="57"/>
        <v>0</v>
      </c>
      <c r="K362" s="2188"/>
      <c r="L362" s="2193"/>
      <c r="M362" s="2222"/>
      <c r="N362" s="2214">
        <f t="shared" si="54"/>
        <v>0</v>
      </c>
      <c r="O362" s="1149"/>
      <c r="P362" s="705"/>
      <c r="Q362" s="707"/>
      <c r="R362" s="706"/>
      <c r="S362" s="706"/>
      <c r="T362" s="706"/>
      <c r="U362" s="706"/>
      <c r="V362" s="706"/>
      <c r="W362" s="706"/>
      <c r="X362" s="706"/>
      <c r="Y362" s="706"/>
      <c r="Z362" s="706"/>
      <c r="AA362" s="706"/>
      <c r="AB362" s="706"/>
      <c r="AC362" s="706"/>
    </row>
    <row r="363" spans="1:42">
      <c r="A363" s="2155">
        <v>31</v>
      </c>
      <c r="B363" s="2173" t="s">
        <v>307</v>
      </c>
      <c r="C363" s="2177"/>
      <c r="D363" s="2213">
        <f t="shared" si="52"/>
        <v>3456184</v>
      </c>
      <c r="E363" s="2188"/>
      <c r="F363" s="1176">
        <v>3456184</v>
      </c>
      <c r="G363" s="1208"/>
      <c r="H363" s="2210"/>
      <c r="I363" s="2248"/>
      <c r="J363" s="2214">
        <f t="shared" si="57"/>
        <v>0</v>
      </c>
      <c r="K363" s="2188"/>
      <c r="L363" s="2193"/>
      <c r="M363" s="2222"/>
      <c r="N363" s="2214">
        <f t="shared" si="54"/>
        <v>0</v>
      </c>
      <c r="O363" s="1149"/>
      <c r="P363" s="705"/>
      <c r="Q363" s="707"/>
      <c r="R363" s="706"/>
      <c r="S363" s="706"/>
      <c r="T363" s="706"/>
      <c r="U363" s="706"/>
      <c r="V363" s="706"/>
      <c r="W363" s="706"/>
      <c r="X363" s="706"/>
      <c r="Y363" s="706"/>
      <c r="Z363" s="706"/>
      <c r="AA363" s="706"/>
      <c r="AB363" s="706"/>
      <c r="AC363" s="706"/>
    </row>
    <row r="364" spans="1:42" ht="13.5" thickBot="1">
      <c r="A364" s="2172">
        <v>32</v>
      </c>
      <c r="B364" s="2173" t="s">
        <v>308</v>
      </c>
      <c r="C364" s="2177"/>
      <c r="D364" s="2213">
        <f t="shared" si="52"/>
        <v>32400317</v>
      </c>
      <c r="E364" s="2188"/>
      <c r="F364" s="1176">
        <v>32400317</v>
      </c>
      <c r="G364" s="1208"/>
      <c r="H364" s="2210"/>
      <c r="I364" s="1257"/>
      <c r="J364" s="2214">
        <f t="shared" si="57"/>
        <v>0</v>
      </c>
      <c r="K364" s="2188"/>
      <c r="L364" s="2193"/>
      <c r="M364" s="2222"/>
      <c r="N364" s="2214">
        <f t="shared" si="54"/>
        <v>0</v>
      </c>
      <c r="O364" s="1149"/>
      <c r="P364" s="705"/>
      <c r="Q364" s="707"/>
      <c r="R364" s="706"/>
      <c r="S364" s="706"/>
      <c r="T364" s="706"/>
      <c r="U364" s="706"/>
      <c r="V364" s="706"/>
      <c r="W364" s="706"/>
      <c r="X364" s="706"/>
      <c r="Y364" s="706"/>
      <c r="Z364" s="706"/>
      <c r="AA364" s="706"/>
      <c r="AB364" s="706"/>
      <c r="AC364" s="706"/>
    </row>
    <row r="365" spans="1:42" s="913" customFormat="1" ht="18" customHeight="1" thickBot="1">
      <c r="A365" s="1348">
        <v>33</v>
      </c>
      <c r="B365" s="1384" t="s">
        <v>309</v>
      </c>
      <c r="C365" s="1385"/>
      <c r="D365" s="1390">
        <f t="shared" si="52"/>
        <v>44194033</v>
      </c>
      <c r="E365" s="1186">
        <f>SUM(E360:E364)</f>
        <v>0</v>
      </c>
      <c r="F365" s="1186">
        <f>SUM(F360:F364)</f>
        <v>44194033</v>
      </c>
      <c r="G365" s="1186">
        <f>SUM(G360:G364)</f>
        <v>0</v>
      </c>
      <c r="H365" s="1186">
        <f>SUM(H360:H364)</f>
        <v>0</v>
      </c>
      <c r="I365" s="1259">
        <f>SUM(I360:I364)</f>
        <v>0</v>
      </c>
      <c r="J365" s="1397">
        <f t="shared" si="57"/>
        <v>0</v>
      </c>
      <c r="K365" s="1186">
        <f>SUM(K360:K364)</f>
        <v>0</v>
      </c>
      <c r="L365" s="1187">
        <f>SUM(L360:L364)</f>
        <v>0</v>
      </c>
      <c r="M365" s="1210">
        <f>SUM(M360:M364)</f>
        <v>0</v>
      </c>
      <c r="N365" s="1397">
        <f t="shared" si="54"/>
        <v>0</v>
      </c>
      <c r="O365" s="1155"/>
      <c r="P365" s="1025"/>
      <c r="Q365" s="710"/>
      <c r="R365" s="1027"/>
      <c r="S365" s="1027"/>
      <c r="T365" s="1027"/>
      <c r="U365" s="1027"/>
      <c r="V365" s="1027"/>
      <c r="W365" s="1027"/>
      <c r="X365" s="1027"/>
      <c r="Y365" s="1027"/>
      <c r="Z365" s="1027"/>
      <c r="AA365" s="1027"/>
      <c r="AB365" s="1027"/>
      <c r="AC365" s="1027"/>
      <c r="AE365" s="1058"/>
      <c r="AF365" s="1058"/>
      <c r="AG365" s="1058"/>
      <c r="AH365" s="1058"/>
      <c r="AI365" s="1058"/>
      <c r="AJ365" s="1058"/>
      <c r="AK365" s="1058"/>
      <c r="AL365" s="1058"/>
      <c r="AM365" s="1058"/>
      <c r="AN365" s="1058"/>
      <c r="AO365" s="1058"/>
      <c r="AP365" s="1058"/>
    </row>
    <row r="366" spans="1:42" s="913" customFormat="1" ht="26.25" thickBot="1">
      <c r="A366" s="1351">
        <v>34</v>
      </c>
      <c r="B366" s="1352" t="s">
        <v>310</v>
      </c>
      <c r="C366" s="1351"/>
      <c r="D366" s="1381">
        <f>+E366+F366+J366+N366</f>
        <v>173762952.87254074</v>
      </c>
      <c r="E366" s="1381">
        <f>E365+E358</f>
        <v>0</v>
      </c>
      <c r="F366" s="1381">
        <f>F365+F358</f>
        <v>44837580.397157848</v>
      </c>
      <c r="G366" s="1381">
        <f>G365+G358</f>
        <v>67856470.607287094</v>
      </c>
      <c r="H366" s="1381">
        <f>H365+H358</f>
        <v>30680362.8680958</v>
      </c>
      <c r="I366" s="1381">
        <f>I365+I358</f>
        <v>29987817</v>
      </c>
      <c r="J366" s="1381">
        <f>G366+H366+I366</f>
        <v>128524650.47538289</v>
      </c>
      <c r="K366" s="1381">
        <f>K365+K358</f>
        <v>0</v>
      </c>
      <c r="L366" s="1382">
        <f>L365+L358</f>
        <v>0</v>
      </c>
      <c r="M366" s="1440">
        <f>M365+M358</f>
        <v>400722</v>
      </c>
      <c r="N366" s="1381">
        <f t="shared" si="54"/>
        <v>400722</v>
      </c>
      <c r="O366" s="1155"/>
      <c r="P366" s="1025"/>
      <c r="R366" s="1027"/>
      <c r="S366" s="1027"/>
      <c r="T366" s="1027"/>
      <c r="U366" s="1027"/>
      <c r="V366" s="1027"/>
      <c r="W366" s="1027"/>
      <c r="X366" s="1027"/>
      <c r="Y366" s="1027"/>
      <c r="Z366" s="1027"/>
      <c r="AA366" s="1027"/>
      <c r="AB366" s="1027"/>
      <c r="AC366" s="1027"/>
      <c r="AE366" s="1058"/>
      <c r="AF366" s="1058"/>
      <c r="AG366" s="1058"/>
      <c r="AH366" s="1058"/>
      <c r="AI366" s="1058"/>
      <c r="AJ366" s="1058"/>
      <c r="AK366" s="1058"/>
      <c r="AL366" s="1058"/>
      <c r="AM366" s="1058"/>
      <c r="AN366" s="1058"/>
      <c r="AO366" s="1058"/>
      <c r="AP366" s="1058"/>
    </row>
    <row r="368" spans="1:42">
      <c r="B368" s="680"/>
      <c r="D368" s="679"/>
      <c r="E368" s="679"/>
      <c r="F368" s="679"/>
      <c r="G368" s="679"/>
      <c r="H368" s="679"/>
      <c r="I368" s="679"/>
      <c r="J368" s="679"/>
      <c r="K368" s="679"/>
      <c r="L368" s="679"/>
      <c r="M368" s="679"/>
      <c r="N368" s="679">
        <v>19</v>
      </c>
      <c r="O368" s="679"/>
    </row>
    <row r="369" spans="1:29">
      <c r="D369" s="679"/>
      <c r="E369" s="679"/>
      <c r="F369" s="679"/>
      <c r="G369" s="679"/>
      <c r="H369" s="679"/>
      <c r="I369" s="679"/>
      <c r="J369" s="679"/>
      <c r="K369" s="679"/>
      <c r="L369" s="679"/>
      <c r="M369" s="679"/>
      <c r="N369" s="679"/>
    </row>
    <row r="370" spans="1:29" ht="13.5" thickBot="1">
      <c r="D370" s="679"/>
      <c r="E370" s="679"/>
      <c r="F370" s="679"/>
      <c r="G370" s="679"/>
      <c r="H370" s="679"/>
      <c r="I370" s="679"/>
      <c r="J370" s="679"/>
      <c r="K370" s="679"/>
      <c r="L370" s="679"/>
      <c r="M370" s="679"/>
      <c r="N370" s="679"/>
    </row>
    <row r="371" spans="1:29" ht="15.75" customHeight="1" thickBot="1">
      <c r="A371" s="1368" t="s">
        <v>184</v>
      </c>
      <c r="B371" s="3533" t="s">
        <v>233</v>
      </c>
      <c r="C371" s="3534"/>
      <c r="E371" s="1154"/>
      <c r="F371" s="679"/>
      <c r="G371" s="679"/>
      <c r="H371" s="679"/>
      <c r="I371" s="679"/>
      <c r="J371" s="679"/>
      <c r="K371" s="679"/>
      <c r="L371" s="679"/>
      <c r="M371" s="3538" t="s">
        <v>251</v>
      </c>
      <c r="N371" s="3538"/>
      <c r="O371" s="1148"/>
    </row>
    <row r="372" spans="1:29" ht="13.15" customHeight="1" thickBot="1">
      <c r="A372" s="3512" t="s">
        <v>252</v>
      </c>
      <c r="B372" s="3515"/>
      <c r="C372" s="3523" t="s">
        <v>254</v>
      </c>
      <c r="D372" s="3518" t="s">
        <v>255</v>
      </c>
      <c r="E372" s="3518" t="s">
        <v>256</v>
      </c>
      <c r="F372" s="3518" t="s">
        <v>257</v>
      </c>
      <c r="G372" s="3526" t="s">
        <v>258</v>
      </c>
      <c r="H372" s="3527"/>
      <c r="I372" s="3527"/>
      <c r="J372" s="3527"/>
      <c r="K372" s="3527"/>
      <c r="L372" s="3527"/>
      <c r="M372" s="3527"/>
      <c r="N372" s="3528"/>
      <c r="O372" s="409"/>
    </row>
    <row r="373" spans="1:29" ht="13.15" customHeight="1" thickBot="1">
      <c r="A373" s="3513"/>
      <c r="B373" s="3516"/>
      <c r="C373" s="3524"/>
      <c r="D373" s="3520"/>
      <c r="E373" s="3520"/>
      <c r="F373" s="3520"/>
      <c r="G373" s="3529" t="s">
        <v>259</v>
      </c>
      <c r="H373" s="3530"/>
      <c r="I373" s="3530"/>
      <c r="J373" s="3531"/>
      <c r="K373" s="3529" t="s">
        <v>260</v>
      </c>
      <c r="L373" s="3530"/>
      <c r="M373" s="3530"/>
      <c r="N373" s="3531"/>
      <c r="O373" s="443"/>
    </row>
    <row r="374" spans="1:29" ht="39" thickBot="1">
      <c r="A374" s="3513"/>
      <c r="B374" s="3516"/>
      <c r="C374" s="3524"/>
      <c r="D374" s="3519"/>
      <c r="E374" s="3519"/>
      <c r="F374" s="3519"/>
      <c r="G374" s="1336" t="s">
        <v>261</v>
      </c>
      <c r="H374" s="1336" t="s">
        <v>262</v>
      </c>
      <c r="I374" s="1336" t="s">
        <v>263</v>
      </c>
      <c r="J374" s="1336" t="s">
        <v>158</v>
      </c>
      <c r="K374" s="1337" t="s">
        <v>264</v>
      </c>
      <c r="L374" s="1337" t="s">
        <v>265</v>
      </c>
      <c r="M374" s="1337" t="s">
        <v>266</v>
      </c>
      <c r="N374" s="1404" t="s">
        <v>158</v>
      </c>
      <c r="O374" s="443"/>
    </row>
    <row r="375" spans="1:29" ht="13.5" thickBot="1">
      <c r="A375" s="3513"/>
      <c r="B375" s="3516"/>
      <c r="C375" s="3524"/>
      <c r="D375" s="1340">
        <v>1</v>
      </c>
      <c r="E375" s="3518">
        <v>2</v>
      </c>
      <c r="F375" s="3518">
        <v>3</v>
      </c>
      <c r="G375" s="3518">
        <v>4</v>
      </c>
      <c r="H375" s="3518">
        <v>5</v>
      </c>
      <c r="I375" s="3518">
        <v>6</v>
      </c>
      <c r="J375" s="1341">
        <v>7</v>
      </c>
      <c r="K375" s="3518">
        <v>8</v>
      </c>
      <c r="L375" s="3518">
        <v>9</v>
      </c>
      <c r="M375" s="3518">
        <v>10</v>
      </c>
      <c r="N375" s="1340">
        <v>11</v>
      </c>
      <c r="O375" s="409"/>
    </row>
    <row r="376" spans="1:29" ht="15.75" customHeight="1" thickBot="1">
      <c r="A376" s="3514"/>
      <c r="B376" s="3517"/>
      <c r="C376" s="3532"/>
      <c r="D376" s="1343"/>
      <c r="E376" s="3519"/>
      <c r="F376" s="3519"/>
      <c r="G376" s="3519"/>
      <c r="H376" s="3519"/>
      <c r="I376" s="3519"/>
      <c r="J376" s="1344" t="s">
        <v>267</v>
      </c>
      <c r="K376" s="3519"/>
      <c r="L376" s="3519"/>
      <c r="M376" s="3519"/>
      <c r="N376" s="1372" t="s">
        <v>268</v>
      </c>
      <c r="O376" s="703"/>
      <c r="P376" s="703"/>
      <c r="Q376" s="703"/>
    </row>
    <row r="377" spans="1:29">
      <c r="A377" s="1346"/>
      <c r="B377" s="1347" t="s">
        <v>269</v>
      </c>
      <c r="C377" s="2155"/>
      <c r="D377" s="2152"/>
      <c r="E377" s="1150"/>
      <c r="F377" s="1150"/>
      <c r="G377" s="1151"/>
      <c r="H377" s="1089"/>
      <c r="I377" s="1152"/>
      <c r="J377" s="1417"/>
      <c r="K377" s="1088"/>
      <c r="L377" s="1089"/>
      <c r="M377" s="1090"/>
      <c r="N377" s="1441"/>
      <c r="Q377" s="61"/>
    </row>
    <row r="378" spans="1:29">
      <c r="A378" s="2153">
        <v>1</v>
      </c>
      <c r="B378" s="2154" t="s">
        <v>270</v>
      </c>
      <c r="C378" s="2155"/>
      <c r="D378" s="2213">
        <f>+E378+F378+J378+N378</f>
        <v>0</v>
      </c>
      <c r="E378" s="2188"/>
      <c r="F378" s="2188"/>
      <c r="G378" s="2189"/>
      <c r="H378" s="2197"/>
      <c r="I378" s="2222"/>
      <c r="J378" s="2214">
        <f>G378+H378+I378</f>
        <v>0</v>
      </c>
      <c r="K378" s="2188"/>
      <c r="L378" s="2188"/>
      <c r="M378" s="2193"/>
      <c r="N378" s="2195">
        <f>K378+L378+M378</f>
        <v>0</v>
      </c>
      <c r="O378" s="1149"/>
      <c r="P378" s="705"/>
      <c r="Q378" s="54"/>
      <c r="R378" s="706"/>
      <c r="S378" s="706"/>
      <c r="T378" s="706"/>
      <c r="U378" s="706"/>
      <c r="V378" s="706"/>
      <c r="W378" s="706"/>
      <c r="X378" s="706"/>
      <c r="Y378" s="706"/>
      <c r="Z378" s="706"/>
      <c r="AA378" s="706"/>
      <c r="AB378" s="706"/>
      <c r="AC378" s="706"/>
    </row>
    <row r="379" spans="1:29">
      <c r="A379" s="2153">
        <v>2</v>
      </c>
      <c r="B379" s="2154" t="s">
        <v>271</v>
      </c>
      <c r="C379" s="2155"/>
      <c r="D379" s="2213">
        <f t="shared" ref="D379:D417" si="58">+E379+F379+J379+N379</f>
        <v>1695</v>
      </c>
      <c r="E379" s="2188"/>
      <c r="F379" s="2188"/>
      <c r="G379" s="2258">
        <v>458</v>
      </c>
      <c r="H379" s="2267">
        <v>1237</v>
      </c>
      <c r="I379" s="2222"/>
      <c r="J379" s="2214">
        <f t="shared" ref="J379:J389" si="59">G379+H379+I379</f>
        <v>1695</v>
      </c>
      <c r="K379" s="2188"/>
      <c r="L379" s="2188"/>
      <c r="M379" s="2193"/>
      <c r="N379" s="2195">
        <f t="shared" ref="N379:N418" si="60">K379+L379+M379</f>
        <v>0</v>
      </c>
      <c r="O379" s="1149"/>
      <c r="P379" s="705"/>
      <c r="Q379" s="707"/>
      <c r="R379" s="706"/>
      <c r="S379" s="706"/>
      <c r="T379" s="706"/>
      <c r="U379" s="706"/>
      <c r="V379" s="706"/>
      <c r="W379" s="706"/>
      <c r="X379" s="706"/>
      <c r="Y379" s="706"/>
      <c r="Z379" s="706"/>
      <c r="AA379" s="706"/>
      <c r="AB379" s="706"/>
      <c r="AC379" s="706"/>
    </row>
    <row r="380" spans="1:29">
      <c r="A380" s="2153">
        <v>3</v>
      </c>
      <c r="B380" s="2154" t="s">
        <v>272</v>
      </c>
      <c r="C380" s="2155"/>
      <c r="D380" s="2213">
        <f t="shared" si="58"/>
        <v>0</v>
      </c>
      <c r="E380" s="2188"/>
      <c r="F380" s="2188"/>
      <c r="G380" s="2189"/>
      <c r="H380" s="2197"/>
      <c r="I380" s="2222"/>
      <c r="J380" s="2214">
        <f t="shared" si="59"/>
        <v>0</v>
      </c>
      <c r="K380" s="2188"/>
      <c r="L380" s="2188"/>
      <c r="M380" s="2193"/>
      <c r="N380" s="2195">
        <f t="shared" si="60"/>
        <v>0</v>
      </c>
      <c r="O380" s="1149"/>
      <c r="P380" s="705"/>
      <c r="Q380" s="54"/>
      <c r="R380" s="706"/>
      <c r="S380" s="706"/>
      <c r="T380" s="706"/>
      <c r="U380" s="706"/>
      <c r="V380" s="706"/>
      <c r="W380" s="706"/>
      <c r="X380" s="706"/>
      <c r="Y380" s="706"/>
      <c r="Z380" s="706"/>
      <c r="AA380" s="706"/>
      <c r="AB380" s="706"/>
      <c r="AC380" s="706"/>
    </row>
    <row r="381" spans="1:29">
      <c r="A381" s="2153">
        <v>4</v>
      </c>
      <c r="B381" s="2154" t="s">
        <v>316</v>
      </c>
      <c r="C381" s="2155"/>
      <c r="D381" s="2213">
        <f t="shared" si="58"/>
        <v>0</v>
      </c>
      <c r="E381" s="2188"/>
      <c r="F381" s="2188"/>
      <c r="G381" s="2189"/>
      <c r="H381" s="2197"/>
      <c r="I381" s="2222"/>
      <c r="J381" s="2214">
        <f t="shared" si="59"/>
        <v>0</v>
      </c>
      <c r="K381" s="2188"/>
      <c r="L381" s="2188"/>
      <c r="M381" s="2193"/>
      <c r="N381" s="2195">
        <f t="shared" si="60"/>
        <v>0</v>
      </c>
      <c r="O381" s="1149"/>
      <c r="P381" s="705"/>
      <c r="Q381" s="54"/>
      <c r="R381" s="706"/>
      <c r="S381" s="706"/>
      <c r="T381" s="706"/>
      <c r="U381" s="706"/>
      <c r="V381" s="706"/>
      <c r="W381" s="706"/>
      <c r="X381" s="706"/>
      <c r="Y381" s="706"/>
      <c r="Z381" s="706"/>
      <c r="AA381" s="706"/>
      <c r="AB381" s="706"/>
      <c r="AC381" s="706"/>
    </row>
    <row r="382" spans="1:29">
      <c r="A382" s="2153">
        <v>5</v>
      </c>
      <c r="B382" s="2154" t="s">
        <v>274</v>
      </c>
      <c r="C382" s="2161">
        <v>5</v>
      </c>
      <c r="D382" s="2213">
        <f t="shared" si="58"/>
        <v>353650</v>
      </c>
      <c r="E382" s="2188"/>
      <c r="F382" s="2188">
        <v>211193</v>
      </c>
      <c r="G382" s="2189">
        <v>67580</v>
      </c>
      <c r="H382" s="2193">
        <v>74877</v>
      </c>
      <c r="I382" s="2222"/>
      <c r="J382" s="2214">
        <f t="shared" si="59"/>
        <v>142457</v>
      </c>
      <c r="K382" s="2188"/>
      <c r="L382" s="2188"/>
      <c r="M382" s="2193"/>
      <c r="N382" s="2195">
        <f t="shared" si="60"/>
        <v>0</v>
      </c>
      <c r="O382" s="1149"/>
      <c r="P382" s="705"/>
      <c r="Q382" s="1141"/>
      <c r="R382" s="706"/>
      <c r="S382" s="706"/>
      <c r="T382" s="706"/>
      <c r="U382" s="706"/>
      <c r="V382" s="706"/>
      <c r="W382" s="706"/>
      <c r="X382" s="706"/>
      <c r="Y382" s="706"/>
      <c r="Z382" s="706"/>
      <c r="AA382" s="706"/>
      <c r="AB382" s="706"/>
      <c r="AC382" s="706"/>
    </row>
    <row r="383" spans="1:29">
      <c r="A383" s="2153">
        <v>6</v>
      </c>
      <c r="B383" s="2154" t="s">
        <v>275</v>
      </c>
      <c r="C383" s="2155">
        <v>6</v>
      </c>
      <c r="D383" s="2213">
        <f t="shared" si="58"/>
        <v>0</v>
      </c>
      <c r="E383" s="2188"/>
      <c r="F383" s="2188"/>
      <c r="G383" s="2189"/>
      <c r="H383" s="2197"/>
      <c r="I383" s="2222"/>
      <c r="J383" s="2214">
        <f t="shared" si="59"/>
        <v>0</v>
      </c>
      <c r="K383" s="2188"/>
      <c r="L383" s="2188"/>
      <c r="M383" s="2193"/>
      <c r="N383" s="2195">
        <f t="shared" si="60"/>
        <v>0</v>
      </c>
      <c r="O383" s="1149"/>
      <c r="P383" s="705"/>
      <c r="Q383" s="54"/>
      <c r="R383" s="706"/>
      <c r="S383" s="706"/>
      <c r="T383" s="706"/>
      <c r="U383" s="706"/>
      <c r="V383" s="706"/>
      <c r="W383" s="706"/>
      <c r="X383" s="706"/>
      <c r="Y383" s="706"/>
      <c r="Z383" s="706"/>
      <c r="AA383" s="706"/>
      <c r="AB383" s="706"/>
      <c r="AC383" s="706"/>
    </row>
    <row r="384" spans="1:29">
      <c r="A384" s="2153">
        <v>7</v>
      </c>
      <c r="B384" s="2154" t="s">
        <v>276</v>
      </c>
      <c r="C384" s="2161">
        <v>7</v>
      </c>
      <c r="D384" s="2213">
        <f t="shared" si="58"/>
        <v>0</v>
      </c>
      <c r="E384" s="2188">
        <f>SUM(E385:E386)</f>
        <v>0</v>
      </c>
      <c r="F384" s="2188">
        <f>SUM(F385:F386)</f>
        <v>0</v>
      </c>
      <c r="G384" s="2188">
        <f>SUM(G385:G386)</f>
        <v>0</v>
      </c>
      <c r="H384" s="2193">
        <f>SUM(H385:H386)</f>
        <v>0</v>
      </c>
      <c r="I384" s="2222">
        <f>SUM(I385:I386)</f>
        <v>0</v>
      </c>
      <c r="J384" s="2214">
        <f t="shared" si="59"/>
        <v>0</v>
      </c>
      <c r="K384" s="2188">
        <f>K385+K386</f>
        <v>0</v>
      </c>
      <c r="L384" s="2188">
        <f>L385+L386</f>
        <v>0</v>
      </c>
      <c r="M384" s="2193">
        <f>M385+M386</f>
        <v>0</v>
      </c>
      <c r="N384" s="2195">
        <f t="shared" si="60"/>
        <v>0</v>
      </c>
      <c r="O384" s="1149"/>
      <c r="P384" s="705"/>
      <c r="Q384" s="1142"/>
      <c r="R384" s="706"/>
      <c r="S384" s="706"/>
      <c r="T384" s="706"/>
      <c r="U384" s="706"/>
      <c r="V384" s="706"/>
      <c r="W384" s="706"/>
      <c r="X384" s="706"/>
      <c r="Y384" s="706"/>
      <c r="Z384" s="706"/>
      <c r="AA384" s="706"/>
      <c r="AB384" s="706"/>
      <c r="AC384" s="706"/>
    </row>
    <row r="385" spans="1:42">
      <c r="A385" s="2155"/>
      <c r="B385" s="2162" t="s">
        <v>277</v>
      </c>
      <c r="C385" s="2161"/>
      <c r="D385" s="2213">
        <f t="shared" si="58"/>
        <v>0</v>
      </c>
      <c r="E385" s="2188"/>
      <c r="F385" s="2188"/>
      <c r="G385" s="2188"/>
      <c r="H385" s="2193"/>
      <c r="I385" s="2222"/>
      <c r="J385" s="2214">
        <f t="shared" si="59"/>
        <v>0</v>
      </c>
      <c r="K385" s="2188"/>
      <c r="L385" s="2188"/>
      <c r="M385" s="2193"/>
      <c r="N385" s="2195">
        <f t="shared" si="60"/>
        <v>0</v>
      </c>
      <c r="O385" s="1149"/>
      <c r="P385" s="705"/>
      <c r="Q385" s="1142"/>
      <c r="R385" s="706"/>
      <c r="S385" s="706"/>
      <c r="T385" s="706"/>
      <c r="U385" s="706"/>
      <c r="V385" s="706"/>
      <c r="W385" s="706"/>
      <c r="X385" s="706"/>
      <c r="Y385" s="706"/>
      <c r="Z385" s="706"/>
      <c r="AA385" s="706"/>
      <c r="AB385" s="706"/>
      <c r="AC385" s="706"/>
    </row>
    <row r="386" spans="1:42">
      <c r="A386" s="2155"/>
      <c r="B386" s="2162" t="s">
        <v>278</v>
      </c>
      <c r="C386" s="2161"/>
      <c r="D386" s="2213">
        <f t="shared" si="58"/>
        <v>0</v>
      </c>
      <c r="E386" s="2188"/>
      <c r="F386" s="2188"/>
      <c r="G386" s="2188"/>
      <c r="H386" s="2193"/>
      <c r="I386" s="2222"/>
      <c r="J386" s="2214">
        <f t="shared" si="59"/>
        <v>0</v>
      </c>
      <c r="K386" s="2188"/>
      <c r="L386" s="2188"/>
      <c r="M386" s="2193"/>
      <c r="N386" s="2195">
        <f t="shared" si="60"/>
        <v>0</v>
      </c>
      <c r="O386" s="1149"/>
      <c r="P386" s="705"/>
      <c r="Q386" s="1142"/>
      <c r="R386" s="706"/>
      <c r="S386" s="706"/>
      <c r="T386" s="706"/>
      <c r="U386" s="706"/>
      <c r="V386" s="706"/>
      <c r="W386" s="706"/>
      <c r="X386" s="706"/>
      <c r="Y386" s="706"/>
      <c r="Z386" s="706"/>
      <c r="AA386" s="706"/>
      <c r="AB386" s="706"/>
      <c r="AC386" s="706"/>
    </row>
    <row r="387" spans="1:42">
      <c r="A387" s="2153">
        <v>8</v>
      </c>
      <c r="B387" s="2154" t="s">
        <v>279</v>
      </c>
      <c r="C387" s="2155">
        <v>8</v>
      </c>
      <c r="D387" s="2213">
        <f t="shared" si="58"/>
        <v>0</v>
      </c>
      <c r="E387" s="2188"/>
      <c r="F387" s="2188">
        <f>F388+F389</f>
        <v>0</v>
      </c>
      <c r="G387" s="2188">
        <f>G388+G389</f>
        <v>0</v>
      </c>
      <c r="H387" s="2193">
        <f>H388+H389</f>
        <v>0</v>
      </c>
      <c r="I387" s="2222">
        <f>I388+I389</f>
        <v>0</v>
      </c>
      <c r="J387" s="2214">
        <f t="shared" si="59"/>
        <v>0</v>
      </c>
      <c r="K387" s="2188">
        <f>K388+K389</f>
        <v>0</v>
      </c>
      <c r="L387" s="2188">
        <f>L388+L389</f>
        <v>0</v>
      </c>
      <c r="M387" s="2193">
        <f>M388+M389</f>
        <v>0</v>
      </c>
      <c r="N387" s="2195">
        <f t="shared" si="60"/>
        <v>0</v>
      </c>
      <c r="O387" s="1149"/>
      <c r="P387" s="705"/>
      <c r="Q387" s="54"/>
      <c r="R387" s="706"/>
      <c r="S387" s="706"/>
      <c r="T387" s="706"/>
      <c r="U387" s="706"/>
      <c r="V387" s="706"/>
      <c r="W387" s="706"/>
      <c r="X387" s="706"/>
      <c r="Y387" s="706"/>
      <c r="Z387" s="706"/>
      <c r="AA387" s="706"/>
      <c r="AB387" s="706"/>
      <c r="AC387" s="706"/>
    </row>
    <row r="388" spans="1:42">
      <c r="A388" s="2153"/>
      <c r="B388" s="2162" t="s">
        <v>280</v>
      </c>
      <c r="C388" s="2155"/>
      <c r="D388" s="2213">
        <f t="shared" si="58"/>
        <v>0</v>
      </c>
      <c r="E388" s="2188"/>
      <c r="F388" s="2188"/>
      <c r="G388" s="2188"/>
      <c r="H388" s="2193"/>
      <c r="I388" s="2222"/>
      <c r="J388" s="2214">
        <f t="shared" si="59"/>
        <v>0</v>
      </c>
      <c r="K388" s="2188"/>
      <c r="L388" s="2188"/>
      <c r="M388" s="2193"/>
      <c r="N388" s="2195">
        <f t="shared" si="60"/>
        <v>0</v>
      </c>
      <c r="O388" s="1149"/>
      <c r="P388" s="705"/>
      <c r="Q388" s="54"/>
      <c r="R388" s="706"/>
      <c r="S388" s="706"/>
      <c r="T388" s="706"/>
      <c r="U388" s="706"/>
      <c r="V388" s="706"/>
      <c r="W388" s="706"/>
      <c r="X388" s="706"/>
      <c r="Y388" s="706"/>
      <c r="Z388" s="706"/>
      <c r="AA388" s="706"/>
      <c r="AB388" s="706"/>
      <c r="AC388" s="706"/>
    </row>
    <row r="389" spans="1:42">
      <c r="A389" s="2153"/>
      <c r="B389" s="2162" t="s">
        <v>281</v>
      </c>
      <c r="C389" s="2155"/>
      <c r="D389" s="2213">
        <f t="shared" si="58"/>
        <v>0</v>
      </c>
      <c r="E389" s="2188"/>
      <c r="F389" s="2188"/>
      <c r="G389" s="2188"/>
      <c r="H389" s="2193"/>
      <c r="I389" s="2222"/>
      <c r="J389" s="2214">
        <f t="shared" si="59"/>
        <v>0</v>
      </c>
      <c r="K389" s="2188"/>
      <c r="L389" s="2188"/>
      <c r="M389" s="2193"/>
      <c r="N389" s="2195">
        <f t="shared" si="60"/>
        <v>0</v>
      </c>
      <c r="O389" s="1149"/>
      <c r="P389" s="705"/>
      <c r="Q389" s="54"/>
      <c r="R389" s="706"/>
      <c r="S389" s="706"/>
      <c r="T389" s="706"/>
      <c r="U389" s="706"/>
      <c r="V389" s="706"/>
      <c r="W389" s="706"/>
      <c r="X389" s="706"/>
      <c r="Y389" s="706"/>
      <c r="Z389" s="706"/>
      <c r="AA389" s="706"/>
      <c r="AB389" s="706"/>
      <c r="AC389" s="706"/>
    </row>
    <row r="390" spans="1:42" s="913" customFormat="1" ht="25.5">
      <c r="A390" s="2163">
        <v>9</v>
      </c>
      <c r="B390" s="2164" t="s">
        <v>282</v>
      </c>
      <c r="C390" s="2165"/>
      <c r="D390" s="2230">
        <f>+E390+F390+J390+N390</f>
        <v>3180048</v>
      </c>
      <c r="E390" s="2231">
        <f>SUM(E391:E394)</f>
        <v>0</v>
      </c>
      <c r="F390" s="2231">
        <v>612891</v>
      </c>
      <c r="G390" s="2231">
        <v>1743667</v>
      </c>
      <c r="H390" s="2231">
        <v>823490</v>
      </c>
      <c r="I390" s="2250">
        <f>SUM(I391:I394)</f>
        <v>0</v>
      </c>
      <c r="J390" s="2233">
        <f>G390+H390+I390</f>
        <v>2567157</v>
      </c>
      <c r="K390" s="2231">
        <f>SUM(K391:K394)</f>
        <v>0</v>
      </c>
      <c r="L390" s="2231">
        <f>SUM(L391:L394)</f>
        <v>0</v>
      </c>
      <c r="M390" s="2204">
        <f>SUM(M391:M394)</f>
        <v>0</v>
      </c>
      <c r="N390" s="2205">
        <f t="shared" si="60"/>
        <v>0</v>
      </c>
      <c r="O390" s="1155"/>
      <c r="P390" s="1025"/>
      <c r="Q390" s="1143"/>
      <c r="R390" s="1027"/>
      <c r="S390" s="1027"/>
      <c r="T390" s="1027"/>
      <c r="U390" s="1027"/>
      <c r="V390" s="1027"/>
      <c r="W390" s="1027"/>
      <c r="X390" s="1027"/>
      <c r="Y390" s="1027"/>
      <c r="Z390" s="1027"/>
      <c r="AA390" s="1027"/>
      <c r="AB390" s="1027"/>
      <c r="AC390" s="1027"/>
      <c r="AE390" s="1058"/>
      <c r="AF390" s="1058"/>
      <c r="AG390" s="1058"/>
      <c r="AH390" s="1058"/>
      <c r="AI390" s="1058"/>
      <c r="AJ390" s="1058"/>
      <c r="AK390" s="1058"/>
      <c r="AL390" s="1058"/>
      <c r="AM390" s="1058"/>
      <c r="AN390" s="1058"/>
      <c r="AO390" s="1058"/>
      <c r="AP390" s="1058"/>
    </row>
    <row r="391" spans="1:42">
      <c r="A391" s="2155">
        <v>10</v>
      </c>
      <c r="B391" s="2171" t="s">
        <v>283</v>
      </c>
      <c r="C391" s="2155">
        <v>9</v>
      </c>
      <c r="D391" s="2213">
        <f t="shared" si="58"/>
        <v>529006</v>
      </c>
      <c r="E391" s="2188"/>
      <c r="F391" s="2188">
        <v>104416</v>
      </c>
      <c r="G391" s="2189">
        <v>268520</v>
      </c>
      <c r="H391" s="2193">
        <v>156070</v>
      </c>
      <c r="I391" s="2222"/>
      <c r="J391" s="2214">
        <f t="shared" ref="J391:J409" si="61">G391+H391+I391</f>
        <v>424590</v>
      </c>
      <c r="K391" s="2188"/>
      <c r="L391" s="2188"/>
      <c r="M391" s="2193"/>
      <c r="N391" s="2195">
        <f t="shared" si="60"/>
        <v>0</v>
      </c>
      <c r="O391" s="1149"/>
      <c r="P391" s="705"/>
      <c r="Q391" s="707"/>
      <c r="R391" s="706"/>
      <c r="S391" s="706"/>
      <c r="T391" s="706"/>
      <c r="U391" s="706"/>
      <c r="V391" s="706"/>
      <c r="W391" s="706"/>
      <c r="X391" s="706"/>
      <c r="Y391" s="706"/>
      <c r="Z391" s="706"/>
      <c r="AA391" s="706"/>
      <c r="AB391" s="706"/>
      <c r="AC391" s="706"/>
    </row>
    <row r="392" spans="1:42">
      <c r="A392" s="2155">
        <v>11</v>
      </c>
      <c r="B392" s="2171" t="s">
        <v>284</v>
      </c>
      <c r="C392" s="2155">
        <v>10</v>
      </c>
      <c r="D392" s="2213">
        <f>+E392+F392+J392+N392</f>
        <v>945417</v>
      </c>
      <c r="E392" s="2188"/>
      <c r="F392" s="1171">
        <v>131342</v>
      </c>
      <c r="G392" s="1182">
        <v>572947</v>
      </c>
      <c r="H392" s="1182">
        <v>241128</v>
      </c>
      <c r="I392" s="2236"/>
      <c r="J392" s="2214">
        <f t="shared" si="61"/>
        <v>814075</v>
      </c>
      <c r="K392" s="2188"/>
      <c r="L392" s="2188"/>
      <c r="M392" s="2193"/>
      <c r="N392" s="2195">
        <f t="shared" si="60"/>
        <v>0</v>
      </c>
      <c r="O392" s="1149"/>
      <c r="P392" s="705"/>
      <c r="Q392" s="707"/>
      <c r="R392" s="706"/>
      <c r="S392" s="706"/>
      <c r="T392" s="706"/>
      <c r="U392" s="706"/>
      <c r="V392" s="706"/>
      <c r="W392" s="706"/>
      <c r="X392" s="706"/>
      <c r="Y392" s="706"/>
      <c r="Z392" s="706"/>
      <c r="AA392" s="706"/>
      <c r="AB392" s="706"/>
      <c r="AC392" s="706"/>
    </row>
    <row r="393" spans="1:42">
      <c r="A393" s="2155">
        <v>12</v>
      </c>
      <c r="B393" s="2171" t="s">
        <v>285</v>
      </c>
      <c r="C393" s="2155">
        <v>11</v>
      </c>
      <c r="D393" s="2213">
        <f t="shared" si="58"/>
        <v>1703785</v>
      </c>
      <c r="E393" s="2188"/>
      <c r="F393" s="1171">
        <v>377133</v>
      </c>
      <c r="G393" s="1182">
        <v>900359</v>
      </c>
      <c r="H393" s="1182">
        <v>426293</v>
      </c>
      <c r="I393" s="2236"/>
      <c r="J393" s="2214">
        <f>G393+H393+I393</f>
        <v>1326652</v>
      </c>
      <c r="K393" s="2188"/>
      <c r="L393" s="2188"/>
      <c r="M393" s="2193"/>
      <c r="N393" s="2195">
        <f t="shared" si="60"/>
        <v>0</v>
      </c>
      <c r="O393" s="1149"/>
      <c r="P393" s="705"/>
      <c r="Q393" s="707"/>
      <c r="R393" s="706"/>
      <c r="S393" s="706"/>
      <c r="T393" s="706"/>
      <c r="U393" s="706"/>
      <c r="V393" s="706"/>
      <c r="W393" s="706"/>
      <c r="X393" s="706"/>
      <c r="Y393" s="706"/>
      <c r="Z393" s="706"/>
      <c r="AA393" s="706"/>
      <c r="AB393" s="706"/>
      <c r="AC393" s="706"/>
    </row>
    <row r="394" spans="1:42" ht="25.5">
      <c r="A394" s="2155">
        <v>13</v>
      </c>
      <c r="B394" s="2171" t="s">
        <v>286</v>
      </c>
      <c r="C394" s="2155">
        <v>12</v>
      </c>
      <c r="D394" s="2213">
        <f>+E394+F394+J394+N394</f>
        <v>1841</v>
      </c>
      <c r="E394" s="2188"/>
      <c r="F394" s="2188">
        <v>0</v>
      </c>
      <c r="G394" s="2189">
        <v>1841</v>
      </c>
      <c r="H394" s="2190">
        <v>0</v>
      </c>
      <c r="I394" s="2236"/>
      <c r="J394" s="2214">
        <f t="shared" si="61"/>
        <v>1841</v>
      </c>
      <c r="K394" s="2188"/>
      <c r="L394" s="2188"/>
      <c r="M394" s="2193"/>
      <c r="N394" s="2195">
        <f t="shared" si="60"/>
        <v>0</v>
      </c>
      <c r="O394" s="1149"/>
      <c r="P394" s="705"/>
      <c r="Q394" s="707"/>
      <c r="R394" s="706"/>
      <c r="S394" s="706"/>
      <c r="T394" s="706"/>
      <c r="U394" s="706"/>
      <c r="V394" s="706"/>
      <c r="W394" s="706"/>
      <c r="X394" s="706"/>
      <c r="Y394" s="706"/>
      <c r="Z394" s="706"/>
      <c r="AA394" s="706"/>
      <c r="AB394" s="706"/>
      <c r="AC394" s="706"/>
    </row>
    <row r="395" spans="1:42">
      <c r="A395" s="2155">
        <v>14</v>
      </c>
      <c r="B395" s="2154" t="s">
        <v>287</v>
      </c>
      <c r="C395" s="2155">
        <v>13</v>
      </c>
      <c r="D395" s="2213">
        <f t="shared" si="58"/>
        <v>31232</v>
      </c>
      <c r="E395" s="2188"/>
      <c r="F395" s="2188"/>
      <c r="G395" s="2189">
        <v>31232</v>
      </c>
      <c r="H395" s="2197"/>
      <c r="I395" s="2222"/>
      <c r="J395" s="2214">
        <f t="shared" si="61"/>
        <v>31232</v>
      </c>
      <c r="K395" s="2188"/>
      <c r="L395" s="2188"/>
      <c r="M395" s="2193"/>
      <c r="N395" s="2195">
        <f t="shared" si="60"/>
        <v>0</v>
      </c>
      <c r="O395" s="1149"/>
      <c r="P395" s="705"/>
      <c r="Q395" s="707"/>
      <c r="R395" s="706"/>
      <c r="S395" s="706"/>
      <c r="T395" s="706"/>
      <c r="U395" s="706"/>
      <c r="V395" s="706"/>
      <c r="W395" s="706"/>
      <c r="X395" s="706"/>
      <c r="Y395" s="706"/>
      <c r="Z395" s="706"/>
      <c r="AA395" s="706"/>
      <c r="AB395" s="706"/>
      <c r="AC395" s="706"/>
    </row>
    <row r="396" spans="1:42">
      <c r="A396" s="2155">
        <v>15</v>
      </c>
      <c r="B396" s="2154" t="s">
        <v>288</v>
      </c>
      <c r="C396" s="2161">
        <v>14</v>
      </c>
      <c r="D396" s="2213">
        <f t="shared" si="58"/>
        <v>12351</v>
      </c>
      <c r="E396" s="2188"/>
      <c r="F396" s="2188"/>
      <c r="G396" s="2189">
        <v>1976</v>
      </c>
      <c r="H396" s="2193">
        <v>10375</v>
      </c>
      <c r="I396" s="2222"/>
      <c r="J396" s="2214">
        <f t="shared" si="61"/>
        <v>12351</v>
      </c>
      <c r="K396" s="2188"/>
      <c r="L396" s="2188"/>
      <c r="M396" s="2193"/>
      <c r="N396" s="2195">
        <f t="shared" si="60"/>
        <v>0</v>
      </c>
      <c r="O396" s="1149"/>
      <c r="P396" s="705"/>
      <c r="Q396" s="1141"/>
      <c r="R396" s="706"/>
      <c r="S396" s="706"/>
      <c r="T396" s="706"/>
      <c r="U396" s="706"/>
      <c r="V396" s="706"/>
      <c r="W396" s="706"/>
      <c r="X396" s="706"/>
      <c r="Y396" s="706"/>
      <c r="Z396" s="706"/>
      <c r="AA396" s="706"/>
      <c r="AB396" s="706"/>
      <c r="AC396" s="706"/>
    </row>
    <row r="397" spans="1:42">
      <c r="A397" s="2155">
        <v>16</v>
      </c>
      <c r="B397" s="2154" t="s">
        <v>289</v>
      </c>
      <c r="C397" s="2155">
        <v>15</v>
      </c>
      <c r="D397" s="2213">
        <f t="shared" si="58"/>
        <v>12719</v>
      </c>
      <c r="E397" s="2188"/>
      <c r="F397" s="2188"/>
      <c r="G397" s="2189">
        <v>12719</v>
      </c>
      <c r="H397" s="2197"/>
      <c r="I397" s="2222"/>
      <c r="J397" s="2214">
        <f t="shared" si="61"/>
        <v>12719</v>
      </c>
      <c r="K397" s="2188"/>
      <c r="L397" s="2188"/>
      <c r="M397" s="2193"/>
      <c r="N397" s="2195">
        <f t="shared" si="60"/>
        <v>0</v>
      </c>
      <c r="O397" s="1149"/>
      <c r="P397" s="705"/>
      <c r="Q397" s="707"/>
      <c r="R397" s="706"/>
      <c r="S397" s="706"/>
      <c r="T397" s="706"/>
      <c r="U397" s="706"/>
      <c r="V397" s="706"/>
      <c r="W397" s="706"/>
      <c r="X397" s="706"/>
      <c r="Y397" s="706"/>
      <c r="Z397" s="706"/>
      <c r="AA397" s="706"/>
      <c r="AB397" s="706"/>
      <c r="AC397" s="706"/>
    </row>
    <row r="398" spans="1:42">
      <c r="A398" s="2155">
        <v>17</v>
      </c>
      <c r="B398" s="2154" t="s">
        <v>290</v>
      </c>
      <c r="C398" s="2161">
        <v>16</v>
      </c>
      <c r="D398" s="2213">
        <f t="shared" si="58"/>
        <v>121673</v>
      </c>
      <c r="E398" s="2188"/>
      <c r="F398" s="2188">
        <v>78153</v>
      </c>
      <c r="G398" s="2189">
        <v>13331</v>
      </c>
      <c r="H398" s="2189">
        <v>30189</v>
      </c>
      <c r="I398" s="2236"/>
      <c r="J398" s="2214">
        <f t="shared" si="61"/>
        <v>43520</v>
      </c>
      <c r="K398" s="2188"/>
      <c r="L398" s="2188"/>
      <c r="M398" s="2193"/>
      <c r="N398" s="2195">
        <f t="shared" si="60"/>
        <v>0</v>
      </c>
      <c r="O398" s="1149"/>
      <c r="P398" s="705"/>
      <c r="Q398" s="1141"/>
      <c r="R398" s="706"/>
      <c r="S398" s="706"/>
      <c r="T398" s="706"/>
      <c r="U398" s="706"/>
      <c r="V398" s="706"/>
      <c r="W398" s="706"/>
      <c r="X398" s="706"/>
      <c r="Y398" s="706"/>
      <c r="Z398" s="706"/>
      <c r="AA398" s="706"/>
      <c r="AB398" s="706"/>
      <c r="AC398" s="706"/>
    </row>
    <row r="399" spans="1:42">
      <c r="A399" s="2155">
        <v>18</v>
      </c>
      <c r="B399" s="2154" t="s">
        <v>291</v>
      </c>
      <c r="C399" s="2155"/>
      <c r="D399" s="2213">
        <f t="shared" si="58"/>
        <v>0</v>
      </c>
      <c r="E399" s="2188"/>
      <c r="F399" s="2188">
        <v>0</v>
      </c>
      <c r="G399" s="2189">
        <v>0</v>
      </c>
      <c r="H399" s="2197">
        <v>0</v>
      </c>
      <c r="I399" s="2222"/>
      <c r="J399" s="2214">
        <f t="shared" si="61"/>
        <v>0</v>
      </c>
      <c r="K399" s="2188"/>
      <c r="L399" s="2188"/>
      <c r="M399" s="2193"/>
      <c r="N399" s="2195">
        <f t="shared" si="60"/>
        <v>0</v>
      </c>
      <c r="O399" s="1149"/>
      <c r="P399" s="705"/>
      <c r="Q399" s="54"/>
      <c r="R399" s="706"/>
      <c r="S399" s="706"/>
      <c r="T399" s="706"/>
      <c r="U399" s="706"/>
      <c r="V399" s="706"/>
      <c r="W399" s="706"/>
      <c r="X399" s="706"/>
      <c r="Y399" s="706"/>
      <c r="Z399" s="706"/>
      <c r="AA399" s="706"/>
      <c r="AB399" s="706"/>
      <c r="AC399" s="706"/>
    </row>
    <row r="400" spans="1:42" ht="13.5" thickBot="1">
      <c r="A400" s="2172">
        <v>19</v>
      </c>
      <c r="B400" s="2173" t="s">
        <v>292</v>
      </c>
      <c r="C400" s="2172"/>
      <c r="D400" s="1388">
        <f t="shared" si="58"/>
        <v>6459</v>
      </c>
      <c r="E400" s="1176"/>
      <c r="F400" s="1176">
        <v>2411</v>
      </c>
      <c r="G400" s="1208">
        <v>4048</v>
      </c>
      <c r="H400" s="2210">
        <v>0</v>
      </c>
      <c r="I400" s="2248"/>
      <c r="J400" s="1396">
        <f t="shared" si="61"/>
        <v>4048</v>
      </c>
      <c r="K400" s="1176"/>
      <c r="L400" s="1176"/>
      <c r="M400" s="1177"/>
      <c r="N400" s="2215">
        <f t="shared" si="60"/>
        <v>0</v>
      </c>
      <c r="O400" s="1149"/>
      <c r="P400" s="705"/>
      <c r="Q400" s="707"/>
      <c r="R400" s="706"/>
      <c r="S400" s="706"/>
      <c r="T400" s="706"/>
      <c r="U400" s="706"/>
      <c r="V400" s="706"/>
      <c r="W400" s="706"/>
      <c r="X400" s="706"/>
      <c r="Y400" s="706"/>
      <c r="Z400" s="706"/>
      <c r="AA400" s="706"/>
      <c r="AB400" s="706"/>
      <c r="AC400" s="706"/>
    </row>
    <row r="401" spans="1:42" s="913" customFormat="1" ht="26.25" thickBot="1">
      <c r="A401" s="1351">
        <v>20</v>
      </c>
      <c r="B401" s="1352" t="s">
        <v>293</v>
      </c>
      <c r="C401" s="1351"/>
      <c r="D401" s="1378">
        <f t="shared" si="58"/>
        <v>3719827</v>
      </c>
      <c r="E401" s="1378">
        <f>SUM(E378:E384)+E387+E390+SUM(E395:E400)</f>
        <v>0</v>
      </c>
      <c r="F401" s="1378">
        <f>SUM(F378:F384)+F387+F390+SUM(F395:F400)</f>
        <v>904648</v>
      </c>
      <c r="G401" s="1378">
        <f>SUM(G378:G384)+G387+G390+SUM(G395:G400)</f>
        <v>1875011</v>
      </c>
      <c r="H401" s="1379">
        <f>SUM(H378:H384)+H387+H390+SUM(H395:H400)</f>
        <v>940168</v>
      </c>
      <c r="I401" s="1415">
        <f>SUM(I378:I384)+I387+I390+SUM(I395:I400)</f>
        <v>0</v>
      </c>
      <c r="J401" s="1378">
        <f t="shared" si="61"/>
        <v>2815179</v>
      </c>
      <c r="K401" s="1378">
        <f>SUM(K378:K384)+K387+K390+SUM(K395:K400)</f>
        <v>0</v>
      </c>
      <c r="L401" s="1378">
        <f>SUM(L378:L384)+L387+L390+SUM(L395:L400)</f>
        <v>0</v>
      </c>
      <c r="M401" s="1379">
        <f>SUM(M378:M384)+M387+M390+SUM(M395:M400)</f>
        <v>0</v>
      </c>
      <c r="N401" s="1380">
        <f t="shared" si="60"/>
        <v>0</v>
      </c>
      <c r="O401" s="1155"/>
      <c r="P401" s="1025"/>
      <c r="Q401" s="710"/>
      <c r="R401" s="1027"/>
      <c r="S401" s="1027"/>
      <c r="T401" s="1027"/>
      <c r="U401" s="1027"/>
      <c r="V401" s="1027"/>
      <c r="W401" s="1027"/>
      <c r="X401" s="1027"/>
      <c r="Y401" s="1027"/>
      <c r="Z401" s="1027"/>
      <c r="AA401" s="1027"/>
      <c r="AB401" s="1027"/>
      <c r="AC401" s="1027"/>
      <c r="AE401" s="1058"/>
      <c r="AF401" s="1058"/>
      <c r="AG401" s="1058"/>
      <c r="AH401" s="1058"/>
      <c r="AI401" s="1058"/>
      <c r="AJ401" s="1058"/>
      <c r="AK401" s="1058"/>
      <c r="AL401" s="1058"/>
      <c r="AM401" s="1058"/>
      <c r="AN401" s="1058"/>
      <c r="AO401" s="1058"/>
      <c r="AP401" s="1058"/>
    </row>
    <row r="402" spans="1:42">
      <c r="A402" s="1346"/>
      <c r="B402" s="1347" t="s">
        <v>294</v>
      </c>
      <c r="C402" s="1346"/>
      <c r="D402" s="1387">
        <f t="shared" si="58"/>
        <v>0</v>
      </c>
      <c r="E402" s="1171"/>
      <c r="F402" s="1171"/>
      <c r="G402" s="1182"/>
      <c r="H402" s="1174"/>
      <c r="I402" s="1194"/>
      <c r="J402" s="1395">
        <f t="shared" si="61"/>
        <v>0</v>
      </c>
      <c r="K402" s="1171"/>
      <c r="L402" s="1171"/>
      <c r="M402" s="1172"/>
      <c r="N402" s="1401">
        <f t="shared" si="60"/>
        <v>0</v>
      </c>
      <c r="O402" s="1149"/>
      <c r="P402" s="705"/>
      <c r="Q402" s="54"/>
      <c r="R402" s="706"/>
      <c r="S402" s="706"/>
      <c r="T402" s="706"/>
      <c r="U402" s="706"/>
      <c r="V402" s="706"/>
      <c r="W402" s="706"/>
      <c r="X402" s="706"/>
      <c r="Y402" s="706"/>
      <c r="Z402" s="706"/>
      <c r="AA402" s="706"/>
      <c r="AB402" s="706"/>
      <c r="AC402" s="706"/>
    </row>
    <row r="403" spans="1:42">
      <c r="A403" s="2155"/>
      <c r="B403" s="2175" t="s">
        <v>295</v>
      </c>
      <c r="C403" s="2155"/>
      <c r="D403" s="2213">
        <f t="shared" si="58"/>
        <v>0</v>
      </c>
      <c r="E403" s="2188"/>
      <c r="F403" s="2188"/>
      <c r="G403" s="2189"/>
      <c r="H403" s="2197"/>
      <c r="I403" s="2222"/>
      <c r="J403" s="2214">
        <f t="shared" si="61"/>
        <v>0</v>
      </c>
      <c r="K403" s="2188"/>
      <c r="L403" s="2188"/>
      <c r="M403" s="2193"/>
      <c r="N403" s="2195">
        <f t="shared" si="60"/>
        <v>0</v>
      </c>
      <c r="O403" s="1149"/>
      <c r="P403" s="705"/>
      <c r="Q403" s="54"/>
      <c r="R403" s="706"/>
      <c r="S403" s="706"/>
      <c r="T403" s="706"/>
      <c r="U403" s="706"/>
      <c r="V403" s="706"/>
      <c r="W403" s="706"/>
      <c r="X403" s="706"/>
      <c r="Y403" s="706"/>
      <c r="Z403" s="706"/>
      <c r="AA403" s="706"/>
      <c r="AB403" s="706"/>
      <c r="AC403" s="706"/>
    </row>
    <row r="404" spans="1:42">
      <c r="A404" s="2155">
        <v>21</v>
      </c>
      <c r="B404" s="2154" t="s">
        <v>296</v>
      </c>
      <c r="C404" s="2161">
        <v>17</v>
      </c>
      <c r="D404" s="2213">
        <f t="shared" si="58"/>
        <v>2484056</v>
      </c>
      <c r="E404" s="2188"/>
      <c r="F404" s="2188"/>
      <c r="G404" s="2189">
        <v>1769667</v>
      </c>
      <c r="H404" s="2193">
        <v>714389</v>
      </c>
      <c r="I404" s="2222"/>
      <c r="J404" s="2214">
        <f t="shared" si="61"/>
        <v>2484056</v>
      </c>
      <c r="K404" s="2188"/>
      <c r="L404" s="2188"/>
      <c r="M404" s="2193"/>
      <c r="N404" s="2195">
        <f t="shared" si="60"/>
        <v>0</v>
      </c>
      <c r="O404" s="1149"/>
      <c r="P404" s="705"/>
      <c r="Q404" s="1141"/>
      <c r="R404" s="706"/>
      <c r="S404" s="706"/>
      <c r="T404" s="706"/>
      <c r="U404" s="706"/>
      <c r="V404" s="706"/>
      <c r="W404" s="706"/>
      <c r="X404" s="706"/>
      <c r="Y404" s="706"/>
      <c r="Z404" s="706"/>
      <c r="AA404" s="706"/>
      <c r="AB404" s="706"/>
      <c r="AC404" s="706"/>
    </row>
    <row r="405" spans="1:42">
      <c r="A405" s="2155">
        <v>22</v>
      </c>
      <c r="B405" s="2154" t="s">
        <v>297</v>
      </c>
      <c r="C405" s="2155"/>
      <c r="D405" s="2213">
        <f t="shared" si="58"/>
        <v>11547</v>
      </c>
      <c r="E405" s="2188"/>
      <c r="F405" s="2188"/>
      <c r="G405" s="2189">
        <v>3118</v>
      </c>
      <c r="H405" s="2193">
        <v>8429</v>
      </c>
      <c r="I405" s="2222"/>
      <c r="J405" s="2214">
        <f t="shared" si="61"/>
        <v>11547</v>
      </c>
      <c r="K405" s="2188"/>
      <c r="L405" s="2188"/>
      <c r="M405" s="2193"/>
      <c r="N405" s="2195">
        <f t="shared" si="60"/>
        <v>0</v>
      </c>
      <c r="O405" s="1149"/>
      <c r="P405" s="705"/>
      <c r="Q405" s="707"/>
      <c r="R405" s="706"/>
      <c r="S405" s="706"/>
      <c r="T405" s="706"/>
      <c r="U405" s="706"/>
      <c r="V405" s="706"/>
      <c r="W405" s="706"/>
      <c r="X405" s="706"/>
      <c r="Y405" s="706"/>
      <c r="Z405" s="706"/>
      <c r="AA405" s="706"/>
      <c r="AB405" s="706"/>
      <c r="AC405" s="706"/>
    </row>
    <row r="406" spans="1:42">
      <c r="A406" s="2155">
        <v>23</v>
      </c>
      <c r="B406" s="2154" t="s">
        <v>298</v>
      </c>
      <c r="C406" s="2155">
        <v>18</v>
      </c>
      <c r="D406" s="2213">
        <f t="shared" si="58"/>
        <v>27759</v>
      </c>
      <c r="E406" s="2188"/>
      <c r="F406" s="2188"/>
      <c r="G406" s="1182">
        <v>4164</v>
      </c>
      <c r="H406" s="1172">
        <v>23595</v>
      </c>
      <c r="I406" s="2222"/>
      <c r="J406" s="2214">
        <f t="shared" si="61"/>
        <v>27759</v>
      </c>
      <c r="K406" s="2188"/>
      <c r="L406" s="2188"/>
      <c r="M406" s="2193"/>
      <c r="N406" s="2195">
        <f t="shared" si="60"/>
        <v>0</v>
      </c>
      <c r="O406" s="1149"/>
      <c r="P406" s="705"/>
      <c r="Q406" s="707"/>
      <c r="R406" s="706"/>
      <c r="S406" s="706"/>
      <c r="T406" s="706"/>
      <c r="U406" s="706"/>
      <c r="V406" s="706"/>
      <c r="W406" s="706"/>
      <c r="X406" s="706"/>
      <c r="Y406" s="706"/>
      <c r="Z406" s="706"/>
      <c r="AA406" s="706"/>
      <c r="AB406" s="706"/>
      <c r="AC406" s="706"/>
    </row>
    <row r="407" spans="1:42">
      <c r="A407" s="2155">
        <v>24</v>
      </c>
      <c r="B407" s="2154" t="s">
        <v>299</v>
      </c>
      <c r="C407" s="2155"/>
      <c r="D407" s="2213">
        <f t="shared" si="58"/>
        <v>0</v>
      </c>
      <c r="E407" s="2188"/>
      <c r="F407" s="2188"/>
      <c r="G407" s="2189"/>
      <c r="H407" s="2197"/>
      <c r="I407" s="2222"/>
      <c r="J407" s="2214">
        <f t="shared" si="61"/>
        <v>0</v>
      </c>
      <c r="K407" s="2188"/>
      <c r="L407" s="2188"/>
      <c r="M407" s="2193"/>
      <c r="N407" s="2195">
        <f t="shared" si="60"/>
        <v>0</v>
      </c>
      <c r="O407" s="1149"/>
      <c r="P407" s="705"/>
      <c r="Q407" s="54"/>
      <c r="R407" s="706"/>
      <c r="S407" s="706"/>
      <c r="T407" s="706"/>
      <c r="U407" s="706"/>
      <c r="V407" s="706"/>
      <c r="W407" s="706"/>
      <c r="X407" s="706"/>
      <c r="Y407" s="706"/>
      <c r="Z407" s="706"/>
      <c r="AA407" s="706"/>
      <c r="AB407" s="706"/>
      <c r="AC407" s="706"/>
    </row>
    <row r="408" spans="1:42">
      <c r="A408" s="2155">
        <v>25</v>
      </c>
      <c r="B408" s="2176" t="s">
        <v>300</v>
      </c>
      <c r="C408" s="2155"/>
      <c r="D408" s="2213">
        <f t="shared" si="58"/>
        <v>0</v>
      </c>
      <c r="E408" s="2188"/>
      <c r="F408" s="2188"/>
      <c r="G408" s="2189"/>
      <c r="H408" s="2197"/>
      <c r="I408" s="2222"/>
      <c r="J408" s="2214">
        <f t="shared" si="61"/>
        <v>0</v>
      </c>
      <c r="K408" s="2188"/>
      <c r="L408" s="2188"/>
      <c r="M408" s="2193"/>
      <c r="N408" s="2195">
        <f t="shared" si="60"/>
        <v>0</v>
      </c>
      <c r="O408" s="1149"/>
      <c r="P408" s="705"/>
      <c r="Q408" s="54"/>
      <c r="R408" s="706"/>
      <c r="S408" s="706"/>
      <c r="T408" s="706"/>
      <c r="U408" s="706"/>
      <c r="V408" s="706"/>
      <c r="W408" s="706"/>
      <c r="X408" s="706"/>
      <c r="Y408" s="706"/>
      <c r="Z408" s="706"/>
      <c r="AA408" s="706"/>
      <c r="AB408" s="706"/>
      <c r="AC408" s="706"/>
    </row>
    <row r="409" spans="1:42" ht="13.5" thickBot="1">
      <c r="A409" s="2172">
        <v>26</v>
      </c>
      <c r="B409" s="2173" t="s">
        <v>301</v>
      </c>
      <c r="C409" s="2177">
        <v>19</v>
      </c>
      <c r="D409" s="1388">
        <f t="shared" si="58"/>
        <v>231765</v>
      </c>
      <c r="E409" s="1176"/>
      <c r="F409" s="1176"/>
      <c r="G409" s="1208">
        <v>62448</v>
      </c>
      <c r="H409" s="1208">
        <v>169317</v>
      </c>
      <c r="I409" s="2247"/>
      <c r="J409" s="1396">
        <f t="shared" si="61"/>
        <v>231765</v>
      </c>
      <c r="K409" s="1176"/>
      <c r="L409" s="1176"/>
      <c r="M409" s="1177"/>
      <c r="N409" s="2215">
        <f t="shared" si="60"/>
        <v>0</v>
      </c>
      <c r="O409" s="1149"/>
      <c r="P409" s="705"/>
      <c r="Q409" s="1141"/>
      <c r="R409" s="706"/>
      <c r="S409" s="706"/>
      <c r="T409" s="706"/>
      <c r="U409" s="706"/>
      <c r="V409" s="706"/>
      <c r="W409" s="706"/>
      <c r="X409" s="706"/>
      <c r="Y409" s="706"/>
      <c r="Z409" s="706"/>
      <c r="AA409" s="706"/>
      <c r="AB409" s="706"/>
      <c r="AC409" s="706"/>
    </row>
    <row r="410" spans="1:42" s="913" customFormat="1" ht="30.75" customHeight="1" thickBot="1">
      <c r="A410" s="1348">
        <v>27</v>
      </c>
      <c r="B410" s="1349" t="s">
        <v>302</v>
      </c>
      <c r="C410" s="1348"/>
      <c r="D410" s="1389">
        <f t="shared" si="58"/>
        <v>2755127</v>
      </c>
      <c r="E410" s="1181">
        <f>SUM(E404:E409)</f>
        <v>0</v>
      </c>
      <c r="F410" s="1181">
        <f>SUM(F404:F409)</f>
        <v>0</v>
      </c>
      <c r="G410" s="1181">
        <f>SUM(G404:G409)</f>
        <v>1839397</v>
      </c>
      <c r="H410" s="1185">
        <f>SUM(H404:H409)</f>
        <v>915730</v>
      </c>
      <c r="I410" s="1212">
        <f>SUM(I404:I409)</f>
        <v>0</v>
      </c>
      <c r="J410" s="1394">
        <f>G410+H410+I410</f>
        <v>2755127</v>
      </c>
      <c r="K410" s="1181">
        <f>SUM(K404:K409)</f>
        <v>0</v>
      </c>
      <c r="L410" s="1181">
        <f>SUM(L404:L409)</f>
        <v>0</v>
      </c>
      <c r="M410" s="1185">
        <f>SUM(M404:M409)</f>
        <v>0</v>
      </c>
      <c r="N410" s="1400">
        <f t="shared" si="60"/>
        <v>0</v>
      </c>
      <c r="O410" s="1155"/>
      <c r="P410" s="1025"/>
      <c r="Q410" s="710"/>
      <c r="R410" s="1027"/>
      <c r="S410" s="1027"/>
      <c r="T410" s="1027"/>
      <c r="U410" s="1027"/>
      <c r="V410" s="1027"/>
      <c r="W410" s="1027"/>
      <c r="X410" s="1027"/>
      <c r="Y410" s="1027"/>
      <c r="Z410" s="1027"/>
      <c r="AA410" s="1027"/>
      <c r="AB410" s="1027"/>
      <c r="AC410" s="1027"/>
      <c r="AE410" s="1058"/>
      <c r="AF410" s="1058"/>
      <c r="AG410" s="1058"/>
      <c r="AH410" s="1058"/>
      <c r="AI410" s="1058"/>
      <c r="AJ410" s="1058"/>
      <c r="AK410" s="1058"/>
      <c r="AL410" s="1058"/>
      <c r="AM410" s="1058"/>
      <c r="AN410" s="1058"/>
      <c r="AO410" s="1058"/>
      <c r="AP410" s="1058"/>
    </row>
    <row r="411" spans="1:42">
      <c r="A411" s="1346"/>
      <c r="B411" s="1347" t="s">
        <v>303</v>
      </c>
      <c r="C411" s="1346">
        <v>20</v>
      </c>
      <c r="D411" s="1387">
        <f t="shared" si="58"/>
        <v>0</v>
      </c>
      <c r="E411" s="1171"/>
      <c r="F411" s="1171"/>
      <c r="G411" s="1182"/>
      <c r="H411" s="1174"/>
      <c r="I411" s="1194"/>
      <c r="J411" s="1395">
        <f t="shared" ref="J411:J417" si="62">G411+H411+I411</f>
        <v>0</v>
      </c>
      <c r="K411" s="1171"/>
      <c r="L411" s="1171"/>
      <c r="M411" s="1172"/>
      <c r="N411" s="1401">
        <f t="shared" si="60"/>
        <v>0</v>
      </c>
      <c r="O411" s="1149"/>
      <c r="P411" s="705"/>
      <c r="Q411" s="54"/>
      <c r="R411" s="706"/>
      <c r="S411" s="706"/>
      <c r="T411" s="706"/>
      <c r="U411" s="706"/>
      <c r="V411" s="706"/>
      <c r="W411" s="706"/>
      <c r="X411" s="706"/>
      <c r="Y411" s="706"/>
      <c r="Z411" s="706"/>
      <c r="AA411" s="706"/>
      <c r="AB411" s="706"/>
      <c r="AC411" s="706"/>
    </row>
    <row r="412" spans="1:42">
      <c r="A412" s="2155">
        <v>28</v>
      </c>
      <c r="B412" s="2154" t="s">
        <v>304</v>
      </c>
      <c r="C412" s="2161"/>
      <c r="D412" s="2213">
        <f t="shared" si="58"/>
        <v>544260</v>
      </c>
      <c r="E412" s="2188"/>
      <c r="F412" s="2188">
        <v>544260</v>
      </c>
      <c r="G412" s="2189"/>
      <c r="H412" s="2197">
        <v>0</v>
      </c>
      <c r="I412" s="2222"/>
      <c r="J412" s="2214">
        <f t="shared" si="62"/>
        <v>0</v>
      </c>
      <c r="K412" s="2188"/>
      <c r="L412" s="2188"/>
      <c r="M412" s="2193"/>
      <c r="N412" s="2195">
        <f t="shared" si="60"/>
        <v>0</v>
      </c>
      <c r="O412" s="1149"/>
      <c r="P412" s="705"/>
      <c r="Q412" s="1141"/>
      <c r="R412" s="706"/>
      <c r="S412" s="706"/>
      <c r="T412" s="706"/>
      <c r="U412" s="706"/>
      <c r="V412" s="706"/>
      <c r="W412" s="706"/>
      <c r="X412" s="706"/>
      <c r="Y412" s="706"/>
      <c r="Z412" s="706"/>
      <c r="AA412" s="706"/>
      <c r="AB412" s="706"/>
      <c r="AC412" s="706"/>
    </row>
    <row r="413" spans="1:42">
      <c r="A413" s="2155">
        <v>29</v>
      </c>
      <c r="B413" s="2154" t="s">
        <v>305</v>
      </c>
      <c r="C413" s="2161"/>
      <c r="D413" s="2213">
        <f t="shared" si="58"/>
        <v>-14399</v>
      </c>
      <c r="E413" s="2188"/>
      <c r="F413" s="2188">
        <v>-2786</v>
      </c>
      <c r="G413" s="2189">
        <v>-7770</v>
      </c>
      <c r="H413" s="2197">
        <v>-3843</v>
      </c>
      <c r="I413" s="2222">
        <v>0</v>
      </c>
      <c r="J413" s="2214">
        <f t="shared" si="62"/>
        <v>-11613</v>
      </c>
      <c r="K413" s="2188"/>
      <c r="L413" s="2188"/>
      <c r="M413" s="2193"/>
      <c r="N413" s="2195">
        <f t="shared" si="60"/>
        <v>0</v>
      </c>
      <c r="O413" s="1149"/>
      <c r="P413" s="705"/>
      <c r="Q413" s="1141"/>
      <c r="R413" s="706"/>
      <c r="S413" s="706"/>
      <c r="T413" s="706"/>
      <c r="U413" s="706"/>
      <c r="V413" s="706"/>
      <c r="W413" s="706"/>
      <c r="X413" s="706"/>
      <c r="Y413" s="706"/>
      <c r="Z413" s="706"/>
      <c r="AA413" s="706"/>
      <c r="AB413" s="706"/>
      <c r="AC413" s="706"/>
    </row>
    <row r="414" spans="1:42">
      <c r="A414" s="2155">
        <v>30</v>
      </c>
      <c r="B414" s="2173" t="s">
        <v>306</v>
      </c>
      <c r="C414" s="2177"/>
      <c r="D414" s="2213">
        <f t="shared" si="58"/>
        <v>148391</v>
      </c>
      <c r="E414" s="2188"/>
      <c r="F414" s="1176">
        <v>76728</v>
      </c>
      <c r="G414" s="1208">
        <v>43383</v>
      </c>
      <c r="H414" s="2210">
        <v>28280</v>
      </c>
      <c r="I414" s="2248"/>
      <c r="J414" s="2214">
        <f t="shared" si="62"/>
        <v>71663</v>
      </c>
      <c r="K414" s="2188"/>
      <c r="L414" s="2188"/>
      <c r="M414" s="2193"/>
      <c r="N414" s="2195">
        <f t="shared" si="60"/>
        <v>0</v>
      </c>
      <c r="O414" s="1149"/>
      <c r="P414" s="705"/>
      <c r="Q414" s="1141"/>
      <c r="R414" s="706"/>
      <c r="S414" s="706"/>
      <c r="T414" s="706"/>
      <c r="U414" s="706"/>
      <c r="V414" s="706"/>
      <c r="W414" s="706"/>
      <c r="X414" s="706"/>
      <c r="Y414" s="706"/>
      <c r="Z414" s="706"/>
      <c r="AA414" s="706"/>
      <c r="AB414" s="706"/>
      <c r="AC414" s="706"/>
    </row>
    <row r="415" spans="1:42">
      <c r="A415" s="2155">
        <v>31</v>
      </c>
      <c r="B415" s="2173" t="s">
        <v>307</v>
      </c>
      <c r="C415" s="2177"/>
      <c r="D415" s="2213">
        <f t="shared" si="58"/>
        <v>0</v>
      </c>
      <c r="E415" s="2188"/>
      <c r="F415" s="1176"/>
      <c r="G415" s="1208"/>
      <c r="H415" s="2210"/>
      <c r="I415" s="2248"/>
      <c r="J415" s="2214">
        <f t="shared" si="62"/>
        <v>0</v>
      </c>
      <c r="K415" s="2188"/>
      <c r="L415" s="2188"/>
      <c r="M415" s="2193"/>
      <c r="N415" s="2195">
        <f t="shared" si="60"/>
        <v>0</v>
      </c>
      <c r="O415" s="1149"/>
      <c r="P415" s="705"/>
      <c r="Q415" s="1142"/>
      <c r="R415" s="706"/>
      <c r="S415" s="706"/>
      <c r="T415" s="706"/>
      <c r="U415" s="706"/>
      <c r="V415" s="706"/>
      <c r="W415" s="706"/>
      <c r="X415" s="706"/>
      <c r="Y415" s="706"/>
      <c r="Z415" s="706"/>
      <c r="AA415" s="706"/>
      <c r="AB415" s="706"/>
      <c r="AC415" s="706"/>
    </row>
    <row r="416" spans="1:42" ht="13.5" thickBot="1">
      <c r="A416" s="2172">
        <v>32</v>
      </c>
      <c r="B416" s="2173" t="s">
        <v>308</v>
      </c>
      <c r="C416" s="2177"/>
      <c r="D416" s="2213">
        <f t="shared" si="58"/>
        <v>286446</v>
      </c>
      <c r="E416" s="2188"/>
      <c r="F416" s="1176">
        <v>286446</v>
      </c>
      <c r="G416" s="1208">
        <v>0</v>
      </c>
      <c r="H416" s="2210">
        <v>0</v>
      </c>
      <c r="I416" s="2248"/>
      <c r="J416" s="2214">
        <f t="shared" si="62"/>
        <v>0</v>
      </c>
      <c r="K416" s="2188"/>
      <c r="L416" s="2188"/>
      <c r="M416" s="2193"/>
      <c r="N416" s="2195">
        <f t="shared" si="60"/>
        <v>0</v>
      </c>
      <c r="O416" s="1149"/>
      <c r="P416" s="705"/>
      <c r="Q416" s="1141"/>
      <c r="R416" s="706"/>
      <c r="S416" s="706"/>
      <c r="T416" s="706"/>
      <c r="U416" s="706"/>
      <c r="V416" s="706"/>
      <c r="W416" s="706"/>
      <c r="X416" s="706"/>
      <c r="Y416" s="706"/>
      <c r="Z416" s="706"/>
      <c r="AA416" s="706"/>
      <c r="AB416" s="706"/>
      <c r="AC416" s="706"/>
    </row>
    <row r="417" spans="1:42" s="913" customFormat="1" ht="13.5" thickBot="1">
      <c r="A417" s="1348">
        <v>33</v>
      </c>
      <c r="B417" s="1384" t="s">
        <v>309</v>
      </c>
      <c r="C417" s="1385"/>
      <c r="D417" s="1390">
        <f t="shared" si="58"/>
        <v>964698</v>
      </c>
      <c r="E417" s="1186">
        <f>SUM(E412:E416)</f>
        <v>0</v>
      </c>
      <c r="F417" s="1186">
        <f>SUM(F412:F416)</f>
        <v>904648</v>
      </c>
      <c r="G417" s="1186">
        <f>SUM(G412:G416)</f>
        <v>35613</v>
      </c>
      <c r="H417" s="1187">
        <f>SUM(H412:H416)</f>
        <v>24437</v>
      </c>
      <c r="I417" s="1210">
        <f>SUM(I412:I416)</f>
        <v>0</v>
      </c>
      <c r="J417" s="1397">
        <f t="shared" si="62"/>
        <v>60050</v>
      </c>
      <c r="K417" s="1186">
        <f>SUM(K412:K416)</f>
        <v>0</v>
      </c>
      <c r="L417" s="1186">
        <f>SUM(L412:L416)</f>
        <v>0</v>
      </c>
      <c r="M417" s="1187">
        <f>SUM(M412:M416)</f>
        <v>0</v>
      </c>
      <c r="N417" s="1402">
        <f t="shared" si="60"/>
        <v>0</v>
      </c>
      <c r="O417" s="1155"/>
      <c r="P417" s="1025"/>
      <c r="Q417" s="710"/>
      <c r="R417" s="1027"/>
      <c r="S417" s="1027"/>
      <c r="T417" s="1027"/>
      <c r="U417" s="1027"/>
      <c r="V417" s="1027"/>
      <c r="W417" s="1027"/>
      <c r="X417" s="1027"/>
      <c r="Y417" s="1027"/>
      <c r="Z417" s="1027"/>
      <c r="AA417" s="1027"/>
      <c r="AB417" s="1027"/>
      <c r="AC417" s="1027"/>
      <c r="AE417" s="1058"/>
      <c r="AF417" s="1058"/>
      <c r="AG417" s="1058"/>
      <c r="AH417" s="1058"/>
      <c r="AI417" s="1058"/>
      <c r="AJ417" s="1058"/>
      <c r="AK417" s="1058"/>
      <c r="AL417" s="1058"/>
      <c r="AM417" s="1058"/>
      <c r="AN417" s="1058"/>
      <c r="AO417" s="1058"/>
      <c r="AP417" s="1058"/>
    </row>
    <row r="418" spans="1:42" s="913" customFormat="1" ht="26.25" thickBot="1">
      <c r="A418" s="1351">
        <v>34</v>
      </c>
      <c r="B418" s="1352" t="s">
        <v>310</v>
      </c>
      <c r="C418" s="1351"/>
      <c r="D418" s="1381">
        <f>+E418+F418+J418+N418</f>
        <v>3719825</v>
      </c>
      <c r="E418" s="1381">
        <f>E417+E410</f>
        <v>0</v>
      </c>
      <c r="F418" s="1381">
        <f>F417+F410</f>
        <v>904648</v>
      </c>
      <c r="G418" s="1381">
        <f>G417+G410</f>
        <v>1875010</v>
      </c>
      <c r="H418" s="1381">
        <f>H417+H410</f>
        <v>940167</v>
      </c>
      <c r="I418" s="1381">
        <f>I417+I410</f>
        <v>0</v>
      </c>
      <c r="J418" s="1381">
        <f>G418+H418+I418</f>
        <v>2815177</v>
      </c>
      <c r="K418" s="1381">
        <f>K417+K410</f>
        <v>0</v>
      </c>
      <c r="L418" s="1381">
        <f>L417+L410</f>
        <v>0</v>
      </c>
      <c r="M418" s="1382">
        <f>M417+M410</f>
        <v>0</v>
      </c>
      <c r="N418" s="1383">
        <f t="shared" si="60"/>
        <v>0</v>
      </c>
      <c r="O418" s="1155"/>
      <c r="P418" s="1025"/>
      <c r="Q418" s="710"/>
      <c r="R418" s="1027"/>
      <c r="S418" s="1027"/>
      <c r="T418" s="1027"/>
      <c r="U418" s="1027"/>
      <c r="V418" s="1027"/>
      <c r="W418" s="1027"/>
      <c r="X418" s="1027"/>
      <c r="Y418" s="1027"/>
      <c r="Z418" s="1027"/>
      <c r="AA418" s="1027"/>
      <c r="AB418" s="1027"/>
      <c r="AC418" s="1027"/>
      <c r="AE418" s="1058"/>
      <c r="AF418" s="1058"/>
      <c r="AG418" s="1058"/>
      <c r="AH418" s="1058"/>
      <c r="AI418" s="1058"/>
      <c r="AJ418" s="1058"/>
      <c r="AK418" s="1058"/>
      <c r="AL418" s="1058"/>
      <c r="AM418" s="1058"/>
      <c r="AN418" s="1058"/>
      <c r="AO418" s="1058"/>
      <c r="AP418" s="1058"/>
    </row>
    <row r="420" spans="1:42">
      <c r="B420" s="680"/>
      <c r="D420" s="679"/>
      <c r="E420" s="679"/>
      <c r="F420" s="679"/>
      <c r="G420" s="679"/>
      <c r="H420" s="679"/>
      <c r="I420" s="679"/>
      <c r="J420" s="679"/>
      <c r="K420" s="679"/>
      <c r="L420" s="679"/>
      <c r="M420" s="679"/>
      <c r="N420" s="679">
        <v>20</v>
      </c>
      <c r="O420" s="679"/>
    </row>
    <row r="421" spans="1:42">
      <c r="D421" s="679"/>
      <c r="E421" s="679"/>
      <c r="F421" s="679"/>
      <c r="G421" s="679"/>
      <c r="H421" s="679"/>
      <c r="I421" s="679"/>
      <c r="J421" s="679"/>
      <c r="N421" s="912"/>
    </row>
    <row r="422" spans="1:42" ht="13.5" thickBot="1"/>
    <row r="423" spans="1:42" ht="15.75" customHeight="1" thickBot="1">
      <c r="A423" s="1368" t="s">
        <v>131</v>
      </c>
      <c r="B423" s="3533" t="s">
        <v>103</v>
      </c>
      <c r="C423" s="3534"/>
      <c r="M423" s="3538" t="s">
        <v>251</v>
      </c>
      <c r="N423" s="3538"/>
      <c r="O423" s="1148"/>
    </row>
    <row r="424" spans="1:42" ht="13.15" customHeight="1" thickBot="1">
      <c r="A424" s="3512" t="s">
        <v>252</v>
      </c>
      <c r="B424" s="3515"/>
      <c r="C424" s="3523" t="s">
        <v>254</v>
      </c>
      <c r="D424" s="3518" t="s">
        <v>255</v>
      </c>
      <c r="E424" s="3518" t="s">
        <v>256</v>
      </c>
      <c r="F424" s="3518" t="s">
        <v>257</v>
      </c>
      <c r="G424" s="3526" t="s">
        <v>258</v>
      </c>
      <c r="H424" s="3527"/>
      <c r="I424" s="3527"/>
      <c r="J424" s="3527"/>
      <c r="K424" s="3527"/>
      <c r="L424" s="3527"/>
      <c r="M424" s="3527"/>
      <c r="N424" s="3528"/>
      <c r="O424" s="409"/>
    </row>
    <row r="425" spans="1:42" ht="13.15" customHeight="1" thickBot="1">
      <c r="A425" s="3513"/>
      <c r="B425" s="3516"/>
      <c r="C425" s="3524"/>
      <c r="D425" s="3520"/>
      <c r="E425" s="3520"/>
      <c r="F425" s="3520"/>
      <c r="G425" s="3529" t="s">
        <v>259</v>
      </c>
      <c r="H425" s="3530"/>
      <c r="I425" s="3530"/>
      <c r="J425" s="3531"/>
      <c r="K425" s="3529" t="s">
        <v>260</v>
      </c>
      <c r="L425" s="3530"/>
      <c r="M425" s="3530"/>
      <c r="N425" s="3531"/>
      <c r="O425" s="443"/>
    </row>
    <row r="426" spans="1:42" ht="39" thickBot="1">
      <c r="A426" s="3513"/>
      <c r="B426" s="3516"/>
      <c r="C426" s="3524"/>
      <c r="D426" s="3519"/>
      <c r="E426" s="3519"/>
      <c r="F426" s="3519"/>
      <c r="G426" s="1336" t="s">
        <v>261</v>
      </c>
      <c r="H426" s="1336" t="s">
        <v>262</v>
      </c>
      <c r="I426" s="1336" t="s">
        <v>263</v>
      </c>
      <c r="J426" s="1336" t="s">
        <v>158</v>
      </c>
      <c r="K426" s="1337" t="s">
        <v>264</v>
      </c>
      <c r="L426" s="1337" t="s">
        <v>265</v>
      </c>
      <c r="M426" s="1337" t="s">
        <v>266</v>
      </c>
      <c r="N426" s="1404" t="s">
        <v>158</v>
      </c>
      <c r="O426" s="443"/>
    </row>
    <row r="427" spans="1:42" ht="13.5" thickBot="1">
      <c r="A427" s="3513"/>
      <c r="B427" s="3516"/>
      <c r="C427" s="3524"/>
      <c r="D427" s="1340">
        <v>1</v>
      </c>
      <c r="E427" s="3518">
        <v>2</v>
      </c>
      <c r="F427" s="3518">
        <v>3</v>
      </c>
      <c r="G427" s="3518">
        <v>4</v>
      </c>
      <c r="H427" s="3518">
        <v>5</v>
      </c>
      <c r="I427" s="3518">
        <v>6</v>
      </c>
      <c r="J427" s="1341">
        <v>7</v>
      </c>
      <c r="K427" s="3518">
        <v>8</v>
      </c>
      <c r="L427" s="3518">
        <v>9</v>
      </c>
      <c r="M427" s="3518">
        <v>10</v>
      </c>
      <c r="N427" s="1340">
        <v>11</v>
      </c>
      <c r="O427" s="409"/>
    </row>
    <row r="428" spans="1:42" ht="15.75" customHeight="1" thickBot="1">
      <c r="A428" s="3514"/>
      <c r="B428" s="3517"/>
      <c r="C428" s="3525"/>
      <c r="D428" s="1343"/>
      <c r="E428" s="3519"/>
      <c r="F428" s="3519"/>
      <c r="G428" s="3519"/>
      <c r="H428" s="3519"/>
      <c r="I428" s="3519"/>
      <c r="J428" s="1344" t="s">
        <v>267</v>
      </c>
      <c r="K428" s="3519"/>
      <c r="L428" s="3519"/>
      <c r="M428" s="3519"/>
      <c r="N428" s="1372" t="s">
        <v>268</v>
      </c>
      <c r="O428" s="703"/>
      <c r="P428" s="703"/>
      <c r="Q428" s="61"/>
    </row>
    <row r="429" spans="1:42">
      <c r="A429" s="1346"/>
      <c r="B429" s="1347" t="s">
        <v>269</v>
      </c>
      <c r="C429" s="1346"/>
      <c r="D429" s="2152"/>
      <c r="E429" s="1150"/>
      <c r="F429" s="1150"/>
      <c r="G429" s="1151"/>
      <c r="H429" s="1089"/>
      <c r="I429" s="1152"/>
      <c r="J429" s="1417"/>
      <c r="K429" s="1088"/>
      <c r="L429" s="1089"/>
      <c r="M429" s="1090"/>
      <c r="N429" s="1441"/>
      <c r="Q429" s="709"/>
    </row>
    <row r="430" spans="1:42">
      <c r="A430" s="2153">
        <v>1</v>
      </c>
      <c r="B430" s="2154" t="s">
        <v>270</v>
      </c>
      <c r="C430" s="2155"/>
      <c r="D430" s="2213">
        <f>+E430+F430+J430+N430</f>
        <v>0</v>
      </c>
      <c r="E430" s="2188"/>
      <c r="F430" s="2188"/>
      <c r="G430" s="2189"/>
      <c r="H430" s="2197"/>
      <c r="I430" s="2222"/>
      <c r="J430" s="2214">
        <f>G430+H430+I430</f>
        <v>0</v>
      </c>
      <c r="K430" s="2188"/>
      <c r="L430" s="2188"/>
      <c r="M430" s="2193"/>
      <c r="N430" s="2195">
        <f>K430+L430+M430</f>
        <v>0</v>
      </c>
      <c r="O430" s="1149"/>
      <c r="P430" s="705"/>
      <c r="Q430" s="54"/>
      <c r="S430" s="706"/>
      <c r="T430" s="706"/>
      <c r="U430" s="706"/>
      <c r="V430" s="706"/>
      <c r="W430" s="706"/>
      <c r="X430" s="706"/>
      <c r="Y430" s="706"/>
      <c r="Z430" s="706"/>
      <c r="AA430" s="706"/>
      <c r="AB430" s="706"/>
      <c r="AC430" s="706"/>
    </row>
    <row r="431" spans="1:42">
      <c r="A431" s="2153">
        <v>2</v>
      </c>
      <c r="B431" s="2154" t="s">
        <v>271</v>
      </c>
      <c r="C431" s="2155"/>
      <c r="D431" s="2213">
        <f t="shared" ref="D431:D469" si="63">+E431+F431+J431+N431</f>
        <v>57839</v>
      </c>
      <c r="E431" s="2188"/>
      <c r="F431" s="2188">
        <v>57839</v>
      </c>
      <c r="G431" s="2189"/>
      <c r="H431" s="2197"/>
      <c r="I431" s="2222"/>
      <c r="J431" s="2214">
        <f t="shared" ref="J431:J441" si="64">G431+H431+I431</f>
        <v>0</v>
      </c>
      <c r="K431" s="2188"/>
      <c r="L431" s="2188"/>
      <c r="M431" s="2193"/>
      <c r="N431" s="2195">
        <f t="shared" ref="N431:N470" si="65">K431+L431+M431</f>
        <v>0</v>
      </c>
      <c r="O431" s="1149"/>
      <c r="P431" s="705"/>
      <c r="Q431" s="707"/>
      <c r="R431" s="706"/>
      <c r="S431" s="706"/>
      <c r="T431" s="706"/>
      <c r="U431" s="706"/>
      <c r="V431" s="706"/>
      <c r="W431" s="706"/>
      <c r="X431" s="706"/>
      <c r="Y431" s="706"/>
      <c r="Z431" s="706"/>
      <c r="AA431" s="706"/>
      <c r="AB431" s="706"/>
      <c r="AC431" s="706"/>
    </row>
    <row r="432" spans="1:42">
      <c r="A432" s="2153">
        <v>3</v>
      </c>
      <c r="B432" s="2154" t="s">
        <v>272</v>
      </c>
      <c r="C432" s="2155"/>
      <c r="D432" s="2213">
        <f t="shared" si="63"/>
        <v>0</v>
      </c>
      <c r="E432" s="2188"/>
      <c r="F432" s="1171">
        <v>0</v>
      </c>
      <c r="G432" s="2189"/>
      <c r="H432" s="2197"/>
      <c r="I432" s="2222"/>
      <c r="J432" s="2214">
        <f t="shared" si="64"/>
        <v>0</v>
      </c>
      <c r="K432" s="2188"/>
      <c r="L432" s="2188"/>
      <c r="M432" s="2193"/>
      <c r="N432" s="2195">
        <f t="shared" si="65"/>
        <v>0</v>
      </c>
      <c r="O432" s="1149"/>
      <c r="P432" s="705"/>
      <c r="Q432" s="54"/>
      <c r="R432" s="706"/>
      <c r="S432" s="706"/>
      <c r="T432" s="706"/>
      <c r="U432" s="706"/>
      <c r="V432" s="706"/>
      <c r="W432" s="706"/>
      <c r="X432" s="706"/>
      <c r="Y432" s="706"/>
      <c r="Z432" s="706"/>
      <c r="AA432" s="706"/>
      <c r="AB432" s="706"/>
      <c r="AC432" s="706"/>
    </row>
    <row r="433" spans="1:42">
      <c r="A433" s="2153">
        <v>4</v>
      </c>
      <c r="B433" s="2154" t="s">
        <v>315</v>
      </c>
      <c r="C433" s="2155"/>
      <c r="D433" s="2213">
        <f t="shared" si="63"/>
        <v>362336</v>
      </c>
      <c r="E433" s="2188"/>
      <c r="F433" s="1171">
        <v>362336</v>
      </c>
      <c r="G433" s="2189"/>
      <c r="H433" s="2197"/>
      <c r="I433" s="2222"/>
      <c r="J433" s="2214">
        <f t="shared" si="64"/>
        <v>0</v>
      </c>
      <c r="K433" s="2188"/>
      <c r="L433" s="2188"/>
      <c r="M433" s="2193"/>
      <c r="N433" s="2195">
        <f t="shared" si="65"/>
        <v>0</v>
      </c>
      <c r="O433" s="1149"/>
      <c r="P433" s="705"/>
      <c r="Q433" s="707"/>
      <c r="R433" s="706"/>
      <c r="S433" s="706"/>
      <c r="T433" s="706"/>
      <c r="U433" s="706"/>
      <c r="V433" s="706"/>
      <c r="W433" s="706"/>
      <c r="X433" s="706"/>
      <c r="Y433" s="706"/>
      <c r="Z433" s="706"/>
      <c r="AA433" s="706"/>
      <c r="AB433" s="706"/>
      <c r="AC433" s="706"/>
    </row>
    <row r="434" spans="1:42">
      <c r="A434" s="2153">
        <v>5</v>
      </c>
      <c r="B434" s="2154" t="s">
        <v>274</v>
      </c>
      <c r="C434" s="2161">
        <v>5</v>
      </c>
      <c r="D434" s="2213">
        <f t="shared" si="63"/>
        <v>141390</v>
      </c>
      <c r="E434" s="2188"/>
      <c r="F434" s="1171">
        <v>141390</v>
      </c>
      <c r="G434" s="2189"/>
      <c r="H434" s="2197"/>
      <c r="I434" s="2222"/>
      <c r="J434" s="2214">
        <f t="shared" si="64"/>
        <v>0</v>
      </c>
      <c r="K434" s="2188"/>
      <c r="L434" s="2188"/>
      <c r="M434" s="2193"/>
      <c r="N434" s="2195">
        <f t="shared" si="65"/>
        <v>0</v>
      </c>
      <c r="O434" s="1149"/>
      <c r="P434" s="705"/>
      <c r="Q434" s="1141"/>
      <c r="R434" s="706"/>
      <c r="S434" s="706"/>
      <c r="T434" s="706"/>
      <c r="U434" s="706"/>
      <c r="V434" s="706"/>
      <c r="W434" s="706"/>
      <c r="X434" s="706"/>
      <c r="Y434" s="706"/>
      <c r="Z434" s="706"/>
      <c r="AA434" s="706"/>
      <c r="AB434" s="706"/>
      <c r="AC434" s="706"/>
    </row>
    <row r="435" spans="1:42">
      <c r="A435" s="2153">
        <v>6</v>
      </c>
      <c r="B435" s="2154" t="s">
        <v>275</v>
      </c>
      <c r="C435" s="2155">
        <v>6</v>
      </c>
      <c r="D435" s="2213">
        <f t="shared" si="63"/>
        <v>0</v>
      </c>
      <c r="E435" s="2188"/>
      <c r="F435" s="2188"/>
      <c r="G435" s="2188"/>
      <c r="H435" s="2193"/>
      <c r="I435" s="2222"/>
      <c r="J435" s="2214">
        <f t="shared" si="64"/>
        <v>0</v>
      </c>
      <c r="K435" s="2188"/>
      <c r="L435" s="2188"/>
      <c r="M435" s="2193"/>
      <c r="N435" s="2195">
        <f t="shared" si="65"/>
        <v>0</v>
      </c>
      <c r="O435" s="1149"/>
      <c r="P435" s="705"/>
      <c r="Q435" s="54"/>
      <c r="R435" s="706"/>
      <c r="S435" s="706"/>
      <c r="T435" s="706"/>
      <c r="U435" s="706"/>
      <c r="V435" s="706"/>
      <c r="W435" s="706"/>
      <c r="X435" s="706"/>
      <c r="Y435" s="706"/>
      <c r="Z435" s="706"/>
      <c r="AA435" s="706"/>
      <c r="AB435" s="706"/>
      <c r="AC435" s="706"/>
    </row>
    <row r="436" spans="1:42">
      <c r="A436" s="2153">
        <v>7</v>
      </c>
      <c r="B436" s="2154" t="s">
        <v>276</v>
      </c>
      <c r="C436" s="2161">
        <v>7</v>
      </c>
      <c r="D436" s="2213">
        <f t="shared" si="63"/>
        <v>1150000</v>
      </c>
      <c r="E436" s="2188"/>
      <c r="F436" s="2268">
        <f>F437+F438</f>
        <v>1150000</v>
      </c>
      <c r="G436" s="2188">
        <f t="shared" ref="G436:M436" si="66">G437+G438</f>
        <v>0</v>
      </c>
      <c r="H436" s="2193">
        <f t="shared" si="66"/>
        <v>0</v>
      </c>
      <c r="I436" s="2222">
        <f t="shared" si="66"/>
        <v>0</v>
      </c>
      <c r="J436" s="2214">
        <f t="shared" si="64"/>
        <v>0</v>
      </c>
      <c r="K436" s="2188">
        <f t="shared" si="66"/>
        <v>0</v>
      </c>
      <c r="L436" s="2188">
        <f t="shared" si="66"/>
        <v>0</v>
      </c>
      <c r="M436" s="2193">
        <f t="shared" si="66"/>
        <v>0</v>
      </c>
      <c r="N436" s="2195">
        <f t="shared" si="65"/>
        <v>0</v>
      </c>
      <c r="O436" s="1149"/>
      <c r="P436" s="705"/>
      <c r="Q436" s="1141"/>
      <c r="R436" s="706"/>
      <c r="S436" s="706"/>
      <c r="T436" s="706"/>
      <c r="U436" s="706"/>
      <c r="V436" s="706"/>
      <c r="W436" s="706"/>
      <c r="X436" s="706"/>
      <c r="Y436" s="706"/>
      <c r="Z436" s="706"/>
      <c r="AA436" s="706"/>
      <c r="AB436" s="706"/>
      <c r="AC436" s="706"/>
    </row>
    <row r="437" spans="1:42">
      <c r="A437" s="2155"/>
      <c r="B437" s="2162" t="s">
        <v>277</v>
      </c>
      <c r="C437" s="2161"/>
      <c r="D437" s="2213">
        <f t="shared" si="63"/>
        <v>1150000</v>
      </c>
      <c r="E437" s="2188"/>
      <c r="F437" s="2188">
        <v>1150000</v>
      </c>
      <c r="G437" s="2189"/>
      <c r="H437" s="2197"/>
      <c r="I437" s="2222"/>
      <c r="J437" s="2214">
        <f t="shared" si="64"/>
        <v>0</v>
      </c>
      <c r="K437" s="2188"/>
      <c r="L437" s="2188"/>
      <c r="M437" s="2193"/>
      <c r="N437" s="2195">
        <f t="shared" si="65"/>
        <v>0</v>
      </c>
      <c r="O437" s="1149"/>
      <c r="P437" s="705"/>
      <c r="Q437" s="1141"/>
      <c r="R437" s="706"/>
      <c r="S437" s="706"/>
      <c r="T437" s="706"/>
      <c r="U437" s="706"/>
      <c r="V437" s="706"/>
      <c r="W437" s="706"/>
      <c r="X437" s="706"/>
      <c r="Y437" s="706"/>
      <c r="Z437" s="706"/>
      <c r="AA437" s="706"/>
      <c r="AB437" s="706"/>
      <c r="AC437" s="706"/>
    </row>
    <row r="438" spans="1:42">
      <c r="A438" s="2155"/>
      <c r="B438" s="2162" t="s">
        <v>278</v>
      </c>
      <c r="C438" s="2161"/>
      <c r="D438" s="2213">
        <f t="shared" si="63"/>
        <v>0</v>
      </c>
      <c r="E438" s="2188"/>
      <c r="F438" s="1171">
        <v>0</v>
      </c>
      <c r="G438" s="2188"/>
      <c r="H438" s="2193"/>
      <c r="I438" s="2222"/>
      <c r="J438" s="2214">
        <f t="shared" si="64"/>
        <v>0</v>
      </c>
      <c r="K438" s="2188"/>
      <c r="L438" s="2188"/>
      <c r="M438" s="2193"/>
      <c r="N438" s="2195">
        <f t="shared" si="65"/>
        <v>0</v>
      </c>
      <c r="O438" s="1149"/>
      <c r="P438" s="705"/>
      <c r="Q438" s="1142"/>
      <c r="R438" s="706"/>
      <c r="S438" s="706"/>
      <c r="T438" s="706"/>
      <c r="U438" s="706"/>
      <c r="V438" s="706"/>
      <c r="W438" s="706"/>
      <c r="X438" s="706"/>
      <c r="Y438" s="706"/>
      <c r="Z438" s="706"/>
      <c r="AA438" s="706"/>
      <c r="AB438" s="706"/>
      <c r="AC438" s="706"/>
    </row>
    <row r="439" spans="1:42">
      <c r="A439" s="2153">
        <v>8</v>
      </c>
      <c r="B439" s="2154" t="s">
        <v>279</v>
      </c>
      <c r="C439" s="2155">
        <v>8</v>
      </c>
      <c r="D439" s="2213">
        <f t="shared" si="63"/>
        <v>0</v>
      </c>
      <c r="E439" s="2188"/>
      <c r="F439" s="2188">
        <f>F440+F441</f>
        <v>0</v>
      </c>
      <c r="G439" s="2188">
        <f t="shared" ref="G439:M439" si="67">G440+G441</f>
        <v>0</v>
      </c>
      <c r="H439" s="2193">
        <f t="shared" si="67"/>
        <v>0</v>
      </c>
      <c r="I439" s="2222">
        <f t="shared" si="67"/>
        <v>0</v>
      </c>
      <c r="J439" s="2214">
        <f t="shared" si="64"/>
        <v>0</v>
      </c>
      <c r="K439" s="2188">
        <f t="shared" si="67"/>
        <v>0</v>
      </c>
      <c r="L439" s="2188">
        <f t="shared" si="67"/>
        <v>0</v>
      </c>
      <c r="M439" s="2193">
        <f t="shared" si="67"/>
        <v>0</v>
      </c>
      <c r="N439" s="2195">
        <f t="shared" si="65"/>
        <v>0</v>
      </c>
      <c r="O439" s="1149"/>
      <c r="P439" s="705"/>
      <c r="Q439" s="54"/>
      <c r="R439" s="706"/>
      <c r="S439" s="706"/>
      <c r="T439" s="706"/>
      <c r="U439" s="706"/>
      <c r="V439" s="706"/>
      <c r="W439" s="706"/>
      <c r="X439" s="706"/>
      <c r="Y439" s="706"/>
      <c r="Z439" s="706"/>
      <c r="AA439" s="706"/>
      <c r="AB439" s="706"/>
      <c r="AC439" s="706"/>
    </row>
    <row r="440" spans="1:42">
      <c r="A440" s="2153"/>
      <c r="B440" s="2162" t="s">
        <v>280</v>
      </c>
      <c r="C440" s="2155"/>
      <c r="D440" s="2213">
        <f t="shared" si="63"/>
        <v>0</v>
      </c>
      <c r="E440" s="2188"/>
      <c r="F440" s="2188"/>
      <c r="G440" s="2188"/>
      <c r="H440" s="2193"/>
      <c r="I440" s="2222"/>
      <c r="J440" s="2214">
        <f t="shared" si="64"/>
        <v>0</v>
      </c>
      <c r="K440" s="2188"/>
      <c r="L440" s="2188"/>
      <c r="M440" s="2193"/>
      <c r="N440" s="2195">
        <f t="shared" si="65"/>
        <v>0</v>
      </c>
      <c r="O440" s="1149"/>
      <c r="P440" s="705"/>
      <c r="Q440" s="54"/>
      <c r="R440" s="706"/>
      <c r="S440" s="706"/>
      <c r="T440" s="706"/>
      <c r="U440" s="706"/>
      <c r="V440" s="706"/>
      <c r="W440" s="706"/>
      <c r="X440" s="706"/>
      <c r="Y440" s="706"/>
      <c r="Z440" s="706"/>
      <c r="AA440" s="706"/>
      <c r="AB440" s="706"/>
      <c r="AC440" s="706"/>
    </row>
    <row r="441" spans="1:42">
      <c r="A441" s="2153"/>
      <c r="B441" s="2162" t="s">
        <v>281</v>
      </c>
      <c r="C441" s="2155"/>
      <c r="D441" s="2213">
        <f t="shared" si="63"/>
        <v>0</v>
      </c>
      <c r="E441" s="2188"/>
      <c r="F441" s="2188"/>
      <c r="G441" s="2188"/>
      <c r="H441" s="2193"/>
      <c r="I441" s="2222"/>
      <c r="J441" s="2214">
        <f t="shared" si="64"/>
        <v>0</v>
      </c>
      <c r="K441" s="2188"/>
      <c r="L441" s="2188"/>
      <c r="M441" s="2193"/>
      <c r="N441" s="2195">
        <f t="shared" si="65"/>
        <v>0</v>
      </c>
      <c r="O441" s="1149"/>
      <c r="P441" s="705"/>
      <c r="Q441" s="54"/>
      <c r="R441" s="706"/>
      <c r="S441" s="706"/>
      <c r="T441" s="706"/>
      <c r="U441" s="706"/>
      <c r="V441" s="706"/>
      <c r="W441" s="706"/>
      <c r="X441" s="706"/>
      <c r="Y441" s="706"/>
      <c r="Z441" s="706"/>
      <c r="AA441" s="706"/>
      <c r="AB441" s="706"/>
      <c r="AC441" s="706"/>
    </row>
    <row r="442" spans="1:42" s="913" customFormat="1" ht="25.5">
      <c r="A442" s="2163">
        <v>9</v>
      </c>
      <c r="B442" s="2164" t="s">
        <v>282</v>
      </c>
      <c r="C442" s="2165"/>
      <c r="D442" s="2230">
        <f t="shared" si="63"/>
        <v>25901037</v>
      </c>
      <c r="E442" s="2231">
        <f>SUM(E443:E446)</f>
        <v>0</v>
      </c>
      <c r="F442" s="2231">
        <f>SUM(F443:F446)</f>
        <v>5026360</v>
      </c>
      <c r="G442" s="2231">
        <f>SUM(G443:G446)</f>
        <v>4403653</v>
      </c>
      <c r="H442" s="2204">
        <f>SUM(H443:H446)</f>
        <v>3720785</v>
      </c>
      <c r="I442" s="2250">
        <f>SUM(I443:I446)</f>
        <v>12750239</v>
      </c>
      <c r="J442" s="2233">
        <f>G442+H442+I442</f>
        <v>20874677</v>
      </c>
      <c r="K442" s="2231">
        <f>SUM(K443:K446)</f>
        <v>0</v>
      </c>
      <c r="L442" s="2231">
        <f>SUM(L443:L446)</f>
        <v>0</v>
      </c>
      <c r="M442" s="2204">
        <f>SUM(M443:M446)</f>
        <v>0</v>
      </c>
      <c r="N442" s="2205">
        <f t="shared" si="65"/>
        <v>0</v>
      </c>
      <c r="O442" s="1155"/>
      <c r="P442" s="1025"/>
      <c r="Q442" s="1143"/>
      <c r="R442" s="1027"/>
      <c r="S442" s="1027"/>
      <c r="T442" s="1027"/>
      <c r="U442" s="1027"/>
      <c r="V442" s="1027"/>
      <c r="W442" s="1027"/>
      <c r="X442" s="1027"/>
      <c r="Y442" s="1027"/>
      <c r="Z442" s="1027"/>
      <c r="AA442" s="1027"/>
      <c r="AB442" s="1027"/>
      <c r="AC442" s="1027"/>
      <c r="AE442" s="1058"/>
      <c r="AF442" s="1058"/>
      <c r="AG442" s="1058"/>
      <c r="AH442" s="1058"/>
      <c r="AI442" s="1058"/>
      <c r="AJ442" s="1058"/>
      <c r="AK442" s="1058"/>
      <c r="AL442" s="1058"/>
      <c r="AM442" s="1058"/>
      <c r="AN442" s="1058"/>
      <c r="AO442" s="1058"/>
      <c r="AP442" s="1058"/>
    </row>
    <row r="443" spans="1:42">
      <c r="A443" s="2155">
        <v>10</v>
      </c>
      <c r="B443" s="2171" t="s">
        <v>283</v>
      </c>
      <c r="C443" s="2155">
        <v>9</v>
      </c>
      <c r="D443" s="2213">
        <f t="shared" si="63"/>
        <v>313465</v>
      </c>
      <c r="E443" s="2188"/>
      <c r="F443" s="2188">
        <v>51767</v>
      </c>
      <c r="G443" s="2189">
        <v>0</v>
      </c>
      <c r="H443" s="2197">
        <v>53198</v>
      </c>
      <c r="I443" s="2222">
        <v>208500</v>
      </c>
      <c r="J443" s="2214">
        <f t="shared" ref="J443:J461" si="68">G443+H443+I443</f>
        <v>261698</v>
      </c>
      <c r="K443" s="2188"/>
      <c r="L443" s="2188"/>
      <c r="M443" s="2193"/>
      <c r="N443" s="2195">
        <f t="shared" si="65"/>
        <v>0</v>
      </c>
      <c r="O443" s="1149"/>
      <c r="P443" s="705"/>
      <c r="Q443" s="707"/>
      <c r="R443" s="706"/>
      <c r="S443" s="706"/>
      <c r="T443" s="706"/>
      <c r="U443" s="706"/>
      <c r="V443" s="706"/>
      <c r="W443" s="706"/>
      <c r="X443" s="706"/>
      <c r="Y443" s="706"/>
      <c r="Z443" s="706"/>
      <c r="AA443" s="706"/>
      <c r="AB443" s="706"/>
      <c r="AC443" s="706"/>
    </row>
    <row r="444" spans="1:42">
      <c r="A444" s="2155">
        <v>11</v>
      </c>
      <c r="B444" s="2171" t="s">
        <v>284</v>
      </c>
      <c r="C444" s="2155">
        <v>10</v>
      </c>
      <c r="D444" s="2213">
        <f t="shared" si="63"/>
        <v>18187908</v>
      </c>
      <c r="E444" s="2188"/>
      <c r="F444" s="1171">
        <v>4542319</v>
      </c>
      <c r="G444" s="1182">
        <v>2596051</v>
      </c>
      <c r="H444" s="1183">
        <v>3387168</v>
      </c>
      <c r="I444" s="1195">
        <v>7662370</v>
      </c>
      <c r="J444" s="2214">
        <f t="shared" si="68"/>
        <v>13645589</v>
      </c>
      <c r="K444" s="2188"/>
      <c r="L444" s="2188"/>
      <c r="M444" s="2193"/>
      <c r="N444" s="2195">
        <f t="shared" si="65"/>
        <v>0</v>
      </c>
      <c r="O444" s="1149"/>
      <c r="P444" s="705"/>
      <c r="Q444" s="707"/>
      <c r="R444" s="706"/>
      <c r="S444" s="706"/>
      <c r="T444" s="706"/>
      <c r="U444" s="706"/>
      <c r="V444" s="706"/>
      <c r="W444" s="706"/>
      <c r="X444" s="706"/>
      <c r="Y444" s="706"/>
      <c r="Z444" s="706"/>
      <c r="AA444" s="706"/>
      <c r="AB444" s="706"/>
      <c r="AC444" s="706"/>
    </row>
    <row r="445" spans="1:42">
      <c r="A445" s="2155">
        <v>12</v>
      </c>
      <c r="B445" s="2171" t="s">
        <v>285</v>
      </c>
      <c r="C445" s="2155">
        <v>11</v>
      </c>
      <c r="D445" s="2213">
        <f t="shared" si="63"/>
        <v>7261326</v>
      </c>
      <c r="E445" s="2188"/>
      <c r="F445" s="1171">
        <v>432274</v>
      </c>
      <c r="G445" s="1182">
        <v>1682953</v>
      </c>
      <c r="H445" s="1183">
        <v>280419</v>
      </c>
      <c r="I445" s="1195">
        <v>4865680</v>
      </c>
      <c r="J445" s="2214">
        <f t="shared" si="68"/>
        <v>6829052</v>
      </c>
      <c r="K445" s="2188"/>
      <c r="L445" s="2188"/>
      <c r="M445" s="2193"/>
      <c r="N445" s="2195">
        <f t="shared" si="65"/>
        <v>0</v>
      </c>
      <c r="O445" s="1149"/>
      <c r="P445" s="705"/>
      <c r="Q445" s="707"/>
      <c r="R445" s="706"/>
      <c r="S445" s="706"/>
      <c r="T445" s="706"/>
      <c r="U445" s="706"/>
      <c r="V445" s="706"/>
      <c r="W445" s="706"/>
      <c r="X445" s="706"/>
      <c r="Y445" s="706"/>
      <c r="Z445" s="706"/>
      <c r="AA445" s="706"/>
      <c r="AB445" s="706"/>
      <c r="AC445" s="706"/>
    </row>
    <row r="446" spans="1:42" ht="25.5">
      <c r="A446" s="2155">
        <v>13</v>
      </c>
      <c r="B446" s="2171" t="s">
        <v>286</v>
      </c>
      <c r="C446" s="2155">
        <v>12</v>
      </c>
      <c r="D446" s="2213">
        <f t="shared" si="63"/>
        <v>138338</v>
      </c>
      <c r="E446" s="2188"/>
      <c r="F446" s="2188"/>
      <c r="G446" s="1182">
        <v>124649</v>
      </c>
      <c r="H446" s="1183">
        <v>0</v>
      </c>
      <c r="I446" s="1195">
        <v>13689</v>
      </c>
      <c r="J446" s="2214">
        <f t="shared" si="68"/>
        <v>138338</v>
      </c>
      <c r="K446" s="2188"/>
      <c r="L446" s="2188"/>
      <c r="M446" s="2193"/>
      <c r="N446" s="2195">
        <f t="shared" si="65"/>
        <v>0</v>
      </c>
      <c r="O446" s="1149"/>
      <c r="P446" s="705"/>
      <c r="Q446" s="707"/>
      <c r="R446" s="706"/>
      <c r="S446" s="706"/>
      <c r="T446" s="706"/>
      <c r="U446" s="706"/>
      <c r="V446" s="706"/>
      <c r="W446" s="706"/>
      <c r="X446" s="706"/>
      <c r="Y446" s="706"/>
      <c r="Z446" s="706"/>
      <c r="AA446" s="706"/>
      <c r="AB446" s="706"/>
      <c r="AC446" s="706"/>
    </row>
    <row r="447" spans="1:42">
      <c r="A447" s="2155">
        <v>14</v>
      </c>
      <c r="B447" s="2154" t="s">
        <v>287</v>
      </c>
      <c r="C447" s="2155">
        <v>13</v>
      </c>
      <c r="D447" s="2213">
        <f t="shared" si="63"/>
        <v>403452</v>
      </c>
      <c r="E447" s="2188"/>
      <c r="F447" s="2188"/>
      <c r="G447" s="1182">
        <v>143522</v>
      </c>
      <c r="H447" s="1174">
        <v>134</v>
      </c>
      <c r="I447" s="1194">
        <v>259796</v>
      </c>
      <c r="J447" s="2214">
        <f t="shared" si="68"/>
        <v>403452</v>
      </c>
      <c r="K447" s="2188"/>
      <c r="L447" s="2188"/>
      <c r="M447" s="2193"/>
      <c r="N447" s="2195">
        <f t="shared" si="65"/>
        <v>0</v>
      </c>
      <c r="O447" s="1149"/>
      <c r="P447" s="705"/>
      <c r="Q447" s="707"/>
      <c r="R447" s="706"/>
      <c r="S447" s="706"/>
      <c r="T447" s="706"/>
      <c r="U447" s="706"/>
      <c r="V447" s="706"/>
      <c r="W447" s="706"/>
      <c r="X447" s="706"/>
      <c r="Y447" s="706"/>
      <c r="Z447" s="706"/>
      <c r="AA447" s="706"/>
      <c r="AB447" s="706"/>
      <c r="AC447" s="706"/>
    </row>
    <row r="448" spans="1:42">
      <c r="A448" s="2155">
        <v>15</v>
      </c>
      <c r="B448" s="2154" t="s">
        <v>288</v>
      </c>
      <c r="C448" s="2161">
        <v>14</v>
      </c>
      <c r="D448" s="2213">
        <f t="shared" si="63"/>
        <v>317009</v>
      </c>
      <c r="E448" s="2188"/>
      <c r="F448" s="2188"/>
      <c r="G448" s="1182">
        <v>3424</v>
      </c>
      <c r="H448" s="1174">
        <v>298641</v>
      </c>
      <c r="I448" s="1194">
        <v>14944</v>
      </c>
      <c r="J448" s="2214">
        <f t="shared" si="68"/>
        <v>317009</v>
      </c>
      <c r="K448" s="2188"/>
      <c r="L448" s="2188"/>
      <c r="M448" s="2193"/>
      <c r="N448" s="2195">
        <f t="shared" si="65"/>
        <v>0</v>
      </c>
      <c r="O448" s="1149"/>
      <c r="P448" s="705"/>
      <c r="Q448" s="1141"/>
      <c r="R448" s="706"/>
      <c r="S448" s="706"/>
      <c r="T448" s="706"/>
      <c r="U448" s="706"/>
      <c r="V448" s="706"/>
      <c r="W448" s="706"/>
      <c r="X448" s="706"/>
      <c r="Y448" s="706"/>
      <c r="Z448" s="706"/>
      <c r="AA448" s="706"/>
      <c r="AB448" s="706"/>
      <c r="AC448" s="706"/>
    </row>
    <row r="449" spans="1:42">
      <c r="A449" s="2155">
        <v>16</v>
      </c>
      <c r="B449" s="2154" t="s">
        <v>289</v>
      </c>
      <c r="C449" s="2155">
        <v>15</v>
      </c>
      <c r="D449" s="2213">
        <f t="shared" si="63"/>
        <v>7822</v>
      </c>
      <c r="E449" s="2188"/>
      <c r="F449" s="2188"/>
      <c r="G449" s="1182">
        <v>1106</v>
      </c>
      <c r="H449" s="1174">
        <v>4240</v>
      </c>
      <c r="I449" s="1194">
        <v>2476</v>
      </c>
      <c r="J449" s="2214">
        <f t="shared" si="68"/>
        <v>7822</v>
      </c>
      <c r="K449" s="2188"/>
      <c r="L449" s="2188"/>
      <c r="M449" s="2193"/>
      <c r="N449" s="2195">
        <f t="shared" si="65"/>
        <v>0</v>
      </c>
      <c r="O449" s="1149"/>
      <c r="P449" s="705"/>
      <c r="Q449" s="707"/>
      <c r="R449" s="706"/>
      <c r="S449" s="706"/>
      <c r="T449" s="706"/>
      <c r="U449" s="706"/>
      <c r="V449" s="706"/>
      <c r="W449" s="706"/>
      <c r="X449" s="706"/>
      <c r="Y449" s="706"/>
      <c r="Z449" s="706"/>
      <c r="AA449" s="706"/>
      <c r="AB449" s="706"/>
      <c r="AC449" s="706"/>
    </row>
    <row r="450" spans="1:42">
      <c r="A450" s="2155">
        <v>17</v>
      </c>
      <c r="B450" s="2154" t="s">
        <v>290</v>
      </c>
      <c r="C450" s="2161">
        <v>16</v>
      </c>
      <c r="D450" s="2213">
        <f t="shared" si="63"/>
        <v>781069</v>
      </c>
      <c r="E450" s="2188"/>
      <c r="F450" s="2188">
        <v>687576</v>
      </c>
      <c r="G450" s="1182">
        <v>-68884</v>
      </c>
      <c r="H450" s="1183">
        <v>-336818</v>
      </c>
      <c r="I450" s="1195">
        <v>499195</v>
      </c>
      <c r="J450" s="2214">
        <f t="shared" si="68"/>
        <v>93493</v>
      </c>
      <c r="K450" s="2188"/>
      <c r="L450" s="2188"/>
      <c r="M450" s="2193"/>
      <c r="N450" s="2195">
        <f t="shared" si="65"/>
        <v>0</v>
      </c>
      <c r="O450" s="1149"/>
      <c r="P450" s="705"/>
      <c r="Q450" s="1141"/>
      <c r="R450" s="706"/>
      <c r="S450" s="706"/>
      <c r="T450" s="706"/>
      <c r="U450" s="706"/>
      <c r="V450" s="706"/>
      <c r="W450" s="706"/>
      <c r="X450" s="706"/>
      <c r="Y450" s="706"/>
      <c r="Z450" s="706"/>
      <c r="AA450" s="706"/>
      <c r="AB450" s="706"/>
      <c r="AC450" s="706"/>
    </row>
    <row r="451" spans="1:42">
      <c r="A451" s="2155">
        <v>18</v>
      </c>
      <c r="B451" s="2154" t="s">
        <v>291</v>
      </c>
      <c r="C451" s="2155"/>
      <c r="D451" s="2213">
        <f t="shared" si="63"/>
        <v>0</v>
      </c>
      <c r="E451" s="2188"/>
      <c r="F451" s="1171">
        <v>0</v>
      </c>
      <c r="G451" s="1182">
        <v>0</v>
      </c>
      <c r="H451" s="1174">
        <v>0</v>
      </c>
      <c r="I451" s="1194">
        <v>0</v>
      </c>
      <c r="J451" s="2214">
        <f t="shared" si="68"/>
        <v>0</v>
      </c>
      <c r="K451" s="2188"/>
      <c r="L451" s="2188"/>
      <c r="M451" s="2193"/>
      <c r="N451" s="2195">
        <f t="shared" si="65"/>
        <v>0</v>
      </c>
      <c r="O451" s="1149"/>
      <c r="P451" s="705"/>
      <c r="Q451" s="54"/>
      <c r="R451" s="706"/>
      <c r="S451" s="706"/>
      <c r="T451" s="706"/>
      <c r="U451" s="706"/>
      <c r="V451" s="706"/>
      <c r="W451" s="706"/>
      <c r="X451" s="706"/>
      <c r="Y451" s="706"/>
      <c r="Z451" s="706"/>
      <c r="AA451" s="706"/>
      <c r="AB451" s="706"/>
      <c r="AC451" s="706"/>
    </row>
    <row r="452" spans="1:42" ht="13.5" thickBot="1">
      <c r="A452" s="2172">
        <v>19</v>
      </c>
      <c r="B452" s="2173" t="s">
        <v>292</v>
      </c>
      <c r="C452" s="2172"/>
      <c r="D452" s="1388">
        <f t="shared" si="63"/>
        <v>341997</v>
      </c>
      <c r="E452" s="1176"/>
      <c r="F452" s="1175">
        <v>55441</v>
      </c>
      <c r="G452" s="1202">
        <v>10004</v>
      </c>
      <c r="H452" s="1200">
        <v>21254</v>
      </c>
      <c r="I452" s="1193">
        <v>255298</v>
      </c>
      <c r="J452" s="1396">
        <f t="shared" si="68"/>
        <v>286556</v>
      </c>
      <c r="K452" s="1176"/>
      <c r="L452" s="1176"/>
      <c r="M452" s="1177"/>
      <c r="N452" s="2215">
        <f t="shared" si="65"/>
        <v>0</v>
      </c>
      <c r="O452" s="1149"/>
      <c r="P452" s="705"/>
      <c r="Q452" s="707"/>
      <c r="R452" s="706"/>
      <c r="S452" s="706"/>
      <c r="T452" s="706"/>
      <c r="U452" s="706"/>
      <c r="V452" s="706"/>
      <c r="W452" s="706"/>
      <c r="X452" s="706"/>
      <c r="Y452" s="706"/>
      <c r="Z452" s="706"/>
      <c r="AA452" s="706"/>
      <c r="AB452" s="706"/>
      <c r="AC452" s="706"/>
    </row>
    <row r="453" spans="1:42" s="913" customFormat="1" ht="26.25" thickBot="1">
      <c r="A453" s="1351">
        <v>20</v>
      </c>
      <c r="B453" s="1352" t="s">
        <v>293</v>
      </c>
      <c r="C453" s="1351"/>
      <c r="D453" s="1378">
        <f t="shared" si="63"/>
        <v>29463951</v>
      </c>
      <c r="E453" s="1378">
        <f>SUM(E430:E436)+E439+E442+SUM(E447:E452)</f>
        <v>0</v>
      </c>
      <c r="F453" s="1378">
        <f>SUM(F430:F436)+F439+F442+SUM(F447:F452)</f>
        <v>7480942</v>
      </c>
      <c r="G453" s="1378">
        <f>SUM(G430:G436)+G439+G442+SUM(G447:G452)</f>
        <v>4492825</v>
      </c>
      <c r="H453" s="1379">
        <f>SUM(H430:H436)+H439+H442+SUM(H447:H452)</f>
        <v>3708236</v>
      </c>
      <c r="I453" s="1415">
        <f>SUM(I430:I436)+I439+I442+SUM(I447:I452)</f>
        <v>13781948</v>
      </c>
      <c r="J453" s="1378">
        <f t="shared" si="68"/>
        <v>21983009</v>
      </c>
      <c r="K453" s="1378">
        <f>SUM(K430:K436)+K439+K442+SUM(K447:K452)</f>
        <v>0</v>
      </c>
      <c r="L453" s="1378">
        <f>SUM(L430:L436)+L439+L442+SUM(L447:L452)</f>
        <v>0</v>
      </c>
      <c r="M453" s="1379">
        <f>SUM(M430:M436)+M439+M442+SUM(M447:M452)</f>
        <v>0</v>
      </c>
      <c r="N453" s="1380">
        <f t="shared" si="65"/>
        <v>0</v>
      </c>
      <c r="O453" s="1155"/>
      <c r="P453" s="1025"/>
      <c r="Q453" s="710"/>
      <c r="R453" s="1027"/>
      <c r="S453" s="1027"/>
      <c r="T453" s="1027"/>
      <c r="U453" s="1027"/>
      <c r="V453" s="1027"/>
      <c r="W453" s="1027"/>
      <c r="X453" s="1027"/>
      <c r="Y453" s="1027"/>
      <c r="Z453" s="1027"/>
      <c r="AA453" s="1027"/>
      <c r="AB453" s="1027"/>
      <c r="AC453" s="1027"/>
      <c r="AE453" s="1058"/>
      <c r="AF453" s="1058"/>
      <c r="AG453" s="1058"/>
      <c r="AH453" s="1058"/>
      <c r="AI453" s="1058"/>
      <c r="AJ453" s="1058"/>
      <c r="AK453" s="1058"/>
      <c r="AL453" s="1058"/>
      <c r="AM453" s="1058"/>
      <c r="AN453" s="1058"/>
      <c r="AO453" s="1058"/>
      <c r="AP453" s="1058"/>
    </row>
    <row r="454" spans="1:42">
      <c r="A454" s="1346"/>
      <c r="B454" s="1347" t="s">
        <v>294</v>
      </c>
      <c r="C454" s="1346"/>
      <c r="D454" s="1387">
        <f t="shared" si="63"/>
        <v>0</v>
      </c>
      <c r="E454" s="1171"/>
      <c r="F454" s="1171"/>
      <c r="G454" s="1182"/>
      <c r="H454" s="1174"/>
      <c r="I454" s="1194"/>
      <c r="J454" s="1395">
        <f t="shared" si="68"/>
        <v>0</v>
      </c>
      <c r="K454" s="1171"/>
      <c r="L454" s="1171"/>
      <c r="M454" s="1172"/>
      <c r="N454" s="1401">
        <f t="shared" si="65"/>
        <v>0</v>
      </c>
      <c r="O454" s="1149"/>
      <c r="P454" s="705"/>
      <c r="Q454" s="54"/>
      <c r="R454" s="706"/>
      <c r="S454" s="706"/>
      <c r="T454" s="706"/>
      <c r="U454" s="706"/>
      <c r="V454" s="706"/>
      <c r="W454" s="706"/>
      <c r="X454" s="706"/>
      <c r="Y454" s="706"/>
      <c r="Z454" s="706"/>
      <c r="AA454" s="706"/>
      <c r="AB454" s="706"/>
      <c r="AC454" s="706"/>
    </row>
    <row r="455" spans="1:42">
      <c r="A455" s="2155"/>
      <c r="B455" s="2175" t="s">
        <v>295</v>
      </c>
      <c r="C455" s="2155"/>
      <c r="D455" s="2213">
        <f t="shared" si="63"/>
        <v>0</v>
      </c>
      <c r="E455" s="2188"/>
      <c r="F455" s="2188"/>
      <c r="G455" s="2189"/>
      <c r="H455" s="2197"/>
      <c r="I455" s="2222"/>
      <c r="J455" s="2214">
        <f t="shared" si="68"/>
        <v>0</v>
      </c>
      <c r="K455" s="2188"/>
      <c r="L455" s="2188"/>
      <c r="M455" s="2193"/>
      <c r="N455" s="2195">
        <f t="shared" si="65"/>
        <v>0</v>
      </c>
      <c r="O455" s="1149"/>
      <c r="P455" s="705"/>
      <c r="Q455" s="54"/>
      <c r="R455" s="706"/>
      <c r="S455" s="706"/>
      <c r="T455" s="706"/>
      <c r="U455" s="706"/>
      <c r="V455" s="706"/>
      <c r="W455" s="706"/>
      <c r="X455" s="706"/>
      <c r="Y455" s="706"/>
      <c r="Z455" s="706"/>
      <c r="AA455" s="706"/>
      <c r="AB455" s="706"/>
      <c r="AC455" s="706"/>
    </row>
    <row r="456" spans="1:42">
      <c r="A456" s="2155">
        <v>21</v>
      </c>
      <c r="B456" s="2154" t="s">
        <v>296</v>
      </c>
      <c r="C456" s="2161">
        <v>17</v>
      </c>
      <c r="D456" s="2213">
        <f t="shared" si="63"/>
        <v>20062535</v>
      </c>
      <c r="E456" s="2188"/>
      <c r="F456" s="2188">
        <v>0</v>
      </c>
      <c r="G456" s="2189">
        <v>4322060</v>
      </c>
      <c r="H456" s="2193">
        <v>3002067</v>
      </c>
      <c r="I456" s="2222">
        <v>12738408</v>
      </c>
      <c r="J456" s="2214">
        <f t="shared" si="68"/>
        <v>20062535</v>
      </c>
      <c r="K456" s="2188"/>
      <c r="L456" s="2188"/>
      <c r="M456" s="2193"/>
      <c r="N456" s="2195">
        <f t="shared" si="65"/>
        <v>0</v>
      </c>
      <c r="O456" s="1149"/>
      <c r="P456" s="705"/>
      <c r="Q456" s="1141"/>
      <c r="R456" s="706"/>
      <c r="S456" s="706"/>
      <c r="T456" s="706"/>
      <c r="U456" s="706"/>
      <c r="V456" s="706"/>
      <c r="W456" s="706"/>
      <c r="X456" s="706"/>
      <c r="Y456" s="706"/>
      <c r="Z456" s="706"/>
      <c r="AA456" s="706"/>
      <c r="AB456" s="706"/>
      <c r="AC456" s="706"/>
    </row>
    <row r="457" spans="1:42">
      <c r="A457" s="2155">
        <v>22</v>
      </c>
      <c r="B457" s="2154" t="s">
        <v>297</v>
      </c>
      <c r="C457" s="2155"/>
      <c r="D457" s="2213">
        <f t="shared" si="63"/>
        <v>137328</v>
      </c>
      <c r="E457" s="2188"/>
      <c r="F457" s="1171">
        <v>137328</v>
      </c>
      <c r="G457" s="1182">
        <v>0</v>
      </c>
      <c r="H457" s="1172">
        <v>0</v>
      </c>
      <c r="I457" s="1194">
        <v>0</v>
      </c>
      <c r="J457" s="2214">
        <f t="shared" si="68"/>
        <v>0</v>
      </c>
      <c r="K457" s="2188"/>
      <c r="L457" s="2188"/>
      <c r="M457" s="2193"/>
      <c r="N457" s="2195">
        <f t="shared" si="65"/>
        <v>0</v>
      </c>
      <c r="O457" s="1149"/>
      <c r="P457" s="705"/>
      <c r="Q457" s="707"/>
      <c r="R457" s="706"/>
      <c r="S457" s="706"/>
      <c r="T457" s="706"/>
      <c r="U457" s="706"/>
      <c r="V457" s="706"/>
      <c r="W457" s="706"/>
      <c r="X457" s="706"/>
      <c r="Y457" s="706"/>
      <c r="Z457" s="706"/>
      <c r="AA457" s="706"/>
      <c r="AB457" s="706"/>
      <c r="AC457" s="706"/>
    </row>
    <row r="458" spans="1:42">
      <c r="A458" s="2155">
        <v>23</v>
      </c>
      <c r="B458" s="2154" t="s">
        <v>298</v>
      </c>
      <c r="C458" s="2155">
        <v>18</v>
      </c>
      <c r="D458" s="2213">
        <f t="shared" si="63"/>
        <v>453054</v>
      </c>
      <c r="E458" s="2188"/>
      <c r="F458" s="1171">
        <v>0</v>
      </c>
      <c r="G458" s="1182">
        <v>8282</v>
      </c>
      <c r="H458" s="1172">
        <v>428600</v>
      </c>
      <c r="I458" s="1194">
        <v>16172</v>
      </c>
      <c r="J458" s="2214">
        <f t="shared" si="68"/>
        <v>453054</v>
      </c>
      <c r="K458" s="2188"/>
      <c r="L458" s="2188"/>
      <c r="M458" s="2193"/>
      <c r="N458" s="2195">
        <f t="shared" si="65"/>
        <v>0</v>
      </c>
      <c r="O458" s="1149"/>
      <c r="P458" s="705"/>
      <c r="Q458" s="707"/>
      <c r="R458" s="706"/>
      <c r="S458" s="706"/>
      <c r="T458" s="706"/>
      <c r="U458" s="706"/>
      <c r="V458" s="706"/>
      <c r="W458" s="706"/>
      <c r="X458" s="706"/>
      <c r="Y458" s="706"/>
      <c r="Z458" s="706"/>
      <c r="AA458" s="706"/>
      <c r="AB458" s="706"/>
      <c r="AC458" s="706"/>
    </row>
    <row r="459" spans="1:42">
      <c r="A459" s="2155">
        <v>24</v>
      </c>
      <c r="B459" s="2154" t="s">
        <v>299</v>
      </c>
      <c r="C459" s="2155"/>
      <c r="D459" s="2213">
        <f t="shared" si="63"/>
        <v>0</v>
      </c>
      <c r="E459" s="2188"/>
      <c r="F459" s="1171">
        <v>0</v>
      </c>
      <c r="G459" s="1182">
        <v>0</v>
      </c>
      <c r="H459" s="1172">
        <v>0</v>
      </c>
      <c r="I459" s="1194">
        <v>0</v>
      </c>
      <c r="J459" s="2214">
        <f t="shared" si="68"/>
        <v>0</v>
      </c>
      <c r="K459" s="2188"/>
      <c r="L459" s="2188"/>
      <c r="M459" s="2193"/>
      <c r="N459" s="2195">
        <f t="shared" si="65"/>
        <v>0</v>
      </c>
      <c r="O459" s="1149"/>
      <c r="P459" s="705"/>
      <c r="Q459" s="54"/>
      <c r="R459" s="706"/>
      <c r="S459" s="706"/>
      <c r="T459" s="706"/>
      <c r="U459" s="706"/>
      <c r="V459" s="706"/>
      <c r="W459" s="706"/>
      <c r="X459" s="706"/>
      <c r="Y459" s="706"/>
      <c r="Z459" s="706"/>
      <c r="AA459" s="706"/>
      <c r="AB459" s="706"/>
      <c r="AC459" s="706"/>
    </row>
    <row r="460" spans="1:42">
      <c r="A460" s="2155">
        <v>25</v>
      </c>
      <c r="B460" s="2176" t="s">
        <v>300</v>
      </c>
      <c r="C460" s="2155"/>
      <c r="D460" s="2213">
        <f t="shared" si="63"/>
        <v>0</v>
      </c>
      <c r="E460" s="2188"/>
      <c r="F460" s="1171">
        <v>0</v>
      </c>
      <c r="G460" s="1182">
        <v>0</v>
      </c>
      <c r="H460" s="1172">
        <v>0</v>
      </c>
      <c r="I460" s="1194">
        <v>0</v>
      </c>
      <c r="J460" s="2214">
        <f t="shared" si="68"/>
        <v>0</v>
      </c>
      <c r="K460" s="2188"/>
      <c r="L460" s="2188"/>
      <c r="M460" s="2193"/>
      <c r="N460" s="2195">
        <f t="shared" si="65"/>
        <v>0</v>
      </c>
      <c r="O460" s="1149"/>
      <c r="P460" s="705"/>
      <c r="Q460" s="54"/>
      <c r="R460" s="706"/>
      <c r="S460" s="706"/>
      <c r="T460" s="706"/>
      <c r="U460" s="706"/>
      <c r="V460" s="706"/>
      <c r="W460" s="706"/>
      <c r="X460" s="706"/>
      <c r="Y460" s="706"/>
      <c r="Z460" s="706"/>
      <c r="AA460" s="706"/>
      <c r="AB460" s="706"/>
      <c r="AC460" s="706"/>
    </row>
    <row r="461" spans="1:42" ht="13.5" thickBot="1">
      <c r="A461" s="2172">
        <v>26</v>
      </c>
      <c r="B461" s="2173" t="s">
        <v>301</v>
      </c>
      <c r="C461" s="2177">
        <v>19</v>
      </c>
      <c r="D461" s="2213">
        <f t="shared" si="63"/>
        <v>1778650</v>
      </c>
      <c r="E461" s="2188"/>
      <c r="F461" s="1175">
        <v>243939</v>
      </c>
      <c r="G461" s="1202">
        <v>171629</v>
      </c>
      <c r="H461" s="394">
        <v>262579</v>
      </c>
      <c r="I461" s="1203">
        <v>1100503</v>
      </c>
      <c r="J461" s="2214">
        <f t="shared" si="68"/>
        <v>1534711</v>
      </c>
      <c r="K461" s="2188"/>
      <c r="L461" s="2188"/>
      <c r="M461" s="2193"/>
      <c r="N461" s="2195">
        <f t="shared" si="65"/>
        <v>0</v>
      </c>
      <c r="O461" s="1149"/>
      <c r="P461" s="705"/>
      <c r="Q461" s="1141"/>
      <c r="R461" s="706"/>
      <c r="S461" s="706"/>
      <c r="T461" s="706"/>
      <c r="U461" s="706"/>
      <c r="V461" s="706"/>
      <c r="W461" s="706"/>
      <c r="X461" s="706"/>
      <c r="Y461" s="706"/>
      <c r="Z461" s="706"/>
      <c r="AA461" s="706"/>
      <c r="AB461" s="706"/>
      <c r="AC461" s="706"/>
    </row>
    <row r="462" spans="1:42" s="913" customFormat="1" ht="33.75" customHeight="1" thickBot="1">
      <c r="A462" s="1348">
        <v>27</v>
      </c>
      <c r="B462" s="1349" t="s">
        <v>302</v>
      </c>
      <c r="C462" s="1348"/>
      <c r="D462" s="1389">
        <f t="shared" si="63"/>
        <v>22431567</v>
      </c>
      <c r="E462" s="1181">
        <f>SUM(E456:E461)</f>
        <v>0</v>
      </c>
      <c r="F462" s="1181">
        <f>SUM(F456:F461)</f>
        <v>381267</v>
      </c>
      <c r="G462" s="1181">
        <f>SUM(G456:G461)</f>
        <v>4501971</v>
      </c>
      <c r="H462" s="1185">
        <f>SUM(H456:H461)</f>
        <v>3693246</v>
      </c>
      <c r="I462" s="1269">
        <f>SUM(I456:I461)</f>
        <v>13855083</v>
      </c>
      <c r="J462" s="1394">
        <f>G462+H462+I462</f>
        <v>22050300</v>
      </c>
      <c r="K462" s="1181">
        <f>SUM(K456:K461)</f>
        <v>0</v>
      </c>
      <c r="L462" s="1181">
        <f>SUM(L456:L461)</f>
        <v>0</v>
      </c>
      <c r="M462" s="1185">
        <f>SUM(M456:M461)</f>
        <v>0</v>
      </c>
      <c r="N462" s="1400">
        <f t="shared" si="65"/>
        <v>0</v>
      </c>
      <c r="O462" s="1155"/>
      <c r="P462" s="1025"/>
      <c r="Q462" s="710"/>
      <c r="R462" s="1027"/>
      <c r="S462" s="1027"/>
      <c r="T462" s="1027"/>
      <c r="U462" s="1027"/>
      <c r="V462" s="1027"/>
      <c r="W462" s="1027"/>
      <c r="X462" s="1027"/>
      <c r="Y462" s="1027"/>
      <c r="Z462" s="1027"/>
      <c r="AA462" s="1027"/>
      <c r="AB462" s="1027"/>
      <c r="AC462" s="1027"/>
      <c r="AE462" s="1058"/>
      <c r="AF462" s="1058"/>
      <c r="AG462" s="1058"/>
      <c r="AH462" s="1058"/>
      <c r="AI462" s="1058"/>
      <c r="AJ462" s="1058"/>
      <c r="AK462" s="1058"/>
      <c r="AL462" s="1058"/>
      <c r="AM462" s="1058"/>
      <c r="AN462" s="1058"/>
      <c r="AO462" s="1058"/>
      <c r="AP462" s="1058"/>
    </row>
    <row r="463" spans="1:42">
      <c r="A463" s="1346"/>
      <c r="B463" s="1347" t="s">
        <v>303</v>
      </c>
      <c r="C463" s="1346">
        <v>20</v>
      </c>
      <c r="D463" s="1387">
        <f t="shared" si="63"/>
        <v>0</v>
      </c>
      <c r="E463" s="1171"/>
      <c r="F463" s="1171"/>
      <c r="G463" s="1182"/>
      <c r="H463" s="1174"/>
      <c r="I463" s="1204"/>
      <c r="J463" s="1395">
        <f t="shared" ref="J463:J469" si="69">G463+H463+I463</f>
        <v>0</v>
      </c>
      <c r="K463" s="1171"/>
      <c r="L463" s="1171"/>
      <c r="M463" s="1172"/>
      <c r="N463" s="1401">
        <f t="shared" si="65"/>
        <v>0</v>
      </c>
      <c r="O463" s="1149"/>
      <c r="P463" s="705"/>
      <c r="Q463" s="54"/>
      <c r="R463" s="706"/>
      <c r="S463" s="706"/>
      <c r="T463" s="706"/>
      <c r="U463" s="706"/>
      <c r="V463" s="706"/>
      <c r="W463" s="706"/>
      <c r="X463" s="706"/>
      <c r="Y463" s="706"/>
      <c r="Z463" s="706"/>
      <c r="AA463" s="706"/>
      <c r="AB463" s="706"/>
      <c r="AC463" s="706"/>
    </row>
    <row r="464" spans="1:42">
      <c r="A464" s="2155">
        <v>28</v>
      </c>
      <c r="B464" s="2154" t="s">
        <v>304</v>
      </c>
      <c r="C464" s="2161"/>
      <c r="D464" s="2213">
        <f t="shared" si="63"/>
        <v>1171875</v>
      </c>
      <c r="E464" s="2188"/>
      <c r="F464" s="2188">
        <v>1171875</v>
      </c>
      <c r="G464" s="2189">
        <v>0</v>
      </c>
      <c r="H464" s="2193">
        <v>0</v>
      </c>
      <c r="I464" s="2222">
        <v>0</v>
      </c>
      <c r="J464" s="2214">
        <f t="shared" si="69"/>
        <v>0</v>
      </c>
      <c r="K464" s="2188"/>
      <c r="L464" s="2188"/>
      <c r="M464" s="2193"/>
      <c r="N464" s="2195">
        <f t="shared" si="65"/>
        <v>0</v>
      </c>
      <c r="O464" s="1149"/>
      <c r="P464" s="705"/>
      <c r="Q464" s="1141"/>
      <c r="R464" s="706"/>
      <c r="S464" s="706"/>
      <c r="T464" s="706"/>
      <c r="U464" s="706"/>
      <c r="V464" s="706"/>
      <c r="W464" s="706"/>
      <c r="X464" s="706"/>
      <c r="Y464" s="706"/>
      <c r="Z464" s="706"/>
      <c r="AA464" s="706"/>
      <c r="AB464" s="706"/>
      <c r="AC464" s="706"/>
    </row>
    <row r="465" spans="1:42" ht="14.25" customHeight="1">
      <c r="A465" s="2155">
        <v>29</v>
      </c>
      <c r="B465" s="2154" t="s">
        <v>305</v>
      </c>
      <c r="C465" s="2161"/>
      <c r="D465" s="2213">
        <f t="shared" si="63"/>
        <v>-69459</v>
      </c>
      <c r="E465" s="2188"/>
      <c r="F465" s="1171">
        <v>-2168</v>
      </c>
      <c r="G465" s="1182">
        <v>-9146</v>
      </c>
      <c r="H465" s="2197">
        <v>14991</v>
      </c>
      <c r="I465" s="2222">
        <v>-73136</v>
      </c>
      <c r="J465" s="2214">
        <f t="shared" si="69"/>
        <v>-67291</v>
      </c>
      <c r="K465" s="2188"/>
      <c r="L465" s="2188"/>
      <c r="M465" s="2193"/>
      <c r="N465" s="2195">
        <f t="shared" si="65"/>
        <v>0</v>
      </c>
      <c r="O465" s="1149"/>
      <c r="P465" s="705"/>
      <c r="Q465" s="1141"/>
      <c r="R465" s="706"/>
      <c r="S465" s="706"/>
      <c r="T465" s="706"/>
      <c r="U465" s="706"/>
      <c r="V465" s="706"/>
      <c r="W465" s="706"/>
      <c r="X465" s="706"/>
      <c r="Y465" s="706"/>
      <c r="Z465" s="706"/>
      <c r="AA465" s="706"/>
      <c r="AB465" s="706"/>
      <c r="AC465" s="706"/>
    </row>
    <row r="466" spans="1:42" ht="14.25" customHeight="1">
      <c r="A466" s="2155">
        <v>30</v>
      </c>
      <c r="B466" s="2173" t="s">
        <v>306</v>
      </c>
      <c r="C466" s="2177"/>
      <c r="D466" s="2213">
        <f t="shared" si="63"/>
        <v>0</v>
      </c>
      <c r="E466" s="2188"/>
      <c r="F466" s="1175">
        <v>0</v>
      </c>
      <c r="G466" s="1202">
        <v>0</v>
      </c>
      <c r="H466" s="1270">
        <v>0</v>
      </c>
      <c r="I466" s="1193">
        <v>0</v>
      </c>
      <c r="J466" s="2214">
        <f t="shared" si="69"/>
        <v>0</v>
      </c>
      <c r="K466" s="2188"/>
      <c r="L466" s="2188"/>
      <c r="M466" s="2193"/>
      <c r="N466" s="2195">
        <f t="shared" si="65"/>
        <v>0</v>
      </c>
      <c r="O466" s="1149"/>
      <c r="P466" s="705"/>
      <c r="Q466" s="1142"/>
      <c r="R466" s="706"/>
      <c r="S466" s="706"/>
      <c r="T466" s="706"/>
      <c r="U466" s="706"/>
      <c r="V466" s="706"/>
      <c r="W466" s="706"/>
      <c r="X466" s="706"/>
      <c r="Y466" s="706"/>
      <c r="Z466" s="706"/>
      <c r="AA466" s="706"/>
      <c r="AB466" s="706"/>
      <c r="AC466" s="706"/>
    </row>
    <row r="467" spans="1:42">
      <c r="A467" s="2155">
        <v>31</v>
      </c>
      <c r="B467" s="2173" t="s">
        <v>307</v>
      </c>
      <c r="C467" s="2177"/>
      <c r="D467" s="2213">
        <f t="shared" si="63"/>
        <v>381156</v>
      </c>
      <c r="E467" s="2188"/>
      <c r="F467" s="1176">
        <v>381156</v>
      </c>
      <c r="G467" s="1208">
        <v>0</v>
      </c>
      <c r="H467" s="1177">
        <v>0</v>
      </c>
      <c r="I467" s="2248">
        <v>0</v>
      </c>
      <c r="J467" s="2214">
        <f t="shared" si="69"/>
        <v>0</v>
      </c>
      <c r="K467" s="2188"/>
      <c r="L467" s="2188"/>
      <c r="M467" s="2193"/>
      <c r="N467" s="2195">
        <f t="shared" si="65"/>
        <v>0</v>
      </c>
      <c r="O467" s="1149"/>
      <c r="P467" s="705"/>
      <c r="Q467" s="1141"/>
      <c r="R467" s="706"/>
      <c r="S467" s="706"/>
      <c r="T467" s="706"/>
      <c r="U467" s="706"/>
      <c r="V467" s="706"/>
      <c r="W467" s="706"/>
      <c r="X467" s="706"/>
      <c r="Y467" s="706"/>
      <c r="Z467" s="706"/>
      <c r="AA467" s="706"/>
      <c r="AB467" s="706"/>
      <c r="AC467" s="706"/>
    </row>
    <row r="468" spans="1:42" ht="13.5" thickBot="1">
      <c r="A468" s="2172">
        <v>32</v>
      </c>
      <c r="B468" s="2173" t="s">
        <v>308</v>
      </c>
      <c r="C468" s="2177"/>
      <c r="D468" s="2213">
        <f t="shared" si="63"/>
        <v>5548813</v>
      </c>
      <c r="E468" s="2188"/>
      <c r="F468" s="1176">
        <v>5548813</v>
      </c>
      <c r="G468" s="1208">
        <v>0</v>
      </c>
      <c r="H468" s="1177">
        <v>0</v>
      </c>
      <c r="I468" s="1257">
        <v>0</v>
      </c>
      <c r="J468" s="2214">
        <f t="shared" si="69"/>
        <v>0</v>
      </c>
      <c r="K468" s="2188"/>
      <c r="L468" s="2188"/>
      <c r="M468" s="2193"/>
      <c r="N468" s="2195">
        <f t="shared" si="65"/>
        <v>0</v>
      </c>
      <c r="O468" s="1149"/>
      <c r="P468" s="705"/>
      <c r="Q468" s="1141"/>
      <c r="R468" s="706"/>
      <c r="S468" s="706"/>
      <c r="T468" s="706"/>
      <c r="U468" s="706"/>
      <c r="V468" s="706"/>
      <c r="W468" s="706"/>
      <c r="X468" s="706"/>
      <c r="Y468" s="706"/>
      <c r="Z468" s="706"/>
      <c r="AA468" s="706"/>
      <c r="AB468" s="706"/>
      <c r="AC468" s="706"/>
    </row>
    <row r="469" spans="1:42" s="913" customFormat="1" ht="13.5" thickBot="1">
      <c r="A469" s="1348">
        <v>33</v>
      </c>
      <c r="B469" s="1384" t="s">
        <v>309</v>
      </c>
      <c r="C469" s="1385"/>
      <c r="D469" s="1390">
        <f t="shared" si="63"/>
        <v>7032385</v>
      </c>
      <c r="E469" s="1186">
        <f>SUM(E464:E468)</f>
        <v>0</v>
      </c>
      <c r="F469" s="1186">
        <f>SUM(F464:F468)</f>
        <v>7099676</v>
      </c>
      <c r="G469" s="1186">
        <f>SUM(G464:G468)</f>
        <v>-9146</v>
      </c>
      <c r="H469" s="1187">
        <f>SUM(H464:H468)</f>
        <v>14991</v>
      </c>
      <c r="I469" s="1271">
        <f>SUM(I464:I468)</f>
        <v>-73136</v>
      </c>
      <c r="J469" s="1397">
        <f t="shared" si="69"/>
        <v>-67291</v>
      </c>
      <c r="K469" s="1186">
        <f>SUM(K464:K468)</f>
        <v>0</v>
      </c>
      <c r="L469" s="1186">
        <f>SUM(L464:L468)</f>
        <v>0</v>
      </c>
      <c r="M469" s="1187">
        <f>SUM(M464:M468)</f>
        <v>0</v>
      </c>
      <c r="N469" s="1402">
        <f t="shared" si="65"/>
        <v>0</v>
      </c>
      <c r="O469" s="1155"/>
      <c r="P469" s="1025"/>
      <c r="Q469" s="710"/>
      <c r="R469" s="1027"/>
      <c r="S469" s="1027"/>
      <c r="T469" s="1027"/>
      <c r="U469" s="1027"/>
      <c r="V469" s="1027"/>
      <c r="W469" s="1027"/>
      <c r="X469" s="1027"/>
      <c r="Y469" s="1027"/>
      <c r="Z469" s="1027"/>
      <c r="AA469" s="1027"/>
      <c r="AB469" s="1027"/>
      <c r="AC469" s="1027"/>
      <c r="AE469" s="1058"/>
      <c r="AF469" s="1058"/>
      <c r="AG469" s="1058"/>
      <c r="AH469" s="1058"/>
      <c r="AI469" s="1058"/>
      <c r="AJ469" s="1058"/>
      <c r="AK469" s="1058"/>
      <c r="AL469" s="1058"/>
      <c r="AM469" s="1058"/>
      <c r="AN469" s="1058"/>
      <c r="AO469" s="1058"/>
      <c r="AP469" s="1058"/>
    </row>
    <row r="470" spans="1:42" s="913" customFormat="1" ht="26.25" thickBot="1">
      <c r="A470" s="1351">
        <v>34</v>
      </c>
      <c r="B470" s="1352" t="s">
        <v>310</v>
      </c>
      <c r="C470" s="1351"/>
      <c r="D470" s="1381">
        <f>+E470+F470+J470+N470</f>
        <v>29463952</v>
      </c>
      <c r="E470" s="1381">
        <f>E469+E462</f>
        <v>0</v>
      </c>
      <c r="F470" s="1381">
        <f>F469+F462</f>
        <v>7480943</v>
      </c>
      <c r="G470" s="1381">
        <f>G469+G462</f>
        <v>4492825</v>
      </c>
      <c r="H470" s="1381">
        <f>H469+H462</f>
        <v>3708237</v>
      </c>
      <c r="I470" s="1381">
        <f>I469+I462</f>
        <v>13781947</v>
      </c>
      <c r="J470" s="1381">
        <f>G470+H470+I470</f>
        <v>21983009</v>
      </c>
      <c r="K470" s="1381">
        <f>K469+K462</f>
        <v>0</v>
      </c>
      <c r="L470" s="1381">
        <f>L469+L462</f>
        <v>0</v>
      </c>
      <c r="M470" s="1382">
        <f>M469+M462</f>
        <v>0</v>
      </c>
      <c r="N470" s="1383">
        <f t="shared" si="65"/>
        <v>0</v>
      </c>
      <c r="O470" s="1155"/>
      <c r="P470" s="1025"/>
      <c r="Q470" s="710"/>
      <c r="R470" s="1027"/>
      <c r="S470" s="1027"/>
      <c r="T470" s="1027"/>
      <c r="U470" s="1027"/>
      <c r="V470" s="1027"/>
      <c r="W470" s="1027"/>
      <c r="X470" s="1027"/>
      <c r="Y470" s="1027"/>
      <c r="Z470" s="1027"/>
      <c r="AA470" s="1027"/>
      <c r="AB470" s="1027"/>
      <c r="AC470" s="1027"/>
      <c r="AE470" s="1058"/>
      <c r="AF470" s="1058"/>
      <c r="AG470" s="1058"/>
      <c r="AH470" s="1058"/>
      <c r="AI470" s="1058"/>
      <c r="AJ470" s="1058"/>
      <c r="AK470" s="1058"/>
      <c r="AL470" s="1058"/>
      <c r="AM470" s="1058"/>
      <c r="AN470" s="1058"/>
      <c r="AO470" s="1058"/>
      <c r="AP470" s="1058"/>
    </row>
    <row r="472" spans="1:42">
      <c r="B472" s="680"/>
      <c r="D472" s="679"/>
      <c r="E472" s="679"/>
      <c r="F472" s="679"/>
      <c r="G472" s="679"/>
      <c r="H472" s="679"/>
      <c r="I472" s="679"/>
      <c r="J472" s="679"/>
      <c r="K472" s="679"/>
      <c r="L472" s="679"/>
      <c r="M472" s="679"/>
      <c r="N472" s="911">
        <v>21</v>
      </c>
      <c r="O472" s="679"/>
    </row>
    <row r="473" spans="1:42">
      <c r="D473" s="679"/>
      <c r="E473" s="679"/>
      <c r="F473" s="679"/>
      <c r="G473" s="679"/>
      <c r="H473" s="679"/>
      <c r="I473" s="679"/>
      <c r="J473" s="679"/>
      <c r="K473" s="679"/>
      <c r="L473" s="679"/>
      <c r="M473" s="679"/>
      <c r="N473" s="679"/>
    </row>
    <row r="474" spans="1:42" ht="13.5" thickBot="1"/>
    <row r="475" spans="1:42" ht="15.75" customHeight="1" thickBot="1">
      <c r="A475" s="1368" t="s">
        <v>187</v>
      </c>
      <c r="B475" s="3533" t="s">
        <v>132</v>
      </c>
      <c r="C475" s="3534"/>
      <c r="M475" s="3538" t="s">
        <v>251</v>
      </c>
      <c r="N475" s="3538"/>
      <c r="O475" s="1148"/>
    </row>
    <row r="476" spans="1:42" ht="13.15" customHeight="1" thickBot="1">
      <c r="A476" s="3523" t="s">
        <v>252</v>
      </c>
      <c r="B476" s="3515"/>
      <c r="C476" s="3523" t="s">
        <v>254</v>
      </c>
      <c r="D476" s="3518" t="s">
        <v>255</v>
      </c>
      <c r="E476" s="3518" t="s">
        <v>256</v>
      </c>
      <c r="F476" s="3518" t="s">
        <v>257</v>
      </c>
      <c r="G476" s="3526" t="s">
        <v>258</v>
      </c>
      <c r="H476" s="3527"/>
      <c r="I476" s="3527"/>
      <c r="J476" s="3527"/>
      <c r="K476" s="3527"/>
      <c r="L476" s="3527"/>
      <c r="M476" s="3527"/>
      <c r="N476" s="3528"/>
      <c r="O476" s="409"/>
    </row>
    <row r="477" spans="1:42" ht="13.15" customHeight="1" thickBot="1">
      <c r="A477" s="3524"/>
      <c r="B477" s="3516"/>
      <c r="C477" s="3524"/>
      <c r="D477" s="3520"/>
      <c r="E477" s="3520"/>
      <c r="F477" s="3520"/>
      <c r="G477" s="3529" t="s">
        <v>259</v>
      </c>
      <c r="H477" s="3530"/>
      <c r="I477" s="3530"/>
      <c r="J477" s="3531"/>
      <c r="K477" s="3529" t="s">
        <v>260</v>
      </c>
      <c r="L477" s="3530"/>
      <c r="M477" s="3530"/>
      <c r="N477" s="3531"/>
      <c r="O477" s="443"/>
    </row>
    <row r="478" spans="1:42" ht="39" thickBot="1">
      <c r="A478" s="3524"/>
      <c r="B478" s="3516"/>
      <c r="C478" s="3524"/>
      <c r="D478" s="3519"/>
      <c r="E478" s="3519"/>
      <c r="F478" s="3519"/>
      <c r="G478" s="1336" t="s">
        <v>261</v>
      </c>
      <c r="H478" s="1336" t="s">
        <v>262</v>
      </c>
      <c r="I478" s="1336" t="s">
        <v>263</v>
      </c>
      <c r="J478" s="1336" t="s">
        <v>158</v>
      </c>
      <c r="K478" s="1337" t="s">
        <v>264</v>
      </c>
      <c r="L478" s="1337" t="s">
        <v>265</v>
      </c>
      <c r="M478" s="1337" t="s">
        <v>266</v>
      </c>
      <c r="N478" s="1404" t="s">
        <v>158</v>
      </c>
      <c r="O478" s="443"/>
    </row>
    <row r="479" spans="1:42" ht="13.5" thickBot="1">
      <c r="A479" s="3524"/>
      <c r="B479" s="3516"/>
      <c r="C479" s="3524"/>
      <c r="D479" s="1340">
        <v>1</v>
      </c>
      <c r="E479" s="3518">
        <v>2</v>
      </c>
      <c r="F479" s="3518">
        <v>3</v>
      </c>
      <c r="G479" s="3518">
        <v>4</v>
      </c>
      <c r="H479" s="3518">
        <v>5</v>
      </c>
      <c r="I479" s="3518">
        <v>6</v>
      </c>
      <c r="J479" s="1341">
        <v>7</v>
      </c>
      <c r="K479" s="3518">
        <v>8</v>
      </c>
      <c r="L479" s="3518">
        <v>9</v>
      </c>
      <c r="M479" s="3518">
        <v>10</v>
      </c>
      <c r="N479" s="1340">
        <v>11</v>
      </c>
      <c r="O479" s="409"/>
    </row>
    <row r="480" spans="1:42" ht="15.75" customHeight="1" thickBot="1">
      <c r="A480" s="3525"/>
      <c r="B480" s="3517"/>
      <c r="C480" s="3525"/>
      <c r="D480" s="1343"/>
      <c r="E480" s="3519"/>
      <c r="F480" s="3519"/>
      <c r="G480" s="3519"/>
      <c r="H480" s="3519"/>
      <c r="I480" s="3519"/>
      <c r="J480" s="1344" t="s">
        <v>267</v>
      </c>
      <c r="K480" s="3519"/>
      <c r="L480" s="3519"/>
      <c r="M480" s="3519"/>
      <c r="N480" s="1372" t="s">
        <v>268</v>
      </c>
      <c r="O480" s="703"/>
      <c r="P480" s="703"/>
      <c r="Q480" s="709"/>
      <c r="R480" s="706"/>
    </row>
    <row r="481" spans="1:42">
      <c r="A481" s="1346"/>
      <c r="B481" s="1347" t="s">
        <v>269</v>
      </c>
      <c r="C481" s="1346"/>
      <c r="D481" s="2152"/>
      <c r="E481" s="1272"/>
      <c r="F481" s="1273"/>
      <c r="G481" s="1151"/>
      <c r="H481" s="1089"/>
      <c r="I481" s="1152"/>
      <c r="J481" s="1417"/>
      <c r="K481" s="1088"/>
      <c r="L481" s="1089"/>
      <c r="M481" s="1090"/>
      <c r="N481" s="1441"/>
      <c r="Q481" s="709"/>
    </row>
    <row r="482" spans="1:42">
      <c r="A482" s="2153">
        <v>1</v>
      </c>
      <c r="B482" s="2154" t="s">
        <v>270</v>
      </c>
      <c r="C482" s="2155"/>
      <c r="D482" s="2213">
        <f>+E482+F482+J482+N482</f>
        <v>0</v>
      </c>
      <c r="E482" s="2193"/>
      <c r="F482" s="2222"/>
      <c r="G482" s="2189"/>
      <c r="H482" s="2197"/>
      <c r="I482" s="2222"/>
      <c r="J482" s="2214">
        <f>G482+H482+I482</f>
        <v>0</v>
      </c>
      <c r="K482" s="2188"/>
      <c r="L482" s="2188"/>
      <c r="M482" s="2193"/>
      <c r="N482" s="2195">
        <f>K482+L482+M482</f>
        <v>0</v>
      </c>
      <c r="O482" s="1149"/>
      <c r="P482" s="705"/>
      <c r="Q482" s="1144"/>
      <c r="S482" s="706"/>
      <c r="T482" s="706"/>
      <c r="U482" s="706"/>
      <c r="V482" s="706"/>
      <c r="W482" s="706"/>
      <c r="X482" s="706"/>
      <c r="Y482" s="706"/>
      <c r="Z482" s="706"/>
      <c r="AA482" s="706"/>
      <c r="AB482" s="706"/>
      <c r="AC482" s="706"/>
    </row>
    <row r="483" spans="1:42">
      <c r="A483" s="2153">
        <v>2</v>
      </c>
      <c r="B483" s="2154" t="s">
        <v>271</v>
      </c>
      <c r="C483" s="2155"/>
      <c r="D483" s="2213">
        <f t="shared" ref="D483:D521" si="70">+E483+F483+J483+N483</f>
        <v>53187</v>
      </c>
      <c r="E483" s="2193"/>
      <c r="F483" s="2222">
        <v>53187</v>
      </c>
      <c r="G483" s="2188"/>
      <c r="H483" s="2188"/>
      <c r="I483" s="2222"/>
      <c r="J483" s="2214">
        <f t="shared" ref="J483:J493" si="71">G483+H483+I483</f>
        <v>0</v>
      </c>
      <c r="K483" s="2188"/>
      <c r="L483" s="2188"/>
      <c r="M483" s="2193"/>
      <c r="N483" s="2195">
        <f t="shared" ref="N483:N522" si="72">K483+L483+M483</f>
        <v>0</v>
      </c>
      <c r="O483" s="1149"/>
      <c r="P483" s="705"/>
      <c r="Q483" s="1145"/>
      <c r="R483" s="706"/>
      <c r="S483" s="706"/>
      <c r="T483" s="706"/>
      <c r="U483" s="706"/>
      <c r="V483" s="706"/>
      <c r="W483" s="706"/>
      <c r="X483" s="706"/>
      <c r="Y483" s="706"/>
      <c r="Z483" s="706"/>
      <c r="AA483" s="706"/>
      <c r="AB483" s="706"/>
      <c r="AC483" s="706"/>
    </row>
    <row r="484" spans="1:42">
      <c r="A484" s="2153">
        <v>3</v>
      </c>
      <c r="B484" s="2154" t="s">
        <v>272</v>
      </c>
      <c r="C484" s="2155"/>
      <c r="D484" s="2213">
        <f t="shared" si="70"/>
        <v>0</v>
      </c>
      <c r="E484" s="2193"/>
      <c r="F484" s="2222">
        <v>0</v>
      </c>
      <c r="G484" s="2189"/>
      <c r="H484" s="2188"/>
      <c r="I484" s="2222"/>
      <c r="J484" s="2214">
        <f t="shared" si="71"/>
        <v>0</v>
      </c>
      <c r="K484" s="2188"/>
      <c r="L484" s="2188"/>
      <c r="M484" s="2193"/>
      <c r="N484" s="2195">
        <f t="shared" si="72"/>
        <v>0</v>
      </c>
      <c r="O484" s="1149"/>
      <c r="P484" s="705"/>
      <c r="Q484" s="1144"/>
      <c r="R484" s="706"/>
      <c r="S484" s="706"/>
      <c r="T484" s="706"/>
      <c r="U484" s="706"/>
      <c r="V484" s="706"/>
      <c r="W484" s="706"/>
      <c r="X484" s="706"/>
      <c r="Y484" s="706"/>
      <c r="Z484" s="706"/>
      <c r="AA484" s="706"/>
      <c r="AB484" s="706"/>
      <c r="AC484" s="706"/>
    </row>
    <row r="485" spans="1:42">
      <c r="A485" s="2153">
        <v>4</v>
      </c>
      <c r="B485" s="2154" t="s">
        <v>315</v>
      </c>
      <c r="C485" s="2155"/>
      <c r="D485" s="2213">
        <f t="shared" si="70"/>
        <v>173532</v>
      </c>
      <c r="E485" s="2193"/>
      <c r="F485" s="2222">
        <v>0</v>
      </c>
      <c r="G485" s="2188"/>
      <c r="H485" s="2188">
        <v>83295</v>
      </c>
      <c r="I485" s="2188">
        <v>90237</v>
      </c>
      <c r="J485" s="2214">
        <f t="shared" si="71"/>
        <v>173532</v>
      </c>
      <c r="K485" s="2188"/>
      <c r="L485" s="2188"/>
      <c r="M485" s="2193"/>
      <c r="N485" s="2195">
        <f t="shared" si="72"/>
        <v>0</v>
      </c>
      <c r="O485" s="1149"/>
      <c r="P485" s="705"/>
      <c r="Q485" s="1145"/>
      <c r="R485" s="706"/>
      <c r="S485" s="706"/>
      <c r="T485" s="706"/>
      <c r="U485" s="706"/>
      <c r="V485" s="706"/>
      <c r="W485" s="706"/>
      <c r="X485" s="706"/>
      <c r="Y485" s="706"/>
      <c r="Z485" s="706"/>
      <c r="AA485" s="706"/>
      <c r="AB485" s="706"/>
      <c r="AC485" s="706"/>
    </row>
    <row r="486" spans="1:42">
      <c r="A486" s="2153">
        <v>5</v>
      </c>
      <c r="B486" s="2154" t="s">
        <v>274</v>
      </c>
      <c r="C486" s="2161">
        <v>5</v>
      </c>
      <c r="D486" s="2213">
        <f t="shared" si="70"/>
        <v>261702</v>
      </c>
      <c r="E486" s="2193"/>
      <c r="F486" s="2222">
        <v>245140</v>
      </c>
      <c r="G486" s="2188"/>
      <c r="H486" s="2188">
        <v>7950</v>
      </c>
      <c r="I486" s="2188">
        <v>8612</v>
      </c>
      <c r="J486" s="2214">
        <f t="shared" si="71"/>
        <v>16562</v>
      </c>
      <c r="K486" s="2188"/>
      <c r="L486" s="2188"/>
      <c r="M486" s="2193"/>
      <c r="N486" s="2195">
        <f t="shared" si="72"/>
        <v>0</v>
      </c>
      <c r="O486" s="1149"/>
      <c r="P486" s="705"/>
      <c r="Q486" s="1145"/>
      <c r="R486" s="706"/>
      <c r="S486" s="706"/>
      <c r="T486" s="706"/>
      <c r="U486" s="706"/>
      <c r="V486" s="706"/>
      <c r="W486" s="706"/>
      <c r="X486" s="706"/>
      <c r="Y486" s="706"/>
      <c r="Z486" s="706"/>
      <c r="AA486" s="706"/>
      <c r="AB486" s="706"/>
      <c r="AC486" s="706"/>
    </row>
    <row r="487" spans="1:42">
      <c r="A487" s="2153">
        <v>6</v>
      </c>
      <c r="B487" s="2154" t="s">
        <v>275</v>
      </c>
      <c r="C487" s="2155">
        <v>6</v>
      </c>
      <c r="D487" s="2213">
        <f t="shared" si="70"/>
        <v>1724379</v>
      </c>
      <c r="E487" s="2193"/>
      <c r="F487" s="2222">
        <v>1724379</v>
      </c>
      <c r="G487" s="2188"/>
      <c r="H487" s="2193"/>
      <c r="I487" s="2222"/>
      <c r="J487" s="2214">
        <f t="shared" si="71"/>
        <v>0</v>
      </c>
      <c r="K487" s="2188"/>
      <c r="L487" s="2188"/>
      <c r="M487" s="2193"/>
      <c r="N487" s="2195">
        <f t="shared" si="72"/>
        <v>0</v>
      </c>
      <c r="O487" s="1149"/>
      <c r="P487" s="705"/>
      <c r="Q487" s="1145"/>
      <c r="R487" s="706"/>
      <c r="S487" s="706"/>
      <c r="T487" s="706"/>
      <c r="U487" s="706"/>
      <c r="V487" s="706"/>
      <c r="W487" s="706"/>
      <c r="X487" s="706"/>
      <c r="Y487" s="706"/>
      <c r="Z487" s="706"/>
      <c r="AA487" s="706"/>
      <c r="AB487" s="706"/>
      <c r="AC487" s="706"/>
    </row>
    <row r="488" spans="1:42">
      <c r="A488" s="2153">
        <v>7</v>
      </c>
      <c r="B488" s="2154" t="s">
        <v>276</v>
      </c>
      <c r="C488" s="2161">
        <v>7</v>
      </c>
      <c r="D488" s="2213">
        <f t="shared" si="70"/>
        <v>0</v>
      </c>
      <c r="E488" s="2193">
        <f>SUM(E489:E490)</f>
        <v>0</v>
      </c>
      <c r="F488" s="2222">
        <f>F489+F490</f>
        <v>0</v>
      </c>
      <c r="G488" s="2188">
        <f>G489+G490</f>
        <v>0</v>
      </c>
      <c r="H488" s="2193">
        <f>H489+H490</f>
        <v>0</v>
      </c>
      <c r="I488" s="2222">
        <f>I489+I490</f>
        <v>0</v>
      </c>
      <c r="J488" s="2214">
        <f t="shared" si="71"/>
        <v>0</v>
      </c>
      <c r="K488" s="2188">
        <f>K489+K490</f>
        <v>0</v>
      </c>
      <c r="L488" s="2188">
        <f>L489+L490</f>
        <v>0</v>
      </c>
      <c r="M488" s="2193">
        <f>M489+M490</f>
        <v>0</v>
      </c>
      <c r="N488" s="2195">
        <f t="shared" si="72"/>
        <v>0</v>
      </c>
      <c r="O488" s="1149"/>
      <c r="P488" s="705"/>
      <c r="Q488" s="1144"/>
      <c r="R488" s="706"/>
      <c r="S488" s="706"/>
      <c r="T488" s="706"/>
      <c r="U488" s="706"/>
      <c r="V488" s="706"/>
      <c r="W488" s="706"/>
      <c r="X488" s="706"/>
      <c r="Y488" s="706"/>
      <c r="Z488" s="706"/>
      <c r="AA488" s="706"/>
      <c r="AB488" s="706"/>
      <c r="AC488" s="706"/>
    </row>
    <row r="489" spans="1:42">
      <c r="A489" s="2155"/>
      <c r="B489" s="2162" t="s">
        <v>277</v>
      </c>
      <c r="C489" s="2161"/>
      <c r="D489" s="2213">
        <f t="shared" si="70"/>
        <v>0</v>
      </c>
      <c r="E489" s="2193"/>
      <c r="F489" s="2222"/>
      <c r="G489" s="2188"/>
      <c r="H489" s="2193"/>
      <c r="I489" s="2222"/>
      <c r="J489" s="2214">
        <f t="shared" si="71"/>
        <v>0</v>
      </c>
      <c r="K489" s="2188"/>
      <c r="L489" s="2188"/>
      <c r="M489" s="2193"/>
      <c r="N489" s="2195">
        <f t="shared" si="72"/>
        <v>0</v>
      </c>
      <c r="O489" s="1149"/>
      <c r="P489" s="705"/>
      <c r="Q489" s="1144"/>
      <c r="R489" s="706"/>
      <c r="S489" s="706"/>
      <c r="T489" s="706"/>
      <c r="U489" s="706"/>
      <c r="V489" s="706"/>
      <c r="W489" s="706"/>
      <c r="X489" s="706"/>
      <c r="Y489" s="706"/>
      <c r="Z489" s="706"/>
      <c r="AA489" s="706"/>
      <c r="AB489" s="706"/>
      <c r="AC489" s="706"/>
    </row>
    <row r="490" spans="1:42">
      <c r="A490" s="2155"/>
      <c r="B490" s="2162" t="s">
        <v>278</v>
      </c>
      <c r="C490" s="2161"/>
      <c r="D490" s="2213">
        <f t="shared" si="70"/>
        <v>0</v>
      </c>
      <c r="E490" s="2193"/>
      <c r="F490" s="2222"/>
      <c r="G490" s="2188"/>
      <c r="H490" s="2193"/>
      <c r="I490" s="2222"/>
      <c r="J490" s="2214">
        <f t="shared" si="71"/>
        <v>0</v>
      </c>
      <c r="K490" s="2188"/>
      <c r="L490" s="2188"/>
      <c r="M490" s="2193"/>
      <c r="N490" s="2195">
        <f t="shared" si="72"/>
        <v>0</v>
      </c>
      <c r="O490" s="1149"/>
      <c r="P490" s="705"/>
      <c r="Q490" s="1144"/>
      <c r="R490" s="706"/>
      <c r="S490" s="706"/>
      <c r="T490" s="706"/>
      <c r="U490" s="706"/>
      <c r="V490" s="706"/>
      <c r="W490" s="706"/>
      <c r="X490" s="706"/>
      <c r="Y490" s="706"/>
      <c r="Z490" s="706"/>
      <c r="AA490" s="706"/>
      <c r="AB490" s="706"/>
      <c r="AC490" s="706"/>
    </row>
    <row r="491" spans="1:42">
      <c r="A491" s="2153">
        <v>8</v>
      </c>
      <c r="B491" s="2154" t="s">
        <v>279</v>
      </c>
      <c r="C491" s="2155">
        <v>8</v>
      </c>
      <c r="D491" s="2213">
        <f t="shared" si="70"/>
        <v>0</v>
      </c>
      <c r="E491" s="2193">
        <f>SUM(E492:E493)</f>
        <v>0</v>
      </c>
      <c r="F491" s="2222">
        <f>+F492+F493</f>
        <v>0</v>
      </c>
      <c r="G491" s="2188">
        <f>+G492+G493</f>
        <v>0</v>
      </c>
      <c r="H491" s="2193">
        <f>+H492+H493</f>
        <v>0</v>
      </c>
      <c r="I491" s="2222">
        <f>+I492+I493</f>
        <v>0</v>
      </c>
      <c r="J491" s="2214">
        <f t="shared" si="71"/>
        <v>0</v>
      </c>
      <c r="K491" s="2188">
        <f>+K492+K493</f>
        <v>0</v>
      </c>
      <c r="L491" s="2188">
        <f>+L492+L493</f>
        <v>0</v>
      </c>
      <c r="M491" s="2193">
        <f>+M492+M493</f>
        <v>0</v>
      </c>
      <c r="N491" s="2195">
        <f t="shared" si="72"/>
        <v>0</v>
      </c>
      <c r="O491" s="1149"/>
      <c r="P491" s="705"/>
      <c r="Q491" s="1144"/>
      <c r="R491" s="706"/>
      <c r="S491" s="706"/>
      <c r="T491" s="706"/>
      <c r="U491" s="706"/>
      <c r="V491" s="706"/>
      <c r="W491" s="706"/>
      <c r="X491" s="706"/>
      <c r="Y491" s="706"/>
      <c r="Z491" s="706"/>
      <c r="AA491" s="706"/>
      <c r="AB491" s="706"/>
      <c r="AC491" s="706"/>
    </row>
    <row r="492" spans="1:42">
      <c r="A492" s="2153"/>
      <c r="B492" s="2162" t="s">
        <v>280</v>
      </c>
      <c r="C492" s="2155"/>
      <c r="D492" s="2213">
        <f t="shared" si="70"/>
        <v>0</v>
      </c>
      <c r="E492" s="2193"/>
      <c r="F492" s="2222">
        <v>0</v>
      </c>
      <c r="G492" s="2188">
        <v>0</v>
      </c>
      <c r="H492" s="2193">
        <v>0</v>
      </c>
      <c r="I492" s="2222">
        <v>0</v>
      </c>
      <c r="J492" s="2214">
        <f t="shared" si="71"/>
        <v>0</v>
      </c>
      <c r="K492" s="2188"/>
      <c r="L492" s="2188"/>
      <c r="M492" s="2193"/>
      <c r="N492" s="2195">
        <f t="shared" si="72"/>
        <v>0</v>
      </c>
      <c r="O492" s="1149"/>
      <c r="P492" s="705"/>
      <c r="Q492" s="1144"/>
      <c r="R492" s="706"/>
      <c r="S492" s="706"/>
      <c r="T492" s="706"/>
      <c r="U492" s="706"/>
      <c r="V492" s="706"/>
      <c r="W492" s="706"/>
      <c r="X492" s="706"/>
      <c r="Y492" s="706"/>
      <c r="Z492" s="706"/>
      <c r="AA492" s="706"/>
      <c r="AB492" s="706"/>
      <c r="AC492" s="706"/>
    </row>
    <row r="493" spans="1:42">
      <c r="A493" s="2153"/>
      <c r="B493" s="2162" t="s">
        <v>281</v>
      </c>
      <c r="C493" s="2155"/>
      <c r="D493" s="2213">
        <f t="shared" si="70"/>
        <v>0</v>
      </c>
      <c r="E493" s="2193"/>
      <c r="F493" s="2222">
        <v>0</v>
      </c>
      <c r="G493" s="2188">
        <v>0</v>
      </c>
      <c r="H493" s="2193">
        <v>0</v>
      </c>
      <c r="I493" s="2222">
        <v>0</v>
      </c>
      <c r="J493" s="2214">
        <f t="shared" si="71"/>
        <v>0</v>
      </c>
      <c r="K493" s="2188"/>
      <c r="L493" s="2188"/>
      <c r="M493" s="2193"/>
      <c r="N493" s="2195">
        <f t="shared" si="72"/>
        <v>0</v>
      </c>
      <c r="O493" s="1149"/>
      <c r="P493" s="705"/>
      <c r="Q493" s="1144"/>
      <c r="R493" s="706"/>
      <c r="S493" s="706"/>
      <c r="T493" s="706"/>
      <c r="U493" s="706"/>
      <c r="V493" s="706"/>
      <c r="W493" s="706"/>
      <c r="X493" s="706"/>
      <c r="Y493" s="706"/>
      <c r="Z493" s="706"/>
      <c r="AA493" s="706"/>
      <c r="AB493" s="706"/>
      <c r="AC493" s="706"/>
    </row>
    <row r="494" spans="1:42" s="913" customFormat="1" ht="25.5">
      <c r="A494" s="2163">
        <v>9</v>
      </c>
      <c r="B494" s="2164" t="s">
        <v>282</v>
      </c>
      <c r="C494" s="2165"/>
      <c r="D494" s="2230">
        <f t="shared" si="70"/>
        <v>21291432</v>
      </c>
      <c r="E494" s="2204">
        <f>SUM(E495:E498)</f>
        <v>0</v>
      </c>
      <c r="F494" s="2250">
        <f>SUM(F495:F498)</f>
        <v>7226885</v>
      </c>
      <c r="G494" s="2231">
        <f>SUM(G495:G498)</f>
        <v>1772457</v>
      </c>
      <c r="H494" s="2204">
        <f>SUM(H495:H498)</f>
        <v>6340064</v>
      </c>
      <c r="I494" s="2250">
        <f>SUM(I495:I498)</f>
        <v>5952026</v>
      </c>
      <c r="J494" s="2233">
        <f>G494+H494+I494</f>
        <v>14064547</v>
      </c>
      <c r="K494" s="2231">
        <f>SUM(K495:K498)</f>
        <v>0</v>
      </c>
      <c r="L494" s="2231">
        <f>SUM(L495:L498)</f>
        <v>0</v>
      </c>
      <c r="M494" s="2204">
        <f>SUM(M495:M498)</f>
        <v>0</v>
      </c>
      <c r="N494" s="2205">
        <f t="shared" si="72"/>
        <v>0</v>
      </c>
      <c r="O494" s="1155"/>
      <c r="P494" s="1025"/>
      <c r="Q494" s="1274"/>
      <c r="R494" s="1027"/>
      <c r="S494" s="1027"/>
      <c r="T494" s="1027"/>
      <c r="U494" s="1027"/>
      <c r="V494" s="1027"/>
      <c r="W494" s="1027"/>
      <c r="X494" s="1027"/>
      <c r="Y494" s="1027"/>
      <c r="Z494" s="1027"/>
      <c r="AA494" s="1027"/>
      <c r="AB494" s="1027"/>
      <c r="AC494" s="1027"/>
      <c r="AE494" s="1058"/>
      <c r="AF494" s="1058"/>
      <c r="AG494" s="1058"/>
      <c r="AH494" s="1058"/>
      <c r="AI494" s="1058"/>
      <c r="AJ494" s="1058"/>
      <c r="AK494" s="1058"/>
      <c r="AL494" s="1058"/>
      <c r="AM494" s="1058"/>
      <c r="AN494" s="1058"/>
      <c r="AO494" s="1058"/>
      <c r="AP494" s="1058"/>
    </row>
    <row r="495" spans="1:42">
      <c r="A495" s="2155">
        <v>10</v>
      </c>
      <c r="B495" s="2171" t="s">
        <v>283</v>
      </c>
      <c r="C495" s="2155">
        <v>9</v>
      </c>
      <c r="D495" s="2213">
        <f t="shared" si="70"/>
        <v>0</v>
      </c>
      <c r="E495" s="2193"/>
      <c r="F495" s="2222">
        <v>0</v>
      </c>
      <c r="G495" s="2188">
        <v>0</v>
      </c>
      <c r="H495" s="2188">
        <v>0</v>
      </c>
      <c r="I495" s="2188">
        <v>0</v>
      </c>
      <c r="J495" s="2214">
        <f t="shared" ref="J495:J505" si="73">G495+H495+I495</f>
        <v>0</v>
      </c>
      <c r="K495" s="2188"/>
      <c r="L495" s="2188"/>
      <c r="M495" s="2193"/>
      <c r="N495" s="2195">
        <f t="shared" si="72"/>
        <v>0</v>
      </c>
      <c r="O495" s="1149"/>
      <c r="P495" s="705"/>
      <c r="Q495" s="1144"/>
      <c r="R495" s="706"/>
      <c r="S495" s="706"/>
      <c r="T495" s="706"/>
      <c r="U495" s="706"/>
      <c r="V495" s="706"/>
      <c r="W495" s="706"/>
      <c r="X495" s="706"/>
      <c r="Y495" s="706"/>
      <c r="Z495" s="706"/>
      <c r="AA495" s="706"/>
      <c r="AB495" s="706"/>
      <c r="AC495" s="706"/>
    </row>
    <row r="496" spans="1:42">
      <c r="A496" s="2155">
        <v>11</v>
      </c>
      <c r="B496" s="2171" t="s">
        <v>284</v>
      </c>
      <c r="C496" s="2155">
        <v>10</v>
      </c>
      <c r="D496" s="2213">
        <f t="shared" si="70"/>
        <v>8586591</v>
      </c>
      <c r="E496" s="2193"/>
      <c r="F496" s="2222">
        <v>2562962</v>
      </c>
      <c r="G496" s="2188">
        <v>21772</v>
      </c>
      <c r="H496" s="2188">
        <v>2899632</v>
      </c>
      <c r="I496" s="2188">
        <v>3102225</v>
      </c>
      <c r="J496" s="2214">
        <f t="shared" si="73"/>
        <v>6023629</v>
      </c>
      <c r="K496" s="2188"/>
      <c r="L496" s="2188"/>
      <c r="M496" s="2193"/>
      <c r="N496" s="2195">
        <f t="shared" si="72"/>
        <v>0</v>
      </c>
      <c r="O496" s="1149"/>
      <c r="P496" s="705"/>
      <c r="Q496" s="1145"/>
      <c r="R496" s="706"/>
      <c r="S496" s="706"/>
      <c r="T496" s="706"/>
      <c r="U496" s="706"/>
      <c r="V496" s="706"/>
      <c r="W496" s="706"/>
      <c r="X496" s="706"/>
      <c r="Y496" s="706"/>
      <c r="Z496" s="706"/>
      <c r="AA496" s="706"/>
      <c r="AB496" s="706"/>
      <c r="AC496" s="706"/>
    </row>
    <row r="497" spans="1:42">
      <c r="A497" s="2155">
        <v>12</v>
      </c>
      <c r="B497" s="2171" t="s">
        <v>285</v>
      </c>
      <c r="C497" s="2155">
        <v>11</v>
      </c>
      <c r="D497" s="2213">
        <f t="shared" si="70"/>
        <v>4631011</v>
      </c>
      <c r="E497" s="2193"/>
      <c r="F497" s="2222">
        <v>3241757</v>
      </c>
      <c r="G497" s="2188">
        <v>0</v>
      </c>
      <c r="H497" s="2188">
        <v>744943</v>
      </c>
      <c r="I497" s="2188">
        <v>644311</v>
      </c>
      <c r="J497" s="2214">
        <f t="shared" si="73"/>
        <v>1389254</v>
      </c>
      <c r="K497" s="2188"/>
      <c r="L497" s="2188"/>
      <c r="M497" s="2193"/>
      <c r="N497" s="2195">
        <f t="shared" si="72"/>
        <v>0</v>
      </c>
      <c r="O497" s="1149"/>
      <c r="P497" s="705"/>
      <c r="Q497" s="1145"/>
      <c r="R497" s="706"/>
      <c r="S497" s="706"/>
      <c r="T497" s="706"/>
      <c r="U497" s="706"/>
      <c r="V497" s="706"/>
      <c r="W497" s="706"/>
      <c r="X497" s="706"/>
      <c r="Y497" s="706"/>
      <c r="Z497" s="706"/>
      <c r="AA497" s="706"/>
      <c r="AB497" s="706"/>
      <c r="AC497" s="706"/>
    </row>
    <row r="498" spans="1:42" ht="25.5">
      <c r="A498" s="2155">
        <v>13</v>
      </c>
      <c r="B498" s="2171" t="s">
        <v>286</v>
      </c>
      <c r="C498" s="2155">
        <v>12</v>
      </c>
      <c r="D498" s="2213">
        <f t="shared" si="70"/>
        <v>8073830</v>
      </c>
      <c r="E498" s="2193"/>
      <c r="F498" s="2222">
        <v>1422166</v>
      </c>
      <c r="G498" s="2188">
        <v>1750685</v>
      </c>
      <c r="H498" s="2188">
        <v>2695489</v>
      </c>
      <c r="I498" s="2188">
        <v>2205490</v>
      </c>
      <c r="J498" s="2214">
        <f t="shared" si="73"/>
        <v>6651664</v>
      </c>
      <c r="K498" s="2188"/>
      <c r="L498" s="2188"/>
      <c r="M498" s="2193"/>
      <c r="N498" s="2195">
        <f t="shared" si="72"/>
        <v>0</v>
      </c>
      <c r="O498" s="1149"/>
      <c r="P498" s="705"/>
      <c r="Q498" s="1145"/>
      <c r="R498" s="706"/>
      <c r="S498" s="706"/>
      <c r="T498" s="706"/>
      <c r="U498" s="706"/>
      <c r="V498" s="706"/>
      <c r="W498" s="706"/>
      <c r="X498" s="706"/>
      <c r="Y498" s="706"/>
      <c r="Z498" s="706"/>
      <c r="AA498" s="706"/>
      <c r="AB498" s="706"/>
      <c r="AC498" s="706"/>
    </row>
    <row r="499" spans="1:42">
      <c r="A499" s="2155">
        <v>14</v>
      </c>
      <c r="B499" s="2154" t="s">
        <v>287</v>
      </c>
      <c r="C499" s="2155">
        <v>13</v>
      </c>
      <c r="D499" s="2213">
        <f t="shared" si="70"/>
        <v>229396</v>
      </c>
      <c r="E499" s="2193"/>
      <c r="F499" s="2222"/>
      <c r="G499" s="2188">
        <v>575</v>
      </c>
      <c r="H499" s="2188">
        <v>109834</v>
      </c>
      <c r="I499" s="2188">
        <v>118987</v>
      </c>
      <c r="J499" s="2214">
        <f t="shared" si="73"/>
        <v>229396</v>
      </c>
      <c r="K499" s="2188"/>
      <c r="L499" s="2188"/>
      <c r="M499" s="2193"/>
      <c r="N499" s="2195">
        <f t="shared" si="72"/>
        <v>0</v>
      </c>
      <c r="O499" s="1149"/>
      <c r="P499" s="705"/>
      <c r="Q499" s="1145"/>
      <c r="R499" s="706"/>
      <c r="S499" s="706"/>
      <c r="T499" s="706"/>
      <c r="U499" s="706"/>
      <c r="V499" s="706"/>
      <c r="W499" s="706"/>
      <c r="X499" s="706"/>
      <c r="Y499" s="706"/>
      <c r="Z499" s="706"/>
      <c r="AA499" s="706"/>
      <c r="AB499" s="706"/>
      <c r="AC499" s="706"/>
    </row>
    <row r="500" spans="1:42">
      <c r="A500" s="2155">
        <v>15</v>
      </c>
      <c r="B500" s="2154" t="s">
        <v>288</v>
      </c>
      <c r="C500" s="2161">
        <v>14</v>
      </c>
      <c r="D500" s="2213">
        <f t="shared" si="70"/>
        <v>55400</v>
      </c>
      <c r="E500" s="2193"/>
      <c r="F500" s="2222"/>
      <c r="G500" s="2188">
        <v>0</v>
      </c>
      <c r="H500" s="2188">
        <v>55400</v>
      </c>
      <c r="I500" s="2188">
        <v>0</v>
      </c>
      <c r="J500" s="2214">
        <f t="shared" si="73"/>
        <v>55400</v>
      </c>
      <c r="K500" s="2188"/>
      <c r="L500" s="2188"/>
      <c r="M500" s="2193"/>
      <c r="N500" s="2195">
        <f t="shared" si="72"/>
        <v>0</v>
      </c>
      <c r="O500" s="1149"/>
      <c r="P500" s="705"/>
      <c r="Q500" s="1145"/>
      <c r="R500" s="706"/>
      <c r="S500" s="706"/>
      <c r="T500" s="706"/>
      <c r="U500" s="706"/>
      <c r="V500" s="706"/>
      <c r="W500" s="706"/>
      <c r="X500" s="706"/>
      <c r="Y500" s="706"/>
      <c r="Z500" s="706"/>
      <c r="AA500" s="706"/>
      <c r="AB500" s="706"/>
      <c r="AC500" s="706"/>
    </row>
    <row r="501" spans="1:42">
      <c r="A501" s="2155">
        <v>16</v>
      </c>
      <c r="B501" s="2154" t="s">
        <v>289</v>
      </c>
      <c r="C501" s="2155">
        <v>15</v>
      </c>
      <c r="D501" s="2213">
        <f t="shared" si="70"/>
        <v>152413</v>
      </c>
      <c r="E501" s="2193"/>
      <c r="F501" s="2222"/>
      <c r="G501" s="2188">
        <v>988</v>
      </c>
      <c r="H501" s="2188">
        <v>151425</v>
      </c>
      <c r="I501" s="2188">
        <v>0</v>
      </c>
      <c r="J501" s="2214">
        <f t="shared" si="73"/>
        <v>152413</v>
      </c>
      <c r="K501" s="2188"/>
      <c r="L501" s="2188"/>
      <c r="M501" s="2193"/>
      <c r="N501" s="2195">
        <f t="shared" si="72"/>
        <v>0</v>
      </c>
      <c r="O501" s="1149"/>
      <c r="P501" s="705"/>
      <c r="Q501" s="1145"/>
      <c r="R501" s="706"/>
      <c r="S501" s="706"/>
      <c r="T501" s="706"/>
      <c r="U501" s="706"/>
      <c r="V501" s="706"/>
      <c r="W501" s="706"/>
      <c r="X501" s="706"/>
      <c r="Y501" s="706"/>
      <c r="Z501" s="706"/>
      <c r="AA501" s="706"/>
      <c r="AB501" s="706"/>
      <c r="AC501" s="706"/>
    </row>
    <row r="502" spans="1:42">
      <c r="A502" s="2155">
        <v>17</v>
      </c>
      <c r="B502" s="2154" t="s">
        <v>290</v>
      </c>
      <c r="C502" s="2161">
        <v>16</v>
      </c>
      <c r="D502" s="2213">
        <f t="shared" si="70"/>
        <v>1221386</v>
      </c>
      <c r="E502" s="2193"/>
      <c r="F502" s="2222">
        <v>929265</v>
      </c>
      <c r="G502" s="2188">
        <v>-83</v>
      </c>
      <c r="H502" s="2188">
        <v>238391</v>
      </c>
      <c r="I502" s="2188">
        <v>53813</v>
      </c>
      <c r="J502" s="2214">
        <f t="shared" si="73"/>
        <v>292121</v>
      </c>
      <c r="K502" s="2188"/>
      <c r="L502" s="2188"/>
      <c r="M502" s="2193"/>
      <c r="N502" s="2195">
        <f t="shared" si="72"/>
        <v>0</v>
      </c>
      <c r="O502" s="1149"/>
      <c r="P502" s="705"/>
      <c r="Q502" s="1145"/>
      <c r="R502" s="706"/>
      <c r="S502" s="706"/>
      <c r="T502" s="706"/>
      <c r="U502" s="706"/>
      <c r="V502" s="706"/>
      <c r="W502" s="706"/>
      <c r="X502" s="706"/>
      <c r="Y502" s="706"/>
      <c r="Z502" s="706"/>
      <c r="AA502" s="706"/>
      <c r="AB502" s="706"/>
      <c r="AC502" s="706"/>
    </row>
    <row r="503" spans="1:42">
      <c r="A503" s="2155">
        <v>18</v>
      </c>
      <c r="B503" s="2154" t="s">
        <v>291</v>
      </c>
      <c r="C503" s="2155"/>
      <c r="D503" s="2213">
        <f t="shared" si="70"/>
        <v>0</v>
      </c>
      <c r="E503" s="2193"/>
      <c r="F503" s="2222"/>
      <c r="G503" s="2188">
        <v>0</v>
      </c>
      <c r="H503" s="2188">
        <v>0</v>
      </c>
      <c r="I503" s="2188">
        <v>0</v>
      </c>
      <c r="J503" s="2214">
        <f t="shared" si="73"/>
        <v>0</v>
      </c>
      <c r="K503" s="2188"/>
      <c r="L503" s="2188"/>
      <c r="M503" s="2193"/>
      <c r="N503" s="2195">
        <f t="shared" si="72"/>
        <v>0</v>
      </c>
      <c r="O503" s="1149"/>
      <c r="P503" s="705"/>
      <c r="Q503" s="1144"/>
      <c r="R503" s="706"/>
      <c r="S503" s="706"/>
      <c r="T503" s="706"/>
      <c r="U503" s="706"/>
      <c r="V503" s="706"/>
      <c r="W503" s="706"/>
      <c r="X503" s="706"/>
      <c r="Y503" s="706"/>
      <c r="Z503" s="706"/>
      <c r="AA503" s="706"/>
      <c r="AB503" s="706"/>
      <c r="AC503" s="706"/>
    </row>
    <row r="504" spans="1:42" ht="13.5" thickBot="1">
      <c r="A504" s="2172">
        <v>19</v>
      </c>
      <c r="B504" s="2173" t="s">
        <v>292</v>
      </c>
      <c r="C504" s="2172"/>
      <c r="D504" s="1388">
        <f t="shared" si="70"/>
        <v>319149</v>
      </c>
      <c r="E504" s="1177"/>
      <c r="F504" s="2248">
        <v>16706</v>
      </c>
      <c r="G504" s="1176">
        <v>2797</v>
      </c>
      <c r="H504" s="1176">
        <v>143830</v>
      </c>
      <c r="I504" s="1176">
        <v>155816</v>
      </c>
      <c r="J504" s="1396">
        <f t="shared" si="73"/>
        <v>302443</v>
      </c>
      <c r="K504" s="1176"/>
      <c r="L504" s="1176"/>
      <c r="M504" s="1177"/>
      <c r="N504" s="2215">
        <f t="shared" si="72"/>
        <v>0</v>
      </c>
      <c r="O504" s="1149"/>
      <c r="P504" s="705"/>
      <c r="Q504" s="1145"/>
      <c r="R504" s="706"/>
      <c r="S504" s="706"/>
      <c r="T504" s="706"/>
      <c r="U504" s="706"/>
      <c r="V504" s="706"/>
      <c r="W504" s="706"/>
      <c r="X504" s="706"/>
      <c r="Y504" s="706"/>
      <c r="Z504" s="706"/>
      <c r="AA504" s="706"/>
      <c r="AB504" s="706"/>
      <c r="AC504" s="706"/>
    </row>
    <row r="505" spans="1:42" s="913" customFormat="1" ht="26.25" thickBot="1">
      <c r="A505" s="1351">
        <v>20</v>
      </c>
      <c r="B505" s="1352" t="s">
        <v>293</v>
      </c>
      <c r="C505" s="1351"/>
      <c r="D505" s="1378">
        <f t="shared" si="70"/>
        <v>25481976</v>
      </c>
      <c r="E505" s="1378">
        <f>SUM(E482:E488)+E491+E494+SUM(E499:E504)</f>
        <v>0</v>
      </c>
      <c r="F505" s="1378">
        <f>SUM(F482:F488)+F491+F494+SUM(F499:F504)</f>
        <v>10195562</v>
      </c>
      <c r="G505" s="1378">
        <f>SUM(G482:G488)+G491+G494+SUM(G499:G504)</f>
        <v>1776734</v>
      </c>
      <c r="H505" s="1379">
        <f>SUM(H482:H488)+H491+H494+SUM(H499:H504)</f>
        <v>7130189</v>
      </c>
      <c r="I505" s="1415">
        <f>SUM(I482:I488)+I491+I494+SUM(I499:I504)</f>
        <v>6379491</v>
      </c>
      <c r="J505" s="1378">
        <f t="shared" si="73"/>
        <v>15286414</v>
      </c>
      <c r="K505" s="1378">
        <f>SUM(K482:K488)+K491+K494+SUM(K499:K504)</f>
        <v>0</v>
      </c>
      <c r="L505" s="1378">
        <f>SUM(L482:L488)+L491+L494+SUM(L499:L504)</f>
        <v>0</v>
      </c>
      <c r="M505" s="1379">
        <f>SUM(M482:M488)+M491+M494+SUM(M499:M504)</f>
        <v>0</v>
      </c>
      <c r="N505" s="1380">
        <f t="shared" si="72"/>
        <v>0</v>
      </c>
      <c r="O505" s="1155"/>
      <c r="P505" s="1025"/>
      <c r="Q505" s="1274"/>
      <c r="R505" s="1027"/>
      <c r="S505" s="1027"/>
      <c r="T505" s="1027"/>
      <c r="U505" s="1027"/>
      <c r="V505" s="1027"/>
      <c r="W505" s="1027"/>
      <c r="X505" s="1027"/>
      <c r="Y505" s="1027"/>
      <c r="Z505" s="1027"/>
      <c r="AA505" s="1027"/>
      <c r="AB505" s="1027"/>
      <c r="AC505" s="1027"/>
      <c r="AE505" s="1058"/>
      <c r="AF505" s="1058"/>
      <c r="AG505" s="1058"/>
      <c r="AH505" s="1058"/>
      <c r="AI505" s="1058"/>
      <c r="AJ505" s="1058"/>
      <c r="AK505" s="1058"/>
      <c r="AL505" s="1058"/>
      <c r="AM505" s="1058"/>
      <c r="AN505" s="1058"/>
      <c r="AO505" s="1058"/>
      <c r="AP505" s="1058"/>
    </row>
    <row r="506" spans="1:42">
      <c r="A506" s="1346"/>
      <c r="B506" s="1347" t="s">
        <v>294</v>
      </c>
      <c r="C506" s="1346"/>
      <c r="D506" s="1387">
        <f t="shared" si="70"/>
        <v>0</v>
      </c>
      <c r="E506" s="1171"/>
      <c r="F506" s="1171"/>
      <c r="G506" s="1182"/>
      <c r="H506" s="1174"/>
      <c r="I506" s="1194"/>
      <c r="J506" s="1395"/>
      <c r="K506" s="1171"/>
      <c r="L506" s="1171"/>
      <c r="M506" s="1172"/>
      <c r="N506" s="1401">
        <f t="shared" si="72"/>
        <v>0</v>
      </c>
      <c r="O506" s="1149"/>
      <c r="P506" s="705"/>
      <c r="Q506" s="1144"/>
      <c r="R506" s="706"/>
      <c r="S506" s="706"/>
      <c r="T506" s="706"/>
      <c r="U506" s="706"/>
      <c r="V506" s="706"/>
      <c r="W506" s="706"/>
      <c r="X506" s="706"/>
      <c r="Y506" s="706"/>
      <c r="Z506" s="706"/>
      <c r="AA506" s="706"/>
      <c r="AB506" s="706"/>
      <c r="AC506" s="706"/>
    </row>
    <row r="507" spans="1:42">
      <c r="A507" s="2155"/>
      <c r="B507" s="2175" t="s">
        <v>295</v>
      </c>
      <c r="C507" s="2155"/>
      <c r="D507" s="2213">
        <f t="shared" si="70"/>
        <v>0</v>
      </c>
      <c r="E507" s="2188"/>
      <c r="F507" s="2188"/>
      <c r="G507" s="2188"/>
      <c r="H507" s="2188"/>
      <c r="I507" s="2188"/>
      <c r="J507" s="2214"/>
      <c r="K507" s="2188"/>
      <c r="L507" s="2188"/>
      <c r="M507" s="2193"/>
      <c r="N507" s="2195">
        <f t="shared" si="72"/>
        <v>0</v>
      </c>
      <c r="O507" s="1149"/>
      <c r="P507" s="705"/>
      <c r="Q507" s="1144"/>
      <c r="R507" s="706"/>
      <c r="S507" s="706"/>
      <c r="T507" s="706"/>
      <c r="U507" s="706"/>
      <c r="V507" s="706"/>
      <c r="W507" s="706"/>
      <c r="X507" s="706"/>
      <c r="Y507" s="706"/>
      <c r="Z507" s="706"/>
      <c r="AA507" s="706"/>
      <c r="AB507" s="706"/>
      <c r="AC507" s="706"/>
    </row>
    <row r="508" spans="1:42">
      <c r="A508" s="2155">
        <v>21</v>
      </c>
      <c r="B508" s="2154" t="s">
        <v>296</v>
      </c>
      <c r="C508" s="2161">
        <v>17</v>
      </c>
      <c r="D508" s="2213">
        <f t="shared" si="70"/>
        <v>13850691</v>
      </c>
      <c r="E508" s="2188">
        <v>0</v>
      </c>
      <c r="F508" s="2188">
        <v>0</v>
      </c>
      <c r="G508" s="2188">
        <v>1620578</v>
      </c>
      <c r="H508" s="2188">
        <v>6799734</v>
      </c>
      <c r="I508" s="2188">
        <v>5430379</v>
      </c>
      <c r="J508" s="2214">
        <f t="shared" ref="J508:J514" si="74">G508+H508+I508</f>
        <v>13850691</v>
      </c>
      <c r="K508" s="2188"/>
      <c r="L508" s="2188"/>
      <c r="M508" s="2193"/>
      <c r="N508" s="2195">
        <f t="shared" si="72"/>
        <v>0</v>
      </c>
      <c r="O508" s="1149"/>
      <c r="P508" s="705"/>
      <c r="Q508" s="1145"/>
      <c r="R508" s="706"/>
      <c r="S508" s="706"/>
      <c r="T508" s="706"/>
      <c r="U508" s="706"/>
      <c r="V508" s="706"/>
      <c r="W508" s="706"/>
      <c r="X508" s="706"/>
      <c r="Y508" s="706"/>
      <c r="Z508" s="706"/>
      <c r="AA508" s="706"/>
      <c r="AB508" s="706"/>
      <c r="AC508" s="706"/>
    </row>
    <row r="509" spans="1:42">
      <c r="A509" s="2155">
        <v>22</v>
      </c>
      <c r="B509" s="2154" t="s">
        <v>297</v>
      </c>
      <c r="C509" s="2155"/>
      <c r="D509" s="2213">
        <f t="shared" si="70"/>
        <v>89374</v>
      </c>
      <c r="E509" s="2188"/>
      <c r="F509" s="2188">
        <v>0</v>
      </c>
      <c r="G509" s="2188">
        <v>0</v>
      </c>
      <c r="H509" s="2188">
        <v>89374</v>
      </c>
      <c r="I509" s="2188">
        <v>0</v>
      </c>
      <c r="J509" s="2214">
        <f t="shared" si="74"/>
        <v>89374</v>
      </c>
      <c r="K509" s="2188"/>
      <c r="L509" s="2188"/>
      <c r="M509" s="2193"/>
      <c r="N509" s="2195">
        <f t="shared" si="72"/>
        <v>0</v>
      </c>
      <c r="O509" s="1149"/>
      <c r="P509" s="705"/>
      <c r="Q509" s="1145"/>
      <c r="R509" s="706"/>
      <c r="S509" s="706"/>
      <c r="T509" s="706"/>
      <c r="U509" s="706"/>
      <c r="V509" s="706"/>
      <c r="W509" s="706"/>
      <c r="X509" s="706"/>
      <c r="Y509" s="706"/>
      <c r="Z509" s="706"/>
      <c r="AA509" s="706"/>
      <c r="AB509" s="706"/>
      <c r="AC509" s="706"/>
    </row>
    <row r="510" spans="1:42">
      <c r="A510" s="2155">
        <v>23</v>
      </c>
      <c r="B510" s="2154" t="s">
        <v>298</v>
      </c>
      <c r="C510" s="2155">
        <v>18</v>
      </c>
      <c r="D510" s="2213">
        <f t="shared" si="70"/>
        <v>103032</v>
      </c>
      <c r="E510" s="2188"/>
      <c r="F510" s="2188">
        <v>0</v>
      </c>
      <c r="G510" s="2188">
        <v>1752</v>
      </c>
      <c r="H510" s="2188">
        <v>101280</v>
      </c>
      <c r="I510" s="2188">
        <v>0</v>
      </c>
      <c r="J510" s="2214">
        <f t="shared" si="74"/>
        <v>103032</v>
      </c>
      <c r="K510" s="2188"/>
      <c r="L510" s="2188"/>
      <c r="M510" s="2193"/>
      <c r="N510" s="2195">
        <f t="shared" si="72"/>
        <v>0</v>
      </c>
      <c r="O510" s="1149"/>
      <c r="P510" s="705"/>
      <c r="Q510" s="1145"/>
      <c r="R510" s="706"/>
      <c r="S510" s="706"/>
      <c r="T510" s="706"/>
      <c r="U510" s="706"/>
      <c r="V510" s="706"/>
      <c r="W510" s="706"/>
      <c r="X510" s="706"/>
      <c r="Y510" s="706"/>
      <c r="Z510" s="706"/>
      <c r="AA510" s="706"/>
      <c r="AB510" s="706"/>
      <c r="AC510" s="706"/>
    </row>
    <row r="511" spans="1:42">
      <c r="A511" s="2155">
        <v>24</v>
      </c>
      <c r="B511" s="2154" t="s">
        <v>299</v>
      </c>
      <c r="C511" s="2155"/>
      <c r="D511" s="2213">
        <f t="shared" si="70"/>
        <v>0</v>
      </c>
      <c r="E511" s="2188"/>
      <c r="F511" s="2188">
        <v>0</v>
      </c>
      <c r="G511" s="2188">
        <v>0</v>
      </c>
      <c r="H511" s="2188">
        <v>0</v>
      </c>
      <c r="I511" s="2188">
        <v>0</v>
      </c>
      <c r="J511" s="2214">
        <f t="shared" si="74"/>
        <v>0</v>
      </c>
      <c r="K511" s="2188"/>
      <c r="L511" s="2188"/>
      <c r="M511" s="2193"/>
      <c r="N511" s="2195">
        <f t="shared" si="72"/>
        <v>0</v>
      </c>
      <c r="O511" s="1149"/>
      <c r="P511" s="705"/>
      <c r="Q511" s="1144"/>
      <c r="R511" s="706"/>
      <c r="S511" s="706"/>
      <c r="T511" s="706"/>
      <c r="U511" s="706"/>
      <c r="V511" s="706"/>
      <c r="W511" s="706"/>
      <c r="X511" s="706"/>
      <c r="Y511" s="706"/>
      <c r="Z511" s="706"/>
      <c r="AA511" s="706"/>
      <c r="AB511" s="706"/>
      <c r="AC511" s="706"/>
    </row>
    <row r="512" spans="1:42">
      <c r="A512" s="2155">
        <v>25</v>
      </c>
      <c r="B512" s="2176" t="s">
        <v>300</v>
      </c>
      <c r="C512" s="2155"/>
      <c r="D512" s="2213">
        <f t="shared" si="70"/>
        <v>19384</v>
      </c>
      <c r="E512" s="2188"/>
      <c r="F512" s="2188">
        <v>1559</v>
      </c>
      <c r="G512" s="2188">
        <v>17825</v>
      </c>
      <c r="H512" s="2188">
        <v>0</v>
      </c>
      <c r="I512" s="2188">
        <v>0</v>
      </c>
      <c r="J512" s="2214">
        <f t="shared" si="74"/>
        <v>17825</v>
      </c>
      <c r="K512" s="2188"/>
      <c r="L512" s="2188"/>
      <c r="M512" s="2193"/>
      <c r="N512" s="2195">
        <f t="shared" si="72"/>
        <v>0</v>
      </c>
      <c r="O512" s="1149"/>
      <c r="P512" s="705"/>
      <c r="Q512" s="1145"/>
      <c r="R512" s="706"/>
      <c r="S512" s="706"/>
      <c r="T512" s="706"/>
      <c r="U512" s="706"/>
      <c r="V512" s="706"/>
      <c r="W512" s="706"/>
      <c r="X512" s="706"/>
      <c r="Y512" s="706"/>
      <c r="Z512" s="706"/>
      <c r="AA512" s="706"/>
      <c r="AB512" s="706"/>
      <c r="AC512" s="706"/>
    </row>
    <row r="513" spans="1:42" ht="13.5" thickBot="1">
      <c r="A513" s="2172">
        <v>26</v>
      </c>
      <c r="B513" s="2173" t="s">
        <v>301</v>
      </c>
      <c r="C513" s="2177">
        <v>19</v>
      </c>
      <c r="D513" s="1388">
        <f t="shared" si="70"/>
        <v>1313051</v>
      </c>
      <c r="E513" s="1176"/>
      <c r="F513" s="1176">
        <v>87557</v>
      </c>
      <c r="G513" s="1176">
        <v>136580</v>
      </c>
      <c r="H513" s="1176">
        <v>139802</v>
      </c>
      <c r="I513" s="1176">
        <v>949112</v>
      </c>
      <c r="J513" s="1396">
        <f t="shared" si="74"/>
        <v>1225494</v>
      </c>
      <c r="K513" s="1176"/>
      <c r="L513" s="1176"/>
      <c r="M513" s="1177"/>
      <c r="N513" s="2215">
        <f t="shared" si="72"/>
        <v>0</v>
      </c>
      <c r="O513" s="1149"/>
      <c r="P513" s="705"/>
      <c r="Q513" s="1145"/>
      <c r="R513" s="706"/>
      <c r="S513" s="706"/>
      <c r="T513" s="706"/>
      <c r="U513" s="706"/>
      <c r="V513" s="706"/>
      <c r="W513" s="706"/>
      <c r="X513" s="706"/>
      <c r="Y513" s="706"/>
      <c r="Z513" s="706"/>
      <c r="AA513" s="706"/>
      <c r="AB513" s="706"/>
      <c r="AC513" s="706"/>
    </row>
    <row r="514" spans="1:42" s="913" customFormat="1" ht="37.5" customHeight="1" thickBot="1">
      <c r="A514" s="1348">
        <v>27</v>
      </c>
      <c r="B514" s="1349" t="s">
        <v>302</v>
      </c>
      <c r="C514" s="1348"/>
      <c r="D514" s="1389">
        <f t="shared" si="70"/>
        <v>15375532</v>
      </c>
      <c r="E514" s="1181">
        <f>SUM(E508:E513)</f>
        <v>0</v>
      </c>
      <c r="F514" s="1181">
        <f>SUM(F508:F513)</f>
        <v>89116</v>
      </c>
      <c r="G514" s="1181">
        <f>SUM(G508:G513)</f>
        <v>1776735</v>
      </c>
      <c r="H514" s="1185">
        <f>SUM(H508:H513)</f>
        <v>7130190</v>
      </c>
      <c r="I514" s="1212">
        <f>SUM(I508:I513)</f>
        <v>6379491</v>
      </c>
      <c r="J514" s="1394">
        <f t="shared" si="74"/>
        <v>15286416</v>
      </c>
      <c r="K514" s="1181">
        <f>SUM(K508:K513)</f>
        <v>0</v>
      </c>
      <c r="L514" s="1181">
        <f>SUM(L508:L513)</f>
        <v>0</v>
      </c>
      <c r="M514" s="1185">
        <f>SUM(M508:M513)</f>
        <v>0</v>
      </c>
      <c r="N514" s="1400">
        <f t="shared" si="72"/>
        <v>0</v>
      </c>
      <c r="O514" s="1155"/>
      <c r="P514" s="1025"/>
      <c r="Q514" s="1274"/>
      <c r="R514" s="1027"/>
      <c r="S514" s="1027"/>
      <c r="T514" s="1027"/>
      <c r="U514" s="1027"/>
      <c r="V514" s="1027"/>
      <c r="W514" s="1027"/>
      <c r="X514" s="1027"/>
      <c r="Y514" s="1027"/>
      <c r="Z514" s="1027"/>
      <c r="AA514" s="1027"/>
      <c r="AB514" s="1027"/>
      <c r="AC514" s="1027"/>
      <c r="AE514" s="1058"/>
      <c r="AF514" s="1058"/>
      <c r="AG514" s="1058"/>
      <c r="AH514" s="1058"/>
      <c r="AI514" s="1058"/>
      <c r="AJ514" s="1058"/>
      <c r="AK514" s="1058"/>
      <c r="AL514" s="1058"/>
      <c r="AM514" s="1058"/>
      <c r="AN514" s="1058"/>
      <c r="AO514" s="1058"/>
      <c r="AP514" s="1058"/>
    </row>
    <row r="515" spans="1:42">
      <c r="A515" s="1346"/>
      <c r="B515" s="1347" t="s">
        <v>303</v>
      </c>
      <c r="C515" s="1346">
        <v>20</v>
      </c>
      <c r="D515" s="1387">
        <f t="shared" si="70"/>
        <v>0</v>
      </c>
      <c r="E515" s="1171"/>
      <c r="F515" s="1171"/>
      <c r="G515" s="1182"/>
      <c r="H515" s="1174"/>
      <c r="I515" s="1194"/>
      <c r="J515" s="1395"/>
      <c r="K515" s="1171"/>
      <c r="L515" s="1171"/>
      <c r="M515" s="1172"/>
      <c r="N515" s="1401">
        <f t="shared" si="72"/>
        <v>0</v>
      </c>
      <c r="O515" s="1149"/>
      <c r="P515" s="705"/>
      <c r="Q515" s="1144"/>
      <c r="R515" s="706"/>
      <c r="S515" s="706"/>
      <c r="T515" s="706"/>
      <c r="U515" s="706"/>
      <c r="V515" s="706"/>
      <c r="W515" s="706"/>
      <c r="X515" s="706"/>
      <c r="Y515" s="706"/>
      <c r="Z515" s="706"/>
      <c r="AA515" s="706"/>
      <c r="AB515" s="706"/>
      <c r="AC515" s="706"/>
    </row>
    <row r="516" spans="1:42">
      <c r="A516" s="2155">
        <v>28</v>
      </c>
      <c r="B516" s="2154" t="s">
        <v>304</v>
      </c>
      <c r="C516" s="2161"/>
      <c r="D516" s="2213">
        <f t="shared" si="70"/>
        <v>4753752</v>
      </c>
      <c r="E516" s="2188"/>
      <c r="F516" s="2188">
        <v>4753752</v>
      </c>
      <c r="G516" s="2188"/>
      <c r="H516" s="2193"/>
      <c r="I516" s="2222"/>
      <c r="J516" s="2214">
        <f t="shared" ref="J516:J522" si="75">G516+H516+I516</f>
        <v>0</v>
      </c>
      <c r="K516" s="2188"/>
      <c r="L516" s="2188"/>
      <c r="M516" s="2193"/>
      <c r="N516" s="2195">
        <f t="shared" si="72"/>
        <v>0</v>
      </c>
      <c r="O516" s="1149"/>
      <c r="P516" s="705"/>
      <c r="Q516" s="1145"/>
      <c r="R516" s="706"/>
      <c r="S516" s="706"/>
      <c r="T516" s="706"/>
      <c r="U516" s="706"/>
      <c r="V516" s="706"/>
      <c r="W516" s="706"/>
      <c r="X516" s="706"/>
      <c r="Y516" s="706"/>
      <c r="Z516" s="706"/>
      <c r="AA516" s="706"/>
      <c r="AB516" s="706"/>
      <c r="AC516" s="706"/>
    </row>
    <row r="517" spans="1:42">
      <c r="A517" s="2155">
        <v>29</v>
      </c>
      <c r="B517" s="2154" t="s">
        <v>305</v>
      </c>
      <c r="C517" s="2161"/>
      <c r="D517" s="2213">
        <f t="shared" si="70"/>
        <v>-97505</v>
      </c>
      <c r="E517" s="2188"/>
      <c r="F517" s="2188">
        <v>-97505</v>
      </c>
      <c r="G517" s="2188"/>
      <c r="H517" s="2193"/>
      <c r="I517" s="2222"/>
      <c r="J517" s="2214">
        <f t="shared" si="75"/>
        <v>0</v>
      </c>
      <c r="K517" s="2188"/>
      <c r="L517" s="2188"/>
      <c r="M517" s="2193"/>
      <c r="N517" s="2195">
        <f t="shared" si="72"/>
        <v>0</v>
      </c>
      <c r="O517" s="1149"/>
      <c r="P517" s="705"/>
      <c r="Q517" s="1145"/>
      <c r="R517" s="706"/>
      <c r="S517" s="706"/>
      <c r="T517" s="706"/>
      <c r="U517" s="706"/>
      <c r="V517" s="706"/>
      <c r="W517" s="706"/>
      <c r="X517" s="706"/>
      <c r="Y517" s="706"/>
      <c r="Z517" s="706"/>
      <c r="AA517" s="706"/>
      <c r="AB517" s="706"/>
      <c r="AC517" s="706"/>
    </row>
    <row r="518" spans="1:42">
      <c r="A518" s="2155">
        <v>30</v>
      </c>
      <c r="B518" s="2173" t="s">
        <v>306</v>
      </c>
      <c r="C518" s="2177"/>
      <c r="D518" s="2213">
        <f t="shared" si="70"/>
        <v>0</v>
      </c>
      <c r="E518" s="2188"/>
      <c r="F518" s="2188">
        <v>0</v>
      </c>
      <c r="G518" s="2188"/>
      <c r="H518" s="2193"/>
      <c r="I518" s="2222"/>
      <c r="J518" s="2214">
        <f t="shared" si="75"/>
        <v>0</v>
      </c>
      <c r="K518" s="2188"/>
      <c r="L518" s="2188"/>
      <c r="M518" s="2193"/>
      <c r="N518" s="2195">
        <f t="shared" si="72"/>
        <v>0</v>
      </c>
      <c r="O518" s="1149"/>
      <c r="P518" s="705"/>
      <c r="Q518" s="1144"/>
      <c r="R518" s="706"/>
      <c r="S518" s="706"/>
      <c r="T518" s="706"/>
      <c r="U518" s="706"/>
      <c r="V518" s="706"/>
      <c r="W518" s="706"/>
      <c r="X518" s="706"/>
      <c r="Y518" s="706"/>
      <c r="Z518" s="706"/>
      <c r="AA518" s="706"/>
      <c r="AB518" s="706"/>
      <c r="AC518" s="706"/>
    </row>
    <row r="519" spans="1:42">
      <c r="A519" s="2155">
        <v>31</v>
      </c>
      <c r="B519" s="2154" t="s">
        <v>307</v>
      </c>
      <c r="C519" s="2161"/>
      <c r="D519" s="2213">
        <f t="shared" si="70"/>
        <v>1795829</v>
      </c>
      <c r="E519" s="2188"/>
      <c r="F519" s="2188">
        <v>1795829</v>
      </c>
      <c r="G519" s="2188"/>
      <c r="H519" s="2193"/>
      <c r="I519" s="2222"/>
      <c r="J519" s="2214">
        <f t="shared" si="75"/>
        <v>0</v>
      </c>
      <c r="K519" s="2188"/>
      <c r="L519" s="2188"/>
      <c r="M519" s="2193"/>
      <c r="N519" s="2195">
        <f t="shared" si="72"/>
        <v>0</v>
      </c>
      <c r="O519" s="1149"/>
      <c r="P519" s="705"/>
      <c r="Q519" s="1145"/>
      <c r="R519" s="706"/>
      <c r="S519" s="706"/>
      <c r="T519" s="706"/>
      <c r="U519" s="706"/>
      <c r="V519" s="706"/>
      <c r="W519" s="706"/>
      <c r="X519" s="706"/>
      <c r="Y519" s="706"/>
      <c r="Z519" s="706"/>
      <c r="AA519" s="706"/>
      <c r="AB519" s="706"/>
      <c r="AC519" s="706"/>
    </row>
    <row r="520" spans="1:42" ht="13.5" thickBot="1">
      <c r="A520" s="2172">
        <v>32</v>
      </c>
      <c r="B520" s="2173" t="s">
        <v>308</v>
      </c>
      <c r="C520" s="2177"/>
      <c r="D520" s="2213">
        <f t="shared" si="70"/>
        <v>3654372</v>
      </c>
      <c r="E520" s="2188"/>
      <c r="F520" s="2188">
        <v>3654372</v>
      </c>
      <c r="G520" s="2188"/>
      <c r="H520" s="2193"/>
      <c r="I520" s="1257"/>
      <c r="J520" s="2214">
        <f t="shared" si="75"/>
        <v>0</v>
      </c>
      <c r="K520" s="2188"/>
      <c r="L520" s="2188"/>
      <c r="M520" s="2193"/>
      <c r="N520" s="2195">
        <f t="shared" si="72"/>
        <v>0</v>
      </c>
      <c r="O520" s="1149"/>
      <c r="P520" s="705"/>
      <c r="Q520" s="1145"/>
      <c r="R520" s="706"/>
      <c r="S520" s="706"/>
      <c r="T520" s="706"/>
      <c r="U520" s="706"/>
      <c r="V520" s="706"/>
      <c r="W520" s="706"/>
      <c r="X520" s="706"/>
      <c r="Y520" s="706"/>
      <c r="Z520" s="706"/>
      <c r="AA520" s="706"/>
      <c r="AB520" s="706"/>
      <c r="AC520" s="706"/>
    </row>
    <row r="521" spans="1:42" s="913" customFormat="1" ht="13.5" thickBot="1">
      <c r="A521" s="1348">
        <v>33</v>
      </c>
      <c r="B521" s="1384" t="s">
        <v>309</v>
      </c>
      <c r="C521" s="1385"/>
      <c r="D521" s="1390">
        <f t="shared" si="70"/>
        <v>10106448</v>
      </c>
      <c r="E521" s="1186">
        <f>SUM(E516:E520)</f>
        <v>0</v>
      </c>
      <c r="F521" s="1186">
        <f>SUM(F516:F520)</f>
        <v>10106448</v>
      </c>
      <c r="G521" s="1186">
        <f>SUM(G516:G520)</f>
        <v>0</v>
      </c>
      <c r="H521" s="1186">
        <f>SUM(H516:H520)</f>
        <v>0</v>
      </c>
      <c r="I521" s="1259">
        <f>SUM(I516:I520)</f>
        <v>0</v>
      </c>
      <c r="J521" s="1397">
        <f t="shared" si="75"/>
        <v>0</v>
      </c>
      <c r="K521" s="1186">
        <f>SUM(K516:K520)</f>
        <v>0</v>
      </c>
      <c r="L521" s="1186">
        <f>SUM(L516:L520)</f>
        <v>0</v>
      </c>
      <c r="M521" s="1187">
        <f>SUM(M516:M520)</f>
        <v>0</v>
      </c>
      <c r="N521" s="1402">
        <f t="shared" si="72"/>
        <v>0</v>
      </c>
      <c r="O521" s="1155"/>
      <c r="P521" s="1025"/>
      <c r="Q521" s="1274"/>
      <c r="R521" s="1027"/>
      <c r="S521" s="1027"/>
      <c r="T521" s="1027"/>
      <c r="U521" s="1027"/>
      <c r="V521" s="1027"/>
      <c r="W521" s="1027"/>
      <c r="X521" s="1027"/>
      <c r="Y521" s="1027"/>
      <c r="Z521" s="1027"/>
      <c r="AA521" s="1027"/>
      <c r="AB521" s="1027"/>
      <c r="AC521" s="1027"/>
      <c r="AE521" s="1058"/>
      <c r="AF521" s="1058"/>
      <c r="AG521" s="1058"/>
      <c r="AH521" s="1058"/>
      <c r="AI521" s="1058"/>
      <c r="AJ521" s="1058"/>
      <c r="AK521" s="1058"/>
      <c r="AL521" s="1058"/>
      <c r="AM521" s="1058"/>
      <c r="AN521" s="1058"/>
      <c r="AO521" s="1058"/>
      <c r="AP521" s="1058"/>
    </row>
    <row r="522" spans="1:42" s="913" customFormat="1" ht="26.25" thickBot="1">
      <c r="A522" s="1351">
        <v>34</v>
      </c>
      <c r="B522" s="1352" t="s">
        <v>310</v>
      </c>
      <c r="C522" s="1351"/>
      <c r="D522" s="1381">
        <f>+E522+F522+J522+N522</f>
        <v>25481980</v>
      </c>
      <c r="E522" s="1381">
        <f>E521+E514</f>
        <v>0</v>
      </c>
      <c r="F522" s="1381">
        <f>F521+F514</f>
        <v>10195564</v>
      </c>
      <c r="G522" s="1381">
        <f>G521+G514</f>
        <v>1776735</v>
      </c>
      <c r="H522" s="1381">
        <f>H521+H514</f>
        <v>7130190</v>
      </c>
      <c r="I522" s="1381">
        <f>I521+I514</f>
        <v>6379491</v>
      </c>
      <c r="J522" s="1381">
        <f t="shared" si="75"/>
        <v>15286416</v>
      </c>
      <c r="K522" s="1381">
        <f>K521+K514</f>
        <v>0</v>
      </c>
      <c r="L522" s="1381">
        <f>L521+L514</f>
        <v>0</v>
      </c>
      <c r="M522" s="1382">
        <f>M521+M514</f>
        <v>0</v>
      </c>
      <c r="N522" s="1383">
        <f t="shared" si="72"/>
        <v>0</v>
      </c>
      <c r="O522" s="1155"/>
      <c r="P522" s="1025"/>
      <c r="Q522" s="1274"/>
      <c r="R522" s="1027"/>
      <c r="S522" s="1027"/>
      <c r="T522" s="1027"/>
      <c r="U522" s="1027"/>
      <c r="V522" s="1027"/>
      <c r="W522" s="1027"/>
      <c r="X522" s="1027"/>
      <c r="Y522" s="1027"/>
      <c r="Z522" s="1027"/>
      <c r="AA522" s="1027"/>
      <c r="AB522" s="1027"/>
      <c r="AC522" s="1027"/>
      <c r="AE522" s="1058"/>
      <c r="AF522" s="1058"/>
      <c r="AG522" s="1058"/>
      <c r="AH522" s="1058"/>
      <c r="AI522" s="1058"/>
      <c r="AJ522" s="1058"/>
      <c r="AK522" s="1058"/>
      <c r="AL522" s="1058"/>
      <c r="AM522" s="1058"/>
      <c r="AN522" s="1058"/>
      <c r="AO522" s="1058"/>
      <c r="AP522" s="1058"/>
    </row>
    <row r="523" spans="1:42">
      <c r="D523" s="684"/>
      <c r="E523" s="684"/>
      <c r="F523" s="684"/>
      <c r="G523" s="684"/>
      <c r="H523" s="684"/>
      <c r="I523" s="684"/>
      <c r="J523" s="684"/>
      <c r="K523" s="684"/>
      <c r="L523" s="684"/>
      <c r="S523" s="706"/>
      <c r="T523" s="706"/>
      <c r="U523" s="706"/>
      <c r="V523" s="706"/>
      <c r="W523" s="706"/>
      <c r="X523" s="706"/>
      <c r="Y523" s="706"/>
      <c r="Z523" s="706"/>
      <c r="AA523" s="706"/>
      <c r="AB523" s="706"/>
      <c r="AC523" s="706"/>
    </row>
    <row r="524" spans="1:42">
      <c r="B524" s="680"/>
      <c r="D524" s="679"/>
      <c r="E524" s="679"/>
      <c r="F524" s="679"/>
      <c r="G524" s="679"/>
      <c r="H524" s="679"/>
      <c r="I524" s="679"/>
      <c r="J524" s="679"/>
      <c r="K524" s="679"/>
      <c r="L524" s="679"/>
      <c r="M524" s="679"/>
      <c r="N524" s="911">
        <v>22</v>
      </c>
      <c r="O524" s="679"/>
      <c r="S524" s="706"/>
      <c r="T524" s="706"/>
      <c r="U524" s="706"/>
      <c r="V524" s="706"/>
      <c r="W524" s="706"/>
      <c r="X524" s="706"/>
      <c r="Y524" s="706"/>
      <c r="Z524" s="706"/>
      <c r="AA524" s="706"/>
      <c r="AB524" s="706"/>
      <c r="AC524" s="706"/>
    </row>
    <row r="526" spans="1:42" ht="13.5" thickBot="1"/>
    <row r="527" spans="1:42" ht="15.75" customHeight="1" thickBot="1">
      <c r="A527" s="1368" t="s">
        <v>317</v>
      </c>
      <c r="B527" s="3533"/>
      <c r="C527" s="3534"/>
      <c r="M527" s="3538" t="s">
        <v>251</v>
      </c>
      <c r="N527" s="3538"/>
      <c r="O527" s="1148"/>
    </row>
    <row r="528" spans="1:42" ht="13.15" customHeight="1" thickBot="1">
      <c r="A528" s="3512" t="s">
        <v>252</v>
      </c>
      <c r="B528" s="3515"/>
      <c r="C528" s="3523" t="s">
        <v>254</v>
      </c>
      <c r="D528" s="3518" t="s">
        <v>255</v>
      </c>
      <c r="E528" s="3518" t="s">
        <v>256</v>
      </c>
      <c r="F528" s="3518" t="s">
        <v>257</v>
      </c>
      <c r="G528" s="3526" t="s">
        <v>258</v>
      </c>
      <c r="H528" s="3527"/>
      <c r="I528" s="3527"/>
      <c r="J528" s="3527"/>
      <c r="K528" s="3527"/>
      <c r="L528" s="3527"/>
      <c r="M528" s="3527"/>
      <c r="N528" s="3528"/>
      <c r="O528" s="409"/>
    </row>
    <row r="529" spans="1:29" ht="13.15" customHeight="1" thickBot="1">
      <c r="A529" s="3513"/>
      <c r="B529" s="3516"/>
      <c r="C529" s="3524"/>
      <c r="D529" s="3520"/>
      <c r="E529" s="3520"/>
      <c r="F529" s="3520"/>
      <c r="G529" s="3529" t="s">
        <v>259</v>
      </c>
      <c r="H529" s="3530"/>
      <c r="I529" s="3530"/>
      <c r="J529" s="3531"/>
      <c r="K529" s="3529" t="s">
        <v>260</v>
      </c>
      <c r="L529" s="3530"/>
      <c r="M529" s="3530"/>
      <c r="N529" s="3531"/>
      <c r="O529" s="443"/>
    </row>
    <row r="530" spans="1:29" ht="39" thickBot="1">
      <c r="A530" s="3513"/>
      <c r="B530" s="3516"/>
      <c r="C530" s="3524"/>
      <c r="D530" s="3519"/>
      <c r="E530" s="3519"/>
      <c r="F530" s="3519"/>
      <c r="G530" s="1336" t="s">
        <v>261</v>
      </c>
      <c r="H530" s="1336" t="s">
        <v>262</v>
      </c>
      <c r="I530" s="1336" t="s">
        <v>263</v>
      </c>
      <c r="J530" s="1336" t="s">
        <v>158</v>
      </c>
      <c r="K530" s="1337" t="s">
        <v>264</v>
      </c>
      <c r="L530" s="1337" t="s">
        <v>265</v>
      </c>
      <c r="M530" s="1337" t="s">
        <v>266</v>
      </c>
      <c r="N530" s="1404" t="s">
        <v>158</v>
      </c>
      <c r="O530" s="443"/>
    </row>
    <row r="531" spans="1:29" ht="13.5" thickBot="1">
      <c r="A531" s="3513"/>
      <c r="B531" s="3516"/>
      <c r="C531" s="3524"/>
      <c r="D531" s="1340">
        <v>1</v>
      </c>
      <c r="E531" s="3518">
        <v>2</v>
      </c>
      <c r="F531" s="3518">
        <v>3</v>
      </c>
      <c r="G531" s="3518">
        <v>4</v>
      </c>
      <c r="H531" s="3518">
        <v>5</v>
      </c>
      <c r="I531" s="3518">
        <v>6</v>
      </c>
      <c r="J531" s="1341">
        <v>7</v>
      </c>
      <c r="K531" s="3518">
        <v>8</v>
      </c>
      <c r="L531" s="3518">
        <v>9</v>
      </c>
      <c r="M531" s="3518">
        <v>10</v>
      </c>
      <c r="N531" s="1340">
        <v>11</v>
      </c>
      <c r="O531" s="409"/>
    </row>
    <row r="532" spans="1:29" ht="15.75" customHeight="1" thickBot="1">
      <c r="A532" s="3514"/>
      <c r="B532" s="3517"/>
      <c r="C532" s="3525"/>
      <c r="D532" s="1343"/>
      <c r="E532" s="3519"/>
      <c r="F532" s="3519"/>
      <c r="G532" s="3519"/>
      <c r="H532" s="3519"/>
      <c r="I532" s="3519"/>
      <c r="J532" s="1344" t="s">
        <v>267</v>
      </c>
      <c r="K532" s="3519"/>
      <c r="L532" s="3519"/>
      <c r="M532" s="3519"/>
      <c r="N532" s="1343" t="s">
        <v>268</v>
      </c>
      <c r="O532" s="703"/>
      <c r="P532" s="703"/>
      <c r="Q532" s="703"/>
    </row>
    <row r="533" spans="1:29">
      <c r="A533" s="1346"/>
      <c r="B533" s="1347" t="s">
        <v>269</v>
      </c>
      <c r="C533" s="1346"/>
      <c r="D533" s="2264"/>
      <c r="E533" s="1242"/>
      <c r="F533" s="1242"/>
      <c r="G533" s="1182"/>
      <c r="H533" s="1174"/>
      <c r="I533" s="1174"/>
      <c r="J533" s="1401"/>
      <c r="K533" s="1171"/>
      <c r="L533" s="1174"/>
      <c r="M533" s="1243"/>
      <c r="N533" s="1439"/>
      <c r="Q533" s="703"/>
    </row>
    <row r="534" spans="1:29">
      <c r="A534" s="2153">
        <v>1</v>
      </c>
      <c r="B534" s="2154" t="s">
        <v>270</v>
      </c>
      <c r="C534" s="2155"/>
      <c r="D534" s="2213">
        <f>+E534+F534+J534+N534</f>
        <v>0</v>
      </c>
      <c r="E534" s="2188"/>
      <c r="F534" s="2188"/>
      <c r="G534" s="2188"/>
      <c r="H534" s="2188"/>
      <c r="I534" s="2188"/>
      <c r="J534" s="2214">
        <f>G534+H534+I534</f>
        <v>0</v>
      </c>
      <c r="K534" s="2188"/>
      <c r="L534" s="2188"/>
      <c r="M534" s="2193"/>
      <c r="N534" s="2195">
        <f>K534+L534+M534</f>
        <v>0</v>
      </c>
      <c r="O534" s="1149"/>
      <c r="P534" s="705"/>
      <c r="Q534" s="1144"/>
      <c r="S534" s="706"/>
      <c r="T534" s="706"/>
      <c r="U534" s="706"/>
      <c r="V534" s="706"/>
      <c r="W534" s="706"/>
      <c r="X534" s="706"/>
      <c r="Y534" s="706"/>
      <c r="Z534" s="706"/>
      <c r="AA534" s="706"/>
      <c r="AB534" s="706"/>
      <c r="AC534" s="706"/>
    </row>
    <row r="535" spans="1:29">
      <c r="A535" s="2153">
        <v>2</v>
      </c>
      <c r="B535" s="2154" t="s">
        <v>271</v>
      </c>
      <c r="C535" s="2155"/>
      <c r="D535" s="2213">
        <f t="shared" ref="D535:D573" si="76">+E535+F535+J535+N535</f>
        <v>0</v>
      </c>
      <c r="E535" s="2188"/>
      <c r="F535" s="2188"/>
      <c r="G535" s="2188"/>
      <c r="H535" s="2188"/>
      <c r="I535" s="2188"/>
      <c r="J535" s="2214">
        <f t="shared" ref="J535:J545" si="77">G535+H535+I535</f>
        <v>0</v>
      </c>
      <c r="K535" s="2188"/>
      <c r="L535" s="2188"/>
      <c r="M535" s="2193"/>
      <c r="N535" s="2195">
        <f t="shared" ref="N535:N574" si="78">K535+L535+M535</f>
        <v>0</v>
      </c>
      <c r="O535" s="1149"/>
      <c r="P535" s="705"/>
      <c r="Q535" s="1144"/>
      <c r="S535" s="706"/>
      <c r="T535" s="706"/>
      <c r="U535" s="706"/>
      <c r="V535" s="706"/>
      <c r="W535" s="706"/>
      <c r="X535" s="706"/>
      <c r="Y535" s="706"/>
      <c r="Z535" s="706"/>
      <c r="AA535" s="706"/>
      <c r="AB535" s="706"/>
      <c r="AC535" s="706"/>
    </row>
    <row r="536" spans="1:29">
      <c r="A536" s="2153">
        <v>3</v>
      </c>
      <c r="B536" s="2154" t="s">
        <v>272</v>
      </c>
      <c r="C536" s="2155"/>
      <c r="D536" s="2213">
        <f t="shared" si="76"/>
        <v>0</v>
      </c>
      <c r="E536" s="2188"/>
      <c r="F536" s="2188"/>
      <c r="G536" s="2188"/>
      <c r="H536" s="2188"/>
      <c r="I536" s="2188"/>
      <c r="J536" s="2214">
        <f t="shared" si="77"/>
        <v>0</v>
      </c>
      <c r="K536" s="2188"/>
      <c r="L536" s="2188"/>
      <c r="M536" s="2193"/>
      <c r="N536" s="2195">
        <f t="shared" si="78"/>
        <v>0</v>
      </c>
      <c r="O536" s="1149"/>
      <c r="P536" s="705"/>
      <c r="Q536" s="1144"/>
      <c r="S536" s="706"/>
      <c r="T536" s="706"/>
      <c r="U536" s="706"/>
      <c r="V536" s="706"/>
      <c r="W536" s="706"/>
      <c r="X536" s="706"/>
      <c r="Y536" s="706"/>
      <c r="Z536" s="706"/>
      <c r="AA536" s="706"/>
      <c r="AB536" s="706"/>
      <c r="AC536" s="706"/>
    </row>
    <row r="537" spans="1:29">
      <c r="A537" s="2153">
        <v>4</v>
      </c>
      <c r="B537" s="2154" t="s">
        <v>315</v>
      </c>
      <c r="C537" s="2155"/>
      <c r="D537" s="2213">
        <f t="shared" si="76"/>
        <v>0</v>
      </c>
      <c r="E537" s="2188"/>
      <c r="F537" s="2188"/>
      <c r="G537" s="2188"/>
      <c r="H537" s="2188"/>
      <c r="I537" s="2188"/>
      <c r="J537" s="2214">
        <f t="shared" si="77"/>
        <v>0</v>
      </c>
      <c r="K537" s="2188"/>
      <c r="L537" s="2188"/>
      <c r="M537" s="2193"/>
      <c r="N537" s="2195">
        <f t="shared" si="78"/>
        <v>0</v>
      </c>
      <c r="O537" s="1149"/>
      <c r="P537" s="705"/>
      <c r="Q537" s="1144"/>
      <c r="S537" s="706"/>
      <c r="T537" s="706"/>
      <c r="U537" s="706"/>
      <c r="V537" s="706"/>
      <c r="W537" s="706"/>
      <c r="X537" s="706"/>
      <c r="Y537" s="706"/>
      <c r="Z537" s="706"/>
      <c r="AA537" s="706"/>
      <c r="AB537" s="706"/>
      <c r="AC537" s="706"/>
    </row>
    <row r="538" spans="1:29">
      <c r="A538" s="2153">
        <v>5</v>
      </c>
      <c r="B538" s="2154" t="s">
        <v>274</v>
      </c>
      <c r="C538" s="2161">
        <v>5</v>
      </c>
      <c r="D538" s="2213">
        <f t="shared" si="76"/>
        <v>0</v>
      </c>
      <c r="E538" s="2188"/>
      <c r="F538" s="2188"/>
      <c r="G538" s="2188"/>
      <c r="H538" s="2188"/>
      <c r="I538" s="2188"/>
      <c r="J538" s="2214">
        <f t="shared" si="77"/>
        <v>0</v>
      </c>
      <c r="K538" s="2188"/>
      <c r="L538" s="2188"/>
      <c r="M538" s="2193"/>
      <c r="N538" s="2195">
        <f t="shared" si="78"/>
        <v>0</v>
      </c>
      <c r="O538" s="1149"/>
      <c r="P538" s="705"/>
      <c r="Q538" s="1144"/>
      <c r="S538" s="706"/>
      <c r="T538" s="706"/>
      <c r="U538" s="706"/>
      <c r="V538" s="706"/>
      <c r="W538" s="706"/>
      <c r="X538" s="706"/>
      <c r="Y538" s="706"/>
      <c r="Z538" s="706"/>
      <c r="AA538" s="706"/>
      <c r="AB538" s="706"/>
      <c r="AC538" s="706"/>
    </row>
    <row r="539" spans="1:29">
      <c r="A539" s="2153">
        <v>6</v>
      </c>
      <c r="B539" s="2154" t="s">
        <v>275</v>
      </c>
      <c r="C539" s="2155">
        <v>6</v>
      </c>
      <c r="D539" s="2213">
        <f t="shared" si="76"/>
        <v>0</v>
      </c>
      <c r="E539" s="2188"/>
      <c r="F539" s="2188"/>
      <c r="G539" s="2188"/>
      <c r="H539" s="2188"/>
      <c r="I539" s="2188"/>
      <c r="J539" s="2214">
        <f t="shared" si="77"/>
        <v>0</v>
      </c>
      <c r="K539" s="2188"/>
      <c r="L539" s="2188"/>
      <c r="M539" s="2193"/>
      <c r="N539" s="2195">
        <f t="shared" si="78"/>
        <v>0</v>
      </c>
      <c r="O539" s="1149"/>
      <c r="P539" s="705"/>
      <c r="Q539" s="1144"/>
      <c r="S539" s="706"/>
      <c r="T539" s="706"/>
      <c r="U539" s="706"/>
      <c r="V539" s="706"/>
      <c r="W539" s="706"/>
      <c r="X539" s="706"/>
      <c r="Y539" s="706"/>
      <c r="Z539" s="706"/>
      <c r="AA539" s="706"/>
      <c r="AB539" s="706"/>
      <c r="AC539" s="706"/>
    </row>
    <row r="540" spans="1:29">
      <c r="A540" s="2153">
        <v>7</v>
      </c>
      <c r="B540" s="2154" t="s">
        <v>276</v>
      </c>
      <c r="C540" s="2161">
        <v>7</v>
      </c>
      <c r="D540" s="2213">
        <f t="shared" si="76"/>
        <v>0</v>
      </c>
      <c r="E540" s="2188"/>
      <c r="F540" s="2188">
        <f>F541+F542</f>
        <v>0</v>
      </c>
      <c r="G540" s="2188">
        <f t="shared" ref="G540:M540" si="79">G541+G542</f>
        <v>0</v>
      </c>
      <c r="H540" s="2188">
        <f t="shared" si="79"/>
        <v>0</v>
      </c>
      <c r="I540" s="2188">
        <f t="shared" si="79"/>
        <v>0</v>
      </c>
      <c r="J540" s="2214">
        <f t="shared" si="77"/>
        <v>0</v>
      </c>
      <c r="K540" s="2188">
        <f t="shared" si="79"/>
        <v>0</v>
      </c>
      <c r="L540" s="2188">
        <f t="shared" si="79"/>
        <v>0</v>
      </c>
      <c r="M540" s="2193">
        <f t="shared" si="79"/>
        <v>0</v>
      </c>
      <c r="N540" s="2195">
        <f t="shared" si="78"/>
        <v>0</v>
      </c>
      <c r="O540" s="1149"/>
      <c r="P540" s="705"/>
      <c r="Q540" s="1144"/>
      <c r="S540" s="706"/>
      <c r="T540" s="706"/>
      <c r="U540" s="706"/>
      <c r="V540" s="706"/>
      <c r="W540" s="706"/>
      <c r="X540" s="706"/>
      <c r="Y540" s="706"/>
      <c r="Z540" s="706"/>
      <c r="AA540" s="706"/>
      <c r="AB540" s="706"/>
      <c r="AC540" s="706"/>
    </row>
    <row r="541" spans="1:29">
      <c r="A541" s="2155"/>
      <c r="B541" s="2162" t="s">
        <v>277</v>
      </c>
      <c r="C541" s="2161"/>
      <c r="D541" s="2213">
        <f t="shared" si="76"/>
        <v>0</v>
      </c>
      <c r="E541" s="2188"/>
      <c r="F541" s="2188"/>
      <c r="G541" s="2188"/>
      <c r="H541" s="2188"/>
      <c r="I541" s="2188"/>
      <c r="J541" s="2214">
        <f t="shared" si="77"/>
        <v>0</v>
      </c>
      <c r="K541" s="2188"/>
      <c r="L541" s="2188"/>
      <c r="M541" s="2193"/>
      <c r="N541" s="2195">
        <f t="shared" si="78"/>
        <v>0</v>
      </c>
      <c r="O541" s="1149"/>
      <c r="P541" s="705"/>
      <c r="Q541" s="1144"/>
      <c r="S541" s="706"/>
      <c r="T541" s="706"/>
      <c r="U541" s="706"/>
      <c r="V541" s="706"/>
      <c r="W541" s="706"/>
      <c r="X541" s="706"/>
      <c r="Y541" s="706"/>
      <c r="Z541" s="706"/>
      <c r="AA541" s="706"/>
      <c r="AB541" s="706"/>
      <c r="AC541" s="706"/>
    </row>
    <row r="542" spans="1:29">
      <c r="A542" s="2155"/>
      <c r="B542" s="2162" t="s">
        <v>278</v>
      </c>
      <c r="C542" s="2161"/>
      <c r="D542" s="2213">
        <f t="shared" si="76"/>
        <v>0</v>
      </c>
      <c r="E542" s="2188"/>
      <c r="F542" s="2188"/>
      <c r="G542" s="2188"/>
      <c r="H542" s="2188"/>
      <c r="I542" s="2188"/>
      <c r="J542" s="2214">
        <f t="shared" si="77"/>
        <v>0</v>
      </c>
      <c r="K542" s="2188"/>
      <c r="L542" s="2188"/>
      <c r="M542" s="2193"/>
      <c r="N542" s="2195">
        <f t="shared" si="78"/>
        <v>0</v>
      </c>
      <c r="O542" s="1149"/>
      <c r="P542" s="705"/>
      <c r="Q542" s="1144"/>
      <c r="S542" s="706"/>
      <c r="T542" s="706"/>
      <c r="U542" s="706"/>
      <c r="V542" s="706"/>
      <c r="W542" s="706"/>
      <c r="X542" s="706"/>
      <c r="Y542" s="706"/>
      <c r="Z542" s="706"/>
      <c r="AA542" s="706"/>
      <c r="AB542" s="706"/>
      <c r="AC542" s="706"/>
    </row>
    <row r="543" spans="1:29">
      <c r="A543" s="2153">
        <v>8</v>
      </c>
      <c r="B543" s="2154" t="s">
        <v>279</v>
      </c>
      <c r="C543" s="2155">
        <v>8</v>
      </c>
      <c r="D543" s="2213">
        <f t="shared" si="76"/>
        <v>0</v>
      </c>
      <c r="E543" s="2188"/>
      <c r="F543" s="2188">
        <f>F544+F545</f>
        <v>0</v>
      </c>
      <c r="G543" s="2188">
        <f t="shared" ref="G543:M543" si="80">G544+G545</f>
        <v>0</v>
      </c>
      <c r="H543" s="2188">
        <f t="shared" si="80"/>
        <v>0</v>
      </c>
      <c r="I543" s="2188">
        <f t="shared" si="80"/>
        <v>0</v>
      </c>
      <c r="J543" s="2214">
        <f t="shared" si="77"/>
        <v>0</v>
      </c>
      <c r="K543" s="2188">
        <f t="shared" si="80"/>
        <v>0</v>
      </c>
      <c r="L543" s="2188">
        <f t="shared" si="80"/>
        <v>0</v>
      </c>
      <c r="M543" s="2193">
        <f t="shared" si="80"/>
        <v>0</v>
      </c>
      <c r="N543" s="2195">
        <f t="shared" si="78"/>
        <v>0</v>
      </c>
      <c r="O543" s="1149"/>
      <c r="P543" s="705"/>
      <c r="Q543" s="1144"/>
      <c r="S543" s="706"/>
      <c r="T543" s="706"/>
      <c r="U543" s="706"/>
      <c r="V543" s="706"/>
      <c r="W543" s="706"/>
      <c r="X543" s="706"/>
      <c r="Y543" s="706"/>
      <c r="Z543" s="706"/>
      <c r="AA543" s="706"/>
      <c r="AB543" s="706"/>
      <c r="AC543" s="706"/>
    </row>
    <row r="544" spans="1:29">
      <c r="A544" s="2153"/>
      <c r="B544" s="2162" t="s">
        <v>280</v>
      </c>
      <c r="C544" s="2155"/>
      <c r="D544" s="2213">
        <f t="shared" si="76"/>
        <v>0</v>
      </c>
      <c r="E544" s="2188"/>
      <c r="F544" s="2188"/>
      <c r="G544" s="2188"/>
      <c r="H544" s="2188"/>
      <c r="I544" s="2188"/>
      <c r="J544" s="2214">
        <f t="shared" si="77"/>
        <v>0</v>
      </c>
      <c r="K544" s="2188"/>
      <c r="L544" s="2188"/>
      <c r="M544" s="2193"/>
      <c r="N544" s="2195">
        <f t="shared" si="78"/>
        <v>0</v>
      </c>
      <c r="O544" s="1149"/>
      <c r="P544" s="705"/>
      <c r="Q544" s="1144"/>
      <c r="S544" s="706"/>
      <c r="T544" s="706"/>
      <c r="U544" s="706"/>
      <c r="V544" s="706"/>
      <c r="W544" s="706"/>
      <c r="X544" s="706"/>
      <c r="Y544" s="706"/>
      <c r="Z544" s="706"/>
      <c r="AA544" s="706"/>
      <c r="AB544" s="706"/>
      <c r="AC544" s="706"/>
    </row>
    <row r="545" spans="1:42">
      <c r="A545" s="2153"/>
      <c r="B545" s="2162" t="s">
        <v>281</v>
      </c>
      <c r="C545" s="2155"/>
      <c r="D545" s="2213">
        <f t="shared" si="76"/>
        <v>0</v>
      </c>
      <c r="E545" s="2188"/>
      <c r="F545" s="2188"/>
      <c r="G545" s="2188"/>
      <c r="H545" s="2188"/>
      <c r="I545" s="2188"/>
      <c r="J545" s="2214">
        <f t="shared" si="77"/>
        <v>0</v>
      </c>
      <c r="K545" s="2188"/>
      <c r="L545" s="2188"/>
      <c r="M545" s="2193"/>
      <c r="N545" s="2195">
        <f t="shared" si="78"/>
        <v>0</v>
      </c>
      <c r="O545" s="1149"/>
      <c r="P545" s="705"/>
      <c r="Q545" s="1144"/>
      <c r="S545" s="706"/>
      <c r="T545" s="706"/>
      <c r="U545" s="706"/>
      <c r="V545" s="706"/>
      <c r="W545" s="706"/>
      <c r="X545" s="706"/>
      <c r="Y545" s="706"/>
      <c r="Z545" s="706"/>
      <c r="AA545" s="706"/>
      <c r="AB545" s="706"/>
      <c r="AC545" s="706"/>
    </row>
    <row r="546" spans="1:42" s="913" customFormat="1" ht="25.5">
      <c r="A546" s="2163">
        <v>9</v>
      </c>
      <c r="B546" s="2164" t="s">
        <v>282</v>
      </c>
      <c r="C546" s="2165"/>
      <c r="D546" s="2230">
        <f t="shared" si="76"/>
        <v>260353</v>
      </c>
      <c r="E546" s="2231">
        <f>SUM(E547:E550)</f>
        <v>0</v>
      </c>
      <c r="F546" s="2231">
        <f>SUM(F547:F550)</f>
        <v>100000</v>
      </c>
      <c r="G546" s="2231">
        <f>SUM(G547:G550)</f>
        <v>32579</v>
      </c>
      <c r="H546" s="2231">
        <f>SUM(H547:H550)</f>
        <v>127774</v>
      </c>
      <c r="I546" s="2231">
        <f>SUM(I547:I550)</f>
        <v>0</v>
      </c>
      <c r="J546" s="2233">
        <f>G546+H546+I546</f>
        <v>160353</v>
      </c>
      <c r="K546" s="2231">
        <f>SUM(K547:K550)</f>
        <v>0</v>
      </c>
      <c r="L546" s="2231">
        <f>SUM(L547:L550)</f>
        <v>0</v>
      </c>
      <c r="M546" s="2204">
        <f>SUM(M547:M550)</f>
        <v>0</v>
      </c>
      <c r="N546" s="2205">
        <f t="shared" si="78"/>
        <v>0</v>
      </c>
      <c r="O546" s="1155"/>
      <c r="P546" s="1025"/>
      <c r="Q546" s="1274"/>
      <c r="R546" s="1027"/>
      <c r="S546" s="1027"/>
      <c r="T546" s="1027"/>
      <c r="U546" s="1027"/>
      <c r="V546" s="1027"/>
      <c r="W546" s="1027"/>
      <c r="X546" s="1027"/>
      <c r="Y546" s="1027"/>
      <c r="Z546" s="1027"/>
      <c r="AA546" s="1027"/>
      <c r="AB546" s="1027"/>
      <c r="AC546" s="1027"/>
      <c r="AE546" s="1058"/>
      <c r="AF546" s="1058"/>
      <c r="AG546" s="1058"/>
      <c r="AH546" s="1058"/>
      <c r="AI546" s="1058"/>
      <c r="AJ546" s="1058"/>
      <c r="AK546" s="1058"/>
      <c r="AL546" s="1058"/>
      <c r="AM546" s="1058"/>
      <c r="AN546" s="1058"/>
      <c r="AO546" s="1058"/>
      <c r="AP546" s="1058"/>
    </row>
    <row r="547" spans="1:42">
      <c r="A547" s="2155">
        <v>10</v>
      </c>
      <c r="B547" s="2171" t="s">
        <v>283</v>
      </c>
      <c r="C547" s="2155">
        <v>9</v>
      </c>
      <c r="D547" s="2213">
        <f t="shared" si="76"/>
        <v>0</v>
      </c>
      <c r="E547" s="2188"/>
      <c r="F547" s="2188"/>
      <c r="G547" s="2188"/>
      <c r="H547" s="2188"/>
      <c r="I547" s="2188"/>
      <c r="J547" s="2214">
        <f t="shared" ref="J547:J565" si="81">G547+H547+I547</f>
        <v>0</v>
      </c>
      <c r="K547" s="2188"/>
      <c r="L547" s="2188"/>
      <c r="M547" s="2193"/>
      <c r="N547" s="2195">
        <f t="shared" si="78"/>
        <v>0</v>
      </c>
      <c r="O547" s="1149"/>
      <c r="P547" s="705"/>
      <c r="Q547" s="1144"/>
      <c r="R547" s="706"/>
      <c r="S547" s="706"/>
      <c r="T547" s="706"/>
      <c r="U547" s="706"/>
      <c r="V547" s="706"/>
      <c r="W547" s="706"/>
      <c r="X547" s="706"/>
      <c r="Y547" s="706"/>
      <c r="Z547" s="706"/>
      <c r="AA547" s="706"/>
      <c r="AB547" s="706"/>
      <c r="AC547" s="706"/>
    </row>
    <row r="548" spans="1:42">
      <c r="A548" s="2155">
        <v>11</v>
      </c>
      <c r="B548" s="2171" t="s">
        <v>284</v>
      </c>
      <c r="C548" s="2155">
        <v>10</v>
      </c>
      <c r="D548" s="2213">
        <f t="shared" si="76"/>
        <v>112997</v>
      </c>
      <c r="E548" s="2188"/>
      <c r="F548" s="2188">
        <v>100000</v>
      </c>
      <c r="G548" s="2188">
        <v>3108</v>
      </c>
      <c r="H548" s="2188">
        <v>9889</v>
      </c>
      <c r="I548" s="2188"/>
      <c r="J548" s="2214">
        <f t="shared" si="81"/>
        <v>12997</v>
      </c>
      <c r="K548" s="2188"/>
      <c r="L548" s="2188"/>
      <c r="M548" s="2193"/>
      <c r="N548" s="2195">
        <f t="shared" si="78"/>
        <v>0</v>
      </c>
      <c r="O548" s="1149"/>
      <c r="P548" s="705"/>
      <c r="Q548" s="1145"/>
      <c r="R548" s="706"/>
      <c r="S548" s="706"/>
      <c r="T548" s="706"/>
      <c r="U548" s="706"/>
      <c r="V548" s="706"/>
      <c r="W548" s="706"/>
      <c r="X548" s="706"/>
      <c r="Y548" s="706"/>
      <c r="Z548" s="706"/>
      <c r="AA548" s="706"/>
      <c r="AB548" s="706"/>
      <c r="AC548" s="706"/>
    </row>
    <row r="549" spans="1:42">
      <c r="A549" s="2155">
        <v>12</v>
      </c>
      <c r="B549" s="2171" t="s">
        <v>285</v>
      </c>
      <c r="C549" s="2155">
        <v>11</v>
      </c>
      <c r="D549" s="2213"/>
      <c r="E549" s="2188"/>
      <c r="F549" s="2188"/>
      <c r="G549" s="2188"/>
      <c r="H549" s="2188"/>
      <c r="I549" s="2188"/>
      <c r="J549" s="2214">
        <f t="shared" si="81"/>
        <v>0</v>
      </c>
      <c r="K549" s="2188"/>
      <c r="L549" s="2188"/>
      <c r="M549" s="2193"/>
      <c r="N549" s="2195">
        <f t="shared" si="78"/>
        <v>0</v>
      </c>
      <c r="O549" s="1149"/>
      <c r="P549" s="705"/>
      <c r="Q549" s="1144"/>
      <c r="R549" s="706"/>
      <c r="S549" s="706"/>
      <c r="T549" s="706"/>
      <c r="U549" s="706"/>
      <c r="V549" s="706"/>
      <c r="W549" s="706"/>
      <c r="X549" s="706"/>
      <c r="Y549" s="706"/>
      <c r="Z549" s="706"/>
      <c r="AA549" s="706"/>
      <c r="AB549" s="706"/>
      <c r="AC549" s="706"/>
    </row>
    <row r="550" spans="1:42" ht="25.5">
      <c r="A550" s="2155">
        <v>13</v>
      </c>
      <c r="B550" s="2171" t="s">
        <v>286</v>
      </c>
      <c r="C550" s="2155">
        <v>12</v>
      </c>
      <c r="D550" s="2213">
        <f t="shared" si="76"/>
        <v>147356</v>
      </c>
      <c r="E550" s="2188"/>
      <c r="F550" s="2188"/>
      <c r="G550" s="2188">
        <v>29471</v>
      </c>
      <c r="H550" s="2188">
        <v>117885</v>
      </c>
      <c r="I550" s="2188"/>
      <c r="J550" s="2214">
        <f t="shared" si="81"/>
        <v>147356</v>
      </c>
      <c r="K550" s="2188"/>
      <c r="L550" s="2188"/>
      <c r="M550" s="2193"/>
      <c r="N550" s="2195">
        <f t="shared" si="78"/>
        <v>0</v>
      </c>
      <c r="O550" s="1149"/>
      <c r="P550" s="705"/>
      <c r="Q550" s="1145"/>
      <c r="R550" s="706"/>
      <c r="S550" s="706"/>
      <c r="T550" s="706"/>
      <c r="U550" s="706"/>
      <c r="V550" s="706"/>
      <c r="W550" s="706"/>
      <c r="X550" s="706"/>
      <c r="Y550" s="706"/>
      <c r="Z550" s="706"/>
      <c r="AA550" s="706"/>
      <c r="AB550" s="706"/>
      <c r="AC550" s="706"/>
    </row>
    <row r="551" spans="1:42">
      <c r="A551" s="2155">
        <v>14</v>
      </c>
      <c r="B551" s="2154" t="s">
        <v>287</v>
      </c>
      <c r="C551" s="2155">
        <v>13</v>
      </c>
      <c r="D551" s="2213">
        <f t="shared" si="76"/>
        <v>34853</v>
      </c>
      <c r="E551" s="2188"/>
      <c r="F551" s="2188"/>
      <c r="G551" s="2188">
        <v>34853</v>
      </c>
      <c r="H551" s="2188"/>
      <c r="I551" s="2188"/>
      <c r="J551" s="2214">
        <f t="shared" si="81"/>
        <v>34853</v>
      </c>
      <c r="K551" s="2188"/>
      <c r="L551" s="2188"/>
      <c r="M551" s="2193"/>
      <c r="N551" s="2195">
        <f t="shared" si="78"/>
        <v>0</v>
      </c>
      <c r="O551" s="1149"/>
      <c r="P551" s="705"/>
      <c r="Q551" s="1145"/>
      <c r="R551" s="706"/>
      <c r="S551" s="706"/>
      <c r="T551" s="706"/>
      <c r="U551" s="706"/>
      <c r="V551" s="706"/>
      <c r="W551" s="706"/>
      <c r="X551" s="706"/>
      <c r="Y551" s="706"/>
      <c r="Z551" s="706"/>
      <c r="AA551" s="706"/>
      <c r="AB551" s="706"/>
      <c r="AC551" s="706"/>
    </row>
    <row r="552" spans="1:42">
      <c r="A552" s="2155">
        <v>15</v>
      </c>
      <c r="B552" s="2154" t="s">
        <v>288</v>
      </c>
      <c r="C552" s="2161">
        <v>14</v>
      </c>
      <c r="D552" s="2213">
        <f t="shared" si="76"/>
        <v>0</v>
      </c>
      <c r="E552" s="2188"/>
      <c r="F552" s="2188"/>
      <c r="G552" s="2188"/>
      <c r="H552" s="2188"/>
      <c r="I552" s="2188"/>
      <c r="J552" s="2214">
        <f t="shared" si="81"/>
        <v>0</v>
      </c>
      <c r="K552" s="2188"/>
      <c r="L552" s="2188"/>
      <c r="M552" s="2193"/>
      <c r="N552" s="2195">
        <f t="shared" si="78"/>
        <v>0</v>
      </c>
      <c r="O552" s="1149"/>
      <c r="P552" s="705"/>
      <c r="Q552" s="1144"/>
      <c r="R552" s="706"/>
      <c r="S552" s="706"/>
      <c r="T552" s="706"/>
      <c r="U552" s="706"/>
      <c r="V552" s="706"/>
      <c r="W552" s="706"/>
      <c r="X552" s="706"/>
      <c r="Y552" s="706"/>
      <c r="Z552" s="706"/>
      <c r="AA552" s="706"/>
      <c r="AB552" s="706"/>
      <c r="AC552" s="706"/>
    </row>
    <row r="553" spans="1:42">
      <c r="A553" s="2155">
        <v>16</v>
      </c>
      <c r="B553" s="2154" t="s">
        <v>289</v>
      </c>
      <c r="C553" s="2155">
        <v>15</v>
      </c>
      <c r="D553" s="2213">
        <f t="shared" si="76"/>
        <v>0</v>
      </c>
      <c r="E553" s="2188"/>
      <c r="F553" s="2188"/>
      <c r="G553" s="2188"/>
      <c r="H553" s="2188"/>
      <c r="I553" s="2188"/>
      <c r="J553" s="2214">
        <f t="shared" si="81"/>
        <v>0</v>
      </c>
      <c r="K553" s="2188"/>
      <c r="L553" s="2188"/>
      <c r="M553" s="2193"/>
      <c r="N553" s="2195">
        <f t="shared" si="78"/>
        <v>0</v>
      </c>
      <c r="O553" s="1149"/>
      <c r="P553" s="705"/>
      <c r="Q553" s="1144"/>
      <c r="R553" s="706"/>
      <c r="S553" s="706"/>
      <c r="T553" s="706"/>
      <c r="U553" s="706"/>
      <c r="V553" s="706"/>
      <c r="W553" s="706"/>
      <c r="X553" s="706"/>
      <c r="Y553" s="706"/>
      <c r="Z553" s="706"/>
      <c r="AA553" s="706"/>
      <c r="AB553" s="706"/>
      <c r="AC553" s="706"/>
    </row>
    <row r="554" spans="1:42">
      <c r="A554" s="2155">
        <v>17</v>
      </c>
      <c r="B554" s="2154" t="s">
        <v>290</v>
      </c>
      <c r="C554" s="2161">
        <v>16</v>
      </c>
      <c r="D554" s="2213">
        <f t="shared" si="76"/>
        <v>187511</v>
      </c>
      <c r="E554" s="2188"/>
      <c r="F554" s="2188"/>
      <c r="G554" s="2188">
        <v>-10</v>
      </c>
      <c r="H554" s="2188">
        <v>187521</v>
      </c>
      <c r="I554" s="2188"/>
      <c r="J554" s="2214">
        <f t="shared" si="81"/>
        <v>187511</v>
      </c>
      <c r="K554" s="2188"/>
      <c r="L554" s="2188"/>
      <c r="M554" s="2193"/>
      <c r="N554" s="2195">
        <f t="shared" si="78"/>
        <v>0</v>
      </c>
      <c r="O554" s="1149"/>
      <c r="P554" s="705"/>
      <c r="Q554" s="1145"/>
      <c r="R554" s="706"/>
      <c r="S554" s="706"/>
      <c r="T554" s="706"/>
      <c r="U554" s="706"/>
      <c r="V554" s="706"/>
      <c r="W554" s="706"/>
      <c r="X554" s="706"/>
      <c r="Y554" s="706"/>
      <c r="Z554" s="706"/>
      <c r="AA554" s="706"/>
      <c r="AB554" s="706"/>
      <c r="AC554" s="706"/>
    </row>
    <row r="555" spans="1:42">
      <c r="A555" s="2155">
        <v>18</v>
      </c>
      <c r="B555" s="2154" t="s">
        <v>291</v>
      </c>
      <c r="C555" s="2155"/>
      <c r="D555" s="2213">
        <f t="shared" si="76"/>
        <v>0</v>
      </c>
      <c r="E555" s="2188"/>
      <c r="F555" s="2188"/>
      <c r="G555" s="2188"/>
      <c r="H555" s="2188"/>
      <c r="I555" s="2188"/>
      <c r="J555" s="2214">
        <f t="shared" si="81"/>
        <v>0</v>
      </c>
      <c r="K555" s="2188"/>
      <c r="L555" s="2188"/>
      <c r="M555" s="2193"/>
      <c r="N555" s="2195">
        <f t="shared" si="78"/>
        <v>0</v>
      </c>
      <c r="O555" s="1149"/>
      <c r="P555" s="705"/>
      <c r="Q555" s="1144"/>
      <c r="R555" s="706"/>
      <c r="S555" s="706"/>
      <c r="T555" s="706"/>
      <c r="U555" s="706"/>
      <c r="V555" s="706"/>
      <c r="W555" s="706"/>
      <c r="X555" s="706"/>
      <c r="Y555" s="706"/>
      <c r="Z555" s="706"/>
      <c r="AA555" s="706"/>
      <c r="AB555" s="706"/>
      <c r="AC555" s="706"/>
    </row>
    <row r="556" spans="1:42" ht="13.5" thickBot="1">
      <c r="A556" s="2172">
        <v>19</v>
      </c>
      <c r="B556" s="2173" t="s">
        <v>292</v>
      </c>
      <c r="C556" s="2172"/>
      <c r="D556" s="2213">
        <f t="shared" si="76"/>
        <v>80843</v>
      </c>
      <c r="E556" s="2188"/>
      <c r="F556" s="2188"/>
      <c r="G556" s="2188">
        <v>2312</v>
      </c>
      <c r="H556" s="2188">
        <v>78531</v>
      </c>
      <c r="I556" s="2188"/>
      <c r="J556" s="2214">
        <f t="shared" si="81"/>
        <v>80843</v>
      </c>
      <c r="K556" s="2188"/>
      <c r="L556" s="2188"/>
      <c r="M556" s="2193"/>
      <c r="N556" s="2195">
        <f t="shared" si="78"/>
        <v>0</v>
      </c>
      <c r="O556" s="1149"/>
      <c r="P556" s="705"/>
      <c r="Q556" s="1145"/>
      <c r="R556" s="706"/>
      <c r="S556" s="706"/>
      <c r="T556" s="706"/>
      <c r="U556" s="706"/>
      <c r="V556" s="706"/>
      <c r="W556" s="706"/>
      <c r="X556" s="706"/>
      <c r="Y556" s="706"/>
      <c r="Z556" s="706"/>
      <c r="AA556" s="706"/>
      <c r="AB556" s="706"/>
      <c r="AC556" s="706"/>
    </row>
    <row r="557" spans="1:42" s="913" customFormat="1" ht="26.25" thickBot="1">
      <c r="A557" s="1351">
        <v>20</v>
      </c>
      <c r="B557" s="1352" t="s">
        <v>293</v>
      </c>
      <c r="C557" s="1351"/>
      <c r="D557" s="1378">
        <f t="shared" si="76"/>
        <v>563560</v>
      </c>
      <c r="E557" s="1378">
        <f>SUM(E534:E540)+E543+E546+SUM(E551:E556)</f>
        <v>0</v>
      </c>
      <c r="F557" s="1378">
        <f>SUM(F534:F540)+F543+F546+SUM(F551:F556)</f>
        <v>100000</v>
      </c>
      <c r="G557" s="1378">
        <f>SUM(G534:G540)+G543+G546+SUM(G551:G556)</f>
        <v>69734</v>
      </c>
      <c r="H557" s="1378">
        <f>SUM(H534:H540)+H543+H546+SUM(H551:H556)</f>
        <v>393826</v>
      </c>
      <c r="I557" s="1378">
        <f>SUM(I534:I540)+I543+I546+SUM(I551:I556)</f>
        <v>0</v>
      </c>
      <c r="J557" s="1378">
        <f t="shared" si="81"/>
        <v>463560</v>
      </c>
      <c r="K557" s="1378">
        <f>SUM(K534:K540)+K543+K546+SUM(K551:K556)</f>
        <v>0</v>
      </c>
      <c r="L557" s="1378">
        <f>SUM(L534:L540)+L543+L546+SUM(L551:L556)</f>
        <v>0</v>
      </c>
      <c r="M557" s="1379">
        <f>SUM(M534:M540)+M543+M546+SUM(M551:M556)</f>
        <v>0</v>
      </c>
      <c r="N557" s="1380">
        <f t="shared" si="78"/>
        <v>0</v>
      </c>
      <c r="O557" s="1155"/>
      <c r="P557" s="1025"/>
      <c r="Q557" s="1274"/>
      <c r="R557" s="1027"/>
      <c r="S557" s="1027"/>
      <c r="T557" s="1027"/>
      <c r="U557" s="1027"/>
      <c r="V557" s="1027"/>
      <c r="W557" s="1027"/>
      <c r="X557" s="1027"/>
      <c r="Y557" s="1027"/>
      <c r="Z557" s="1027"/>
      <c r="AA557" s="1027"/>
      <c r="AB557" s="1027"/>
      <c r="AC557" s="1027"/>
      <c r="AE557" s="1058"/>
      <c r="AF557" s="1058"/>
      <c r="AG557" s="1058"/>
      <c r="AH557" s="1058"/>
      <c r="AI557" s="1058"/>
      <c r="AJ557" s="1058"/>
      <c r="AK557" s="1058"/>
      <c r="AL557" s="1058"/>
      <c r="AM557" s="1058"/>
      <c r="AN557" s="1058"/>
      <c r="AO557" s="1058"/>
      <c r="AP557" s="1058"/>
    </row>
    <row r="558" spans="1:42">
      <c r="A558" s="1346"/>
      <c r="B558" s="1347" t="s">
        <v>294</v>
      </c>
      <c r="C558" s="1346"/>
      <c r="D558" s="1387">
        <f t="shared" si="76"/>
        <v>0</v>
      </c>
      <c r="E558" s="1171"/>
      <c r="F558" s="1171"/>
      <c r="G558" s="1171"/>
      <c r="H558" s="1171"/>
      <c r="I558" s="1171"/>
      <c r="J558" s="1395">
        <f t="shared" si="81"/>
        <v>0</v>
      </c>
      <c r="K558" s="1171"/>
      <c r="L558" s="1171"/>
      <c r="M558" s="1172"/>
      <c r="N558" s="1401">
        <f t="shared" si="78"/>
        <v>0</v>
      </c>
      <c r="O558" s="1149"/>
      <c r="P558" s="705"/>
      <c r="Q558" s="1144"/>
      <c r="R558" s="706"/>
      <c r="S558" s="706"/>
      <c r="T558" s="706"/>
      <c r="U558" s="706"/>
      <c r="V558" s="706"/>
      <c r="W558" s="706"/>
      <c r="X558" s="706"/>
      <c r="Y558" s="706"/>
      <c r="Z558" s="706"/>
      <c r="AA558" s="706"/>
      <c r="AB558" s="706"/>
      <c r="AC558" s="706"/>
    </row>
    <row r="559" spans="1:42">
      <c r="A559" s="2155"/>
      <c r="B559" s="2175" t="s">
        <v>295</v>
      </c>
      <c r="C559" s="2155"/>
      <c r="D559" s="2213">
        <f t="shared" si="76"/>
        <v>0</v>
      </c>
      <c r="E559" s="2188"/>
      <c r="F559" s="2188"/>
      <c r="G559" s="2188"/>
      <c r="H559" s="2188"/>
      <c r="I559" s="2188"/>
      <c r="J559" s="2214">
        <f t="shared" si="81"/>
        <v>0</v>
      </c>
      <c r="K559" s="2188"/>
      <c r="L559" s="2188"/>
      <c r="M559" s="2193"/>
      <c r="N559" s="2195">
        <f t="shared" si="78"/>
        <v>0</v>
      </c>
      <c r="O559" s="1149"/>
      <c r="P559" s="705"/>
      <c r="Q559" s="1144"/>
      <c r="R559" s="706"/>
      <c r="S559" s="706"/>
      <c r="T559" s="706"/>
      <c r="U559" s="706"/>
      <c r="V559" s="706"/>
      <c r="W559" s="706"/>
      <c r="X559" s="706"/>
      <c r="Y559" s="706"/>
      <c r="Z559" s="706"/>
      <c r="AA559" s="706"/>
      <c r="AB559" s="706"/>
      <c r="AC559" s="706"/>
    </row>
    <row r="560" spans="1:42">
      <c r="A560" s="2155">
        <v>21</v>
      </c>
      <c r="B560" s="2154" t="s">
        <v>296</v>
      </c>
      <c r="C560" s="2161">
        <v>17</v>
      </c>
      <c r="D560" s="2213">
        <f t="shared" si="76"/>
        <v>46529</v>
      </c>
      <c r="E560" s="2188"/>
      <c r="F560" s="2188"/>
      <c r="G560" s="2188">
        <v>-263614</v>
      </c>
      <c r="H560" s="2188">
        <v>310143</v>
      </c>
      <c r="I560" s="2188"/>
      <c r="J560" s="2214">
        <f t="shared" si="81"/>
        <v>46529</v>
      </c>
      <c r="K560" s="2188"/>
      <c r="L560" s="2188"/>
      <c r="M560" s="2193"/>
      <c r="N560" s="2195">
        <f t="shared" si="78"/>
        <v>0</v>
      </c>
      <c r="O560" s="1149"/>
      <c r="P560" s="705"/>
      <c r="Q560" s="707"/>
      <c r="R560" s="706"/>
      <c r="S560" s="706"/>
      <c r="T560" s="706"/>
      <c r="U560" s="706"/>
      <c r="V560" s="706"/>
      <c r="W560" s="706"/>
      <c r="X560" s="706"/>
      <c r="Y560" s="706"/>
      <c r="Z560" s="706"/>
      <c r="AA560" s="706"/>
      <c r="AB560" s="706"/>
      <c r="AC560" s="706"/>
    </row>
    <row r="561" spans="1:42">
      <c r="A561" s="2155">
        <v>22</v>
      </c>
      <c r="B561" s="2154" t="s">
        <v>297</v>
      </c>
      <c r="C561" s="2155"/>
      <c r="D561" s="2213">
        <f t="shared" si="76"/>
        <v>0</v>
      </c>
      <c r="E561" s="2188"/>
      <c r="F561" s="2188"/>
      <c r="G561" s="2188">
        <v>0</v>
      </c>
      <c r="H561" s="2188">
        <v>0</v>
      </c>
      <c r="I561" s="2188"/>
      <c r="J561" s="2214">
        <f t="shared" si="81"/>
        <v>0</v>
      </c>
      <c r="K561" s="2188"/>
      <c r="L561" s="2188"/>
      <c r="M561" s="2193"/>
      <c r="N561" s="2195">
        <f t="shared" si="78"/>
        <v>0</v>
      </c>
      <c r="O561" s="1149"/>
      <c r="P561" s="705"/>
      <c r="Q561" s="54"/>
      <c r="R561" s="706"/>
      <c r="S561" s="706"/>
      <c r="T561" s="706"/>
      <c r="U561" s="706"/>
      <c r="V561" s="706"/>
      <c r="W561" s="706"/>
      <c r="X561" s="706"/>
      <c r="Y561" s="706"/>
      <c r="Z561" s="706"/>
      <c r="AA561" s="706"/>
      <c r="AB561" s="706"/>
      <c r="AC561" s="706"/>
    </row>
    <row r="562" spans="1:42">
      <c r="A562" s="2155">
        <v>23</v>
      </c>
      <c r="B562" s="2154" t="s">
        <v>298</v>
      </c>
      <c r="C562" s="2155">
        <v>18</v>
      </c>
      <c r="D562" s="2213">
        <f t="shared" si="76"/>
        <v>0</v>
      </c>
      <c r="E562" s="2188"/>
      <c r="F562" s="2188"/>
      <c r="G562" s="2188">
        <v>0</v>
      </c>
      <c r="H562" s="2188">
        <v>0</v>
      </c>
      <c r="I562" s="2188"/>
      <c r="J562" s="2214">
        <f t="shared" si="81"/>
        <v>0</v>
      </c>
      <c r="K562" s="2188"/>
      <c r="L562" s="2188"/>
      <c r="M562" s="2193"/>
      <c r="N562" s="2195">
        <f t="shared" si="78"/>
        <v>0</v>
      </c>
      <c r="O562" s="1149"/>
      <c r="P562" s="705"/>
      <c r="Q562" s="54"/>
      <c r="R562" s="706"/>
      <c r="S562" s="706"/>
      <c r="T562" s="706"/>
      <c r="U562" s="706"/>
      <c r="V562" s="706"/>
      <c r="W562" s="706"/>
      <c r="X562" s="706"/>
      <c r="Y562" s="706"/>
      <c r="Z562" s="706"/>
      <c r="AA562" s="706"/>
      <c r="AB562" s="706"/>
      <c r="AC562" s="706"/>
    </row>
    <row r="563" spans="1:42">
      <c r="A563" s="2155">
        <v>24</v>
      </c>
      <c r="B563" s="2154" t="s">
        <v>299</v>
      </c>
      <c r="C563" s="2155"/>
      <c r="D563" s="2213">
        <f t="shared" si="76"/>
        <v>0</v>
      </c>
      <c r="E563" s="2188"/>
      <c r="F563" s="2188"/>
      <c r="G563" s="2188">
        <v>0</v>
      </c>
      <c r="H563" s="2188">
        <v>0</v>
      </c>
      <c r="I563" s="2188"/>
      <c r="J563" s="2214">
        <f t="shared" si="81"/>
        <v>0</v>
      </c>
      <c r="K563" s="2188"/>
      <c r="L563" s="2188"/>
      <c r="M563" s="2193"/>
      <c r="N563" s="2195">
        <f t="shared" si="78"/>
        <v>0</v>
      </c>
      <c r="O563" s="1149"/>
      <c r="P563" s="705"/>
      <c r="Q563" s="54"/>
      <c r="R563" s="706"/>
      <c r="S563" s="706"/>
      <c r="T563" s="706"/>
      <c r="U563" s="706"/>
      <c r="V563" s="706"/>
      <c r="W563" s="706"/>
      <c r="X563" s="706"/>
      <c r="Y563" s="706"/>
      <c r="Z563" s="706"/>
      <c r="AA563" s="706"/>
      <c r="AB563" s="706"/>
      <c r="AC563" s="706"/>
    </row>
    <row r="564" spans="1:42">
      <c r="A564" s="2155">
        <v>25</v>
      </c>
      <c r="B564" s="2176" t="s">
        <v>300</v>
      </c>
      <c r="C564" s="2155"/>
      <c r="D564" s="2213">
        <f t="shared" si="76"/>
        <v>71927</v>
      </c>
      <c r="E564" s="2188"/>
      <c r="F564" s="2188"/>
      <c r="G564" s="2188">
        <v>71927</v>
      </c>
      <c r="H564" s="2188">
        <v>0</v>
      </c>
      <c r="I564" s="2188"/>
      <c r="J564" s="2214">
        <f t="shared" si="81"/>
        <v>71927</v>
      </c>
      <c r="K564" s="2188"/>
      <c r="L564" s="2188"/>
      <c r="M564" s="2193"/>
      <c r="N564" s="2195">
        <f t="shared" si="78"/>
        <v>0</v>
      </c>
      <c r="O564" s="1149"/>
      <c r="P564" s="705"/>
      <c r="Q564" s="707"/>
      <c r="R564" s="706"/>
      <c r="S564" s="706"/>
      <c r="T564" s="706"/>
      <c r="U564" s="706"/>
      <c r="V564" s="706"/>
      <c r="W564" s="706"/>
      <c r="X564" s="706"/>
      <c r="Y564" s="706"/>
      <c r="Z564" s="706"/>
      <c r="AA564" s="706"/>
      <c r="AB564" s="706"/>
      <c r="AC564" s="706"/>
    </row>
    <row r="565" spans="1:42" ht="13.5" thickBot="1">
      <c r="A565" s="2172">
        <v>26</v>
      </c>
      <c r="B565" s="2173" t="s">
        <v>301</v>
      </c>
      <c r="C565" s="2177">
        <v>19</v>
      </c>
      <c r="D565" s="2213">
        <f t="shared" si="76"/>
        <v>345103</v>
      </c>
      <c r="E565" s="2188"/>
      <c r="F565" s="2188"/>
      <c r="G565" s="2188">
        <v>261421</v>
      </c>
      <c r="H565" s="2188">
        <v>83682</v>
      </c>
      <c r="I565" s="2188"/>
      <c r="J565" s="2214">
        <f t="shared" si="81"/>
        <v>345103</v>
      </c>
      <c r="K565" s="2188"/>
      <c r="L565" s="2188"/>
      <c r="M565" s="2193"/>
      <c r="N565" s="2195">
        <f t="shared" si="78"/>
        <v>0</v>
      </c>
      <c r="O565" s="1149"/>
      <c r="P565" s="705"/>
      <c r="Q565" s="707"/>
      <c r="R565" s="706"/>
      <c r="S565" s="706"/>
      <c r="T565" s="706"/>
      <c r="U565" s="706"/>
      <c r="V565" s="706"/>
      <c r="W565" s="706"/>
      <c r="X565" s="706"/>
      <c r="Y565" s="706"/>
      <c r="Z565" s="706"/>
      <c r="AA565" s="706"/>
      <c r="AB565" s="706"/>
      <c r="AC565" s="706"/>
    </row>
    <row r="566" spans="1:42" s="913" customFormat="1" ht="30" customHeight="1" thickBot="1">
      <c r="A566" s="1348">
        <v>27</v>
      </c>
      <c r="B566" s="1349" t="s">
        <v>302</v>
      </c>
      <c r="C566" s="1348"/>
      <c r="D566" s="1389">
        <f t="shared" si="76"/>
        <v>463559</v>
      </c>
      <c r="E566" s="1181">
        <f>SUM(E560:E565)</f>
        <v>0</v>
      </c>
      <c r="F566" s="1181">
        <f>SUM(F560:F565)</f>
        <v>0</v>
      </c>
      <c r="G566" s="1181">
        <f>SUM(G560:G565)</f>
        <v>69734</v>
      </c>
      <c r="H566" s="1181">
        <f>SUM(H560:H565)</f>
        <v>393825</v>
      </c>
      <c r="I566" s="1181">
        <f>SUM(I560:I565)</f>
        <v>0</v>
      </c>
      <c r="J566" s="1400">
        <f>G566+H566+I566</f>
        <v>463559</v>
      </c>
      <c r="K566" s="1181">
        <f>SUM(K560:K565)</f>
        <v>0</v>
      </c>
      <c r="L566" s="1181">
        <f>SUM(L560:L565)</f>
        <v>0</v>
      </c>
      <c r="M566" s="1185">
        <f>SUM(M560:M565)</f>
        <v>0</v>
      </c>
      <c r="N566" s="1400">
        <f t="shared" si="78"/>
        <v>0</v>
      </c>
      <c r="O566" s="1155"/>
      <c r="P566" s="1025"/>
      <c r="Q566" s="710"/>
      <c r="R566" s="1027"/>
      <c r="S566" s="1027"/>
      <c r="T566" s="1027"/>
      <c r="U566" s="1027"/>
      <c r="V566" s="1027"/>
      <c r="W566" s="1027"/>
      <c r="X566" s="1027"/>
      <c r="Y566" s="1027"/>
      <c r="Z566" s="1027"/>
      <c r="AA566" s="1027"/>
      <c r="AB566" s="1027"/>
      <c r="AC566" s="1027"/>
      <c r="AE566" s="1058"/>
      <c r="AF566" s="1058"/>
      <c r="AG566" s="1058"/>
      <c r="AH566" s="1058"/>
      <c r="AI566" s="1058"/>
      <c r="AJ566" s="1058"/>
      <c r="AK566" s="1058"/>
      <c r="AL566" s="1058"/>
      <c r="AM566" s="1058"/>
      <c r="AN566" s="1058"/>
      <c r="AO566" s="1058"/>
      <c r="AP566" s="1058"/>
    </row>
    <row r="567" spans="1:42">
      <c r="A567" s="1346"/>
      <c r="B567" s="1347" t="s">
        <v>303</v>
      </c>
      <c r="C567" s="1346">
        <v>20</v>
      </c>
      <c r="D567" s="1387">
        <f t="shared" si="76"/>
        <v>0</v>
      </c>
      <c r="E567" s="1171"/>
      <c r="F567" s="1171"/>
      <c r="G567" s="1171"/>
      <c r="H567" s="1171"/>
      <c r="I567" s="1171"/>
      <c r="J567" s="1395">
        <f t="shared" ref="J567:J573" si="82">G567+H567+I567</f>
        <v>0</v>
      </c>
      <c r="K567" s="1171"/>
      <c r="L567" s="1171"/>
      <c r="M567" s="1172"/>
      <c r="N567" s="1401">
        <f t="shared" si="78"/>
        <v>0</v>
      </c>
      <c r="O567" s="1149"/>
      <c r="P567" s="705"/>
      <c r="Q567" s="54"/>
      <c r="R567" s="706"/>
      <c r="S567" s="706"/>
      <c r="T567" s="706"/>
      <c r="U567" s="706"/>
      <c r="V567" s="706"/>
      <c r="W567" s="706"/>
      <c r="X567" s="706"/>
      <c r="Y567" s="706"/>
      <c r="Z567" s="706"/>
      <c r="AA567" s="706"/>
      <c r="AB567" s="706"/>
      <c r="AC567" s="706"/>
    </row>
    <row r="568" spans="1:42">
      <c r="A568" s="2155">
        <v>28</v>
      </c>
      <c r="B568" s="2154" t="s">
        <v>304</v>
      </c>
      <c r="C568" s="2161"/>
      <c r="D568" s="2213">
        <f t="shared" si="76"/>
        <v>100000</v>
      </c>
      <c r="E568" s="2188"/>
      <c r="F568" s="2188">
        <v>100000</v>
      </c>
      <c r="G568" s="2188"/>
      <c r="H568" s="2188"/>
      <c r="I568" s="2188"/>
      <c r="J568" s="2214">
        <f t="shared" si="82"/>
        <v>0</v>
      </c>
      <c r="K568" s="2188"/>
      <c r="L568" s="2188"/>
      <c r="M568" s="2193"/>
      <c r="N568" s="2195">
        <f t="shared" si="78"/>
        <v>0</v>
      </c>
      <c r="O568" s="1149"/>
      <c r="P568" s="705"/>
      <c r="Q568" s="707"/>
      <c r="R568" s="706"/>
      <c r="S568" s="706"/>
      <c r="T568" s="706"/>
      <c r="U568" s="706"/>
      <c r="V568" s="706"/>
      <c r="W568" s="706"/>
      <c r="X568" s="706"/>
      <c r="Y568" s="706"/>
      <c r="Z568" s="706"/>
      <c r="AA568" s="706"/>
      <c r="AB568" s="706"/>
      <c r="AC568" s="706"/>
    </row>
    <row r="569" spans="1:42">
      <c r="A569" s="2155">
        <v>29</v>
      </c>
      <c r="B569" s="2154" t="s">
        <v>305</v>
      </c>
      <c r="C569" s="2161"/>
      <c r="D569" s="2213">
        <f t="shared" si="76"/>
        <v>0</v>
      </c>
      <c r="E569" s="2188"/>
      <c r="F569" s="2188"/>
      <c r="G569" s="2188"/>
      <c r="H569" s="2188"/>
      <c r="I569" s="2188"/>
      <c r="J569" s="2214">
        <f t="shared" si="82"/>
        <v>0</v>
      </c>
      <c r="K569" s="2188"/>
      <c r="L569" s="2188"/>
      <c r="M569" s="2193"/>
      <c r="N569" s="2195">
        <f t="shared" si="78"/>
        <v>0</v>
      </c>
      <c r="O569" s="1149"/>
      <c r="P569" s="705"/>
      <c r="Q569" s="54"/>
      <c r="R569" s="706"/>
      <c r="S569" s="706"/>
      <c r="T569" s="706"/>
      <c r="U569" s="706"/>
      <c r="V569" s="706"/>
      <c r="W569" s="706"/>
      <c r="X569" s="706"/>
      <c r="Y569" s="706"/>
      <c r="Z569" s="706"/>
      <c r="AA569" s="706"/>
      <c r="AB569" s="706"/>
      <c r="AC569" s="706"/>
    </row>
    <row r="570" spans="1:42">
      <c r="A570" s="2155">
        <v>30</v>
      </c>
      <c r="B570" s="2173" t="s">
        <v>306</v>
      </c>
      <c r="C570" s="2177"/>
      <c r="D570" s="2213">
        <f t="shared" si="76"/>
        <v>0</v>
      </c>
      <c r="E570" s="2188"/>
      <c r="F570" s="2188">
        <v>0</v>
      </c>
      <c r="G570" s="2188">
        <v>0</v>
      </c>
      <c r="H570" s="2188"/>
      <c r="I570" s="2188"/>
      <c r="J570" s="2214">
        <f t="shared" si="82"/>
        <v>0</v>
      </c>
      <c r="K570" s="2188"/>
      <c r="L570" s="2188"/>
      <c r="M570" s="2193"/>
      <c r="N570" s="2195">
        <f t="shared" si="78"/>
        <v>0</v>
      </c>
      <c r="O570" s="1149"/>
      <c r="P570" s="705"/>
      <c r="Q570" s="54"/>
      <c r="R570" s="706"/>
      <c r="S570" s="706"/>
      <c r="T570" s="706"/>
      <c r="U570" s="706"/>
      <c r="V570" s="706"/>
      <c r="W570" s="706"/>
      <c r="X570" s="706"/>
      <c r="Y570" s="706"/>
      <c r="Z570" s="706"/>
      <c r="AA570" s="706"/>
      <c r="AB570" s="706"/>
      <c r="AC570" s="706"/>
    </row>
    <row r="571" spans="1:42">
      <c r="A571" s="2155">
        <v>31</v>
      </c>
      <c r="B571" s="2173" t="s">
        <v>307</v>
      </c>
      <c r="C571" s="2177"/>
      <c r="D571" s="2213">
        <f t="shared" si="76"/>
        <v>0</v>
      </c>
      <c r="E571" s="2188"/>
      <c r="F571" s="2188"/>
      <c r="G571" s="2188"/>
      <c r="H571" s="2188"/>
      <c r="I571" s="2188"/>
      <c r="J571" s="2214">
        <f t="shared" si="82"/>
        <v>0</v>
      </c>
      <c r="K571" s="2188"/>
      <c r="L571" s="2188"/>
      <c r="M571" s="2193"/>
      <c r="N571" s="2195">
        <f t="shared" si="78"/>
        <v>0</v>
      </c>
      <c r="O571" s="1149"/>
      <c r="P571" s="705"/>
      <c r="Q571" s="54"/>
      <c r="R571" s="706"/>
      <c r="S571" s="706"/>
      <c r="T571" s="706"/>
      <c r="U571" s="706"/>
      <c r="V571" s="706"/>
      <c r="W571" s="706"/>
      <c r="X571" s="706"/>
      <c r="Y571" s="706"/>
      <c r="Z571" s="706"/>
      <c r="AA571" s="706"/>
      <c r="AB571" s="706"/>
      <c r="AC571" s="706"/>
    </row>
    <row r="572" spans="1:42" ht="13.5" thickBot="1">
      <c r="A572" s="2172">
        <v>32</v>
      </c>
      <c r="B572" s="2173" t="s">
        <v>308</v>
      </c>
      <c r="C572" s="2177"/>
      <c r="D572" s="2213">
        <f t="shared" si="76"/>
        <v>0</v>
      </c>
      <c r="E572" s="2188"/>
      <c r="F572" s="2188"/>
      <c r="G572" s="2188"/>
      <c r="H572" s="2188"/>
      <c r="I572" s="2188"/>
      <c r="J572" s="2214">
        <f t="shared" si="82"/>
        <v>0</v>
      </c>
      <c r="K572" s="2188"/>
      <c r="L572" s="2188"/>
      <c r="M572" s="2193"/>
      <c r="N572" s="2195">
        <f t="shared" si="78"/>
        <v>0</v>
      </c>
      <c r="O572" s="1149"/>
      <c r="P572" s="705"/>
      <c r="Q572" s="54"/>
      <c r="R572" s="706"/>
      <c r="S572" s="706"/>
      <c r="T572" s="706"/>
      <c r="U572" s="706"/>
      <c r="V572" s="706"/>
      <c r="W572" s="706"/>
      <c r="X572" s="706"/>
      <c r="Y572" s="706"/>
      <c r="Z572" s="706"/>
      <c r="AA572" s="706"/>
      <c r="AB572" s="706"/>
      <c r="AC572" s="706"/>
    </row>
    <row r="573" spans="1:42" s="913" customFormat="1" ht="13.5" thickBot="1">
      <c r="A573" s="1348">
        <v>33</v>
      </c>
      <c r="B573" s="1384" t="s">
        <v>309</v>
      </c>
      <c r="C573" s="1385"/>
      <c r="D573" s="1390">
        <f t="shared" si="76"/>
        <v>100000</v>
      </c>
      <c r="E573" s="1186">
        <f>SUM(E568:E572)</f>
        <v>0</v>
      </c>
      <c r="F573" s="1186">
        <f>SUM(F568:F572)</f>
        <v>100000</v>
      </c>
      <c r="G573" s="1186">
        <f>SUM(G568:G572)</f>
        <v>0</v>
      </c>
      <c r="H573" s="1186">
        <f>SUM(H568:H572)</f>
        <v>0</v>
      </c>
      <c r="I573" s="1186">
        <f>SUM(I568:I572)</f>
        <v>0</v>
      </c>
      <c r="J573" s="1397">
        <f t="shared" si="82"/>
        <v>0</v>
      </c>
      <c r="K573" s="1186">
        <f>SUM(K568:K572)</f>
        <v>0</v>
      </c>
      <c r="L573" s="1186">
        <f>SUM(L568:L572)</f>
        <v>0</v>
      </c>
      <c r="M573" s="1187">
        <f>SUM(M568:M572)</f>
        <v>0</v>
      </c>
      <c r="N573" s="1402">
        <f t="shared" si="78"/>
        <v>0</v>
      </c>
      <c r="O573" s="1155"/>
      <c r="P573" s="1025"/>
      <c r="Q573" s="710"/>
      <c r="R573" s="1027"/>
      <c r="S573" s="1027"/>
      <c r="T573" s="1027"/>
      <c r="U573" s="1027"/>
      <c r="V573" s="1027"/>
      <c r="W573" s="1027"/>
      <c r="X573" s="1027"/>
      <c r="Y573" s="1027"/>
      <c r="Z573" s="1027"/>
      <c r="AA573" s="1027"/>
      <c r="AB573" s="1027"/>
      <c r="AC573" s="1027"/>
      <c r="AE573" s="1058"/>
      <c r="AF573" s="1058"/>
      <c r="AG573" s="1058"/>
      <c r="AH573" s="1058"/>
      <c r="AI573" s="1058"/>
      <c r="AJ573" s="1058"/>
      <c r="AK573" s="1058"/>
      <c r="AL573" s="1058"/>
      <c r="AM573" s="1058"/>
      <c r="AN573" s="1058"/>
      <c r="AO573" s="1058"/>
      <c r="AP573" s="1058"/>
    </row>
    <row r="574" spans="1:42" s="913" customFormat="1" ht="26.25" thickBot="1">
      <c r="A574" s="1351">
        <v>34</v>
      </c>
      <c r="B574" s="1352" t="s">
        <v>310</v>
      </c>
      <c r="C574" s="1351"/>
      <c r="D574" s="1381">
        <f>+E574+F574+J574+N574</f>
        <v>563559</v>
      </c>
      <c r="E574" s="1381">
        <f>E573+E566</f>
        <v>0</v>
      </c>
      <c r="F574" s="1381">
        <f>F573+F566</f>
        <v>100000</v>
      </c>
      <c r="G574" s="1381">
        <f>G573+G566</f>
        <v>69734</v>
      </c>
      <c r="H574" s="1381">
        <f>H573+H566</f>
        <v>393825</v>
      </c>
      <c r="I574" s="1381">
        <f>I573+I566</f>
        <v>0</v>
      </c>
      <c r="J574" s="1381">
        <f>G574+H574+I574</f>
        <v>463559</v>
      </c>
      <c r="K574" s="1381">
        <f>K573+K566</f>
        <v>0</v>
      </c>
      <c r="L574" s="1381">
        <f>L573+L566</f>
        <v>0</v>
      </c>
      <c r="M574" s="1382">
        <f>M573+M566</f>
        <v>0</v>
      </c>
      <c r="N574" s="1383">
        <f t="shared" si="78"/>
        <v>0</v>
      </c>
      <c r="O574" s="1155"/>
      <c r="P574" s="1025"/>
      <c r="Q574" s="1274"/>
      <c r="R574" s="1027"/>
      <c r="S574" s="1027"/>
      <c r="T574" s="1027"/>
      <c r="U574" s="1027"/>
      <c r="V574" s="1027"/>
      <c r="W574" s="1027"/>
      <c r="X574" s="1027"/>
      <c r="Y574" s="1027"/>
      <c r="Z574" s="1027"/>
      <c r="AA574" s="1027"/>
      <c r="AB574" s="1027"/>
      <c r="AC574" s="1027"/>
      <c r="AE574" s="1058"/>
      <c r="AF574" s="1058"/>
      <c r="AG574" s="1058"/>
      <c r="AH574" s="1058"/>
      <c r="AI574" s="1058"/>
      <c r="AJ574" s="1058"/>
      <c r="AK574" s="1058"/>
      <c r="AL574" s="1058"/>
      <c r="AM574" s="1058"/>
      <c r="AN574" s="1058"/>
      <c r="AO574" s="1058"/>
      <c r="AP574" s="1058"/>
    </row>
    <row r="576" spans="1:42">
      <c r="B576" s="680"/>
      <c r="D576" s="679"/>
      <c r="E576" s="679"/>
      <c r="F576" s="679"/>
      <c r="G576" s="679"/>
      <c r="H576" s="679"/>
      <c r="I576" s="679"/>
      <c r="J576" s="679"/>
      <c r="K576" s="679"/>
      <c r="L576" s="679"/>
      <c r="M576" s="679"/>
      <c r="N576" s="911">
        <v>23</v>
      </c>
      <c r="O576" s="679"/>
    </row>
    <row r="577" spans="1:29">
      <c r="D577" s="679"/>
      <c r="E577" s="679"/>
      <c r="F577" s="679"/>
      <c r="G577" s="679"/>
      <c r="H577" s="679"/>
      <c r="I577" s="679"/>
      <c r="J577" s="679"/>
      <c r="K577" s="679"/>
      <c r="L577" s="679"/>
      <c r="M577" s="679"/>
      <c r="N577" s="679"/>
    </row>
    <row r="578" spans="1:29" ht="13.5" thickBot="1">
      <c r="E578" s="679"/>
      <c r="F578" s="679"/>
      <c r="G578" s="679"/>
      <c r="H578" s="679"/>
      <c r="I578" s="679"/>
      <c r="J578" s="679"/>
      <c r="K578" s="679"/>
      <c r="L578" s="679"/>
      <c r="M578" s="679"/>
      <c r="N578" s="679"/>
    </row>
    <row r="579" spans="1:29" ht="15.75" customHeight="1" thickBot="1">
      <c r="A579" s="1368" t="s">
        <v>188</v>
      </c>
      <c r="B579" s="3533" t="s">
        <v>106</v>
      </c>
      <c r="C579" s="3534"/>
      <c r="E579" s="679"/>
      <c r="F579" s="679"/>
      <c r="G579" s="679"/>
      <c r="H579" s="679"/>
      <c r="I579" s="679"/>
      <c r="J579" s="679"/>
      <c r="K579" s="679"/>
      <c r="L579" s="679"/>
      <c r="M579" s="3538" t="s">
        <v>251</v>
      </c>
      <c r="N579" s="3538"/>
      <c r="O579" s="1148"/>
    </row>
    <row r="580" spans="1:29" ht="13.15" customHeight="1" thickBot="1">
      <c r="A580" s="3512" t="s">
        <v>252</v>
      </c>
      <c r="B580" s="3515"/>
      <c r="C580" s="3523" t="s">
        <v>254</v>
      </c>
      <c r="D580" s="3518" t="s">
        <v>255</v>
      </c>
      <c r="E580" s="3518" t="s">
        <v>256</v>
      </c>
      <c r="F580" s="3518" t="s">
        <v>257</v>
      </c>
      <c r="G580" s="3526" t="s">
        <v>258</v>
      </c>
      <c r="H580" s="3527"/>
      <c r="I580" s="3527"/>
      <c r="J580" s="3527"/>
      <c r="K580" s="3527"/>
      <c r="L580" s="3527"/>
      <c r="M580" s="3527"/>
      <c r="N580" s="3528"/>
      <c r="O580" s="409"/>
    </row>
    <row r="581" spans="1:29" ht="13.15" customHeight="1" thickBot="1">
      <c r="A581" s="3513"/>
      <c r="B581" s="3516"/>
      <c r="C581" s="3524"/>
      <c r="D581" s="3520"/>
      <c r="E581" s="3520"/>
      <c r="F581" s="3520"/>
      <c r="G581" s="3529" t="s">
        <v>259</v>
      </c>
      <c r="H581" s="3530"/>
      <c r="I581" s="3530"/>
      <c r="J581" s="3531"/>
      <c r="K581" s="3529" t="s">
        <v>260</v>
      </c>
      <c r="L581" s="3530"/>
      <c r="M581" s="3530"/>
      <c r="N581" s="3531"/>
      <c r="O581" s="443"/>
    </row>
    <row r="582" spans="1:29" ht="39" thickBot="1">
      <c r="A582" s="3513"/>
      <c r="B582" s="3516"/>
      <c r="C582" s="3524"/>
      <c r="D582" s="3519"/>
      <c r="E582" s="3519"/>
      <c r="F582" s="3519"/>
      <c r="G582" s="1336" t="s">
        <v>261</v>
      </c>
      <c r="H582" s="1336" t="s">
        <v>262</v>
      </c>
      <c r="I582" s="1336" t="s">
        <v>263</v>
      </c>
      <c r="J582" s="1336" t="s">
        <v>158</v>
      </c>
      <c r="K582" s="1337" t="s">
        <v>264</v>
      </c>
      <c r="L582" s="1337" t="s">
        <v>265</v>
      </c>
      <c r="M582" s="1337" t="s">
        <v>266</v>
      </c>
      <c r="N582" s="1404" t="s">
        <v>158</v>
      </c>
      <c r="O582" s="443"/>
    </row>
    <row r="583" spans="1:29" ht="13.5" thickBot="1">
      <c r="A583" s="3513"/>
      <c r="B583" s="3516"/>
      <c r="C583" s="3524"/>
      <c r="D583" s="1340">
        <v>1</v>
      </c>
      <c r="E583" s="1342">
        <v>2</v>
      </c>
      <c r="F583" s="1342">
        <v>3</v>
      </c>
      <c r="G583" s="1442">
        <v>4</v>
      </c>
      <c r="H583" s="1342">
        <v>5</v>
      </c>
      <c r="I583" s="1443">
        <v>6</v>
      </c>
      <c r="J583" s="1341">
        <v>7</v>
      </c>
      <c r="K583" s="1442">
        <v>8</v>
      </c>
      <c r="L583" s="1342">
        <v>9</v>
      </c>
      <c r="M583" s="1444">
        <v>10</v>
      </c>
      <c r="N583" s="1340">
        <v>11</v>
      </c>
      <c r="O583" s="409"/>
    </row>
    <row r="584" spans="1:29" ht="13.5" thickBot="1">
      <c r="A584" s="3514"/>
      <c r="B584" s="3517"/>
      <c r="C584" s="3525"/>
      <c r="D584" s="1343"/>
      <c r="E584" s="1343"/>
      <c r="F584" s="1343"/>
      <c r="G584" s="1445"/>
      <c r="H584" s="1343"/>
      <c r="I584" s="1371"/>
      <c r="J584" s="1344" t="s">
        <v>267</v>
      </c>
      <c r="K584" s="1445"/>
      <c r="L584" s="1343"/>
      <c r="M584" s="1967"/>
      <c r="N584" s="1372" t="s">
        <v>268</v>
      </c>
      <c r="O584" s="703"/>
      <c r="P584" s="703"/>
      <c r="Q584" s="703"/>
    </row>
    <row r="585" spans="1:29">
      <c r="A585" s="1346"/>
      <c r="B585" s="1347" t="s">
        <v>269</v>
      </c>
      <c r="C585" s="1446"/>
      <c r="D585" s="2264"/>
      <c r="E585" s="1242"/>
      <c r="F585" s="1242"/>
      <c r="G585" s="1182"/>
      <c r="H585" s="1174"/>
      <c r="I585" s="1281"/>
      <c r="J585" s="1450"/>
      <c r="K585" s="1171"/>
      <c r="L585" s="1174"/>
      <c r="M585" s="1243"/>
      <c r="N585" s="1439"/>
      <c r="Q585" s="1144"/>
      <c r="R585" s="706"/>
    </row>
    <row r="586" spans="1:29">
      <c r="A586" s="2153">
        <v>1</v>
      </c>
      <c r="B586" s="2154" t="s">
        <v>270</v>
      </c>
      <c r="C586" s="2269"/>
      <c r="D586" s="2213">
        <f>+E586+F586+J586+N586</f>
        <v>0</v>
      </c>
      <c r="E586" s="2188"/>
      <c r="F586" s="2188"/>
      <c r="G586" s="2189"/>
      <c r="H586" s="2197"/>
      <c r="I586" s="2220"/>
      <c r="J586" s="2195">
        <f>G586+H586+I586</f>
        <v>0</v>
      </c>
      <c r="K586" s="2188"/>
      <c r="L586" s="2188"/>
      <c r="M586" s="2193"/>
      <c r="N586" s="2195">
        <f>K586+L586+M586</f>
        <v>0</v>
      </c>
      <c r="O586" s="1149"/>
      <c r="P586" s="705"/>
      <c r="Q586" s="54"/>
      <c r="R586" s="706"/>
      <c r="S586" s="706"/>
      <c r="T586" s="706"/>
      <c r="U586" s="706"/>
      <c r="V586" s="706"/>
      <c r="W586" s="706"/>
      <c r="X586" s="706"/>
      <c r="Y586" s="706"/>
      <c r="Z586" s="706"/>
      <c r="AA586" s="706"/>
      <c r="AB586" s="706"/>
      <c r="AC586" s="706"/>
    </row>
    <row r="587" spans="1:29">
      <c r="A587" s="2153">
        <v>2</v>
      </c>
      <c r="B587" s="2154" t="s">
        <v>271</v>
      </c>
      <c r="C587" s="2269"/>
      <c r="D587" s="2213">
        <f t="shared" ref="D587:D625" si="83">+E587+F587+J587+N587</f>
        <v>0</v>
      </c>
      <c r="E587" s="2188"/>
      <c r="F587" s="2188"/>
      <c r="G587" s="2189"/>
      <c r="H587" s="2197"/>
      <c r="I587" s="2220"/>
      <c r="J587" s="2195">
        <f t="shared" ref="J587:J597" si="84">G587+H587+I587</f>
        <v>0</v>
      </c>
      <c r="K587" s="2188"/>
      <c r="L587" s="2188"/>
      <c r="M587" s="2193"/>
      <c r="N587" s="2195">
        <f t="shared" ref="N587:N626" si="85">K587+L587+M587</f>
        <v>0</v>
      </c>
      <c r="O587" s="1149"/>
      <c r="P587" s="705"/>
      <c r="Q587" s="54"/>
      <c r="R587" s="706"/>
      <c r="S587" s="706"/>
      <c r="T587" s="706"/>
      <c r="U587" s="706"/>
      <c r="V587" s="706"/>
      <c r="W587" s="706"/>
      <c r="X587" s="706"/>
      <c r="Y587" s="706"/>
      <c r="Z587" s="706"/>
      <c r="AA587" s="706"/>
      <c r="AB587" s="706"/>
      <c r="AC587" s="706"/>
    </row>
    <row r="588" spans="1:29">
      <c r="A588" s="2153">
        <v>3</v>
      </c>
      <c r="B588" s="2154" t="s">
        <v>272</v>
      </c>
      <c r="C588" s="2269"/>
      <c r="D588" s="2213">
        <f t="shared" si="83"/>
        <v>0</v>
      </c>
      <c r="E588" s="2188"/>
      <c r="F588" s="2188"/>
      <c r="G588" s="2189"/>
      <c r="H588" s="2197"/>
      <c r="I588" s="2220"/>
      <c r="J588" s="2195">
        <f t="shared" si="84"/>
        <v>0</v>
      </c>
      <c r="K588" s="2188"/>
      <c r="L588" s="2188"/>
      <c r="M588" s="2193"/>
      <c r="N588" s="2195">
        <f t="shared" si="85"/>
        <v>0</v>
      </c>
      <c r="O588" s="1149"/>
      <c r="P588" s="705"/>
      <c r="Q588" s="54"/>
      <c r="R588" s="706"/>
      <c r="S588" s="706"/>
      <c r="T588" s="706"/>
      <c r="U588" s="706"/>
      <c r="V588" s="706"/>
      <c r="W588" s="706"/>
      <c r="X588" s="706"/>
      <c r="Y588" s="706"/>
      <c r="Z588" s="706"/>
      <c r="AA588" s="706"/>
      <c r="AB588" s="706"/>
      <c r="AC588" s="706"/>
    </row>
    <row r="589" spans="1:29">
      <c r="A589" s="2153">
        <v>4</v>
      </c>
      <c r="B589" s="2154" t="s">
        <v>315</v>
      </c>
      <c r="C589" s="2269"/>
      <c r="D589" s="2213">
        <f t="shared" si="83"/>
        <v>0</v>
      </c>
      <c r="E589" s="2188"/>
      <c r="F589" s="2188"/>
      <c r="G589" s="2189"/>
      <c r="H589" s="2197"/>
      <c r="I589" s="2220"/>
      <c r="J589" s="2195">
        <f t="shared" si="84"/>
        <v>0</v>
      </c>
      <c r="K589" s="2188"/>
      <c r="L589" s="2188"/>
      <c r="M589" s="2193"/>
      <c r="N589" s="2195">
        <f t="shared" si="85"/>
        <v>0</v>
      </c>
      <c r="O589" s="1149"/>
      <c r="P589" s="705"/>
      <c r="Q589" s="54"/>
      <c r="R589" s="706"/>
      <c r="S589" s="706"/>
      <c r="T589" s="706"/>
      <c r="U589" s="706"/>
      <c r="V589" s="706"/>
      <c r="W589" s="706"/>
      <c r="X589" s="706"/>
      <c r="Y589" s="706"/>
      <c r="Z589" s="706"/>
      <c r="AA589" s="706"/>
      <c r="AB589" s="706"/>
      <c r="AC589" s="706"/>
    </row>
    <row r="590" spans="1:29">
      <c r="A590" s="2153">
        <v>5</v>
      </c>
      <c r="B590" s="2154" t="s">
        <v>274</v>
      </c>
      <c r="C590" s="2270">
        <v>5</v>
      </c>
      <c r="D590" s="2213">
        <f t="shared" si="83"/>
        <v>20995</v>
      </c>
      <c r="E590" s="2188"/>
      <c r="F590" s="2188">
        <v>20995</v>
      </c>
      <c r="G590" s="2189"/>
      <c r="H590" s="2197"/>
      <c r="I590" s="2220">
        <v>0</v>
      </c>
      <c r="J590" s="2195">
        <f t="shared" si="84"/>
        <v>0</v>
      </c>
      <c r="K590" s="2188"/>
      <c r="L590" s="2188"/>
      <c r="M590" s="2193"/>
      <c r="N590" s="2195">
        <f t="shared" si="85"/>
        <v>0</v>
      </c>
      <c r="O590" s="1149"/>
      <c r="P590" s="705"/>
      <c r="Q590" s="1141"/>
      <c r="R590" s="706"/>
      <c r="S590" s="706"/>
      <c r="T590" s="706"/>
      <c r="U590" s="706"/>
      <c r="V590" s="706"/>
      <c r="W590" s="706"/>
      <c r="X590" s="706"/>
      <c r="Y590" s="706"/>
      <c r="Z590" s="706"/>
      <c r="AA590" s="706"/>
      <c r="AB590" s="706"/>
      <c r="AC590" s="706"/>
    </row>
    <row r="591" spans="1:29">
      <c r="A591" s="2153">
        <v>6</v>
      </c>
      <c r="B591" s="2154" t="s">
        <v>275</v>
      </c>
      <c r="C591" s="2269">
        <v>6</v>
      </c>
      <c r="D591" s="2213">
        <f t="shared" si="83"/>
        <v>300000</v>
      </c>
      <c r="E591" s="2188"/>
      <c r="F591" s="1171">
        <v>52675</v>
      </c>
      <c r="G591" s="2189">
        <v>160761</v>
      </c>
      <c r="H591" s="2193">
        <v>86564</v>
      </c>
      <c r="I591" s="2197">
        <v>0</v>
      </c>
      <c r="J591" s="2195">
        <f t="shared" si="84"/>
        <v>247325</v>
      </c>
      <c r="K591" s="2188"/>
      <c r="L591" s="2188"/>
      <c r="M591" s="2193"/>
      <c r="N591" s="2195">
        <f t="shared" si="85"/>
        <v>0</v>
      </c>
      <c r="O591" s="1149"/>
      <c r="P591" s="705"/>
      <c r="Q591" s="707"/>
      <c r="R591" s="706"/>
      <c r="S591" s="706"/>
      <c r="T591" s="706"/>
      <c r="U591" s="706"/>
      <c r="V591" s="706"/>
      <c r="W591" s="706"/>
      <c r="X591" s="706"/>
      <c r="Y591" s="706"/>
      <c r="Z591" s="706"/>
      <c r="AA591" s="706"/>
      <c r="AB591" s="706"/>
      <c r="AC591" s="706"/>
    </row>
    <row r="592" spans="1:29">
      <c r="A592" s="2153">
        <v>7</v>
      </c>
      <c r="B592" s="2154" t="s">
        <v>276</v>
      </c>
      <c r="C592" s="2270">
        <v>7</v>
      </c>
      <c r="D592" s="2213">
        <f t="shared" si="83"/>
        <v>0</v>
      </c>
      <c r="E592" s="2188"/>
      <c r="F592" s="2188">
        <f>F593+F594</f>
        <v>0</v>
      </c>
      <c r="G592" s="2188">
        <f t="shared" ref="G592:M592" si="86">G593+G594</f>
        <v>0</v>
      </c>
      <c r="H592" s="2193">
        <f t="shared" si="86"/>
        <v>0</v>
      </c>
      <c r="I592" s="2220">
        <f t="shared" si="86"/>
        <v>0</v>
      </c>
      <c r="J592" s="2195">
        <f t="shared" si="84"/>
        <v>0</v>
      </c>
      <c r="K592" s="2188">
        <f t="shared" si="86"/>
        <v>0</v>
      </c>
      <c r="L592" s="2188">
        <f t="shared" si="86"/>
        <v>0</v>
      </c>
      <c r="M592" s="2193">
        <f t="shared" si="86"/>
        <v>0</v>
      </c>
      <c r="N592" s="2195">
        <f t="shared" si="85"/>
        <v>0</v>
      </c>
      <c r="O592" s="1149"/>
      <c r="P592" s="705"/>
      <c r="Q592" s="1142"/>
      <c r="R592" s="706"/>
      <c r="S592" s="706"/>
      <c r="T592" s="706"/>
      <c r="U592" s="706"/>
      <c r="V592" s="706"/>
      <c r="W592" s="706"/>
      <c r="X592" s="706"/>
      <c r="Y592" s="706"/>
      <c r="Z592" s="706"/>
      <c r="AA592" s="706"/>
      <c r="AB592" s="706"/>
      <c r="AC592" s="706"/>
    </row>
    <row r="593" spans="1:42">
      <c r="A593" s="2155"/>
      <c r="B593" s="2162" t="s">
        <v>277</v>
      </c>
      <c r="C593" s="2270"/>
      <c r="D593" s="2213">
        <f t="shared" si="83"/>
        <v>0</v>
      </c>
      <c r="E593" s="2188"/>
      <c r="F593" s="2188"/>
      <c r="G593" s="2188"/>
      <c r="H593" s="2193"/>
      <c r="I593" s="2220"/>
      <c r="J593" s="2195">
        <f t="shared" si="84"/>
        <v>0</v>
      </c>
      <c r="K593" s="2188"/>
      <c r="L593" s="2188"/>
      <c r="M593" s="2193"/>
      <c r="N593" s="2195">
        <f t="shared" si="85"/>
        <v>0</v>
      </c>
      <c r="O593" s="1149"/>
      <c r="P593" s="705"/>
      <c r="Q593" s="1142"/>
      <c r="R593" s="706"/>
      <c r="S593" s="706"/>
      <c r="T593" s="706"/>
      <c r="U593" s="706"/>
      <c r="V593" s="706"/>
      <c r="W593" s="706"/>
      <c r="X593" s="706"/>
      <c r="Y593" s="706"/>
      <c r="Z593" s="706"/>
      <c r="AA593" s="706"/>
      <c r="AB593" s="706"/>
      <c r="AC593" s="706"/>
    </row>
    <row r="594" spans="1:42">
      <c r="A594" s="2155"/>
      <c r="B594" s="2162" t="s">
        <v>278</v>
      </c>
      <c r="C594" s="2270"/>
      <c r="D594" s="2213">
        <f t="shared" si="83"/>
        <v>0</v>
      </c>
      <c r="E594" s="2188"/>
      <c r="F594" s="2188"/>
      <c r="G594" s="2188"/>
      <c r="H594" s="2193"/>
      <c r="I594" s="2220"/>
      <c r="J594" s="2195">
        <f t="shared" si="84"/>
        <v>0</v>
      </c>
      <c r="K594" s="2188"/>
      <c r="L594" s="2188"/>
      <c r="M594" s="2193"/>
      <c r="N594" s="2195">
        <f t="shared" si="85"/>
        <v>0</v>
      </c>
      <c r="O594" s="1149"/>
      <c r="P594" s="705"/>
      <c r="Q594" s="1142"/>
      <c r="R594" s="706"/>
      <c r="S594" s="706"/>
      <c r="T594" s="706"/>
      <c r="U594" s="706"/>
      <c r="V594" s="706"/>
      <c r="W594" s="706"/>
      <c r="X594" s="706"/>
      <c r="Y594" s="706"/>
      <c r="Z594" s="706"/>
      <c r="AA594" s="706"/>
      <c r="AB594" s="706"/>
      <c r="AC594" s="706"/>
    </row>
    <row r="595" spans="1:42">
      <c r="A595" s="2153">
        <v>8</v>
      </c>
      <c r="B595" s="2154" t="s">
        <v>279</v>
      </c>
      <c r="C595" s="2269">
        <v>8</v>
      </c>
      <c r="D595" s="2213">
        <f t="shared" si="83"/>
        <v>0</v>
      </c>
      <c r="E595" s="2188"/>
      <c r="F595" s="2188">
        <f>F596+F597</f>
        <v>0</v>
      </c>
      <c r="G595" s="2188">
        <f t="shared" ref="G595:M595" si="87">G596+G597</f>
        <v>0</v>
      </c>
      <c r="H595" s="2193">
        <f t="shared" si="87"/>
        <v>0</v>
      </c>
      <c r="I595" s="2220">
        <f t="shared" si="87"/>
        <v>0</v>
      </c>
      <c r="J595" s="2195">
        <f t="shared" si="84"/>
        <v>0</v>
      </c>
      <c r="K595" s="2188">
        <f t="shared" si="87"/>
        <v>0</v>
      </c>
      <c r="L595" s="2188">
        <f t="shared" si="87"/>
        <v>0</v>
      </c>
      <c r="M595" s="2193">
        <f t="shared" si="87"/>
        <v>0</v>
      </c>
      <c r="N595" s="2195">
        <f t="shared" si="85"/>
        <v>0</v>
      </c>
      <c r="O595" s="1149"/>
      <c r="P595" s="705"/>
      <c r="Q595" s="54"/>
      <c r="R595" s="706"/>
      <c r="S595" s="706"/>
      <c r="T595" s="706"/>
      <c r="U595" s="706"/>
      <c r="V595" s="706"/>
      <c r="W595" s="706"/>
      <c r="X595" s="706"/>
      <c r="Y595" s="706"/>
      <c r="Z595" s="706"/>
      <c r="AA595" s="706"/>
      <c r="AB595" s="706"/>
      <c r="AC595" s="706"/>
    </row>
    <row r="596" spans="1:42">
      <c r="A596" s="2153"/>
      <c r="B596" s="2162" t="s">
        <v>280</v>
      </c>
      <c r="C596" s="2269"/>
      <c r="D596" s="2213">
        <f t="shared" si="83"/>
        <v>0</v>
      </c>
      <c r="E596" s="2188"/>
      <c r="F596" s="2188"/>
      <c r="G596" s="2188"/>
      <c r="H596" s="2193"/>
      <c r="I596" s="2220"/>
      <c r="J596" s="2195">
        <f t="shared" si="84"/>
        <v>0</v>
      </c>
      <c r="K596" s="2188"/>
      <c r="L596" s="2188"/>
      <c r="M596" s="2193"/>
      <c r="N596" s="2195">
        <f t="shared" si="85"/>
        <v>0</v>
      </c>
      <c r="O596" s="1149"/>
      <c r="P596" s="705"/>
      <c r="Q596" s="54"/>
      <c r="R596" s="706"/>
      <c r="S596" s="706"/>
      <c r="T596" s="706"/>
      <c r="U596" s="706"/>
      <c r="V596" s="706"/>
      <c r="W596" s="706"/>
      <c r="X596" s="706"/>
      <c r="Y596" s="706"/>
      <c r="Z596" s="706"/>
      <c r="AA596" s="706"/>
      <c r="AB596" s="706"/>
      <c r="AC596" s="706"/>
    </row>
    <row r="597" spans="1:42">
      <c r="A597" s="2153"/>
      <c r="B597" s="2162" t="s">
        <v>281</v>
      </c>
      <c r="C597" s="2269"/>
      <c r="D597" s="2213">
        <f t="shared" si="83"/>
        <v>0</v>
      </c>
      <c r="E597" s="2188"/>
      <c r="F597" s="2188"/>
      <c r="G597" s="2188"/>
      <c r="H597" s="2193"/>
      <c r="I597" s="2220"/>
      <c r="J597" s="2195">
        <f t="shared" si="84"/>
        <v>0</v>
      </c>
      <c r="K597" s="2188"/>
      <c r="L597" s="2188"/>
      <c r="M597" s="2193"/>
      <c r="N597" s="2195">
        <f t="shared" si="85"/>
        <v>0</v>
      </c>
      <c r="O597" s="1149"/>
      <c r="P597" s="705"/>
      <c r="Q597" s="54"/>
      <c r="R597" s="706"/>
      <c r="S597" s="706"/>
      <c r="T597" s="706"/>
      <c r="U597" s="706"/>
      <c r="V597" s="706"/>
      <c r="W597" s="706"/>
      <c r="X597" s="706"/>
      <c r="Y597" s="706"/>
      <c r="Z597" s="706"/>
      <c r="AA597" s="706"/>
      <c r="AB597" s="706"/>
      <c r="AC597" s="706"/>
    </row>
    <row r="598" spans="1:42" s="913" customFormat="1" ht="25.5">
      <c r="A598" s="2163">
        <v>9</v>
      </c>
      <c r="B598" s="2164" t="s">
        <v>282</v>
      </c>
      <c r="C598" s="2271"/>
      <c r="D598" s="2230">
        <f t="shared" si="83"/>
        <v>2903859</v>
      </c>
      <c r="E598" s="2231">
        <f>SUM(E599:E602)</f>
        <v>0</v>
      </c>
      <c r="F598" s="2231">
        <f>SUM(F599:F602)</f>
        <v>280040</v>
      </c>
      <c r="G598" s="2231">
        <f>SUM(G599:G602)</f>
        <v>1253775</v>
      </c>
      <c r="H598" s="2204">
        <f>SUM(H599:H602)</f>
        <v>1370044</v>
      </c>
      <c r="I598" s="2201">
        <f>SUM(I599:I602)</f>
        <v>0</v>
      </c>
      <c r="J598" s="2205">
        <f>G598+H598+I598</f>
        <v>2623819</v>
      </c>
      <c r="K598" s="2231">
        <f>SUM(K599:K602)</f>
        <v>0</v>
      </c>
      <c r="L598" s="2231">
        <f>SUM(L599:L602)</f>
        <v>0</v>
      </c>
      <c r="M598" s="2204">
        <f>SUM(M599:M602)</f>
        <v>0</v>
      </c>
      <c r="N598" s="2205">
        <f t="shared" si="85"/>
        <v>0</v>
      </c>
      <c r="O598" s="1155"/>
      <c r="P598" s="1025"/>
      <c r="Q598" s="1143"/>
      <c r="R598" s="1027"/>
      <c r="S598" s="1027"/>
      <c r="T598" s="1027"/>
      <c r="U598" s="1027"/>
      <c r="V598" s="1027"/>
      <c r="W598" s="1027"/>
      <c r="X598" s="1027"/>
      <c r="Y598" s="1027"/>
      <c r="Z598" s="1027"/>
      <c r="AA598" s="1027"/>
      <c r="AB598" s="1027"/>
      <c r="AC598" s="1027"/>
      <c r="AE598" s="1058"/>
      <c r="AF598" s="1058"/>
      <c r="AG598" s="1058"/>
      <c r="AH598" s="1058"/>
      <c r="AI598" s="1058"/>
      <c r="AJ598" s="1058"/>
      <c r="AK598" s="1058"/>
      <c r="AL598" s="1058"/>
      <c r="AM598" s="1058"/>
      <c r="AN598" s="1058"/>
      <c r="AO598" s="1058"/>
      <c r="AP598" s="1058"/>
    </row>
    <row r="599" spans="1:42">
      <c r="A599" s="2155">
        <v>10</v>
      </c>
      <c r="B599" s="2171" t="s">
        <v>283</v>
      </c>
      <c r="C599" s="2269">
        <v>9</v>
      </c>
      <c r="D599" s="2213">
        <f t="shared" si="83"/>
        <v>1167401</v>
      </c>
      <c r="E599" s="2188"/>
      <c r="F599" s="2188">
        <v>0</v>
      </c>
      <c r="G599" s="2189">
        <v>783408</v>
      </c>
      <c r="H599" s="2193">
        <v>383993</v>
      </c>
      <c r="I599" s="2220"/>
      <c r="J599" s="2195">
        <f t="shared" ref="J599:J617" si="88">G599+H599+I599</f>
        <v>1167401</v>
      </c>
      <c r="K599" s="2188"/>
      <c r="L599" s="2188"/>
      <c r="M599" s="2193"/>
      <c r="N599" s="2195">
        <f t="shared" si="85"/>
        <v>0</v>
      </c>
      <c r="O599" s="1149"/>
      <c r="P599" s="705"/>
      <c r="Q599" s="707"/>
      <c r="R599" s="706"/>
      <c r="S599" s="706"/>
      <c r="T599" s="706"/>
      <c r="U599" s="706"/>
      <c r="V599" s="706"/>
      <c r="W599" s="706"/>
      <c r="X599" s="706"/>
      <c r="Y599" s="706"/>
      <c r="Z599" s="706"/>
      <c r="AA599" s="706"/>
      <c r="AB599" s="706"/>
      <c r="AC599" s="706"/>
    </row>
    <row r="600" spans="1:42">
      <c r="A600" s="2155">
        <v>11</v>
      </c>
      <c r="B600" s="2171" t="s">
        <v>284</v>
      </c>
      <c r="C600" s="2269">
        <v>10</v>
      </c>
      <c r="D600" s="2213">
        <f t="shared" si="83"/>
        <v>1130101</v>
      </c>
      <c r="E600" s="2188"/>
      <c r="F600" s="1171">
        <v>9084</v>
      </c>
      <c r="G600" s="1182">
        <v>458107</v>
      </c>
      <c r="H600" s="1182">
        <v>662910</v>
      </c>
      <c r="I600" s="2235"/>
      <c r="J600" s="2195">
        <f t="shared" si="88"/>
        <v>1121017</v>
      </c>
      <c r="K600" s="2188"/>
      <c r="L600" s="2188"/>
      <c r="M600" s="2193"/>
      <c r="N600" s="2195">
        <f t="shared" si="85"/>
        <v>0</v>
      </c>
      <c r="O600" s="1149"/>
      <c r="P600" s="705"/>
      <c r="Q600" s="707"/>
      <c r="R600" s="706"/>
      <c r="S600" s="706"/>
      <c r="T600" s="706"/>
      <c r="U600" s="706"/>
      <c r="V600" s="706"/>
      <c r="W600" s="706"/>
      <c r="X600" s="706"/>
      <c r="Y600" s="706"/>
      <c r="Z600" s="706"/>
      <c r="AA600" s="706"/>
      <c r="AB600" s="706"/>
      <c r="AC600" s="706"/>
    </row>
    <row r="601" spans="1:42">
      <c r="A601" s="2155">
        <v>12</v>
      </c>
      <c r="B601" s="2171" t="s">
        <v>285</v>
      </c>
      <c r="C601" s="2269">
        <v>11</v>
      </c>
      <c r="D601" s="2213">
        <f t="shared" si="83"/>
        <v>191120</v>
      </c>
      <c r="E601" s="2188"/>
      <c r="F601" s="1171">
        <v>4487</v>
      </c>
      <c r="G601" s="1182">
        <v>12260</v>
      </c>
      <c r="H601" s="1182">
        <v>174373</v>
      </c>
      <c r="I601" s="2235"/>
      <c r="J601" s="2195">
        <f t="shared" si="88"/>
        <v>186633</v>
      </c>
      <c r="K601" s="2188"/>
      <c r="L601" s="2188"/>
      <c r="M601" s="2193"/>
      <c r="N601" s="2195">
        <f t="shared" si="85"/>
        <v>0</v>
      </c>
      <c r="O601" s="1149"/>
      <c r="P601" s="705"/>
      <c r="Q601" s="707"/>
      <c r="R601" s="706"/>
      <c r="S601" s="706"/>
      <c r="T601" s="706"/>
      <c r="U601" s="706"/>
      <c r="V601" s="706"/>
      <c r="W601" s="706"/>
      <c r="X601" s="706"/>
      <c r="Y601" s="706"/>
      <c r="Z601" s="706"/>
      <c r="AA601" s="706"/>
      <c r="AB601" s="706"/>
      <c r="AC601" s="706"/>
    </row>
    <row r="602" spans="1:42" ht="25.5">
      <c r="A602" s="2155">
        <v>13</v>
      </c>
      <c r="B602" s="2171" t="s">
        <v>286</v>
      </c>
      <c r="C602" s="2269">
        <v>12</v>
      </c>
      <c r="D602" s="2213">
        <f t="shared" si="83"/>
        <v>415237</v>
      </c>
      <c r="E602" s="2188"/>
      <c r="F602" s="1171">
        <v>266469</v>
      </c>
      <c r="G602" s="1182">
        <v>0</v>
      </c>
      <c r="H602" s="1182">
        <v>148768</v>
      </c>
      <c r="I602" s="2235"/>
      <c r="J602" s="2195">
        <f t="shared" si="88"/>
        <v>148768</v>
      </c>
      <c r="K602" s="2188"/>
      <c r="L602" s="2188"/>
      <c r="M602" s="2193"/>
      <c r="N602" s="2195">
        <f t="shared" si="85"/>
        <v>0</v>
      </c>
      <c r="O602" s="1149"/>
      <c r="P602" s="705"/>
      <c r="Q602" s="707"/>
      <c r="R602" s="706"/>
      <c r="S602" s="706"/>
      <c r="T602" s="706"/>
      <c r="U602" s="706"/>
      <c r="V602" s="706"/>
      <c r="W602" s="706"/>
      <c r="X602" s="706"/>
      <c r="Y602" s="706"/>
      <c r="Z602" s="706"/>
      <c r="AA602" s="706"/>
      <c r="AB602" s="706"/>
      <c r="AC602" s="706"/>
    </row>
    <row r="603" spans="1:42">
      <c r="A603" s="2155">
        <v>14</v>
      </c>
      <c r="B603" s="2154" t="s">
        <v>287</v>
      </c>
      <c r="C603" s="2269">
        <v>13</v>
      </c>
      <c r="D603" s="2213">
        <f t="shared" si="83"/>
        <v>85592</v>
      </c>
      <c r="E603" s="2188"/>
      <c r="F603" s="2188"/>
      <c r="G603" s="2189">
        <v>29306</v>
      </c>
      <c r="H603" s="2197">
        <v>56286</v>
      </c>
      <c r="I603" s="2220"/>
      <c r="J603" s="2195">
        <f t="shared" si="88"/>
        <v>85592</v>
      </c>
      <c r="K603" s="2188"/>
      <c r="L603" s="2188"/>
      <c r="M603" s="2193"/>
      <c r="N603" s="2195">
        <f t="shared" si="85"/>
        <v>0</v>
      </c>
      <c r="O603" s="1149"/>
      <c r="P603" s="705"/>
      <c r="Q603" s="707"/>
      <c r="R603" s="706"/>
      <c r="S603" s="706"/>
      <c r="T603" s="706"/>
      <c r="U603" s="706"/>
      <c r="V603" s="706"/>
      <c r="W603" s="706"/>
      <c r="X603" s="706"/>
      <c r="Y603" s="706"/>
      <c r="Z603" s="706"/>
      <c r="AA603" s="706"/>
      <c r="AB603" s="706"/>
      <c r="AC603" s="706"/>
    </row>
    <row r="604" spans="1:42">
      <c r="A604" s="2155">
        <v>15</v>
      </c>
      <c r="B604" s="2154" t="s">
        <v>288</v>
      </c>
      <c r="C604" s="2270">
        <v>14</v>
      </c>
      <c r="D604" s="2213">
        <f t="shared" si="83"/>
        <v>0</v>
      </c>
      <c r="E604" s="2188"/>
      <c r="F604" s="2188"/>
      <c r="G604" s="1182">
        <v>0</v>
      </c>
      <c r="H604" s="1174">
        <v>0</v>
      </c>
      <c r="I604" s="2220"/>
      <c r="J604" s="2195">
        <f t="shared" si="88"/>
        <v>0</v>
      </c>
      <c r="K604" s="2188"/>
      <c r="L604" s="2188"/>
      <c r="M604" s="2193"/>
      <c r="N604" s="2195">
        <f t="shared" si="85"/>
        <v>0</v>
      </c>
      <c r="O604" s="1149"/>
      <c r="P604" s="705"/>
      <c r="Q604" s="1142"/>
      <c r="R604" s="706"/>
      <c r="S604" s="706"/>
      <c r="T604" s="706"/>
      <c r="U604" s="706"/>
      <c r="V604" s="706"/>
      <c r="W604" s="706"/>
      <c r="X604" s="706"/>
      <c r="Y604" s="706"/>
      <c r="Z604" s="706"/>
      <c r="AA604" s="706"/>
      <c r="AB604" s="706"/>
      <c r="AC604" s="706"/>
    </row>
    <row r="605" spans="1:42">
      <c r="A605" s="2155">
        <v>16</v>
      </c>
      <c r="B605" s="2154" t="s">
        <v>289</v>
      </c>
      <c r="C605" s="2269">
        <v>15</v>
      </c>
      <c r="D605" s="2213">
        <f t="shared" si="83"/>
        <v>11908</v>
      </c>
      <c r="E605" s="2188"/>
      <c r="F605" s="2188"/>
      <c r="G605" s="1182">
        <v>11908</v>
      </c>
      <c r="H605" s="1174">
        <v>0</v>
      </c>
      <c r="I605" s="2220"/>
      <c r="J605" s="2195">
        <f t="shared" si="88"/>
        <v>11908</v>
      </c>
      <c r="K605" s="2188"/>
      <c r="L605" s="2188"/>
      <c r="M605" s="2193"/>
      <c r="N605" s="2195">
        <f t="shared" si="85"/>
        <v>0</v>
      </c>
      <c r="O605" s="1149"/>
      <c r="P605" s="705"/>
      <c r="Q605" s="707"/>
      <c r="R605" s="706"/>
      <c r="S605" s="706"/>
      <c r="T605" s="706"/>
      <c r="U605" s="706"/>
      <c r="V605" s="706"/>
      <c r="W605" s="706"/>
      <c r="X605" s="706"/>
      <c r="Y605" s="706"/>
      <c r="Z605" s="706"/>
      <c r="AA605" s="706"/>
      <c r="AB605" s="706"/>
      <c r="AC605" s="706"/>
    </row>
    <row r="606" spans="1:42">
      <c r="A606" s="2155">
        <v>17</v>
      </c>
      <c r="B606" s="2154" t="s">
        <v>290</v>
      </c>
      <c r="C606" s="2270">
        <v>16</v>
      </c>
      <c r="D606" s="2213">
        <f t="shared" si="83"/>
        <v>97791</v>
      </c>
      <c r="E606" s="2188"/>
      <c r="F606" s="2188">
        <v>58078</v>
      </c>
      <c r="G606" s="1182">
        <v>26506</v>
      </c>
      <c r="H606" s="1182">
        <v>13207</v>
      </c>
      <c r="I606" s="2235"/>
      <c r="J606" s="2195">
        <f t="shared" si="88"/>
        <v>39713</v>
      </c>
      <c r="K606" s="2188"/>
      <c r="L606" s="2188"/>
      <c r="M606" s="2193"/>
      <c r="N606" s="2195">
        <f t="shared" si="85"/>
        <v>0</v>
      </c>
      <c r="O606" s="1149"/>
      <c r="P606" s="705"/>
      <c r="Q606" s="1141"/>
      <c r="R606" s="706"/>
      <c r="S606" s="706"/>
      <c r="T606" s="706"/>
      <c r="U606" s="706"/>
      <c r="V606" s="706"/>
      <c r="W606" s="706"/>
      <c r="X606" s="706"/>
      <c r="Y606" s="706"/>
      <c r="Z606" s="706"/>
      <c r="AA606" s="706"/>
      <c r="AB606" s="706"/>
      <c r="AC606" s="706"/>
    </row>
    <row r="607" spans="1:42">
      <c r="A607" s="2155">
        <v>18</v>
      </c>
      <c r="B607" s="2154" t="s">
        <v>291</v>
      </c>
      <c r="C607" s="2269"/>
      <c r="D607" s="2213">
        <f t="shared" si="83"/>
        <v>0</v>
      </c>
      <c r="E607" s="2188"/>
      <c r="F607" s="2188"/>
      <c r="G607" s="1182">
        <v>0</v>
      </c>
      <c r="H607" s="1174">
        <v>0</v>
      </c>
      <c r="I607" s="2220"/>
      <c r="J607" s="2195">
        <f t="shared" si="88"/>
        <v>0</v>
      </c>
      <c r="K607" s="2188"/>
      <c r="L607" s="2188"/>
      <c r="M607" s="2193"/>
      <c r="N607" s="2195">
        <f t="shared" si="85"/>
        <v>0</v>
      </c>
      <c r="O607" s="1149"/>
      <c r="P607" s="705"/>
      <c r="Q607" s="54"/>
      <c r="R607" s="706"/>
      <c r="S607" s="706"/>
      <c r="T607" s="706"/>
      <c r="U607" s="706"/>
      <c r="V607" s="706"/>
      <c r="W607" s="706"/>
      <c r="X607" s="706"/>
      <c r="Y607" s="706"/>
      <c r="Z607" s="706"/>
      <c r="AA607" s="706"/>
      <c r="AB607" s="706"/>
      <c r="AC607" s="706"/>
    </row>
    <row r="608" spans="1:42" ht="13.5" thickBot="1">
      <c r="A608" s="2172">
        <v>19</v>
      </c>
      <c r="B608" s="2173" t="s">
        <v>292</v>
      </c>
      <c r="C608" s="2272"/>
      <c r="D608" s="1388">
        <f t="shared" si="83"/>
        <v>71394</v>
      </c>
      <c r="E608" s="1176"/>
      <c r="F608" s="1176"/>
      <c r="G608" s="1202">
        <v>21365</v>
      </c>
      <c r="H608" s="1200">
        <v>50029</v>
      </c>
      <c r="I608" s="2251"/>
      <c r="J608" s="2215">
        <f t="shared" si="88"/>
        <v>71394</v>
      </c>
      <c r="K608" s="1176"/>
      <c r="L608" s="1176"/>
      <c r="M608" s="1177"/>
      <c r="N608" s="2215">
        <f t="shared" si="85"/>
        <v>0</v>
      </c>
      <c r="O608" s="1149"/>
      <c r="P608" s="705"/>
      <c r="Q608" s="707"/>
      <c r="R608" s="706"/>
      <c r="S608" s="706"/>
      <c r="T608" s="706"/>
      <c r="U608" s="706"/>
      <c r="V608" s="706"/>
      <c r="W608" s="706"/>
      <c r="X608" s="706"/>
      <c r="Y608" s="706"/>
      <c r="Z608" s="706"/>
      <c r="AA608" s="706"/>
      <c r="AB608" s="706"/>
      <c r="AC608" s="706"/>
    </row>
    <row r="609" spans="1:42" s="913" customFormat="1" ht="26.25" thickBot="1">
      <c r="A609" s="1351">
        <v>20</v>
      </c>
      <c r="B609" s="1352" t="s">
        <v>293</v>
      </c>
      <c r="C609" s="1451"/>
      <c r="D609" s="1378">
        <f t="shared" si="83"/>
        <v>3491539</v>
      </c>
      <c r="E609" s="1378">
        <f>SUM(E586:E592)+E595+E598+SUM(E603:E608)</f>
        <v>0</v>
      </c>
      <c r="F609" s="1378">
        <f>SUM(F586:F592)+F595+F598+SUM(F603:F608)</f>
        <v>411788</v>
      </c>
      <c r="G609" s="1378">
        <f>SUM(G586:G592)+G595+G598+SUM(G603:G608)</f>
        <v>1503621</v>
      </c>
      <c r="H609" s="1379">
        <f>SUM(H586:H592)+H595+H598+SUM(H603:H608)</f>
        <v>1576130</v>
      </c>
      <c r="I609" s="1414">
        <f>SUM(I586:I592)+I595+I598+SUM(I603:I608)</f>
        <v>0</v>
      </c>
      <c r="J609" s="1380">
        <f t="shared" si="88"/>
        <v>3079751</v>
      </c>
      <c r="K609" s="1378">
        <f>SUM(K586:K592)+K595+K598+SUM(K603:K608)</f>
        <v>0</v>
      </c>
      <c r="L609" s="1378">
        <f>SUM(L586:L592)+L595+L598+SUM(L603:L608)</f>
        <v>0</v>
      </c>
      <c r="M609" s="1379">
        <f>SUM(M586:M592)+M595+M598+SUM(M603:M608)</f>
        <v>0</v>
      </c>
      <c r="N609" s="1380">
        <f t="shared" si="85"/>
        <v>0</v>
      </c>
      <c r="O609" s="1155"/>
      <c r="P609" s="1025"/>
      <c r="Q609" s="710"/>
      <c r="R609" s="1027"/>
      <c r="S609" s="1027"/>
      <c r="T609" s="1027"/>
      <c r="U609" s="1027"/>
      <c r="V609" s="1027"/>
      <c r="W609" s="1027"/>
      <c r="X609" s="1027"/>
      <c r="Y609" s="1027"/>
      <c r="Z609" s="1027"/>
      <c r="AA609" s="1027"/>
      <c r="AB609" s="1027"/>
      <c r="AC609" s="1027"/>
      <c r="AE609" s="1058"/>
      <c r="AF609" s="1058"/>
      <c r="AG609" s="1058"/>
      <c r="AH609" s="1058"/>
      <c r="AI609" s="1058"/>
      <c r="AJ609" s="1058"/>
      <c r="AK609" s="1058"/>
      <c r="AL609" s="1058"/>
      <c r="AM609" s="1058"/>
      <c r="AN609" s="1058"/>
      <c r="AO609" s="1058"/>
      <c r="AP609" s="1058"/>
    </row>
    <row r="610" spans="1:42">
      <c r="A610" s="1346"/>
      <c r="B610" s="1347" t="s">
        <v>294</v>
      </c>
      <c r="C610" s="1446"/>
      <c r="D610" s="1387">
        <f t="shared" si="83"/>
        <v>0</v>
      </c>
      <c r="E610" s="1171"/>
      <c r="F610" s="1171"/>
      <c r="G610" s="1182"/>
      <c r="H610" s="1174"/>
      <c r="I610" s="1201"/>
      <c r="J610" s="1401">
        <f t="shared" si="88"/>
        <v>0</v>
      </c>
      <c r="K610" s="1171"/>
      <c r="L610" s="1171"/>
      <c r="M610" s="1172"/>
      <c r="N610" s="1401">
        <f t="shared" si="85"/>
        <v>0</v>
      </c>
      <c r="O610" s="1149"/>
      <c r="P610" s="705"/>
      <c r="Q610" s="54"/>
      <c r="R610" s="706"/>
      <c r="S610" s="706"/>
      <c r="T610" s="706"/>
      <c r="U610" s="706"/>
      <c r="V610" s="706"/>
      <c r="W610" s="706"/>
      <c r="X610" s="706"/>
      <c r="Y610" s="706"/>
      <c r="Z610" s="706"/>
      <c r="AA610" s="706"/>
      <c r="AB610" s="706"/>
      <c r="AC610" s="706"/>
    </row>
    <row r="611" spans="1:42">
      <c r="A611" s="2155"/>
      <c r="B611" s="2175" t="s">
        <v>295</v>
      </c>
      <c r="C611" s="2269"/>
      <c r="D611" s="2213">
        <f t="shared" si="83"/>
        <v>0</v>
      </c>
      <c r="E611" s="2188"/>
      <c r="F611" s="2188"/>
      <c r="G611" s="2189"/>
      <c r="H611" s="2197"/>
      <c r="I611" s="2220"/>
      <c r="J611" s="2195">
        <f t="shared" si="88"/>
        <v>0</v>
      </c>
      <c r="K611" s="2188"/>
      <c r="L611" s="2188"/>
      <c r="M611" s="2193"/>
      <c r="N611" s="2195">
        <f t="shared" si="85"/>
        <v>0</v>
      </c>
      <c r="O611" s="1149"/>
      <c r="P611" s="705"/>
      <c r="Q611" s="54"/>
      <c r="R611" s="706"/>
      <c r="S611" s="706"/>
      <c r="T611" s="706"/>
      <c r="U611" s="706"/>
      <c r="V611" s="706"/>
      <c r="W611" s="706"/>
      <c r="X611" s="706"/>
      <c r="Y611" s="706"/>
      <c r="Z611" s="706"/>
      <c r="AA611" s="706"/>
      <c r="AB611" s="706"/>
      <c r="AC611" s="706"/>
    </row>
    <row r="612" spans="1:42">
      <c r="A612" s="2155">
        <v>21</v>
      </c>
      <c r="B612" s="2154" t="s">
        <v>296</v>
      </c>
      <c r="C612" s="2270">
        <v>17</v>
      </c>
      <c r="D612" s="2213">
        <f t="shared" si="83"/>
        <v>2928302</v>
      </c>
      <c r="E612" s="2188"/>
      <c r="F612" s="2188">
        <v>0</v>
      </c>
      <c r="G612" s="2189">
        <v>1421487</v>
      </c>
      <c r="H612" s="2193">
        <v>1506815</v>
      </c>
      <c r="I612" s="2220"/>
      <c r="J612" s="2195">
        <f t="shared" si="88"/>
        <v>2928302</v>
      </c>
      <c r="K612" s="2188"/>
      <c r="L612" s="2188"/>
      <c r="M612" s="2193"/>
      <c r="N612" s="2195">
        <f t="shared" si="85"/>
        <v>0</v>
      </c>
      <c r="O612" s="1149"/>
      <c r="P612" s="705"/>
      <c r="Q612" s="1141"/>
      <c r="R612" s="706"/>
      <c r="S612" s="706"/>
      <c r="T612" s="706"/>
      <c r="U612" s="706"/>
      <c r="V612" s="706"/>
      <c r="W612" s="706"/>
      <c r="X612" s="706"/>
      <c r="Y612" s="706"/>
      <c r="Z612" s="706"/>
      <c r="AA612" s="706"/>
      <c r="AB612" s="706"/>
      <c r="AC612" s="706"/>
    </row>
    <row r="613" spans="1:42">
      <c r="A613" s="2155">
        <v>22</v>
      </c>
      <c r="B613" s="2154" t="s">
        <v>297</v>
      </c>
      <c r="C613" s="2269"/>
      <c r="D613" s="2213">
        <f t="shared" si="83"/>
        <v>16111</v>
      </c>
      <c r="E613" s="2188"/>
      <c r="F613" s="1171">
        <v>16111</v>
      </c>
      <c r="G613" s="1182">
        <v>0</v>
      </c>
      <c r="H613" s="1172">
        <v>0</v>
      </c>
      <c r="I613" s="2220"/>
      <c r="J613" s="2195">
        <f t="shared" si="88"/>
        <v>0</v>
      </c>
      <c r="K613" s="2188"/>
      <c r="L613" s="2188"/>
      <c r="M613" s="2193"/>
      <c r="N613" s="2195">
        <f t="shared" si="85"/>
        <v>0</v>
      </c>
      <c r="O613" s="1149"/>
      <c r="P613" s="705"/>
      <c r="Q613" s="707"/>
      <c r="R613" s="706"/>
      <c r="S613" s="706"/>
      <c r="T613" s="706"/>
      <c r="U613" s="706"/>
      <c r="V613" s="706"/>
      <c r="W613" s="706"/>
      <c r="X613" s="706"/>
      <c r="Y613" s="706"/>
      <c r="Z613" s="706"/>
      <c r="AA613" s="706"/>
      <c r="AB613" s="706"/>
      <c r="AC613" s="706"/>
    </row>
    <row r="614" spans="1:42">
      <c r="A614" s="2155">
        <v>23</v>
      </c>
      <c r="B614" s="2154" t="s">
        <v>298</v>
      </c>
      <c r="C614" s="2269">
        <v>18</v>
      </c>
      <c r="D614" s="2213">
        <f t="shared" si="83"/>
        <v>0</v>
      </c>
      <c r="E614" s="2188"/>
      <c r="F614" s="1171">
        <v>0</v>
      </c>
      <c r="G614" s="1182">
        <v>0</v>
      </c>
      <c r="H614" s="1172">
        <v>0</v>
      </c>
      <c r="I614" s="2220"/>
      <c r="J614" s="2195">
        <f t="shared" si="88"/>
        <v>0</v>
      </c>
      <c r="K614" s="2188"/>
      <c r="L614" s="2188"/>
      <c r="M614" s="2193"/>
      <c r="N614" s="2195">
        <f t="shared" si="85"/>
        <v>0</v>
      </c>
      <c r="O614" s="1149"/>
      <c r="P614" s="705"/>
      <c r="Q614" s="54"/>
      <c r="R614" s="706"/>
      <c r="S614" s="706"/>
      <c r="T614" s="706"/>
      <c r="U614" s="706"/>
      <c r="V614" s="706"/>
      <c r="W614" s="706"/>
      <c r="X614" s="706"/>
      <c r="Y614" s="706"/>
      <c r="Z614" s="706"/>
      <c r="AA614" s="706"/>
      <c r="AB614" s="706"/>
      <c r="AC614" s="706"/>
    </row>
    <row r="615" spans="1:42">
      <c r="A615" s="2155">
        <v>24</v>
      </c>
      <c r="B615" s="2154" t="s">
        <v>299</v>
      </c>
      <c r="C615" s="2269"/>
      <c r="D615" s="2213">
        <f t="shared" si="83"/>
        <v>0</v>
      </c>
      <c r="E615" s="2188"/>
      <c r="F615" s="1171">
        <v>0</v>
      </c>
      <c r="G615" s="1182">
        <v>0</v>
      </c>
      <c r="H615" s="1172">
        <v>0</v>
      </c>
      <c r="I615" s="2220"/>
      <c r="J615" s="2195">
        <f t="shared" si="88"/>
        <v>0</v>
      </c>
      <c r="K615" s="2188"/>
      <c r="L615" s="2188"/>
      <c r="M615" s="2193"/>
      <c r="N615" s="2195">
        <f t="shared" si="85"/>
        <v>0</v>
      </c>
      <c r="O615" s="1149"/>
      <c r="P615" s="705"/>
      <c r="Q615" s="54"/>
      <c r="R615" s="706"/>
      <c r="S615" s="706"/>
      <c r="T615" s="706"/>
      <c r="U615" s="706"/>
      <c r="V615" s="706"/>
      <c r="W615" s="706"/>
      <c r="X615" s="706"/>
      <c r="Y615" s="706"/>
      <c r="Z615" s="706"/>
      <c r="AA615" s="706"/>
      <c r="AB615" s="706"/>
      <c r="AC615" s="706"/>
    </row>
    <row r="616" spans="1:42">
      <c r="A616" s="2155">
        <v>25</v>
      </c>
      <c r="B616" s="2176" t="s">
        <v>300</v>
      </c>
      <c r="C616" s="2269"/>
      <c r="D616" s="2213">
        <f t="shared" si="83"/>
        <v>0</v>
      </c>
      <c r="E616" s="2188"/>
      <c r="F616" s="1171">
        <v>0</v>
      </c>
      <c r="G616" s="1182">
        <v>0</v>
      </c>
      <c r="H616" s="1172">
        <v>0</v>
      </c>
      <c r="I616" s="2220"/>
      <c r="J616" s="2195">
        <f t="shared" si="88"/>
        <v>0</v>
      </c>
      <c r="K616" s="2188"/>
      <c r="L616" s="2188"/>
      <c r="M616" s="2193"/>
      <c r="N616" s="2195">
        <f t="shared" si="85"/>
        <v>0</v>
      </c>
      <c r="O616" s="1149"/>
      <c r="P616" s="705"/>
      <c r="Q616" s="54"/>
      <c r="R616" s="706"/>
      <c r="S616" s="706"/>
      <c r="T616" s="706"/>
      <c r="U616" s="706"/>
      <c r="V616" s="706"/>
      <c r="W616" s="706"/>
      <c r="X616" s="706"/>
      <c r="Y616" s="706"/>
      <c r="Z616" s="706"/>
      <c r="AA616" s="706"/>
      <c r="AB616" s="706"/>
      <c r="AC616" s="706"/>
    </row>
    <row r="617" spans="1:42" ht="13.5" thickBot="1">
      <c r="A617" s="2172">
        <v>26</v>
      </c>
      <c r="B617" s="2173" t="s">
        <v>301</v>
      </c>
      <c r="C617" s="2273">
        <v>19</v>
      </c>
      <c r="D617" s="2213">
        <f t="shared" si="83"/>
        <v>221972</v>
      </c>
      <c r="E617" s="2188"/>
      <c r="F617" s="1175">
        <v>70522</v>
      </c>
      <c r="G617" s="1202">
        <v>82135</v>
      </c>
      <c r="H617" s="1202">
        <v>69315</v>
      </c>
      <c r="I617" s="2246"/>
      <c r="J617" s="2195">
        <f t="shared" si="88"/>
        <v>151450</v>
      </c>
      <c r="K617" s="2188"/>
      <c r="L617" s="2188"/>
      <c r="M617" s="2193"/>
      <c r="N617" s="2195">
        <f t="shared" si="85"/>
        <v>0</v>
      </c>
      <c r="O617" s="1149"/>
      <c r="P617" s="705"/>
      <c r="Q617" s="1141"/>
      <c r="R617" s="706"/>
      <c r="S617" s="706"/>
      <c r="T617" s="706"/>
      <c r="U617" s="706"/>
      <c r="V617" s="706"/>
      <c r="W617" s="706"/>
      <c r="X617" s="706"/>
      <c r="Y617" s="706"/>
      <c r="Z617" s="706"/>
      <c r="AA617" s="706"/>
      <c r="AB617" s="706"/>
      <c r="AC617" s="706"/>
    </row>
    <row r="618" spans="1:42" s="913" customFormat="1" ht="33.75" customHeight="1" thickBot="1">
      <c r="A618" s="1348">
        <v>27</v>
      </c>
      <c r="B618" s="1349" t="s">
        <v>302</v>
      </c>
      <c r="C618" s="1447"/>
      <c r="D618" s="1389">
        <f t="shared" si="83"/>
        <v>3166385</v>
      </c>
      <c r="E618" s="1181">
        <f>SUM(E612:E617)</f>
        <v>0</v>
      </c>
      <c r="F618" s="1181">
        <f>SUM(F612:F617)</f>
        <v>86633</v>
      </c>
      <c r="G618" s="1181">
        <f>SUM(G612:G617)</f>
        <v>1503622</v>
      </c>
      <c r="H618" s="1185">
        <f>SUM(H612:H617)</f>
        <v>1576130</v>
      </c>
      <c r="I618" s="1211">
        <f>SUM(I612:I617)</f>
        <v>0</v>
      </c>
      <c r="J618" s="1400">
        <f>G618+H618+I618</f>
        <v>3079752</v>
      </c>
      <c r="K618" s="1181">
        <f>SUM(K612:K617)</f>
        <v>0</v>
      </c>
      <c r="L618" s="1181">
        <f>SUM(L612:L617)</f>
        <v>0</v>
      </c>
      <c r="M618" s="1185">
        <f>SUM(M612:M617)</f>
        <v>0</v>
      </c>
      <c r="N618" s="1400">
        <f t="shared" si="85"/>
        <v>0</v>
      </c>
      <c r="O618" s="1155"/>
      <c r="P618" s="1025"/>
      <c r="Q618" s="710"/>
      <c r="R618" s="1027"/>
      <c r="S618" s="1027"/>
      <c r="T618" s="1027"/>
      <c r="U618" s="1027"/>
      <c r="V618" s="1027"/>
      <c r="W618" s="1027"/>
      <c r="X618" s="1027"/>
      <c r="Y618" s="1027"/>
      <c r="Z618" s="1027"/>
      <c r="AA618" s="1027"/>
      <c r="AB618" s="1027"/>
      <c r="AC618" s="1027"/>
      <c r="AE618" s="1058"/>
      <c r="AF618" s="1058"/>
      <c r="AG618" s="1058"/>
      <c r="AH618" s="1058"/>
      <c r="AI618" s="1058"/>
      <c r="AJ618" s="1058"/>
      <c r="AK618" s="1058"/>
      <c r="AL618" s="1058"/>
      <c r="AM618" s="1058"/>
      <c r="AN618" s="1058"/>
      <c r="AO618" s="1058"/>
      <c r="AP618" s="1058"/>
    </row>
    <row r="619" spans="1:42">
      <c r="A619" s="1346"/>
      <c r="B619" s="1347" t="s">
        <v>303</v>
      </c>
      <c r="C619" s="1446">
        <v>20</v>
      </c>
      <c r="D619" s="1387">
        <f t="shared" si="83"/>
        <v>0</v>
      </c>
      <c r="E619" s="1171"/>
      <c r="F619" s="1171"/>
      <c r="G619" s="1182"/>
      <c r="H619" s="1174"/>
      <c r="I619" s="1201"/>
      <c r="J619" s="1401">
        <f t="shared" ref="J619:J625" si="89">G619+H619+I619</f>
        <v>0</v>
      </c>
      <c r="K619" s="1171"/>
      <c r="L619" s="1171"/>
      <c r="M619" s="1172"/>
      <c r="N619" s="1401">
        <f t="shared" si="85"/>
        <v>0</v>
      </c>
      <c r="O619" s="1149"/>
      <c r="P619" s="705"/>
      <c r="Q619" s="54"/>
      <c r="R619" s="706"/>
      <c r="S619" s="706"/>
      <c r="T619" s="706"/>
      <c r="U619" s="706"/>
      <c r="V619" s="706"/>
      <c r="W619" s="706"/>
      <c r="X619" s="706"/>
      <c r="Y619" s="706"/>
      <c r="Z619" s="706"/>
      <c r="AA619" s="706"/>
      <c r="AB619" s="706"/>
      <c r="AC619" s="706"/>
    </row>
    <row r="620" spans="1:42">
      <c r="A620" s="2155">
        <v>28</v>
      </c>
      <c r="B620" s="2154" t="s">
        <v>304</v>
      </c>
      <c r="C620" s="2270"/>
      <c r="D620" s="2213">
        <f t="shared" si="83"/>
        <v>839016</v>
      </c>
      <c r="E620" s="2188"/>
      <c r="F620" s="2188">
        <v>839016</v>
      </c>
      <c r="G620" s="2189"/>
      <c r="H620" s="2197"/>
      <c r="I620" s="2220"/>
      <c r="J620" s="2195">
        <f t="shared" si="89"/>
        <v>0</v>
      </c>
      <c r="K620" s="2188"/>
      <c r="L620" s="2188"/>
      <c r="M620" s="2193"/>
      <c r="N620" s="2195">
        <f t="shared" si="85"/>
        <v>0</v>
      </c>
      <c r="O620" s="1149"/>
      <c r="P620" s="705"/>
      <c r="Q620" s="1141"/>
      <c r="R620" s="706"/>
      <c r="S620" s="706"/>
      <c r="T620" s="706"/>
      <c r="U620" s="706"/>
      <c r="V620" s="706"/>
      <c r="W620" s="706"/>
      <c r="X620" s="706"/>
      <c r="Y620" s="706"/>
      <c r="Z620" s="706"/>
      <c r="AA620" s="706"/>
      <c r="AB620" s="706"/>
      <c r="AC620" s="706"/>
    </row>
    <row r="621" spans="1:42">
      <c r="A621" s="2155">
        <v>29</v>
      </c>
      <c r="B621" s="2154" t="s">
        <v>305</v>
      </c>
      <c r="C621" s="2270"/>
      <c r="D621" s="2213">
        <f t="shared" si="83"/>
        <v>-10419</v>
      </c>
      <c r="E621" s="2188"/>
      <c r="F621" s="1171">
        <v>-10419</v>
      </c>
      <c r="G621" s="2189"/>
      <c r="H621" s="2197"/>
      <c r="I621" s="2220"/>
      <c r="J621" s="2195">
        <f t="shared" si="89"/>
        <v>0</v>
      </c>
      <c r="K621" s="2188"/>
      <c r="L621" s="2188"/>
      <c r="M621" s="2193"/>
      <c r="N621" s="2195">
        <f t="shared" si="85"/>
        <v>0</v>
      </c>
      <c r="O621" s="1149"/>
      <c r="P621" s="705"/>
      <c r="Q621" s="1141"/>
      <c r="R621" s="706"/>
      <c r="S621" s="706"/>
      <c r="T621" s="706"/>
      <c r="U621" s="706"/>
      <c r="V621" s="706"/>
      <c r="W621" s="706"/>
      <c r="X621" s="706"/>
      <c r="Y621" s="706"/>
      <c r="Z621" s="706"/>
      <c r="AA621" s="706"/>
      <c r="AB621" s="706"/>
      <c r="AC621" s="706"/>
    </row>
    <row r="622" spans="1:42">
      <c r="A622" s="2155">
        <v>30</v>
      </c>
      <c r="B622" s="2173" t="s">
        <v>306</v>
      </c>
      <c r="C622" s="2273"/>
      <c r="D622" s="2213">
        <f t="shared" si="83"/>
        <v>61899</v>
      </c>
      <c r="E622" s="2188"/>
      <c r="F622" s="1175">
        <v>61899</v>
      </c>
      <c r="G622" s="1208"/>
      <c r="H622" s="2210"/>
      <c r="I622" s="2251"/>
      <c r="J622" s="2195">
        <f t="shared" si="89"/>
        <v>0</v>
      </c>
      <c r="K622" s="2188"/>
      <c r="L622" s="2188"/>
      <c r="M622" s="2193"/>
      <c r="N622" s="2195">
        <f t="shared" si="85"/>
        <v>0</v>
      </c>
      <c r="O622" s="1149"/>
      <c r="P622" s="705"/>
      <c r="Q622" s="1141"/>
      <c r="R622" s="706"/>
      <c r="S622" s="706"/>
      <c r="T622" s="706"/>
      <c r="U622" s="706"/>
      <c r="V622" s="706"/>
      <c r="W622" s="706"/>
      <c r="X622" s="706"/>
      <c r="Y622" s="706"/>
      <c r="Z622" s="706"/>
      <c r="AA622" s="706"/>
      <c r="AB622" s="706"/>
      <c r="AC622" s="706"/>
    </row>
    <row r="623" spans="1:42">
      <c r="A623" s="2155">
        <v>31</v>
      </c>
      <c r="B623" s="2154" t="s">
        <v>307</v>
      </c>
      <c r="C623" s="2270"/>
      <c r="D623" s="2213">
        <f t="shared" si="83"/>
        <v>0</v>
      </c>
      <c r="E623" s="2188"/>
      <c r="F623" s="1176">
        <v>0</v>
      </c>
      <c r="G623" s="1208"/>
      <c r="H623" s="2210"/>
      <c r="I623" s="2251"/>
      <c r="J623" s="2195">
        <f t="shared" si="89"/>
        <v>0</v>
      </c>
      <c r="K623" s="2188"/>
      <c r="L623" s="2188"/>
      <c r="M623" s="2193"/>
      <c r="N623" s="2195">
        <f t="shared" si="85"/>
        <v>0</v>
      </c>
      <c r="O623" s="1149"/>
      <c r="P623" s="705"/>
      <c r="Q623" s="1142"/>
      <c r="R623" s="706"/>
      <c r="S623" s="706"/>
      <c r="T623" s="706"/>
      <c r="U623" s="706"/>
      <c r="V623" s="706"/>
      <c r="W623" s="706"/>
      <c r="X623" s="706"/>
      <c r="Y623" s="706"/>
      <c r="Z623" s="706"/>
      <c r="AA623" s="706"/>
      <c r="AB623" s="706"/>
      <c r="AC623" s="706"/>
    </row>
    <row r="624" spans="1:42" ht="13.5" thickBot="1">
      <c r="A624" s="2172">
        <v>32</v>
      </c>
      <c r="B624" s="2173" t="s">
        <v>308</v>
      </c>
      <c r="C624" s="2273"/>
      <c r="D624" s="2213">
        <f t="shared" si="83"/>
        <v>-565340</v>
      </c>
      <c r="E624" s="2188"/>
      <c r="F624" s="1176">
        <v>-565340</v>
      </c>
      <c r="G624" s="1208"/>
      <c r="H624" s="2210"/>
      <c r="I624" s="2251"/>
      <c r="J624" s="2195">
        <f t="shared" si="89"/>
        <v>0</v>
      </c>
      <c r="K624" s="2188"/>
      <c r="L624" s="2188"/>
      <c r="M624" s="2193"/>
      <c r="N624" s="2195">
        <f t="shared" si="85"/>
        <v>0</v>
      </c>
      <c r="O624" s="1149"/>
      <c r="P624" s="705"/>
      <c r="Q624" s="1141"/>
      <c r="R624" s="706"/>
      <c r="S624" s="706"/>
      <c r="T624" s="706"/>
      <c r="U624" s="706"/>
      <c r="V624" s="706"/>
      <c r="W624" s="706"/>
      <c r="X624" s="706"/>
      <c r="Y624" s="706"/>
      <c r="Z624" s="706"/>
      <c r="AA624" s="706"/>
      <c r="AB624" s="706"/>
      <c r="AC624" s="706"/>
    </row>
    <row r="625" spans="1:42" s="913" customFormat="1" ht="13.5" thickBot="1">
      <c r="A625" s="1348">
        <v>33</v>
      </c>
      <c r="B625" s="1384" t="s">
        <v>309</v>
      </c>
      <c r="C625" s="1448"/>
      <c r="D625" s="1390">
        <f t="shared" si="83"/>
        <v>325156</v>
      </c>
      <c r="E625" s="1186">
        <f>SUM(E620:E624)</f>
        <v>0</v>
      </c>
      <c r="F625" s="1186">
        <f>SUM(F620:F624)</f>
        <v>325156</v>
      </c>
      <c r="G625" s="1186">
        <f>SUM(G620:G624)</f>
        <v>0</v>
      </c>
      <c r="H625" s="1187">
        <f>SUM(H620:H624)</f>
        <v>0</v>
      </c>
      <c r="I625" s="1449">
        <f>SUM(I620:I624)</f>
        <v>0</v>
      </c>
      <c r="J625" s="1402">
        <f t="shared" si="89"/>
        <v>0</v>
      </c>
      <c r="K625" s="1186">
        <f>SUM(K620:K624)</f>
        <v>0</v>
      </c>
      <c r="L625" s="1186">
        <f>SUM(L620:L624)</f>
        <v>0</v>
      </c>
      <c r="M625" s="1187">
        <f>SUM(M620:M624)</f>
        <v>0</v>
      </c>
      <c r="N625" s="1402">
        <f t="shared" si="85"/>
        <v>0</v>
      </c>
      <c r="O625" s="1155"/>
      <c r="P625" s="1025"/>
      <c r="Q625" s="710"/>
      <c r="R625" s="1027"/>
      <c r="S625" s="1027"/>
      <c r="T625" s="1027"/>
      <c r="U625" s="1027"/>
      <c r="V625" s="1027"/>
      <c r="W625" s="1027"/>
      <c r="X625" s="1027"/>
      <c r="Y625" s="1027"/>
      <c r="Z625" s="1027"/>
      <c r="AA625" s="1027"/>
      <c r="AB625" s="1027"/>
      <c r="AC625" s="1027"/>
      <c r="AE625" s="1058"/>
      <c r="AF625" s="1058"/>
      <c r="AG625" s="1058"/>
      <c r="AH625" s="1058"/>
      <c r="AI625" s="1058"/>
      <c r="AJ625" s="1058"/>
      <c r="AK625" s="1058"/>
      <c r="AL625" s="1058"/>
      <c r="AM625" s="1058"/>
      <c r="AN625" s="1058"/>
      <c r="AO625" s="1058"/>
      <c r="AP625" s="1058"/>
    </row>
    <row r="626" spans="1:42" s="913" customFormat="1" ht="26.25" thickBot="1">
      <c r="A626" s="1351">
        <v>34</v>
      </c>
      <c r="B626" s="1352" t="s">
        <v>310</v>
      </c>
      <c r="C626" s="1451"/>
      <c r="D626" s="1381">
        <f>+E626+F626+J626+N626</f>
        <v>3491541</v>
      </c>
      <c r="E626" s="1381">
        <f>E625+E618</f>
        <v>0</v>
      </c>
      <c r="F626" s="1381">
        <f>F625+F618</f>
        <v>411789</v>
      </c>
      <c r="G626" s="1381">
        <f>G625+G618</f>
        <v>1503622</v>
      </c>
      <c r="H626" s="1381">
        <f>H625+H618</f>
        <v>1576130</v>
      </c>
      <c r="I626" s="1382">
        <f>I625+I618</f>
        <v>0</v>
      </c>
      <c r="J626" s="1383">
        <f>G626+H626+I626</f>
        <v>3079752</v>
      </c>
      <c r="K626" s="1381">
        <f>K625+K618</f>
        <v>0</v>
      </c>
      <c r="L626" s="1381">
        <f>L625+L618</f>
        <v>0</v>
      </c>
      <c r="M626" s="1382">
        <f>M625+M618</f>
        <v>0</v>
      </c>
      <c r="N626" s="1383">
        <f t="shared" si="85"/>
        <v>0</v>
      </c>
      <c r="O626" s="1155"/>
      <c r="P626" s="1025"/>
      <c r="Q626" s="710"/>
      <c r="R626" s="1027"/>
      <c r="S626" s="1027"/>
      <c r="T626" s="1027"/>
      <c r="U626" s="1027"/>
      <c r="V626" s="1027"/>
      <c r="W626" s="1027"/>
      <c r="X626" s="1027"/>
      <c r="Y626" s="1027"/>
      <c r="Z626" s="1027"/>
      <c r="AA626" s="1027"/>
      <c r="AB626" s="1027"/>
      <c r="AC626" s="1027"/>
      <c r="AE626" s="1058"/>
      <c r="AF626" s="1058"/>
      <c r="AG626" s="1058"/>
      <c r="AH626" s="1058"/>
      <c r="AI626" s="1058"/>
      <c r="AJ626" s="1058"/>
      <c r="AK626" s="1058"/>
      <c r="AL626" s="1058"/>
      <c r="AM626" s="1058"/>
      <c r="AN626" s="1058"/>
      <c r="AO626" s="1058"/>
      <c r="AP626" s="1058"/>
    </row>
    <row r="628" spans="1:42">
      <c r="B628" s="680"/>
      <c r="D628" s="679"/>
      <c r="E628" s="679"/>
      <c r="F628" s="679"/>
      <c r="G628" s="679"/>
      <c r="H628" s="679"/>
      <c r="I628" s="679"/>
      <c r="J628" s="679"/>
      <c r="K628" s="679"/>
      <c r="L628" s="679"/>
      <c r="M628" s="679"/>
      <c r="N628" s="911">
        <v>24</v>
      </c>
      <c r="O628" s="679"/>
    </row>
    <row r="629" spans="1:42">
      <c r="D629" s="679"/>
      <c r="E629" s="679"/>
      <c r="F629" s="679"/>
      <c r="G629" s="679"/>
      <c r="H629" s="679"/>
      <c r="I629" s="679"/>
      <c r="J629" s="679"/>
      <c r="K629" s="679"/>
      <c r="L629" s="679"/>
      <c r="M629" s="679"/>
    </row>
    <row r="630" spans="1:42" ht="13.5" thickBot="1"/>
    <row r="631" spans="1:42" ht="15.75" customHeight="1" thickBot="1">
      <c r="A631" s="1368" t="s">
        <v>133</v>
      </c>
      <c r="B631" s="3533" t="s">
        <v>107</v>
      </c>
      <c r="C631" s="3534"/>
      <c r="M631" s="3538" t="s">
        <v>251</v>
      </c>
      <c r="N631" s="3538"/>
      <c r="O631" s="1148"/>
    </row>
    <row r="632" spans="1:42" ht="13.15" customHeight="1" thickBot="1">
      <c r="A632" s="3512" t="s">
        <v>252</v>
      </c>
      <c r="B632" s="3515"/>
      <c r="C632" s="3523" t="s">
        <v>254</v>
      </c>
      <c r="D632" s="3518" t="s">
        <v>255</v>
      </c>
      <c r="E632" s="3518" t="s">
        <v>256</v>
      </c>
      <c r="F632" s="3518" t="s">
        <v>257</v>
      </c>
      <c r="G632" s="3526" t="s">
        <v>258</v>
      </c>
      <c r="H632" s="3527"/>
      <c r="I632" s="3527"/>
      <c r="J632" s="3527"/>
      <c r="K632" s="3527"/>
      <c r="L632" s="3527"/>
      <c r="M632" s="3527"/>
      <c r="N632" s="3528"/>
      <c r="O632" s="409"/>
    </row>
    <row r="633" spans="1:42" ht="13.15" customHeight="1" thickBot="1">
      <c r="A633" s="3513"/>
      <c r="B633" s="3516"/>
      <c r="C633" s="3524"/>
      <c r="D633" s="3520"/>
      <c r="E633" s="3520"/>
      <c r="F633" s="3520"/>
      <c r="G633" s="3529" t="s">
        <v>259</v>
      </c>
      <c r="H633" s="3530"/>
      <c r="I633" s="3530"/>
      <c r="J633" s="3531"/>
      <c r="K633" s="3529" t="s">
        <v>260</v>
      </c>
      <c r="L633" s="3530"/>
      <c r="M633" s="3530"/>
      <c r="N633" s="3531"/>
      <c r="O633" s="443"/>
    </row>
    <row r="634" spans="1:42" ht="39" thickBot="1">
      <c r="A634" s="3513"/>
      <c r="B634" s="3516"/>
      <c r="C634" s="3524"/>
      <c r="D634" s="3519"/>
      <c r="E634" s="3519"/>
      <c r="F634" s="3519"/>
      <c r="G634" s="1336" t="s">
        <v>261</v>
      </c>
      <c r="H634" s="1336" t="s">
        <v>262</v>
      </c>
      <c r="I634" s="1336" t="s">
        <v>263</v>
      </c>
      <c r="J634" s="1336" t="s">
        <v>158</v>
      </c>
      <c r="K634" s="1337" t="s">
        <v>264</v>
      </c>
      <c r="L634" s="1337" t="s">
        <v>265</v>
      </c>
      <c r="M634" s="1337" t="s">
        <v>266</v>
      </c>
      <c r="N634" s="1404" t="s">
        <v>158</v>
      </c>
      <c r="O634" s="443"/>
    </row>
    <row r="635" spans="1:42" ht="13.5" thickBot="1">
      <c r="A635" s="3513"/>
      <c r="B635" s="3516"/>
      <c r="C635" s="3524"/>
      <c r="D635" s="1340">
        <v>1</v>
      </c>
      <c r="E635" s="3518">
        <v>2</v>
      </c>
      <c r="F635" s="3518">
        <v>3</v>
      </c>
      <c r="G635" s="3518">
        <v>4</v>
      </c>
      <c r="H635" s="3518">
        <v>5</v>
      </c>
      <c r="I635" s="1443">
        <v>6</v>
      </c>
      <c r="J635" s="1341">
        <v>7</v>
      </c>
      <c r="K635" s="3518">
        <v>8</v>
      </c>
      <c r="L635" s="3518">
        <v>9</v>
      </c>
      <c r="M635" s="3518">
        <v>10</v>
      </c>
      <c r="N635" s="1340">
        <v>11</v>
      </c>
      <c r="O635" s="409"/>
    </row>
    <row r="636" spans="1:42" ht="15.75" customHeight="1" thickBot="1">
      <c r="A636" s="3514"/>
      <c r="B636" s="3517"/>
      <c r="C636" s="3525"/>
      <c r="D636" s="1343"/>
      <c r="E636" s="3519"/>
      <c r="F636" s="3519"/>
      <c r="G636" s="3519"/>
      <c r="H636" s="3519"/>
      <c r="I636" s="1452"/>
      <c r="J636" s="1344" t="s">
        <v>267</v>
      </c>
      <c r="K636" s="3519"/>
      <c r="L636" s="3519"/>
      <c r="M636" s="3519"/>
      <c r="N636" s="1372" t="s">
        <v>268</v>
      </c>
      <c r="O636" s="703"/>
      <c r="P636" s="703"/>
      <c r="Q636" s="703"/>
    </row>
    <row r="637" spans="1:42">
      <c r="A637" s="1346"/>
      <c r="B637" s="1347" t="s">
        <v>269</v>
      </c>
      <c r="C637" s="1346"/>
      <c r="D637" s="2264"/>
      <c r="E637" s="1242"/>
      <c r="F637" s="1242"/>
      <c r="G637" s="1182"/>
      <c r="H637" s="1174"/>
      <c r="I637" s="1275"/>
      <c r="J637" s="1395"/>
      <c r="K637" s="1171"/>
      <c r="L637" s="1174"/>
      <c r="M637" s="1243"/>
      <c r="N637" s="1439"/>
      <c r="Q637" s="703"/>
    </row>
    <row r="638" spans="1:42">
      <c r="A638" s="2153">
        <v>1</v>
      </c>
      <c r="B638" s="2154" t="s">
        <v>270</v>
      </c>
      <c r="C638" s="2155"/>
      <c r="D638" s="2213">
        <f t="shared" ref="D638:D677" si="90">+E638+F638+J638+N638</f>
        <v>0</v>
      </c>
      <c r="E638" s="2188"/>
      <c r="F638" s="2188"/>
      <c r="G638" s="2189"/>
      <c r="H638" s="2197"/>
      <c r="I638" s="2194"/>
      <c r="J638" s="2214">
        <f>G638+H638+I638</f>
        <v>0</v>
      </c>
      <c r="K638" s="2188"/>
      <c r="L638" s="2188"/>
      <c r="M638" s="2193"/>
      <c r="N638" s="2195">
        <f>K638+L638+M638</f>
        <v>0</v>
      </c>
      <c r="O638" s="1149"/>
      <c r="P638" s="705"/>
      <c r="Q638" s="705"/>
      <c r="R638" s="706"/>
      <c r="S638" s="706"/>
      <c r="T638" s="706"/>
      <c r="U638" s="706"/>
      <c r="V638" s="706"/>
      <c r="W638" s="706"/>
      <c r="X638" s="706"/>
      <c r="Y638" s="706"/>
      <c r="Z638" s="706"/>
      <c r="AA638" s="706"/>
      <c r="AB638" s="706"/>
      <c r="AC638" s="706"/>
      <c r="AF638" s="706"/>
      <c r="AG638" s="706"/>
      <c r="AH638" s="706"/>
      <c r="AI638" s="706"/>
      <c r="AJ638" s="706"/>
      <c r="AK638" s="706"/>
      <c r="AL638" s="706"/>
      <c r="AM638" s="706"/>
      <c r="AN638" s="706"/>
      <c r="AO638" s="706"/>
      <c r="AP638" s="706"/>
    </row>
    <row r="639" spans="1:42">
      <c r="A639" s="2153">
        <v>2</v>
      </c>
      <c r="B639" s="2154" t="s">
        <v>271</v>
      </c>
      <c r="C639" s="2155"/>
      <c r="D639" s="2213">
        <f t="shared" si="90"/>
        <v>12228</v>
      </c>
      <c r="E639" s="2188"/>
      <c r="F639" s="2188">
        <v>12228</v>
      </c>
      <c r="G639" s="2189"/>
      <c r="H639" s="2197"/>
      <c r="I639" s="2194"/>
      <c r="J639" s="2214">
        <f t="shared" ref="J639:J649" si="91">G639+H639+I639</f>
        <v>0</v>
      </c>
      <c r="K639" s="2188"/>
      <c r="L639" s="2188"/>
      <c r="M639" s="2193"/>
      <c r="N639" s="2195">
        <f t="shared" ref="N639:N678" si="92">K639+L639+M639</f>
        <v>0</v>
      </c>
      <c r="O639" s="1149"/>
      <c r="P639" s="705"/>
      <c r="Q639" s="705"/>
      <c r="R639" s="706"/>
      <c r="S639" s="706"/>
      <c r="T639" s="706"/>
      <c r="U639" s="706"/>
      <c r="V639" s="706"/>
      <c r="W639" s="706"/>
      <c r="X639" s="706"/>
      <c r="Y639" s="706"/>
      <c r="Z639" s="706"/>
      <c r="AA639" s="706"/>
      <c r="AB639" s="706"/>
      <c r="AC639" s="706"/>
      <c r="AF639" s="706"/>
      <c r="AG639" s="706"/>
      <c r="AH639" s="706"/>
      <c r="AI639" s="706"/>
      <c r="AJ639" s="706"/>
      <c r="AK639" s="706"/>
      <c r="AL639" s="706"/>
      <c r="AM639" s="706"/>
      <c r="AN639" s="706"/>
      <c r="AO639" s="706"/>
      <c r="AP639" s="706"/>
    </row>
    <row r="640" spans="1:42">
      <c r="A640" s="2153">
        <v>3</v>
      </c>
      <c r="B640" s="2154" t="s">
        <v>272</v>
      </c>
      <c r="C640" s="2155"/>
      <c r="D640" s="2213">
        <f t="shared" si="90"/>
        <v>0</v>
      </c>
      <c r="E640" s="2188"/>
      <c r="F640" s="2188"/>
      <c r="G640" s="2189"/>
      <c r="H640" s="2197"/>
      <c r="I640" s="2194"/>
      <c r="J640" s="2214">
        <f t="shared" si="91"/>
        <v>0</v>
      </c>
      <c r="K640" s="2188"/>
      <c r="L640" s="2188"/>
      <c r="M640" s="2193"/>
      <c r="N640" s="2195">
        <f t="shared" si="92"/>
        <v>0</v>
      </c>
      <c r="O640" s="1149"/>
      <c r="P640" s="705"/>
      <c r="Q640" s="705"/>
      <c r="R640" s="706"/>
      <c r="S640" s="706"/>
      <c r="T640" s="706"/>
      <c r="U640" s="706"/>
      <c r="V640" s="706"/>
      <c r="W640" s="706"/>
      <c r="X640" s="706"/>
      <c r="Y640" s="706"/>
      <c r="Z640" s="706"/>
      <c r="AA640" s="706"/>
      <c r="AB640" s="706"/>
      <c r="AC640" s="706"/>
      <c r="AF640" s="706"/>
      <c r="AG640" s="706"/>
      <c r="AH640" s="706"/>
      <c r="AI640" s="706"/>
      <c r="AJ640" s="706"/>
      <c r="AK640" s="706"/>
      <c r="AL640" s="706"/>
      <c r="AM640" s="706"/>
      <c r="AN640" s="706"/>
      <c r="AO640" s="706"/>
      <c r="AP640" s="706"/>
    </row>
    <row r="641" spans="1:42">
      <c r="A641" s="2153">
        <v>4</v>
      </c>
      <c r="B641" s="2154" t="s">
        <v>315</v>
      </c>
      <c r="C641" s="2155"/>
      <c r="D641" s="2213">
        <f t="shared" si="90"/>
        <v>104260</v>
      </c>
      <c r="E641" s="2188"/>
      <c r="F641" s="2188"/>
      <c r="G641" s="2189"/>
      <c r="H641" s="2197">
        <v>104260</v>
      </c>
      <c r="I641" s="2194"/>
      <c r="J641" s="2214">
        <f t="shared" si="91"/>
        <v>104260</v>
      </c>
      <c r="K641" s="2188"/>
      <c r="L641" s="2188"/>
      <c r="M641" s="2193"/>
      <c r="N641" s="2195">
        <f t="shared" si="92"/>
        <v>0</v>
      </c>
      <c r="O641" s="1149"/>
      <c r="P641" s="705"/>
      <c r="Q641" s="705"/>
      <c r="R641" s="706"/>
      <c r="S641" s="706"/>
      <c r="T641" s="706"/>
      <c r="U641" s="706"/>
      <c r="V641" s="706"/>
      <c r="W641" s="706"/>
      <c r="X641" s="706"/>
      <c r="Y641" s="706"/>
      <c r="Z641" s="706"/>
      <c r="AA641" s="706"/>
      <c r="AB641" s="706"/>
      <c r="AC641" s="706"/>
      <c r="AF641" s="706"/>
      <c r="AG641" s="706"/>
      <c r="AH641" s="706"/>
      <c r="AI641" s="706"/>
      <c r="AJ641" s="706"/>
      <c r="AK641" s="706"/>
      <c r="AL641" s="706"/>
      <c r="AM641" s="706"/>
      <c r="AN641" s="706"/>
      <c r="AO641" s="706"/>
      <c r="AP641" s="706"/>
    </row>
    <row r="642" spans="1:42">
      <c r="A642" s="2153">
        <v>5</v>
      </c>
      <c r="B642" s="2154" t="s">
        <v>274</v>
      </c>
      <c r="C642" s="2161">
        <v>5</v>
      </c>
      <c r="D642" s="2213">
        <f t="shared" si="90"/>
        <v>15430</v>
      </c>
      <c r="E642" s="2188"/>
      <c r="F642" s="2188">
        <v>15430</v>
      </c>
      <c r="G642" s="2189"/>
      <c r="H642" s="2197"/>
      <c r="I642" s="2194"/>
      <c r="J642" s="2214">
        <f t="shared" si="91"/>
        <v>0</v>
      </c>
      <c r="K642" s="2188"/>
      <c r="L642" s="2188"/>
      <c r="M642" s="2193"/>
      <c r="N642" s="2195">
        <f t="shared" si="92"/>
        <v>0</v>
      </c>
      <c r="O642" s="1149"/>
      <c r="P642" s="705"/>
      <c r="Q642" s="705"/>
      <c r="R642" s="706"/>
      <c r="S642" s="706"/>
      <c r="T642" s="706"/>
      <c r="U642" s="706"/>
      <c r="V642" s="706"/>
      <c r="W642" s="706"/>
      <c r="X642" s="706"/>
      <c r="Y642" s="706"/>
      <c r="Z642" s="706"/>
      <c r="AA642" s="706"/>
      <c r="AB642" s="706"/>
      <c r="AC642" s="706"/>
      <c r="AF642" s="706"/>
      <c r="AG642" s="706"/>
      <c r="AH642" s="706"/>
      <c r="AI642" s="706"/>
      <c r="AJ642" s="706"/>
      <c r="AK642" s="706"/>
      <c r="AL642" s="706"/>
      <c r="AM642" s="706"/>
      <c r="AN642" s="706"/>
      <c r="AO642" s="706"/>
      <c r="AP642" s="706"/>
    </row>
    <row r="643" spans="1:42">
      <c r="A643" s="2153">
        <v>6</v>
      </c>
      <c r="B643" s="2154" t="s">
        <v>275</v>
      </c>
      <c r="C643" s="2155">
        <v>6</v>
      </c>
      <c r="D643" s="2213">
        <f t="shared" si="90"/>
        <v>0</v>
      </c>
      <c r="E643" s="2188"/>
      <c r="F643" s="2188"/>
      <c r="G643" s="2189"/>
      <c r="H643" s="2197"/>
      <c r="I643" s="2194"/>
      <c r="J643" s="2214">
        <f t="shared" si="91"/>
        <v>0</v>
      </c>
      <c r="K643" s="2188"/>
      <c r="L643" s="2188"/>
      <c r="M643" s="2193"/>
      <c r="N643" s="2195">
        <f t="shared" si="92"/>
        <v>0</v>
      </c>
      <c r="O643" s="1149"/>
      <c r="P643" s="705"/>
      <c r="Q643" s="705"/>
      <c r="R643" s="706"/>
      <c r="S643" s="706"/>
      <c r="T643" s="706"/>
      <c r="U643" s="706"/>
      <c r="V643" s="706"/>
      <c r="W643" s="706"/>
      <c r="X643" s="706"/>
      <c r="Y643" s="706"/>
      <c r="Z643" s="706"/>
      <c r="AA643" s="706"/>
      <c r="AB643" s="706"/>
      <c r="AC643" s="706"/>
      <c r="AF643" s="706"/>
      <c r="AG643" s="706"/>
      <c r="AH643" s="706"/>
      <c r="AI643" s="706"/>
      <c r="AJ643" s="706"/>
      <c r="AK643" s="706"/>
      <c r="AL643" s="706"/>
      <c r="AM643" s="706"/>
      <c r="AN643" s="706"/>
      <c r="AO643" s="706"/>
      <c r="AP643" s="706"/>
    </row>
    <row r="644" spans="1:42">
      <c r="A644" s="2153">
        <v>7</v>
      </c>
      <c r="B644" s="2154" t="s">
        <v>276</v>
      </c>
      <c r="C644" s="2161">
        <v>7</v>
      </c>
      <c r="D644" s="2213">
        <f t="shared" si="90"/>
        <v>0</v>
      </c>
      <c r="E644" s="2188"/>
      <c r="F644" s="2188">
        <f>F645+F646</f>
        <v>0</v>
      </c>
      <c r="G644" s="2188">
        <f t="shared" ref="G644:M644" si="93">G645+G646</f>
        <v>0</v>
      </c>
      <c r="H644" s="2193">
        <f t="shared" si="93"/>
        <v>0</v>
      </c>
      <c r="I644" s="2194">
        <f t="shared" si="93"/>
        <v>0</v>
      </c>
      <c r="J644" s="2214">
        <f t="shared" si="91"/>
        <v>0</v>
      </c>
      <c r="K644" s="2188">
        <f t="shared" si="93"/>
        <v>0</v>
      </c>
      <c r="L644" s="2188">
        <f t="shared" si="93"/>
        <v>0</v>
      </c>
      <c r="M644" s="2193">
        <f t="shared" si="93"/>
        <v>0</v>
      </c>
      <c r="N644" s="2195">
        <f t="shared" si="92"/>
        <v>0</v>
      </c>
      <c r="O644" s="1149"/>
      <c r="P644" s="705"/>
      <c r="Q644" s="705"/>
      <c r="R644" s="706"/>
      <c r="S644" s="706"/>
      <c r="T644" s="706"/>
      <c r="U644" s="706"/>
      <c r="V644" s="706"/>
      <c r="W644" s="706"/>
      <c r="X644" s="706"/>
      <c r="Y644" s="706"/>
      <c r="Z644" s="706"/>
      <c r="AA644" s="706"/>
      <c r="AB644" s="706"/>
      <c r="AC644" s="706"/>
      <c r="AF644" s="706"/>
      <c r="AG644" s="706"/>
      <c r="AH644" s="706"/>
      <c r="AI644" s="706"/>
      <c r="AJ644" s="706"/>
      <c r="AK644" s="706"/>
      <c r="AL644" s="706"/>
      <c r="AM644" s="706"/>
      <c r="AN644" s="706"/>
      <c r="AO644" s="706"/>
      <c r="AP644" s="706"/>
    </row>
    <row r="645" spans="1:42">
      <c r="A645" s="2155"/>
      <c r="B645" s="2162" t="s">
        <v>277</v>
      </c>
      <c r="C645" s="2161"/>
      <c r="D645" s="2213">
        <f t="shared" si="90"/>
        <v>0</v>
      </c>
      <c r="E645" s="2188"/>
      <c r="F645" s="2188"/>
      <c r="G645" s="2188"/>
      <c r="H645" s="2193"/>
      <c r="I645" s="2194"/>
      <c r="J645" s="2214">
        <f t="shared" si="91"/>
        <v>0</v>
      </c>
      <c r="K645" s="2188"/>
      <c r="L645" s="2188"/>
      <c r="M645" s="2193"/>
      <c r="N645" s="2195">
        <f t="shared" si="92"/>
        <v>0</v>
      </c>
      <c r="O645" s="1149"/>
      <c r="P645" s="705"/>
      <c r="Q645" s="705"/>
      <c r="R645" s="706"/>
      <c r="S645" s="706"/>
      <c r="T645" s="706"/>
      <c r="U645" s="706"/>
      <c r="V645" s="706"/>
      <c r="W645" s="706"/>
      <c r="X645" s="706"/>
      <c r="Y645" s="706"/>
      <c r="Z645" s="706"/>
      <c r="AA645" s="706"/>
      <c r="AB645" s="706"/>
      <c r="AC645" s="706"/>
      <c r="AF645" s="706"/>
      <c r="AG645" s="706"/>
      <c r="AH645" s="706"/>
      <c r="AI645" s="706"/>
      <c r="AJ645" s="706"/>
      <c r="AK645" s="706"/>
      <c r="AL645" s="706"/>
      <c r="AM645" s="706"/>
      <c r="AN645" s="706"/>
      <c r="AO645" s="706"/>
      <c r="AP645" s="706"/>
    </row>
    <row r="646" spans="1:42">
      <c r="A646" s="2155"/>
      <c r="B646" s="2162" t="s">
        <v>278</v>
      </c>
      <c r="C646" s="2161"/>
      <c r="D646" s="2213">
        <f t="shared" si="90"/>
        <v>0</v>
      </c>
      <c r="E646" s="2188"/>
      <c r="F646" s="2188"/>
      <c r="G646" s="2188"/>
      <c r="H646" s="2193"/>
      <c r="I646" s="2194"/>
      <c r="J646" s="2214">
        <f t="shared" si="91"/>
        <v>0</v>
      </c>
      <c r="K646" s="2188"/>
      <c r="L646" s="2188"/>
      <c r="M646" s="2193"/>
      <c r="N646" s="2195">
        <f t="shared" si="92"/>
        <v>0</v>
      </c>
      <c r="O646" s="1149"/>
      <c r="P646" s="705"/>
      <c r="Q646" s="705"/>
      <c r="R646" s="706"/>
      <c r="S646" s="706"/>
      <c r="T646" s="706"/>
      <c r="U646" s="706"/>
      <c r="V646" s="706"/>
      <c r="W646" s="706"/>
      <c r="X646" s="706"/>
      <c r="Y646" s="706"/>
      <c r="Z646" s="706"/>
      <c r="AA646" s="706"/>
      <c r="AB646" s="706"/>
      <c r="AC646" s="706"/>
      <c r="AF646" s="706"/>
      <c r="AG646" s="706"/>
      <c r="AH646" s="706"/>
      <c r="AI646" s="706"/>
      <c r="AJ646" s="706"/>
      <c r="AK646" s="706"/>
      <c r="AL646" s="706"/>
      <c r="AM646" s="706"/>
      <c r="AN646" s="706"/>
      <c r="AO646" s="706"/>
      <c r="AP646" s="706"/>
    </row>
    <row r="647" spans="1:42">
      <c r="A647" s="2153">
        <v>8</v>
      </c>
      <c r="B647" s="2154" t="s">
        <v>279</v>
      </c>
      <c r="C647" s="2155">
        <v>8</v>
      </c>
      <c r="D647" s="2213">
        <f t="shared" si="90"/>
        <v>89550</v>
      </c>
      <c r="E647" s="2188"/>
      <c r="F647" s="2188">
        <f>F648+F649</f>
        <v>89550</v>
      </c>
      <c r="G647" s="2188">
        <f t="shared" ref="G647:M647" si="94">G648+G649</f>
        <v>0</v>
      </c>
      <c r="H647" s="2193">
        <f t="shared" si="94"/>
        <v>0</v>
      </c>
      <c r="I647" s="2194">
        <f t="shared" si="94"/>
        <v>0</v>
      </c>
      <c r="J647" s="2214">
        <f t="shared" si="91"/>
        <v>0</v>
      </c>
      <c r="K647" s="2188">
        <f t="shared" si="94"/>
        <v>0</v>
      </c>
      <c r="L647" s="2188">
        <f t="shared" si="94"/>
        <v>0</v>
      </c>
      <c r="M647" s="2193">
        <f t="shared" si="94"/>
        <v>0</v>
      </c>
      <c r="N647" s="2195">
        <f t="shared" si="92"/>
        <v>0</v>
      </c>
      <c r="O647" s="1149"/>
      <c r="P647" s="705"/>
      <c r="Q647" s="705"/>
      <c r="R647" s="706"/>
      <c r="S647" s="706"/>
      <c r="T647" s="706"/>
      <c r="U647" s="706"/>
      <c r="V647" s="706"/>
      <c r="W647" s="706"/>
      <c r="X647" s="706"/>
      <c r="Y647" s="706"/>
      <c r="Z647" s="706"/>
      <c r="AA647" s="706"/>
      <c r="AB647" s="706"/>
      <c r="AC647" s="706"/>
      <c r="AF647" s="706"/>
      <c r="AG647" s="706"/>
      <c r="AH647" s="706"/>
      <c r="AI647" s="706"/>
      <c r="AJ647" s="706"/>
      <c r="AK647" s="706"/>
      <c r="AL647" s="706"/>
      <c r="AM647" s="706"/>
      <c r="AN647" s="706"/>
      <c r="AO647" s="706"/>
      <c r="AP647" s="706"/>
    </row>
    <row r="648" spans="1:42">
      <c r="A648" s="2153"/>
      <c r="B648" s="2162" t="s">
        <v>280</v>
      </c>
      <c r="C648" s="2155"/>
      <c r="D648" s="2213">
        <f t="shared" si="90"/>
        <v>0</v>
      </c>
      <c r="E648" s="2188"/>
      <c r="F648" s="2188"/>
      <c r="G648" s="2188"/>
      <c r="H648" s="2193"/>
      <c r="I648" s="2194"/>
      <c r="J648" s="2214">
        <f t="shared" si="91"/>
        <v>0</v>
      </c>
      <c r="K648" s="2188"/>
      <c r="L648" s="2188"/>
      <c r="M648" s="2193"/>
      <c r="N648" s="2195">
        <f t="shared" si="92"/>
        <v>0</v>
      </c>
      <c r="O648" s="1149"/>
      <c r="P648" s="705"/>
      <c r="Q648" s="705"/>
      <c r="R648" s="706"/>
      <c r="S648" s="706"/>
      <c r="T648" s="706"/>
      <c r="U648" s="706"/>
      <c r="V648" s="706"/>
      <c r="W648" s="706"/>
      <c r="X648" s="706"/>
      <c r="Y648" s="706"/>
      <c r="Z648" s="706"/>
      <c r="AA648" s="706"/>
      <c r="AB648" s="706"/>
      <c r="AC648" s="706"/>
      <c r="AF648" s="706"/>
      <c r="AG648" s="706"/>
      <c r="AH648" s="706"/>
      <c r="AI648" s="706"/>
      <c r="AJ648" s="706"/>
      <c r="AK648" s="706"/>
      <c r="AL648" s="706"/>
      <c r="AM648" s="706"/>
      <c r="AN648" s="706"/>
      <c r="AO648" s="706"/>
      <c r="AP648" s="706"/>
    </row>
    <row r="649" spans="1:42">
      <c r="A649" s="2153"/>
      <c r="B649" s="2162" t="s">
        <v>281</v>
      </c>
      <c r="C649" s="2155"/>
      <c r="D649" s="2213">
        <f t="shared" si="90"/>
        <v>89550</v>
      </c>
      <c r="E649" s="2188"/>
      <c r="F649" s="2188">
        <v>89550</v>
      </c>
      <c r="G649" s="2188"/>
      <c r="H649" s="2193"/>
      <c r="I649" s="2194"/>
      <c r="J649" s="2214">
        <f t="shared" si="91"/>
        <v>0</v>
      </c>
      <c r="K649" s="2188"/>
      <c r="L649" s="2188"/>
      <c r="M649" s="2193"/>
      <c r="N649" s="2195">
        <f t="shared" si="92"/>
        <v>0</v>
      </c>
      <c r="O649" s="1149"/>
      <c r="P649" s="705"/>
      <c r="Q649" s="705"/>
      <c r="R649" s="706"/>
      <c r="S649" s="706"/>
      <c r="T649" s="706"/>
      <c r="U649" s="706"/>
      <c r="V649" s="706"/>
      <c r="W649" s="706"/>
      <c r="X649" s="706"/>
      <c r="Y649" s="706"/>
      <c r="Z649" s="706"/>
      <c r="AA649" s="706"/>
      <c r="AB649" s="706"/>
      <c r="AC649" s="706"/>
      <c r="AF649" s="706"/>
      <c r="AG649" s="706"/>
      <c r="AH649" s="706"/>
      <c r="AI649" s="706"/>
      <c r="AJ649" s="706"/>
      <c r="AK649" s="706"/>
      <c r="AL649" s="706"/>
      <c r="AM649" s="706"/>
      <c r="AN649" s="706"/>
      <c r="AO649" s="706"/>
      <c r="AP649" s="706"/>
    </row>
    <row r="650" spans="1:42" s="913" customFormat="1" ht="25.5">
      <c r="A650" s="2163">
        <v>9</v>
      </c>
      <c r="B650" s="2164" t="s">
        <v>282</v>
      </c>
      <c r="C650" s="2165"/>
      <c r="D650" s="2230">
        <f t="shared" si="90"/>
        <v>8730580</v>
      </c>
      <c r="E650" s="2231">
        <f>SUM(E651:E654)</f>
        <v>0</v>
      </c>
      <c r="F650" s="2231">
        <f>SUM(F651:F654)</f>
        <v>2016342</v>
      </c>
      <c r="G650" s="2231">
        <f>SUM(G651:G654)</f>
        <v>265033</v>
      </c>
      <c r="H650" s="2204">
        <f>SUM(H651:H654)</f>
        <v>3957295</v>
      </c>
      <c r="I650" s="2202">
        <f>SUM(I651:I654)</f>
        <v>2491910</v>
      </c>
      <c r="J650" s="2233">
        <f>G650+H650+I650</f>
        <v>6714238</v>
      </c>
      <c r="K650" s="2231">
        <f>SUM(K651:K654)</f>
        <v>0</v>
      </c>
      <c r="L650" s="2231">
        <f>SUM(L651:L654)</f>
        <v>0</v>
      </c>
      <c r="M650" s="2204">
        <f>SUM(M651:M654)</f>
        <v>0</v>
      </c>
      <c r="N650" s="2205">
        <f t="shared" si="92"/>
        <v>0</v>
      </c>
      <c r="O650" s="1155"/>
      <c r="P650" s="1025"/>
      <c r="Q650" s="1025"/>
      <c r="R650" s="1027"/>
      <c r="S650" s="1027"/>
      <c r="T650" s="1027"/>
      <c r="U650" s="1027"/>
      <c r="V650" s="1027"/>
      <c r="W650" s="1027"/>
      <c r="X650" s="1027"/>
      <c r="Y650" s="1027"/>
      <c r="Z650" s="1027"/>
      <c r="AA650" s="1027"/>
      <c r="AB650" s="1027"/>
      <c r="AC650" s="1027"/>
      <c r="AE650" s="1058"/>
      <c r="AF650" s="1027"/>
      <c r="AG650" s="1027"/>
      <c r="AH650" s="1027"/>
      <c r="AI650" s="1027"/>
      <c r="AJ650" s="1027"/>
      <c r="AK650" s="1027"/>
      <c r="AL650" s="1027"/>
      <c r="AM650" s="1027"/>
      <c r="AN650" s="1027"/>
      <c r="AO650" s="1027"/>
      <c r="AP650" s="1027"/>
    </row>
    <row r="651" spans="1:42">
      <c r="A651" s="2155">
        <v>10</v>
      </c>
      <c r="B651" s="2171" t="s">
        <v>283</v>
      </c>
      <c r="C651" s="2155">
        <v>9</v>
      </c>
      <c r="D651" s="2213">
        <f t="shared" si="90"/>
        <v>0</v>
      </c>
      <c r="E651" s="2188"/>
      <c r="F651" s="2188">
        <v>0</v>
      </c>
      <c r="G651" s="2189">
        <v>0</v>
      </c>
      <c r="H651" s="2197">
        <v>0</v>
      </c>
      <c r="I651" s="2194">
        <v>0</v>
      </c>
      <c r="J651" s="2214">
        <f t="shared" ref="J651:J677" si="95">G651+H651+I651</f>
        <v>0</v>
      </c>
      <c r="K651" s="2188"/>
      <c r="L651" s="2188"/>
      <c r="M651" s="2193"/>
      <c r="N651" s="2195">
        <f t="shared" si="92"/>
        <v>0</v>
      </c>
      <c r="O651" s="1149"/>
      <c r="P651" s="705"/>
      <c r="Q651" s="705"/>
      <c r="R651" s="706"/>
      <c r="S651" s="706"/>
      <c r="T651" s="706"/>
      <c r="U651" s="706"/>
      <c r="V651" s="706"/>
      <c r="W651" s="706"/>
      <c r="X651" s="706"/>
      <c r="Y651" s="706"/>
      <c r="Z651" s="706"/>
      <c r="AA651" s="706"/>
      <c r="AB651" s="706"/>
      <c r="AC651" s="706"/>
      <c r="AF651" s="706"/>
      <c r="AG651" s="706"/>
      <c r="AH651" s="706"/>
      <c r="AI651" s="706"/>
      <c r="AJ651" s="706"/>
      <c r="AK651" s="706"/>
      <c r="AL651" s="706"/>
      <c r="AM651" s="706"/>
      <c r="AN651" s="706"/>
      <c r="AO651" s="706"/>
      <c r="AP651" s="706"/>
    </row>
    <row r="652" spans="1:42">
      <c r="A652" s="2155">
        <v>11</v>
      </c>
      <c r="B652" s="2171" t="s">
        <v>284</v>
      </c>
      <c r="C652" s="2155">
        <v>10</v>
      </c>
      <c r="D652" s="2213">
        <f t="shared" si="90"/>
        <v>2870752</v>
      </c>
      <c r="E652" s="2188"/>
      <c r="F652" s="1171">
        <v>627713</v>
      </c>
      <c r="G652" s="1182">
        <v>0</v>
      </c>
      <c r="H652" s="1183">
        <v>1476150</v>
      </c>
      <c r="I652" s="1184">
        <v>766889</v>
      </c>
      <c r="J652" s="2214">
        <f t="shared" si="95"/>
        <v>2243039</v>
      </c>
      <c r="K652" s="2188"/>
      <c r="L652" s="2188"/>
      <c r="M652" s="2193"/>
      <c r="N652" s="2195">
        <f t="shared" si="92"/>
        <v>0</v>
      </c>
      <c r="O652" s="1149"/>
      <c r="P652" s="705"/>
      <c r="Q652" s="705"/>
      <c r="R652" s="706"/>
      <c r="S652" s="706"/>
      <c r="T652" s="706"/>
      <c r="U652" s="706"/>
      <c r="V652" s="706"/>
      <c r="W652" s="706"/>
      <c r="X652" s="706"/>
      <c r="Y652" s="706"/>
      <c r="Z652" s="706"/>
      <c r="AA652" s="706"/>
      <c r="AB652" s="706"/>
      <c r="AC652" s="706"/>
      <c r="AF652" s="706"/>
      <c r="AG652" s="706"/>
      <c r="AH652" s="706"/>
      <c r="AI652" s="706"/>
      <c r="AJ652" s="706"/>
      <c r="AK652" s="706"/>
      <c r="AL652" s="706"/>
      <c r="AM652" s="706"/>
      <c r="AN652" s="706"/>
      <c r="AO652" s="706"/>
      <c r="AP652" s="706"/>
    </row>
    <row r="653" spans="1:42">
      <c r="A653" s="2155">
        <v>12</v>
      </c>
      <c r="B653" s="2171" t="s">
        <v>285</v>
      </c>
      <c r="C653" s="2155">
        <v>11</v>
      </c>
      <c r="D653" s="2213">
        <f t="shared" si="90"/>
        <v>4407438</v>
      </c>
      <c r="E653" s="2188"/>
      <c r="F653" s="1171">
        <v>788778</v>
      </c>
      <c r="G653" s="1182">
        <v>182277</v>
      </c>
      <c r="H653" s="1183">
        <v>2046059</v>
      </c>
      <c r="I653" s="1184">
        <v>1390324</v>
      </c>
      <c r="J653" s="2214">
        <f t="shared" si="95"/>
        <v>3618660</v>
      </c>
      <c r="K653" s="2188"/>
      <c r="L653" s="2188"/>
      <c r="M653" s="2193"/>
      <c r="N653" s="2195">
        <f t="shared" si="92"/>
        <v>0</v>
      </c>
      <c r="O653" s="1149"/>
      <c r="P653" s="705"/>
      <c r="Q653" s="705"/>
      <c r="R653" s="706"/>
      <c r="S653" s="706"/>
      <c r="T653" s="706"/>
      <c r="U653" s="706"/>
      <c r="V653" s="706"/>
      <c r="W653" s="706"/>
      <c r="X653" s="706"/>
      <c r="Y653" s="706"/>
      <c r="Z653" s="706"/>
      <c r="AA653" s="706"/>
      <c r="AB653" s="706"/>
      <c r="AC653" s="706"/>
      <c r="AF653" s="706"/>
      <c r="AG653" s="706"/>
      <c r="AH653" s="706"/>
      <c r="AI653" s="706"/>
      <c r="AJ653" s="706"/>
      <c r="AK653" s="706"/>
      <c r="AL653" s="706"/>
      <c r="AM653" s="706"/>
      <c r="AN653" s="706"/>
      <c r="AO653" s="706"/>
      <c r="AP653" s="706"/>
    </row>
    <row r="654" spans="1:42" ht="25.5">
      <c r="A654" s="2155">
        <v>13</v>
      </c>
      <c r="B654" s="2171" t="s">
        <v>286</v>
      </c>
      <c r="C654" s="2155">
        <v>12</v>
      </c>
      <c r="D654" s="2213">
        <f t="shared" si="90"/>
        <v>1452390</v>
      </c>
      <c r="E654" s="2188"/>
      <c r="F654" s="1171">
        <v>599851</v>
      </c>
      <c r="G654" s="1182">
        <v>82756</v>
      </c>
      <c r="H654" s="1183">
        <v>435086</v>
      </c>
      <c r="I654" s="1184">
        <v>334697</v>
      </c>
      <c r="J654" s="2214">
        <f t="shared" si="95"/>
        <v>852539</v>
      </c>
      <c r="K654" s="2188"/>
      <c r="L654" s="2188"/>
      <c r="M654" s="2193"/>
      <c r="N654" s="2195">
        <f t="shared" si="92"/>
        <v>0</v>
      </c>
      <c r="O654" s="1149"/>
      <c r="P654" s="705"/>
      <c r="Q654" s="705"/>
      <c r="R654" s="706"/>
      <c r="S654" s="706"/>
      <c r="T654" s="706"/>
      <c r="U654" s="706"/>
      <c r="V654" s="706"/>
      <c r="W654" s="706"/>
      <c r="X654" s="706"/>
      <c r="Y654" s="706"/>
      <c r="Z654" s="706"/>
      <c r="AA654" s="706"/>
      <c r="AB654" s="706"/>
      <c r="AC654" s="706"/>
      <c r="AF654" s="706"/>
      <c r="AG654" s="706"/>
      <c r="AH654" s="706"/>
      <c r="AI654" s="706"/>
      <c r="AJ654" s="706"/>
      <c r="AK654" s="706"/>
      <c r="AL654" s="706"/>
      <c r="AM654" s="706"/>
      <c r="AN654" s="706"/>
      <c r="AO654" s="706"/>
      <c r="AP654" s="706"/>
    </row>
    <row r="655" spans="1:42">
      <c r="A655" s="2155">
        <v>14</v>
      </c>
      <c r="B655" s="2154" t="s">
        <v>287</v>
      </c>
      <c r="C655" s="2155">
        <v>13</v>
      </c>
      <c r="D655" s="2213">
        <f t="shared" si="90"/>
        <v>72119</v>
      </c>
      <c r="E655" s="2188"/>
      <c r="F655" s="2188">
        <v>0</v>
      </c>
      <c r="G655" s="2189">
        <v>4440</v>
      </c>
      <c r="H655" s="2197">
        <v>477</v>
      </c>
      <c r="I655" s="2194">
        <v>67202</v>
      </c>
      <c r="J655" s="2214">
        <f t="shared" si="95"/>
        <v>72119</v>
      </c>
      <c r="K655" s="2188"/>
      <c r="L655" s="2188"/>
      <c r="M655" s="2193"/>
      <c r="N655" s="2195">
        <f t="shared" si="92"/>
        <v>0</v>
      </c>
      <c r="O655" s="1149"/>
      <c r="P655" s="705"/>
      <c r="Q655" s="705"/>
      <c r="R655" s="706"/>
      <c r="S655" s="706"/>
      <c r="T655" s="706"/>
      <c r="U655" s="706"/>
      <c r="V655" s="706"/>
      <c r="W655" s="706"/>
      <c r="X655" s="706"/>
      <c r="Y655" s="706"/>
      <c r="Z655" s="706"/>
      <c r="AA655" s="706"/>
      <c r="AB655" s="706"/>
      <c r="AC655" s="706"/>
      <c r="AF655" s="706"/>
      <c r="AG655" s="706"/>
      <c r="AH655" s="706"/>
      <c r="AI655" s="706"/>
      <c r="AJ655" s="706"/>
      <c r="AK655" s="706"/>
      <c r="AL655" s="706"/>
      <c r="AM655" s="706"/>
      <c r="AN655" s="706"/>
      <c r="AO655" s="706"/>
      <c r="AP655" s="706"/>
    </row>
    <row r="656" spans="1:42">
      <c r="A656" s="2155">
        <v>15</v>
      </c>
      <c r="B656" s="2154" t="s">
        <v>288</v>
      </c>
      <c r="C656" s="2161">
        <v>14</v>
      </c>
      <c r="D656" s="2213">
        <f t="shared" si="90"/>
        <v>50771</v>
      </c>
      <c r="E656" s="2188"/>
      <c r="F656" s="1171">
        <v>0</v>
      </c>
      <c r="G656" s="1182">
        <v>220</v>
      </c>
      <c r="H656" s="1174">
        <v>44438</v>
      </c>
      <c r="I656" s="1173">
        <v>6113</v>
      </c>
      <c r="J656" s="2214">
        <f t="shared" si="95"/>
        <v>50771</v>
      </c>
      <c r="K656" s="2188"/>
      <c r="L656" s="2188"/>
      <c r="M656" s="2193"/>
      <c r="N656" s="2195">
        <f t="shared" si="92"/>
        <v>0</v>
      </c>
      <c r="O656" s="1149"/>
      <c r="P656" s="705"/>
      <c r="Q656" s="705"/>
      <c r="R656" s="706"/>
      <c r="S656" s="706"/>
      <c r="T656" s="706"/>
      <c r="U656" s="706"/>
      <c r="V656" s="706"/>
      <c r="W656" s="706"/>
      <c r="X656" s="706"/>
      <c r="Y656" s="706"/>
      <c r="Z656" s="706"/>
      <c r="AA656" s="706"/>
      <c r="AB656" s="706"/>
      <c r="AC656" s="706"/>
      <c r="AF656" s="706"/>
      <c r="AG656" s="706"/>
      <c r="AH656" s="706"/>
      <c r="AI656" s="706"/>
      <c r="AJ656" s="706"/>
      <c r="AK656" s="706"/>
      <c r="AL656" s="706"/>
      <c r="AM656" s="706"/>
      <c r="AN656" s="706"/>
      <c r="AO656" s="706"/>
      <c r="AP656" s="706"/>
    </row>
    <row r="657" spans="1:42">
      <c r="A657" s="2155">
        <v>16</v>
      </c>
      <c r="B657" s="2154" t="s">
        <v>289</v>
      </c>
      <c r="C657" s="2155">
        <v>15</v>
      </c>
      <c r="D657" s="2213">
        <f t="shared" si="90"/>
        <v>175873</v>
      </c>
      <c r="E657" s="2188"/>
      <c r="F657" s="1171">
        <v>0</v>
      </c>
      <c r="G657" s="1182">
        <v>1859</v>
      </c>
      <c r="H657" s="1174">
        <v>61830</v>
      </c>
      <c r="I657" s="1173">
        <v>112184</v>
      </c>
      <c r="J657" s="2214">
        <f t="shared" si="95"/>
        <v>175873</v>
      </c>
      <c r="K657" s="2188"/>
      <c r="L657" s="2188"/>
      <c r="M657" s="2193"/>
      <c r="N657" s="2195">
        <f t="shared" si="92"/>
        <v>0</v>
      </c>
      <c r="O657" s="1149"/>
      <c r="P657" s="705"/>
      <c r="Q657" s="705"/>
      <c r="R657" s="706"/>
      <c r="S657" s="706"/>
      <c r="T657" s="706"/>
      <c r="U657" s="706"/>
      <c r="V657" s="706"/>
      <c r="W657" s="706"/>
      <c r="X657" s="706"/>
      <c r="Y657" s="706"/>
      <c r="Z657" s="706"/>
      <c r="AA657" s="706"/>
      <c r="AB657" s="706"/>
      <c r="AC657" s="706"/>
      <c r="AF657" s="706"/>
      <c r="AG657" s="706"/>
      <c r="AH657" s="706"/>
      <c r="AI657" s="706"/>
      <c r="AJ657" s="706"/>
      <c r="AK657" s="706"/>
      <c r="AL657" s="706"/>
      <c r="AM657" s="706"/>
      <c r="AN657" s="706"/>
      <c r="AO657" s="706"/>
      <c r="AP657" s="706"/>
    </row>
    <row r="658" spans="1:42">
      <c r="A658" s="2155">
        <v>17</v>
      </c>
      <c r="B658" s="2154" t="s">
        <v>290</v>
      </c>
      <c r="C658" s="2161">
        <v>16</v>
      </c>
      <c r="D658" s="2213">
        <f t="shared" si="90"/>
        <v>122046.36438255321</v>
      </c>
      <c r="E658" s="2188">
        <v>-315722</v>
      </c>
      <c r="F658" s="1171">
        <v>316468</v>
      </c>
      <c r="G658" s="1182">
        <v>0</v>
      </c>
      <c r="H658" s="1183">
        <v>139947</v>
      </c>
      <c r="I658" s="1184">
        <v>42294</v>
      </c>
      <c r="J658" s="2214">
        <f>G658+H658+I658-18646.9347933988-42293.700824048</f>
        <v>121300.36438255321</v>
      </c>
      <c r="K658" s="2188"/>
      <c r="L658" s="2188"/>
      <c r="M658" s="2193"/>
      <c r="N658" s="2195">
        <f t="shared" si="92"/>
        <v>0</v>
      </c>
      <c r="O658" s="1149"/>
      <c r="P658" s="705"/>
      <c r="Q658" s="705"/>
      <c r="R658" s="706"/>
      <c r="S658" s="706"/>
      <c r="T658" s="706"/>
      <c r="U658" s="706"/>
      <c r="V658" s="706"/>
      <c r="W658" s="706"/>
      <c r="X658" s="706"/>
      <c r="Y658" s="706"/>
      <c r="Z658" s="706"/>
      <c r="AA658" s="706"/>
      <c r="AB658" s="706"/>
      <c r="AC658" s="706"/>
      <c r="AF658" s="706"/>
      <c r="AG658" s="706"/>
      <c r="AH658" s="706"/>
      <c r="AI658" s="706"/>
      <c r="AJ658" s="706"/>
      <c r="AK658" s="706"/>
      <c r="AL658" s="706"/>
      <c r="AM658" s="706"/>
      <c r="AN658" s="706"/>
      <c r="AO658" s="706"/>
      <c r="AP658" s="706"/>
    </row>
    <row r="659" spans="1:42">
      <c r="A659" s="2155">
        <v>18</v>
      </c>
      <c r="B659" s="2154" t="s">
        <v>291</v>
      </c>
      <c r="C659" s="2155"/>
      <c r="D659" s="2213">
        <f t="shared" si="90"/>
        <v>0</v>
      </c>
      <c r="E659" s="2188"/>
      <c r="F659" s="1171">
        <v>0</v>
      </c>
      <c r="G659" s="1182">
        <v>0</v>
      </c>
      <c r="H659" s="1174">
        <v>0</v>
      </c>
      <c r="I659" s="1173">
        <v>0</v>
      </c>
      <c r="J659" s="2214">
        <f t="shared" si="95"/>
        <v>0</v>
      </c>
      <c r="K659" s="2188"/>
      <c r="L659" s="2188"/>
      <c r="M659" s="2193"/>
      <c r="N659" s="2195">
        <f t="shared" si="92"/>
        <v>0</v>
      </c>
      <c r="O659" s="1149"/>
      <c r="P659" s="705"/>
      <c r="Q659" s="705"/>
      <c r="R659" s="706"/>
      <c r="S659" s="706"/>
      <c r="T659" s="706"/>
      <c r="U659" s="706"/>
      <c r="V659" s="706"/>
      <c r="W659" s="706"/>
      <c r="X659" s="706"/>
      <c r="Y659" s="706"/>
      <c r="Z659" s="706"/>
      <c r="AA659" s="706"/>
      <c r="AB659" s="706"/>
      <c r="AC659" s="706"/>
      <c r="AF659" s="706"/>
      <c r="AG659" s="706"/>
      <c r="AH659" s="706"/>
      <c r="AI659" s="706"/>
      <c r="AJ659" s="706"/>
      <c r="AK659" s="706"/>
      <c r="AL659" s="706"/>
      <c r="AM659" s="706"/>
      <c r="AN659" s="706"/>
      <c r="AO659" s="706"/>
      <c r="AP659" s="706"/>
    </row>
    <row r="660" spans="1:42" ht="13.5" thickBot="1">
      <c r="A660" s="2172">
        <v>19</v>
      </c>
      <c r="B660" s="2173" t="s">
        <v>292</v>
      </c>
      <c r="C660" s="2172"/>
      <c r="D660" s="1388">
        <f t="shared" si="90"/>
        <v>249289</v>
      </c>
      <c r="E660" s="1176"/>
      <c r="F660" s="1175">
        <v>30920</v>
      </c>
      <c r="G660" s="1202">
        <v>397</v>
      </c>
      <c r="H660" s="1200">
        <v>217879</v>
      </c>
      <c r="I660" s="1178">
        <v>93</v>
      </c>
      <c r="J660" s="1396">
        <f t="shared" si="95"/>
        <v>218369</v>
      </c>
      <c r="K660" s="1176"/>
      <c r="L660" s="1176"/>
      <c r="M660" s="1177"/>
      <c r="N660" s="2215">
        <f t="shared" si="92"/>
        <v>0</v>
      </c>
      <c r="O660" s="1149"/>
      <c r="P660" s="705"/>
      <c r="Q660" s="705"/>
      <c r="R660" s="706"/>
      <c r="S660" s="706"/>
      <c r="T660" s="706"/>
      <c r="U660" s="706"/>
      <c r="V660" s="706"/>
      <c r="W660" s="706"/>
      <c r="X660" s="706"/>
      <c r="Y660" s="706"/>
      <c r="Z660" s="706"/>
      <c r="AA660" s="706"/>
      <c r="AB660" s="706"/>
      <c r="AC660" s="706"/>
      <c r="AF660" s="706"/>
      <c r="AG660" s="706"/>
      <c r="AH660" s="706"/>
      <c r="AI660" s="706"/>
      <c r="AJ660" s="706"/>
      <c r="AK660" s="706"/>
      <c r="AL660" s="706"/>
      <c r="AM660" s="706"/>
      <c r="AN660" s="706"/>
      <c r="AO660" s="706"/>
      <c r="AP660" s="706"/>
    </row>
    <row r="661" spans="1:42" ht="26.25" thickBot="1">
      <c r="A661" s="1351">
        <v>20</v>
      </c>
      <c r="B661" s="1352" t="s">
        <v>293</v>
      </c>
      <c r="C661" s="1351"/>
      <c r="D661" s="1383">
        <v>9622145</v>
      </c>
      <c r="E661" s="1378">
        <f>SUM(E638:E644)+E647+E650+SUM(E655:E660)</f>
        <v>-315722</v>
      </c>
      <c r="F661" s="1378">
        <f>SUM(F638:F644)+F647+F650+SUM(F655:F660)</f>
        <v>2480938</v>
      </c>
      <c r="G661" s="1378">
        <f>SUM(G638:G644)+G647+G650+SUM(G655:G660)</f>
        <v>271949</v>
      </c>
      <c r="H661" s="1379">
        <f>SUM(H638:H644)+H647+H650+SUM(H655:H660)</f>
        <v>4526126</v>
      </c>
      <c r="I661" s="1380">
        <f>SUM(I638:I644)+I647+I650+SUM(I655:I660)</f>
        <v>2719796</v>
      </c>
      <c r="J661" s="1378">
        <f>G661+H661+I661-18646.9347933988-42293.700824048</f>
        <v>7456930.3643825529</v>
      </c>
      <c r="K661" s="1378">
        <f>SUM(K638:K644)+K647+K650+SUM(K655:K660)</f>
        <v>0</v>
      </c>
      <c r="L661" s="1378">
        <f>SUM(L638:L644)+L647+L650+SUM(L655:L660)</f>
        <v>0</v>
      </c>
      <c r="M661" s="1379">
        <f>SUM(M638:M644)+M647+M650+SUM(M655:M660)</f>
        <v>0</v>
      </c>
      <c r="N661" s="1380">
        <f t="shared" si="92"/>
        <v>0</v>
      </c>
      <c r="O661" s="1149"/>
      <c r="P661" s="705"/>
      <c r="Q661" s="705"/>
      <c r="R661" s="706"/>
      <c r="S661" s="706"/>
      <c r="T661" s="706"/>
      <c r="U661" s="706"/>
      <c r="V661" s="706"/>
      <c r="W661" s="706"/>
      <c r="X661" s="706"/>
      <c r="Y661" s="706"/>
      <c r="Z661" s="706"/>
      <c r="AA661" s="706"/>
      <c r="AB661" s="706"/>
      <c r="AC661" s="706"/>
      <c r="AF661" s="706"/>
      <c r="AG661" s="706"/>
      <c r="AH661" s="706"/>
      <c r="AI661" s="706"/>
      <c r="AJ661" s="706"/>
      <c r="AK661" s="706"/>
      <c r="AL661" s="706"/>
      <c r="AM661" s="706"/>
      <c r="AN661" s="706"/>
      <c r="AO661" s="706"/>
      <c r="AP661" s="706"/>
    </row>
    <row r="662" spans="1:42">
      <c r="A662" s="1346"/>
      <c r="B662" s="1347" t="s">
        <v>294</v>
      </c>
      <c r="C662" s="1346"/>
      <c r="D662" s="1387">
        <f t="shared" si="90"/>
        <v>0</v>
      </c>
      <c r="E662" s="1171"/>
      <c r="F662" s="1171"/>
      <c r="G662" s="1171"/>
      <c r="H662" s="1172"/>
      <c r="I662" s="1173"/>
      <c r="J662" s="1395">
        <f t="shared" si="95"/>
        <v>0</v>
      </c>
      <c r="K662" s="1171"/>
      <c r="L662" s="1171"/>
      <c r="M662" s="1172"/>
      <c r="N662" s="1401">
        <f t="shared" si="92"/>
        <v>0</v>
      </c>
      <c r="O662" s="1149"/>
      <c r="P662" s="705"/>
      <c r="Q662" s="705"/>
      <c r="R662" s="706"/>
      <c r="S662" s="706"/>
      <c r="T662" s="706"/>
      <c r="U662" s="706"/>
      <c r="V662" s="706"/>
      <c r="W662" s="706"/>
      <c r="X662" s="706"/>
      <c r="Y662" s="706"/>
      <c r="Z662" s="706"/>
      <c r="AA662" s="706"/>
      <c r="AB662" s="706"/>
      <c r="AC662" s="706"/>
      <c r="AF662" s="706"/>
      <c r="AG662" s="706"/>
      <c r="AH662" s="706"/>
      <c r="AI662" s="706"/>
      <c r="AJ662" s="706"/>
      <c r="AK662" s="706"/>
      <c r="AL662" s="706"/>
      <c r="AM662" s="706"/>
      <c r="AN662" s="706"/>
      <c r="AO662" s="706"/>
      <c r="AP662" s="706"/>
    </row>
    <row r="663" spans="1:42">
      <c r="A663" s="2155"/>
      <c r="B663" s="2175" t="s">
        <v>295</v>
      </c>
      <c r="C663" s="2155"/>
      <c r="D663" s="2213">
        <f t="shared" si="90"/>
        <v>0</v>
      </c>
      <c r="E663" s="2188"/>
      <c r="F663" s="2188"/>
      <c r="G663" s="2188"/>
      <c r="H663" s="2193"/>
      <c r="I663" s="2194"/>
      <c r="J663" s="2214">
        <f t="shared" si="95"/>
        <v>0</v>
      </c>
      <c r="K663" s="2188"/>
      <c r="L663" s="2188"/>
      <c r="M663" s="2193"/>
      <c r="N663" s="2195">
        <f t="shared" si="92"/>
        <v>0</v>
      </c>
      <c r="O663" s="1149"/>
      <c r="P663" s="705"/>
      <c r="Q663" s="705"/>
      <c r="R663" s="706"/>
      <c r="S663" s="706"/>
      <c r="T663" s="706"/>
      <c r="U663" s="706"/>
      <c r="V663" s="706"/>
      <c r="W663" s="706"/>
      <c r="X663" s="706"/>
      <c r="Y663" s="706"/>
      <c r="Z663" s="706"/>
      <c r="AA663" s="706"/>
      <c r="AB663" s="706"/>
      <c r="AC663" s="706"/>
      <c r="AF663" s="706"/>
      <c r="AG663" s="706"/>
      <c r="AH663" s="706"/>
      <c r="AI663" s="706"/>
      <c r="AJ663" s="706"/>
      <c r="AK663" s="706"/>
      <c r="AL663" s="706"/>
      <c r="AM663" s="706"/>
      <c r="AN663" s="706"/>
      <c r="AO663" s="706"/>
      <c r="AP663" s="706"/>
    </row>
    <row r="664" spans="1:42">
      <c r="A664" s="2155">
        <v>21</v>
      </c>
      <c r="B664" s="2154" t="s">
        <v>296</v>
      </c>
      <c r="C664" s="2161">
        <v>17</v>
      </c>
      <c r="D664" s="2274">
        <f>+E664+F664+J664+N664</f>
        <v>6087274.1079699993</v>
      </c>
      <c r="E664" s="2188"/>
      <c r="F664" s="2188"/>
      <c r="G664" s="2189">
        <v>251745.135907499</v>
      </c>
      <c r="H664" s="2197">
        <v>3275960.2202698104</v>
      </c>
      <c r="I664" s="2194">
        <f>2559568751.79269/1000</f>
        <v>2559568.7517926898</v>
      </c>
      <c r="J664" s="2214">
        <f t="shared" si="95"/>
        <v>6087274.1079699993</v>
      </c>
      <c r="K664" s="2188"/>
      <c r="L664" s="2188"/>
      <c r="M664" s="2193"/>
      <c r="N664" s="2195">
        <f t="shared" si="92"/>
        <v>0</v>
      </c>
      <c r="O664" s="1149"/>
      <c r="P664" s="705"/>
      <c r="Q664" s="705"/>
      <c r="R664" s="706"/>
      <c r="S664" s="706"/>
      <c r="T664" s="706"/>
      <c r="U664" s="706"/>
      <c r="V664" s="706"/>
      <c r="W664" s="706"/>
      <c r="X664" s="706"/>
      <c r="Y664" s="706"/>
      <c r="Z664" s="706"/>
      <c r="AA664" s="706"/>
      <c r="AB664" s="706"/>
      <c r="AC664" s="706"/>
      <c r="AF664" s="706"/>
      <c r="AG664" s="706"/>
      <c r="AH664" s="706"/>
      <c r="AI664" s="706"/>
      <c r="AJ664" s="706"/>
      <c r="AK664" s="706"/>
      <c r="AL664" s="706"/>
      <c r="AM664" s="706"/>
      <c r="AN664" s="706"/>
      <c r="AO664" s="706"/>
      <c r="AP664" s="706"/>
    </row>
    <row r="665" spans="1:42">
      <c r="A665" s="2155">
        <v>22</v>
      </c>
      <c r="B665" s="2154" t="s">
        <v>297</v>
      </c>
      <c r="C665" s="2155"/>
      <c r="D665" s="2264">
        <f t="shared" ref="D665" si="96">+E665+F665+J665+N665</f>
        <v>18611.690999999999</v>
      </c>
      <c r="E665" s="2188"/>
      <c r="F665" s="2188"/>
      <c r="G665" s="2189"/>
      <c r="H665" s="2197">
        <v>18611.690999999999</v>
      </c>
      <c r="I665" s="2194"/>
      <c r="J665" s="2214">
        <f t="shared" si="95"/>
        <v>18611.690999999999</v>
      </c>
      <c r="K665" s="2188"/>
      <c r="L665" s="2188"/>
      <c r="M665" s="2193"/>
      <c r="N665" s="2195">
        <f t="shared" si="92"/>
        <v>0</v>
      </c>
      <c r="O665" s="1149"/>
      <c r="P665" s="705"/>
      <c r="Q665" s="705"/>
      <c r="R665" s="706"/>
      <c r="S665" s="706"/>
      <c r="T665" s="706"/>
      <c r="U665" s="706"/>
      <c r="V665" s="706"/>
      <c r="W665" s="706"/>
      <c r="X665" s="706"/>
      <c r="Y665" s="706"/>
      <c r="Z665" s="706"/>
      <c r="AA665" s="706"/>
      <c r="AB665" s="706"/>
      <c r="AC665" s="706"/>
      <c r="AF665" s="706"/>
      <c r="AG665" s="706"/>
      <c r="AH665" s="706"/>
      <c r="AI665" s="706"/>
      <c r="AJ665" s="706"/>
      <c r="AK665" s="706"/>
      <c r="AL665" s="706"/>
      <c r="AM665" s="706"/>
      <c r="AN665" s="706"/>
      <c r="AO665" s="706"/>
      <c r="AP665" s="706"/>
    </row>
    <row r="666" spans="1:42">
      <c r="A666" s="2155">
        <v>23</v>
      </c>
      <c r="B666" s="2154" t="s">
        <v>298</v>
      </c>
      <c r="C666" s="2155">
        <v>18</v>
      </c>
      <c r="D666" s="2213">
        <f t="shared" si="90"/>
        <v>134703.68801000027</v>
      </c>
      <c r="E666" s="2188"/>
      <c r="F666" s="2188"/>
      <c r="G666" s="2189">
        <v>-4923.3698293977395</v>
      </c>
      <c r="H666" s="2197">
        <v>77432.979026321118</v>
      </c>
      <c r="I666" s="2194">
        <f>62194078.8130769/1000</f>
        <v>62194.0788130769</v>
      </c>
      <c r="J666" s="2214">
        <f t="shared" si="95"/>
        <v>134703.68801000027</v>
      </c>
      <c r="K666" s="2188"/>
      <c r="L666" s="2188"/>
      <c r="M666" s="2193"/>
      <c r="N666" s="2195">
        <f t="shared" si="92"/>
        <v>0</v>
      </c>
      <c r="O666" s="1149"/>
      <c r="P666" s="705"/>
      <c r="Q666" s="705"/>
      <c r="R666" s="706"/>
      <c r="S666" s="706"/>
      <c r="T666" s="706"/>
      <c r="U666" s="706"/>
      <c r="V666" s="706"/>
      <c r="W666" s="706"/>
      <c r="X666" s="706"/>
      <c r="Y666" s="706"/>
      <c r="Z666" s="706"/>
      <c r="AA666" s="706"/>
      <c r="AB666" s="706"/>
      <c r="AC666" s="706"/>
      <c r="AF666" s="706"/>
      <c r="AG666" s="706"/>
      <c r="AH666" s="706"/>
      <c r="AI666" s="706"/>
      <c r="AJ666" s="706"/>
      <c r="AK666" s="706"/>
      <c r="AL666" s="706"/>
      <c r="AM666" s="706"/>
      <c r="AN666" s="706"/>
      <c r="AO666" s="706"/>
      <c r="AP666" s="706"/>
    </row>
    <row r="667" spans="1:42">
      <c r="A667" s="2155">
        <v>24</v>
      </c>
      <c r="B667" s="2154" t="s">
        <v>299</v>
      </c>
      <c r="C667" s="2155"/>
      <c r="D667" s="2213">
        <f t="shared" si="90"/>
        <v>0</v>
      </c>
      <c r="E667" s="2188"/>
      <c r="F667" s="2188"/>
      <c r="G667" s="2189"/>
      <c r="H667" s="2197"/>
      <c r="I667" s="2194"/>
      <c r="J667" s="2214">
        <f t="shared" si="95"/>
        <v>0</v>
      </c>
      <c r="K667" s="2188"/>
      <c r="L667" s="2188"/>
      <c r="M667" s="2193"/>
      <c r="N667" s="2195">
        <f t="shared" si="92"/>
        <v>0</v>
      </c>
      <c r="O667" s="1149"/>
      <c r="P667" s="705"/>
      <c r="Q667" s="705"/>
      <c r="R667" s="706"/>
      <c r="S667" s="706"/>
      <c r="T667" s="706"/>
      <c r="U667" s="706"/>
      <c r="V667" s="706"/>
      <c r="W667" s="706"/>
      <c r="X667" s="706"/>
      <c r="Y667" s="706"/>
      <c r="Z667" s="706"/>
      <c r="AA667" s="706"/>
      <c r="AB667" s="706"/>
      <c r="AC667" s="706"/>
      <c r="AF667" s="706"/>
      <c r="AG667" s="706"/>
      <c r="AH667" s="706"/>
      <c r="AI667" s="706"/>
      <c r="AJ667" s="706"/>
      <c r="AK667" s="706"/>
      <c r="AL667" s="706"/>
      <c r="AM667" s="706"/>
      <c r="AN667" s="706"/>
      <c r="AO667" s="706"/>
      <c r="AP667" s="706"/>
    </row>
    <row r="668" spans="1:42">
      <c r="A668" s="2155">
        <v>25</v>
      </c>
      <c r="B668" s="2176" t="s">
        <v>300</v>
      </c>
      <c r="C668" s="2155"/>
      <c r="D668" s="2213">
        <f t="shared" si="90"/>
        <v>78201.111550000001</v>
      </c>
      <c r="E668" s="2188"/>
      <c r="F668" s="2188">
        <v>78201.111550000001</v>
      </c>
      <c r="G668" s="2189"/>
      <c r="H668" s="2197"/>
      <c r="I668" s="2194"/>
      <c r="J668" s="2214">
        <f t="shared" si="95"/>
        <v>0</v>
      </c>
      <c r="K668" s="2188"/>
      <c r="L668" s="2188"/>
      <c r="M668" s="2193"/>
      <c r="N668" s="2195">
        <f t="shared" si="92"/>
        <v>0</v>
      </c>
      <c r="O668" s="1149"/>
      <c r="P668" s="705"/>
      <c r="Q668" s="705"/>
      <c r="R668" s="706"/>
      <c r="S668" s="706"/>
      <c r="T668" s="706"/>
      <c r="U668" s="706"/>
      <c r="V668" s="706"/>
      <c r="W668" s="706"/>
      <c r="X668" s="706"/>
      <c r="Y668" s="706"/>
      <c r="Z668" s="706"/>
      <c r="AA668" s="706"/>
      <c r="AB668" s="706"/>
      <c r="AC668" s="706"/>
      <c r="AF668" s="706"/>
      <c r="AG668" s="706"/>
      <c r="AH668" s="706"/>
      <c r="AI668" s="706"/>
      <c r="AJ668" s="706"/>
      <c r="AK668" s="706"/>
      <c r="AL668" s="706"/>
      <c r="AM668" s="706"/>
      <c r="AN668" s="706"/>
      <c r="AO668" s="706"/>
      <c r="AP668" s="706"/>
    </row>
    <row r="669" spans="1:42" ht="13.5" thickBot="1">
      <c r="A669" s="2172">
        <v>26</v>
      </c>
      <c r="B669" s="2173" t="s">
        <v>301</v>
      </c>
      <c r="C669" s="2177">
        <v>19</v>
      </c>
      <c r="D669" s="2213">
        <f>+E669+F669+J669+N669</f>
        <v>901537.84261000017</v>
      </c>
      <c r="E669" s="2188">
        <v>-315722.47727999999</v>
      </c>
      <c r="F669" s="1176">
        <v>920.29086000000007</v>
      </c>
      <c r="G669" s="1208">
        <v>25127.745923398805</v>
      </c>
      <c r="H669" s="1209">
        <f>963160.56967+42293.700824048+148665.10075</f>
        <v>1154119.371244048</v>
      </c>
      <c r="I669" s="2266">
        <f>98033547.48/1000</f>
        <v>98033.547480000008</v>
      </c>
      <c r="J669" s="2214">
        <f>G669+H669+I669-18646.9347933988-42293.700824048</f>
        <v>1216340.0290300001</v>
      </c>
      <c r="K669" s="2188"/>
      <c r="L669" s="2188"/>
      <c r="M669" s="2193"/>
      <c r="N669" s="2195">
        <f t="shared" si="92"/>
        <v>0</v>
      </c>
      <c r="O669" s="1149"/>
      <c r="P669" s="705"/>
      <c r="Q669" s="705"/>
      <c r="R669" s="706"/>
      <c r="S669" s="706"/>
      <c r="T669" s="706"/>
      <c r="U669" s="706"/>
      <c r="V669" s="706"/>
      <c r="W669" s="706"/>
      <c r="X669" s="706"/>
      <c r="Y669" s="706"/>
      <c r="Z669" s="706"/>
      <c r="AA669" s="706"/>
      <c r="AB669" s="706"/>
      <c r="AC669" s="706"/>
      <c r="AF669" s="706"/>
      <c r="AG669" s="706"/>
      <c r="AH669" s="706"/>
      <c r="AI669" s="706"/>
      <c r="AJ669" s="706"/>
      <c r="AK669" s="706"/>
      <c r="AL669" s="706"/>
      <c r="AM669" s="706"/>
      <c r="AN669" s="706"/>
      <c r="AO669" s="706"/>
      <c r="AP669" s="706"/>
    </row>
    <row r="670" spans="1:42" ht="29.25" customHeight="1" thickBot="1">
      <c r="A670" s="1348">
        <v>27</v>
      </c>
      <c r="B670" s="1349" t="s">
        <v>302</v>
      </c>
      <c r="C670" s="1348"/>
      <c r="D670" s="1389">
        <f>+E670+F670+J670+N670</f>
        <v>7220328.4411400007</v>
      </c>
      <c r="E670" s="1181">
        <f>SUM(E664:E669)</f>
        <v>-315722.47727999999</v>
      </c>
      <c r="F670" s="1181">
        <f>SUM(F664:F669)</f>
        <v>79121.402409999995</v>
      </c>
      <c r="G670" s="1181">
        <f>SUM(G664:G669)</f>
        <v>271949.51200150006</v>
      </c>
      <c r="H670" s="1185">
        <f>SUM(H664:H669)</f>
        <v>4526124.2615401801</v>
      </c>
      <c r="I670" s="1181">
        <f>SUM(I664:I669)</f>
        <v>2719796.3780857669</v>
      </c>
      <c r="J670" s="1394">
        <f>G670+H670+I670-18646.9347933988-42293.700824048</f>
        <v>7456929.5160100004</v>
      </c>
      <c r="K670" s="1181">
        <f>SUM(K664:K669)</f>
        <v>0</v>
      </c>
      <c r="L670" s="1181">
        <f>SUM(L664:L669)</f>
        <v>0</v>
      </c>
      <c r="M670" s="1185">
        <f>SUM(M664:M669)</f>
        <v>0</v>
      </c>
      <c r="N670" s="1400">
        <f t="shared" si="92"/>
        <v>0</v>
      </c>
      <c r="O670" s="1149"/>
      <c r="P670" s="705"/>
      <c r="Q670" s="705"/>
      <c r="R670" s="706"/>
      <c r="S670" s="706"/>
      <c r="T670" s="706"/>
      <c r="U670" s="706"/>
      <c r="V670" s="706"/>
      <c r="W670" s="706"/>
      <c r="X670" s="706"/>
      <c r="Y670" s="706"/>
      <c r="Z670" s="706"/>
      <c r="AA670" s="706"/>
      <c r="AB670" s="706"/>
      <c r="AC670" s="706"/>
      <c r="AF670" s="706"/>
      <c r="AG670" s="706"/>
      <c r="AH670" s="706"/>
      <c r="AI670" s="706"/>
      <c r="AJ670" s="706"/>
      <c r="AK670" s="706"/>
      <c r="AL670" s="706"/>
      <c r="AM670" s="706"/>
      <c r="AN670" s="706"/>
      <c r="AO670" s="706"/>
      <c r="AP670" s="706"/>
    </row>
    <row r="671" spans="1:42">
      <c r="A671" s="1346"/>
      <c r="B671" s="1347" t="s">
        <v>303</v>
      </c>
      <c r="C671" s="1346">
        <v>20</v>
      </c>
      <c r="D671" s="1387">
        <f t="shared" si="90"/>
        <v>0</v>
      </c>
      <c r="E671" s="1171"/>
      <c r="F671" s="1171"/>
      <c r="G671" s="1182"/>
      <c r="H671" s="1174"/>
      <c r="I671" s="1173"/>
      <c r="J671" s="1395">
        <f t="shared" si="95"/>
        <v>0</v>
      </c>
      <c r="K671" s="1171"/>
      <c r="L671" s="1171"/>
      <c r="M671" s="1172"/>
      <c r="N671" s="1401">
        <f t="shared" si="92"/>
        <v>0</v>
      </c>
      <c r="O671" s="1149"/>
      <c r="P671" s="705"/>
      <c r="Q671" s="705"/>
      <c r="R671" s="706"/>
      <c r="S671" s="706"/>
      <c r="T671" s="706"/>
      <c r="U671" s="706"/>
      <c r="V671" s="706"/>
      <c r="W671" s="706"/>
      <c r="X671" s="706"/>
      <c r="Y671" s="706"/>
      <c r="Z671" s="706"/>
      <c r="AA671" s="706"/>
      <c r="AB671" s="706"/>
      <c r="AC671" s="706"/>
      <c r="AF671" s="706"/>
      <c r="AG671" s="706"/>
      <c r="AH671" s="706"/>
      <c r="AI671" s="706"/>
      <c r="AJ671" s="706"/>
      <c r="AK671" s="706"/>
      <c r="AL671" s="706"/>
      <c r="AM671" s="706"/>
      <c r="AN671" s="706"/>
      <c r="AO671" s="706"/>
      <c r="AP671" s="706"/>
    </row>
    <row r="672" spans="1:42">
      <c r="A672" s="2155">
        <v>28</v>
      </c>
      <c r="B672" s="2154" t="s">
        <v>304</v>
      </c>
      <c r="C672" s="2161"/>
      <c r="D672" s="2213">
        <f t="shared" si="90"/>
        <v>1350000</v>
      </c>
      <c r="E672" s="2188"/>
      <c r="F672" s="2188">
        <v>1350000</v>
      </c>
      <c r="G672" s="2189"/>
      <c r="H672" s="2197"/>
      <c r="I672" s="2194"/>
      <c r="J672" s="2214">
        <f t="shared" si="95"/>
        <v>0</v>
      </c>
      <c r="K672" s="2188"/>
      <c r="L672" s="2188"/>
      <c r="M672" s="2193"/>
      <c r="N672" s="2195">
        <f t="shared" si="92"/>
        <v>0</v>
      </c>
      <c r="O672" s="1149"/>
      <c r="P672" s="705"/>
      <c r="Q672" s="705"/>
      <c r="R672" s="706"/>
      <c r="S672" s="706"/>
      <c r="T672" s="706"/>
      <c r="U672" s="706"/>
      <c r="V672" s="706"/>
      <c r="W672" s="706"/>
      <c r="X672" s="706"/>
      <c r="Y672" s="706"/>
      <c r="Z672" s="706"/>
      <c r="AA672" s="706"/>
      <c r="AB672" s="706"/>
      <c r="AC672" s="706"/>
      <c r="AF672" s="706"/>
      <c r="AG672" s="706"/>
      <c r="AH672" s="706"/>
      <c r="AI672" s="706"/>
      <c r="AJ672" s="706"/>
      <c r="AK672" s="706"/>
      <c r="AL672" s="706"/>
      <c r="AM672" s="706"/>
      <c r="AN672" s="706"/>
      <c r="AO672" s="706"/>
      <c r="AP672" s="706"/>
    </row>
    <row r="673" spans="1:42">
      <c r="A673" s="2155">
        <v>29</v>
      </c>
      <c r="B673" s="2154" t="s">
        <v>305</v>
      </c>
      <c r="C673" s="2161"/>
      <c r="D673" s="2213">
        <f t="shared" si="90"/>
        <v>-53812</v>
      </c>
      <c r="E673" s="2188"/>
      <c r="F673" s="1171">
        <v>-53812</v>
      </c>
      <c r="G673" s="2189"/>
      <c r="H673" s="2197"/>
      <c r="I673" s="2194"/>
      <c r="J673" s="2214">
        <f t="shared" si="95"/>
        <v>0</v>
      </c>
      <c r="K673" s="2188"/>
      <c r="L673" s="2188"/>
      <c r="M673" s="2193"/>
      <c r="N673" s="2195">
        <f t="shared" si="92"/>
        <v>0</v>
      </c>
      <c r="O673" s="1149"/>
      <c r="P673" s="705"/>
      <c r="Q673" s="705"/>
      <c r="R673" s="706"/>
      <c r="S673" s="706"/>
      <c r="T673" s="706"/>
      <c r="U673" s="706"/>
      <c r="V673" s="706"/>
      <c r="W673" s="706"/>
      <c r="X673" s="706"/>
      <c r="Y673" s="706"/>
      <c r="Z673" s="706"/>
      <c r="AA673" s="706"/>
      <c r="AB673" s="706"/>
      <c r="AC673" s="706"/>
      <c r="AF673" s="706"/>
      <c r="AG673" s="706"/>
      <c r="AH673" s="706"/>
      <c r="AI673" s="706"/>
      <c r="AJ673" s="706"/>
      <c r="AK673" s="706"/>
      <c r="AL673" s="706"/>
      <c r="AM673" s="706"/>
      <c r="AN673" s="706"/>
      <c r="AO673" s="706"/>
      <c r="AP673" s="706"/>
    </row>
    <row r="674" spans="1:42">
      <c r="A674" s="2155">
        <v>30</v>
      </c>
      <c r="B674" s="2173" t="s">
        <v>306</v>
      </c>
      <c r="C674" s="2177"/>
      <c r="D674" s="2213">
        <f t="shared" si="90"/>
        <v>0</v>
      </c>
      <c r="E674" s="2188"/>
      <c r="F674" s="1175">
        <v>0</v>
      </c>
      <c r="G674" s="1208"/>
      <c r="H674" s="2210"/>
      <c r="I674" s="2211"/>
      <c r="J674" s="2214">
        <f t="shared" si="95"/>
        <v>0</v>
      </c>
      <c r="K674" s="2188"/>
      <c r="L674" s="2188"/>
      <c r="M674" s="2193"/>
      <c r="N674" s="2195">
        <f t="shared" si="92"/>
        <v>0</v>
      </c>
      <c r="O674" s="1149"/>
      <c r="P674" s="705"/>
      <c r="Q674" s="705"/>
      <c r="R674" s="706"/>
      <c r="S674" s="706"/>
      <c r="T674" s="706"/>
      <c r="U674" s="706"/>
      <c r="V674" s="706"/>
      <c r="W674" s="706"/>
      <c r="X674" s="706"/>
      <c r="Y674" s="706"/>
      <c r="Z674" s="706"/>
      <c r="AA674" s="706"/>
      <c r="AB674" s="706"/>
      <c r="AC674" s="706"/>
      <c r="AF674" s="706"/>
      <c r="AG674" s="706"/>
      <c r="AH674" s="706"/>
      <c r="AI674" s="706"/>
      <c r="AJ674" s="706"/>
      <c r="AK674" s="706"/>
      <c r="AL674" s="706"/>
      <c r="AM674" s="706"/>
      <c r="AN674" s="706"/>
      <c r="AO674" s="706"/>
      <c r="AP674" s="706"/>
    </row>
    <row r="675" spans="1:42">
      <c r="A675" s="2155">
        <v>31</v>
      </c>
      <c r="B675" s="2173" t="s">
        <v>307</v>
      </c>
      <c r="C675" s="2177"/>
      <c r="D675" s="2213">
        <f t="shared" si="90"/>
        <v>256134</v>
      </c>
      <c r="E675" s="2188"/>
      <c r="F675" s="1176">
        <v>256134</v>
      </c>
      <c r="G675" s="1208"/>
      <c r="H675" s="2210"/>
      <c r="I675" s="2211"/>
      <c r="J675" s="2214">
        <f t="shared" si="95"/>
        <v>0</v>
      </c>
      <c r="K675" s="2188"/>
      <c r="L675" s="2188"/>
      <c r="M675" s="2193"/>
      <c r="N675" s="2195">
        <f t="shared" si="92"/>
        <v>0</v>
      </c>
      <c r="O675" s="1149"/>
      <c r="P675" s="705"/>
      <c r="Q675" s="705"/>
      <c r="R675" s="706"/>
      <c r="S675" s="706"/>
      <c r="T675" s="706"/>
      <c r="U675" s="706"/>
      <c r="V675" s="706"/>
      <c r="W675" s="706"/>
      <c r="X675" s="706"/>
      <c r="Y675" s="706"/>
      <c r="Z675" s="706"/>
      <c r="AA675" s="706"/>
      <c r="AB675" s="706"/>
      <c r="AC675" s="706"/>
      <c r="AF675" s="706"/>
      <c r="AG675" s="706"/>
      <c r="AH675" s="706"/>
      <c r="AI675" s="706"/>
      <c r="AJ675" s="706"/>
      <c r="AK675" s="706"/>
      <c r="AL675" s="706"/>
      <c r="AM675" s="706"/>
      <c r="AN675" s="706"/>
      <c r="AO675" s="706"/>
      <c r="AP675" s="706"/>
    </row>
    <row r="676" spans="1:42" ht="13.5" thickBot="1">
      <c r="A676" s="2172">
        <v>32</v>
      </c>
      <c r="B676" s="2173" t="s">
        <v>308</v>
      </c>
      <c r="C676" s="2177"/>
      <c r="D676" s="2213">
        <f t="shared" si="90"/>
        <v>849494</v>
      </c>
      <c r="E676" s="2188"/>
      <c r="F676" s="1176">
        <v>849494</v>
      </c>
      <c r="G676" s="1208"/>
      <c r="H676" s="2210"/>
      <c r="I676" s="2211"/>
      <c r="J676" s="2214">
        <f t="shared" si="95"/>
        <v>0</v>
      </c>
      <c r="K676" s="2188"/>
      <c r="L676" s="2188"/>
      <c r="M676" s="2193"/>
      <c r="N676" s="2195">
        <f t="shared" si="92"/>
        <v>0</v>
      </c>
      <c r="O676" s="1149"/>
      <c r="P676" s="705"/>
      <c r="Q676" s="705"/>
      <c r="R676" s="706"/>
      <c r="S676" s="706"/>
      <c r="T676" s="706"/>
      <c r="U676" s="706"/>
      <c r="V676" s="706"/>
      <c r="W676" s="706"/>
      <c r="X676" s="706"/>
      <c r="Y676" s="706"/>
      <c r="Z676" s="706"/>
      <c r="AA676" s="706"/>
      <c r="AB676" s="706"/>
      <c r="AC676" s="706"/>
      <c r="AF676" s="706"/>
      <c r="AG676" s="706"/>
      <c r="AH676" s="706"/>
      <c r="AI676" s="706"/>
      <c r="AJ676" s="706"/>
      <c r="AK676" s="706"/>
      <c r="AL676" s="706"/>
      <c r="AM676" s="706"/>
      <c r="AN676" s="706"/>
      <c r="AO676" s="706"/>
      <c r="AP676" s="706"/>
    </row>
    <row r="677" spans="1:42" ht="13.5" thickBot="1">
      <c r="A677" s="1348">
        <v>33</v>
      </c>
      <c r="B677" s="1384" t="s">
        <v>309</v>
      </c>
      <c r="C677" s="1385"/>
      <c r="D677" s="1390">
        <f t="shared" si="90"/>
        <v>2401816</v>
      </c>
      <c r="E677" s="1186">
        <f>SUM(E672:E676)</f>
        <v>0</v>
      </c>
      <c r="F677" s="1186">
        <f>SUM(F672:F676)</f>
        <v>2401816</v>
      </c>
      <c r="G677" s="1186">
        <f>SUM(G672:G676)</f>
        <v>0</v>
      </c>
      <c r="H677" s="1187">
        <f>SUM(H672:H676)</f>
        <v>0</v>
      </c>
      <c r="I677" s="1188">
        <f>SUM(I672:I676)</f>
        <v>0</v>
      </c>
      <c r="J677" s="1397">
        <f t="shared" si="95"/>
        <v>0</v>
      </c>
      <c r="K677" s="1186">
        <f>SUM(K672:K676)</f>
        <v>0</v>
      </c>
      <c r="L677" s="1186">
        <f>SUM(L672:L676)</f>
        <v>0</v>
      </c>
      <c r="M677" s="1187">
        <f>SUM(M672:M676)</f>
        <v>0</v>
      </c>
      <c r="N677" s="1403">
        <f t="shared" si="92"/>
        <v>0</v>
      </c>
      <c r="O677" s="1149"/>
      <c r="P677" s="705"/>
      <c r="Q677" s="705"/>
      <c r="R677" s="706"/>
      <c r="S677" s="706"/>
      <c r="T677" s="706"/>
      <c r="U677" s="706"/>
      <c r="V677" s="706"/>
      <c r="W677" s="706"/>
      <c r="X677" s="706"/>
      <c r="Y677" s="706"/>
      <c r="Z677" s="706"/>
      <c r="AA677" s="706"/>
      <c r="AB677" s="706"/>
      <c r="AC677" s="706"/>
      <c r="AF677" s="706"/>
      <c r="AG677" s="706"/>
      <c r="AH677" s="706"/>
      <c r="AI677" s="706"/>
      <c r="AJ677" s="706"/>
      <c r="AK677" s="706"/>
      <c r="AL677" s="706"/>
      <c r="AM677" s="706"/>
      <c r="AN677" s="706"/>
      <c r="AO677" s="706"/>
      <c r="AP677" s="706"/>
    </row>
    <row r="678" spans="1:42" ht="26.25" thickBot="1">
      <c r="A678" s="1351">
        <v>34</v>
      </c>
      <c r="B678" s="1352" t="s">
        <v>310</v>
      </c>
      <c r="C678" s="1351"/>
      <c r="D678" s="1381">
        <f>+E678+F678+J678+N678</f>
        <v>9622144.4411399998</v>
      </c>
      <c r="E678" s="1381">
        <f t="shared" ref="E678:M678" si="97">E677+E670</f>
        <v>-315722.47727999999</v>
      </c>
      <c r="F678" s="1381">
        <f t="shared" si="97"/>
        <v>2480937.4024100001</v>
      </c>
      <c r="G678" s="1381">
        <f t="shared" si="97"/>
        <v>271949.51200150006</v>
      </c>
      <c r="H678" s="1382">
        <f t="shared" si="97"/>
        <v>4526124.2615401801</v>
      </c>
      <c r="I678" s="1383">
        <f t="shared" si="97"/>
        <v>2719796.3780857669</v>
      </c>
      <c r="J678" s="1381">
        <f t="shared" si="97"/>
        <v>7456929.5160100004</v>
      </c>
      <c r="K678" s="1381">
        <f t="shared" si="97"/>
        <v>0</v>
      </c>
      <c r="L678" s="1381">
        <f t="shared" si="97"/>
        <v>0</v>
      </c>
      <c r="M678" s="1382">
        <f t="shared" si="97"/>
        <v>0</v>
      </c>
      <c r="N678" s="1383">
        <f t="shared" si="92"/>
        <v>0</v>
      </c>
      <c r="O678" s="1149"/>
      <c r="P678" s="705"/>
      <c r="R678" s="706"/>
      <c r="S678" s="706"/>
      <c r="T678" s="706"/>
      <c r="U678" s="706"/>
      <c r="V678" s="706"/>
      <c r="W678" s="706"/>
      <c r="X678" s="706"/>
      <c r="Y678" s="706"/>
      <c r="Z678" s="706"/>
      <c r="AA678" s="706"/>
      <c r="AB678" s="706"/>
      <c r="AC678" s="706"/>
      <c r="AF678" s="706"/>
      <c r="AG678" s="706"/>
      <c r="AH678" s="706"/>
      <c r="AI678" s="706"/>
      <c r="AJ678" s="706"/>
      <c r="AK678" s="706"/>
      <c r="AL678" s="706"/>
      <c r="AM678" s="706"/>
      <c r="AN678" s="706"/>
      <c r="AO678" s="706"/>
      <c r="AP678" s="706"/>
    </row>
    <row r="679" spans="1:42">
      <c r="D679" s="679"/>
      <c r="E679" s="679"/>
      <c r="F679" s="679"/>
      <c r="G679" s="679"/>
      <c r="H679" s="679"/>
      <c r="I679" s="679"/>
      <c r="J679" s="679"/>
    </row>
    <row r="680" spans="1:42">
      <c r="B680" s="680"/>
      <c r="D680" s="679"/>
      <c r="E680" s="679"/>
      <c r="F680" s="679"/>
      <c r="G680" s="679"/>
      <c r="H680" s="679"/>
      <c r="I680" s="679"/>
      <c r="J680" s="679"/>
      <c r="K680" s="679"/>
      <c r="L680" s="679"/>
      <c r="M680" s="679"/>
      <c r="N680" s="911">
        <v>25</v>
      </c>
      <c r="O680" s="679"/>
    </row>
    <row r="681" spans="1:42">
      <c r="D681" s="679"/>
      <c r="E681" s="679"/>
      <c r="F681" s="679"/>
      <c r="G681" s="679"/>
      <c r="H681" s="679"/>
      <c r="I681" s="679"/>
      <c r="J681" s="679"/>
    </row>
    <row r="682" spans="1:42" ht="13.5" thickBot="1"/>
    <row r="683" spans="1:42" ht="15.75" customHeight="1" thickBot="1">
      <c r="A683" s="1368" t="s">
        <v>109</v>
      </c>
      <c r="B683" s="3533" t="s">
        <v>109</v>
      </c>
      <c r="C683" s="3534"/>
      <c r="E683" s="1154"/>
      <c r="M683" s="3538" t="s">
        <v>251</v>
      </c>
      <c r="N683" s="3538"/>
      <c r="O683" s="1148"/>
    </row>
    <row r="684" spans="1:42" ht="12.75" customHeight="1" thickBot="1">
      <c r="A684" s="3512" t="s">
        <v>252</v>
      </c>
      <c r="B684" s="3515"/>
      <c r="C684" s="3523" t="s">
        <v>254</v>
      </c>
      <c r="D684" s="3518" t="s">
        <v>255</v>
      </c>
      <c r="E684" s="3518" t="s">
        <v>256</v>
      </c>
      <c r="F684" s="3518" t="s">
        <v>257</v>
      </c>
      <c r="G684" s="3526" t="s">
        <v>258</v>
      </c>
      <c r="H684" s="3527"/>
      <c r="I684" s="3527"/>
      <c r="J684" s="3527"/>
      <c r="K684" s="3527"/>
      <c r="L684" s="3527"/>
      <c r="M684" s="3527"/>
      <c r="N684" s="3528"/>
      <c r="O684" s="409"/>
    </row>
    <row r="685" spans="1:42" ht="12.75" customHeight="1" thickBot="1">
      <c r="A685" s="3513"/>
      <c r="B685" s="3516"/>
      <c r="C685" s="3524"/>
      <c r="D685" s="3520"/>
      <c r="E685" s="3520"/>
      <c r="F685" s="3520"/>
      <c r="G685" s="3529" t="s">
        <v>259</v>
      </c>
      <c r="H685" s="3530"/>
      <c r="I685" s="3530"/>
      <c r="J685" s="3531"/>
      <c r="K685" s="3529" t="s">
        <v>260</v>
      </c>
      <c r="L685" s="3530"/>
      <c r="M685" s="3530"/>
      <c r="N685" s="3531"/>
      <c r="O685" s="443"/>
    </row>
    <row r="686" spans="1:42" ht="39" thickBot="1">
      <c r="A686" s="3513"/>
      <c r="B686" s="3516"/>
      <c r="C686" s="3524"/>
      <c r="D686" s="3519"/>
      <c r="E686" s="3519"/>
      <c r="F686" s="3519"/>
      <c r="G686" s="1336" t="s">
        <v>261</v>
      </c>
      <c r="H686" s="1336" t="s">
        <v>262</v>
      </c>
      <c r="I686" s="1336" t="s">
        <v>263</v>
      </c>
      <c r="J686" s="1336" t="s">
        <v>158</v>
      </c>
      <c r="K686" s="1337" t="s">
        <v>264</v>
      </c>
      <c r="L686" s="1337" t="s">
        <v>265</v>
      </c>
      <c r="M686" s="1337" t="s">
        <v>266</v>
      </c>
      <c r="N686" s="1404" t="s">
        <v>158</v>
      </c>
      <c r="O686" s="443"/>
    </row>
    <row r="687" spans="1:42" ht="13.5" thickBot="1">
      <c r="A687" s="3513"/>
      <c r="B687" s="3516"/>
      <c r="C687" s="3524"/>
      <c r="D687" s="1340">
        <v>1</v>
      </c>
      <c r="E687" s="3518">
        <v>2</v>
      </c>
      <c r="F687" s="3518">
        <v>3</v>
      </c>
      <c r="G687" s="3518">
        <v>4</v>
      </c>
      <c r="H687" s="3518">
        <v>5</v>
      </c>
      <c r="I687" s="3518">
        <v>6</v>
      </c>
      <c r="J687" s="1341">
        <v>7</v>
      </c>
      <c r="K687" s="3518">
        <v>8</v>
      </c>
      <c r="L687" s="3518">
        <v>9</v>
      </c>
      <c r="M687" s="3518">
        <v>10</v>
      </c>
      <c r="N687" s="1340">
        <v>11</v>
      </c>
      <c r="O687" s="409"/>
    </row>
    <row r="688" spans="1:42" ht="15.75" customHeight="1" thickBot="1">
      <c r="A688" s="3514"/>
      <c r="B688" s="3517"/>
      <c r="C688" s="3525"/>
      <c r="D688" s="1343"/>
      <c r="E688" s="3519"/>
      <c r="F688" s="3519"/>
      <c r="G688" s="3519"/>
      <c r="H688" s="3519"/>
      <c r="I688" s="3519"/>
      <c r="J688" s="1344" t="s">
        <v>267</v>
      </c>
      <c r="K688" s="3519"/>
      <c r="L688" s="3519"/>
      <c r="M688" s="3519"/>
      <c r="N688" s="1372" t="s">
        <v>268</v>
      </c>
      <c r="O688" s="703"/>
      <c r="P688" s="703"/>
      <c r="Q688" s="703"/>
    </row>
    <row r="689" spans="1:29">
      <c r="A689" s="1346"/>
      <c r="B689" s="1347" t="s">
        <v>269</v>
      </c>
      <c r="C689" s="1346"/>
      <c r="D689" s="2152"/>
      <c r="E689" s="1150"/>
      <c r="F689" s="1150"/>
      <c r="G689" s="1151"/>
      <c r="H689" s="1089"/>
      <c r="I689" s="1152"/>
      <c r="J689" s="1417"/>
      <c r="K689" s="1088"/>
      <c r="L689" s="1089"/>
      <c r="M689" s="1090"/>
      <c r="N689" s="1441"/>
      <c r="Q689" s="709"/>
      <c r="R689" s="706"/>
    </row>
    <row r="690" spans="1:29">
      <c r="A690" s="2153">
        <v>1</v>
      </c>
      <c r="B690" s="2154" t="s">
        <v>270</v>
      </c>
      <c r="C690" s="2155"/>
      <c r="D690" s="2156">
        <f>+E690+F690+J690+N690</f>
        <v>0</v>
      </c>
      <c r="E690" s="2157"/>
      <c r="F690" s="2157"/>
      <c r="G690" s="2182"/>
      <c r="H690" s="2183"/>
      <c r="I690" s="2275"/>
      <c r="J690" s="2158">
        <f>G690+H690+I690</f>
        <v>0</v>
      </c>
      <c r="K690" s="2157"/>
      <c r="L690" s="2157"/>
      <c r="M690" s="2159"/>
      <c r="N690" s="2160">
        <f>K690+L690+M690</f>
        <v>0</v>
      </c>
      <c r="O690" s="1149"/>
      <c r="P690" s="705"/>
      <c r="Q690" s="54"/>
      <c r="R690" s="706"/>
      <c r="S690" s="706"/>
      <c r="T690" s="706"/>
      <c r="U690" s="706"/>
      <c r="V690" s="706"/>
      <c r="W690" s="706"/>
      <c r="X690" s="706"/>
      <c r="Y690" s="706"/>
      <c r="Z690" s="706"/>
      <c r="AA690" s="706"/>
      <c r="AB690" s="706"/>
      <c r="AC690" s="706"/>
    </row>
    <row r="691" spans="1:29">
      <c r="A691" s="2153">
        <v>2</v>
      </c>
      <c r="B691" s="2154" t="s">
        <v>271</v>
      </c>
      <c r="C691" s="2155"/>
      <c r="D691" s="2156">
        <f t="shared" ref="D691:D729" si="98">+E691+F691+J691+N691</f>
        <v>0</v>
      </c>
      <c r="E691" s="2157"/>
      <c r="F691" s="2157"/>
      <c r="G691" s="2182"/>
      <c r="H691" s="2183"/>
      <c r="I691" s="2275"/>
      <c r="J691" s="2158">
        <f t="shared" ref="J691:J701" si="99">G691+H691+I691</f>
        <v>0</v>
      </c>
      <c r="K691" s="2157"/>
      <c r="L691" s="2157"/>
      <c r="M691" s="2159"/>
      <c r="N691" s="2160">
        <f t="shared" ref="N691:N730" si="100">K691+L691+M691</f>
        <v>0</v>
      </c>
      <c r="O691" s="1149"/>
      <c r="P691" s="705"/>
      <c r="Q691" s="54"/>
      <c r="R691" s="706"/>
      <c r="S691" s="706"/>
      <c r="T691" s="706"/>
      <c r="U691" s="706"/>
      <c r="V691" s="706"/>
      <c r="W691" s="706"/>
      <c r="X691" s="706"/>
      <c r="Y691" s="706"/>
      <c r="Z691" s="706"/>
      <c r="AA691" s="706"/>
      <c r="AB691" s="706"/>
      <c r="AC691" s="706"/>
    </row>
    <row r="692" spans="1:29">
      <c r="A692" s="2153">
        <v>3</v>
      </c>
      <c r="B692" s="2154" t="s">
        <v>272</v>
      </c>
      <c r="C692" s="2155"/>
      <c r="D692" s="2156">
        <f t="shared" si="98"/>
        <v>0</v>
      </c>
      <c r="E692" s="2157"/>
      <c r="F692" s="2157"/>
      <c r="G692" s="2182"/>
      <c r="H692" s="2183"/>
      <c r="I692" s="2275"/>
      <c r="J692" s="2158">
        <f t="shared" si="99"/>
        <v>0</v>
      </c>
      <c r="K692" s="2157"/>
      <c r="L692" s="2157"/>
      <c r="M692" s="2159"/>
      <c r="N692" s="2160">
        <f t="shared" si="100"/>
        <v>0</v>
      </c>
      <c r="O692" s="1149"/>
      <c r="P692" s="705"/>
      <c r="Q692" s="54"/>
      <c r="R692" s="706"/>
      <c r="S692" s="706"/>
      <c r="T692" s="706"/>
      <c r="U692" s="706"/>
      <c r="V692" s="706"/>
      <c r="W692" s="706"/>
      <c r="X692" s="706"/>
      <c r="Y692" s="706"/>
      <c r="Z692" s="706"/>
      <c r="AA692" s="706"/>
      <c r="AB692" s="706"/>
      <c r="AC692" s="706"/>
    </row>
    <row r="693" spans="1:29">
      <c r="A693" s="2153">
        <v>4</v>
      </c>
      <c r="B693" s="2154" t="s">
        <v>315</v>
      </c>
      <c r="C693" s="2155"/>
      <c r="D693" s="2156">
        <f t="shared" si="98"/>
        <v>0</v>
      </c>
      <c r="E693" s="2157"/>
      <c r="F693" s="2157"/>
      <c r="G693" s="2182"/>
      <c r="H693" s="2183"/>
      <c r="I693" s="2275"/>
      <c r="J693" s="2158">
        <f t="shared" si="99"/>
        <v>0</v>
      </c>
      <c r="K693" s="2157"/>
      <c r="L693" s="2157"/>
      <c r="M693" s="2159"/>
      <c r="N693" s="2160">
        <f t="shared" si="100"/>
        <v>0</v>
      </c>
      <c r="O693" s="1149"/>
      <c r="P693" s="705"/>
      <c r="Q693" s="54"/>
      <c r="R693" s="706"/>
      <c r="S693" s="706"/>
      <c r="T693" s="706"/>
      <c r="U693" s="706"/>
      <c r="V693" s="706"/>
      <c r="W693" s="706"/>
      <c r="X693" s="706"/>
      <c r="Y693" s="706"/>
      <c r="Z693" s="706"/>
      <c r="AA693" s="706"/>
      <c r="AB693" s="706"/>
      <c r="AC693" s="706"/>
    </row>
    <row r="694" spans="1:29">
      <c r="A694" s="2153">
        <v>5</v>
      </c>
      <c r="B694" s="2154" t="s">
        <v>274</v>
      </c>
      <c r="C694" s="2161">
        <v>5</v>
      </c>
      <c r="D694" s="2156">
        <f t="shared" si="98"/>
        <v>117</v>
      </c>
      <c r="E694" s="2157"/>
      <c r="F694" s="2276">
        <v>117</v>
      </c>
      <c r="G694" s="2182"/>
      <c r="H694" s="2183"/>
      <c r="I694" s="2275"/>
      <c r="J694" s="2158">
        <f t="shared" si="99"/>
        <v>0</v>
      </c>
      <c r="K694" s="2157"/>
      <c r="L694" s="2157"/>
      <c r="M694" s="2159"/>
      <c r="N694" s="2160">
        <f t="shared" si="100"/>
        <v>0</v>
      </c>
      <c r="O694" s="1149"/>
      <c r="P694" s="705"/>
      <c r="Q694" s="1142"/>
      <c r="R694" s="706"/>
      <c r="S694" s="706"/>
      <c r="T694" s="706"/>
      <c r="U694" s="706"/>
      <c r="V694" s="706"/>
      <c r="W694" s="706"/>
      <c r="X694" s="706"/>
      <c r="Y694" s="706"/>
      <c r="Z694" s="706"/>
      <c r="AA694" s="706"/>
      <c r="AB694" s="706"/>
      <c r="AC694" s="706"/>
    </row>
    <row r="695" spans="1:29">
      <c r="A695" s="2153">
        <v>6</v>
      </c>
      <c r="B695" s="2154" t="s">
        <v>275</v>
      </c>
      <c r="C695" s="2155">
        <v>6</v>
      </c>
      <c r="D695" s="2156">
        <f t="shared" si="98"/>
        <v>0</v>
      </c>
      <c r="E695" s="2157"/>
      <c r="F695" s="2157"/>
      <c r="G695" s="2157"/>
      <c r="H695" s="2159"/>
      <c r="I695" s="2275"/>
      <c r="J695" s="2158">
        <f t="shared" si="99"/>
        <v>0</v>
      </c>
      <c r="K695" s="2157"/>
      <c r="L695" s="2157"/>
      <c r="M695" s="2159"/>
      <c r="N695" s="2160">
        <f t="shared" si="100"/>
        <v>0</v>
      </c>
      <c r="O695" s="1149"/>
      <c r="P695" s="705"/>
      <c r="Q695" s="54"/>
      <c r="R695" s="706"/>
      <c r="S695" s="706"/>
      <c r="T695" s="706"/>
      <c r="U695" s="706"/>
      <c r="V695" s="706"/>
      <c r="W695" s="706"/>
      <c r="X695" s="706"/>
      <c r="Y695" s="706"/>
      <c r="Z695" s="706"/>
      <c r="AA695" s="706"/>
      <c r="AB695" s="706"/>
      <c r="AC695" s="706"/>
    </row>
    <row r="696" spans="1:29">
      <c r="A696" s="2153">
        <v>7</v>
      </c>
      <c r="B696" s="2154" t="s">
        <v>276</v>
      </c>
      <c r="C696" s="2161">
        <v>7</v>
      </c>
      <c r="D696" s="2156">
        <f t="shared" si="98"/>
        <v>0</v>
      </c>
      <c r="E696" s="2157"/>
      <c r="F696" s="2157">
        <f>F697+F698</f>
        <v>0</v>
      </c>
      <c r="G696" s="2157">
        <f t="shared" ref="G696:M696" si="101">G697+G698</f>
        <v>0</v>
      </c>
      <c r="H696" s="2159">
        <f t="shared" si="101"/>
        <v>0</v>
      </c>
      <c r="I696" s="2275">
        <f t="shared" si="101"/>
        <v>0</v>
      </c>
      <c r="J696" s="2158">
        <f t="shared" si="99"/>
        <v>0</v>
      </c>
      <c r="K696" s="2157">
        <f t="shared" si="101"/>
        <v>0</v>
      </c>
      <c r="L696" s="2157">
        <f t="shared" si="101"/>
        <v>0</v>
      </c>
      <c r="M696" s="2159">
        <f t="shared" si="101"/>
        <v>0</v>
      </c>
      <c r="N696" s="2160">
        <f t="shared" si="100"/>
        <v>0</v>
      </c>
      <c r="O696" s="1149"/>
      <c r="P696" s="705"/>
      <c r="Q696" s="1142"/>
      <c r="R696" s="706"/>
      <c r="S696" s="706"/>
      <c r="T696" s="706"/>
      <c r="U696" s="706"/>
      <c r="V696" s="706"/>
      <c r="W696" s="706"/>
      <c r="X696" s="706"/>
      <c r="Y696" s="706"/>
      <c r="Z696" s="706"/>
      <c r="AA696" s="706"/>
      <c r="AB696" s="706"/>
      <c r="AC696" s="706"/>
    </row>
    <row r="697" spans="1:29">
      <c r="A697" s="2155"/>
      <c r="B697" s="2162" t="s">
        <v>277</v>
      </c>
      <c r="C697" s="2161"/>
      <c r="D697" s="2156">
        <f t="shared" si="98"/>
        <v>0</v>
      </c>
      <c r="E697" s="2157"/>
      <c r="F697" s="2157"/>
      <c r="G697" s="2157"/>
      <c r="H697" s="2159"/>
      <c r="I697" s="2275"/>
      <c r="J697" s="2158">
        <f t="shared" si="99"/>
        <v>0</v>
      </c>
      <c r="K697" s="2157"/>
      <c r="L697" s="2157"/>
      <c r="M697" s="2159"/>
      <c r="N697" s="2160">
        <f t="shared" si="100"/>
        <v>0</v>
      </c>
      <c r="O697" s="1149"/>
      <c r="P697" s="705"/>
      <c r="Q697" s="1142"/>
      <c r="R697" s="706"/>
      <c r="S697" s="706"/>
      <c r="T697" s="706"/>
      <c r="U697" s="706"/>
      <c r="V697" s="706"/>
      <c r="W697" s="706"/>
      <c r="X697" s="706"/>
      <c r="Y697" s="706"/>
      <c r="Z697" s="706"/>
      <c r="AA697" s="706"/>
      <c r="AB697" s="706"/>
      <c r="AC697" s="706"/>
    </row>
    <row r="698" spans="1:29">
      <c r="A698" s="2155"/>
      <c r="B698" s="2162" t="s">
        <v>278</v>
      </c>
      <c r="C698" s="2161"/>
      <c r="D698" s="2156">
        <f t="shared" si="98"/>
        <v>0</v>
      </c>
      <c r="E698" s="2157"/>
      <c r="F698" s="2157"/>
      <c r="G698" s="2157"/>
      <c r="H698" s="2159"/>
      <c r="I698" s="2275"/>
      <c r="J698" s="2158">
        <f t="shared" si="99"/>
        <v>0</v>
      </c>
      <c r="K698" s="2157"/>
      <c r="L698" s="2157"/>
      <c r="M698" s="2159"/>
      <c r="N698" s="2160">
        <f t="shared" si="100"/>
        <v>0</v>
      </c>
      <c r="O698" s="1149"/>
      <c r="P698" s="705"/>
      <c r="Q698" s="1142"/>
      <c r="R698" s="706"/>
      <c r="S698" s="706"/>
      <c r="T698" s="706"/>
      <c r="U698" s="706"/>
      <c r="V698" s="706"/>
      <c r="W698" s="706"/>
      <c r="X698" s="706"/>
      <c r="Y698" s="706"/>
      <c r="Z698" s="706"/>
      <c r="AA698" s="706"/>
      <c r="AB698" s="706"/>
      <c r="AC698" s="706"/>
    </row>
    <row r="699" spans="1:29">
      <c r="A699" s="2153">
        <v>8</v>
      </c>
      <c r="B699" s="2154" t="s">
        <v>279</v>
      </c>
      <c r="C699" s="2155">
        <v>8</v>
      </c>
      <c r="D699" s="2156">
        <f t="shared" si="98"/>
        <v>0</v>
      </c>
      <c r="E699" s="2157"/>
      <c r="F699" s="2157">
        <f>F700+F701</f>
        <v>0</v>
      </c>
      <c r="G699" s="2157">
        <f t="shared" ref="G699:M699" si="102">G700+G701</f>
        <v>0</v>
      </c>
      <c r="H699" s="2159">
        <f t="shared" si="102"/>
        <v>0</v>
      </c>
      <c r="I699" s="2275">
        <f t="shared" si="102"/>
        <v>0</v>
      </c>
      <c r="J699" s="2158">
        <f t="shared" si="99"/>
        <v>0</v>
      </c>
      <c r="K699" s="2157">
        <f t="shared" si="102"/>
        <v>0</v>
      </c>
      <c r="L699" s="2157">
        <f t="shared" si="102"/>
        <v>0</v>
      </c>
      <c r="M699" s="2159">
        <f t="shared" si="102"/>
        <v>0</v>
      </c>
      <c r="N699" s="2160">
        <f t="shared" si="100"/>
        <v>0</v>
      </c>
      <c r="O699" s="1149"/>
      <c r="P699" s="705"/>
      <c r="Q699" s="54"/>
      <c r="R699" s="706"/>
      <c r="S699" s="706"/>
      <c r="T699" s="706"/>
      <c r="U699" s="706"/>
      <c r="V699" s="706"/>
      <c r="W699" s="706"/>
      <c r="X699" s="706"/>
      <c r="Y699" s="706"/>
      <c r="Z699" s="706"/>
      <c r="AA699" s="706"/>
      <c r="AB699" s="706"/>
      <c r="AC699" s="706"/>
    </row>
    <row r="700" spans="1:29">
      <c r="A700" s="2153"/>
      <c r="B700" s="2162" t="s">
        <v>280</v>
      </c>
      <c r="C700" s="2155"/>
      <c r="D700" s="2156">
        <f t="shared" si="98"/>
        <v>0</v>
      </c>
      <c r="E700" s="2157"/>
      <c r="F700" s="2157"/>
      <c r="G700" s="2157"/>
      <c r="H700" s="2159"/>
      <c r="I700" s="2275"/>
      <c r="J700" s="2158">
        <f t="shared" si="99"/>
        <v>0</v>
      </c>
      <c r="K700" s="2157"/>
      <c r="L700" s="2157"/>
      <c r="M700" s="2159"/>
      <c r="N700" s="2160">
        <f t="shared" si="100"/>
        <v>0</v>
      </c>
      <c r="O700" s="1149"/>
      <c r="P700" s="705"/>
      <c r="Q700" s="54"/>
      <c r="R700" s="706"/>
      <c r="S700" s="706"/>
      <c r="T700" s="706"/>
      <c r="U700" s="706"/>
      <c r="V700" s="706"/>
      <c r="W700" s="706"/>
      <c r="X700" s="706"/>
      <c r="Y700" s="706"/>
      <c r="Z700" s="706"/>
      <c r="AA700" s="706"/>
      <c r="AB700" s="706"/>
      <c r="AC700" s="706"/>
    </row>
    <row r="701" spans="1:29">
      <c r="A701" s="2153"/>
      <c r="B701" s="2162" t="s">
        <v>281</v>
      </c>
      <c r="C701" s="2155"/>
      <c r="D701" s="2156">
        <f t="shared" si="98"/>
        <v>0</v>
      </c>
      <c r="E701" s="2157"/>
      <c r="F701" s="2157"/>
      <c r="G701" s="2157"/>
      <c r="H701" s="2159"/>
      <c r="I701" s="2275"/>
      <c r="J701" s="2158">
        <f t="shared" si="99"/>
        <v>0</v>
      </c>
      <c r="K701" s="2157"/>
      <c r="L701" s="2157"/>
      <c r="M701" s="2159"/>
      <c r="N701" s="2160">
        <f t="shared" si="100"/>
        <v>0</v>
      </c>
      <c r="O701" s="1149"/>
      <c r="P701" s="705"/>
      <c r="Q701" s="54"/>
      <c r="R701" s="706"/>
      <c r="S701" s="706"/>
      <c r="T701" s="706"/>
      <c r="U701" s="706"/>
      <c r="V701" s="706"/>
      <c r="W701" s="706"/>
      <c r="X701" s="706"/>
      <c r="Y701" s="706"/>
      <c r="Z701" s="706"/>
      <c r="AA701" s="706"/>
      <c r="AB701" s="706"/>
      <c r="AC701" s="706"/>
    </row>
    <row r="702" spans="1:29" ht="25.5">
      <c r="A702" s="2163">
        <v>9</v>
      </c>
      <c r="B702" s="2164" t="s">
        <v>282</v>
      </c>
      <c r="C702" s="2165"/>
      <c r="D702" s="2166">
        <f t="shared" si="98"/>
        <v>967781</v>
      </c>
      <c r="E702" s="2167">
        <f>SUM(E703:E706)</f>
        <v>0</v>
      </c>
      <c r="F702" s="2167">
        <f>SUM(F703:F706)</f>
        <v>495328</v>
      </c>
      <c r="G702" s="2167">
        <f>SUM(G703:G706)</f>
        <v>42918</v>
      </c>
      <c r="H702" s="2169">
        <f>SUM(H703:H706)</f>
        <v>429535</v>
      </c>
      <c r="I702" s="2277">
        <f>SUM(I703:I706)</f>
        <v>0</v>
      </c>
      <c r="J702" s="2168">
        <f>G702+H702+I702</f>
        <v>472453</v>
      </c>
      <c r="K702" s="2167">
        <f>SUM(K703:K706)</f>
        <v>0</v>
      </c>
      <c r="L702" s="2167">
        <f>SUM(L703:L706)</f>
        <v>0</v>
      </c>
      <c r="M702" s="2169">
        <f>SUM(M703:M706)</f>
        <v>0</v>
      </c>
      <c r="N702" s="2170">
        <f t="shared" si="100"/>
        <v>0</v>
      </c>
      <c r="O702" s="1149"/>
      <c r="P702" s="705"/>
      <c r="Q702" s="1141"/>
      <c r="R702" s="706"/>
      <c r="S702" s="706"/>
      <c r="T702" s="706"/>
      <c r="U702" s="706"/>
      <c r="V702" s="706"/>
      <c r="W702" s="706"/>
      <c r="X702" s="706"/>
      <c r="Y702" s="706"/>
      <c r="Z702" s="706"/>
      <c r="AA702" s="706"/>
      <c r="AB702" s="706"/>
      <c r="AC702" s="706"/>
    </row>
    <row r="703" spans="1:29">
      <c r="A703" s="2155">
        <v>10</v>
      </c>
      <c r="B703" s="2171" t="s">
        <v>283</v>
      </c>
      <c r="C703" s="2155">
        <v>9</v>
      </c>
      <c r="D703" s="2156">
        <f t="shared" si="98"/>
        <v>0</v>
      </c>
      <c r="E703" s="2157"/>
      <c r="F703" s="2276">
        <v>0</v>
      </c>
      <c r="G703" s="2278">
        <v>0</v>
      </c>
      <c r="H703" s="2279">
        <v>0</v>
      </c>
      <c r="I703" s="2275"/>
      <c r="J703" s="2158">
        <f t="shared" ref="J703:J721" si="103">G703+H703+I703</f>
        <v>0</v>
      </c>
      <c r="K703" s="2157"/>
      <c r="L703" s="2157"/>
      <c r="M703" s="2159"/>
      <c r="N703" s="2160">
        <f t="shared" si="100"/>
        <v>0</v>
      </c>
      <c r="O703" s="1149"/>
      <c r="P703" s="705"/>
      <c r="Q703" s="54"/>
      <c r="R703" s="706"/>
      <c r="S703" s="706"/>
      <c r="T703" s="706"/>
      <c r="U703" s="706"/>
      <c r="V703" s="706"/>
      <c r="W703" s="706"/>
      <c r="X703" s="706"/>
      <c r="Y703" s="706"/>
      <c r="Z703" s="706"/>
      <c r="AA703" s="706"/>
      <c r="AB703" s="706"/>
      <c r="AC703" s="706"/>
    </row>
    <row r="704" spans="1:29">
      <c r="A704" s="2155">
        <v>11</v>
      </c>
      <c r="B704" s="2171" t="s">
        <v>284</v>
      </c>
      <c r="C704" s="2155">
        <v>10</v>
      </c>
      <c r="D704" s="2156">
        <f t="shared" si="98"/>
        <v>228788</v>
      </c>
      <c r="E704" s="2157"/>
      <c r="F704" s="1161">
        <v>149469</v>
      </c>
      <c r="G704" s="1214">
        <v>3081</v>
      </c>
      <c r="H704" s="1214">
        <v>76238</v>
      </c>
      <c r="I704" s="2280"/>
      <c r="J704" s="2158">
        <f t="shared" si="103"/>
        <v>79319</v>
      </c>
      <c r="K704" s="2157"/>
      <c r="L704" s="2157"/>
      <c r="M704" s="2159"/>
      <c r="N704" s="2160">
        <f t="shared" si="100"/>
        <v>0</v>
      </c>
      <c r="O704" s="1149"/>
      <c r="P704" s="705"/>
      <c r="Q704" s="707"/>
      <c r="R704" s="706"/>
      <c r="S704" s="706"/>
      <c r="T704" s="706"/>
      <c r="U704" s="706"/>
      <c r="V704" s="706"/>
      <c r="W704" s="706"/>
      <c r="X704" s="706"/>
      <c r="Y704" s="706"/>
      <c r="Z704" s="706"/>
      <c r="AA704" s="706"/>
      <c r="AB704" s="706"/>
      <c r="AC704" s="706"/>
    </row>
    <row r="705" spans="1:29">
      <c r="A705" s="2155">
        <v>12</v>
      </c>
      <c r="B705" s="2171" t="s">
        <v>285</v>
      </c>
      <c r="C705" s="2155">
        <v>11</v>
      </c>
      <c r="D705" s="2156">
        <f t="shared" si="98"/>
        <v>738993</v>
      </c>
      <c r="E705" s="2157"/>
      <c r="F705" s="1161">
        <v>345859</v>
      </c>
      <c r="G705" s="1214">
        <v>39837</v>
      </c>
      <c r="H705" s="1214">
        <v>353297</v>
      </c>
      <c r="I705" s="2280"/>
      <c r="J705" s="2158">
        <f t="shared" si="103"/>
        <v>393134</v>
      </c>
      <c r="K705" s="2157"/>
      <c r="L705" s="2157"/>
      <c r="M705" s="2159"/>
      <c r="N705" s="2160">
        <f t="shared" si="100"/>
        <v>0</v>
      </c>
      <c r="O705" s="1149"/>
      <c r="P705" s="705"/>
      <c r="Q705" s="707"/>
      <c r="R705" s="706"/>
      <c r="S705" s="706"/>
      <c r="T705" s="706"/>
      <c r="U705" s="706"/>
      <c r="V705" s="706"/>
      <c r="W705" s="706"/>
      <c r="X705" s="706"/>
      <c r="Y705" s="706"/>
      <c r="Z705" s="706"/>
      <c r="AA705" s="706"/>
      <c r="AB705" s="706"/>
      <c r="AC705" s="706"/>
    </row>
    <row r="706" spans="1:29" ht="25.5">
      <c r="A706" s="2155">
        <v>13</v>
      </c>
      <c r="B706" s="2171" t="s">
        <v>286</v>
      </c>
      <c r="C706" s="2155">
        <v>12</v>
      </c>
      <c r="D706" s="2156">
        <f t="shared" si="98"/>
        <v>0</v>
      </c>
      <c r="E706" s="2157"/>
      <c r="F706" s="1160">
        <v>0</v>
      </c>
      <c r="G706" s="1213">
        <v>0</v>
      </c>
      <c r="H706" s="1213">
        <v>0</v>
      </c>
      <c r="I706" s="2280"/>
      <c r="J706" s="2158">
        <f t="shared" si="103"/>
        <v>0</v>
      </c>
      <c r="K706" s="2157"/>
      <c r="L706" s="2157"/>
      <c r="M706" s="2159"/>
      <c r="N706" s="2160">
        <f t="shared" si="100"/>
        <v>0</v>
      </c>
      <c r="O706" s="1149"/>
      <c r="P706" s="705"/>
      <c r="Q706" s="54"/>
      <c r="R706" s="706"/>
      <c r="S706" s="706"/>
      <c r="T706" s="706"/>
      <c r="U706" s="706"/>
      <c r="V706" s="706"/>
      <c r="W706" s="706"/>
      <c r="X706" s="706"/>
      <c r="Y706" s="706"/>
      <c r="Z706" s="706"/>
      <c r="AA706" s="706"/>
      <c r="AB706" s="706"/>
      <c r="AC706" s="706"/>
    </row>
    <row r="707" spans="1:29">
      <c r="A707" s="2155">
        <v>14</v>
      </c>
      <c r="B707" s="2154" t="s">
        <v>287</v>
      </c>
      <c r="C707" s="2155">
        <v>13</v>
      </c>
      <c r="D707" s="2156">
        <f t="shared" si="98"/>
        <v>3979</v>
      </c>
      <c r="E707" s="2157">
        <v>0</v>
      </c>
      <c r="F707" s="2276">
        <v>0</v>
      </c>
      <c r="G707" s="2278">
        <v>0</v>
      </c>
      <c r="H707" s="2256">
        <v>3979</v>
      </c>
      <c r="I707" s="2275"/>
      <c r="J707" s="2158">
        <f t="shared" si="103"/>
        <v>3979</v>
      </c>
      <c r="K707" s="2157"/>
      <c r="L707" s="2157"/>
      <c r="M707" s="2159"/>
      <c r="N707" s="2160">
        <f t="shared" si="100"/>
        <v>0</v>
      </c>
      <c r="O707" s="1149"/>
      <c r="P707" s="705"/>
      <c r="Q707" s="707"/>
      <c r="R707" s="706"/>
      <c r="S707" s="706"/>
      <c r="T707" s="706"/>
      <c r="U707" s="706"/>
      <c r="V707" s="706"/>
      <c r="W707" s="706"/>
      <c r="X707" s="706"/>
      <c r="Y707" s="706"/>
      <c r="Z707" s="706"/>
      <c r="AA707" s="706"/>
      <c r="AB707" s="706"/>
      <c r="AC707" s="706"/>
    </row>
    <row r="708" spans="1:29">
      <c r="A708" s="2155">
        <v>15</v>
      </c>
      <c r="B708" s="2154" t="s">
        <v>288</v>
      </c>
      <c r="C708" s="2161">
        <v>14</v>
      </c>
      <c r="D708" s="2156">
        <f t="shared" si="98"/>
        <v>12726</v>
      </c>
      <c r="E708" s="2157"/>
      <c r="F708" s="1160">
        <v>0</v>
      </c>
      <c r="G708" s="1213">
        <v>0</v>
      </c>
      <c r="H708" s="1170">
        <v>12726</v>
      </c>
      <c r="I708" s="2275"/>
      <c r="J708" s="2158">
        <f t="shared" si="103"/>
        <v>12726</v>
      </c>
      <c r="K708" s="2157"/>
      <c r="L708" s="2157"/>
      <c r="M708" s="2159"/>
      <c r="N708" s="2160">
        <f t="shared" si="100"/>
        <v>0</v>
      </c>
      <c r="O708" s="1149"/>
      <c r="P708" s="705"/>
      <c r="Q708" s="1141"/>
      <c r="R708" s="706"/>
      <c r="S708" s="706"/>
      <c r="T708" s="706"/>
      <c r="U708" s="706"/>
      <c r="V708" s="706"/>
      <c r="W708" s="706"/>
      <c r="X708" s="706"/>
      <c r="Y708" s="706"/>
      <c r="Z708" s="706"/>
      <c r="AA708" s="706"/>
      <c r="AB708" s="706"/>
      <c r="AC708" s="706"/>
    </row>
    <row r="709" spans="1:29">
      <c r="A709" s="2155">
        <v>16</v>
      </c>
      <c r="B709" s="2154" t="s">
        <v>289</v>
      </c>
      <c r="C709" s="2155">
        <v>15</v>
      </c>
      <c r="D709" s="2156">
        <f t="shared" si="98"/>
        <v>1678</v>
      </c>
      <c r="E709" s="2157">
        <v>0</v>
      </c>
      <c r="F709" s="1160">
        <v>0</v>
      </c>
      <c r="G709" s="1213">
        <v>128</v>
      </c>
      <c r="H709" s="1170">
        <v>1550</v>
      </c>
      <c r="I709" s="2275"/>
      <c r="J709" s="2158">
        <f t="shared" si="103"/>
        <v>1678</v>
      </c>
      <c r="K709" s="2157"/>
      <c r="L709" s="2157"/>
      <c r="M709" s="2159"/>
      <c r="N709" s="2160">
        <f t="shared" si="100"/>
        <v>0</v>
      </c>
      <c r="O709" s="1149"/>
      <c r="P709" s="705"/>
      <c r="Q709" s="707"/>
      <c r="R709" s="706"/>
      <c r="S709" s="706"/>
      <c r="T709" s="706"/>
      <c r="U709" s="706"/>
      <c r="V709" s="706"/>
      <c r="W709" s="706"/>
      <c r="X709" s="706"/>
      <c r="Y709" s="706"/>
      <c r="Z709" s="706"/>
      <c r="AA709" s="706"/>
      <c r="AB709" s="706"/>
      <c r="AC709" s="706"/>
    </row>
    <row r="710" spans="1:29">
      <c r="A710" s="2155">
        <v>17</v>
      </c>
      <c r="B710" s="2154" t="s">
        <v>290</v>
      </c>
      <c r="C710" s="2161">
        <v>16</v>
      </c>
      <c r="D710" s="2156">
        <f t="shared" si="98"/>
        <v>7825</v>
      </c>
      <c r="E710" s="2157"/>
      <c r="F710" s="1161">
        <v>6962</v>
      </c>
      <c r="G710" s="1213">
        <v>66</v>
      </c>
      <c r="H710" s="1213">
        <v>797</v>
      </c>
      <c r="I710" s="2280"/>
      <c r="J710" s="2158">
        <f t="shared" si="103"/>
        <v>863</v>
      </c>
      <c r="K710" s="2157"/>
      <c r="L710" s="2157"/>
      <c r="M710" s="2159"/>
      <c r="N710" s="2160">
        <f t="shared" si="100"/>
        <v>0</v>
      </c>
      <c r="O710" s="1149"/>
      <c r="P710" s="705"/>
      <c r="Q710" s="1141"/>
      <c r="R710" s="706"/>
      <c r="S710" s="706"/>
      <c r="T710" s="706"/>
      <c r="U710" s="706"/>
      <c r="V710" s="706"/>
      <c r="W710" s="706"/>
      <c r="X710" s="706"/>
      <c r="Y710" s="706"/>
      <c r="Z710" s="706"/>
      <c r="AA710" s="706"/>
      <c r="AB710" s="706"/>
      <c r="AC710" s="706"/>
    </row>
    <row r="711" spans="1:29">
      <c r="A711" s="2155">
        <v>18</v>
      </c>
      <c r="B711" s="2154" t="s">
        <v>291</v>
      </c>
      <c r="C711" s="2155"/>
      <c r="D711" s="2156">
        <f t="shared" si="98"/>
        <v>0</v>
      </c>
      <c r="E711" s="2157">
        <v>0</v>
      </c>
      <c r="F711" s="1160">
        <v>0</v>
      </c>
      <c r="G711" s="1213">
        <v>0</v>
      </c>
      <c r="H711" s="1167">
        <v>0</v>
      </c>
      <c r="I711" s="2275"/>
      <c r="J711" s="2158">
        <f t="shared" si="103"/>
        <v>0</v>
      </c>
      <c r="K711" s="2157"/>
      <c r="L711" s="2157"/>
      <c r="M711" s="2159"/>
      <c r="N711" s="2160">
        <f t="shared" si="100"/>
        <v>0</v>
      </c>
      <c r="O711" s="1149"/>
      <c r="P711" s="705"/>
      <c r="Q711" s="54"/>
      <c r="R711" s="706"/>
      <c r="S711" s="706"/>
      <c r="T711" s="706"/>
      <c r="U711" s="706"/>
      <c r="V711" s="706"/>
      <c r="W711" s="706"/>
      <c r="X711" s="706"/>
      <c r="Y711" s="706"/>
      <c r="Z711" s="706"/>
      <c r="AA711" s="706"/>
      <c r="AB711" s="706"/>
      <c r="AC711" s="706"/>
    </row>
    <row r="712" spans="1:29" ht="13.5" thickBot="1">
      <c r="A712" s="2172">
        <v>19</v>
      </c>
      <c r="B712" s="2173" t="s">
        <v>292</v>
      </c>
      <c r="C712" s="2172"/>
      <c r="D712" s="2156">
        <f t="shared" si="98"/>
        <v>10158</v>
      </c>
      <c r="E712" s="2157">
        <v>0</v>
      </c>
      <c r="F712" s="1215">
        <v>0</v>
      </c>
      <c r="G712" s="1276">
        <v>774</v>
      </c>
      <c r="H712" s="1222">
        <v>9384</v>
      </c>
      <c r="I712" s="2281"/>
      <c r="J712" s="2158">
        <f t="shared" si="103"/>
        <v>10158</v>
      </c>
      <c r="K712" s="2157"/>
      <c r="L712" s="2157"/>
      <c r="M712" s="2159"/>
      <c r="N712" s="2160">
        <f t="shared" si="100"/>
        <v>0</v>
      </c>
      <c r="O712" s="1149"/>
      <c r="P712" s="705"/>
      <c r="Q712" s="707"/>
      <c r="R712" s="706"/>
      <c r="S712" s="706"/>
      <c r="T712" s="706"/>
      <c r="U712" s="706"/>
      <c r="V712" s="706"/>
      <c r="W712" s="706"/>
      <c r="X712" s="706"/>
      <c r="Y712" s="706"/>
      <c r="Z712" s="706"/>
      <c r="AA712" s="706"/>
      <c r="AB712" s="706"/>
      <c r="AC712" s="706"/>
    </row>
    <row r="713" spans="1:29" ht="26.25" thickBot="1">
      <c r="A713" s="1351">
        <v>20</v>
      </c>
      <c r="B713" s="1352" t="s">
        <v>293</v>
      </c>
      <c r="C713" s="1351"/>
      <c r="D713" s="1355">
        <f t="shared" si="98"/>
        <v>1004264</v>
      </c>
      <c r="E713" s="1353">
        <f>SUM(E690:E696)+E699+E702+SUM(E707:E712)</f>
        <v>0</v>
      </c>
      <c r="F713" s="1353">
        <f>SUM(F690:F696)+F699+F702+SUM(F707:F712)</f>
        <v>502407</v>
      </c>
      <c r="G713" s="1353">
        <f>SUM(G690:G696)+G699+G702+SUM(G707:G712)</f>
        <v>43886</v>
      </c>
      <c r="H713" s="1354">
        <f>SUM(H690:H696)+H699+H702+SUM(H707:H712)</f>
        <v>457971</v>
      </c>
      <c r="I713" s="1455">
        <f>SUM(I690:I696)+I699+I702+SUM(I707:I712)</f>
        <v>0</v>
      </c>
      <c r="J713" s="1353">
        <f t="shared" si="103"/>
        <v>501857</v>
      </c>
      <c r="K713" s="1353">
        <f>SUM(K690:K696)+K699+K702+SUM(K707:K712)</f>
        <v>0</v>
      </c>
      <c r="L713" s="1353">
        <f>SUM(L690:L696)+L699+L702+SUM(L707:L712)</f>
        <v>0</v>
      </c>
      <c r="M713" s="1354">
        <f>SUM(M690:M696)+M699+M702+SUM(M707:M712)</f>
        <v>0</v>
      </c>
      <c r="N713" s="1355">
        <f t="shared" si="100"/>
        <v>0</v>
      </c>
      <c r="O713" s="1149"/>
      <c r="P713" s="705"/>
      <c r="Q713" s="707"/>
      <c r="R713" s="706"/>
      <c r="S713" s="706"/>
      <c r="T713" s="706"/>
      <c r="U713" s="706"/>
      <c r="V713" s="706"/>
      <c r="W713" s="706"/>
      <c r="X713" s="706"/>
      <c r="Y713" s="706"/>
      <c r="Z713" s="706"/>
      <c r="AA713" s="706"/>
      <c r="AB713" s="706"/>
      <c r="AC713" s="706"/>
    </row>
    <row r="714" spans="1:29">
      <c r="A714" s="1346"/>
      <c r="B714" s="2175" t="s">
        <v>294</v>
      </c>
      <c r="C714" s="2155"/>
      <c r="D714" s="1416">
        <f t="shared" si="98"/>
        <v>0</v>
      </c>
      <c r="E714" s="1088"/>
      <c r="F714" s="1088"/>
      <c r="G714" s="1151"/>
      <c r="H714" s="1089"/>
      <c r="I714" s="1153"/>
      <c r="J714" s="1417">
        <f t="shared" si="103"/>
        <v>0</v>
      </c>
      <c r="K714" s="1088"/>
      <c r="L714" s="1088"/>
      <c r="M714" s="1165"/>
      <c r="N714" s="1363">
        <f t="shared" si="100"/>
        <v>0</v>
      </c>
      <c r="O714" s="1149"/>
      <c r="P714" s="705"/>
      <c r="Q714" s="54"/>
      <c r="R714" s="706"/>
      <c r="S714" s="706"/>
      <c r="T714" s="706"/>
      <c r="U714" s="706"/>
      <c r="V714" s="706"/>
      <c r="W714" s="706"/>
      <c r="X714" s="706"/>
      <c r="Y714" s="706"/>
      <c r="Z714" s="706"/>
      <c r="AA714" s="706"/>
      <c r="AB714" s="706"/>
      <c r="AC714" s="706"/>
    </row>
    <row r="715" spans="1:29">
      <c r="A715" s="2155"/>
      <c r="B715" s="2175" t="s">
        <v>295</v>
      </c>
      <c r="C715" s="2155"/>
      <c r="D715" s="2156">
        <f t="shared" si="98"/>
        <v>0</v>
      </c>
      <c r="E715" s="2157"/>
      <c r="F715" s="2157"/>
      <c r="G715" s="2182"/>
      <c r="H715" s="2183"/>
      <c r="I715" s="2275"/>
      <c r="J715" s="2158">
        <f t="shared" si="103"/>
        <v>0</v>
      </c>
      <c r="K715" s="2157"/>
      <c r="L715" s="2157"/>
      <c r="M715" s="2159"/>
      <c r="N715" s="2160">
        <f t="shared" si="100"/>
        <v>0</v>
      </c>
      <c r="O715" s="1149"/>
      <c r="P715" s="705"/>
      <c r="Q715" s="54"/>
      <c r="R715" s="706"/>
      <c r="S715" s="706"/>
      <c r="T715" s="706"/>
      <c r="U715" s="706"/>
      <c r="V715" s="706"/>
      <c r="W715" s="706"/>
      <c r="X715" s="706"/>
      <c r="Y715" s="706"/>
      <c r="Z715" s="706"/>
      <c r="AA715" s="706"/>
      <c r="AB715" s="706"/>
      <c r="AC715" s="706"/>
    </row>
    <row r="716" spans="1:29">
      <c r="A716" s="2155">
        <v>21</v>
      </c>
      <c r="B716" s="2154" t="s">
        <v>296</v>
      </c>
      <c r="C716" s="2161">
        <v>17</v>
      </c>
      <c r="D716" s="2156">
        <f t="shared" si="98"/>
        <v>410103</v>
      </c>
      <c r="E716" s="2157"/>
      <c r="F716" s="2157"/>
      <c r="G716" s="2282">
        <v>30105</v>
      </c>
      <c r="H716" s="2256">
        <v>379998</v>
      </c>
      <c r="I716" s="2275"/>
      <c r="J716" s="2158">
        <f t="shared" si="103"/>
        <v>410103</v>
      </c>
      <c r="K716" s="2157"/>
      <c r="L716" s="2157"/>
      <c r="M716" s="2159"/>
      <c r="N716" s="2160">
        <f t="shared" si="100"/>
        <v>0</v>
      </c>
      <c r="O716" s="1149"/>
      <c r="P716" s="705"/>
      <c r="Q716" s="1141"/>
      <c r="R716" s="706"/>
      <c r="S716" s="706"/>
      <c r="T716" s="706"/>
      <c r="U716" s="706"/>
      <c r="V716" s="706"/>
      <c r="W716" s="706"/>
      <c r="X716" s="706"/>
      <c r="Y716" s="706"/>
      <c r="Z716" s="706"/>
      <c r="AA716" s="706"/>
      <c r="AB716" s="706"/>
      <c r="AC716" s="706"/>
    </row>
    <row r="717" spans="1:29">
      <c r="A717" s="2155">
        <v>22</v>
      </c>
      <c r="B717" s="2154" t="s">
        <v>297</v>
      </c>
      <c r="C717" s="2155"/>
      <c r="D717" s="2156">
        <f t="shared" si="98"/>
        <v>1467</v>
      </c>
      <c r="E717" s="2157"/>
      <c r="F717" s="2157"/>
      <c r="G717" s="1213">
        <v>112</v>
      </c>
      <c r="H717" s="1170">
        <v>1355</v>
      </c>
      <c r="I717" s="2275"/>
      <c r="J717" s="2158">
        <f t="shared" si="103"/>
        <v>1467</v>
      </c>
      <c r="K717" s="2157"/>
      <c r="L717" s="2157"/>
      <c r="M717" s="2159"/>
      <c r="N717" s="2160">
        <f t="shared" si="100"/>
        <v>0</v>
      </c>
      <c r="O717" s="1149"/>
      <c r="P717" s="705"/>
      <c r="Q717" s="707"/>
      <c r="R717" s="706"/>
      <c r="S717" s="706"/>
      <c r="T717" s="706"/>
      <c r="U717" s="706"/>
      <c r="V717" s="706"/>
      <c r="W717" s="706"/>
      <c r="X717" s="706"/>
      <c r="Y717" s="706"/>
      <c r="Z717" s="706"/>
      <c r="AA717" s="706"/>
      <c r="AB717" s="706"/>
      <c r="AC717" s="706"/>
    </row>
    <row r="718" spans="1:29">
      <c r="A718" s="2155">
        <v>23</v>
      </c>
      <c r="B718" s="2154" t="s">
        <v>298</v>
      </c>
      <c r="C718" s="2155">
        <v>18</v>
      </c>
      <c r="D718" s="2156">
        <f t="shared" si="98"/>
        <v>11250</v>
      </c>
      <c r="E718" s="2157"/>
      <c r="F718" s="2157"/>
      <c r="G718" s="1213">
        <v>156</v>
      </c>
      <c r="H718" s="1170">
        <v>11094</v>
      </c>
      <c r="I718" s="2275"/>
      <c r="J718" s="2158">
        <f t="shared" si="103"/>
        <v>11250</v>
      </c>
      <c r="K718" s="2157"/>
      <c r="L718" s="2157"/>
      <c r="M718" s="2159"/>
      <c r="N718" s="2160">
        <f t="shared" si="100"/>
        <v>0</v>
      </c>
      <c r="O718" s="1149"/>
      <c r="P718" s="705"/>
      <c r="Q718" s="707"/>
      <c r="R718" s="706"/>
      <c r="S718" s="706"/>
      <c r="T718" s="706"/>
      <c r="U718" s="706"/>
      <c r="V718" s="706"/>
      <c r="W718" s="706"/>
      <c r="X718" s="706"/>
      <c r="Y718" s="706"/>
      <c r="Z718" s="706"/>
      <c r="AA718" s="706"/>
      <c r="AB718" s="706"/>
      <c r="AC718" s="706"/>
    </row>
    <row r="719" spans="1:29">
      <c r="A719" s="2155">
        <v>24</v>
      </c>
      <c r="B719" s="2154" t="s">
        <v>299</v>
      </c>
      <c r="C719" s="2155"/>
      <c r="D719" s="2156">
        <f t="shared" si="98"/>
        <v>0</v>
      </c>
      <c r="E719" s="2157"/>
      <c r="F719" s="2157"/>
      <c r="G719" s="1213">
        <v>0</v>
      </c>
      <c r="H719" s="1167">
        <v>0</v>
      </c>
      <c r="I719" s="2275"/>
      <c r="J719" s="2158">
        <f t="shared" si="103"/>
        <v>0</v>
      </c>
      <c r="K719" s="2157"/>
      <c r="L719" s="2157"/>
      <c r="M719" s="2159"/>
      <c r="N719" s="2160">
        <f t="shared" si="100"/>
        <v>0</v>
      </c>
      <c r="O719" s="1149"/>
      <c r="P719" s="705"/>
      <c r="Q719" s="54"/>
      <c r="R719" s="706"/>
      <c r="S719" s="706"/>
      <c r="T719" s="706"/>
      <c r="U719" s="706"/>
      <c r="V719" s="706"/>
      <c r="W719" s="706"/>
      <c r="X719" s="706"/>
      <c r="Y719" s="706"/>
      <c r="Z719" s="706"/>
      <c r="AA719" s="706"/>
      <c r="AB719" s="706"/>
      <c r="AC719" s="706"/>
    </row>
    <row r="720" spans="1:29">
      <c r="A720" s="2155">
        <v>25</v>
      </c>
      <c r="B720" s="2176" t="s">
        <v>300</v>
      </c>
      <c r="C720" s="2155"/>
      <c r="D720" s="2156">
        <f t="shared" si="98"/>
        <v>0</v>
      </c>
      <c r="E720" s="2157"/>
      <c r="F720" s="2157"/>
      <c r="G720" s="1213">
        <v>0</v>
      </c>
      <c r="H720" s="1167">
        <v>0</v>
      </c>
      <c r="I720" s="2275"/>
      <c r="J720" s="2158">
        <f t="shared" si="103"/>
        <v>0</v>
      </c>
      <c r="K720" s="2157"/>
      <c r="L720" s="2157"/>
      <c r="M720" s="2159"/>
      <c r="N720" s="2160">
        <f t="shared" si="100"/>
        <v>0</v>
      </c>
      <c r="O720" s="1149"/>
      <c r="P720" s="705"/>
      <c r="Q720" s="54"/>
      <c r="R720" s="706"/>
      <c r="S720" s="706"/>
      <c r="T720" s="706"/>
      <c r="U720" s="706"/>
      <c r="V720" s="706"/>
      <c r="W720" s="706"/>
      <c r="X720" s="706"/>
      <c r="Y720" s="706"/>
      <c r="Z720" s="706"/>
      <c r="AA720" s="706"/>
      <c r="AB720" s="706"/>
      <c r="AC720" s="706"/>
    </row>
    <row r="721" spans="1:29" ht="13.5" thickBot="1">
      <c r="A721" s="2172">
        <v>26</v>
      </c>
      <c r="B721" s="2173" t="s">
        <v>301</v>
      </c>
      <c r="C721" s="2177">
        <v>19</v>
      </c>
      <c r="D721" s="2156">
        <f t="shared" si="98"/>
        <v>79036</v>
      </c>
      <c r="E721" s="2157"/>
      <c r="F721" s="1097"/>
      <c r="G721" s="839">
        <v>13513</v>
      </c>
      <c r="H721" s="839">
        <v>65523</v>
      </c>
      <c r="I721" s="2283"/>
      <c r="J721" s="2158">
        <f t="shared" si="103"/>
        <v>79036</v>
      </c>
      <c r="K721" s="2157"/>
      <c r="L721" s="2157"/>
      <c r="M721" s="2159"/>
      <c r="N721" s="2160">
        <f t="shared" si="100"/>
        <v>0</v>
      </c>
      <c r="O721" s="1149"/>
      <c r="P721" s="705"/>
      <c r="Q721" s="1141"/>
      <c r="R721" s="706"/>
      <c r="S721" s="706"/>
      <c r="T721" s="706"/>
      <c r="U721" s="706"/>
      <c r="V721" s="706"/>
      <c r="W721" s="706"/>
      <c r="X721" s="706"/>
      <c r="Y721" s="706"/>
      <c r="Z721" s="706"/>
      <c r="AA721" s="706"/>
      <c r="AB721" s="706"/>
      <c r="AC721" s="706"/>
    </row>
    <row r="722" spans="1:29" ht="25.5" customHeight="1" thickBot="1">
      <c r="A722" s="1348">
        <v>27</v>
      </c>
      <c r="B722" s="1349" t="s">
        <v>302</v>
      </c>
      <c r="C722" s="1348"/>
      <c r="D722" s="1420">
        <f t="shared" si="98"/>
        <v>501856</v>
      </c>
      <c r="E722" s="1102">
        <f>SUM(E716:E721)</f>
        <v>0</v>
      </c>
      <c r="F722" s="1102">
        <f>SUM(F716:F721)</f>
        <v>0</v>
      </c>
      <c r="G722" s="1102">
        <f>SUM(G716:G721)</f>
        <v>43886</v>
      </c>
      <c r="H722" s="1163">
        <f>SUM(H716:H721)</f>
        <v>457970</v>
      </c>
      <c r="I722" s="1169">
        <f>SUM(I716:I721)</f>
        <v>0</v>
      </c>
      <c r="J722" s="1365">
        <f>G722+H722+I722</f>
        <v>501856</v>
      </c>
      <c r="K722" s="1102">
        <f>SUM(K716:K721)</f>
        <v>0</v>
      </c>
      <c r="L722" s="1102">
        <f>SUM(L716:L721)</f>
        <v>0</v>
      </c>
      <c r="M722" s="1163">
        <f>SUM(M716:M721)</f>
        <v>0</v>
      </c>
      <c r="N722" s="1367">
        <f t="shared" si="100"/>
        <v>0</v>
      </c>
      <c r="O722" s="1149"/>
      <c r="P722" s="705"/>
      <c r="Q722" s="707"/>
      <c r="R722" s="706"/>
      <c r="S722" s="706"/>
      <c r="T722" s="706"/>
      <c r="U722" s="706"/>
      <c r="V722" s="706"/>
      <c r="W722" s="706"/>
      <c r="X722" s="706"/>
      <c r="Y722" s="706"/>
      <c r="Z722" s="706"/>
      <c r="AA722" s="706"/>
      <c r="AB722" s="706"/>
      <c r="AC722" s="706"/>
    </row>
    <row r="723" spans="1:29">
      <c r="A723" s="1346"/>
      <c r="B723" s="1347" t="s">
        <v>303</v>
      </c>
      <c r="C723" s="1346">
        <v>20</v>
      </c>
      <c r="D723" s="1416">
        <f t="shared" si="98"/>
        <v>0</v>
      </c>
      <c r="E723" s="1088"/>
      <c r="F723" s="1088"/>
      <c r="G723" s="1151"/>
      <c r="H723" s="1089"/>
      <c r="I723" s="1153"/>
      <c r="J723" s="1417">
        <f t="shared" ref="J723:J729" si="104">G723+H723+I723</f>
        <v>0</v>
      </c>
      <c r="K723" s="1088"/>
      <c r="L723" s="1088"/>
      <c r="M723" s="1165"/>
      <c r="N723" s="1363">
        <f t="shared" si="100"/>
        <v>0</v>
      </c>
      <c r="O723" s="1149"/>
      <c r="P723" s="705"/>
      <c r="Q723" s="54"/>
      <c r="R723" s="706"/>
      <c r="S723" s="706"/>
      <c r="T723" s="706"/>
      <c r="U723" s="706"/>
      <c r="V723" s="706"/>
      <c r="W723" s="706"/>
      <c r="X723" s="706"/>
      <c r="Y723" s="706"/>
      <c r="Z723" s="706"/>
      <c r="AA723" s="706"/>
      <c r="AB723" s="706"/>
      <c r="AC723" s="706"/>
    </row>
    <row r="724" spans="1:29">
      <c r="A724" s="2155">
        <v>28</v>
      </c>
      <c r="B724" s="2154" t="s">
        <v>304</v>
      </c>
      <c r="C724" s="2161"/>
      <c r="D724" s="2156">
        <f t="shared" si="98"/>
        <v>400000</v>
      </c>
      <c r="E724" s="2157"/>
      <c r="F724" s="2254">
        <v>400000</v>
      </c>
      <c r="G724" s="2182"/>
      <c r="H724" s="2183"/>
      <c r="I724" s="2275"/>
      <c r="J724" s="2158">
        <f t="shared" si="104"/>
        <v>0</v>
      </c>
      <c r="K724" s="2157"/>
      <c r="L724" s="2157"/>
      <c r="M724" s="2159"/>
      <c r="N724" s="2160">
        <f t="shared" si="100"/>
        <v>0</v>
      </c>
      <c r="O724" s="1149"/>
      <c r="P724" s="705"/>
      <c r="Q724" s="1141"/>
      <c r="R724" s="706"/>
      <c r="S724" s="706"/>
      <c r="T724" s="706"/>
      <c r="U724" s="706"/>
      <c r="V724" s="706"/>
      <c r="W724" s="706"/>
      <c r="X724" s="706"/>
      <c r="Y724" s="706"/>
      <c r="Z724" s="706"/>
      <c r="AA724" s="706"/>
      <c r="AB724" s="706"/>
      <c r="AC724" s="706"/>
    </row>
    <row r="725" spans="1:29">
      <c r="A725" s="2155">
        <v>29</v>
      </c>
      <c r="B725" s="2154" t="s">
        <v>305</v>
      </c>
      <c r="C725" s="2161"/>
      <c r="D725" s="2156">
        <f t="shared" si="98"/>
        <v>0</v>
      </c>
      <c r="E725" s="2157"/>
      <c r="F725" s="1160">
        <v>0</v>
      </c>
      <c r="G725" s="2182"/>
      <c r="H725" s="2183"/>
      <c r="I725" s="2275"/>
      <c r="J725" s="2158">
        <f t="shared" si="104"/>
        <v>0</v>
      </c>
      <c r="K725" s="2157"/>
      <c r="L725" s="2157"/>
      <c r="M725" s="2159"/>
      <c r="N725" s="2160">
        <f t="shared" si="100"/>
        <v>0</v>
      </c>
      <c r="O725" s="1149"/>
      <c r="P725" s="705"/>
      <c r="Q725" s="1142"/>
      <c r="R725" s="706"/>
      <c r="S725" s="706"/>
      <c r="T725" s="706"/>
      <c r="U725" s="706"/>
      <c r="V725" s="706"/>
      <c r="W725" s="706"/>
      <c r="X725" s="706"/>
      <c r="Y725" s="706"/>
      <c r="Z725" s="706"/>
      <c r="AA725" s="706"/>
      <c r="AB725" s="706"/>
      <c r="AC725" s="706"/>
    </row>
    <row r="726" spans="1:29">
      <c r="A726" s="2155">
        <v>30</v>
      </c>
      <c r="B726" s="2173" t="s">
        <v>306</v>
      </c>
      <c r="C726" s="2177"/>
      <c r="D726" s="2156">
        <f t="shared" si="98"/>
        <v>0</v>
      </c>
      <c r="E726" s="2157"/>
      <c r="F726" s="1215">
        <v>0</v>
      </c>
      <c r="G726" s="987"/>
      <c r="H726" s="2284"/>
      <c r="I726" s="2281"/>
      <c r="J726" s="2158">
        <f t="shared" si="104"/>
        <v>0</v>
      </c>
      <c r="K726" s="2157"/>
      <c r="L726" s="2157"/>
      <c r="M726" s="2159"/>
      <c r="N726" s="2160">
        <f t="shared" si="100"/>
        <v>0</v>
      </c>
      <c r="O726" s="1149"/>
      <c r="P726" s="705"/>
      <c r="Q726" s="1142"/>
      <c r="R726" s="706"/>
      <c r="S726" s="706"/>
      <c r="T726" s="706"/>
      <c r="U726" s="706"/>
      <c r="V726" s="706"/>
      <c r="W726" s="706"/>
      <c r="X726" s="706"/>
      <c r="Y726" s="706"/>
      <c r="Z726" s="706"/>
      <c r="AA726" s="706"/>
      <c r="AB726" s="706"/>
      <c r="AC726" s="706"/>
    </row>
    <row r="727" spans="1:29">
      <c r="A727" s="2155">
        <v>31</v>
      </c>
      <c r="B727" s="2173" t="s">
        <v>307</v>
      </c>
      <c r="C727" s="2177"/>
      <c r="D727" s="2156">
        <f t="shared" si="98"/>
        <v>0</v>
      </c>
      <c r="E727" s="2157"/>
      <c r="F727" s="1304">
        <v>0</v>
      </c>
      <c r="G727" s="987"/>
      <c r="H727" s="2284"/>
      <c r="I727" s="2281"/>
      <c r="J727" s="2158">
        <f t="shared" si="104"/>
        <v>0</v>
      </c>
      <c r="K727" s="2157"/>
      <c r="L727" s="2157"/>
      <c r="M727" s="2159"/>
      <c r="N727" s="2160">
        <f t="shared" si="100"/>
        <v>0</v>
      </c>
      <c r="O727" s="1149"/>
      <c r="P727" s="705"/>
      <c r="Q727" s="1142"/>
      <c r="R727" s="706"/>
      <c r="S727" s="706"/>
      <c r="T727" s="706"/>
      <c r="U727" s="706"/>
      <c r="V727" s="706"/>
      <c r="W727" s="706"/>
      <c r="X727" s="706"/>
      <c r="Y727" s="706"/>
      <c r="Z727" s="706"/>
      <c r="AA727" s="706"/>
      <c r="AB727" s="706"/>
      <c r="AC727" s="706"/>
    </row>
    <row r="728" spans="1:29" ht="13.5" thickBot="1">
      <c r="A728" s="2172">
        <v>32</v>
      </c>
      <c r="B728" s="2173" t="s">
        <v>308</v>
      </c>
      <c r="C728" s="2177"/>
      <c r="D728" s="2156">
        <f t="shared" si="98"/>
        <v>102406</v>
      </c>
      <c r="E728" s="2157"/>
      <c r="F728" s="1302">
        <v>102406</v>
      </c>
      <c r="G728" s="987"/>
      <c r="H728" s="2284"/>
      <c r="I728" s="2281"/>
      <c r="J728" s="2158">
        <f t="shared" si="104"/>
        <v>0</v>
      </c>
      <c r="K728" s="2157"/>
      <c r="L728" s="2157"/>
      <c r="M728" s="2159"/>
      <c r="N728" s="2160">
        <f t="shared" si="100"/>
        <v>0</v>
      </c>
      <c r="O728" s="1149"/>
      <c r="P728" s="705"/>
      <c r="Q728" s="1141"/>
      <c r="R728" s="706"/>
      <c r="S728" s="706"/>
      <c r="T728" s="706"/>
      <c r="U728" s="706"/>
      <c r="V728" s="706"/>
      <c r="W728" s="706"/>
      <c r="X728" s="706"/>
      <c r="Y728" s="706"/>
      <c r="Z728" s="706"/>
      <c r="AA728" s="706"/>
      <c r="AB728" s="706"/>
      <c r="AC728" s="706"/>
    </row>
    <row r="729" spans="1:29" ht="13.5" thickBot="1">
      <c r="A729" s="1348">
        <v>33</v>
      </c>
      <c r="B729" s="1384" t="s">
        <v>309</v>
      </c>
      <c r="C729" s="1453"/>
      <c r="D729" s="1421">
        <f t="shared" si="98"/>
        <v>502406</v>
      </c>
      <c r="E729" s="1125">
        <f>SUM(E724:E728)</f>
        <v>0</v>
      </c>
      <c r="F729" s="1125">
        <f>SUM(F724:F728)</f>
        <v>502406</v>
      </c>
      <c r="G729" s="1125">
        <f>SUM(G724:G728)</f>
        <v>0</v>
      </c>
      <c r="H729" s="1126">
        <f>SUM(H724:H728)</f>
        <v>0</v>
      </c>
      <c r="I729" s="1223">
        <f>SUM(I724:I728)</f>
        <v>0</v>
      </c>
      <c r="J729" s="1429">
        <f t="shared" si="104"/>
        <v>0</v>
      </c>
      <c r="K729" s="1125">
        <f>SUM(K724:K728)</f>
        <v>0</v>
      </c>
      <c r="L729" s="1125">
        <f>SUM(L724:L728)</f>
        <v>0</v>
      </c>
      <c r="M729" s="1126">
        <f>SUM(M724:M728)</f>
        <v>0</v>
      </c>
      <c r="N729" s="1427">
        <f t="shared" si="100"/>
        <v>0</v>
      </c>
      <c r="O729" s="1149"/>
      <c r="P729" s="705"/>
      <c r="Q729" s="707"/>
      <c r="R729" s="706"/>
      <c r="S729" s="706"/>
      <c r="T729" s="706"/>
      <c r="U729" s="706"/>
      <c r="V729" s="706"/>
      <c r="W729" s="706"/>
      <c r="X729" s="706"/>
      <c r="Y729" s="706"/>
      <c r="Z729" s="706"/>
      <c r="AA729" s="706"/>
      <c r="AB729" s="706"/>
      <c r="AC729" s="706"/>
    </row>
    <row r="730" spans="1:29" ht="26.25" thickBot="1">
      <c r="A730" s="1351">
        <v>34</v>
      </c>
      <c r="B730" s="1352" t="s">
        <v>310</v>
      </c>
      <c r="C730" s="1456"/>
      <c r="D730" s="1431">
        <f>+E730+F730+J730+N730</f>
        <v>1004262</v>
      </c>
      <c r="E730" s="1431">
        <f>E729+E722</f>
        <v>0</v>
      </c>
      <c r="F730" s="1431">
        <f>F729+F722</f>
        <v>502406</v>
      </c>
      <c r="G730" s="1431">
        <f>G729+G722</f>
        <v>43886</v>
      </c>
      <c r="H730" s="1431">
        <f>H729+H722</f>
        <v>457970</v>
      </c>
      <c r="I730" s="1431">
        <f>I729+I722</f>
        <v>0</v>
      </c>
      <c r="J730" s="1431">
        <f>G730+H730+I730</f>
        <v>501856</v>
      </c>
      <c r="K730" s="1431">
        <f>K729+K722</f>
        <v>0</v>
      </c>
      <c r="L730" s="1431">
        <f>L729+L722</f>
        <v>0</v>
      </c>
      <c r="M730" s="1432">
        <f>M729+M722</f>
        <v>0</v>
      </c>
      <c r="N730" s="1423">
        <f t="shared" si="100"/>
        <v>0</v>
      </c>
      <c r="O730" s="1149"/>
      <c r="P730" s="705"/>
      <c r="Q730" s="707"/>
      <c r="R730" s="706"/>
      <c r="S730" s="706"/>
      <c r="T730" s="706"/>
      <c r="U730" s="706"/>
      <c r="V730" s="706"/>
      <c r="W730" s="706"/>
      <c r="X730" s="706"/>
      <c r="Y730" s="706"/>
      <c r="Z730" s="706"/>
      <c r="AA730" s="706"/>
      <c r="AB730" s="706"/>
      <c r="AC730" s="706"/>
    </row>
    <row r="732" spans="1:29">
      <c r="B732" s="680"/>
      <c r="D732" s="679"/>
      <c r="E732" s="679"/>
      <c r="F732" s="679"/>
      <c r="G732" s="679"/>
      <c r="H732" s="679"/>
      <c r="I732" s="679"/>
      <c r="J732" s="679"/>
      <c r="K732" s="679"/>
      <c r="L732" s="679"/>
      <c r="M732" s="679"/>
      <c r="N732" s="911">
        <v>26</v>
      </c>
      <c r="O732" s="679"/>
    </row>
    <row r="734" spans="1:29" ht="13.5" thickBot="1"/>
    <row r="735" spans="1:29" ht="15.75" customHeight="1" thickBot="1">
      <c r="A735" s="1368" t="s">
        <v>194</v>
      </c>
      <c r="B735" s="3533" t="s">
        <v>134</v>
      </c>
      <c r="C735" s="3534"/>
      <c r="M735" s="3538" t="s">
        <v>251</v>
      </c>
      <c r="N735" s="3538"/>
      <c r="O735" s="1148"/>
    </row>
    <row r="736" spans="1:29" ht="16.5" customHeight="1" thickBot="1">
      <c r="A736" s="3512" t="s">
        <v>252</v>
      </c>
      <c r="B736" s="3515"/>
      <c r="C736" s="3523" t="s">
        <v>254</v>
      </c>
      <c r="D736" s="3518" t="s">
        <v>255</v>
      </c>
      <c r="E736" s="3518" t="s">
        <v>256</v>
      </c>
      <c r="F736" s="3518" t="s">
        <v>257</v>
      </c>
      <c r="G736" s="3526" t="s">
        <v>258</v>
      </c>
      <c r="H736" s="3527"/>
      <c r="I736" s="3527"/>
      <c r="J736" s="3527"/>
      <c r="K736" s="3527"/>
      <c r="L736" s="3527"/>
      <c r="M736" s="3527"/>
      <c r="N736" s="3528"/>
      <c r="O736" s="409"/>
    </row>
    <row r="737" spans="1:29" ht="13.9" customHeight="1" thickBot="1">
      <c r="A737" s="3513"/>
      <c r="B737" s="3516"/>
      <c r="C737" s="3524"/>
      <c r="D737" s="3520"/>
      <c r="E737" s="3520"/>
      <c r="F737" s="3520"/>
      <c r="G737" s="3529" t="s">
        <v>259</v>
      </c>
      <c r="H737" s="3530"/>
      <c r="I737" s="3530"/>
      <c r="J737" s="3531"/>
      <c r="K737" s="3529" t="s">
        <v>260</v>
      </c>
      <c r="L737" s="3530"/>
      <c r="M737" s="3530"/>
      <c r="N737" s="3531"/>
      <c r="O737" s="443"/>
    </row>
    <row r="738" spans="1:29" ht="39" thickBot="1">
      <c r="A738" s="3513"/>
      <c r="B738" s="3516"/>
      <c r="C738" s="3524"/>
      <c r="D738" s="3519"/>
      <c r="E738" s="3519"/>
      <c r="F738" s="3519"/>
      <c r="G738" s="1336" t="s">
        <v>261</v>
      </c>
      <c r="H738" s="1336" t="s">
        <v>262</v>
      </c>
      <c r="I738" s="1336" t="s">
        <v>263</v>
      </c>
      <c r="J738" s="1336" t="s">
        <v>158</v>
      </c>
      <c r="K738" s="1337" t="s">
        <v>264</v>
      </c>
      <c r="L738" s="1337" t="s">
        <v>265</v>
      </c>
      <c r="M738" s="1337" t="s">
        <v>266</v>
      </c>
      <c r="N738" s="1404" t="s">
        <v>158</v>
      </c>
      <c r="O738" s="443"/>
    </row>
    <row r="739" spans="1:29" ht="13.5" thickBot="1">
      <c r="A739" s="3513"/>
      <c r="B739" s="3516"/>
      <c r="C739" s="3524"/>
      <c r="D739" s="1340">
        <v>1</v>
      </c>
      <c r="E739" s="3518">
        <v>2</v>
      </c>
      <c r="F739" s="3518">
        <v>3</v>
      </c>
      <c r="G739" s="3518">
        <v>4</v>
      </c>
      <c r="H739" s="3518">
        <v>5</v>
      </c>
      <c r="I739" s="3518">
        <v>6</v>
      </c>
      <c r="J739" s="1341">
        <v>7</v>
      </c>
      <c r="K739" s="3518">
        <v>8</v>
      </c>
      <c r="L739" s="3518">
        <v>9</v>
      </c>
      <c r="M739" s="3518">
        <v>10</v>
      </c>
      <c r="N739" s="1340">
        <v>11</v>
      </c>
      <c r="O739" s="409"/>
    </row>
    <row r="740" spans="1:29" ht="15.75" customHeight="1" thickBot="1">
      <c r="A740" s="3514"/>
      <c r="B740" s="3517"/>
      <c r="C740" s="3525"/>
      <c r="D740" s="1343"/>
      <c r="E740" s="3519"/>
      <c r="F740" s="3519"/>
      <c r="G740" s="3519"/>
      <c r="H740" s="3519"/>
      <c r="I740" s="3519"/>
      <c r="J740" s="1344" t="s">
        <v>267</v>
      </c>
      <c r="K740" s="3519"/>
      <c r="L740" s="3519"/>
      <c r="M740" s="3519"/>
      <c r="N740" s="1372" t="s">
        <v>268</v>
      </c>
      <c r="O740" s="703"/>
      <c r="P740" s="703"/>
      <c r="Q740" s="703"/>
    </row>
    <row r="741" spans="1:29">
      <c r="A741" s="1346"/>
      <c r="B741" s="1347" t="s">
        <v>269</v>
      </c>
      <c r="C741" s="1446"/>
      <c r="D741" s="2264"/>
      <c r="E741" s="1242"/>
      <c r="F741" s="1242"/>
      <c r="G741" s="1182"/>
      <c r="H741" s="1174"/>
      <c r="I741" s="1277"/>
      <c r="J741" s="1395"/>
      <c r="K741" s="1171"/>
      <c r="L741" s="1174"/>
      <c r="M741" s="1243"/>
      <c r="N741" s="1439"/>
      <c r="Q741" s="709"/>
      <c r="R741" s="706"/>
    </row>
    <row r="742" spans="1:29">
      <c r="A742" s="2153">
        <v>1</v>
      </c>
      <c r="B742" s="2154" t="s">
        <v>270</v>
      </c>
      <c r="C742" s="2269"/>
      <c r="D742" s="2213">
        <f>+E742+F742+J742+N742</f>
        <v>0</v>
      </c>
      <c r="E742" s="2188"/>
      <c r="F742" s="2188"/>
      <c r="G742" s="2189"/>
      <c r="H742" s="2197"/>
      <c r="I742" s="2194"/>
      <c r="J742" s="2214">
        <f>G742+H742+I742</f>
        <v>0</v>
      </c>
      <c r="K742" s="2188"/>
      <c r="L742" s="2188"/>
      <c r="M742" s="2193"/>
      <c r="N742" s="2195">
        <f>K742+L742+M742</f>
        <v>0</v>
      </c>
      <c r="O742" s="1149"/>
      <c r="P742" s="705"/>
      <c r="Q742" s="54"/>
      <c r="R742" s="706"/>
      <c r="S742" s="706"/>
      <c r="T742" s="706"/>
      <c r="U742" s="706"/>
      <c r="V742" s="706"/>
      <c r="W742" s="706"/>
      <c r="X742" s="706"/>
      <c r="Y742" s="706"/>
      <c r="Z742" s="706"/>
      <c r="AA742" s="706"/>
      <c r="AB742" s="706"/>
      <c r="AC742" s="706"/>
    </row>
    <row r="743" spans="1:29">
      <c r="A743" s="2153">
        <v>2</v>
      </c>
      <c r="B743" s="2154" t="s">
        <v>271</v>
      </c>
      <c r="C743" s="2269"/>
      <c r="D743" s="2213">
        <f t="shared" ref="D743:D781" si="105">+E743+F743+J743+N743</f>
        <v>48270</v>
      </c>
      <c r="E743" s="2188"/>
      <c r="F743" s="2188">
        <v>48270</v>
      </c>
      <c r="G743" s="2189"/>
      <c r="H743" s="2197"/>
      <c r="I743" s="2194"/>
      <c r="J743" s="2214">
        <f t="shared" ref="J743:J753" si="106">G743+H743+I743</f>
        <v>0</v>
      </c>
      <c r="K743" s="2188"/>
      <c r="L743" s="2188"/>
      <c r="M743" s="2193"/>
      <c r="N743" s="2195">
        <f t="shared" ref="N743:N782" si="107">K743+L743+M743</f>
        <v>0</v>
      </c>
      <c r="O743" s="1149"/>
      <c r="P743" s="705"/>
      <c r="Q743" s="707"/>
      <c r="R743" s="706"/>
      <c r="S743" s="706"/>
      <c r="T743" s="706"/>
      <c r="U743" s="706"/>
      <c r="V743" s="706"/>
      <c r="W743" s="706"/>
      <c r="X743" s="706"/>
      <c r="Y743" s="706"/>
      <c r="Z743" s="706"/>
      <c r="AA743" s="706"/>
      <c r="AB743" s="706"/>
      <c r="AC743" s="706"/>
    </row>
    <row r="744" spans="1:29">
      <c r="A744" s="2153">
        <v>3</v>
      </c>
      <c r="B744" s="2154" t="s">
        <v>272</v>
      </c>
      <c r="C744" s="2269"/>
      <c r="D744" s="2213">
        <f t="shared" si="105"/>
        <v>0</v>
      </c>
      <c r="E744" s="2188"/>
      <c r="F744" s="1171">
        <v>0</v>
      </c>
      <c r="G744" s="2189"/>
      <c r="H744" s="2197"/>
      <c r="I744" s="2194"/>
      <c r="J744" s="2214">
        <f t="shared" si="106"/>
        <v>0</v>
      </c>
      <c r="K744" s="2188"/>
      <c r="L744" s="2188"/>
      <c r="M744" s="2193"/>
      <c r="N744" s="2195">
        <f t="shared" si="107"/>
        <v>0</v>
      </c>
      <c r="O744" s="1149"/>
      <c r="P744" s="705"/>
      <c r="Q744" s="54"/>
      <c r="R744" s="706"/>
      <c r="S744" s="706"/>
      <c r="T744" s="706"/>
      <c r="U744" s="706"/>
      <c r="V744" s="706"/>
      <c r="W744" s="706"/>
      <c r="X744" s="706"/>
      <c r="Y744" s="706"/>
      <c r="Z744" s="706"/>
      <c r="AA744" s="706"/>
      <c r="AB744" s="706"/>
      <c r="AC744" s="706"/>
    </row>
    <row r="745" spans="1:29">
      <c r="A745" s="2153">
        <v>4</v>
      </c>
      <c r="B745" s="2154" t="s">
        <v>315</v>
      </c>
      <c r="C745" s="2269"/>
      <c r="D745" s="2213">
        <f t="shared" si="105"/>
        <v>86573</v>
      </c>
      <c r="E745" s="2188"/>
      <c r="F745" s="1171">
        <v>86573</v>
      </c>
      <c r="G745" s="2189"/>
      <c r="H745" s="2197"/>
      <c r="I745" s="2194"/>
      <c r="J745" s="2214">
        <f t="shared" si="106"/>
        <v>0</v>
      </c>
      <c r="K745" s="2188"/>
      <c r="L745" s="2188"/>
      <c r="M745" s="2193"/>
      <c r="N745" s="2195">
        <f t="shared" si="107"/>
        <v>0</v>
      </c>
      <c r="O745" s="1149"/>
      <c r="P745" s="705"/>
      <c r="Q745" s="707"/>
      <c r="R745" s="706"/>
      <c r="S745" s="706"/>
      <c r="T745" s="706"/>
      <c r="U745" s="706"/>
      <c r="V745" s="706"/>
      <c r="W745" s="706"/>
      <c r="X745" s="706"/>
      <c r="Y745" s="706"/>
      <c r="Z745" s="706"/>
      <c r="AA745" s="706"/>
      <c r="AB745" s="706"/>
      <c r="AC745" s="706"/>
    </row>
    <row r="746" spans="1:29">
      <c r="A746" s="2153">
        <v>5</v>
      </c>
      <c r="B746" s="2154" t="s">
        <v>274</v>
      </c>
      <c r="C746" s="2270">
        <v>5</v>
      </c>
      <c r="D746" s="2213">
        <f t="shared" si="105"/>
        <v>130545</v>
      </c>
      <c r="E746" s="2188"/>
      <c r="F746" s="1171">
        <v>130545</v>
      </c>
      <c r="G746" s="2189"/>
      <c r="H746" s="2197"/>
      <c r="I746" s="2194"/>
      <c r="J746" s="2214">
        <f t="shared" si="106"/>
        <v>0</v>
      </c>
      <c r="K746" s="2188"/>
      <c r="L746" s="2188"/>
      <c r="M746" s="2193"/>
      <c r="N746" s="2195">
        <f t="shared" si="107"/>
        <v>0</v>
      </c>
      <c r="O746" s="1149"/>
      <c r="P746" s="705"/>
      <c r="Q746" s="1141"/>
      <c r="R746" s="706"/>
      <c r="S746" s="706"/>
      <c r="T746" s="706"/>
      <c r="U746" s="706"/>
      <c r="V746" s="706"/>
      <c r="W746" s="706"/>
      <c r="X746" s="706"/>
      <c r="Y746" s="706"/>
      <c r="Z746" s="706"/>
      <c r="AA746" s="706"/>
      <c r="AB746" s="706"/>
      <c r="AC746" s="706"/>
    </row>
    <row r="747" spans="1:29">
      <c r="A747" s="2153">
        <v>6</v>
      </c>
      <c r="B747" s="2154" t="s">
        <v>275</v>
      </c>
      <c r="C747" s="2269">
        <v>6</v>
      </c>
      <c r="D747" s="2213">
        <f t="shared" si="105"/>
        <v>79364</v>
      </c>
      <c r="E747" s="2188"/>
      <c r="F747" s="1171">
        <v>22300</v>
      </c>
      <c r="G747" s="2189"/>
      <c r="H747" s="2197">
        <v>57064</v>
      </c>
      <c r="I747" s="2194"/>
      <c r="J747" s="2214">
        <f t="shared" si="106"/>
        <v>57064</v>
      </c>
      <c r="K747" s="2188"/>
      <c r="L747" s="2188"/>
      <c r="M747" s="2193"/>
      <c r="N747" s="2195">
        <f t="shared" si="107"/>
        <v>0</v>
      </c>
      <c r="O747" s="1149"/>
      <c r="P747" s="705"/>
      <c r="Q747" s="707"/>
      <c r="R747" s="706"/>
      <c r="S747" s="706"/>
      <c r="T747" s="706"/>
      <c r="U747" s="706"/>
      <c r="V747" s="706"/>
      <c r="W747" s="706"/>
      <c r="X747" s="706"/>
      <c r="Y747" s="706"/>
      <c r="Z747" s="706"/>
      <c r="AA747" s="706"/>
      <c r="AB747" s="706"/>
      <c r="AC747" s="706"/>
    </row>
    <row r="748" spans="1:29">
      <c r="A748" s="2153">
        <v>7</v>
      </c>
      <c r="B748" s="2154" t="s">
        <v>276</v>
      </c>
      <c r="C748" s="2270">
        <v>7</v>
      </c>
      <c r="D748" s="2213">
        <f t="shared" si="105"/>
        <v>306141</v>
      </c>
      <c r="E748" s="2188"/>
      <c r="F748" s="2188">
        <f t="shared" ref="F748:L748" si="108">F749+F750</f>
        <v>306141</v>
      </c>
      <c r="G748" s="2188">
        <f t="shared" si="108"/>
        <v>0</v>
      </c>
      <c r="H748" s="2193">
        <f t="shared" si="108"/>
        <v>0</v>
      </c>
      <c r="I748" s="2194">
        <f t="shared" si="108"/>
        <v>0</v>
      </c>
      <c r="J748" s="2214">
        <f t="shared" si="106"/>
        <v>0</v>
      </c>
      <c r="K748" s="2188">
        <f t="shared" si="108"/>
        <v>0</v>
      </c>
      <c r="L748" s="2188">
        <f t="shared" si="108"/>
        <v>0</v>
      </c>
      <c r="M748" s="2193">
        <f>M749+M750</f>
        <v>0</v>
      </c>
      <c r="N748" s="2195">
        <f t="shared" si="107"/>
        <v>0</v>
      </c>
      <c r="O748" s="1149"/>
      <c r="P748" s="705"/>
      <c r="Q748" s="1141"/>
      <c r="R748" s="706"/>
      <c r="S748" s="706"/>
      <c r="T748" s="706"/>
      <c r="U748" s="706"/>
      <c r="V748" s="706"/>
      <c r="W748" s="706"/>
      <c r="X748" s="706"/>
      <c r="Y748" s="706"/>
      <c r="Z748" s="706"/>
      <c r="AA748" s="706"/>
      <c r="AB748" s="706"/>
      <c r="AC748" s="706"/>
    </row>
    <row r="749" spans="1:29">
      <c r="A749" s="2155"/>
      <c r="B749" s="2162" t="s">
        <v>277</v>
      </c>
      <c r="C749" s="2270"/>
      <c r="D749" s="2213">
        <f t="shared" si="105"/>
        <v>306141</v>
      </c>
      <c r="E749" s="2188"/>
      <c r="F749" s="2188">
        <v>306141</v>
      </c>
      <c r="G749" s="2189"/>
      <c r="H749" s="2197"/>
      <c r="I749" s="2194"/>
      <c r="J749" s="2214">
        <f t="shared" si="106"/>
        <v>0</v>
      </c>
      <c r="K749" s="2188"/>
      <c r="L749" s="2188"/>
      <c r="M749" s="2193"/>
      <c r="N749" s="2195">
        <f t="shared" si="107"/>
        <v>0</v>
      </c>
      <c r="O749" s="1149"/>
      <c r="P749" s="705"/>
      <c r="Q749" s="1141"/>
      <c r="R749" s="706"/>
      <c r="S749" s="706"/>
      <c r="T749" s="706"/>
      <c r="U749" s="706"/>
      <c r="V749" s="706"/>
      <c r="W749" s="706"/>
      <c r="X749" s="706"/>
      <c r="Y749" s="706"/>
      <c r="Z749" s="706"/>
      <c r="AA749" s="706"/>
      <c r="AB749" s="706"/>
      <c r="AC749" s="706"/>
    </row>
    <row r="750" spans="1:29">
      <c r="A750" s="2155"/>
      <c r="B750" s="2162" t="s">
        <v>278</v>
      </c>
      <c r="C750" s="2270"/>
      <c r="D750" s="2213">
        <f t="shared" si="105"/>
        <v>0</v>
      </c>
      <c r="E750" s="2188"/>
      <c r="F750" s="2188"/>
      <c r="G750" s="2188"/>
      <c r="H750" s="2193"/>
      <c r="I750" s="2194"/>
      <c r="J750" s="2214">
        <f t="shared" si="106"/>
        <v>0</v>
      </c>
      <c r="K750" s="2188"/>
      <c r="L750" s="2188"/>
      <c r="M750" s="2193"/>
      <c r="N750" s="2195">
        <f t="shared" si="107"/>
        <v>0</v>
      </c>
      <c r="O750" s="1149"/>
      <c r="P750" s="705"/>
      <c r="Q750" s="1142"/>
      <c r="R750" s="706"/>
      <c r="S750" s="706"/>
      <c r="T750" s="706"/>
      <c r="U750" s="706"/>
      <c r="V750" s="706"/>
      <c r="W750" s="706"/>
      <c r="X750" s="706"/>
      <c r="Y750" s="706"/>
      <c r="Z750" s="706"/>
      <c r="AA750" s="706"/>
      <c r="AB750" s="706"/>
      <c r="AC750" s="706"/>
    </row>
    <row r="751" spans="1:29">
      <c r="A751" s="2153">
        <v>8</v>
      </c>
      <c r="B751" s="2154" t="s">
        <v>279</v>
      </c>
      <c r="C751" s="2269">
        <v>8</v>
      </c>
      <c r="D751" s="2213">
        <f t="shared" si="105"/>
        <v>400</v>
      </c>
      <c r="E751" s="2188"/>
      <c r="F751" s="2188">
        <f>F752+F753</f>
        <v>400</v>
      </c>
      <c r="G751" s="2188">
        <f t="shared" ref="G751:L751" si="109">G752+G753</f>
        <v>0</v>
      </c>
      <c r="H751" s="2193">
        <f t="shared" si="109"/>
        <v>0</v>
      </c>
      <c r="I751" s="2194">
        <f t="shared" si="109"/>
        <v>0</v>
      </c>
      <c r="J751" s="2214">
        <f t="shared" si="106"/>
        <v>0</v>
      </c>
      <c r="K751" s="2188">
        <f t="shared" si="109"/>
        <v>0</v>
      </c>
      <c r="L751" s="2188">
        <f t="shared" si="109"/>
        <v>0</v>
      </c>
      <c r="M751" s="2193">
        <f>M752+M753</f>
        <v>0</v>
      </c>
      <c r="N751" s="2195">
        <f t="shared" si="107"/>
        <v>0</v>
      </c>
      <c r="O751" s="1149"/>
      <c r="P751" s="705"/>
      <c r="Q751" s="54"/>
      <c r="R751" s="706"/>
      <c r="S751" s="706"/>
      <c r="T751" s="706"/>
      <c r="U751" s="706"/>
      <c r="V751" s="706"/>
      <c r="W751" s="706"/>
      <c r="X751" s="706"/>
      <c r="Y751" s="706"/>
      <c r="Z751" s="706"/>
      <c r="AA751" s="706"/>
      <c r="AB751" s="706"/>
      <c r="AC751" s="706"/>
    </row>
    <row r="752" spans="1:29">
      <c r="A752" s="2153"/>
      <c r="B752" s="2162" t="s">
        <v>280</v>
      </c>
      <c r="C752" s="2269"/>
      <c r="D752" s="2213">
        <f t="shared" si="105"/>
        <v>0</v>
      </c>
      <c r="E752" s="2188"/>
      <c r="F752" s="2188"/>
      <c r="G752" s="2188"/>
      <c r="H752" s="2193"/>
      <c r="I752" s="2194"/>
      <c r="J752" s="2214">
        <f t="shared" si="106"/>
        <v>0</v>
      </c>
      <c r="K752" s="2188"/>
      <c r="L752" s="2188"/>
      <c r="M752" s="2193"/>
      <c r="N752" s="2195">
        <f t="shared" si="107"/>
        <v>0</v>
      </c>
      <c r="O752" s="1149"/>
      <c r="P752" s="705"/>
      <c r="Q752" s="54"/>
      <c r="R752" s="706"/>
      <c r="S752" s="706"/>
      <c r="T752" s="706"/>
      <c r="U752" s="706"/>
      <c r="V752" s="706"/>
      <c r="W752" s="706"/>
      <c r="X752" s="706"/>
      <c r="Y752" s="706"/>
      <c r="Z752" s="706"/>
      <c r="AA752" s="706"/>
      <c r="AB752" s="706"/>
      <c r="AC752" s="706"/>
    </row>
    <row r="753" spans="1:29">
      <c r="A753" s="2153"/>
      <c r="B753" s="2162" t="s">
        <v>281</v>
      </c>
      <c r="C753" s="2269"/>
      <c r="D753" s="2213">
        <f t="shared" si="105"/>
        <v>400</v>
      </c>
      <c r="E753" s="2188"/>
      <c r="F753" s="2188">
        <v>400</v>
      </c>
      <c r="G753" s="2189"/>
      <c r="H753" s="2197"/>
      <c r="I753" s="2194"/>
      <c r="J753" s="2214">
        <f t="shared" si="106"/>
        <v>0</v>
      </c>
      <c r="K753" s="2188"/>
      <c r="L753" s="2188"/>
      <c r="M753" s="2193"/>
      <c r="N753" s="2195">
        <f t="shared" si="107"/>
        <v>0</v>
      </c>
      <c r="O753" s="1149"/>
      <c r="P753" s="705"/>
      <c r="Q753" s="54"/>
      <c r="R753" s="706"/>
      <c r="S753" s="706"/>
      <c r="T753" s="706"/>
      <c r="U753" s="706"/>
      <c r="V753" s="706"/>
      <c r="W753" s="706"/>
      <c r="X753" s="706"/>
      <c r="Y753" s="706"/>
      <c r="Z753" s="706"/>
      <c r="AA753" s="706"/>
      <c r="AB753" s="706"/>
      <c r="AC753" s="706"/>
    </row>
    <row r="754" spans="1:29" ht="25.5">
      <c r="A754" s="2163">
        <v>9</v>
      </c>
      <c r="B754" s="2164" t="s">
        <v>282</v>
      </c>
      <c r="C754" s="2271"/>
      <c r="D754" s="2230">
        <f t="shared" si="105"/>
        <v>1810308</v>
      </c>
      <c r="E754" s="2231">
        <f>SUM(E755:E758)</f>
        <v>0</v>
      </c>
      <c r="F754" s="2231">
        <f>SUM(F755:F758)</f>
        <v>566586</v>
      </c>
      <c r="G754" s="2231">
        <f>SUM(G755:G758)</f>
        <v>121622</v>
      </c>
      <c r="H754" s="2204">
        <f>SUM(H755:H758)</f>
        <v>980047</v>
      </c>
      <c r="I754" s="2202">
        <f>SUM(I755:I758)</f>
        <v>142053</v>
      </c>
      <c r="J754" s="2233">
        <f>G754+H754+I754</f>
        <v>1243722</v>
      </c>
      <c r="K754" s="2231">
        <f>SUM(K755:K758)</f>
        <v>0</v>
      </c>
      <c r="L754" s="2231">
        <f>SUM(L755:L758)</f>
        <v>0</v>
      </c>
      <c r="M754" s="2204">
        <f>SUM(M755:M758)</f>
        <v>0</v>
      </c>
      <c r="N754" s="2205">
        <f t="shared" si="107"/>
        <v>0</v>
      </c>
      <c r="O754" s="1149"/>
      <c r="P754" s="705"/>
      <c r="Q754" s="1141"/>
      <c r="R754" s="706"/>
      <c r="S754" s="706"/>
      <c r="T754" s="706"/>
      <c r="U754" s="706"/>
      <c r="V754" s="706"/>
      <c r="W754" s="706"/>
      <c r="X754" s="706"/>
      <c r="Y754" s="706"/>
      <c r="Z754" s="706"/>
      <c r="AA754" s="706"/>
      <c r="AB754" s="706"/>
      <c r="AC754" s="706"/>
    </row>
    <row r="755" spans="1:29">
      <c r="A755" s="2155">
        <v>10</v>
      </c>
      <c r="B755" s="2171" t="s">
        <v>283</v>
      </c>
      <c r="C755" s="2269">
        <v>9</v>
      </c>
      <c r="D755" s="2213">
        <f t="shared" si="105"/>
        <v>0</v>
      </c>
      <c r="E755" s="2188"/>
      <c r="F755" s="2188">
        <v>0</v>
      </c>
      <c r="G755" s="2189">
        <v>0</v>
      </c>
      <c r="H755" s="2193">
        <v>0</v>
      </c>
      <c r="I755" s="2194">
        <v>0</v>
      </c>
      <c r="J755" s="2214">
        <f t="shared" ref="J755:J773" si="110">G755+H755+I755</f>
        <v>0</v>
      </c>
      <c r="K755" s="2188"/>
      <c r="L755" s="2188"/>
      <c r="M755" s="2193"/>
      <c r="N755" s="2195">
        <f t="shared" si="107"/>
        <v>0</v>
      </c>
      <c r="O755" s="1149"/>
      <c r="P755" s="705"/>
      <c r="Q755" s="54"/>
      <c r="R755" s="706"/>
      <c r="S755" s="706"/>
      <c r="T755" s="706"/>
      <c r="U755" s="706"/>
      <c r="V755" s="706"/>
      <c r="W755" s="706"/>
      <c r="X755" s="706"/>
      <c r="Y755" s="706"/>
      <c r="Z755" s="706"/>
      <c r="AA755" s="706"/>
      <c r="AB755" s="706"/>
      <c r="AC755" s="706"/>
    </row>
    <row r="756" spans="1:29">
      <c r="A756" s="2155">
        <v>11</v>
      </c>
      <c r="B756" s="2171" t="s">
        <v>284</v>
      </c>
      <c r="C756" s="2269">
        <v>10</v>
      </c>
      <c r="D756" s="2213">
        <f t="shared" si="105"/>
        <v>1427966</v>
      </c>
      <c r="E756" s="2188"/>
      <c r="F756" s="1171">
        <v>287860</v>
      </c>
      <c r="G756" s="1182">
        <v>112749</v>
      </c>
      <c r="H756" s="1172">
        <v>885304</v>
      </c>
      <c r="I756" s="1173">
        <v>142053</v>
      </c>
      <c r="J756" s="2214">
        <f t="shared" si="110"/>
        <v>1140106</v>
      </c>
      <c r="K756" s="2188"/>
      <c r="L756" s="2188"/>
      <c r="M756" s="2193"/>
      <c r="N756" s="2195">
        <f t="shared" si="107"/>
        <v>0</v>
      </c>
      <c r="O756" s="1149"/>
      <c r="P756" s="705"/>
      <c r="Q756" s="707"/>
      <c r="R756" s="706"/>
      <c r="S756" s="706"/>
      <c r="T756" s="706"/>
      <c r="U756" s="706"/>
      <c r="V756" s="706"/>
      <c r="W756" s="706"/>
      <c r="X756" s="706"/>
      <c r="Y756" s="706"/>
      <c r="Z756" s="706"/>
      <c r="AA756" s="706"/>
      <c r="AB756" s="706"/>
      <c r="AC756" s="706"/>
    </row>
    <row r="757" spans="1:29">
      <c r="A757" s="2155">
        <v>12</v>
      </c>
      <c r="B757" s="2171" t="s">
        <v>285</v>
      </c>
      <c r="C757" s="2269">
        <v>11</v>
      </c>
      <c r="D757" s="2213">
        <f t="shared" si="105"/>
        <v>6381</v>
      </c>
      <c r="E757" s="2188"/>
      <c r="F757" s="1171">
        <v>6381</v>
      </c>
      <c r="G757" s="1182">
        <v>0</v>
      </c>
      <c r="H757" s="1183">
        <v>0</v>
      </c>
      <c r="I757" s="1184">
        <v>0</v>
      </c>
      <c r="J757" s="2214">
        <f t="shared" si="110"/>
        <v>0</v>
      </c>
      <c r="K757" s="2188"/>
      <c r="L757" s="2188"/>
      <c r="M757" s="2193"/>
      <c r="N757" s="2195">
        <f t="shared" si="107"/>
        <v>0</v>
      </c>
      <c r="O757" s="1149"/>
      <c r="P757" s="705"/>
      <c r="Q757" s="707"/>
      <c r="R757" s="706"/>
      <c r="S757" s="706"/>
      <c r="T757" s="706"/>
      <c r="U757" s="706"/>
      <c r="V757" s="706"/>
      <c r="W757" s="706"/>
      <c r="X757" s="706"/>
      <c r="Y757" s="706"/>
      <c r="Z757" s="706"/>
      <c r="AA757" s="706"/>
      <c r="AB757" s="706"/>
      <c r="AC757" s="706"/>
    </row>
    <row r="758" spans="1:29" ht="25.5">
      <c r="A758" s="2155">
        <v>13</v>
      </c>
      <c r="B758" s="2171" t="s">
        <v>286</v>
      </c>
      <c r="C758" s="2269">
        <v>12</v>
      </c>
      <c r="D758" s="2213">
        <f t="shared" si="105"/>
        <v>375961</v>
      </c>
      <c r="E758" s="2188"/>
      <c r="F758" s="1171">
        <v>272345</v>
      </c>
      <c r="G758" s="1182">
        <v>8873</v>
      </c>
      <c r="H758" s="1183">
        <v>94743</v>
      </c>
      <c r="I758" s="1184">
        <v>0</v>
      </c>
      <c r="J758" s="2214">
        <f t="shared" si="110"/>
        <v>103616</v>
      </c>
      <c r="K758" s="2188"/>
      <c r="L758" s="2188"/>
      <c r="M758" s="2193"/>
      <c r="N758" s="2195">
        <f t="shared" si="107"/>
        <v>0</v>
      </c>
      <c r="O758" s="1149"/>
      <c r="P758" s="705"/>
      <c r="Q758" s="707"/>
      <c r="R758" s="706"/>
      <c r="S758" s="706"/>
      <c r="T758" s="706"/>
      <c r="U758" s="706"/>
      <c r="V758" s="706"/>
      <c r="W758" s="706"/>
      <c r="X758" s="706"/>
      <c r="Y758" s="706"/>
      <c r="Z758" s="706"/>
      <c r="AA758" s="706"/>
      <c r="AB758" s="706"/>
      <c r="AC758" s="706"/>
    </row>
    <row r="759" spans="1:29">
      <c r="A759" s="2155">
        <v>14</v>
      </c>
      <c r="B759" s="2154" t="s">
        <v>287</v>
      </c>
      <c r="C759" s="2269">
        <v>13</v>
      </c>
      <c r="D759" s="2213">
        <f t="shared" si="105"/>
        <v>31589</v>
      </c>
      <c r="E759" s="2188"/>
      <c r="F759" s="1171">
        <v>0</v>
      </c>
      <c r="G759" s="1182">
        <v>653</v>
      </c>
      <c r="H759" s="1172">
        <v>20501</v>
      </c>
      <c r="I759" s="1173">
        <v>10435</v>
      </c>
      <c r="J759" s="2214">
        <f t="shared" si="110"/>
        <v>31589</v>
      </c>
      <c r="K759" s="2188"/>
      <c r="L759" s="2188"/>
      <c r="M759" s="2193"/>
      <c r="N759" s="2195">
        <f t="shared" si="107"/>
        <v>0</v>
      </c>
      <c r="O759" s="1149"/>
      <c r="P759" s="705"/>
      <c r="Q759" s="707"/>
      <c r="R759" s="706"/>
      <c r="S759" s="706"/>
      <c r="T759" s="706"/>
      <c r="U759" s="706"/>
      <c r="V759" s="706"/>
      <c r="W759" s="706"/>
      <c r="X759" s="706"/>
      <c r="Y759" s="706"/>
      <c r="Z759" s="706"/>
      <c r="AA759" s="706"/>
      <c r="AB759" s="706"/>
      <c r="AC759" s="706"/>
    </row>
    <row r="760" spans="1:29">
      <c r="A760" s="2155">
        <v>15</v>
      </c>
      <c r="B760" s="2154" t="s">
        <v>288</v>
      </c>
      <c r="C760" s="2270">
        <v>14</v>
      </c>
      <c r="D760" s="2213">
        <f t="shared" si="105"/>
        <v>16057</v>
      </c>
      <c r="E760" s="2188"/>
      <c r="F760" s="1171">
        <v>0</v>
      </c>
      <c r="G760" s="1182">
        <v>88</v>
      </c>
      <c r="H760" s="1172">
        <v>5106</v>
      </c>
      <c r="I760" s="1173">
        <v>10863</v>
      </c>
      <c r="J760" s="2214">
        <f t="shared" si="110"/>
        <v>16057</v>
      </c>
      <c r="K760" s="2188"/>
      <c r="L760" s="2188"/>
      <c r="M760" s="2193"/>
      <c r="N760" s="2195">
        <f t="shared" si="107"/>
        <v>0</v>
      </c>
      <c r="O760" s="1149"/>
      <c r="P760" s="705"/>
      <c r="Q760" s="1141"/>
      <c r="R760" s="706"/>
      <c r="S760" s="706"/>
      <c r="T760" s="706"/>
      <c r="U760" s="706"/>
      <c r="V760" s="706"/>
      <c r="W760" s="706"/>
      <c r="X760" s="706"/>
      <c r="Y760" s="706"/>
      <c r="Z760" s="706"/>
      <c r="AA760" s="706"/>
      <c r="AB760" s="706"/>
      <c r="AC760" s="706"/>
    </row>
    <row r="761" spans="1:29">
      <c r="A761" s="2155">
        <v>16</v>
      </c>
      <c r="B761" s="2154" t="s">
        <v>289</v>
      </c>
      <c r="C761" s="2269">
        <v>15</v>
      </c>
      <c r="D761" s="2213">
        <f t="shared" si="105"/>
        <v>16515</v>
      </c>
      <c r="E761" s="2188"/>
      <c r="F761" s="1171">
        <v>0</v>
      </c>
      <c r="G761" s="1182">
        <v>773</v>
      </c>
      <c r="H761" s="1172">
        <v>55</v>
      </c>
      <c r="I761" s="1173">
        <v>15687</v>
      </c>
      <c r="J761" s="2214">
        <f t="shared" si="110"/>
        <v>16515</v>
      </c>
      <c r="K761" s="2188"/>
      <c r="L761" s="2188"/>
      <c r="M761" s="2193"/>
      <c r="N761" s="2195">
        <f t="shared" si="107"/>
        <v>0</v>
      </c>
      <c r="O761" s="1149"/>
      <c r="P761" s="705"/>
      <c r="Q761" s="707"/>
      <c r="R761" s="706"/>
      <c r="S761" s="706"/>
      <c r="T761" s="706"/>
      <c r="U761" s="706"/>
      <c r="V761" s="706"/>
      <c r="W761" s="706"/>
      <c r="X761" s="706"/>
      <c r="Y761" s="706"/>
      <c r="Z761" s="706"/>
      <c r="AA761" s="706"/>
      <c r="AB761" s="706"/>
      <c r="AC761" s="706"/>
    </row>
    <row r="762" spans="1:29">
      <c r="A762" s="2155">
        <v>17</v>
      </c>
      <c r="B762" s="2154" t="s">
        <v>290</v>
      </c>
      <c r="C762" s="2270">
        <v>16</v>
      </c>
      <c r="D762" s="2213">
        <f t="shared" si="105"/>
        <v>120121</v>
      </c>
      <c r="E762" s="2188">
        <v>0</v>
      </c>
      <c r="F762" s="1171">
        <v>120121</v>
      </c>
      <c r="G762" s="1182">
        <v>0</v>
      </c>
      <c r="H762" s="1183">
        <v>0</v>
      </c>
      <c r="I762" s="1184">
        <v>0</v>
      </c>
      <c r="J762" s="2214">
        <f t="shared" si="110"/>
        <v>0</v>
      </c>
      <c r="K762" s="2188"/>
      <c r="L762" s="2188"/>
      <c r="M762" s="2193"/>
      <c r="N762" s="2195">
        <f t="shared" si="107"/>
        <v>0</v>
      </c>
      <c r="O762" s="1149"/>
      <c r="P762" s="705"/>
      <c r="Q762" s="1141"/>
      <c r="R762" s="706"/>
      <c r="S762" s="706"/>
      <c r="T762" s="706"/>
      <c r="U762" s="706"/>
      <c r="V762" s="706"/>
      <c r="W762" s="706"/>
      <c r="X762" s="706"/>
      <c r="Y762" s="706"/>
      <c r="Z762" s="706"/>
      <c r="AA762" s="706"/>
      <c r="AB762" s="706"/>
      <c r="AC762" s="706"/>
    </row>
    <row r="763" spans="1:29">
      <c r="A763" s="2155">
        <v>18</v>
      </c>
      <c r="B763" s="2154" t="s">
        <v>291</v>
      </c>
      <c r="C763" s="2269"/>
      <c r="D763" s="2213">
        <f t="shared" si="105"/>
        <v>0</v>
      </c>
      <c r="E763" s="2188">
        <v>0</v>
      </c>
      <c r="F763" s="1171">
        <v>0</v>
      </c>
      <c r="G763" s="1182">
        <v>0</v>
      </c>
      <c r="H763" s="1172">
        <v>0</v>
      </c>
      <c r="I763" s="1173">
        <v>0</v>
      </c>
      <c r="J763" s="2214">
        <f t="shared" si="110"/>
        <v>0</v>
      </c>
      <c r="K763" s="2188"/>
      <c r="L763" s="2188"/>
      <c r="M763" s="2193"/>
      <c r="N763" s="2195">
        <f t="shared" si="107"/>
        <v>0</v>
      </c>
      <c r="O763" s="1149"/>
      <c r="P763" s="705"/>
      <c r="Q763" s="54"/>
      <c r="R763" s="706"/>
      <c r="S763" s="706"/>
      <c r="T763" s="706"/>
      <c r="U763" s="706"/>
      <c r="V763" s="706"/>
      <c r="W763" s="706"/>
      <c r="X763" s="706"/>
      <c r="Y763" s="706"/>
      <c r="Z763" s="706"/>
      <c r="AA763" s="706"/>
      <c r="AB763" s="706"/>
      <c r="AC763" s="706"/>
    </row>
    <row r="764" spans="1:29" ht="13.5" thickBot="1">
      <c r="A764" s="2172">
        <v>19</v>
      </c>
      <c r="B764" s="2173" t="s">
        <v>292</v>
      </c>
      <c r="C764" s="2272"/>
      <c r="D764" s="1388">
        <f t="shared" si="105"/>
        <v>36614</v>
      </c>
      <c r="E764" s="1176">
        <v>0</v>
      </c>
      <c r="F764" s="1175">
        <v>36614</v>
      </c>
      <c r="G764" s="1202">
        <v>0</v>
      </c>
      <c r="H764" s="1270">
        <v>0</v>
      </c>
      <c r="I764" s="1178">
        <v>0</v>
      </c>
      <c r="J764" s="1396">
        <f t="shared" si="110"/>
        <v>0</v>
      </c>
      <c r="K764" s="1176"/>
      <c r="L764" s="1176"/>
      <c r="M764" s="1177"/>
      <c r="N764" s="2215">
        <f t="shared" si="107"/>
        <v>0</v>
      </c>
      <c r="O764" s="1149"/>
      <c r="P764" s="705"/>
      <c r="Q764" s="707"/>
      <c r="R764" s="706"/>
      <c r="S764" s="706"/>
      <c r="T764" s="706"/>
      <c r="U764" s="706"/>
      <c r="V764" s="706"/>
      <c r="W764" s="706"/>
      <c r="X764" s="706"/>
      <c r="Y764" s="706"/>
      <c r="Z764" s="706"/>
      <c r="AA764" s="706"/>
      <c r="AB764" s="706"/>
      <c r="AC764" s="706"/>
    </row>
    <row r="765" spans="1:29" ht="26.25" thickBot="1">
      <c r="A765" s="1351">
        <v>20</v>
      </c>
      <c r="B765" s="1352" t="s">
        <v>293</v>
      </c>
      <c r="C765" s="1451"/>
      <c r="D765" s="1378">
        <f t="shared" si="105"/>
        <v>2682497</v>
      </c>
      <c r="E765" s="1378">
        <f>SUM(E742:E748)+E751+E754+SUM(E759:E764)</f>
        <v>0</v>
      </c>
      <c r="F765" s="1378">
        <f>SUM(F742:F748)+F751+F754+SUM(F759:F764)</f>
        <v>1317550</v>
      </c>
      <c r="G765" s="1378">
        <f>SUM(G742:G748)+G751+G754+SUM(G759:G764)</f>
        <v>123136</v>
      </c>
      <c r="H765" s="1379">
        <f>SUM(H742:H748)+H751+H754+SUM(H759:H764)</f>
        <v>1062773</v>
      </c>
      <c r="I765" s="1380">
        <f>SUM(I742:I748)+I751+I754+SUM(I759:I764)</f>
        <v>179038</v>
      </c>
      <c r="J765" s="1378">
        <f t="shared" si="110"/>
        <v>1364947</v>
      </c>
      <c r="K765" s="1378">
        <f>SUM(K742:K748)+K751+K754+SUM(K759:K764)</f>
        <v>0</v>
      </c>
      <c r="L765" s="1378">
        <f>SUM(L742:L748)+L751+L754+SUM(L759:L764)</f>
        <v>0</v>
      </c>
      <c r="M765" s="1379">
        <f>SUM(M742:M748)+M751+M754+SUM(M759:M764)</f>
        <v>0</v>
      </c>
      <c r="N765" s="1380">
        <f t="shared" si="107"/>
        <v>0</v>
      </c>
      <c r="O765" s="1149"/>
      <c r="P765" s="705"/>
      <c r="Q765" s="707"/>
      <c r="R765" s="706"/>
      <c r="S765" s="706"/>
      <c r="T765" s="706"/>
      <c r="U765" s="706"/>
      <c r="V765" s="706"/>
      <c r="W765" s="706"/>
      <c r="X765" s="706"/>
      <c r="Y765" s="706"/>
      <c r="Z765" s="706"/>
      <c r="AA765" s="706"/>
      <c r="AB765" s="706"/>
      <c r="AC765" s="706"/>
    </row>
    <row r="766" spans="1:29">
      <c r="A766" s="2155"/>
      <c r="B766" s="2175" t="s">
        <v>294</v>
      </c>
      <c r="C766" s="2269"/>
      <c r="D766" s="1387">
        <f t="shared" si="105"/>
        <v>0</v>
      </c>
      <c r="E766" s="1171"/>
      <c r="F766" s="1171"/>
      <c r="G766" s="1182"/>
      <c r="H766" s="1174"/>
      <c r="I766" s="1173"/>
      <c r="J766" s="1395">
        <f t="shared" si="110"/>
        <v>0</v>
      </c>
      <c r="K766" s="1171"/>
      <c r="L766" s="1171"/>
      <c r="M766" s="1172"/>
      <c r="N766" s="1401">
        <f t="shared" si="107"/>
        <v>0</v>
      </c>
      <c r="O766" s="1149"/>
      <c r="P766" s="705"/>
      <c r="Q766" s="54"/>
      <c r="R766" s="706"/>
      <c r="S766" s="706"/>
      <c r="T766" s="706"/>
      <c r="U766" s="706"/>
      <c r="V766" s="706"/>
      <c r="W766" s="706"/>
      <c r="X766" s="706"/>
      <c r="Y766" s="706"/>
      <c r="Z766" s="706"/>
      <c r="AA766" s="706"/>
      <c r="AB766" s="706"/>
      <c r="AC766" s="706"/>
    </row>
    <row r="767" spans="1:29">
      <c r="A767" s="2155"/>
      <c r="B767" s="2175" t="s">
        <v>295</v>
      </c>
      <c r="C767" s="2269"/>
      <c r="D767" s="2213">
        <f t="shared" si="105"/>
        <v>0</v>
      </c>
      <c r="E767" s="2188"/>
      <c r="F767" s="2188"/>
      <c r="G767" s="2189"/>
      <c r="H767" s="2197"/>
      <c r="I767" s="2194"/>
      <c r="J767" s="2214">
        <f t="shared" si="110"/>
        <v>0</v>
      </c>
      <c r="K767" s="2188"/>
      <c r="L767" s="2188"/>
      <c r="M767" s="2193"/>
      <c r="N767" s="2195">
        <f t="shared" si="107"/>
        <v>0</v>
      </c>
      <c r="O767" s="1149"/>
      <c r="P767" s="705"/>
      <c r="Q767" s="54"/>
      <c r="R767" s="706"/>
      <c r="S767" s="706"/>
      <c r="T767" s="706"/>
      <c r="U767" s="706"/>
      <c r="V767" s="706"/>
      <c r="W767" s="706"/>
      <c r="X767" s="706"/>
      <c r="Y767" s="706"/>
      <c r="Z767" s="706"/>
      <c r="AA767" s="706"/>
      <c r="AB767" s="706"/>
      <c r="AC767" s="706"/>
    </row>
    <row r="768" spans="1:29">
      <c r="A768" s="2155">
        <v>21</v>
      </c>
      <c r="B768" s="2154" t="s">
        <v>296</v>
      </c>
      <c r="C768" s="2270">
        <v>17</v>
      </c>
      <c r="D768" s="2213">
        <f t="shared" si="105"/>
        <v>1013024</v>
      </c>
      <c r="E768" s="2188"/>
      <c r="F768" s="2188">
        <v>0</v>
      </c>
      <c r="G768" s="2189">
        <v>97948</v>
      </c>
      <c r="H768" s="2193">
        <v>770231</v>
      </c>
      <c r="I768" s="2194">
        <v>144845</v>
      </c>
      <c r="J768" s="2214">
        <f t="shared" si="110"/>
        <v>1013024</v>
      </c>
      <c r="K768" s="2188"/>
      <c r="L768" s="2188"/>
      <c r="M768" s="2193"/>
      <c r="N768" s="2195">
        <f t="shared" si="107"/>
        <v>0</v>
      </c>
      <c r="O768" s="1149"/>
      <c r="P768" s="705"/>
      <c r="Q768" s="1141"/>
      <c r="R768" s="706"/>
      <c r="S768" s="706"/>
      <c r="T768" s="706"/>
      <c r="U768" s="706"/>
      <c r="V768" s="706"/>
      <c r="W768" s="706"/>
      <c r="X768" s="706"/>
      <c r="Y768" s="706"/>
      <c r="Z768" s="706"/>
      <c r="AA768" s="706"/>
      <c r="AB768" s="706"/>
      <c r="AC768" s="706"/>
    </row>
    <row r="769" spans="1:42">
      <c r="A769" s="2155">
        <v>22</v>
      </c>
      <c r="B769" s="2154" t="s">
        <v>297</v>
      </c>
      <c r="C769" s="2269"/>
      <c r="D769" s="2213">
        <f t="shared" si="105"/>
        <v>7365</v>
      </c>
      <c r="E769" s="2188"/>
      <c r="F769" s="1171">
        <v>0</v>
      </c>
      <c r="G769" s="1182">
        <v>533</v>
      </c>
      <c r="H769" s="1172">
        <v>5956</v>
      </c>
      <c r="I769" s="1173">
        <v>876</v>
      </c>
      <c r="J769" s="2214">
        <f t="shared" si="110"/>
        <v>7365</v>
      </c>
      <c r="K769" s="2188"/>
      <c r="L769" s="2188"/>
      <c r="M769" s="2193"/>
      <c r="N769" s="2195">
        <f t="shared" si="107"/>
        <v>0</v>
      </c>
      <c r="O769" s="1149"/>
      <c r="P769" s="705"/>
      <c r="Q769" s="707"/>
      <c r="R769" s="706"/>
      <c r="S769" s="706"/>
      <c r="T769" s="706"/>
      <c r="U769" s="706"/>
      <c r="V769" s="706"/>
      <c r="W769" s="706"/>
      <c r="X769" s="706"/>
      <c r="Y769" s="706"/>
      <c r="Z769" s="706"/>
      <c r="AA769" s="706"/>
      <c r="AB769" s="706"/>
      <c r="AC769" s="706"/>
    </row>
    <row r="770" spans="1:42">
      <c r="A770" s="2155">
        <v>23</v>
      </c>
      <c r="B770" s="2154" t="s">
        <v>298</v>
      </c>
      <c r="C770" s="2269">
        <v>18</v>
      </c>
      <c r="D770" s="2213">
        <f t="shared" si="105"/>
        <v>12592</v>
      </c>
      <c r="E770" s="2188"/>
      <c r="F770" s="1171">
        <v>0</v>
      </c>
      <c r="G770" s="1182">
        <v>241</v>
      </c>
      <c r="H770" s="1172">
        <v>5152</v>
      </c>
      <c r="I770" s="1173">
        <v>7199</v>
      </c>
      <c r="J770" s="2214">
        <f t="shared" si="110"/>
        <v>12592</v>
      </c>
      <c r="K770" s="2188"/>
      <c r="L770" s="2188"/>
      <c r="M770" s="2193"/>
      <c r="N770" s="2195">
        <f t="shared" si="107"/>
        <v>0</v>
      </c>
      <c r="O770" s="1149"/>
      <c r="P770" s="705"/>
      <c r="Q770" s="707"/>
      <c r="R770" s="706"/>
      <c r="S770" s="706"/>
      <c r="T770" s="706"/>
      <c r="U770" s="706"/>
      <c r="V770" s="706"/>
      <c r="W770" s="706"/>
      <c r="X770" s="706"/>
      <c r="Y770" s="706"/>
      <c r="Z770" s="706"/>
      <c r="AA770" s="706"/>
      <c r="AB770" s="706"/>
      <c r="AC770" s="706"/>
    </row>
    <row r="771" spans="1:42">
      <c r="A771" s="2155">
        <v>24</v>
      </c>
      <c r="B771" s="2154" t="s">
        <v>299</v>
      </c>
      <c r="C771" s="2269"/>
      <c r="D771" s="2213">
        <f t="shared" si="105"/>
        <v>0</v>
      </c>
      <c r="E771" s="2188"/>
      <c r="F771" s="1171">
        <v>0</v>
      </c>
      <c r="G771" s="1182">
        <v>0</v>
      </c>
      <c r="H771" s="1172">
        <v>0</v>
      </c>
      <c r="I771" s="1173">
        <v>0</v>
      </c>
      <c r="J771" s="2214">
        <f t="shared" si="110"/>
        <v>0</v>
      </c>
      <c r="K771" s="2188"/>
      <c r="L771" s="2188"/>
      <c r="M771" s="2193"/>
      <c r="N771" s="2195">
        <f t="shared" si="107"/>
        <v>0</v>
      </c>
      <c r="O771" s="1149"/>
      <c r="P771" s="705"/>
      <c r="Q771" s="54"/>
      <c r="R771" s="706"/>
      <c r="S771" s="706"/>
      <c r="T771" s="706"/>
      <c r="U771" s="706"/>
      <c r="V771" s="706"/>
      <c r="W771" s="706"/>
      <c r="X771" s="706"/>
      <c r="Y771" s="706"/>
      <c r="Z771" s="706"/>
      <c r="AA771" s="706"/>
      <c r="AB771" s="706"/>
      <c r="AC771" s="706"/>
    </row>
    <row r="772" spans="1:42">
      <c r="A772" s="2155">
        <v>25</v>
      </c>
      <c r="B772" s="2176" t="s">
        <v>300</v>
      </c>
      <c r="C772" s="2269"/>
      <c r="D772" s="2213">
        <f t="shared" si="105"/>
        <v>202845</v>
      </c>
      <c r="E772" s="2188"/>
      <c r="F772" s="1182">
        <v>202845</v>
      </c>
      <c r="G772" s="1182">
        <v>0</v>
      </c>
      <c r="H772" s="1172">
        <v>0</v>
      </c>
      <c r="I772" s="1173">
        <v>0</v>
      </c>
      <c r="J772" s="2214">
        <f t="shared" si="110"/>
        <v>0</v>
      </c>
      <c r="K772" s="2188"/>
      <c r="L772" s="2188"/>
      <c r="M772" s="2193"/>
      <c r="N772" s="2195">
        <f t="shared" si="107"/>
        <v>0</v>
      </c>
      <c r="O772" s="1149"/>
      <c r="P772" s="705"/>
      <c r="Q772" s="707"/>
      <c r="R772" s="706"/>
      <c r="S772" s="706"/>
      <c r="T772" s="706"/>
      <c r="U772" s="706"/>
      <c r="V772" s="706"/>
      <c r="W772" s="706"/>
      <c r="X772" s="706"/>
      <c r="Y772" s="706"/>
      <c r="Z772" s="706"/>
      <c r="AA772" s="706"/>
      <c r="AB772" s="706"/>
      <c r="AC772" s="706"/>
    </row>
    <row r="773" spans="1:42" ht="13.5" thickBot="1">
      <c r="A773" s="2172">
        <v>26</v>
      </c>
      <c r="B773" s="2173" t="s">
        <v>301</v>
      </c>
      <c r="C773" s="2273">
        <v>19</v>
      </c>
      <c r="D773" s="1388">
        <f t="shared" si="105"/>
        <v>224777</v>
      </c>
      <c r="E773" s="1176"/>
      <c r="F773" s="1175">
        <v>95560</v>
      </c>
      <c r="G773" s="1202">
        <v>19381</v>
      </c>
      <c r="H773" s="394">
        <v>82612</v>
      </c>
      <c r="I773" s="1278">
        <v>27224</v>
      </c>
      <c r="J773" s="1396">
        <f t="shared" si="110"/>
        <v>129217</v>
      </c>
      <c r="K773" s="1176"/>
      <c r="L773" s="1176"/>
      <c r="M773" s="1177"/>
      <c r="N773" s="2215">
        <f t="shared" si="107"/>
        <v>0</v>
      </c>
      <c r="O773" s="1149"/>
      <c r="P773" s="705"/>
      <c r="Q773" s="1141"/>
      <c r="R773" s="706"/>
      <c r="S773" s="706"/>
      <c r="T773" s="706"/>
      <c r="U773" s="706"/>
      <c r="V773" s="706"/>
      <c r="W773" s="706"/>
      <c r="X773" s="706"/>
      <c r="Y773" s="706"/>
      <c r="Z773" s="706"/>
      <c r="AA773" s="706"/>
      <c r="AB773" s="706"/>
      <c r="AC773" s="706"/>
    </row>
    <row r="774" spans="1:42" ht="36" customHeight="1" thickBot="1">
      <c r="A774" s="1348">
        <v>27</v>
      </c>
      <c r="B774" s="1349" t="s">
        <v>302</v>
      </c>
      <c r="C774" s="1447"/>
      <c r="D774" s="1389">
        <f t="shared" si="105"/>
        <v>1460603</v>
      </c>
      <c r="E774" s="1181">
        <f>SUM(E768:E773)</f>
        <v>0</v>
      </c>
      <c r="F774" s="1181">
        <f>SUM(F768:F773)</f>
        <v>298405</v>
      </c>
      <c r="G774" s="1181">
        <f>SUM(G768:G773)</f>
        <v>118103</v>
      </c>
      <c r="H774" s="1185">
        <f>SUM(H768:H773)</f>
        <v>863951</v>
      </c>
      <c r="I774" s="1181">
        <f>SUM(I768:I773)</f>
        <v>180144</v>
      </c>
      <c r="J774" s="1394">
        <f>G774+H774+I774</f>
        <v>1162198</v>
      </c>
      <c r="K774" s="1181">
        <f>SUM(K768:K773)</f>
        <v>0</v>
      </c>
      <c r="L774" s="1181">
        <f>SUM(L768:L773)</f>
        <v>0</v>
      </c>
      <c r="M774" s="1185">
        <f>SUM(M768:M773)</f>
        <v>0</v>
      </c>
      <c r="N774" s="1400">
        <f t="shared" si="107"/>
        <v>0</v>
      </c>
      <c r="O774" s="1149"/>
      <c r="P774" s="705"/>
      <c r="Q774" s="707"/>
      <c r="R774" s="706"/>
      <c r="S774" s="706"/>
      <c r="T774" s="706"/>
      <c r="U774" s="706"/>
      <c r="V774" s="706"/>
      <c r="W774" s="706"/>
      <c r="X774" s="706"/>
      <c r="Y774" s="706"/>
      <c r="Z774" s="706"/>
      <c r="AA774" s="706"/>
      <c r="AB774" s="706"/>
      <c r="AC774" s="706"/>
    </row>
    <row r="775" spans="1:42">
      <c r="A775" s="1346"/>
      <c r="B775" s="1347" t="s">
        <v>303</v>
      </c>
      <c r="C775" s="1446">
        <v>20</v>
      </c>
      <c r="D775" s="1387">
        <f t="shared" si="105"/>
        <v>0</v>
      </c>
      <c r="E775" s="2285"/>
      <c r="F775" s="2188"/>
      <c r="G775" s="2188"/>
      <c r="H775" s="2190"/>
      <c r="I775" s="1277"/>
      <c r="J775" s="1395">
        <f t="shared" ref="J775:J781" si="111">G775+H775+I775</f>
        <v>0</v>
      </c>
      <c r="K775" s="1171"/>
      <c r="L775" s="1171"/>
      <c r="M775" s="1172"/>
      <c r="N775" s="1401">
        <f t="shared" si="107"/>
        <v>0</v>
      </c>
      <c r="O775" s="1149"/>
      <c r="P775" s="705"/>
      <c r="Q775" s="54"/>
      <c r="R775" s="706"/>
      <c r="S775" s="706"/>
      <c r="T775" s="706"/>
      <c r="U775" s="706"/>
      <c r="V775" s="706"/>
      <c r="W775" s="706"/>
      <c r="X775" s="706"/>
      <c r="Y775" s="706"/>
      <c r="Z775" s="706"/>
      <c r="AA775" s="706"/>
      <c r="AB775" s="706"/>
      <c r="AC775" s="706"/>
    </row>
    <row r="776" spans="1:42">
      <c r="A776" s="2155">
        <v>28</v>
      </c>
      <c r="B776" s="2154" t="s">
        <v>304</v>
      </c>
      <c r="C776" s="2270"/>
      <c r="D776" s="2213">
        <f t="shared" si="105"/>
        <v>1045346</v>
      </c>
      <c r="E776" s="2285"/>
      <c r="F776" s="2188">
        <v>1045346</v>
      </c>
      <c r="G776" s="2189">
        <v>0</v>
      </c>
      <c r="H776" s="2193">
        <v>0</v>
      </c>
      <c r="I776" s="2194">
        <v>0</v>
      </c>
      <c r="J776" s="2214">
        <f t="shared" si="111"/>
        <v>0</v>
      </c>
      <c r="K776" s="2188"/>
      <c r="L776" s="2188"/>
      <c r="M776" s="2193"/>
      <c r="N776" s="2195">
        <f t="shared" si="107"/>
        <v>0</v>
      </c>
      <c r="O776" s="1149"/>
      <c r="P776" s="705"/>
      <c r="Q776" s="1141"/>
      <c r="R776" s="706"/>
      <c r="S776" s="706"/>
      <c r="T776" s="706"/>
      <c r="U776" s="706"/>
      <c r="V776" s="706"/>
      <c r="W776" s="706"/>
      <c r="X776" s="706"/>
      <c r="Y776" s="706"/>
      <c r="Z776" s="706"/>
      <c r="AA776" s="706"/>
      <c r="AB776" s="706"/>
      <c r="AC776" s="706"/>
    </row>
    <row r="777" spans="1:42">
      <c r="A777" s="2155">
        <v>29</v>
      </c>
      <c r="B777" s="2154" t="s">
        <v>305</v>
      </c>
      <c r="C777" s="2270"/>
      <c r="D777" s="2213">
        <f t="shared" si="105"/>
        <v>0</v>
      </c>
      <c r="E777" s="2188"/>
      <c r="F777" s="1171">
        <v>0</v>
      </c>
      <c r="G777" s="1182">
        <v>0</v>
      </c>
      <c r="H777" s="1172">
        <v>0</v>
      </c>
      <c r="I777" s="1173">
        <v>0</v>
      </c>
      <c r="J777" s="2214">
        <f t="shared" si="111"/>
        <v>0</v>
      </c>
      <c r="K777" s="2188"/>
      <c r="L777" s="2188"/>
      <c r="M777" s="2193"/>
      <c r="N777" s="2195">
        <f t="shared" si="107"/>
        <v>0</v>
      </c>
      <c r="O777" s="1149"/>
      <c r="P777" s="705"/>
      <c r="Q777" s="1142"/>
      <c r="R777" s="706"/>
      <c r="S777" s="706"/>
      <c r="T777" s="706"/>
      <c r="U777" s="706"/>
      <c r="V777" s="706"/>
      <c r="W777" s="706"/>
      <c r="X777" s="706"/>
      <c r="Y777" s="706"/>
      <c r="Z777" s="706"/>
      <c r="AA777" s="706"/>
      <c r="AB777" s="706"/>
      <c r="AC777" s="706"/>
    </row>
    <row r="778" spans="1:42">
      <c r="A778" s="2155">
        <v>30</v>
      </c>
      <c r="B778" s="2173" t="s">
        <v>306</v>
      </c>
      <c r="C778" s="2273"/>
      <c r="D778" s="2213">
        <f t="shared" si="105"/>
        <v>0</v>
      </c>
      <c r="E778" s="2188"/>
      <c r="F778" s="1175">
        <v>0</v>
      </c>
      <c r="G778" s="1202"/>
      <c r="H778" s="1270">
        <v>0</v>
      </c>
      <c r="I778" s="1178">
        <v>0</v>
      </c>
      <c r="J778" s="2214">
        <f t="shared" si="111"/>
        <v>0</v>
      </c>
      <c r="K778" s="2188"/>
      <c r="L778" s="2188"/>
      <c r="M778" s="2193"/>
      <c r="N778" s="2195">
        <f t="shared" si="107"/>
        <v>0</v>
      </c>
      <c r="O778" s="1149"/>
      <c r="P778" s="705"/>
      <c r="Q778" s="1142"/>
      <c r="R778" s="706"/>
      <c r="S778" s="706"/>
      <c r="T778" s="706"/>
      <c r="U778" s="706"/>
      <c r="V778" s="706"/>
      <c r="W778" s="706"/>
      <c r="X778" s="706"/>
      <c r="Y778" s="706"/>
      <c r="Z778" s="706"/>
      <c r="AA778" s="706"/>
      <c r="AB778" s="706"/>
      <c r="AC778" s="706"/>
    </row>
    <row r="779" spans="1:42">
      <c r="A779" s="2155">
        <v>31</v>
      </c>
      <c r="B779" s="2154" t="s">
        <v>307</v>
      </c>
      <c r="C779" s="2270"/>
      <c r="D779" s="2213">
        <f t="shared" si="105"/>
        <v>0</v>
      </c>
      <c r="E779" s="2188"/>
      <c r="F779" s="1176">
        <v>0</v>
      </c>
      <c r="G779" s="1208">
        <v>0</v>
      </c>
      <c r="H779" s="1177">
        <v>0</v>
      </c>
      <c r="I779" s="2211">
        <v>0</v>
      </c>
      <c r="J779" s="2214">
        <f t="shared" si="111"/>
        <v>0</v>
      </c>
      <c r="K779" s="2188"/>
      <c r="L779" s="2188"/>
      <c r="M779" s="2193"/>
      <c r="N779" s="2195">
        <f t="shared" si="107"/>
        <v>0</v>
      </c>
      <c r="O779" s="1149"/>
      <c r="P779" s="705"/>
      <c r="Q779" s="1142"/>
      <c r="R779" s="706"/>
      <c r="S779" s="706"/>
      <c r="T779" s="706"/>
      <c r="U779" s="706"/>
      <c r="V779" s="706"/>
      <c r="W779" s="706"/>
      <c r="X779" s="706"/>
      <c r="Y779" s="706"/>
      <c r="Z779" s="706"/>
      <c r="AA779" s="706"/>
      <c r="AB779" s="706"/>
      <c r="AC779" s="706"/>
    </row>
    <row r="780" spans="1:42" ht="13.5" thickBot="1">
      <c r="A780" s="2172">
        <v>32</v>
      </c>
      <c r="B780" s="2154" t="s">
        <v>308</v>
      </c>
      <c r="C780" s="2270"/>
      <c r="D780" s="2213">
        <f t="shared" si="105"/>
        <v>176549</v>
      </c>
      <c r="E780" s="2188"/>
      <c r="F780" s="1176">
        <v>-26201</v>
      </c>
      <c r="G780" s="1208">
        <v>5034</v>
      </c>
      <c r="H780" s="1177">
        <v>198822</v>
      </c>
      <c r="I780" s="1279">
        <v>-1106</v>
      </c>
      <c r="J780" s="2214">
        <f t="shared" si="111"/>
        <v>202750</v>
      </c>
      <c r="K780" s="2188"/>
      <c r="L780" s="2188"/>
      <c r="M780" s="2193"/>
      <c r="N780" s="2195">
        <f t="shared" si="107"/>
        <v>0</v>
      </c>
      <c r="O780" s="1149"/>
      <c r="P780" s="705"/>
      <c r="Q780" s="1141"/>
      <c r="R780" s="706"/>
      <c r="S780" s="706"/>
      <c r="T780" s="706"/>
      <c r="U780" s="706"/>
      <c r="V780" s="706"/>
      <c r="W780" s="706"/>
      <c r="X780" s="706"/>
      <c r="Y780" s="706"/>
      <c r="Z780" s="706"/>
      <c r="AA780" s="706"/>
      <c r="AB780" s="706"/>
      <c r="AC780" s="706"/>
    </row>
    <row r="781" spans="1:42" s="913" customFormat="1" ht="13.5" thickBot="1">
      <c r="A781" s="1348">
        <v>33</v>
      </c>
      <c r="B781" s="1384" t="s">
        <v>309</v>
      </c>
      <c r="C781" s="1448"/>
      <c r="D781" s="1390">
        <f t="shared" si="105"/>
        <v>1221895</v>
      </c>
      <c r="E781" s="1186">
        <f>SUM(E776:E780)</f>
        <v>0</v>
      </c>
      <c r="F781" s="1186">
        <f>SUM(F776:F780)</f>
        <v>1019145</v>
      </c>
      <c r="G781" s="1186">
        <f>SUM(G776:G780)</f>
        <v>5034</v>
      </c>
      <c r="H781" s="1187">
        <f>SUM(H776:H780)</f>
        <v>198822</v>
      </c>
      <c r="I781" s="1280">
        <f>SUM(I776:I780)</f>
        <v>-1106</v>
      </c>
      <c r="J781" s="1397">
        <f t="shared" si="111"/>
        <v>202750</v>
      </c>
      <c r="K781" s="1186">
        <f>SUM(K776:K780)</f>
        <v>0</v>
      </c>
      <c r="L781" s="1186">
        <f>SUM(L776:L780)</f>
        <v>0</v>
      </c>
      <c r="M781" s="1187">
        <f>SUM(M776:M780)</f>
        <v>0</v>
      </c>
      <c r="N781" s="1402">
        <f t="shared" si="107"/>
        <v>0</v>
      </c>
      <c r="O781" s="1155"/>
      <c r="P781" s="1025"/>
      <c r="Q781" s="710"/>
      <c r="R781" s="1027"/>
      <c r="S781" s="1027"/>
      <c r="T781" s="1027"/>
      <c r="U781" s="1027"/>
      <c r="V781" s="1027"/>
      <c r="W781" s="1027"/>
      <c r="X781" s="1027"/>
      <c r="Y781" s="1027"/>
      <c r="Z781" s="1027"/>
      <c r="AA781" s="1027"/>
      <c r="AB781" s="1027"/>
      <c r="AC781" s="1027"/>
      <c r="AE781" s="1058"/>
      <c r="AF781" s="1058"/>
      <c r="AG781" s="1058"/>
      <c r="AH781" s="1058"/>
      <c r="AI781" s="1058"/>
      <c r="AJ781" s="1058"/>
      <c r="AK781" s="1058"/>
      <c r="AL781" s="1058"/>
      <c r="AM781" s="1058"/>
      <c r="AN781" s="1058"/>
      <c r="AO781" s="1058"/>
      <c r="AP781" s="1058"/>
    </row>
    <row r="782" spans="1:42" ht="26.25" thickBot="1">
      <c r="A782" s="1351">
        <v>34</v>
      </c>
      <c r="B782" s="1352" t="s">
        <v>310</v>
      </c>
      <c r="C782" s="1451"/>
      <c r="D782" s="1381">
        <f>+E782+F782+J782+N782</f>
        <v>2682498</v>
      </c>
      <c r="E782" s="1381">
        <f>E781+E774</f>
        <v>0</v>
      </c>
      <c r="F782" s="1381">
        <f>F781+F774</f>
        <v>1317550</v>
      </c>
      <c r="G782" s="1381">
        <f>G781+G774</f>
        <v>123137</v>
      </c>
      <c r="H782" s="1382">
        <f>H781+H774</f>
        <v>1062773</v>
      </c>
      <c r="I782" s="1383">
        <f>I781+I774</f>
        <v>179038</v>
      </c>
      <c r="J782" s="1381">
        <f>G782+H782+I782</f>
        <v>1364948</v>
      </c>
      <c r="K782" s="1381">
        <f>K781+K774</f>
        <v>0</v>
      </c>
      <c r="L782" s="1381">
        <f>L781+L774</f>
        <v>0</v>
      </c>
      <c r="M782" s="1382">
        <f>M781+M774</f>
        <v>0</v>
      </c>
      <c r="N782" s="1383">
        <f t="shared" si="107"/>
        <v>0</v>
      </c>
      <c r="O782" s="1149"/>
      <c r="P782" s="705"/>
      <c r="Q782" s="707"/>
      <c r="R782" s="706"/>
      <c r="S782" s="706"/>
      <c r="T782" s="706"/>
      <c r="U782" s="706"/>
      <c r="V782" s="706"/>
      <c r="W782" s="706"/>
      <c r="X782" s="706"/>
      <c r="Y782" s="706"/>
      <c r="Z782" s="706"/>
      <c r="AA782" s="706"/>
      <c r="AB782" s="706"/>
      <c r="AC782" s="706"/>
    </row>
    <row r="784" spans="1:42">
      <c r="B784" s="680"/>
      <c r="D784" s="679"/>
      <c r="E784" s="679"/>
      <c r="F784" s="679"/>
      <c r="G784" s="679"/>
      <c r="H784" s="679"/>
      <c r="I784" s="679"/>
      <c r="J784" s="679"/>
      <c r="K784" s="679"/>
      <c r="L784" s="679"/>
      <c r="M784" s="679"/>
      <c r="N784" s="911">
        <v>27</v>
      </c>
      <c r="O784" s="679"/>
    </row>
    <row r="785" spans="1:29">
      <c r="D785" s="679"/>
      <c r="E785" s="679"/>
      <c r="F785" s="679"/>
      <c r="G785" s="679"/>
      <c r="H785" s="679"/>
      <c r="I785" s="679"/>
      <c r="J785" s="679"/>
    </row>
    <row r="786" spans="1:29" ht="13.5" thickBot="1"/>
    <row r="787" spans="1:29" ht="15.75" customHeight="1" thickBot="1">
      <c r="A787" s="1368" t="s">
        <v>115</v>
      </c>
      <c r="B787" s="3533" t="s">
        <v>318</v>
      </c>
      <c r="C787" s="3534"/>
      <c r="M787" s="3538" t="s">
        <v>251</v>
      </c>
      <c r="N787" s="3538"/>
      <c r="O787" s="1148"/>
    </row>
    <row r="788" spans="1:29" ht="18.75" customHeight="1" thickBot="1">
      <c r="A788" s="3512" t="s">
        <v>252</v>
      </c>
      <c r="B788" s="3515"/>
      <c r="C788" s="3523" t="s">
        <v>254</v>
      </c>
      <c r="D788" s="3518" t="s">
        <v>255</v>
      </c>
      <c r="E788" s="3518" t="s">
        <v>256</v>
      </c>
      <c r="F788" s="3518" t="s">
        <v>257</v>
      </c>
      <c r="G788" s="3526" t="s">
        <v>258</v>
      </c>
      <c r="H788" s="3527"/>
      <c r="I788" s="3527"/>
      <c r="J788" s="3527"/>
      <c r="K788" s="3527"/>
      <c r="L788" s="3527"/>
      <c r="M788" s="3527"/>
      <c r="N788" s="3528"/>
      <c r="O788" s="409"/>
    </row>
    <row r="789" spans="1:29" ht="15.75" customHeight="1" thickBot="1">
      <c r="A789" s="3513"/>
      <c r="B789" s="3516"/>
      <c r="C789" s="3524"/>
      <c r="D789" s="3520"/>
      <c r="E789" s="3520"/>
      <c r="F789" s="3520"/>
      <c r="G789" s="3529" t="s">
        <v>259</v>
      </c>
      <c r="H789" s="3530"/>
      <c r="I789" s="3530"/>
      <c r="J789" s="3531"/>
      <c r="K789" s="3529" t="s">
        <v>260</v>
      </c>
      <c r="L789" s="3530"/>
      <c r="M789" s="3530"/>
      <c r="N789" s="3531"/>
      <c r="O789" s="443"/>
    </row>
    <row r="790" spans="1:29" ht="39" thickBot="1">
      <c r="A790" s="3513"/>
      <c r="B790" s="3516"/>
      <c r="C790" s="3524"/>
      <c r="D790" s="3519"/>
      <c r="E790" s="3519"/>
      <c r="F790" s="3519"/>
      <c r="G790" s="1336" t="s">
        <v>261</v>
      </c>
      <c r="H790" s="1336" t="s">
        <v>262</v>
      </c>
      <c r="I790" s="1336" t="s">
        <v>263</v>
      </c>
      <c r="J790" s="1336" t="s">
        <v>158</v>
      </c>
      <c r="K790" s="1337" t="s">
        <v>264</v>
      </c>
      <c r="L790" s="1337" t="s">
        <v>265</v>
      </c>
      <c r="M790" s="1337" t="s">
        <v>266</v>
      </c>
      <c r="N790" s="1404" t="s">
        <v>158</v>
      </c>
      <c r="O790" s="443"/>
    </row>
    <row r="791" spans="1:29" ht="15.75" customHeight="1" thickBot="1">
      <c r="A791" s="3513"/>
      <c r="B791" s="3516"/>
      <c r="C791" s="3524"/>
      <c r="D791" s="1340">
        <v>1</v>
      </c>
      <c r="E791" s="3518">
        <v>2</v>
      </c>
      <c r="F791" s="3518">
        <v>3</v>
      </c>
      <c r="G791" s="3518">
        <v>4</v>
      </c>
      <c r="H791" s="3518">
        <v>5</v>
      </c>
      <c r="I791" s="3518">
        <v>6</v>
      </c>
      <c r="J791" s="1341">
        <v>7</v>
      </c>
      <c r="K791" s="3518">
        <v>8</v>
      </c>
      <c r="L791" s="3518">
        <v>9</v>
      </c>
      <c r="M791" s="3518">
        <v>10</v>
      </c>
      <c r="N791" s="1340">
        <v>11</v>
      </c>
      <c r="O791" s="409"/>
    </row>
    <row r="792" spans="1:29" ht="15.75" customHeight="1" thickBot="1">
      <c r="A792" s="3514"/>
      <c r="B792" s="3517"/>
      <c r="C792" s="3525"/>
      <c r="D792" s="1343"/>
      <c r="E792" s="3519"/>
      <c r="F792" s="3519"/>
      <c r="G792" s="3519"/>
      <c r="H792" s="3519"/>
      <c r="I792" s="3520"/>
      <c r="J792" s="1344" t="s">
        <v>267</v>
      </c>
      <c r="K792" s="3519"/>
      <c r="L792" s="3519"/>
      <c r="M792" s="3519"/>
      <c r="N792" s="1372" t="s">
        <v>268</v>
      </c>
      <c r="O792" s="703"/>
      <c r="P792" s="703"/>
      <c r="Q792" s="61"/>
    </row>
    <row r="793" spans="1:29">
      <c r="A793" s="1346"/>
      <c r="B793" s="1347" t="s">
        <v>269</v>
      </c>
      <c r="C793" s="1346"/>
      <c r="D793" s="2152"/>
      <c r="E793" s="1242"/>
      <c r="F793" s="1242"/>
      <c r="G793" s="1182"/>
      <c r="H793" s="1174"/>
      <c r="I793" s="1275"/>
      <c r="J793" s="1459"/>
      <c r="K793" s="1152"/>
      <c r="L793" s="1165"/>
      <c r="M793" s="1090"/>
      <c r="N793" s="1441"/>
      <c r="Q793" s="711"/>
    </row>
    <row r="794" spans="1:29">
      <c r="A794" s="2153">
        <v>1</v>
      </c>
      <c r="B794" s="2154" t="s">
        <v>270</v>
      </c>
      <c r="C794" s="2155"/>
      <c r="D794" s="2213">
        <f t="shared" ref="D794:D834" si="112">+E794+F794+J794+N794</f>
        <v>0</v>
      </c>
      <c r="E794" s="2188"/>
      <c r="F794" s="2188"/>
      <c r="G794" s="2189"/>
      <c r="H794" s="2197"/>
      <c r="I794" s="2194"/>
      <c r="J794" s="2286">
        <f t="shared" ref="J794:J834" si="113">G794+H794+I794</f>
        <v>0</v>
      </c>
      <c r="K794" s="2222"/>
      <c r="L794" s="2188"/>
      <c r="M794" s="2193"/>
      <c r="N794" s="2195">
        <f>K794+L794+M794</f>
        <v>0</v>
      </c>
      <c r="O794" s="1149"/>
      <c r="P794" s="705"/>
      <c r="Q794" s="711"/>
      <c r="R794" s="706"/>
      <c r="S794" s="706"/>
      <c r="T794" s="706"/>
      <c r="U794" s="706"/>
      <c r="V794" s="706"/>
      <c r="W794" s="706"/>
      <c r="X794" s="706"/>
      <c r="Y794" s="706"/>
      <c r="Z794" s="706"/>
      <c r="AA794" s="706"/>
      <c r="AB794" s="706"/>
      <c r="AC794" s="706"/>
    </row>
    <row r="795" spans="1:29">
      <c r="A795" s="2153">
        <v>2</v>
      </c>
      <c r="B795" s="2154" t="s">
        <v>271</v>
      </c>
      <c r="C795" s="2155"/>
      <c r="D795" s="2213">
        <f t="shared" si="112"/>
        <v>0</v>
      </c>
      <c r="E795" s="2188"/>
      <c r="F795" s="2188"/>
      <c r="G795" s="2189"/>
      <c r="H795" s="2197"/>
      <c r="I795" s="2194"/>
      <c r="J795" s="2286">
        <f t="shared" si="113"/>
        <v>0</v>
      </c>
      <c r="K795" s="2222"/>
      <c r="L795" s="2188"/>
      <c r="M795" s="2193"/>
      <c r="N795" s="2195">
        <f t="shared" ref="N795:N834" si="114">K795+L795+M795</f>
        <v>0</v>
      </c>
      <c r="O795" s="1149"/>
      <c r="P795" s="705"/>
      <c r="Q795" s="711"/>
      <c r="R795" s="706"/>
      <c r="S795" s="706"/>
      <c r="T795" s="706"/>
      <c r="U795" s="706"/>
      <c r="V795" s="706"/>
      <c r="W795" s="706"/>
      <c r="X795" s="706"/>
      <c r="Y795" s="706"/>
      <c r="Z795" s="706"/>
      <c r="AA795" s="706"/>
      <c r="AB795" s="706"/>
      <c r="AC795" s="706"/>
    </row>
    <row r="796" spans="1:29">
      <c r="A796" s="2153">
        <v>3</v>
      </c>
      <c r="B796" s="2154" t="s">
        <v>272</v>
      </c>
      <c r="C796" s="2155"/>
      <c r="D796" s="2213">
        <f t="shared" si="112"/>
        <v>0</v>
      </c>
      <c r="E796" s="2188"/>
      <c r="F796" s="2188"/>
      <c r="G796" s="2189"/>
      <c r="H796" s="2197"/>
      <c r="I796" s="2194"/>
      <c r="J796" s="2286">
        <f t="shared" si="113"/>
        <v>0</v>
      </c>
      <c r="K796" s="2222"/>
      <c r="L796" s="2188"/>
      <c r="M796" s="2193"/>
      <c r="N796" s="2195">
        <f t="shared" si="114"/>
        <v>0</v>
      </c>
      <c r="O796" s="1149"/>
      <c r="P796" s="705"/>
      <c r="Q796" s="711"/>
      <c r="R796" s="706"/>
      <c r="S796" s="706"/>
      <c r="T796" s="706"/>
      <c r="U796" s="706"/>
      <c r="V796" s="706"/>
      <c r="W796" s="706"/>
      <c r="X796" s="706"/>
      <c r="Y796" s="706"/>
      <c r="Z796" s="706"/>
      <c r="AA796" s="706"/>
      <c r="AB796" s="706"/>
      <c r="AC796" s="706"/>
    </row>
    <row r="797" spans="1:29">
      <c r="A797" s="2153">
        <v>4</v>
      </c>
      <c r="B797" s="2154" t="s">
        <v>315</v>
      </c>
      <c r="C797" s="2155"/>
      <c r="D797" s="2213">
        <f t="shared" si="112"/>
        <v>389529.33934000006</v>
      </c>
      <c r="E797" s="2188"/>
      <c r="F797" s="2188">
        <v>0</v>
      </c>
      <c r="G797" s="2189">
        <v>338125.78639121598</v>
      </c>
      <c r="H797" s="2190">
        <v>51403.552948784098</v>
      </c>
      <c r="I797" s="2194"/>
      <c r="J797" s="2286">
        <f t="shared" si="113"/>
        <v>389529.33934000006</v>
      </c>
      <c r="K797" s="2222"/>
      <c r="L797" s="2188"/>
      <c r="M797" s="2193"/>
      <c r="N797" s="2195">
        <f t="shared" si="114"/>
        <v>0</v>
      </c>
      <c r="O797" s="1149"/>
      <c r="P797" s="705"/>
      <c r="R797" s="706"/>
      <c r="S797" s="706"/>
      <c r="T797" s="706"/>
      <c r="U797" s="706"/>
      <c r="V797" s="706"/>
      <c r="W797" s="706"/>
      <c r="X797" s="706"/>
      <c r="Y797" s="706"/>
      <c r="Z797" s="706"/>
      <c r="AA797" s="706"/>
      <c r="AB797" s="706"/>
      <c r="AC797" s="706"/>
    </row>
    <row r="798" spans="1:29">
      <c r="A798" s="2153">
        <v>5</v>
      </c>
      <c r="B798" s="2154" t="s">
        <v>274</v>
      </c>
      <c r="C798" s="2161">
        <v>5</v>
      </c>
      <c r="D798" s="2213">
        <f t="shared" si="112"/>
        <v>97939.5</v>
      </c>
      <c r="E798" s="2188"/>
      <c r="F798" s="2188">
        <v>97939.5</v>
      </c>
      <c r="G798" s="2189"/>
      <c r="H798" s="2197"/>
      <c r="I798" s="2194"/>
      <c r="J798" s="2286">
        <f t="shared" si="113"/>
        <v>0</v>
      </c>
      <c r="K798" s="2222"/>
      <c r="L798" s="2188"/>
      <c r="M798" s="2193"/>
      <c r="N798" s="2195">
        <f t="shared" si="114"/>
        <v>0</v>
      </c>
      <c r="O798" s="1149"/>
      <c r="P798" s="705"/>
      <c r="Q798" s="712"/>
      <c r="R798" s="706"/>
      <c r="S798" s="706"/>
      <c r="T798" s="706"/>
      <c r="U798" s="706"/>
      <c r="V798" s="706"/>
      <c r="W798" s="706"/>
      <c r="X798" s="706"/>
      <c r="Y798" s="706"/>
      <c r="Z798" s="706"/>
      <c r="AA798" s="706"/>
      <c r="AB798" s="706"/>
      <c r="AC798" s="706"/>
    </row>
    <row r="799" spans="1:29">
      <c r="A799" s="2153">
        <v>6</v>
      </c>
      <c r="B799" s="2154" t="s">
        <v>275</v>
      </c>
      <c r="C799" s="2155">
        <v>6</v>
      </c>
      <c r="D799" s="2213">
        <f t="shared" si="112"/>
        <v>0</v>
      </c>
      <c r="E799" s="2188"/>
      <c r="F799" s="2188"/>
      <c r="G799" s="2189"/>
      <c r="H799" s="2197"/>
      <c r="I799" s="2194"/>
      <c r="J799" s="2286">
        <f t="shared" si="113"/>
        <v>0</v>
      </c>
      <c r="K799" s="2222"/>
      <c r="L799" s="2188"/>
      <c r="M799" s="2193"/>
      <c r="N799" s="2195">
        <f t="shared" si="114"/>
        <v>0</v>
      </c>
      <c r="O799" s="1149"/>
      <c r="P799" s="705"/>
      <c r="Q799" s="711"/>
      <c r="R799" s="706"/>
      <c r="S799" s="706"/>
      <c r="T799" s="706"/>
      <c r="U799" s="706"/>
      <c r="V799" s="706"/>
      <c r="W799" s="706"/>
      <c r="X799" s="706"/>
      <c r="Y799" s="706"/>
      <c r="Z799" s="706"/>
      <c r="AA799" s="706"/>
      <c r="AB799" s="706"/>
      <c r="AC799" s="706"/>
    </row>
    <row r="800" spans="1:29">
      <c r="A800" s="2153">
        <v>7</v>
      </c>
      <c r="B800" s="2154" t="s">
        <v>276</v>
      </c>
      <c r="C800" s="2161">
        <v>7</v>
      </c>
      <c r="D800" s="2213">
        <f t="shared" si="112"/>
        <v>3296543.3689999999</v>
      </c>
      <c r="E800" s="2188"/>
      <c r="F800" s="2188">
        <f>F801+F802</f>
        <v>3296543.3689999999</v>
      </c>
      <c r="G800" s="2188">
        <f>G801+G802</f>
        <v>0</v>
      </c>
      <c r="H800" s="2193">
        <f>H801+H802</f>
        <v>0</v>
      </c>
      <c r="I800" s="2194">
        <f>I801+I802</f>
        <v>0</v>
      </c>
      <c r="J800" s="2286">
        <f t="shared" si="113"/>
        <v>0</v>
      </c>
      <c r="K800" s="2222">
        <f t="shared" ref="K800:M800" si="115">K801+K802</f>
        <v>0</v>
      </c>
      <c r="L800" s="2188">
        <f t="shared" si="115"/>
        <v>0</v>
      </c>
      <c r="M800" s="2193">
        <f t="shared" si="115"/>
        <v>0</v>
      </c>
      <c r="N800" s="2195">
        <f t="shared" si="114"/>
        <v>0</v>
      </c>
      <c r="O800" s="1149"/>
      <c r="P800" s="705"/>
      <c r="Q800" s="712"/>
      <c r="R800" s="706"/>
      <c r="S800" s="706"/>
      <c r="T800" s="706"/>
      <c r="U800" s="706"/>
      <c r="V800" s="706"/>
      <c r="W800" s="706"/>
      <c r="X800" s="706"/>
      <c r="Y800" s="706"/>
      <c r="Z800" s="706"/>
      <c r="AA800" s="706"/>
      <c r="AB800" s="706"/>
      <c r="AC800" s="706"/>
    </row>
    <row r="801" spans="1:29">
      <c r="A801" s="2155"/>
      <c r="B801" s="2162" t="s">
        <v>277</v>
      </c>
      <c r="C801" s="2161"/>
      <c r="D801" s="2213">
        <f t="shared" si="112"/>
        <v>0</v>
      </c>
      <c r="E801" s="2188"/>
      <c r="F801" s="2188"/>
      <c r="G801" s="2188"/>
      <c r="H801" s="2193"/>
      <c r="I801" s="2194"/>
      <c r="J801" s="2286">
        <f t="shared" si="113"/>
        <v>0</v>
      </c>
      <c r="K801" s="2222"/>
      <c r="L801" s="2188"/>
      <c r="M801" s="2193"/>
      <c r="N801" s="2195">
        <f t="shared" si="114"/>
        <v>0</v>
      </c>
      <c r="O801" s="1149"/>
      <c r="P801" s="705"/>
      <c r="Q801" s="712"/>
      <c r="R801" s="706"/>
      <c r="S801" s="706"/>
      <c r="T801" s="706"/>
      <c r="U801" s="706"/>
      <c r="V801" s="706"/>
      <c r="W801" s="706"/>
      <c r="X801" s="706"/>
      <c r="Y801" s="706"/>
      <c r="Z801" s="706"/>
      <c r="AA801" s="706"/>
      <c r="AB801" s="706"/>
      <c r="AC801" s="706"/>
    </row>
    <row r="802" spans="1:29">
      <c r="A802" s="2155"/>
      <c r="B802" s="2162" t="s">
        <v>278</v>
      </c>
      <c r="C802" s="2161"/>
      <c r="D802" s="2213">
        <f t="shared" si="112"/>
        <v>3296543.3689999999</v>
      </c>
      <c r="E802" s="2188"/>
      <c r="F802" s="2188">
        <v>3296543.3689999999</v>
      </c>
      <c r="G802" s="2189"/>
      <c r="H802" s="2197"/>
      <c r="I802" s="2194"/>
      <c r="J802" s="2286">
        <f t="shared" si="113"/>
        <v>0</v>
      </c>
      <c r="K802" s="2222"/>
      <c r="L802" s="2188"/>
      <c r="M802" s="2193"/>
      <c r="N802" s="2195">
        <f t="shared" si="114"/>
        <v>0</v>
      </c>
      <c r="O802" s="1149"/>
      <c r="P802" s="705"/>
      <c r="Q802" s="712"/>
      <c r="R802" s="706"/>
      <c r="S802" s="706"/>
      <c r="T802" s="706"/>
      <c r="U802" s="706"/>
      <c r="V802" s="706"/>
      <c r="W802" s="706"/>
      <c r="X802" s="706"/>
      <c r="Y802" s="706"/>
      <c r="Z802" s="706"/>
      <c r="AA802" s="706"/>
      <c r="AB802" s="706"/>
      <c r="AC802" s="706"/>
    </row>
    <row r="803" spans="1:29">
      <c r="A803" s="2153">
        <v>8</v>
      </c>
      <c r="B803" s="2154" t="s">
        <v>279</v>
      </c>
      <c r="C803" s="2155">
        <v>8</v>
      </c>
      <c r="D803" s="2213">
        <f t="shared" si="112"/>
        <v>0</v>
      </c>
      <c r="E803" s="2188"/>
      <c r="F803" s="2188">
        <f>F804+F805</f>
        <v>0</v>
      </c>
      <c r="G803" s="2188">
        <f>G804+G805</f>
        <v>0</v>
      </c>
      <c r="H803" s="2193">
        <f>H804+H805</f>
        <v>0</v>
      </c>
      <c r="I803" s="2194">
        <f>I804+I805</f>
        <v>0</v>
      </c>
      <c r="J803" s="2286">
        <f t="shared" si="113"/>
        <v>0</v>
      </c>
      <c r="K803" s="2222">
        <f t="shared" ref="K803:M803" si="116">K804+K805</f>
        <v>0</v>
      </c>
      <c r="L803" s="2188">
        <f t="shared" si="116"/>
        <v>0</v>
      </c>
      <c r="M803" s="2193">
        <f t="shared" si="116"/>
        <v>0</v>
      </c>
      <c r="N803" s="2195">
        <f t="shared" si="114"/>
        <v>0</v>
      </c>
      <c r="O803" s="1149"/>
      <c r="P803" s="705"/>
      <c r="Q803" s="711"/>
      <c r="R803" s="706"/>
      <c r="S803" s="706"/>
      <c r="T803" s="706"/>
      <c r="U803" s="706"/>
      <c r="V803" s="706"/>
      <c r="W803" s="706"/>
      <c r="X803" s="706"/>
      <c r="Y803" s="706"/>
      <c r="Z803" s="706"/>
      <c r="AA803" s="706"/>
      <c r="AB803" s="706"/>
      <c r="AC803" s="706"/>
    </row>
    <row r="804" spans="1:29">
      <c r="A804" s="2153"/>
      <c r="B804" s="2162" t="s">
        <v>280</v>
      </c>
      <c r="C804" s="2155"/>
      <c r="D804" s="2213">
        <f t="shared" si="112"/>
        <v>0</v>
      </c>
      <c r="E804" s="2188"/>
      <c r="F804" s="2188"/>
      <c r="G804" s="2188"/>
      <c r="H804" s="2193"/>
      <c r="I804" s="2194"/>
      <c r="J804" s="2286">
        <f t="shared" si="113"/>
        <v>0</v>
      </c>
      <c r="K804" s="2222"/>
      <c r="L804" s="2188"/>
      <c r="M804" s="2193"/>
      <c r="N804" s="2195">
        <f t="shared" si="114"/>
        <v>0</v>
      </c>
      <c r="O804" s="1149"/>
      <c r="P804" s="705"/>
      <c r="Q804" s="711"/>
      <c r="R804" s="706"/>
      <c r="S804" s="706"/>
      <c r="T804" s="706"/>
      <c r="U804" s="706"/>
      <c r="V804" s="706"/>
      <c r="W804" s="706"/>
      <c r="X804" s="706"/>
      <c r="Y804" s="706"/>
      <c r="Z804" s="706"/>
      <c r="AA804" s="706"/>
      <c r="AB804" s="706"/>
      <c r="AC804" s="706"/>
    </row>
    <row r="805" spans="1:29">
      <c r="A805" s="2153"/>
      <c r="B805" s="2162" t="s">
        <v>281</v>
      </c>
      <c r="C805" s="2155"/>
      <c r="D805" s="2213">
        <f t="shared" si="112"/>
        <v>0</v>
      </c>
      <c r="E805" s="2188"/>
      <c r="F805" s="2188"/>
      <c r="G805" s="2188"/>
      <c r="H805" s="2193"/>
      <c r="I805" s="2194"/>
      <c r="J805" s="2286">
        <f t="shared" si="113"/>
        <v>0</v>
      </c>
      <c r="K805" s="2222"/>
      <c r="L805" s="2188"/>
      <c r="M805" s="2193"/>
      <c r="N805" s="2195">
        <f t="shared" si="114"/>
        <v>0</v>
      </c>
      <c r="O805" s="1149"/>
      <c r="P805" s="705"/>
      <c r="Q805" s="712"/>
      <c r="R805" s="706"/>
      <c r="S805" s="706"/>
      <c r="T805" s="706"/>
      <c r="U805" s="706"/>
      <c r="V805" s="706"/>
      <c r="W805" s="706"/>
      <c r="X805" s="706"/>
      <c r="Y805" s="706"/>
      <c r="Z805" s="706"/>
      <c r="AA805" s="706"/>
      <c r="AB805" s="706"/>
      <c r="AC805" s="706"/>
    </row>
    <row r="806" spans="1:29" ht="25.5">
      <c r="A806" s="2163">
        <v>9</v>
      </c>
      <c r="B806" s="2164" t="s">
        <v>282</v>
      </c>
      <c r="C806" s="2165"/>
      <c r="D806" s="2230">
        <f t="shared" si="112"/>
        <v>163548020.49372998</v>
      </c>
      <c r="E806" s="2231">
        <f>SUM(E807:E810)</f>
        <v>0</v>
      </c>
      <c r="F806" s="2231">
        <f>SUM(F807:F810)</f>
        <v>12139906.351916887</v>
      </c>
      <c r="G806" s="2231">
        <f>SUM(G807:G810)</f>
        <v>137155346.60939479</v>
      </c>
      <c r="H806" s="2204">
        <f>SUM(H807:H810)</f>
        <v>14252767.532418311</v>
      </c>
      <c r="I806" s="2202">
        <f>SUM(I807:I810)</f>
        <v>0</v>
      </c>
      <c r="J806" s="2287">
        <f t="shared" si="113"/>
        <v>151408114.1418131</v>
      </c>
      <c r="K806" s="2250">
        <f>SUM(K807:K810)</f>
        <v>0</v>
      </c>
      <c r="L806" s="2231">
        <f>SUM(L807:L810)</f>
        <v>0</v>
      </c>
      <c r="M806" s="2204">
        <f>SUM(M807:M810)</f>
        <v>0</v>
      </c>
      <c r="N806" s="2205">
        <f t="shared" si="114"/>
        <v>0</v>
      </c>
      <c r="O806" s="1149"/>
      <c r="P806" s="705"/>
      <c r="Q806" s="711"/>
      <c r="R806" s="706"/>
      <c r="S806" s="706"/>
      <c r="T806" s="706"/>
      <c r="U806" s="706"/>
      <c r="V806" s="706"/>
      <c r="W806" s="706"/>
      <c r="X806" s="706"/>
      <c r="Y806" s="706"/>
      <c r="Z806" s="706"/>
      <c r="AA806" s="706"/>
      <c r="AB806" s="706"/>
      <c r="AC806" s="706"/>
    </row>
    <row r="807" spans="1:29">
      <c r="A807" s="2155">
        <v>10</v>
      </c>
      <c r="B807" s="2171" t="s">
        <v>283</v>
      </c>
      <c r="C807" s="2155">
        <v>9</v>
      </c>
      <c r="D807" s="2213">
        <f t="shared" si="112"/>
        <v>60399782.987599991</v>
      </c>
      <c r="E807" s="2188"/>
      <c r="F807" s="2188">
        <v>591269.49367999996</v>
      </c>
      <c r="G807" s="2189">
        <v>55893384.215918161</v>
      </c>
      <c r="H807" s="2197">
        <v>3915129.2780018291</v>
      </c>
      <c r="I807" s="2194"/>
      <c r="J807" s="2286">
        <f t="shared" si="113"/>
        <v>59808513.493919991</v>
      </c>
      <c r="K807" s="2222"/>
      <c r="L807" s="2188"/>
      <c r="M807" s="2193"/>
      <c r="N807" s="2195">
        <f t="shared" si="114"/>
        <v>0</v>
      </c>
      <c r="O807" s="1149"/>
      <c r="P807" s="705"/>
      <c r="Q807" s="711"/>
      <c r="R807" s="706"/>
      <c r="S807" s="706"/>
      <c r="T807" s="706"/>
      <c r="U807" s="706"/>
      <c r="V807" s="706"/>
      <c r="W807" s="706"/>
      <c r="X807" s="706"/>
      <c r="Y807" s="706"/>
      <c r="Z807" s="706"/>
      <c r="AA807" s="706"/>
      <c r="AB807" s="706"/>
      <c r="AC807" s="706"/>
    </row>
    <row r="808" spans="1:29">
      <c r="A808" s="2155">
        <v>11</v>
      </c>
      <c r="B808" s="2171" t="s">
        <v>284</v>
      </c>
      <c r="C808" s="2155">
        <v>10</v>
      </c>
      <c r="D808" s="2213">
        <f t="shared" si="112"/>
        <v>31897236.106849998</v>
      </c>
      <c r="E808" s="2188"/>
      <c r="F808" s="2188">
        <v>2508759.957326889</v>
      </c>
      <c r="G808" s="2189">
        <v>24111232.125483107</v>
      </c>
      <c r="H808" s="2190">
        <v>5277244.0240400005</v>
      </c>
      <c r="I808" s="2191"/>
      <c r="J808" s="2286">
        <f t="shared" si="113"/>
        <v>29388476.149523109</v>
      </c>
      <c r="K808" s="2222"/>
      <c r="L808" s="2188"/>
      <c r="M808" s="2193"/>
      <c r="N808" s="2195">
        <f t="shared" si="114"/>
        <v>0</v>
      </c>
      <c r="O808" s="1149"/>
      <c r="P808" s="705"/>
      <c r="Q808" s="711"/>
      <c r="R808" s="706"/>
      <c r="S808" s="706"/>
      <c r="T808" s="706"/>
      <c r="U808" s="706"/>
      <c r="V808" s="706"/>
      <c r="W808" s="706"/>
      <c r="X808" s="706"/>
      <c r="Y808" s="706"/>
      <c r="Z808" s="706"/>
      <c r="AA808" s="706"/>
      <c r="AB808" s="706"/>
      <c r="AC808" s="706"/>
    </row>
    <row r="809" spans="1:29">
      <c r="A809" s="2155">
        <v>12</v>
      </c>
      <c r="B809" s="2171" t="s">
        <v>285</v>
      </c>
      <c r="C809" s="2155">
        <v>11</v>
      </c>
      <c r="D809" s="2213">
        <f t="shared" si="112"/>
        <v>53600389.868189998</v>
      </c>
      <c r="E809" s="2188"/>
      <c r="F809" s="2188">
        <v>6231571.6369299982</v>
      </c>
      <c r="G809" s="2189">
        <v>44946867.665993251</v>
      </c>
      <c r="H809" s="2190">
        <v>2421950.5652667503</v>
      </c>
      <c r="I809" s="2191"/>
      <c r="J809" s="2286">
        <f t="shared" si="113"/>
        <v>47368818.231260002</v>
      </c>
      <c r="K809" s="2222"/>
      <c r="L809" s="2188"/>
      <c r="M809" s="2193"/>
      <c r="N809" s="2195">
        <f t="shared" si="114"/>
        <v>0</v>
      </c>
      <c r="O809" s="1149"/>
      <c r="P809" s="705"/>
      <c r="Q809" s="711"/>
      <c r="R809" s="706"/>
      <c r="S809" s="706"/>
      <c r="T809" s="706"/>
      <c r="U809" s="706"/>
      <c r="V809" s="706"/>
      <c r="W809" s="706"/>
      <c r="X809" s="706"/>
      <c r="Y809" s="706"/>
      <c r="Z809" s="706"/>
      <c r="AA809" s="706"/>
      <c r="AB809" s="706"/>
      <c r="AC809" s="706"/>
    </row>
    <row r="810" spans="1:29" ht="25.5">
      <c r="A810" s="2155">
        <v>13</v>
      </c>
      <c r="B810" s="2171" t="s">
        <v>286</v>
      </c>
      <c r="C810" s="2155">
        <v>12</v>
      </c>
      <c r="D810" s="2213">
        <f t="shared" si="112"/>
        <v>17650611.531089999</v>
      </c>
      <c r="E810" s="2188"/>
      <c r="F810" s="2188">
        <v>2808305.2639799998</v>
      </c>
      <c r="G810" s="2189">
        <v>12203862.602000268</v>
      </c>
      <c r="H810" s="2190">
        <v>2638443.6651097313</v>
      </c>
      <c r="I810" s="2191"/>
      <c r="J810" s="2286">
        <f t="shared" si="113"/>
        <v>14842306.267109999</v>
      </c>
      <c r="K810" s="2222"/>
      <c r="L810" s="2188"/>
      <c r="M810" s="2193"/>
      <c r="N810" s="2195">
        <f t="shared" si="114"/>
        <v>0</v>
      </c>
      <c r="O810" s="1149"/>
      <c r="P810" s="705"/>
      <c r="Q810" s="711"/>
      <c r="R810" s="706"/>
      <c r="S810" s="706"/>
      <c r="T810" s="706"/>
      <c r="U810" s="706"/>
      <c r="V810" s="706"/>
      <c r="W810" s="706"/>
      <c r="X810" s="706"/>
      <c r="Y810" s="706"/>
      <c r="Z810" s="706"/>
      <c r="AA810" s="706"/>
      <c r="AB810" s="706"/>
      <c r="AC810" s="706"/>
    </row>
    <row r="811" spans="1:29">
      <c r="A811" s="2155">
        <v>14</v>
      </c>
      <c r="B811" s="2154" t="s">
        <v>287</v>
      </c>
      <c r="C811" s="2155">
        <v>13</v>
      </c>
      <c r="D811" s="2213">
        <f t="shared" si="112"/>
        <v>1520439.2716600003</v>
      </c>
      <c r="E811" s="2188"/>
      <c r="F811" s="2188"/>
      <c r="G811" s="2188">
        <v>1519280.5261322304</v>
      </c>
      <c r="H811" s="2190">
        <v>1158.7455277697964</v>
      </c>
      <c r="I811" s="2194"/>
      <c r="J811" s="2286">
        <f t="shared" si="113"/>
        <v>1520439.2716600003</v>
      </c>
      <c r="K811" s="2222"/>
      <c r="L811" s="2188"/>
      <c r="M811" s="2193"/>
      <c r="N811" s="2195">
        <f t="shared" si="114"/>
        <v>0</v>
      </c>
      <c r="O811" s="1149"/>
      <c r="P811" s="705"/>
      <c r="Q811" s="712"/>
      <c r="R811" s="706"/>
      <c r="S811" s="706"/>
      <c r="T811" s="706"/>
      <c r="U811" s="706"/>
      <c r="V811" s="706"/>
      <c r="W811" s="706"/>
      <c r="X811" s="706"/>
      <c r="Y811" s="706"/>
      <c r="Z811" s="706"/>
      <c r="AA811" s="706"/>
      <c r="AB811" s="706"/>
      <c r="AC811" s="706"/>
    </row>
    <row r="812" spans="1:29">
      <c r="A812" s="2155">
        <v>15</v>
      </c>
      <c r="B812" s="2154" t="s">
        <v>288</v>
      </c>
      <c r="C812" s="2161">
        <v>14</v>
      </c>
      <c r="D812" s="2213">
        <f t="shared" si="112"/>
        <v>827252.99716999999</v>
      </c>
      <c r="E812" s="2188"/>
      <c r="F812" s="2188"/>
      <c r="G812" s="2188">
        <v>718086.0129471462</v>
      </c>
      <c r="H812" s="2190">
        <v>109166.98422285382</v>
      </c>
      <c r="I812" s="2194"/>
      <c r="J812" s="2286">
        <f t="shared" si="113"/>
        <v>827252.99716999999</v>
      </c>
      <c r="K812" s="2222"/>
      <c r="L812" s="2188"/>
      <c r="M812" s="2193"/>
      <c r="N812" s="2195">
        <f t="shared" si="114"/>
        <v>0</v>
      </c>
      <c r="O812" s="1149"/>
      <c r="P812" s="705"/>
      <c r="Q812" s="711"/>
      <c r="R812" s="706"/>
      <c r="S812" s="706"/>
      <c r="T812" s="706"/>
      <c r="U812" s="706"/>
      <c r="V812" s="706"/>
      <c r="W812" s="706"/>
      <c r="X812" s="706"/>
      <c r="Y812" s="706"/>
      <c r="Z812" s="706"/>
      <c r="AA812" s="706"/>
      <c r="AB812" s="706"/>
      <c r="AC812" s="706"/>
    </row>
    <row r="813" spans="1:29">
      <c r="A813" s="2155">
        <v>16</v>
      </c>
      <c r="B813" s="2154" t="s">
        <v>289</v>
      </c>
      <c r="C813" s="2155">
        <v>15</v>
      </c>
      <c r="D813" s="2213">
        <f t="shared" si="112"/>
        <v>507391.39117999998</v>
      </c>
      <c r="E813" s="2188"/>
      <c r="F813" s="2188"/>
      <c r="G813" s="2188">
        <v>440434.3802229563</v>
      </c>
      <c r="H813" s="2190">
        <v>66957.010957043676</v>
      </c>
      <c r="I813" s="2194"/>
      <c r="J813" s="2286">
        <f t="shared" si="113"/>
        <v>507391.39117999998</v>
      </c>
      <c r="K813" s="2222"/>
      <c r="L813" s="2188"/>
      <c r="M813" s="2193"/>
      <c r="N813" s="2195">
        <f t="shared" si="114"/>
        <v>0</v>
      </c>
      <c r="O813" s="1149"/>
      <c r="P813" s="705"/>
      <c r="Q813" s="712"/>
      <c r="R813" s="706"/>
      <c r="S813" s="706"/>
      <c r="T813" s="706"/>
      <c r="U813" s="706"/>
      <c r="V813" s="706"/>
      <c r="W813" s="706"/>
      <c r="X813" s="706"/>
      <c r="Y813" s="706"/>
      <c r="Z813" s="706"/>
      <c r="AA813" s="706"/>
      <c r="AB813" s="706"/>
      <c r="AC813" s="706"/>
    </row>
    <row r="814" spans="1:29">
      <c r="A814" s="2155">
        <v>17</v>
      </c>
      <c r="B814" s="2154" t="s">
        <v>290</v>
      </c>
      <c r="C814" s="2161">
        <v>16</v>
      </c>
      <c r="D814" s="2213">
        <f t="shared" si="112"/>
        <v>3544028.6682799961</v>
      </c>
      <c r="E814" s="2188"/>
      <c r="F814" s="2188">
        <v>263964.87056000001</v>
      </c>
      <c r="G814" s="2189">
        <f>2846744.1564273</f>
        <v>2846744.1564273001</v>
      </c>
      <c r="H814" s="2190">
        <f>433319.641292696</f>
        <v>433319.641292696</v>
      </c>
      <c r="I814" s="2191"/>
      <c r="J814" s="2286">
        <f t="shared" si="113"/>
        <v>3280063.797719996</v>
      </c>
      <c r="K814" s="2222"/>
      <c r="L814" s="2188"/>
      <c r="M814" s="2193"/>
      <c r="N814" s="2195">
        <f t="shared" si="114"/>
        <v>0</v>
      </c>
      <c r="O814" s="1149"/>
      <c r="P814" s="705"/>
      <c r="Q814" s="712"/>
      <c r="R814" s="706"/>
      <c r="S814" s="706"/>
      <c r="T814" s="706"/>
      <c r="U814" s="706"/>
      <c r="V814" s="706"/>
      <c r="W814" s="706"/>
      <c r="X814" s="706"/>
      <c r="Y814" s="706"/>
      <c r="Z814" s="706"/>
      <c r="AA814" s="706"/>
      <c r="AB814" s="706"/>
      <c r="AC814" s="706"/>
    </row>
    <row r="815" spans="1:29">
      <c r="A815" s="2155">
        <v>18</v>
      </c>
      <c r="B815" s="2154" t="s">
        <v>291</v>
      </c>
      <c r="C815" s="2155"/>
      <c r="D815" s="2213">
        <f t="shared" si="112"/>
        <v>0</v>
      </c>
      <c r="E815" s="2188"/>
      <c r="F815" s="2188">
        <v>0</v>
      </c>
      <c r="G815" s="2188"/>
      <c r="H815" s="2193"/>
      <c r="I815" s="2194"/>
      <c r="J815" s="2286">
        <f t="shared" si="113"/>
        <v>0</v>
      </c>
      <c r="K815" s="2222"/>
      <c r="L815" s="2188"/>
      <c r="M815" s="2193"/>
      <c r="N815" s="2195">
        <f t="shared" si="114"/>
        <v>0</v>
      </c>
      <c r="O815" s="1149"/>
      <c r="P815" s="705"/>
      <c r="Q815" s="711"/>
      <c r="R815" s="706"/>
      <c r="S815" s="706"/>
      <c r="T815" s="706"/>
      <c r="U815" s="706"/>
      <c r="V815" s="706"/>
      <c r="W815" s="706"/>
      <c r="X815" s="706"/>
      <c r="Y815" s="706"/>
      <c r="Z815" s="706"/>
      <c r="AA815" s="706"/>
      <c r="AB815" s="706"/>
      <c r="AC815" s="706"/>
    </row>
    <row r="816" spans="1:29" ht="13.5" thickBot="1">
      <c r="A816" s="2172">
        <v>19</v>
      </c>
      <c r="B816" s="2173" t="s">
        <v>292</v>
      </c>
      <c r="C816" s="2172"/>
      <c r="D816" s="1388">
        <f t="shared" si="112"/>
        <v>10788602.625</v>
      </c>
      <c r="E816" s="1176"/>
      <c r="F816" s="1176">
        <v>3480935.8335564681</v>
      </c>
      <c r="G816" s="1208">
        <v>1053157.0153612995</v>
      </c>
      <c r="H816" s="2210">
        <v>6254509.7760822326</v>
      </c>
      <c r="I816" s="1458"/>
      <c r="J816" s="1460">
        <f t="shared" si="113"/>
        <v>7307666.7914435323</v>
      </c>
      <c r="K816" s="2248"/>
      <c r="L816" s="1176"/>
      <c r="M816" s="1177"/>
      <c r="N816" s="2215">
        <f t="shared" si="114"/>
        <v>0</v>
      </c>
      <c r="O816" s="1149"/>
      <c r="P816" s="705"/>
      <c r="Q816" s="711"/>
      <c r="R816" s="706"/>
      <c r="S816" s="706"/>
      <c r="T816" s="706"/>
      <c r="U816" s="706"/>
      <c r="V816" s="706"/>
      <c r="W816" s="706"/>
      <c r="X816" s="706"/>
      <c r="Y816" s="706"/>
      <c r="Z816" s="706"/>
      <c r="AA816" s="706"/>
      <c r="AB816" s="706"/>
      <c r="AC816" s="706"/>
    </row>
    <row r="817" spans="1:29" ht="26.25" thickBot="1">
      <c r="A817" s="1351">
        <v>20</v>
      </c>
      <c r="B817" s="1352" t="s">
        <v>293</v>
      </c>
      <c r="C817" s="1351"/>
      <c r="D817" s="1378">
        <f t="shared" si="112"/>
        <v>184519747.65536001</v>
      </c>
      <c r="E817" s="1378">
        <f>SUM(E794:E800)+E803+E806+SUM(E811:E816)</f>
        <v>0</v>
      </c>
      <c r="F817" s="1378">
        <f>SUM(F794:F800)+F803+F806+SUM(F811:F816)</f>
        <v>19279289.925033353</v>
      </c>
      <c r="G817" s="1378">
        <f>SUM(G794:G800)+G803+G806+SUM(G811:G816)</f>
        <v>144071174.48687696</v>
      </c>
      <c r="H817" s="1379">
        <f>SUM(H794:H800)+H803+H806+SUM(H811:H816)</f>
        <v>21169283.243449692</v>
      </c>
      <c r="I817" s="1464">
        <f>SUM(I794:I800)+I803+I806+SUM(I811:I816)</f>
        <v>0</v>
      </c>
      <c r="J817" s="1378">
        <f t="shared" si="113"/>
        <v>165240457.73032665</v>
      </c>
      <c r="K817" s="1378">
        <f>SUM(K794:K800)+K803+K806+SUM(K811:K816)</f>
        <v>0</v>
      </c>
      <c r="L817" s="1378">
        <f>SUM(L794:L800)+L803+L806+SUM(L811:L816)</f>
        <v>0</v>
      </c>
      <c r="M817" s="1379">
        <f>SUM(M794:M800)+M803+M806+SUM(M811:M816)</f>
        <v>0</v>
      </c>
      <c r="N817" s="1380">
        <f t="shared" si="114"/>
        <v>0</v>
      </c>
      <c r="O817" s="1149"/>
      <c r="P817" s="705"/>
      <c r="Q817" s="711"/>
      <c r="R817" s="706"/>
      <c r="S817" s="706"/>
      <c r="T817" s="706"/>
      <c r="U817" s="706"/>
      <c r="V817" s="706"/>
      <c r="W817" s="706"/>
      <c r="X817" s="706"/>
      <c r="Y817" s="706"/>
      <c r="Z817" s="706"/>
      <c r="AA817" s="706"/>
      <c r="AB817" s="706"/>
      <c r="AC817" s="706"/>
    </row>
    <row r="818" spans="1:29">
      <c r="A818" s="1346"/>
      <c r="B818" s="1347" t="s">
        <v>294</v>
      </c>
      <c r="C818" s="1346"/>
      <c r="D818" s="1387">
        <f t="shared" si="112"/>
        <v>0</v>
      </c>
      <c r="E818" s="1171"/>
      <c r="F818" s="1171"/>
      <c r="G818" s="1182"/>
      <c r="H818" s="1174"/>
      <c r="I818" s="1194"/>
      <c r="J818" s="1395">
        <f t="shared" si="113"/>
        <v>0</v>
      </c>
      <c r="K818" s="1171"/>
      <c r="L818" s="1171"/>
      <c r="M818" s="1172"/>
      <c r="N818" s="1401">
        <f t="shared" si="114"/>
        <v>0</v>
      </c>
      <c r="O818" s="1149"/>
      <c r="P818" s="705"/>
      <c r="Q818" s="711"/>
      <c r="R818" s="706"/>
      <c r="S818" s="706"/>
      <c r="T818" s="706"/>
      <c r="U818" s="706"/>
      <c r="V818" s="706"/>
      <c r="W818" s="706"/>
      <c r="X818" s="706"/>
      <c r="Y818" s="706"/>
      <c r="Z818" s="706"/>
      <c r="AA818" s="706"/>
      <c r="AB818" s="706"/>
      <c r="AC818" s="706"/>
    </row>
    <row r="819" spans="1:29">
      <c r="A819" s="2155"/>
      <c r="B819" s="2175" t="s">
        <v>295</v>
      </c>
      <c r="C819" s="2155"/>
      <c r="D819" s="2213">
        <f t="shared" si="112"/>
        <v>0</v>
      </c>
      <c r="E819" s="2188"/>
      <c r="F819" s="2188"/>
      <c r="G819" s="2189"/>
      <c r="H819" s="2197"/>
      <c r="I819" s="2222"/>
      <c r="J819" s="2214">
        <f t="shared" si="113"/>
        <v>0</v>
      </c>
      <c r="K819" s="2188"/>
      <c r="L819" s="2188"/>
      <c r="M819" s="2193"/>
      <c r="N819" s="2195">
        <f t="shared" si="114"/>
        <v>0</v>
      </c>
      <c r="O819" s="1149"/>
      <c r="P819" s="705"/>
      <c r="Q819" s="711"/>
      <c r="R819" s="706"/>
      <c r="S819" s="706"/>
      <c r="T819" s="706"/>
      <c r="U819" s="706"/>
      <c r="V819" s="706"/>
      <c r="W819" s="706"/>
      <c r="X819" s="706"/>
      <c r="Y819" s="706"/>
      <c r="Z819" s="706"/>
      <c r="AA819" s="706"/>
      <c r="AB819" s="706"/>
      <c r="AC819" s="706"/>
    </row>
    <row r="820" spans="1:29">
      <c r="A820" s="2155">
        <v>21</v>
      </c>
      <c r="B820" s="2154" t="s">
        <v>296</v>
      </c>
      <c r="C820" s="2161">
        <v>17</v>
      </c>
      <c r="D820" s="2213">
        <f t="shared" si="112"/>
        <v>156074136.91562524</v>
      </c>
      <c r="E820" s="2188"/>
      <c r="F820" s="2188">
        <v>0</v>
      </c>
      <c r="G820" s="2189">
        <v>136114468.59754717</v>
      </c>
      <c r="H820" s="2197">
        <v>19959668.318078078</v>
      </c>
      <c r="I820" s="2222"/>
      <c r="J820" s="2214">
        <f t="shared" si="113"/>
        <v>156074136.91562524</v>
      </c>
      <c r="K820" s="2188"/>
      <c r="L820" s="2188"/>
      <c r="M820" s="2193"/>
      <c r="N820" s="2195">
        <f t="shared" si="114"/>
        <v>0</v>
      </c>
      <c r="O820" s="1149"/>
      <c r="P820" s="705"/>
      <c r="Q820" s="712"/>
      <c r="R820" s="706"/>
      <c r="S820" s="706"/>
      <c r="T820" s="706"/>
      <c r="U820" s="706"/>
      <c r="V820" s="706"/>
      <c r="W820" s="706"/>
      <c r="X820" s="706"/>
      <c r="Y820" s="706"/>
      <c r="Z820" s="706"/>
      <c r="AA820" s="706"/>
      <c r="AB820" s="706"/>
      <c r="AC820" s="706"/>
    </row>
    <row r="821" spans="1:29">
      <c r="A821" s="2155">
        <v>22</v>
      </c>
      <c r="B821" s="2154" t="s">
        <v>297</v>
      </c>
      <c r="C821" s="2155"/>
      <c r="D821" s="2213">
        <f t="shared" si="112"/>
        <v>917180.53772000002</v>
      </c>
      <c r="E821" s="2188"/>
      <c r="F821" s="2188">
        <v>0</v>
      </c>
      <c r="G821" s="2189">
        <v>796146.42405306338</v>
      </c>
      <c r="H821" s="2197">
        <v>121034.11366693668</v>
      </c>
      <c r="I821" s="2222"/>
      <c r="J821" s="2214">
        <f t="shared" si="113"/>
        <v>917180.53772000002</v>
      </c>
      <c r="K821" s="2188"/>
      <c r="L821" s="2188"/>
      <c r="M821" s="2193"/>
      <c r="N821" s="2195">
        <f t="shared" si="114"/>
        <v>0</v>
      </c>
      <c r="O821" s="1149"/>
      <c r="P821" s="705"/>
      <c r="Q821" s="711"/>
      <c r="R821" s="706"/>
      <c r="S821" s="706"/>
      <c r="T821" s="706"/>
      <c r="U821" s="706"/>
      <c r="V821" s="706"/>
      <c r="W821" s="706"/>
      <c r="X821" s="706"/>
      <c r="Y821" s="706"/>
      <c r="Z821" s="706"/>
      <c r="AA821" s="706"/>
      <c r="AB821" s="706"/>
      <c r="AC821" s="706"/>
    </row>
    <row r="822" spans="1:29">
      <c r="A822" s="2155">
        <v>23</v>
      </c>
      <c r="B822" s="2154" t="s">
        <v>298</v>
      </c>
      <c r="C822" s="2155">
        <v>18</v>
      </c>
      <c r="D822" s="2213">
        <f t="shared" si="112"/>
        <v>1094167.2138243949</v>
      </c>
      <c r="E822" s="2188"/>
      <c r="F822" s="2188">
        <v>0</v>
      </c>
      <c r="G822" s="2189">
        <v>949777.3652806544</v>
      </c>
      <c r="H822" s="2197">
        <v>144389.84854374043</v>
      </c>
      <c r="I822" s="2222"/>
      <c r="J822" s="2214">
        <f t="shared" si="113"/>
        <v>1094167.2138243949</v>
      </c>
      <c r="K822" s="2188"/>
      <c r="L822" s="2188"/>
      <c r="M822" s="2193"/>
      <c r="N822" s="2195">
        <f t="shared" si="114"/>
        <v>0</v>
      </c>
      <c r="O822" s="1149"/>
      <c r="P822" s="705"/>
      <c r="Q822" s="711"/>
      <c r="R822" s="706"/>
      <c r="S822" s="706"/>
      <c r="T822" s="706"/>
      <c r="U822" s="706"/>
      <c r="V822" s="706"/>
      <c r="W822" s="706"/>
      <c r="X822" s="706"/>
      <c r="Y822" s="706"/>
      <c r="Z822" s="706"/>
      <c r="AA822" s="706"/>
      <c r="AB822" s="706"/>
      <c r="AC822" s="706"/>
    </row>
    <row r="823" spans="1:29">
      <c r="A823" s="2155">
        <v>24</v>
      </c>
      <c r="B823" s="2154" t="s">
        <v>299</v>
      </c>
      <c r="C823" s="2155"/>
      <c r="D823" s="2213">
        <f t="shared" si="112"/>
        <v>0</v>
      </c>
      <c r="E823" s="2188"/>
      <c r="F823" s="2188"/>
      <c r="G823" s="2189"/>
      <c r="H823" s="2197"/>
      <c r="I823" s="2222"/>
      <c r="J823" s="2214">
        <f t="shared" si="113"/>
        <v>0</v>
      </c>
      <c r="K823" s="2188"/>
      <c r="L823" s="2188"/>
      <c r="M823" s="2193"/>
      <c r="N823" s="2195">
        <f t="shared" si="114"/>
        <v>0</v>
      </c>
      <c r="O823" s="1149"/>
      <c r="P823" s="705"/>
      <c r="Q823" s="711"/>
      <c r="R823" s="706"/>
      <c r="S823" s="706"/>
      <c r="T823" s="706"/>
      <c r="U823" s="706"/>
      <c r="V823" s="706"/>
      <c r="W823" s="706"/>
      <c r="X823" s="706"/>
      <c r="Y823" s="706"/>
      <c r="Z823" s="706"/>
      <c r="AA823" s="706"/>
      <c r="AB823" s="706"/>
      <c r="AC823" s="706"/>
    </row>
    <row r="824" spans="1:29">
      <c r="A824" s="2155">
        <v>25</v>
      </c>
      <c r="B824" s="2176" t="s">
        <v>300</v>
      </c>
      <c r="C824" s="2155"/>
      <c r="D824" s="2213">
        <f t="shared" si="112"/>
        <v>0</v>
      </c>
      <c r="E824" s="2188"/>
      <c r="F824" s="2188"/>
      <c r="G824" s="2189"/>
      <c r="H824" s="2197"/>
      <c r="I824" s="2222"/>
      <c r="J824" s="2214">
        <f t="shared" si="113"/>
        <v>0</v>
      </c>
      <c r="K824" s="2188"/>
      <c r="L824" s="2188"/>
      <c r="M824" s="2193"/>
      <c r="N824" s="2195">
        <f t="shared" si="114"/>
        <v>0</v>
      </c>
      <c r="O824" s="1149"/>
      <c r="P824" s="705"/>
      <c r="Q824" s="711"/>
      <c r="R824" s="706"/>
      <c r="S824" s="706"/>
      <c r="T824" s="706"/>
      <c r="U824" s="706"/>
      <c r="V824" s="706"/>
      <c r="W824" s="706"/>
      <c r="X824" s="706"/>
      <c r="Y824" s="706"/>
      <c r="Z824" s="706"/>
      <c r="AA824" s="706"/>
      <c r="AB824" s="706"/>
      <c r="AC824" s="706"/>
    </row>
    <row r="825" spans="1:29" ht="13.5" thickBot="1">
      <c r="A825" s="2172">
        <v>26</v>
      </c>
      <c r="B825" s="2173" t="s">
        <v>301</v>
      </c>
      <c r="C825" s="2177">
        <v>19</v>
      </c>
      <c r="D825" s="1388">
        <f t="shared" si="112"/>
        <v>8232575.3803556059</v>
      </c>
      <c r="E825" s="1176"/>
      <c r="F825" s="1176">
        <v>1144762.4512266</v>
      </c>
      <c r="G825" s="1208">
        <f>5761598.64852682+390883.535526917</f>
        <v>6152482.1840537377</v>
      </c>
      <c r="H825" s="1209">
        <f>875906.698392186+59424.0466830831</f>
        <v>935330.74507526902</v>
      </c>
      <c r="I825" s="2247"/>
      <c r="J825" s="1396">
        <f t="shared" si="113"/>
        <v>7087812.9291290063</v>
      </c>
      <c r="K825" s="1176"/>
      <c r="L825" s="1176"/>
      <c r="M825" s="1177"/>
      <c r="N825" s="2215">
        <f t="shared" si="114"/>
        <v>0</v>
      </c>
      <c r="O825" s="1149"/>
      <c r="P825" s="705"/>
      <c r="Q825" s="712"/>
      <c r="R825" s="706"/>
      <c r="S825" s="706"/>
      <c r="T825" s="706"/>
      <c r="U825" s="706"/>
      <c r="V825" s="706"/>
      <c r="W825" s="706"/>
      <c r="X825" s="706"/>
      <c r="Y825" s="706"/>
      <c r="Z825" s="706"/>
      <c r="AA825" s="706"/>
      <c r="AB825" s="706"/>
      <c r="AC825" s="706"/>
    </row>
    <row r="826" spans="1:29" ht="30.75" customHeight="1" thickBot="1">
      <c r="A826" s="1348">
        <v>27</v>
      </c>
      <c r="B826" s="1349" t="s">
        <v>302</v>
      </c>
      <c r="C826" s="1348"/>
      <c r="D826" s="1389">
        <f t="shared" si="112"/>
        <v>166318060.04752529</v>
      </c>
      <c r="E826" s="1181">
        <f>SUM(E820:E825)</f>
        <v>0</v>
      </c>
      <c r="F826" s="1181">
        <f>SUM(F820:F825)</f>
        <v>1144762.4512266</v>
      </c>
      <c r="G826" s="1181">
        <f>SUM(G820:G825)</f>
        <v>144012874.57093465</v>
      </c>
      <c r="H826" s="1181">
        <f>SUM(H820:H825)</f>
        <v>21160423.025364026</v>
      </c>
      <c r="I826" s="1181">
        <f>SUM(I820:I825)</f>
        <v>0</v>
      </c>
      <c r="J826" s="1400">
        <f t="shared" si="113"/>
        <v>165173297.59629869</v>
      </c>
      <c r="K826" s="1181">
        <f>SUM(K820:K825)</f>
        <v>0</v>
      </c>
      <c r="L826" s="1181">
        <f>SUM(L820:L825)</f>
        <v>0</v>
      </c>
      <c r="M826" s="1185">
        <f>SUM(M820:M825)</f>
        <v>0</v>
      </c>
      <c r="N826" s="1400">
        <f t="shared" si="114"/>
        <v>0</v>
      </c>
      <c r="O826" s="1149"/>
      <c r="P826" s="705"/>
      <c r="Q826" s="712"/>
      <c r="R826" s="706"/>
      <c r="S826" s="706"/>
      <c r="T826" s="706"/>
      <c r="U826" s="706"/>
      <c r="V826" s="706"/>
      <c r="W826" s="706"/>
      <c r="X826" s="706"/>
      <c r="Y826" s="706"/>
      <c r="Z826" s="706"/>
      <c r="AA826" s="706"/>
      <c r="AB826" s="706"/>
      <c r="AC826" s="706"/>
    </row>
    <row r="827" spans="1:29">
      <c r="A827" s="1346"/>
      <c r="B827" s="1347" t="s">
        <v>303</v>
      </c>
      <c r="C827" s="1346">
        <v>20</v>
      </c>
      <c r="D827" s="1387">
        <f t="shared" si="112"/>
        <v>0</v>
      </c>
      <c r="E827" s="1171"/>
      <c r="F827" s="1171"/>
      <c r="G827" s="1182"/>
      <c r="H827" s="1174"/>
      <c r="I827" s="1194"/>
      <c r="J827" s="1395">
        <f t="shared" si="113"/>
        <v>0</v>
      </c>
      <c r="K827" s="1171"/>
      <c r="L827" s="1171"/>
      <c r="M827" s="1172"/>
      <c r="N827" s="1401">
        <f t="shared" si="114"/>
        <v>0</v>
      </c>
      <c r="O827" s="1149"/>
      <c r="P827" s="705"/>
      <c r="Q827" s="711"/>
      <c r="R827" s="706"/>
      <c r="S827" s="706"/>
      <c r="T827" s="706"/>
      <c r="U827" s="706"/>
      <c r="V827" s="706"/>
      <c r="W827" s="706"/>
      <c r="X827" s="706"/>
      <c r="Y827" s="706"/>
      <c r="Z827" s="706"/>
      <c r="AA827" s="706"/>
      <c r="AB827" s="706"/>
      <c r="AC827" s="706"/>
    </row>
    <row r="828" spans="1:29">
      <c r="A828" s="2155">
        <v>28</v>
      </c>
      <c r="B828" s="2154" t="s">
        <v>304</v>
      </c>
      <c r="C828" s="2161"/>
      <c r="D828" s="2213">
        <f t="shared" si="112"/>
        <v>3260333.1994100004</v>
      </c>
      <c r="E828" s="2188"/>
      <c r="F828" s="2188">
        <v>3146247.0694400002</v>
      </c>
      <c r="G828" s="2189">
        <v>99030.954838465172</v>
      </c>
      <c r="H828" s="2197">
        <v>15055.175131534836</v>
      </c>
      <c r="I828" s="2222"/>
      <c r="J828" s="2214">
        <f t="shared" si="113"/>
        <v>114086.12997000001</v>
      </c>
      <c r="K828" s="2188"/>
      <c r="L828" s="2188"/>
      <c r="M828" s="2193"/>
      <c r="N828" s="2195">
        <f t="shared" si="114"/>
        <v>0</v>
      </c>
      <c r="O828" s="1149"/>
      <c r="P828" s="705"/>
      <c r="Q828" s="711"/>
      <c r="R828" s="706"/>
      <c r="S828" s="706"/>
      <c r="T828" s="706"/>
      <c r="U828" s="706"/>
      <c r="V828" s="706"/>
      <c r="W828" s="706"/>
      <c r="X828" s="706"/>
      <c r="Y828" s="706"/>
      <c r="Z828" s="706"/>
      <c r="AA828" s="706"/>
      <c r="AB828" s="706"/>
      <c r="AC828" s="706"/>
    </row>
    <row r="829" spans="1:29">
      <c r="A829" s="2155">
        <v>29</v>
      </c>
      <c r="B829" s="2154" t="s">
        <v>305</v>
      </c>
      <c r="C829" s="2161"/>
      <c r="D829" s="2213">
        <f t="shared" si="112"/>
        <v>71672.755080000003</v>
      </c>
      <c r="E829" s="2188"/>
      <c r="F829" s="2188">
        <v>71672.755080000003</v>
      </c>
      <c r="G829" s="2189">
        <v>0</v>
      </c>
      <c r="H829" s="2197">
        <v>0</v>
      </c>
      <c r="I829" s="2222"/>
      <c r="J829" s="2214">
        <f t="shared" si="113"/>
        <v>0</v>
      </c>
      <c r="K829" s="2188"/>
      <c r="L829" s="2188"/>
      <c r="M829" s="2193"/>
      <c r="N829" s="2195">
        <f t="shared" si="114"/>
        <v>0</v>
      </c>
      <c r="O829" s="1149"/>
      <c r="P829" s="705"/>
      <c r="Q829" s="712"/>
      <c r="R829" s="706"/>
      <c r="S829" s="706"/>
      <c r="T829" s="706"/>
      <c r="U829" s="706"/>
      <c r="V829" s="706"/>
      <c r="W829" s="706"/>
      <c r="X829" s="706"/>
      <c r="Y829" s="706"/>
      <c r="Z829" s="706"/>
      <c r="AA829" s="706"/>
      <c r="AB829" s="706"/>
      <c r="AC829" s="706"/>
    </row>
    <row r="830" spans="1:29">
      <c r="A830" s="2155">
        <v>30</v>
      </c>
      <c r="B830" s="2173" t="s">
        <v>306</v>
      </c>
      <c r="C830" s="2177"/>
      <c r="D830" s="2213">
        <f t="shared" si="112"/>
        <v>98237</v>
      </c>
      <c r="E830" s="2188"/>
      <c r="F830" s="1176">
        <v>98237</v>
      </c>
      <c r="G830" s="1208">
        <v>0</v>
      </c>
      <c r="H830" s="2210">
        <v>0</v>
      </c>
      <c r="I830" s="2248"/>
      <c r="J830" s="2214">
        <f t="shared" si="113"/>
        <v>0</v>
      </c>
      <c r="K830" s="2188"/>
      <c r="L830" s="2188"/>
      <c r="M830" s="2193"/>
      <c r="N830" s="2195">
        <f t="shared" si="114"/>
        <v>0</v>
      </c>
      <c r="O830" s="1149"/>
      <c r="P830" s="705"/>
      <c r="Q830" s="712"/>
      <c r="R830" s="706"/>
      <c r="S830" s="706"/>
      <c r="T830" s="706"/>
      <c r="U830" s="706"/>
      <c r="V830" s="706"/>
      <c r="W830" s="706"/>
      <c r="X830" s="706"/>
      <c r="Y830" s="706"/>
      <c r="Z830" s="706"/>
      <c r="AA830" s="706"/>
      <c r="AB830" s="706"/>
      <c r="AC830" s="706"/>
    </row>
    <row r="831" spans="1:29">
      <c r="A831" s="2155">
        <v>31</v>
      </c>
      <c r="B831" s="2173" t="s">
        <v>307</v>
      </c>
      <c r="C831" s="2177"/>
      <c r="D831" s="2213">
        <f t="shared" si="112"/>
        <v>14771445.032443577</v>
      </c>
      <c r="E831" s="2188"/>
      <c r="F831" s="1176">
        <v>14818368.577853577</v>
      </c>
      <c r="G831" s="1208">
        <v>-40731.362415223659</v>
      </c>
      <c r="H831" s="2210">
        <v>-6192.1829947763408</v>
      </c>
      <c r="I831" s="2248"/>
      <c r="J831" s="2214">
        <f t="shared" si="113"/>
        <v>-46923.545409999999</v>
      </c>
      <c r="K831" s="2188"/>
      <c r="L831" s="2188"/>
      <c r="M831" s="2193"/>
      <c r="N831" s="2195">
        <f t="shared" si="114"/>
        <v>0</v>
      </c>
      <c r="O831" s="1149"/>
      <c r="P831" s="705"/>
      <c r="Q831" s="712"/>
      <c r="R831" s="706"/>
      <c r="S831" s="706"/>
      <c r="T831" s="706"/>
      <c r="U831" s="706"/>
      <c r="V831" s="706"/>
      <c r="W831" s="706"/>
      <c r="X831" s="706"/>
      <c r="Y831" s="706"/>
      <c r="Z831" s="706"/>
      <c r="AA831" s="706"/>
      <c r="AB831" s="706"/>
      <c r="AC831" s="706"/>
    </row>
    <row r="832" spans="1:29" ht="13.5" thickBot="1">
      <c r="A832" s="2172">
        <v>32</v>
      </c>
      <c r="B832" s="2173" t="s">
        <v>308</v>
      </c>
      <c r="C832" s="2177"/>
      <c r="D832" s="2213">
        <f t="shared" si="112"/>
        <v>0</v>
      </c>
      <c r="E832" s="2188"/>
      <c r="F832" s="1176"/>
      <c r="G832" s="1208"/>
      <c r="H832" s="2210"/>
      <c r="I832" s="1257"/>
      <c r="J832" s="2214">
        <f t="shared" si="113"/>
        <v>0</v>
      </c>
      <c r="K832" s="2188"/>
      <c r="L832" s="2188"/>
      <c r="M832" s="2193"/>
      <c r="N832" s="2195">
        <f t="shared" si="114"/>
        <v>0</v>
      </c>
      <c r="O832" s="1149"/>
      <c r="P832" s="705"/>
      <c r="Q832" s="712"/>
      <c r="R832" s="706"/>
      <c r="S832" s="706"/>
      <c r="T832" s="706"/>
      <c r="U832" s="706"/>
      <c r="V832" s="706"/>
      <c r="W832" s="706"/>
      <c r="X832" s="706"/>
      <c r="Y832" s="706"/>
      <c r="Z832" s="706"/>
      <c r="AA832" s="706"/>
      <c r="AB832" s="706"/>
      <c r="AC832" s="706"/>
    </row>
    <row r="833" spans="1:29" ht="13.5" thickBot="1">
      <c r="A833" s="1348">
        <v>33</v>
      </c>
      <c r="B833" s="1384" t="s">
        <v>309</v>
      </c>
      <c r="C833" s="1453"/>
      <c r="D833" s="1457">
        <f t="shared" si="112"/>
        <v>18201687.986933578</v>
      </c>
      <c r="E833" s="1268">
        <f>SUM(E828:E832)</f>
        <v>0</v>
      </c>
      <c r="F833" s="1268">
        <f>SUM(F828:F832)</f>
        <v>18134525.402373578</v>
      </c>
      <c r="G833" s="1268">
        <f>SUM(G828:G832)</f>
        <v>58299.592423241513</v>
      </c>
      <c r="H833" s="1268">
        <f>SUM(H828:H832)</f>
        <v>8862.9921367584939</v>
      </c>
      <c r="I833" s="1202">
        <f>SUM(I828:I832)</f>
        <v>0</v>
      </c>
      <c r="J833" s="1461">
        <f t="shared" si="113"/>
        <v>67162.584560000003</v>
      </c>
      <c r="K833" s="1268">
        <f>SUM(K828:K832)</f>
        <v>0</v>
      </c>
      <c r="L833" s="1268">
        <f>SUM(L828:L832)</f>
        <v>0</v>
      </c>
      <c r="M833" s="1462">
        <f>SUM(M828:M832)</f>
        <v>0</v>
      </c>
      <c r="N833" s="1463">
        <f t="shared" si="114"/>
        <v>0</v>
      </c>
      <c r="O833" s="1149"/>
      <c r="P833" s="705"/>
      <c r="Q833" s="712"/>
      <c r="R833" s="706"/>
      <c r="S833" s="706"/>
      <c r="T833" s="706"/>
      <c r="U833" s="706"/>
      <c r="V833" s="706"/>
      <c r="W833" s="706"/>
      <c r="X833" s="706"/>
      <c r="Y833" s="706"/>
      <c r="Z833" s="706"/>
      <c r="AA833" s="706"/>
      <c r="AB833" s="706"/>
      <c r="AC833" s="706"/>
    </row>
    <row r="834" spans="1:29" ht="26.25" thickBot="1">
      <c r="A834" s="1351">
        <v>34</v>
      </c>
      <c r="B834" s="1352" t="s">
        <v>310</v>
      </c>
      <c r="C834" s="1351"/>
      <c r="D834" s="1381">
        <f t="shared" si="112"/>
        <v>184519748.03445885</v>
      </c>
      <c r="E834" s="1381">
        <f>E833+E826</f>
        <v>0</v>
      </c>
      <c r="F834" s="1381">
        <f>F833+F826</f>
        <v>19279287.853600178</v>
      </c>
      <c r="G834" s="1381">
        <f>G833+G826</f>
        <v>144071174.16335788</v>
      </c>
      <c r="H834" s="1381">
        <f>H833+H826</f>
        <v>21169286.017500784</v>
      </c>
      <c r="I834" s="1381">
        <f>I833+I826</f>
        <v>0</v>
      </c>
      <c r="J834" s="1381">
        <f t="shared" si="113"/>
        <v>165240460.18085867</v>
      </c>
      <c r="K834" s="1381">
        <f>K833+K826</f>
        <v>0</v>
      </c>
      <c r="L834" s="1381">
        <f>L833+L826</f>
        <v>0</v>
      </c>
      <c r="M834" s="1382">
        <f>M833+M826</f>
        <v>0</v>
      </c>
      <c r="N834" s="1383">
        <f t="shared" si="114"/>
        <v>0</v>
      </c>
      <c r="O834" s="1149"/>
      <c r="P834" s="705"/>
      <c r="Q834" s="711"/>
      <c r="R834" s="706"/>
      <c r="S834" s="706"/>
      <c r="T834" s="706"/>
      <c r="U834" s="706"/>
      <c r="V834" s="706"/>
      <c r="W834" s="706"/>
      <c r="X834" s="706"/>
      <c r="Y834" s="706"/>
      <c r="Z834" s="706"/>
      <c r="AA834" s="706"/>
      <c r="AB834" s="706"/>
      <c r="AC834" s="706"/>
    </row>
    <row r="835" spans="1:29">
      <c r="Q835" s="711"/>
    </row>
    <row r="836" spans="1:29">
      <c r="B836" s="680"/>
      <c r="D836" s="679"/>
      <c r="E836" s="679"/>
      <c r="F836" s="679"/>
      <c r="G836" s="679"/>
      <c r="H836" s="679"/>
      <c r="I836" s="679"/>
      <c r="J836" s="679"/>
      <c r="K836" s="679"/>
      <c r="L836" s="679"/>
      <c r="M836" s="679"/>
      <c r="N836" s="911">
        <v>28</v>
      </c>
      <c r="O836" s="679"/>
    </row>
    <row r="837" spans="1:29">
      <c r="D837" s="679"/>
      <c r="E837" s="679"/>
      <c r="F837" s="679"/>
      <c r="G837" s="679"/>
      <c r="H837" s="679"/>
      <c r="I837" s="679"/>
      <c r="J837" s="679"/>
      <c r="K837" s="679"/>
      <c r="L837" s="679"/>
      <c r="M837" s="679"/>
      <c r="N837" s="679"/>
    </row>
    <row r="838" spans="1:29" ht="13.5" thickBot="1">
      <c r="M838" s="3539"/>
      <c r="N838" s="3539"/>
    </row>
    <row r="839" spans="1:29" ht="21.75" customHeight="1" thickBot="1">
      <c r="A839" s="1465" t="s">
        <v>195</v>
      </c>
      <c r="B839" s="3521" t="s">
        <v>117</v>
      </c>
      <c r="C839" s="3522"/>
      <c r="M839" s="3538" t="s">
        <v>251</v>
      </c>
      <c r="N839" s="3538"/>
    </row>
    <row r="840" spans="1:29" ht="12.75" customHeight="1" thickBot="1">
      <c r="A840" s="3512" t="s">
        <v>252</v>
      </c>
      <c r="B840" s="3515"/>
      <c r="C840" s="3523" t="s">
        <v>254</v>
      </c>
      <c r="D840" s="3518" t="s">
        <v>255</v>
      </c>
      <c r="E840" s="3518" t="s">
        <v>256</v>
      </c>
      <c r="F840" s="3518" t="s">
        <v>257</v>
      </c>
      <c r="G840" s="3526" t="s">
        <v>258</v>
      </c>
      <c r="H840" s="3527"/>
      <c r="I840" s="3527"/>
      <c r="J840" s="3527"/>
      <c r="K840" s="3527"/>
      <c r="L840" s="3527"/>
      <c r="M840" s="3527"/>
      <c r="N840" s="3528"/>
      <c r="O840" s="409"/>
    </row>
    <row r="841" spans="1:29" ht="12.75" customHeight="1" thickBot="1">
      <c r="A841" s="3513"/>
      <c r="B841" s="3516"/>
      <c r="C841" s="3524"/>
      <c r="D841" s="3520"/>
      <c r="E841" s="3520"/>
      <c r="F841" s="3520"/>
      <c r="G841" s="3529" t="s">
        <v>259</v>
      </c>
      <c r="H841" s="3530"/>
      <c r="I841" s="3530"/>
      <c r="J841" s="3531"/>
      <c r="K841" s="3529" t="s">
        <v>260</v>
      </c>
      <c r="L841" s="3530"/>
      <c r="M841" s="3530"/>
      <c r="N841" s="3531"/>
      <c r="O841" s="443"/>
    </row>
    <row r="842" spans="1:29" ht="39" thickBot="1">
      <c r="A842" s="3513"/>
      <c r="B842" s="3516"/>
      <c r="C842" s="3524"/>
      <c r="D842" s="3519"/>
      <c r="E842" s="3519"/>
      <c r="F842" s="3519"/>
      <c r="G842" s="1336" t="s">
        <v>261</v>
      </c>
      <c r="H842" s="1336" t="s">
        <v>262</v>
      </c>
      <c r="I842" s="1336" t="s">
        <v>263</v>
      </c>
      <c r="J842" s="1336" t="s">
        <v>158</v>
      </c>
      <c r="K842" s="1337" t="s">
        <v>264</v>
      </c>
      <c r="L842" s="1337" t="s">
        <v>265</v>
      </c>
      <c r="M842" s="1337" t="s">
        <v>266</v>
      </c>
      <c r="N842" s="1404" t="s">
        <v>158</v>
      </c>
      <c r="O842" s="443"/>
    </row>
    <row r="843" spans="1:29" ht="13.5" thickBot="1">
      <c r="A843" s="3513"/>
      <c r="B843" s="3516"/>
      <c r="C843" s="3524"/>
      <c r="D843" s="1340">
        <v>1</v>
      </c>
      <c r="E843" s="3518">
        <v>2</v>
      </c>
      <c r="F843" s="3518">
        <v>3</v>
      </c>
      <c r="G843" s="3518">
        <v>4</v>
      </c>
      <c r="H843" s="3518">
        <v>5</v>
      </c>
      <c r="I843" s="3518">
        <v>6</v>
      </c>
      <c r="J843" s="1341">
        <v>7</v>
      </c>
      <c r="K843" s="3518">
        <v>8</v>
      </c>
      <c r="L843" s="3518">
        <v>9</v>
      </c>
      <c r="M843" s="3518">
        <v>10</v>
      </c>
      <c r="N843" s="1340">
        <v>11</v>
      </c>
      <c r="O843" s="409"/>
    </row>
    <row r="844" spans="1:29" ht="15.75" customHeight="1" thickBot="1">
      <c r="A844" s="3514"/>
      <c r="B844" s="3517"/>
      <c r="C844" s="3525"/>
      <c r="D844" s="1343"/>
      <c r="E844" s="3519"/>
      <c r="F844" s="3519"/>
      <c r="G844" s="3519"/>
      <c r="H844" s="3519"/>
      <c r="I844" s="3519"/>
      <c r="J844" s="1344" t="s">
        <v>267</v>
      </c>
      <c r="K844" s="3519"/>
      <c r="L844" s="3519"/>
      <c r="M844" s="3519"/>
      <c r="N844" s="1372" t="s">
        <v>268</v>
      </c>
      <c r="O844" s="703"/>
      <c r="P844" s="703"/>
      <c r="Q844" s="703"/>
    </row>
    <row r="845" spans="1:29">
      <c r="A845" s="1346"/>
      <c r="B845" s="1347" t="s">
        <v>269</v>
      </c>
      <c r="C845" s="1346"/>
      <c r="D845" s="1438"/>
      <c r="E845" s="1242"/>
      <c r="F845" s="1242"/>
      <c r="G845" s="1182"/>
      <c r="H845" s="1174"/>
      <c r="I845" s="1204"/>
      <c r="J845" s="1395"/>
      <c r="K845" s="1172"/>
      <c r="L845" s="1281"/>
      <c r="M845" s="1262"/>
      <c r="N845" s="2265"/>
      <c r="Q845" s="61"/>
      <c r="R845" s="706"/>
    </row>
    <row r="846" spans="1:29">
      <c r="A846" s="2153">
        <v>1</v>
      </c>
      <c r="B846" s="2154" t="s">
        <v>270</v>
      </c>
      <c r="C846" s="2155"/>
      <c r="D846" s="2213">
        <f>+E846+F846+J846+N846</f>
        <v>0</v>
      </c>
      <c r="E846" s="2288"/>
      <c r="F846" s="2288"/>
      <c r="G846" s="2288"/>
      <c r="H846" s="2289"/>
      <c r="I846" s="2290"/>
      <c r="J846" s="2214">
        <f>G846+H846+I846</f>
        <v>0</v>
      </c>
      <c r="K846" s="2193"/>
      <c r="L846" s="2220"/>
      <c r="M846" s="2222"/>
      <c r="N846" s="2214">
        <f>K846+L846+M846</f>
        <v>0</v>
      </c>
      <c r="O846" s="1149"/>
      <c r="P846" s="705"/>
      <c r="Q846" s="54"/>
      <c r="R846" s="706"/>
      <c r="S846" s="706"/>
      <c r="T846" s="706"/>
      <c r="U846" s="706"/>
      <c r="V846" s="706"/>
      <c r="W846" s="706"/>
      <c r="X846" s="706"/>
      <c r="Y846" s="706"/>
      <c r="Z846" s="706"/>
      <c r="AA846" s="706"/>
      <c r="AB846" s="706"/>
      <c r="AC846" s="706"/>
    </row>
    <row r="847" spans="1:29">
      <c r="A847" s="2153">
        <v>2</v>
      </c>
      <c r="B847" s="2154" t="s">
        <v>271</v>
      </c>
      <c r="C847" s="2155"/>
      <c r="D847" s="2213">
        <f t="shared" ref="D847:D885" si="117">+E847+F847+J847+N847</f>
        <v>1545529</v>
      </c>
      <c r="E847" s="2288"/>
      <c r="F847" s="2188">
        <v>914214</v>
      </c>
      <c r="G847" s="2288"/>
      <c r="H847" s="2289"/>
      <c r="I847" s="2222">
        <v>631315</v>
      </c>
      <c r="J847" s="2214">
        <f t="shared" ref="J847:J857" si="118">G847+H847+I847</f>
        <v>631315</v>
      </c>
      <c r="K847" s="2193"/>
      <c r="L847" s="2220"/>
      <c r="M847" s="2222"/>
      <c r="N847" s="2214">
        <f t="shared" ref="N847:N886" si="119">K847+L847+M847</f>
        <v>0</v>
      </c>
      <c r="O847" s="1149"/>
      <c r="P847" s="705"/>
      <c r="Q847" s="707"/>
      <c r="R847" s="706"/>
      <c r="S847" s="706"/>
      <c r="T847" s="706"/>
      <c r="U847" s="706"/>
      <c r="V847" s="706"/>
      <c r="W847" s="706"/>
      <c r="X847" s="706"/>
      <c r="Y847" s="706"/>
      <c r="Z847" s="706"/>
      <c r="AA847" s="706"/>
      <c r="AB847" s="706"/>
      <c r="AC847" s="706"/>
    </row>
    <row r="848" spans="1:29">
      <c r="A848" s="2153">
        <v>3</v>
      </c>
      <c r="B848" s="2154" t="s">
        <v>272</v>
      </c>
      <c r="C848" s="2155"/>
      <c r="D848" s="2213">
        <f t="shared" si="117"/>
        <v>0</v>
      </c>
      <c r="E848" s="2288"/>
      <c r="F848" s="2288"/>
      <c r="G848" s="2288"/>
      <c r="H848" s="2289"/>
      <c r="I848" s="2290"/>
      <c r="J848" s="2214">
        <f t="shared" si="118"/>
        <v>0</v>
      </c>
      <c r="K848" s="2193"/>
      <c r="L848" s="2220"/>
      <c r="M848" s="2222"/>
      <c r="N848" s="2214">
        <f t="shared" si="119"/>
        <v>0</v>
      </c>
      <c r="O848" s="1149"/>
      <c r="P848" s="705"/>
      <c r="Q848" s="54"/>
      <c r="R848" s="706"/>
      <c r="S848" s="706"/>
      <c r="T848" s="706"/>
      <c r="U848" s="706"/>
      <c r="V848" s="706"/>
      <c r="W848" s="706"/>
      <c r="X848" s="706"/>
      <c r="Y848" s="706"/>
      <c r="Z848" s="706"/>
      <c r="AA848" s="706"/>
      <c r="AB848" s="706"/>
      <c r="AC848" s="706"/>
    </row>
    <row r="849" spans="1:29">
      <c r="A849" s="2153">
        <v>4</v>
      </c>
      <c r="B849" s="2154" t="s">
        <v>315</v>
      </c>
      <c r="C849" s="2155"/>
      <c r="D849" s="2213">
        <f t="shared" si="117"/>
        <v>421885</v>
      </c>
      <c r="E849" s="2288"/>
      <c r="F849" s="2288"/>
      <c r="G849" s="2288"/>
      <c r="H849" s="2197">
        <v>0</v>
      </c>
      <c r="I849" s="2222">
        <v>421885</v>
      </c>
      <c r="J849" s="2214">
        <f t="shared" si="118"/>
        <v>421885</v>
      </c>
      <c r="K849" s="2193"/>
      <c r="L849" s="2220"/>
      <c r="M849" s="2222"/>
      <c r="N849" s="2214">
        <f t="shared" si="119"/>
        <v>0</v>
      </c>
      <c r="O849" s="1149"/>
      <c r="P849" s="705"/>
      <c r="Q849" s="707"/>
      <c r="R849" s="706"/>
      <c r="S849" s="706"/>
      <c r="T849" s="706"/>
      <c r="U849" s="706"/>
      <c r="V849" s="706"/>
      <c r="W849" s="706"/>
      <c r="X849" s="706"/>
      <c r="Y849" s="706"/>
      <c r="Z849" s="706"/>
      <c r="AA849" s="706"/>
      <c r="AB849" s="706"/>
      <c r="AC849" s="706"/>
    </row>
    <row r="850" spans="1:29">
      <c r="A850" s="2153">
        <v>5</v>
      </c>
      <c r="B850" s="2154" t="s">
        <v>274</v>
      </c>
      <c r="C850" s="2161">
        <v>5</v>
      </c>
      <c r="D850" s="2213">
        <f t="shared" si="117"/>
        <v>2746114</v>
      </c>
      <c r="E850" s="2288"/>
      <c r="F850" s="2288"/>
      <c r="G850" s="2288"/>
      <c r="H850" s="1174">
        <v>2448161</v>
      </c>
      <c r="I850" s="1194">
        <v>297953</v>
      </c>
      <c r="J850" s="2214">
        <f t="shared" si="118"/>
        <v>2746114</v>
      </c>
      <c r="K850" s="2193"/>
      <c r="L850" s="2220"/>
      <c r="M850" s="2222"/>
      <c r="N850" s="2214">
        <f t="shared" si="119"/>
        <v>0</v>
      </c>
      <c r="O850" s="1149"/>
      <c r="P850" s="705"/>
      <c r="Q850" s="1141"/>
      <c r="R850" s="706"/>
      <c r="S850" s="706"/>
      <c r="T850" s="706"/>
      <c r="U850" s="706"/>
      <c r="V850" s="706"/>
      <c r="W850" s="706"/>
      <c r="X850" s="706"/>
      <c r="Y850" s="706"/>
      <c r="Z850" s="706"/>
      <c r="AA850" s="706"/>
      <c r="AB850" s="706"/>
      <c r="AC850" s="706"/>
    </row>
    <row r="851" spans="1:29">
      <c r="A851" s="2153">
        <v>6</v>
      </c>
      <c r="B851" s="2154" t="s">
        <v>275</v>
      </c>
      <c r="C851" s="2155">
        <v>6</v>
      </c>
      <c r="D851" s="2213">
        <f t="shared" si="117"/>
        <v>0</v>
      </c>
      <c r="E851" s="2288"/>
      <c r="F851" s="2288">
        <v>0</v>
      </c>
      <c r="G851" s="2288">
        <v>0</v>
      </c>
      <c r="H851" s="2289">
        <v>0</v>
      </c>
      <c r="I851" s="2290">
        <v>0</v>
      </c>
      <c r="J851" s="2214">
        <f t="shared" si="118"/>
        <v>0</v>
      </c>
      <c r="K851" s="2193"/>
      <c r="L851" s="2220"/>
      <c r="M851" s="2222"/>
      <c r="N851" s="2214">
        <f t="shared" si="119"/>
        <v>0</v>
      </c>
      <c r="O851" s="1149"/>
      <c r="P851" s="705"/>
      <c r="Q851" s="54"/>
      <c r="R851" s="706"/>
      <c r="S851" s="706"/>
      <c r="T851" s="706"/>
      <c r="U851" s="706"/>
      <c r="V851" s="706"/>
      <c r="W851" s="706"/>
      <c r="X851" s="706"/>
      <c r="Y851" s="706"/>
      <c r="Z851" s="706"/>
      <c r="AA851" s="706"/>
      <c r="AB851" s="706"/>
      <c r="AC851" s="706"/>
    </row>
    <row r="852" spans="1:29">
      <c r="A852" s="2153">
        <v>7</v>
      </c>
      <c r="B852" s="2154" t="s">
        <v>276</v>
      </c>
      <c r="C852" s="2161">
        <v>7</v>
      </c>
      <c r="D852" s="2213">
        <f t="shared" si="117"/>
        <v>1513031</v>
      </c>
      <c r="E852" s="2288">
        <f>SUM(E853:E854)</f>
        <v>0</v>
      </c>
      <c r="F852" s="2288">
        <f>F853+F854</f>
        <v>1513031</v>
      </c>
      <c r="G852" s="2288">
        <f>G853+G854</f>
        <v>0</v>
      </c>
      <c r="H852" s="2289">
        <f>H853+H854</f>
        <v>0</v>
      </c>
      <c r="I852" s="2290">
        <f>I853+I854</f>
        <v>0</v>
      </c>
      <c r="J852" s="2214">
        <f t="shared" si="118"/>
        <v>0</v>
      </c>
      <c r="K852" s="2289">
        <f>K853+K854</f>
        <v>0</v>
      </c>
      <c r="L852" s="2291">
        <f>L853+L854</f>
        <v>0</v>
      </c>
      <c r="M852" s="2290">
        <f>M853+M854</f>
        <v>0</v>
      </c>
      <c r="N852" s="2214">
        <f t="shared" si="119"/>
        <v>0</v>
      </c>
      <c r="O852" s="1149"/>
      <c r="P852" s="705"/>
      <c r="Q852" s="1142"/>
      <c r="R852" s="706"/>
      <c r="S852" s="706"/>
      <c r="T852" s="706"/>
      <c r="U852" s="706"/>
      <c r="V852" s="706"/>
      <c r="W852" s="706"/>
      <c r="X852" s="706"/>
      <c r="Y852" s="706"/>
      <c r="Z852" s="706"/>
      <c r="AA852" s="706"/>
      <c r="AB852" s="706"/>
      <c r="AC852" s="706"/>
    </row>
    <row r="853" spans="1:29">
      <c r="A853" s="2155"/>
      <c r="B853" s="2162" t="s">
        <v>277</v>
      </c>
      <c r="C853" s="2161"/>
      <c r="D853" s="2213">
        <f t="shared" si="117"/>
        <v>1513031</v>
      </c>
      <c r="E853" s="2288"/>
      <c r="F853" s="2188">
        <v>1513031</v>
      </c>
      <c r="G853" s="2288">
        <v>0</v>
      </c>
      <c r="H853" s="2289">
        <v>0</v>
      </c>
      <c r="I853" s="2290">
        <v>0</v>
      </c>
      <c r="J853" s="2214">
        <f t="shared" si="118"/>
        <v>0</v>
      </c>
      <c r="K853" s="2193"/>
      <c r="L853" s="2220"/>
      <c r="M853" s="2222"/>
      <c r="N853" s="2214">
        <f t="shared" si="119"/>
        <v>0</v>
      </c>
      <c r="O853" s="1149"/>
      <c r="P853" s="705"/>
      <c r="Q853" s="1142"/>
      <c r="R853" s="706"/>
      <c r="S853" s="706"/>
      <c r="T853" s="706"/>
      <c r="U853" s="706"/>
      <c r="V853" s="706"/>
      <c r="W853" s="706"/>
      <c r="X853" s="706"/>
      <c r="Y853" s="706"/>
      <c r="Z853" s="706"/>
      <c r="AA853" s="706"/>
      <c r="AB853" s="706"/>
      <c r="AC853" s="706"/>
    </row>
    <row r="854" spans="1:29">
      <c r="A854" s="2155"/>
      <c r="B854" s="2162" t="s">
        <v>278</v>
      </c>
      <c r="C854" s="2161"/>
      <c r="D854" s="2213">
        <f t="shared" si="117"/>
        <v>0</v>
      </c>
      <c r="E854" s="2288"/>
      <c r="F854" s="2288">
        <v>0</v>
      </c>
      <c r="G854" s="2288">
        <v>0</v>
      </c>
      <c r="H854" s="2289">
        <v>0</v>
      </c>
      <c r="I854" s="2290">
        <v>0</v>
      </c>
      <c r="J854" s="2214">
        <f t="shared" si="118"/>
        <v>0</v>
      </c>
      <c r="K854" s="2193"/>
      <c r="L854" s="2220"/>
      <c r="M854" s="2222"/>
      <c r="N854" s="2214">
        <f t="shared" si="119"/>
        <v>0</v>
      </c>
      <c r="O854" s="1149"/>
      <c r="P854" s="705"/>
      <c r="Q854" s="1142"/>
      <c r="R854" s="706"/>
      <c r="S854" s="706"/>
      <c r="T854" s="706"/>
      <c r="U854" s="706"/>
      <c r="V854" s="706"/>
      <c r="W854" s="706"/>
      <c r="X854" s="706"/>
      <c r="Y854" s="706"/>
      <c r="Z854" s="706"/>
      <c r="AA854" s="706"/>
      <c r="AB854" s="706"/>
      <c r="AC854" s="706"/>
    </row>
    <row r="855" spans="1:29">
      <c r="A855" s="2153">
        <v>8</v>
      </c>
      <c r="B855" s="2154" t="s">
        <v>279</v>
      </c>
      <c r="C855" s="2155">
        <v>8</v>
      </c>
      <c r="D855" s="2213">
        <f t="shared" si="117"/>
        <v>0</v>
      </c>
      <c r="E855" s="2288">
        <f>SUM(E856:E857)</f>
        <v>0</v>
      </c>
      <c r="F855" s="2288">
        <f>F856+F857</f>
        <v>0</v>
      </c>
      <c r="G855" s="2288">
        <f t="shared" ref="G855:M855" si="120">G856+G857</f>
        <v>0</v>
      </c>
      <c r="H855" s="2289">
        <f t="shared" si="120"/>
        <v>0</v>
      </c>
      <c r="I855" s="2290">
        <f t="shared" si="120"/>
        <v>0</v>
      </c>
      <c r="J855" s="2214">
        <f t="shared" si="118"/>
        <v>0</v>
      </c>
      <c r="K855" s="2289">
        <f t="shared" si="120"/>
        <v>0</v>
      </c>
      <c r="L855" s="2291">
        <f t="shared" si="120"/>
        <v>0</v>
      </c>
      <c r="M855" s="2290">
        <f t="shared" si="120"/>
        <v>0</v>
      </c>
      <c r="N855" s="2214">
        <f t="shared" si="119"/>
        <v>0</v>
      </c>
      <c r="O855" s="1149"/>
      <c r="P855" s="705"/>
      <c r="Q855" s="707"/>
      <c r="R855" s="706"/>
      <c r="S855" s="706"/>
      <c r="T855" s="706"/>
      <c r="U855" s="706"/>
      <c r="V855" s="706"/>
      <c r="W855" s="706"/>
      <c r="X855" s="706"/>
      <c r="Y855" s="706"/>
      <c r="Z855" s="706"/>
      <c r="AA855" s="706"/>
      <c r="AB855" s="706"/>
      <c r="AC855" s="706"/>
    </row>
    <row r="856" spans="1:29">
      <c r="A856" s="2153"/>
      <c r="B856" s="2162" t="s">
        <v>280</v>
      </c>
      <c r="C856" s="2155"/>
      <c r="D856" s="2213">
        <f t="shared" si="117"/>
        <v>0</v>
      </c>
      <c r="E856" s="2288"/>
      <c r="F856" s="2288"/>
      <c r="G856" s="2288">
        <v>0</v>
      </c>
      <c r="H856" s="2289">
        <v>0</v>
      </c>
      <c r="I856" s="2290">
        <v>0</v>
      </c>
      <c r="J856" s="2214">
        <f t="shared" si="118"/>
        <v>0</v>
      </c>
      <c r="K856" s="2193"/>
      <c r="L856" s="2220"/>
      <c r="M856" s="2222"/>
      <c r="N856" s="2214">
        <f t="shared" si="119"/>
        <v>0</v>
      </c>
      <c r="O856" s="1149"/>
      <c r="P856" s="705"/>
      <c r="Q856" s="54"/>
      <c r="R856" s="706"/>
      <c r="S856" s="706"/>
      <c r="T856" s="706"/>
      <c r="U856" s="706"/>
      <c r="V856" s="706"/>
      <c r="W856" s="706"/>
      <c r="X856" s="706"/>
      <c r="Y856" s="706"/>
      <c r="Z856" s="706"/>
      <c r="AA856" s="706"/>
      <c r="AB856" s="706"/>
      <c r="AC856" s="706"/>
    </row>
    <row r="857" spans="1:29">
      <c r="A857" s="2153"/>
      <c r="B857" s="2162" t="s">
        <v>281</v>
      </c>
      <c r="C857" s="2155"/>
      <c r="D857" s="2213">
        <f t="shared" si="117"/>
        <v>0</v>
      </c>
      <c r="E857" s="2288"/>
      <c r="F857" s="2288">
        <v>0</v>
      </c>
      <c r="G857" s="2288">
        <v>0</v>
      </c>
      <c r="H857" s="2289">
        <v>0</v>
      </c>
      <c r="I857" s="2290">
        <v>0</v>
      </c>
      <c r="J857" s="2214">
        <f t="shared" si="118"/>
        <v>0</v>
      </c>
      <c r="K857" s="2193"/>
      <c r="L857" s="2220"/>
      <c r="M857" s="2222"/>
      <c r="N857" s="2214">
        <f t="shared" si="119"/>
        <v>0</v>
      </c>
      <c r="O857" s="1149"/>
      <c r="P857" s="705"/>
      <c r="Q857" s="54"/>
      <c r="R857" s="706"/>
      <c r="S857" s="706"/>
      <c r="T857" s="706"/>
      <c r="U857" s="706"/>
      <c r="V857" s="706"/>
      <c r="W857" s="706"/>
      <c r="X857" s="706"/>
      <c r="Y857" s="706"/>
      <c r="Z857" s="706"/>
      <c r="AA857" s="706"/>
      <c r="AB857" s="706"/>
      <c r="AC857" s="706"/>
    </row>
    <row r="858" spans="1:29" ht="25.5">
      <c r="A858" s="2163">
        <v>9</v>
      </c>
      <c r="B858" s="2164" t="s">
        <v>282</v>
      </c>
      <c r="C858" s="2165"/>
      <c r="D858" s="2230">
        <f t="shared" si="117"/>
        <v>59329071</v>
      </c>
      <c r="E858" s="2231">
        <f>SUM(E859:E862)</f>
        <v>0</v>
      </c>
      <c r="F858" s="2231">
        <f>SUM(F859:F862)</f>
        <v>9624140</v>
      </c>
      <c r="G858" s="2231">
        <f>SUM(G859:G862)</f>
        <v>8736230</v>
      </c>
      <c r="H858" s="2204">
        <f>SUM(H859:H862)</f>
        <v>7652814</v>
      </c>
      <c r="I858" s="2250">
        <f>SUM(I859:I862)</f>
        <v>32162946</v>
      </c>
      <c r="J858" s="2233">
        <f>G858+H858+I858</f>
        <v>48551990</v>
      </c>
      <c r="K858" s="2204">
        <f>SUM(K859:K862)</f>
        <v>233388</v>
      </c>
      <c r="L858" s="2201">
        <f>SUM(L859:L862)</f>
        <v>0</v>
      </c>
      <c r="M858" s="2250">
        <f>SUM(M859:M862)</f>
        <v>919553</v>
      </c>
      <c r="N858" s="2233">
        <f t="shared" si="119"/>
        <v>1152941</v>
      </c>
      <c r="O858" s="1149"/>
      <c r="P858" s="705"/>
      <c r="Q858" s="707"/>
      <c r="R858" s="706"/>
      <c r="S858" s="706"/>
      <c r="T858" s="706"/>
      <c r="U858" s="706"/>
      <c r="V858" s="706"/>
      <c r="W858" s="706"/>
      <c r="X858" s="706"/>
      <c r="Y858" s="706"/>
      <c r="Z858" s="706"/>
      <c r="AA858" s="706"/>
      <c r="AB858" s="706"/>
      <c r="AC858" s="706"/>
    </row>
    <row r="859" spans="1:29">
      <c r="A859" s="2155">
        <v>10</v>
      </c>
      <c r="B859" s="2171" t="s">
        <v>283</v>
      </c>
      <c r="C859" s="2155">
        <v>9</v>
      </c>
      <c r="D859" s="2213">
        <f t="shared" si="117"/>
        <v>28941570</v>
      </c>
      <c r="E859" s="2288"/>
      <c r="F859" s="2188">
        <v>4187718</v>
      </c>
      <c r="G859" s="2189">
        <v>4409814</v>
      </c>
      <c r="H859" s="2197">
        <v>3063249</v>
      </c>
      <c r="I859" s="2222">
        <v>17280789</v>
      </c>
      <c r="J859" s="2214">
        <f t="shared" ref="J859:J876" si="121">G859+H859+I859</f>
        <v>24753852</v>
      </c>
      <c r="K859" s="2190">
        <v>0</v>
      </c>
      <c r="L859" s="2291">
        <v>0</v>
      </c>
      <c r="M859" s="2290">
        <v>0</v>
      </c>
      <c r="N859" s="2214">
        <f t="shared" si="119"/>
        <v>0</v>
      </c>
      <c r="O859" s="1149"/>
      <c r="P859" s="705"/>
      <c r="Q859" s="707"/>
      <c r="R859" s="706"/>
      <c r="S859" s="706"/>
      <c r="T859" s="706"/>
      <c r="U859" s="706"/>
      <c r="V859" s="706"/>
      <c r="W859" s="706"/>
      <c r="X859" s="706"/>
      <c r="Y859" s="706"/>
      <c r="Z859" s="706"/>
      <c r="AA859" s="706"/>
      <c r="AB859" s="706"/>
      <c r="AC859" s="706"/>
    </row>
    <row r="860" spans="1:29">
      <c r="A860" s="2155">
        <v>11</v>
      </c>
      <c r="B860" s="2171" t="s">
        <v>284</v>
      </c>
      <c r="C860" s="2155">
        <v>10</v>
      </c>
      <c r="D860" s="2213">
        <f t="shared" si="117"/>
        <v>17078441</v>
      </c>
      <c r="E860" s="2288"/>
      <c r="F860" s="1171">
        <v>1272053</v>
      </c>
      <c r="G860" s="1182">
        <v>2524991</v>
      </c>
      <c r="H860" s="1183">
        <v>3742475</v>
      </c>
      <c r="I860" s="1195">
        <v>9433899</v>
      </c>
      <c r="J860" s="2214">
        <f t="shared" si="121"/>
        <v>15701365</v>
      </c>
      <c r="K860" s="1183">
        <v>105023</v>
      </c>
      <c r="L860" s="2291"/>
      <c r="M860" s="2290"/>
      <c r="N860" s="2214">
        <f t="shared" si="119"/>
        <v>105023</v>
      </c>
      <c r="O860" s="1149"/>
      <c r="P860" s="705"/>
      <c r="Q860" s="707"/>
      <c r="R860" s="706"/>
      <c r="S860" s="706"/>
      <c r="T860" s="706"/>
      <c r="U860" s="706"/>
      <c r="V860" s="706"/>
      <c r="W860" s="706"/>
      <c r="X860" s="706"/>
      <c r="Y860" s="706"/>
      <c r="Z860" s="706"/>
      <c r="AA860" s="706"/>
      <c r="AB860" s="706"/>
      <c r="AC860" s="706"/>
    </row>
    <row r="861" spans="1:29">
      <c r="A861" s="2155">
        <v>12</v>
      </c>
      <c r="B861" s="2171" t="s">
        <v>285</v>
      </c>
      <c r="C861" s="2155">
        <v>11</v>
      </c>
      <c r="D861" s="2213">
        <f t="shared" si="117"/>
        <v>7055753</v>
      </c>
      <c r="E861" s="2288"/>
      <c r="F861" s="1171">
        <v>3883663</v>
      </c>
      <c r="G861" s="1182">
        <v>851746</v>
      </c>
      <c r="H861" s="1183">
        <v>278030</v>
      </c>
      <c r="I861" s="1195">
        <v>1913949</v>
      </c>
      <c r="J861" s="2214">
        <f t="shared" si="121"/>
        <v>3043725</v>
      </c>
      <c r="K861" s="1183">
        <v>128365</v>
      </c>
      <c r="L861" s="2291"/>
      <c r="M861" s="2290"/>
      <c r="N861" s="2214">
        <f t="shared" si="119"/>
        <v>128365</v>
      </c>
      <c r="O861" s="1149"/>
      <c r="P861" s="705"/>
      <c r="Q861" s="707"/>
      <c r="R861" s="706"/>
      <c r="S861" s="706"/>
      <c r="T861" s="706"/>
      <c r="U861" s="706"/>
      <c r="V861" s="706"/>
      <c r="W861" s="706"/>
      <c r="X861" s="706"/>
      <c r="Y861" s="706"/>
      <c r="Z861" s="706"/>
      <c r="AA861" s="706"/>
      <c r="AB861" s="706"/>
      <c r="AC861" s="706"/>
    </row>
    <row r="862" spans="1:29" ht="25.5">
      <c r="A862" s="2155">
        <v>13</v>
      </c>
      <c r="B862" s="2171" t="s">
        <v>286</v>
      </c>
      <c r="C862" s="2155">
        <v>12</v>
      </c>
      <c r="D862" s="2213">
        <f t="shared" si="117"/>
        <v>6253307</v>
      </c>
      <c r="E862" s="2288"/>
      <c r="F862" s="1171">
        <v>280706</v>
      </c>
      <c r="G862" s="1182">
        <v>949679</v>
      </c>
      <c r="H862" s="1183">
        <v>569060</v>
      </c>
      <c r="I862" s="1195">
        <v>3534309</v>
      </c>
      <c r="J862" s="2214">
        <f t="shared" si="121"/>
        <v>5053048</v>
      </c>
      <c r="K862" s="1183">
        <v>0</v>
      </c>
      <c r="L862" s="2291">
        <v>0</v>
      </c>
      <c r="M862" s="2236">
        <v>919553</v>
      </c>
      <c r="N862" s="2214">
        <f t="shared" si="119"/>
        <v>919553</v>
      </c>
      <c r="O862" s="1149"/>
      <c r="P862" s="705"/>
      <c r="Q862" s="707"/>
      <c r="R862" s="706"/>
      <c r="S862" s="706"/>
      <c r="T862" s="706"/>
      <c r="U862" s="706"/>
      <c r="V862" s="706"/>
      <c r="W862" s="706"/>
      <c r="X862" s="706"/>
      <c r="Y862" s="706"/>
      <c r="Z862" s="706"/>
      <c r="AA862" s="706"/>
      <c r="AB862" s="706"/>
      <c r="AC862" s="706"/>
    </row>
    <row r="863" spans="1:29">
      <c r="A863" s="2155">
        <v>14</v>
      </c>
      <c r="B863" s="2154" t="s">
        <v>287</v>
      </c>
      <c r="C863" s="2155">
        <v>13</v>
      </c>
      <c r="D863" s="2213">
        <f t="shared" si="117"/>
        <v>1932079</v>
      </c>
      <c r="E863" s="2288">
        <v>0</v>
      </c>
      <c r="F863" s="2188">
        <v>0</v>
      </c>
      <c r="G863" s="2189">
        <v>124273</v>
      </c>
      <c r="H863" s="2193">
        <v>32169</v>
      </c>
      <c r="I863" s="2222">
        <v>1775637</v>
      </c>
      <c r="J863" s="2214">
        <f t="shared" si="121"/>
        <v>1932079</v>
      </c>
      <c r="K863" s="2190">
        <v>0</v>
      </c>
      <c r="L863" s="2291">
        <v>0</v>
      </c>
      <c r="M863" s="2290">
        <v>0</v>
      </c>
      <c r="N863" s="2214">
        <f t="shared" si="119"/>
        <v>0</v>
      </c>
      <c r="O863" s="1149"/>
      <c r="P863" s="705"/>
      <c r="Q863" s="707"/>
      <c r="R863" s="706"/>
      <c r="S863" s="706"/>
      <c r="T863" s="706"/>
      <c r="U863" s="706"/>
      <c r="V863" s="706"/>
      <c r="W863" s="706"/>
      <c r="X863" s="706"/>
      <c r="Y863" s="706"/>
      <c r="Z863" s="706"/>
      <c r="AA863" s="706"/>
      <c r="AB863" s="706"/>
      <c r="AC863" s="706"/>
    </row>
    <row r="864" spans="1:29">
      <c r="A864" s="2155">
        <v>15</v>
      </c>
      <c r="B864" s="2154" t="s">
        <v>288</v>
      </c>
      <c r="C864" s="2161">
        <v>14</v>
      </c>
      <c r="D864" s="2213">
        <f t="shared" si="117"/>
        <v>969446</v>
      </c>
      <c r="E864" s="2288">
        <v>0</v>
      </c>
      <c r="F864" s="1171">
        <v>0</v>
      </c>
      <c r="G864" s="1182">
        <v>37080</v>
      </c>
      <c r="H864" s="1172">
        <v>762614</v>
      </c>
      <c r="I864" s="1194">
        <v>169161</v>
      </c>
      <c r="J864" s="2214">
        <f t="shared" si="121"/>
        <v>968855</v>
      </c>
      <c r="K864" s="1183">
        <v>591</v>
      </c>
      <c r="L864" s="2291"/>
      <c r="M864" s="2236">
        <v>0</v>
      </c>
      <c r="N864" s="2214">
        <f t="shared" si="119"/>
        <v>591</v>
      </c>
      <c r="O864" s="1149"/>
      <c r="P864" s="705"/>
      <c r="Q864" s="707"/>
      <c r="R864" s="706"/>
      <c r="S864" s="706"/>
      <c r="T864" s="706"/>
      <c r="U864" s="706"/>
      <c r="V864" s="706"/>
      <c r="W864" s="706"/>
      <c r="X864" s="706"/>
      <c r="Y864" s="706"/>
      <c r="Z864" s="706"/>
      <c r="AA864" s="706"/>
      <c r="AB864" s="706"/>
      <c r="AC864" s="706"/>
    </row>
    <row r="865" spans="1:29">
      <c r="A865" s="2155">
        <v>16</v>
      </c>
      <c r="B865" s="2154" t="s">
        <v>289</v>
      </c>
      <c r="C865" s="2155">
        <v>15</v>
      </c>
      <c r="D865" s="2213">
        <f t="shared" si="117"/>
        <v>532975</v>
      </c>
      <c r="E865" s="2288">
        <v>0</v>
      </c>
      <c r="F865" s="1171">
        <v>0</v>
      </c>
      <c r="G865" s="1182">
        <v>7253</v>
      </c>
      <c r="H865" s="1172">
        <v>179700</v>
      </c>
      <c r="I865" s="1194">
        <v>346022</v>
      </c>
      <c r="J865" s="2214">
        <f t="shared" si="121"/>
        <v>532975</v>
      </c>
      <c r="K865" s="1183">
        <v>0</v>
      </c>
      <c r="L865" s="2291">
        <v>0</v>
      </c>
      <c r="M865" s="1195">
        <v>0</v>
      </c>
      <c r="N865" s="2214">
        <f t="shared" si="119"/>
        <v>0</v>
      </c>
      <c r="O865" s="1149"/>
      <c r="P865" s="705"/>
      <c r="Q865" s="707"/>
      <c r="R865" s="706"/>
      <c r="S865" s="706"/>
      <c r="T865" s="706"/>
      <c r="U865" s="706"/>
      <c r="V865" s="706"/>
      <c r="W865" s="706"/>
      <c r="X865" s="706"/>
      <c r="Y865" s="706"/>
      <c r="Z865" s="706"/>
      <c r="AA865" s="706"/>
      <c r="AB865" s="706"/>
      <c r="AC865" s="706"/>
    </row>
    <row r="866" spans="1:29">
      <c r="A866" s="2155">
        <v>17</v>
      </c>
      <c r="B866" s="2154" t="s">
        <v>290</v>
      </c>
      <c r="C866" s="2161">
        <v>16</v>
      </c>
      <c r="D866" s="2213">
        <f t="shared" si="117"/>
        <v>801758</v>
      </c>
      <c r="E866" s="2188">
        <v>-1988992</v>
      </c>
      <c r="F866" s="1171">
        <v>2023478</v>
      </c>
      <c r="G866" s="1182">
        <v>7814</v>
      </c>
      <c r="H866" s="1183">
        <v>538800</v>
      </c>
      <c r="I866" s="1195">
        <v>203517</v>
      </c>
      <c r="J866" s="2214">
        <f t="shared" si="121"/>
        <v>750131</v>
      </c>
      <c r="K866" s="1183">
        <v>3639</v>
      </c>
      <c r="L866" s="2291">
        <v>0</v>
      </c>
      <c r="M866" s="1195">
        <v>13502</v>
      </c>
      <c r="N866" s="2214">
        <f t="shared" si="119"/>
        <v>17141</v>
      </c>
      <c r="O866" s="1149"/>
      <c r="P866" s="705"/>
      <c r="Q866" s="707"/>
      <c r="R866" s="706"/>
      <c r="S866" s="706"/>
      <c r="T866" s="706"/>
      <c r="U866" s="706"/>
      <c r="V866" s="706"/>
      <c r="W866" s="706"/>
      <c r="X866" s="706"/>
      <c r="Y866" s="706"/>
      <c r="Z866" s="706"/>
      <c r="AA866" s="706"/>
      <c r="AB866" s="706"/>
      <c r="AC866" s="706"/>
    </row>
    <row r="867" spans="1:29">
      <c r="A867" s="2155">
        <v>18</v>
      </c>
      <c r="B867" s="2154" t="s">
        <v>291</v>
      </c>
      <c r="C867" s="2155"/>
      <c r="D867" s="2213">
        <f t="shared" si="117"/>
        <v>0</v>
      </c>
      <c r="E867" s="2288">
        <v>0</v>
      </c>
      <c r="F867" s="1171">
        <v>0</v>
      </c>
      <c r="G867" s="1182">
        <v>0</v>
      </c>
      <c r="H867" s="1172">
        <v>0</v>
      </c>
      <c r="I867" s="1194">
        <v>0</v>
      </c>
      <c r="J867" s="2214">
        <f t="shared" si="121"/>
        <v>0</v>
      </c>
      <c r="K867" s="1183">
        <v>0</v>
      </c>
      <c r="L867" s="2291">
        <v>0</v>
      </c>
      <c r="M867" s="1195">
        <v>0</v>
      </c>
      <c r="N867" s="2214">
        <f t="shared" si="119"/>
        <v>0</v>
      </c>
      <c r="O867" s="1149"/>
      <c r="P867" s="705"/>
      <c r="Q867" s="54"/>
      <c r="R867" s="706"/>
      <c r="S867" s="706"/>
      <c r="T867" s="706"/>
      <c r="U867" s="706"/>
      <c r="V867" s="706"/>
      <c r="W867" s="706"/>
      <c r="X867" s="706"/>
      <c r="Y867" s="706"/>
      <c r="Z867" s="706"/>
      <c r="AA867" s="706"/>
      <c r="AB867" s="706"/>
      <c r="AC867" s="706"/>
    </row>
    <row r="868" spans="1:29" ht="13.5" thickBot="1">
      <c r="A868" s="2172">
        <v>19</v>
      </c>
      <c r="B868" s="2173" t="s">
        <v>292</v>
      </c>
      <c r="C868" s="2172"/>
      <c r="D868" s="1388">
        <f t="shared" si="117"/>
        <v>969748</v>
      </c>
      <c r="E868" s="1176"/>
      <c r="F868" s="1175">
        <v>14921</v>
      </c>
      <c r="G868" s="1202">
        <v>51</v>
      </c>
      <c r="H868" s="1270">
        <v>953566</v>
      </c>
      <c r="I868" s="1193">
        <v>50</v>
      </c>
      <c r="J868" s="1396">
        <f t="shared" si="121"/>
        <v>953667</v>
      </c>
      <c r="K868" s="264">
        <v>1104</v>
      </c>
      <c r="L868" s="2246"/>
      <c r="M868" s="1198">
        <v>56</v>
      </c>
      <c r="N868" s="1396">
        <f t="shared" si="119"/>
        <v>1160</v>
      </c>
      <c r="O868" s="1149"/>
      <c r="P868" s="705"/>
      <c r="Q868" s="707"/>
      <c r="R868" s="706"/>
      <c r="S868" s="706"/>
      <c r="T868" s="706"/>
      <c r="U868" s="706"/>
      <c r="V868" s="706"/>
      <c r="W868" s="706"/>
      <c r="X868" s="706"/>
      <c r="Y868" s="706"/>
      <c r="Z868" s="706"/>
      <c r="AA868" s="706"/>
      <c r="AB868" s="706"/>
      <c r="AC868" s="706"/>
    </row>
    <row r="869" spans="1:29" ht="26.25" thickBot="1">
      <c r="A869" s="1351">
        <v>20</v>
      </c>
      <c r="B869" s="1352" t="s">
        <v>293</v>
      </c>
      <c r="C869" s="1351"/>
      <c r="D869" s="1378">
        <f t="shared" si="117"/>
        <v>70761636</v>
      </c>
      <c r="E869" s="1378">
        <f>SUM(E846:E852)+E855+E858+SUM(E863:E868)</f>
        <v>-1988992</v>
      </c>
      <c r="F869" s="1378">
        <f>SUM(F846:F852)+F855+F858+SUM(F863:F868)</f>
        <v>14089784</v>
      </c>
      <c r="G869" s="1378">
        <f>SUM(G846:G852)+G855+G858+SUM(G863:G868)</f>
        <v>8912701</v>
      </c>
      <c r="H869" s="1379">
        <f>SUM(H846:H852)+H855+H858+SUM(H863:H868)</f>
        <v>12567824</v>
      </c>
      <c r="I869" s="1415">
        <f>SUM(I846:I852)+I855+I858+SUM(I863:I868)</f>
        <v>36008486</v>
      </c>
      <c r="J869" s="1378">
        <f t="shared" si="121"/>
        <v>57489011</v>
      </c>
      <c r="K869" s="1379">
        <f>SUM(K846:K852)+K855+K858+SUM(K863:K868)</f>
        <v>238722</v>
      </c>
      <c r="L869" s="1414">
        <f>SUM(L846:L852)+L855+L858+SUM(L863:L868)</f>
        <v>0</v>
      </c>
      <c r="M869" s="1415">
        <f>SUM(M846:M852)+M855+M858+SUM(M863:M868)</f>
        <v>933111</v>
      </c>
      <c r="N869" s="1378">
        <f t="shared" si="119"/>
        <v>1171833</v>
      </c>
      <c r="O869" s="1149"/>
      <c r="P869" s="705"/>
      <c r="Q869" s="707"/>
      <c r="R869" s="706"/>
      <c r="S869" s="706"/>
      <c r="T869" s="706"/>
      <c r="U869" s="706"/>
      <c r="V869" s="706"/>
      <c r="W869" s="706"/>
      <c r="X869" s="706"/>
      <c r="Y869" s="706"/>
      <c r="Z869" s="706"/>
      <c r="AA869" s="706"/>
      <c r="AB869" s="706"/>
      <c r="AC869" s="706"/>
    </row>
    <row r="870" spans="1:29">
      <c r="A870" s="1346"/>
      <c r="B870" s="1347" t="s">
        <v>294</v>
      </c>
      <c r="C870" s="1346"/>
      <c r="D870" s="1387">
        <f t="shared" si="117"/>
        <v>0</v>
      </c>
      <c r="E870" s="1171"/>
      <c r="F870" s="1171"/>
      <c r="G870" s="1182"/>
      <c r="H870" s="1174"/>
      <c r="I870" s="1194"/>
      <c r="J870" s="1395">
        <f t="shared" si="121"/>
        <v>0</v>
      </c>
      <c r="K870" s="1183"/>
      <c r="L870" s="1217"/>
      <c r="M870" s="1195"/>
      <c r="N870" s="1395">
        <f t="shared" si="119"/>
        <v>0</v>
      </c>
      <c r="O870" s="1149"/>
      <c r="P870" s="705"/>
      <c r="Q870" s="54"/>
      <c r="R870" s="706"/>
      <c r="S870" s="706"/>
      <c r="T870" s="706"/>
      <c r="U870" s="706"/>
      <c r="V870" s="706"/>
      <c r="W870" s="706"/>
      <c r="X870" s="706"/>
      <c r="Y870" s="706"/>
      <c r="Z870" s="706"/>
      <c r="AA870" s="706"/>
      <c r="AB870" s="706"/>
      <c r="AC870" s="706"/>
    </row>
    <row r="871" spans="1:29">
      <c r="A871" s="2155"/>
      <c r="B871" s="2175" t="s">
        <v>295</v>
      </c>
      <c r="C871" s="2155"/>
      <c r="D871" s="2213">
        <f t="shared" si="117"/>
        <v>0</v>
      </c>
      <c r="E871" s="2188"/>
      <c r="F871" s="2188"/>
      <c r="G871" s="2189"/>
      <c r="H871" s="2197"/>
      <c r="I871" s="2222"/>
      <c r="J871" s="2214">
        <f t="shared" si="121"/>
        <v>0</v>
      </c>
      <c r="K871" s="2190"/>
      <c r="L871" s="2235"/>
      <c r="M871" s="2236"/>
      <c r="N871" s="2214">
        <f t="shared" si="119"/>
        <v>0</v>
      </c>
      <c r="O871" s="1149"/>
      <c r="P871" s="705"/>
      <c r="Q871" s="54"/>
      <c r="R871" s="706"/>
      <c r="S871" s="706"/>
      <c r="T871" s="706"/>
      <c r="U871" s="706"/>
      <c r="V871" s="706"/>
      <c r="W871" s="706"/>
      <c r="X871" s="706"/>
      <c r="Y871" s="706"/>
      <c r="Z871" s="706"/>
      <c r="AA871" s="706"/>
      <c r="AB871" s="706"/>
      <c r="AC871" s="706"/>
    </row>
    <row r="872" spans="1:29">
      <c r="A872" s="2155">
        <v>21</v>
      </c>
      <c r="B872" s="2154" t="s">
        <v>296</v>
      </c>
      <c r="C872" s="2161">
        <v>17</v>
      </c>
      <c r="D872" s="2213">
        <f t="shared" si="117"/>
        <v>49368892</v>
      </c>
      <c r="E872" s="2292"/>
      <c r="F872" s="2292"/>
      <c r="G872" s="2189">
        <v>8357321</v>
      </c>
      <c r="H872" s="2193">
        <v>4905791</v>
      </c>
      <c r="I872" s="2222">
        <v>35098969</v>
      </c>
      <c r="J872" s="2214">
        <f t="shared" si="121"/>
        <v>48362081</v>
      </c>
      <c r="K872" s="2190">
        <v>90619</v>
      </c>
      <c r="L872" s="2293"/>
      <c r="M872" s="2236">
        <v>916192</v>
      </c>
      <c r="N872" s="2214">
        <f t="shared" si="119"/>
        <v>1006811</v>
      </c>
      <c r="O872" s="1149"/>
      <c r="P872" s="705"/>
      <c r="Q872" s="707"/>
      <c r="R872" s="706"/>
      <c r="S872" s="706"/>
      <c r="T872" s="706"/>
      <c r="U872" s="706"/>
      <c r="V872" s="706"/>
      <c r="W872" s="706"/>
      <c r="X872" s="706"/>
      <c r="Y872" s="706"/>
      <c r="Z872" s="706"/>
      <c r="AA872" s="706"/>
      <c r="AB872" s="706"/>
      <c r="AC872" s="706"/>
    </row>
    <row r="873" spans="1:29">
      <c r="A873" s="2155">
        <v>22</v>
      </c>
      <c r="B873" s="2154" t="s">
        <v>297</v>
      </c>
      <c r="C873" s="2155"/>
      <c r="D873" s="2213">
        <f t="shared" si="117"/>
        <v>239915</v>
      </c>
      <c r="E873" s="2292"/>
      <c r="F873" s="2292"/>
      <c r="G873" s="1182">
        <v>0</v>
      </c>
      <c r="H873" s="1172">
        <v>239915</v>
      </c>
      <c r="I873" s="1194">
        <v>0</v>
      </c>
      <c r="J873" s="2214">
        <f t="shared" si="121"/>
        <v>239915</v>
      </c>
      <c r="K873" s="1183">
        <v>0</v>
      </c>
      <c r="L873" s="2293">
        <v>0</v>
      </c>
      <c r="M873" s="1195">
        <v>0</v>
      </c>
      <c r="N873" s="2214">
        <f t="shared" si="119"/>
        <v>0</v>
      </c>
      <c r="O873" s="1149"/>
      <c r="P873" s="705"/>
      <c r="Q873" s="707"/>
      <c r="R873" s="706"/>
      <c r="S873" s="706"/>
      <c r="T873" s="706"/>
      <c r="U873" s="706"/>
      <c r="V873" s="706"/>
      <c r="W873" s="706"/>
      <c r="X873" s="706"/>
      <c r="Y873" s="706"/>
      <c r="Z873" s="706"/>
      <c r="AA873" s="706"/>
      <c r="AB873" s="706"/>
      <c r="AC873" s="706"/>
    </row>
    <row r="874" spans="1:29">
      <c r="A874" s="2155">
        <v>23</v>
      </c>
      <c r="B874" s="2154" t="s">
        <v>298</v>
      </c>
      <c r="C874" s="2155">
        <v>18</v>
      </c>
      <c r="D874" s="2213">
        <f t="shared" si="117"/>
        <v>1038267</v>
      </c>
      <c r="E874" s="2292"/>
      <c r="F874" s="2292"/>
      <c r="G874" s="1182">
        <v>36338</v>
      </c>
      <c r="H874" s="1172">
        <v>1136017</v>
      </c>
      <c r="I874" s="1194">
        <v>-135480</v>
      </c>
      <c r="J874" s="2214">
        <f t="shared" si="121"/>
        <v>1036875</v>
      </c>
      <c r="K874" s="1183">
        <v>1392</v>
      </c>
      <c r="L874" s="2293">
        <v>0</v>
      </c>
      <c r="M874" s="1195">
        <v>0</v>
      </c>
      <c r="N874" s="2214">
        <f t="shared" si="119"/>
        <v>1392</v>
      </c>
      <c r="O874" s="1149"/>
      <c r="P874" s="705"/>
      <c r="Q874" s="707"/>
      <c r="R874" s="706"/>
      <c r="S874" s="706"/>
      <c r="T874" s="706"/>
      <c r="U874" s="706"/>
      <c r="V874" s="706"/>
      <c r="W874" s="706"/>
      <c r="X874" s="706"/>
      <c r="Y874" s="706"/>
      <c r="Z874" s="706"/>
      <c r="AA874" s="706"/>
      <c r="AB874" s="706"/>
      <c r="AC874" s="706"/>
    </row>
    <row r="875" spans="1:29">
      <c r="A875" s="2155">
        <v>24</v>
      </c>
      <c r="B875" s="2154" t="s">
        <v>299</v>
      </c>
      <c r="C875" s="2155"/>
      <c r="D875" s="2213">
        <f t="shared" si="117"/>
        <v>0</v>
      </c>
      <c r="E875" s="2292">
        <v>0</v>
      </c>
      <c r="F875" s="2292">
        <v>0</v>
      </c>
      <c r="G875" s="1182">
        <v>0</v>
      </c>
      <c r="H875" s="1172">
        <v>0</v>
      </c>
      <c r="I875" s="1194">
        <v>0</v>
      </c>
      <c r="J875" s="2214">
        <f t="shared" si="121"/>
        <v>0</v>
      </c>
      <c r="K875" s="1183">
        <v>0</v>
      </c>
      <c r="L875" s="2293">
        <v>0</v>
      </c>
      <c r="M875" s="1195">
        <v>0</v>
      </c>
      <c r="N875" s="2214">
        <f t="shared" si="119"/>
        <v>0</v>
      </c>
      <c r="O875" s="1149"/>
      <c r="P875" s="705"/>
      <c r="Q875" s="54"/>
      <c r="R875" s="706"/>
      <c r="S875" s="706"/>
      <c r="T875" s="706"/>
      <c r="U875" s="706"/>
      <c r="V875" s="706"/>
      <c r="W875" s="706"/>
      <c r="X875" s="706"/>
      <c r="Y875" s="706"/>
      <c r="Z875" s="706"/>
      <c r="AA875" s="706"/>
      <c r="AB875" s="706"/>
      <c r="AC875" s="706"/>
    </row>
    <row r="876" spans="1:29">
      <c r="A876" s="2155">
        <v>25</v>
      </c>
      <c r="B876" s="2176" t="s">
        <v>300</v>
      </c>
      <c r="C876" s="2155"/>
      <c r="D876" s="2213">
        <f t="shared" si="117"/>
        <v>0</v>
      </c>
      <c r="E876" s="2292">
        <v>0</v>
      </c>
      <c r="F876" s="2292">
        <v>0</v>
      </c>
      <c r="G876" s="1182">
        <v>0</v>
      </c>
      <c r="H876" s="1172">
        <v>0</v>
      </c>
      <c r="I876" s="1194">
        <v>0</v>
      </c>
      <c r="J876" s="2214">
        <f t="shared" si="121"/>
        <v>0</v>
      </c>
      <c r="K876" s="1183">
        <v>0</v>
      </c>
      <c r="L876" s="2293">
        <v>0</v>
      </c>
      <c r="M876" s="1195">
        <v>0</v>
      </c>
      <c r="N876" s="2214">
        <f t="shared" si="119"/>
        <v>0</v>
      </c>
      <c r="O876" s="1149"/>
      <c r="P876" s="705"/>
      <c r="Q876" s="54"/>
      <c r="R876" s="706"/>
      <c r="S876" s="706"/>
      <c r="T876" s="706"/>
      <c r="U876" s="706"/>
      <c r="V876" s="706"/>
      <c r="W876" s="706"/>
      <c r="X876" s="706"/>
      <c r="Y876" s="706"/>
      <c r="Z876" s="706"/>
      <c r="AA876" s="706"/>
      <c r="AB876" s="706"/>
      <c r="AC876" s="706"/>
    </row>
    <row r="877" spans="1:29" ht="13.5" thickBot="1">
      <c r="A877" s="2172">
        <v>26</v>
      </c>
      <c r="B877" s="2173" t="s">
        <v>301</v>
      </c>
      <c r="C877" s="2177">
        <v>19</v>
      </c>
      <c r="D877" s="2213">
        <f t="shared" si="117"/>
        <v>4659469</v>
      </c>
      <c r="E877" s="2188">
        <v>-1988992</v>
      </c>
      <c r="F877" s="1176">
        <v>504337</v>
      </c>
      <c r="G877" s="1202">
        <v>478199</v>
      </c>
      <c r="H877" s="394">
        <v>4544870</v>
      </c>
      <c r="I877" s="1203">
        <v>959070</v>
      </c>
      <c r="J877" s="1395">
        <v>5982139</v>
      </c>
      <c r="K877" s="1183">
        <v>145066</v>
      </c>
      <c r="L877" s="1282"/>
      <c r="M877" s="1203">
        <v>16919</v>
      </c>
      <c r="N877" s="2214">
        <f t="shared" si="119"/>
        <v>161985</v>
      </c>
      <c r="O877" s="1149"/>
      <c r="P877" s="705"/>
      <c r="Q877" s="707"/>
      <c r="R877" s="706"/>
      <c r="S877" s="706"/>
      <c r="T877" s="706"/>
      <c r="U877" s="706"/>
      <c r="V877" s="706"/>
      <c r="W877" s="706"/>
      <c r="X877" s="706"/>
      <c r="Y877" s="706"/>
      <c r="Z877" s="706"/>
      <c r="AA877" s="706"/>
      <c r="AB877" s="706"/>
      <c r="AC877" s="706"/>
    </row>
    <row r="878" spans="1:29" ht="24" customHeight="1" thickBot="1">
      <c r="A878" s="1348">
        <v>27</v>
      </c>
      <c r="B878" s="1349" t="s">
        <v>302</v>
      </c>
      <c r="C878" s="1348"/>
      <c r="D878" s="1389">
        <f t="shared" si="117"/>
        <v>55306543</v>
      </c>
      <c r="E878" s="1181">
        <f>SUM(E872:E877)</f>
        <v>-1988992</v>
      </c>
      <c r="F878" s="1181">
        <f>SUM(F872:F877)</f>
        <v>504337</v>
      </c>
      <c r="G878" s="1181">
        <f>SUM(G872:G877)</f>
        <v>8871858</v>
      </c>
      <c r="H878" s="1185">
        <f>SUM(H872:H877)</f>
        <v>10826593</v>
      </c>
      <c r="I878" s="1258">
        <f>SUM(I872:I877)</f>
        <v>35922559</v>
      </c>
      <c r="J878" s="1394">
        <f>G878+H878+I878</f>
        <v>55621010</v>
      </c>
      <c r="K878" s="1181">
        <f>SUM(K872:K877)</f>
        <v>237077</v>
      </c>
      <c r="L878" s="1289">
        <f>SUM(L872:L877)</f>
        <v>0</v>
      </c>
      <c r="M878" s="1258">
        <f>SUM(M872:M877)</f>
        <v>933111</v>
      </c>
      <c r="N878" s="1394">
        <f t="shared" si="119"/>
        <v>1170188</v>
      </c>
      <c r="O878" s="1149"/>
      <c r="P878" s="705"/>
      <c r="Q878" s="707"/>
      <c r="R878" s="706"/>
      <c r="S878" s="706"/>
      <c r="T878" s="706"/>
      <c r="U878" s="706"/>
      <c r="V878" s="706"/>
      <c r="W878" s="706"/>
      <c r="X878" s="706"/>
      <c r="Y878" s="706"/>
      <c r="Z878" s="706"/>
      <c r="AA878" s="706"/>
      <c r="AB878" s="706"/>
      <c r="AC878" s="706"/>
    </row>
    <row r="879" spans="1:29">
      <c r="A879" s="1346"/>
      <c r="B879" s="1347" t="s">
        <v>303</v>
      </c>
      <c r="C879" s="1346">
        <v>20</v>
      </c>
      <c r="D879" s="1387">
        <f t="shared" si="117"/>
        <v>0</v>
      </c>
      <c r="E879" s="1283"/>
      <c r="F879" s="1283"/>
      <c r="G879" s="1284"/>
      <c r="H879" s="1285"/>
      <c r="I879" s="1286"/>
      <c r="J879" s="1395">
        <f t="shared" ref="J879:J885" si="122">G879+H879+I879</f>
        <v>0</v>
      </c>
      <c r="K879" s="1284"/>
      <c r="L879" s="1287"/>
      <c r="M879" s="1288"/>
      <c r="N879" s="1395">
        <f t="shared" si="119"/>
        <v>0</v>
      </c>
      <c r="O879" s="1149"/>
      <c r="P879" s="705"/>
      <c r="Q879" s="54"/>
      <c r="R879" s="706"/>
      <c r="S879" s="706"/>
      <c r="T879" s="706"/>
      <c r="U879" s="706"/>
      <c r="V879" s="706"/>
      <c r="W879" s="706"/>
      <c r="X879" s="706"/>
      <c r="Y879" s="706"/>
      <c r="Z879" s="706"/>
      <c r="AA879" s="706"/>
      <c r="AB879" s="706"/>
      <c r="AC879" s="706"/>
    </row>
    <row r="880" spans="1:29">
      <c r="A880" s="2155">
        <v>28</v>
      </c>
      <c r="B880" s="2154" t="s">
        <v>304</v>
      </c>
      <c r="C880" s="2161"/>
      <c r="D880" s="2213">
        <f t="shared" si="117"/>
        <v>1000000</v>
      </c>
      <c r="E880" s="2292">
        <v>0</v>
      </c>
      <c r="F880" s="2188">
        <v>1000000</v>
      </c>
      <c r="G880" s="2189">
        <v>0</v>
      </c>
      <c r="H880" s="2193">
        <v>0</v>
      </c>
      <c r="I880" s="2197">
        <v>0</v>
      </c>
      <c r="J880" s="2195">
        <v>0</v>
      </c>
      <c r="K880" s="2197">
        <v>0</v>
      </c>
      <c r="L880" s="2294"/>
      <c r="M880" s="2295">
        <v>0</v>
      </c>
      <c r="N880" s="2214">
        <f t="shared" si="119"/>
        <v>0</v>
      </c>
      <c r="O880" s="1149"/>
      <c r="P880" s="705"/>
      <c r="Q880" s="707"/>
      <c r="R880" s="706"/>
      <c r="S880" s="706"/>
      <c r="T880" s="706"/>
      <c r="U880" s="706"/>
      <c r="V880" s="706"/>
      <c r="W880" s="706"/>
      <c r="X880" s="706"/>
      <c r="Y880" s="706"/>
      <c r="Z880" s="706"/>
      <c r="AA880" s="706"/>
      <c r="AB880" s="706"/>
      <c r="AC880" s="706"/>
    </row>
    <row r="881" spans="1:29">
      <c r="A881" s="2155">
        <v>29</v>
      </c>
      <c r="B881" s="2154" t="s">
        <v>305</v>
      </c>
      <c r="C881" s="2161"/>
      <c r="D881" s="2213">
        <f t="shared" si="117"/>
        <v>213023</v>
      </c>
      <c r="E881" s="2292">
        <v>0</v>
      </c>
      <c r="F881" s="1171">
        <v>139742</v>
      </c>
      <c r="G881" s="1182">
        <v>40843</v>
      </c>
      <c r="H881" s="1172">
        <v>-55134</v>
      </c>
      <c r="I881" s="1174">
        <v>85927</v>
      </c>
      <c r="J881" s="1401">
        <v>71636</v>
      </c>
      <c r="K881" s="2189">
        <v>1645</v>
      </c>
      <c r="L881" s="2294"/>
      <c r="M881" s="2295">
        <v>0</v>
      </c>
      <c r="N881" s="2214">
        <f t="shared" si="119"/>
        <v>1645</v>
      </c>
      <c r="O881" s="1149"/>
      <c r="P881" s="705"/>
      <c r="Q881" s="707"/>
      <c r="R881" s="706"/>
      <c r="S881" s="706"/>
      <c r="T881" s="706"/>
      <c r="U881" s="706"/>
      <c r="V881" s="706"/>
      <c r="W881" s="706"/>
      <c r="X881" s="706"/>
      <c r="Y881" s="706"/>
      <c r="Z881" s="706"/>
      <c r="AA881" s="706"/>
      <c r="AB881" s="706"/>
      <c r="AC881" s="706"/>
    </row>
    <row r="882" spans="1:29">
      <c r="A882" s="2155">
        <v>30</v>
      </c>
      <c r="B882" s="2173" t="s">
        <v>306</v>
      </c>
      <c r="C882" s="2177"/>
      <c r="D882" s="2213">
        <f t="shared" si="117"/>
        <v>2272226</v>
      </c>
      <c r="E882" s="2292">
        <v>0</v>
      </c>
      <c r="F882" s="1175">
        <v>475861</v>
      </c>
      <c r="G882" s="1202"/>
      <c r="H882" s="1270">
        <v>1796365</v>
      </c>
      <c r="I882" s="1200">
        <v>0</v>
      </c>
      <c r="J882" s="1401">
        <v>1796365</v>
      </c>
      <c r="K882" s="2296"/>
      <c r="L882" s="2297"/>
      <c r="M882" s="2298">
        <v>0</v>
      </c>
      <c r="N882" s="2214">
        <f t="shared" si="119"/>
        <v>0</v>
      </c>
      <c r="O882" s="1149"/>
      <c r="P882" s="705"/>
      <c r="Q882" s="707"/>
      <c r="R882" s="706"/>
      <c r="S882" s="706"/>
      <c r="T882" s="706"/>
      <c r="U882" s="706"/>
      <c r="V882" s="706"/>
      <c r="W882" s="706"/>
      <c r="X882" s="706"/>
      <c r="Y882" s="706"/>
      <c r="Z882" s="706"/>
      <c r="AA882" s="706"/>
      <c r="AB882" s="706"/>
      <c r="AC882" s="706"/>
    </row>
    <row r="883" spans="1:29">
      <c r="A883" s="2155">
        <v>31</v>
      </c>
      <c r="B883" s="2173" t="s">
        <v>307</v>
      </c>
      <c r="C883" s="2177"/>
      <c r="D883" s="2213">
        <f t="shared" si="117"/>
        <v>3381934</v>
      </c>
      <c r="E883" s="2292">
        <v>0</v>
      </c>
      <c r="F883" s="1176">
        <v>3381934</v>
      </c>
      <c r="G883" s="1208">
        <v>0</v>
      </c>
      <c r="H883" s="1177">
        <v>0</v>
      </c>
      <c r="I883" s="2210">
        <v>0</v>
      </c>
      <c r="J883" s="1401">
        <v>0</v>
      </c>
      <c r="K883" s="2296">
        <v>0</v>
      </c>
      <c r="L883" s="2297"/>
      <c r="M883" s="2298">
        <v>0</v>
      </c>
      <c r="N883" s="2214">
        <f t="shared" si="119"/>
        <v>0</v>
      </c>
      <c r="O883" s="1149"/>
      <c r="P883" s="705"/>
      <c r="Q883" s="707"/>
      <c r="R883" s="706"/>
      <c r="S883" s="706"/>
      <c r="T883" s="706"/>
      <c r="U883" s="706"/>
      <c r="V883" s="706"/>
      <c r="W883" s="706"/>
      <c r="X883" s="706"/>
      <c r="Y883" s="706"/>
      <c r="Z883" s="706"/>
      <c r="AA883" s="706"/>
      <c r="AB883" s="706"/>
      <c r="AC883" s="706"/>
    </row>
    <row r="884" spans="1:29" ht="13.5" thickBot="1">
      <c r="A884" s="2172">
        <v>32</v>
      </c>
      <c r="B884" s="2173" t="s">
        <v>308</v>
      </c>
      <c r="C884" s="2177"/>
      <c r="D884" s="2213">
        <f t="shared" si="117"/>
        <v>8587910</v>
      </c>
      <c r="E884" s="2292"/>
      <c r="F884" s="1176">
        <v>8587910</v>
      </c>
      <c r="G884" s="1208">
        <v>0</v>
      </c>
      <c r="H884" s="1177">
        <v>0</v>
      </c>
      <c r="I884" s="2210">
        <v>0</v>
      </c>
      <c r="J884" s="1401">
        <v>0</v>
      </c>
      <c r="K884" s="1305"/>
      <c r="L884" s="2299"/>
      <c r="M884" s="2300">
        <v>0</v>
      </c>
      <c r="N884" s="2214">
        <f t="shared" si="119"/>
        <v>0</v>
      </c>
      <c r="O884" s="1149"/>
      <c r="P884" s="705"/>
      <c r="Q884" s="707"/>
      <c r="R884" s="706"/>
      <c r="S884" s="706"/>
      <c r="T884" s="706"/>
      <c r="U884" s="706"/>
      <c r="V884" s="706"/>
      <c r="W884" s="706"/>
      <c r="X884" s="706"/>
      <c r="Y884" s="706"/>
      <c r="Z884" s="706"/>
      <c r="AA884" s="706"/>
      <c r="AB884" s="706"/>
      <c r="AC884" s="706"/>
    </row>
    <row r="885" spans="1:29" ht="13.5" thickBot="1">
      <c r="A885" s="1348">
        <v>33</v>
      </c>
      <c r="B885" s="1384" t="s">
        <v>309</v>
      </c>
      <c r="C885" s="1385"/>
      <c r="D885" s="1390">
        <f t="shared" si="117"/>
        <v>15455093</v>
      </c>
      <c r="E885" s="1186">
        <f>SUM(E880:E884)</f>
        <v>0</v>
      </c>
      <c r="F885" s="1186">
        <v>13585447</v>
      </c>
      <c r="G885" s="1186">
        <f>SUM(G880:G884)</f>
        <v>40843</v>
      </c>
      <c r="H885" s="1187">
        <f>SUM(H880:H884)</f>
        <v>1741231</v>
      </c>
      <c r="I885" s="1210">
        <f>SUM(I880:I884)</f>
        <v>85927</v>
      </c>
      <c r="J885" s="1466">
        <f t="shared" si="122"/>
        <v>1868001</v>
      </c>
      <c r="K885" s="1290">
        <f>SUM(K880:K884)</f>
        <v>1645</v>
      </c>
      <c r="L885" s="1187">
        <f>SUM(L880:L884)</f>
        <v>0</v>
      </c>
      <c r="M885" s="1210">
        <f>SUM(M880:M884)</f>
        <v>0</v>
      </c>
      <c r="N885" s="1397">
        <f t="shared" si="119"/>
        <v>1645</v>
      </c>
      <c r="O885" s="1149"/>
      <c r="P885" s="705"/>
      <c r="Q885" s="707"/>
      <c r="R885" s="706"/>
      <c r="S885" s="706"/>
      <c r="T885" s="706"/>
      <c r="U885" s="706"/>
      <c r="V885" s="706"/>
      <c r="W885" s="706"/>
      <c r="X885" s="706"/>
      <c r="Y885" s="706"/>
      <c r="Z885" s="706"/>
      <c r="AA885" s="706"/>
      <c r="AB885" s="706"/>
      <c r="AC885" s="706"/>
    </row>
    <row r="886" spans="1:29" ht="26.25" thickBot="1">
      <c r="A886" s="1351">
        <v>34</v>
      </c>
      <c r="B886" s="1352" t="s">
        <v>310</v>
      </c>
      <c r="C886" s="1351"/>
      <c r="D886" s="1381">
        <f>+E886+F886+J886+N886</f>
        <v>70761636</v>
      </c>
      <c r="E886" s="1381">
        <f>E885+E878</f>
        <v>-1988992</v>
      </c>
      <c r="F886" s="1381">
        <f>F885+F878</f>
        <v>14089784</v>
      </c>
      <c r="G886" s="1381">
        <f>G885+G878</f>
        <v>8912701</v>
      </c>
      <c r="H886" s="1381">
        <f>H885+H878</f>
        <v>12567824</v>
      </c>
      <c r="I886" s="1381">
        <f>I885+I878</f>
        <v>36008486</v>
      </c>
      <c r="J886" s="1381">
        <f>G886+H886+I886</f>
        <v>57489011</v>
      </c>
      <c r="K886" s="1381">
        <f>K885+K878</f>
        <v>238722</v>
      </c>
      <c r="L886" s="1381">
        <f>L885+L878</f>
        <v>0</v>
      </c>
      <c r="M886" s="1381">
        <f>M885+M878</f>
        <v>933111</v>
      </c>
      <c r="N886" s="1381">
        <f t="shared" si="119"/>
        <v>1171833</v>
      </c>
      <c r="O886" s="1149"/>
      <c r="P886" s="705"/>
      <c r="Q886" s="707"/>
      <c r="R886" s="706"/>
      <c r="S886" s="706"/>
      <c r="T886" s="706"/>
      <c r="U886" s="706"/>
      <c r="V886" s="706"/>
      <c r="W886" s="706"/>
      <c r="X886" s="706"/>
      <c r="Y886" s="706"/>
      <c r="Z886" s="706"/>
      <c r="AA886" s="706"/>
      <c r="AB886" s="706"/>
      <c r="AC886" s="706"/>
    </row>
    <row r="888" spans="1:29">
      <c r="B888" s="680"/>
      <c r="D888" s="679"/>
      <c r="E888" s="679"/>
      <c r="F888" s="679"/>
      <c r="G888" s="679"/>
      <c r="H888" s="679"/>
      <c r="I888" s="679"/>
      <c r="J888" s="679"/>
      <c r="K888" s="679"/>
      <c r="L888" s="679"/>
      <c r="M888" s="679"/>
      <c r="N888" s="679">
        <v>29</v>
      </c>
      <c r="O888" s="679"/>
    </row>
    <row r="889" spans="1:29">
      <c r="D889" s="679"/>
      <c r="E889" s="679"/>
      <c r="F889" s="679"/>
      <c r="G889" s="679"/>
      <c r="H889" s="679"/>
      <c r="I889" s="679"/>
      <c r="J889" s="679"/>
      <c r="K889" s="679"/>
      <c r="L889" s="679"/>
      <c r="M889" s="679"/>
      <c r="N889" s="679"/>
      <c r="O889" s="679"/>
      <c r="P889" s="679"/>
      <c r="Q889" s="679"/>
      <c r="R889" s="679"/>
      <c r="S889" s="679"/>
      <c r="T889" s="679"/>
    </row>
    <row r="892" spans="1:29">
      <c r="F892" s="679"/>
    </row>
  </sheetData>
  <mergeCells count="315">
    <mergeCell ref="M267:N267"/>
    <mergeCell ref="M271:M272"/>
    <mergeCell ref="M323:M324"/>
    <mergeCell ref="M375:M376"/>
    <mergeCell ref="G321:J321"/>
    <mergeCell ref="G268:N268"/>
    <mergeCell ref="G269:J269"/>
    <mergeCell ref="K269:N269"/>
    <mergeCell ref="B423:C423"/>
    <mergeCell ref="B319:C319"/>
    <mergeCell ref="C320:C324"/>
    <mergeCell ref="D320:D322"/>
    <mergeCell ref="E320:E322"/>
    <mergeCell ref="F320:F322"/>
    <mergeCell ref="G320:N320"/>
    <mergeCell ref="B371:C371"/>
    <mergeCell ref="M423:N423"/>
    <mergeCell ref="M371:N371"/>
    <mergeCell ref="M319:N319"/>
    <mergeCell ref="G271:G272"/>
    <mergeCell ref="H271:H272"/>
    <mergeCell ref="I271:I272"/>
    <mergeCell ref="K271:K272"/>
    <mergeCell ref="L271:L272"/>
    <mergeCell ref="M219:M220"/>
    <mergeCell ref="B215:C215"/>
    <mergeCell ref="M215:N215"/>
    <mergeCell ref="M163:N163"/>
    <mergeCell ref="K167:K168"/>
    <mergeCell ref="L167:L168"/>
    <mergeCell ref="M167:M168"/>
    <mergeCell ref="C216:C220"/>
    <mergeCell ref="D216:D218"/>
    <mergeCell ref="E216:E218"/>
    <mergeCell ref="F216:F218"/>
    <mergeCell ref="G216:N216"/>
    <mergeCell ref="G217:J217"/>
    <mergeCell ref="K217:N217"/>
    <mergeCell ref="K219:K220"/>
    <mergeCell ref="L219:L220"/>
    <mergeCell ref="G164:N164"/>
    <mergeCell ref="G165:J165"/>
    <mergeCell ref="K165:N165"/>
    <mergeCell ref="G219:G220"/>
    <mergeCell ref="H219:H220"/>
    <mergeCell ref="I219:I220"/>
    <mergeCell ref="I11:I12"/>
    <mergeCell ref="K11:K12"/>
    <mergeCell ref="L11:L12"/>
    <mergeCell ref="M11:M12"/>
    <mergeCell ref="K113:N113"/>
    <mergeCell ref="M111:N111"/>
    <mergeCell ref="L63:L64"/>
    <mergeCell ref="M63:M64"/>
    <mergeCell ref="B112:B116"/>
    <mergeCell ref="G115:G116"/>
    <mergeCell ref="H115:H116"/>
    <mergeCell ref="I115:I116"/>
    <mergeCell ref="G113:J113"/>
    <mergeCell ref="K115:K116"/>
    <mergeCell ref="L115:L116"/>
    <mergeCell ref="M115:M116"/>
    <mergeCell ref="B111:C111"/>
    <mergeCell ref="C112:C116"/>
    <mergeCell ref="D112:D114"/>
    <mergeCell ref="E112:E114"/>
    <mergeCell ref="F112:F114"/>
    <mergeCell ref="G112:N112"/>
    <mergeCell ref="E115:E116"/>
    <mergeCell ref="F115:F116"/>
    <mergeCell ref="B787:C787"/>
    <mergeCell ref="C788:C792"/>
    <mergeCell ref="D788:D790"/>
    <mergeCell ref="E788:E790"/>
    <mergeCell ref="F788:F790"/>
    <mergeCell ref="G788:N788"/>
    <mergeCell ref="G789:J789"/>
    <mergeCell ref="A7:C7"/>
    <mergeCell ref="C8:C12"/>
    <mergeCell ref="D8:D10"/>
    <mergeCell ref="E8:E10"/>
    <mergeCell ref="F8:F10"/>
    <mergeCell ref="G8:N8"/>
    <mergeCell ref="G9:J9"/>
    <mergeCell ref="K9:N9"/>
    <mergeCell ref="B59:C59"/>
    <mergeCell ref="M59:N59"/>
    <mergeCell ref="M7:N7"/>
    <mergeCell ref="A8:A12"/>
    <mergeCell ref="B8:B12"/>
    <mergeCell ref="E11:E12"/>
    <mergeCell ref="F11:F12"/>
    <mergeCell ref="G11:G12"/>
    <mergeCell ref="H11:H12"/>
    <mergeCell ref="B527:C527"/>
    <mergeCell ref="M735:N735"/>
    <mergeCell ref="K635:K636"/>
    <mergeCell ref="L635:L636"/>
    <mergeCell ref="M635:M636"/>
    <mergeCell ref="M687:M688"/>
    <mergeCell ref="M683:N683"/>
    <mergeCell ref="M843:M844"/>
    <mergeCell ref="C528:C532"/>
    <mergeCell ref="D528:D530"/>
    <mergeCell ref="E528:E530"/>
    <mergeCell ref="F528:F530"/>
    <mergeCell ref="G528:N528"/>
    <mergeCell ref="G529:J529"/>
    <mergeCell ref="K529:N529"/>
    <mergeCell ref="B579:C579"/>
    <mergeCell ref="C580:C584"/>
    <mergeCell ref="D580:D582"/>
    <mergeCell ref="E580:E582"/>
    <mergeCell ref="F580:F582"/>
    <mergeCell ref="G580:N580"/>
    <mergeCell ref="G581:J581"/>
    <mergeCell ref="K581:N581"/>
    <mergeCell ref="B631:C631"/>
    <mergeCell ref="B475:C475"/>
    <mergeCell ref="C476:C480"/>
    <mergeCell ref="D476:D478"/>
    <mergeCell ref="E476:E478"/>
    <mergeCell ref="F476:F478"/>
    <mergeCell ref="G476:N476"/>
    <mergeCell ref="G477:J477"/>
    <mergeCell ref="K477:N477"/>
    <mergeCell ref="M475:N475"/>
    <mergeCell ref="B735:C735"/>
    <mergeCell ref="M839:N839"/>
    <mergeCell ref="M787:N787"/>
    <mergeCell ref="M838:N838"/>
    <mergeCell ref="K791:K792"/>
    <mergeCell ref="L791:L792"/>
    <mergeCell ref="M791:M792"/>
    <mergeCell ref="M631:N631"/>
    <mergeCell ref="M579:N579"/>
    <mergeCell ref="B683:C683"/>
    <mergeCell ref="C684:C688"/>
    <mergeCell ref="D684:D686"/>
    <mergeCell ref="E684:E686"/>
    <mergeCell ref="F684:F686"/>
    <mergeCell ref="G684:N684"/>
    <mergeCell ref="G685:J685"/>
    <mergeCell ref="K685:N685"/>
    <mergeCell ref="C632:C636"/>
    <mergeCell ref="D632:D634"/>
    <mergeCell ref="E632:E634"/>
    <mergeCell ref="F632:F634"/>
    <mergeCell ref="G632:N632"/>
    <mergeCell ref="K633:N633"/>
    <mergeCell ref="K789:N789"/>
    <mergeCell ref="M527:N527"/>
    <mergeCell ref="M427:M428"/>
    <mergeCell ref="M479:M480"/>
    <mergeCell ref="M531:M532"/>
    <mergeCell ref="G372:N372"/>
    <mergeCell ref="G373:J373"/>
    <mergeCell ref="K373:N373"/>
    <mergeCell ref="I531:I532"/>
    <mergeCell ref="K531:K532"/>
    <mergeCell ref="L531:L532"/>
    <mergeCell ref="G424:N424"/>
    <mergeCell ref="G425:J425"/>
    <mergeCell ref="K425:N425"/>
    <mergeCell ref="A60:A64"/>
    <mergeCell ref="B60:B64"/>
    <mergeCell ref="E63:E64"/>
    <mergeCell ref="F63:F64"/>
    <mergeCell ref="G63:G64"/>
    <mergeCell ref="H63:H64"/>
    <mergeCell ref="I63:I64"/>
    <mergeCell ref="K63:K64"/>
    <mergeCell ref="C60:C64"/>
    <mergeCell ref="E60:E62"/>
    <mergeCell ref="F60:F62"/>
    <mergeCell ref="G60:N60"/>
    <mergeCell ref="G61:J61"/>
    <mergeCell ref="K61:N61"/>
    <mergeCell ref="D60:D64"/>
    <mergeCell ref="A164:A168"/>
    <mergeCell ref="B164:B168"/>
    <mergeCell ref="E167:E168"/>
    <mergeCell ref="F167:F168"/>
    <mergeCell ref="G167:G168"/>
    <mergeCell ref="H167:H168"/>
    <mergeCell ref="I167:I168"/>
    <mergeCell ref="A112:A116"/>
    <mergeCell ref="B163:C163"/>
    <mergeCell ref="C164:C168"/>
    <mergeCell ref="D164:D166"/>
    <mergeCell ref="E164:E166"/>
    <mergeCell ref="F164:F166"/>
    <mergeCell ref="A268:A272"/>
    <mergeCell ref="B268:B272"/>
    <mergeCell ref="E271:E272"/>
    <mergeCell ref="F271:F272"/>
    <mergeCell ref="A216:A220"/>
    <mergeCell ref="B216:B220"/>
    <mergeCell ref="E219:E220"/>
    <mergeCell ref="F219:F220"/>
    <mergeCell ref="B267:C267"/>
    <mergeCell ref="C268:C272"/>
    <mergeCell ref="D268:D270"/>
    <mergeCell ref="E268:E270"/>
    <mergeCell ref="F268:F270"/>
    <mergeCell ref="A320:A324"/>
    <mergeCell ref="B320:B324"/>
    <mergeCell ref="E323:E324"/>
    <mergeCell ref="F323:F324"/>
    <mergeCell ref="G323:G324"/>
    <mergeCell ref="H323:H324"/>
    <mergeCell ref="I323:I324"/>
    <mergeCell ref="K323:K324"/>
    <mergeCell ref="L323:L324"/>
    <mergeCell ref="K321:N321"/>
    <mergeCell ref="A372:A376"/>
    <mergeCell ref="B372:B376"/>
    <mergeCell ref="E375:E376"/>
    <mergeCell ref="F375:F376"/>
    <mergeCell ref="G375:G376"/>
    <mergeCell ref="H375:H376"/>
    <mergeCell ref="I375:I376"/>
    <mergeCell ref="K375:K376"/>
    <mergeCell ref="L375:L376"/>
    <mergeCell ref="C372:C376"/>
    <mergeCell ref="D372:D374"/>
    <mergeCell ref="E372:E374"/>
    <mergeCell ref="F372:F374"/>
    <mergeCell ref="A424:A428"/>
    <mergeCell ref="B424:B428"/>
    <mergeCell ref="E427:E428"/>
    <mergeCell ref="F427:F428"/>
    <mergeCell ref="G427:G428"/>
    <mergeCell ref="H427:H428"/>
    <mergeCell ref="I427:I428"/>
    <mergeCell ref="K427:K428"/>
    <mergeCell ref="L427:L428"/>
    <mergeCell ref="C424:C428"/>
    <mergeCell ref="D424:D426"/>
    <mergeCell ref="E424:E426"/>
    <mergeCell ref="F424:F426"/>
    <mergeCell ref="A476:A480"/>
    <mergeCell ref="B476:B480"/>
    <mergeCell ref="E479:E480"/>
    <mergeCell ref="F479:F480"/>
    <mergeCell ref="G479:G480"/>
    <mergeCell ref="H479:H480"/>
    <mergeCell ref="I479:I480"/>
    <mergeCell ref="K479:K480"/>
    <mergeCell ref="L479:L480"/>
    <mergeCell ref="A580:A584"/>
    <mergeCell ref="B580:B584"/>
    <mergeCell ref="A632:A636"/>
    <mergeCell ref="B632:B636"/>
    <mergeCell ref="E635:E636"/>
    <mergeCell ref="F635:F636"/>
    <mergeCell ref="G635:G636"/>
    <mergeCell ref="H635:H636"/>
    <mergeCell ref="A528:A532"/>
    <mergeCell ref="B528:B532"/>
    <mergeCell ref="E531:E532"/>
    <mergeCell ref="F531:F532"/>
    <mergeCell ref="G531:G532"/>
    <mergeCell ref="H531:H532"/>
    <mergeCell ref="G633:J633"/>
    <mergeCell ref="A684:A688"/>
    <mergeCell ref="B684:B688"/>
    <mergeCell ref="E687:E688"/>
    <mergeCell ref="F687:F688"/>
    <mergeCell ref="G687:G688"/>
    <mergeCell ref="H687:H688"/>
    <mergeCell ref="I687:I688"/>
    <mergeCell ref="K687:K688"/>
    <mergeCell ref="L687:L688"/>
    <mergeCell ref="A736:A740"/>
    <mergeCell ref="B736:B740"/>
    <mergeCell ref="E739:E740"/>
    <mergeCell ref="F739:F740"/>
    <mergeCell ref="G739:G740"/>
    <mergeCell ref="H739:H740"/>
    <mergeCell ref="I739:I740"/>
    <mergeCell ref="K739:K740"/>
    <mergeCell ref="L739:L740"/>
    <mergeCell ref="K737:N737"/>
    <mergeCell ref="M739:M740"/>
    <mergeCell ref="D736:D738"/>
    <mergeCell ref="E736:E738"/>
    <mergeCell ref="F736:F738"/>
    <mergeCell ref="G736:N736"/>
    <mergeCell ref="G737:J737"/>
    <mergeCell ref="C736:C740"/>
    <mergeCell ref="A788:A792"/>
    <mergeCell ref="B788:B792"/>
    <mergeCell ref="A840:A844"/>
    <mergeCell ref="B840:B844"/>
    <mergeCell ref="E843:E844"/>
    <mergeCell ref="F843:F844"/>
    <mergeCell ref="G843:G844"/>
    <mergeCell ref="H843:H844"/>
    <mergeCell ref="I843:I844"/>
    <mergeCell ref="E791:E792"/>
    <mergeCell ref="F791:F792"/>
    <mergeCell ref="G791:G792"/>
    <mergeCell ref="H791:H792"/>
    <mergeCell ref="I791:I792"/>
    <mergeCell ref="B839:C839"/>
    <mergeCell ref="C840:C844"/>
    <mergeCell ref="D840:D842"/>
    <mergeCell ref="E840:E842"/>
    <mergeCell ref="F840:F842"/>
    <mergeCell ref="G840:N840"/>
    <mergeCell ref="G841:J841"/>
    <mergeCell ref="K841:N841"/>
    <mergeCell ref="K843:K844"/>
    <mergeCell ref="L843:L844"/>
  </mergeCells>
  <pageMargins left="0.36" right="0.34" top="0.6" bottom="0.75" header="0.3" footer="0.3"/>
  <pageSetup paperSize="9" scale="58" orientation="landscape" r:id="rId1"/>
  <rowBreaks count="16" manualBreakCount="16">
    <brk id="56" min="2" max="13" man="1"/>
    <brk id="108" min="2" max="13" man="1"/>
    <brk id="160" min="2" max="13" man="1"/>
    <brk id="212" min="2" max="13" man="1"/>
    <brk id="264" min="2" max="13" man="1"/>
    <brk id="316" min="2" max="13" man="1"/>
    <brk id="368" min="2" max="13" man="1"/>
    <brk id="420" min="2" max="13" man="1"/>
    <brk id="472" min="2" max="13" man="1"/>
    <brk id="524" min="2" max="13" man="1"/>
    <brk id="576" min="2" max="13" man="1"/>
    <brk id="628" min="2" max="13" man="1"/>
    <brk id="680" min="2" max="13" man="1"/>
    <brk id="732" min="2" max="13" man="1"/>
    <brk id="784" min="2" max="13" man="1"/>
    <brk id="836" min="2" max="1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2:AQ903"/>
  <sheetViews>
    <sheetView showGridLines="0" view="pageBreakPreview" topLeftCell="A860" zoomScale="55" zoomScaleNormal="80" zoomScaleSheetLayoutView="55" workbookViewId="0">
      <selection activeCell="AS631" sqref="AS631:AT631"/>
    </sheetView>
  </sheetViews>
  <sheetFormatPr defaultColWidth="9.140625" defaultRowHeight="12.75"/>
  <cols>
    <col min="1" max="1" width="10.42578125" style="673" customWidth="1"/>
    <col min="2" max="2" width="32.28515625" style="673" customWidth="1"/>
    <col min="3" max="3" width="8.5703125" style="673" customWidth="1"/>
    <col min="4" max="4" width="18.5703125" style="673" customWidth="1"/>
    <col min="5" max="14" width="15.42578125" style="673" customWidth="1"/>
    <col min="15" max="15" width="13.85546875" style="673" customWidth="1"/>
    <col min="16" max="17" width="13.7109375" style="673" customWidth="1"/>
    <col min="18" max="18" width="14.85546875" style="699" customWidth="1"/>
    <col min="19" max="19" width="13.140625" style="699" customWidth="1"/>
    <col min="20" max="20" width="10.140625" style="699" customWidth="1"/>
    <col min="21" max="21" width="11.85546875" style="699" customWidth="1"/>
    <col min="22" max="29" width="7.28515625" style="699" customWidth="1"/>
    <col min="30" max="30" width="8.7109375" style="673" customWidth="1"/>
    <col min="31" max="42" width="9.140625" style="675"/>
    <col min="43" max="16384" width="9.140625" style="673"/>
  </cols>
  <sheetData>
    <row r="2" spans="1:32">
      <c r="O2" s="674"/>
    </row>
    <row r="3" spans="1:32">
      <c r="B3" s="913" t="s">
        <v>319</v>
      </c>
      <c r="O3" s="700"/>
    </row>
    <row r="4" spans="1:32">
      <c r="B4" s="913"/>
      <c r="O4" s="700"/>
    </row>
    <row r="5" spans="1:32">
      <c r="B5" s="913" t="s">
        <v>320</v>
      </c>
      <c r="O5" s="700"/>
    </row>
    <row r="6" spans="1:32" ht="13.5" thickBot="1">
      <c r="O6" s="700"/>
    </row>
    <row r="7" spans="1:32" ht="15.75" customHeight="1" thickBot="1">
      <c r="A7" s="3540" t="s">
        <v>250</v>
      </c>
      <c r="B7" s="3541"/>
      <c r="C7" s="3541"/>
      <c r="D7" s="3542"/>
      <c r="M7" s="3538" t="s">
        <v>251</v>
      </c>
      <c r="N7" s="3538"/>
      <c r="O7" s="701"/>
    </row>
    <row r="8" spans="1:32" ht="12.75" customHeight="1" thickBot="1">
      <c r="A8" s="3555" t="s">
        <v>252</v>
      </c>
      <c r="B8" s="1467"/>
      <c r="C8" s="3523" t="s">
        <v>254</v>
      </c>
      <c r="D8" s="3562" t="s">
        <v>255</v>
      </c>
      <c r="E8" s="3562" t="s">
        <v>256</v>
      </c>
      <c r="F8" s="3562" t="s">
        <v>257</v>
      </c>
      <c r="G8" s="3565" t="s">
        <v>258</v>
      </c>
      <c r="H8" s="3566"/>
      <c r="I8" s="3566"/>
      <c r="J8" s="3566"/>
      <c r="K8" s="3566"/>
      <c r="L8" s="3566"/>
      <c r="M8" s="3566"/>
      <c r="N8" s="3567"/>
      <c r="O8" s="702"/>
    </row>
    <row r="9" spans="1:32" ht="12.75" customHeight="1" thickBot="1">
      <c r="A9" s="3556"/>
      <c r="B9" s="1468"/>
      <c r="C9" s="3524"/>
      <c r="D9" s="3563"/>
      <c r="E9" s="3563"/>
      <c r="F9" s="3563"/>
      <c r="G9" s="3529" t="s">
        <v>259</v>
      </c>
      <c r="H9" s="3530"/>
      <c r="I9" s="3530"/>
      <c r="J9" s="3531"/>
      <c r="K9" s="3568" t="s">
        <v>260</v>
      </c>
      <c r="L9" s="3569"/>
      <c r="M9" s="3569"/>
      <c r="N9" s="3570"/>
      <c r="O9" s="458"/>
    </row>
    <row r="10" spans="1:32" ht="39" thickBot="1">
      <c r="A10" s="3556"/>
      <c r="B10" s="1479" t="s">
        <v>253</v>
      </c>
      <c r="C10" s="3524"/>
      <c r="D10" s="3564"/>
      <c r="E10" s="3564"/>
      <c r="F10" s="3564"/>
      <c r="G10" s="1336" t="s">
        <v>261</v>
      </c>
      <c r="H10" s="1336" t="s">
        <v>262</v>
      </c>
      <c r="I10" s="1336" t="s">
        <v>263</v>
      </c>
      <c r="J10" s="1336" t="s">
        <v>158</v>
      </c>
      <c r="K10" s="1337" t="s">
        <v>264</v>
      </c>
      <c r="L10" s="1337" t="s">
        <v>265</v>
      </c>
      <c r="M10" s="1336" t="s">
        <v>266</v>
      </c>
      <c r="N10" s="1404" t="s">
        <v>158</v>
      </c>
      <c r="O10" s="443"/>
    </row>
    <row r="11" spans="1:32" ht="13.5" thickBot="1">
      <c r="A11" s="3556"/>
      <c r="B11" s="1468"/>
      <c r="C11" s="3524"/>
      <c r="D11" s="1470">
        <v>1</v>
      </c>
      <c r="E11" s="1471">
        <v>2</v>
      </c>
      <c r="F11" s="1471">
        <v>3</v>
      </c>
      <c r="G11" s="1472">
        <v>4</v>
      </c>
      <c r="H11" s="1471">
        <v>5</v>
      </c>
      <c r="I11" s="1473">
        <v>6</v>
      </c>
      <c r="J11" s="1474">
        <v>7</v>
      </c>
      <c r="K11" s="1472">
        <v>8</v>
      </c>
      <c r="L11" s="1471">
        <v>9</v>
      </c>
      <c r="M11" s="1471">
        <v>10</v>
      </c>
      <c r="N11" s="1474">
        <v>11</v>
      </c>
      <c r="O11" s="702"/>
    </row>
    <row r="12" spans="1:32" ht="13.5" thickBot="1">
      <c r="A12" s="3557"/>
      <c r="B12" s="1475"/>
      <c r="C12" s="3525"/>
      <c r="D12" s="1476"/>
      <c r="E12" s="1476"/>
      <c r="F12" s="1476"/>
      <c r="G12" s="1477"/>
      <c r="H12" s="1476"/>
      <c r="I12" s="1478"/>
      <c r="J12" s="1478" t="s">
        <v>267</v>
      </c>
      <c r="K12" s="1477"/>
      <c r="L12" s="1476"/>
      <c r="M12" s="1476"/>
      <c r="N12" s="1478" t="s">
        <v>268</v>
      </c>
      <c r="O12" s="703"/>
      <c r="P12" s="703"/>
      <c r="Q12" s="703"/>
    </row>
    <row r="13" spans="1:32">
      <c r="A13" s="1480"/>
      <c r="B13" s="1481" t="s">
        <v>269</v>
      </c>
      <c r="C13" s="1346"/>
      <c r="D13" s="1484"/>
      <c r="E13" s="992"/>
      <c r="F13" s="992"/>
      <c r="G13" s="993"/>
      <c r="H13" s="994"/>
      <c r="I13" s="994"/>
      <c r="J13" s="1488"/>
      <c r="K13" s="996"/>
      <c r="L13" s="994"/>
      <c r="M13" s="1291"/>
      <c r="N13" s="1492"/>
    </row>
    <row r="14" spans="1:32">
      <c r="A14" s="2301">
        <v>1</v>
      </c>
      <c r="B14" s="2302" t="s">
        <v>270</v>
      </c>
      <c r="C14" s="2155"/>
      <c r="D14" s="2303">
        <f t="shared" ref="D14:N14" si="0">+D66+D118+D170+D222+D274+D326+D378+D430+D482+D534+D586+D638+D690+D742+D794+D846</f>
        <v>0</v>
      </c>
      <c r="E14" s="2304">
        <f t="shared" si="0"/>
        <v>0</v>
      </c>
      <c r="F14" s="2304">
        <f t="shared" si="0"/>
        <v>0</v>
      </c>
      <c r="G14" s="2304">
        <f t="shared" si="0"/>
        <v>0</v>
      </c>
      <c r="H14" s="2304">
        <f t="shared" si="0"/>
        <v>0</v>
      </c>
      <c r="I14" s="2304">
        <f t="shared" si="0"/>
        <v>0</v>
      </c>
      <c r="J14" s="2305">
        <f t="shared" si="0"/>
        <v>0</v>
      </c>
      <c r="K14" s="2304">
        <f t="shared" si="0"/>
        <v>0</v>
      </c>
      <c r="L14" s="2304">
        <f t="shared" si="0"/>
        <v>0</v>
      </c>
      <c r="M14" s="2306">
        <f t="shared" si="0"/>
        <v>0</v>
      </c>
      <c r="N14" s="2305">
        <f t="shared" si="0"/>
        <v>0</v>
      </c>
      <c r="O14" s="704"/>
      <c r="P14" s="705"/>
      <c r="Q14" s="705"/>
      <c r="R14" s="706"/>
      <c r="T14" s="706"/>
      <c r="U14" s="706"/>
      <c r="V14" s="706"/>
      <c r="W14" s="706"/>
      <c r="X14" s="706"/>
      <c r="Y14" s="706"/>
      <c r="Z14" s="706"/>
      <c r="AA14" s="706"/>
      <c r="AB14" s="706"/>
      <c r="AC14" s="706"/>
      <c r="AD14" s="706"/>
      <c r="AE14" s="706"/>
      <c r="AF14" s="681"/>
    </row>
    <row r="15" spans="1:32">
      <c r="A15" s="2301">
        <v>2</v>
      </c>
      <c r="B15" s="2302" t="s">
        <v>271</v>
      </c>
      <c r="C15" s="2155"/>
      <c r="D15" s="2303">
        <f t="shared" ref="D15:N15" si="1">+D67+D119+D171+D223+D275+D327+D379+D431+D483+D535+D587+D639+D691+D743+D795+D847</f>
        <v>2726943.4550099997</v>
      </c>
      <c r="E15" s="2304">
        <f t="shared" si="1"/>
        <v>0</v>
      </c>
      <c r="F15" s="2304">
        <f t="shared" si="1"/>
        <v>2120720.4240100002</v>
      </c>
      <c r="G15" s="2304">
        <f t="shared" si="1"/>
        <v>621</v>
      </c>
      <c r="H15" s="2304">
        <f t="shared" si="1"/>
        <v>1385.0309999999999</v>
      </c>
      <c r="I15" s="2304">
        <f t="shared" si="1"/>
        <v>604217</v>
      </c>
      <c r="J15" s="2305">
        <f t="shared" si="1"/>
        <v>606223.03099999996</v>
      </c>
      <c r="K15" s="2304">
        <f t="shared" si="1"/>
        <v>0</v>
      </c>
      <c r="L15" s="2304">
        <f t="shared" si="1"/>
        <v>0</v>
      </c>
      <c r="M15" s="2306">
        <f t="shared" si="1"/>
        <v>0</v>
      </c>
      <c r="N15" s="2305">
        <f t="shared" si="1"/>
        <v>0</v>
      </c>
      <c r="O15" s="704"/>
      <c r="P15" s="705"/>
      <c r="Q15" s="705"/>
      <c r="R15" s="706"/>
      <c r="T15" s="706"/>
      <c r="U15" s="706"/>
      <c r="V15" s="706"/>
      <c r="W15" s="706"/>
      <c r="X15" s="706"/>
      <c r="Y15" s="706"/>
      <c r="Z15" s="706"/>
      <c r="AA15" s="706"/>
      <c r="AB15" s="706"/>
      <c r="AC15" s="706"/>
      <c r="AD15" s="706"/>
      <c r="AE15" s="706"/>
      <c r="AF15" s="681"/>
    </row>
    <row r="16" spans="1:32">
      <c r="A16" s="2301">
        <v>3</v>
      </c>
      <c r="B16" s="2302" t="s">
        <v>272</v>
      </c>
      <c r="C16" s="2155"/>
      <c r="D16" s="2303">
        <f t="shared" ref="D16:N16" si="2">+D68+D120+D172+D224+D276+D328+D380+D432+D484+D536+D588+D640+D692+D744+D796+D848</f>
        <v>8356.31</v>
      </c>
      <c r="E16" s="2304">
        <f t="shared" si="2"/>
        <v>0</v>
      </c>
      <c r="F16" s="2304">
        <f t="shared" si="2"/>
        <v>8356.31</v>
      </c>
      <c r="G16" s="2304">
        <f t="shared" si="2"/>
        <v>0</v>
      </c>
      <c r="H16" s="2304">
        <f t="shared" si="2"/>
        <v>0</v>
      </c>
      <c r="I16" s="2304">
        <f t="shared" si="2"/>
        <v>0</v>
      </c>
      <c r="J16" s="2305">
        <f t="shared" si="2"/>
        <v>0</v>
      </c>
      <c r="K16" s="2304">
        <f t="shared" si="2"/>
        <v>0</v>
      </c>
      <c r="L16" s="2304">
        <f t="shared" si="2"/>
        <v>0</v>
      </c>
      <c r="M16" s="2306">
        <f t="shared" si="2"/>
        <v>0</v>
      </c>
      <c r="N16" s="2305">
        <f t="shared" si="2"/>
        <v>0</v>
      </c>
      <c r="O16" s="704"/>
      <c r="P16" s="705"/>
      <c r="Q16" s="705"/>
      <c r="R16" s="706"/>
      <c r="T16" s="706"/>
      <c r="U16" s="706"/>
      <c r="V16" s="706"/>
      <c r="W16" s="706"/>
      <c r="X16" s="706"/>
      <c r="Y16" s="706"/>
      <c r="Z16" s="706"/>
      <c r="AA16" s="706"/>
      <c r="AB16" s="706"/>
      <c r="AC16" s="706"/>
      <c r="AD16" s="706"/>
      <c r="AE16" s="706"/>
      <c r="AF16" s="681"/>
    </row>
    <row r="17" spans="1:42">
      <c r="A17" s="2301">
        <v>4</v>
      </c>
      <c r="B17" s="2302" t="s">
        <v>273</v>
      </c>
      <c r="C17" s="2155"/>
      <c r="D17" s="2303">
        <f t="shared" ref="D17:N17" si="3">+D69+D121+D173+D225+D277+D329+D381+D433+D485+D537+D589+D641+D693+D745+D797+D849</f>
        <v>3583970.1913726903</v>
      </c>
      <c r="E17" s="2304">
        <f t="shared" si="3"/>
        <v>0</v>
      </c>
      <c r="F17" s="2304">
        <f t="shared" si="3"/>
        <v>1467758.3716817442</v>
      </c>
      <c r="G17" s="2304">
        <f t="shared" si="3"/>
        <v>1033117.0945671708</v>
      </c>
      <c r="H17" s="2304">
        <f t="shared" si="3"/>
        <v>748030.08431377506</v>
      </c>
      <c r="I17" s="2304">
        <f t="shared" si="3"/>
        <v>335064.64081000001</v>
      </c>
      <c r="J17" s="2305">
        <f t="shared" si="3"/>
        <v>2116211.819690946</v>
      </c>
      <c r="K17" s="2304">
        <f t="shared" si="3"/>
        <v>0</v>
      </c>
      <c r="L17" s="2304">
        <f t="shared" si="3"/>
        <v>0</v>
      </c>
      <c r="M17" s="2306">
        <f t="shared" si="3"/>
        <v>0</v>
      </c>
      <c r="N17" s="2305">
        <f t="shared" si="3"/>
        <v>0</v>
      </c>
      <c r="O17" s="704"/>
      <c r="P17" s="705"/>
      <c r="Q17" s="705"/>
      <c r="R17" s="706"/>
      <c r="T17" s="706"/>
      <c r="U17" s="706"/>
      <c r="V17" s="706"/>
      <c r="W17" s="706"/>
      <c r="X17" s="706"/>
      <c r="Y17" s="706"/>
      <c r="Z17" s="706"/>
      <c r="AA17" s="706"/>
      <c r="AB17" s="706"/>
      <c r="AC17" s="706"/>
      <c r="AD17" s="706"/>
      <c r="AE17" s="706"/>
      <c r="AF17" s="681"/>
    </row>
    <row r="18" spans="1:42">
      <c r="A18" s="2301">
        <v>5</v>
      </c>
      <c r="B18" s="2302" t="s">
        <v>274</v>
      </c>
      <c r="C18" s="2161"/>
      <c r="D18" s="2303">
        <f t="shared" ref="D18:N18" si="4">+D70+D122+D174+D226+D278+D330+D382+D434+D486+D538+D590+D642+D694+D746+D798+D850</f>
        <v>14279191.988666818</v>
      </c>
      <c r="E18" s="2304">
        <f t="shared" si="4"/>
        <v>0</v>
      </c>
      <c r="F18" s="2304">
        <f t="shared" si="4"/>
        <v>4390999.8579368163</v>
      </c>
      <c r="G18" s="2304">
        <f t="shared" si="4"/>
        <v>7090353.2521000002</v>
      </c>
      <c r="H18" s="2304">
        <f t="shared" si="4"/>
        <v>2586172.1111124</v>
      </c>
      <c r="I18" s="2304">
        <f t="shared" si="4"/>
        <v>211666.7675176</v>
      </c>
      <c r="J18" s="2305">
        <f t="shared" si="4"/>
        <v>9888192.1307299994</v>
      </c>
      <c r="K18" s="2304">
        <f t="shared" si="4"/>
        <v>0</v>
      </c>
      <c r="L18" s="2304">
        <f t="shared" si="4"/>
        <v>0</v>
      </c>
      <c r="M18" s="2306">
        <f t="shared" si="4"/>
        <v>0</v>
      </c>
      <c r="N18" s="2305">
        <f t="shared" si="4"/>
        <v>0</v>
      </c>
      <c r="O18" s="704"/>
      <c r="P18" s="705"/>
      <c r="Q18" s="705"/>
      <c r="R18" s="706"/>
      <c r="T18" s="706"/>
      <c r="U18" s="706"/>
      <c r="V18" s="706"/>
      <c r="W18" s="706"/>
      <c r="X18" s="706"/>
      <c r="Y18" s="706"/>
      <c r="Z18" s="706"/>
      <c r="AA18" s="706"/>
      <c r="AB18" s="706"/>
      <c r="AC18" s="706"/>
      <c r="AD18" s="706"/>
      <c r="AE18" s="706"/>
      <c r="AF18" s="681"/>
    </row>
    <row r="19" spans="1:42">
      <c r="A19" s="2301">
        <v>6</v>
      </c>
      <c r="B19" s="2302" t="s">
        <v>275</v>
      </c>
      <c r="C19" s="2155"/>
      <c r="D19" s="2303">
        <f t="shared" ref="D19:N19" si="5">+D71+D123+D175+D227+D279+D331+D383+D435+D487+D539+D591+D643+D695+D747+D799+D851</f>
        <v>5905074.5311564999</v>
      </c>
      <c r="E19" s="2304">
        <f t="shared" si="5"/>
        <v>0</v>
      </c>
      <c r="F19" s="2304">
        <f t="shared" si="5"/>
        <v>4513774.5314464998</v>
      </c>
      <c r="G19" s="2304">
        <f t="shared" si="5"/>
        <v>1289899.9998608001</v>
      </c>
      <c r="H19" s="2304">
        <f t="shared" si="5"/>
        <v>101399.99984920002</v>
      </c>
      <c r="I19" s="2304">
        <f t="shared" si="5"/>
        <v>0</v>
      </c>
      <c r="J19" s="2305">
        <f t="shared" si="5"/>
        <v>1391299.9997100001</v>
      </c>
      <c r="K19" s="2304">
        <f t="shared" si="5"/>
        <v>0</v>
      </c>
      <c r="L19" s="2304">
        <f t="shared" si="5"/>
        <v>0</v>
      </c>
      <c r="M19" s="2306">
        <f t="shared" si="5"/>
        <v>0</v>
      </c>
      <c r="N19" s="2305">
        <f t="shared" si="5"/>
        <v>0</v>
      </c>
      <c r="O19" s="704"/>
      <c r="P19" s="705"/>
      <c r="Q19" s="705"/>
      <c r="R19" s="706"/>
      <c r="T19" s="706"/>
      <c r="U19" s="706"/>
      <c r="V19" s="706"/>
      <c r="W19" s="706"/>
      <c r="X19" s="706"/>
      <c r="Y19" s="706"/>
      <c r="Z19" s="706"/>
      <c r="AA19" s="706"/>
      <c r="AB19" s="706"/>
      <c r="AC19" s="706"/>
      <c r="AD19" s="706"/>
      <c r="AE19" s="706"/>
      <c r="AF19" s="681"/>
    </row>
    <row r="20" spans="1:42">
      <c r="A20" s="2301">
        <v>7</v>
      </c>
      <c r="B20" s="2302" t="s">
        <v>276</v>
      </c>
      <c r="C20" s="2161"/>
      <c r="D20" s="2303">
        <f t="shared" ref="D20:N20" si="6">+D72+D124+D176+D228+D280+D332+D384+D436+D488+D540+D592+D644+D696+D748+D800+D852</f>
        <v>3889683.96514</v>
      </c>
      <c r="E20" s="2304">
        <f t="shared" si="6"/>
        <v>0</v>
      </c>
      <c r="F20" s="2304">
        <f t="shared" si="6"/>
        <v>3874683.96514</v>
      </c>
      <c r="G20" s="2304">
        <f t="shared" si="6"/>
        <v>15000</v>
      </c>
      <c r="H20" s="2304">
        <f t="shared" si="6"/>
        <v>0</v>
      </c>
      <c r="I20" s="2304">
        <f t="shared" si="6"/>
        <v>0</v>
      </c>
      <c r="J20" s="2305">
        <f t="shared" si="6"/>
        <v>15000</v>
      </c>
      <c r="K20" s="2304">
        <f t="shared" si="6"/>
        <v>0</v>
      </c>
      <c r="L20" s="2304">
        <f t="shared" si="6"/>
        <v>0</v>
      </c>
      <c r="M20" s="2306">
        <f t="shared" si="6"/>
        <v>0</v>
      </c>
      <c r="N20" s="2305">
        <f t="shared" si="6"/>
        <v>0</v>
      </c>
      <c r="O20" s="704"/>
      <c r="P20" s="705"/>
      <c r="Q20" s="705"/>
      <c r="R20" s="706"/>
      <c r="T20" s="706"/>
      <c r="U20" s="706"/>
      <c r="V20" s="706"/>
      <c r="W20" s="706"/>
      <c r="X20" s="706"/>
      <c r="Y20" s="706"/>
      <c r="Z20" s="706"/>
      <c r="AA20" s="706"/>
      <c r="AB20" s="706"/>
      <c r="AC20" s="706"/>
      <c r="AD20" s="706"/>
      <c r="AE20" s="706"/>
      <c r="AF20" s="681"/>
    </row>
    <row r="21" spans="1:42">
      <c r="A21" s="2307"/>
      <c r="B21" s="2162" t="s">
        <v>277</v>
      </c>
      <c r="C21" s="2161"/>
      <c r="D21" s="2303">
        <f t="shared" ref="D21:N21" si="7">+D73+D125+D177+D229+D281+D333+D385+D437+D489+D541+D593+D645+D697+D749+D801+D853</f>
        <v>1456140.5906400001</v>
      </c>
      <c r="E21" s="2304">
        <f t="shared" si="7"/>
        <v>0</v>
      </c>
      <c r="F21" s="2304">
        <f t="shared" si="7"/>
        <v>1456140.5906400001</v>
      </c>
      <c r="G21" s="2304">
        <f t="shared" si="7"/>
        <v>0</v>
      </c>
      <c r="H21" s="2304">
        <f t="shared" si="7"/>
        <v>0</v>
      </c>
      <c r="I21" s="2304">
        <f t="shared" si="7"/>
        <v>0</v>
      </c>
      <c r="J21" s="2305">
        <f t="shared" si="7"/>
        <v>0</v>
      </c>
      <c r="K21" s="2304">
        <f t="shared" si="7"/>
        <v>0</v>
      </c>
      <c r="L21" s="2304">
        <f t="shared" si="7"/>
        <v>0</v>
      </c>
      <c r="M21" s="2306">
        <f t="shared" si="7"/>
        <v>0</v>
      </c>
      <c r="N21" s="2305">
        <f t="shared" si="7"/>
        <v>0</v>
      </c>
      <c r="O21" s="704"/>
      <c r="P21" s="705"/>
      <c r="Q21" s="705"/>
      <c r="R21" s="706"/>
      <c r="T21" s="706"/>
      <c r="U21" s="706"/>
      <c r="V21" s="706"/>
      <c r="W21" s="706"/>
      <c r="X21" s="706"/>
      <c r="Y21" s="706"/>
      <c r="Z21" s="706"/>
      <c r="AA21" s="706"/>
      <c r="AB21" s="706"/>
      <c r="AC21" s="706"/>
      <c r="AD21" s="706"/>
      <c r="AE21" s="706"/>
      <c r="AF21" s="681"/>
    </row>
    <row r="22" spans="1:42">
      <c r="A22" s="2307"/>
      <c r="B22" s="2162" t="s">
        <v>278</v>
      </c>
      <c r="C22" s="2161"/>
      <c r="D22" s="2303">
        <f t="shared" ref="D22:N22" si="8">+D74+D126+D178+D230+D282+D334+D386+D438+D490+D542+D594+D646+D698+D750+D802+D854</f>
        <v>2433543.3744999999</v>
      </c>
      <c r="E22" s="2304">
        <f t="shared" si="8"/>
        <v>0</v>
      </c>
      <c r="F22" s="2304">
        <f t="shared" si="8"/>
        <v>2418543.3744999999</v>
      </c>
      <c r="G22" s="2304">
        <f t="shared" si="8"/>
        <v>15000</v>
      </c>
      <c r="H22" s="2304">
        <f t="shared" si="8"/>
        <v>0</v>
      </c>
      <c r="I22" s="2304">
        <f t="shared" si="8"/>
        <v>0</v>
      </c>
      <c r="J22" s="2305">
        <f t="shared" si="8"/>
        <v>15000</v>
      </c>
      <c r="K22" s="2304">
        <f t="shared" si="8"/>
        <v>0</v>
      </c>
      <c r="L22" s="2304">
        <f t="shared" si="8"/>
        <v>0</v>
      </c>
      <c r="M22" s="2306">
        <f t="shared" si="8"/>
        <v>0</v>
      </c>
      <c r="N22" s="2305">
        <f t="shared" si="8"/>
        <v>0</v>
      </c>
      <c r="O22" s="704"/>
      <c r="P22" s="705"/>
      <c r="Q22" s="705"/>
      <c r="R22" s="706"/>
      <c r="T22" s="706"/>
      <c r="U22" s="706"/>
      <c r="V22" s="706"/>
      <c r="W22" s="706"/>
      <c r="X22" s="706"/>
      <c r="Y22" s="706"/>
      <c r="Z22" s="706"/>
      <c r="AA22" s="706"/>
      <c r="AB22" s="706"/>
      <c r="AC22" s="706"/>
      <c r="AD22" s="706"/>
      <c r="AE22" s="706"/>
      <c r="AF22" s="681"/>
    </row>
    <row r="23" spans="1:42">
      <c r="A23" s="2301">
        <v>8</v>
      </c>
      <c r="B23" s="2302" t="s">
        <v>279</v>
      </c>
      <c r="C23" s="2155"/>
      <c r="D23" s="2303">
        <f t="shared" ref="D23:N23" si="9">+D75+D127+D179+D231+D283+D335+D387+D439+D491+D543+D595+D647+D699+D751+D803+D855</f>
        <v>2195063.0569700003</v>
      </c>
      <c r="E23" s="2304">
        <f t="shared" si="9"/>
        <v>0</v>
      </c>
      <c r="F23" s="2304">
        <f t="shared" si="9"/>
        <v>2152072.56697</v>
      </c>
      <c r="G23" s="2304">
        <f t="shared" si="9"/>
        <v>13858.33</v>
      </c>
      <c r="H23" s="2304">
        <f t="shared" si="9"/>
        <v>29132.16</v>
      </c>
      <c r="I23" s="2304">
        <f t="shared" si="9"/>
        <v>0</v>
      </c>
      <c r="J23" s="2305">
        <f t="shared" si="9"/>
        <v>42990.49</v>
      </c>
      <c r="K23" s="2304">
        <f t="shared" si="9"/>
        <v>0</v>
      </c>
      <c r="L23" s="2304">
        <f t="shared" si="9"/>
        <v>0</v>
      </c>
      <c r="M23" s="2306">
        <f t="shared" si="9"/>
        <v>0</v>
      </c>
      <c r="N23" s="2305">
        <f t="shared" si="9"/>
        <v>0</v>
      </c>
      <c r="O23" s="704"/>
      <c r="P23" s="705"/>
      <c r="Q23" s="705"/>
      <c r="R23" s="706"/>
      <c r="T23" s="706"/>
      <c r="U23" s="706"/>
      <c r="V23" s="706"/>
      <c r="W23" s="706"/>
      <c r="X23" s="706"/>
      <c r="Y23" s="706"/>
      <c r="Z23" s="706"/>
      <c r="AA23" s="706"/>
      <c r="AB23" s="706"/>
      <c r="AC23" s="706"/>
      <c r="AD23" s="706"/>
      <c r="AE23" s="706"/>
      <c r="AF23" s="681"/>
    </row>
    <row r="24" spans="1:42">
      <c r="A24" s="2301"/>
      <c r="B24" s="2162" t="s">
        <v>280</v>
      </c>
      <c r="C24" s="2155"/>
      <c r="D24" s="2303">
        <f t="shared" ref="D24:N24" si="10">+D76+D128+D180+D232+D284+D336+D388+D440+D492+D544+D596+D648+D700+D752+D804+D856</f>
        <v>1386991</v>
      </c>
      <c r="E24" s="2304">
        <f t="shared" si="10"/>
        <v>0</v>
      </c>
      <c r="F24" s="2304">
        <f t="shared" si="10"/>
        <v>1386991</v>
      </c>
      <c r="G24" s="2304">
        <f t="shared" si="10"/>
        <v>0</v>
      </c>
      <c r="H24" s="2304">
        <f t="shared" si="10"/>
        <v>0</v>
      </c>
      <c r="I24" s="2304">
        <f t="shared" si="10"/>
        <v>0</v>
      </c>
      <c r="J24" s="2305">
        <f t="shared" si="10"/>
        <v>0</v>
      </c>
      <c r="K24" s="2304">
        <f t="shared" si="10"/>
        <v>0</v>
      </c>
      <c r="L24" s="2304">
        <f t="shared" si="10"/>
        <v>0</v>
      </c>
      <c r="M24" s="2306">
        <f t="shared" si="10"/>
        <v>0</v>
      </c>
      <c r="N24" s="2305">
        <f t="shared" si="10"/>
        <v>0</v>
      </c>
      <c r="O24" s="704"/>
      <c r="P24" s="705"/>
      <c r="Q24" s="705"/>
      <c r="R24" s="706"/>
      <c r="T24" s="706"/>
      <c r="U24" s="706"/>
      <c r="V24" s="706"/>
      <c r="W24" s="706"/>
      <c r="X24" s="706"/>
      <c r="Y24" s="706"/>
      <c r="Z24" s="706"/>
      <c r="AA24" s="706"/>
      <c r="AB24" s="706"/>
      <c r="AC24" s="706"/>
      <c r="AD24" s="706"/>
      <c r="AE24" s="706"/>
      <c r="AF24" s="681"/>
    </row>
    <row r="25" spans="1:42">
      <c r="A25" s="2301"/>
      <c r="B25" s="2162" t="s">
        <v>281</v>
      </c>
      <c r="C25" s="2155"/>
      <c r="D25" s="2303">
        <f t="shared" ref="D25:N25" si="11">+D77+D129+D181+D233+D285+D337+D389+D441+D493+D545+D597+D649+D701+D753+D805+D857</f>
        <v>808072.05697000003</v>
      </c>
      <c r="E25" s="2304">
        <f t="shared" si="11"/>
        <v>0</v>
      </c>
      <c r="F25" s="2304">
        <f t="shared" si="11"/>
        <v>765081.56697000004</v>
      </c>
      <c r="G25" s="2304">
        <f t="shared" si="11"/>
        <v>13858.33</v>
      </c>
      <c r="H25" s="2304">
        <f t="shared" si="11"/>
        <v>29132.16</v>
      </c>
      <c r="I25" s="2304">
        <f t="shared" si="11"/>
        <v>0</v>
      </c>
      <c r="J25" s="2305">
        <f t="shared" si="11"/>
        <v>42990.49</v>
      </c>
      <c r="K25" s="2304">
        <f t="shared" si="11"/>
        <v>0</v>
      </c>
      <c r="L25" s="2304">
        <f t="shared" si="11"/>
        <v>0</v>
      </c>
      <c r="M25" s="2306">
        <f t="shared" si="11"/>
        <v>0</v>
      </c>
      <c r="N25" s="2305">
        <f t="shared" si="11"/>
        <v>0</v>
      </c>
      <c r="O25" s="704"/>
      <c r="P25" s="705"/>
      <c r="Q25" s="705"/>
      <c r="R25" s="706"/>
      <c r="T25" s="706"/>
      <c r="U25" s="706"/>
      <c r="V25" s="706"/>
      <c r="W25" s="706"/>
      <c r="X25" s="706"/>
      <c r="Y25" s="706"/>
      <c r="Z25" s="706"/>
      <c r="AA25" s="706"/>
      <c r="AB25" s="706"/>
      <c r="AC25" s="706"/>
      <c r="AD25" s="706"/>
      <c r="AE25" s="706"/>
      <c r="AF25" s="681"/>
    </row>
    <row r="26" spans="1:42" s="913" customFormat="1" ht="25.5">
      <c r="A26" s="2308">
        <v>9</v>
      </c>
      <c r="B26" s="2309" t="s">
        <v>282</v>
      </c>
      <c r="C26" s="2165"/>
      <c r="D26" s="2310">
        <f t="shared" ref="D26:N26" si="12">+D78+D130+D182+D234+D286+D338+D390+D442+D494+D546+D598+D650+D702+D754+D806+D858</f>
        <v>479156230.85819411</v>
      </c>
      <c r="E26" s="2311">
        <f t="shared" si="12"/>
        <v>0</v>
      </c>
      <c r="F26" s="2311">
        <f t="shared" si="12"/>
        <v>91504234.356241792</v>
      </c>
      <c r="G26" s="2311">
        <f t="shared" si="12"/>
        <v>198405813.69146177</v>
      </c>
      <c r="H26" s="2311">
        <f t="shared" si="12"/>
        <v>62943984.21956709</v>
      </c>
      <c r="I26" s="2311">
        <f t="shared" si="12"/>
        <v>116835681.13325338</v>
      </c>
      <c r="J26" s="2312">
        <f t="shared" si="12"/>
        <v>378185479.04428232</v>
      </c>
      <c r="K26" s="2311">
        <f t="shared" si="12"/>
        <v>602913.99099999992</v>
      </c>
      <c r="L26" s="2311">
        <f t="shared" si="12"/>
        <v>95622</v>
      </c>
      <c r="M26" s="2313">
        <f t="shared" si="12"/>
        <v>8767981.4666700009</v>
      </c>
      <c r="N26" s="2312">
        <f t="shared" si="12"/>
        <v>9466517.4576700013</v>
      </c>
      <c r="O26" s="1024"/>
      <c r="P26" s="1025"/>
      <c r="Q26" s="1025"/>
      <c r="R26" s="1027"/>
      <c r="S26" s="1058"/>
      <c r="T26" s="1027"/>
      <c r="U26" s="1027"/>
      <c r="V26" s="1027"/>
      <c r="W26" s="1027"/>
      <c r="X26" s="1027"/>
      <c r="Y26" s="1027"/>
      <c r="Z26" s="1027"/>
      <c r="AA26" s="1027"/>
      <c r="AB26" s="1027"/>
      <c r="AC26" s="1027"/>
      <c r="AD26" s="1027"/>
      <c r="AE26" s="1027"/>
      <c r="AF26" s="1029"/>
      <c r="AG26" s="1028"/>
      <c r="AH26" s="1028"/>
      <c r="AI26" s="1028"/>
      <c r="AJ26" s="1028"/>
      <c r="AK26" s="1028"/>
      <c r="AL26" s="1028"/>
      <c r="AM26" s="1028"/>
      <c r="AN26" s="1028"/>
      <c r="AO26" s="1028"/>
      <c r="AP26" s="1028"/>
    </row>
    <row r="27" spans="1:42">
      <c r="A27" s="2307">
        <v>10</v>
      </c>
      <c r="B27" s="2171" t="s">
        <v>283</v>
      </c>
      <c r="C27" s="2155"/>
      <c r="D27" s="2303">
        <f t="shared" ref="D27:N27" si="13">+D79+D131+D183+D235+D287+D339+D391+D443+D495+D547+D599+D651+D703+D755+D807+D859</f>
        <v>126445931.56106602</v>
      </c>
      <c r="E27" s="2304">
        <f t="shared" si="13"/>
        <v>0</v>
      </c>
      <c r="F27" s="2304">
        <f t="shared" si="13"/>
        <v>10975360.488310002</v>
      </c>
      <c r="G27" s="2304">
        <f t="shared" si="13"/>
        <v>85173140.783089235</v>
      </c>
      <c r="H27" s="2304">
        <f t="shared" si="13"/>
        <v>10006951.515766781</v>
      </c>
      <c r="I27" s="2304">
        <f t="shared" si="13"/>
        <v>20290478.773900002</v>
      </c>
      <c r="J27" s="2305">
        <f t="shared" si="13"/>
        <v>115470571.07275602</v>
      </c>
      <c r="K27" s="2304">
        <f t="shared" si="13"/>
        <v>0</v>
      </c>
      <c r="L27" s="2304">
        <f t="shared" si="13"/>
        <v>0</v>
      </c>
      <c r="M27" s="2306">
        <f t="shared" si="13"/>
        <v>0</v>
      </c>
      <c r="N27" s="2305">
        <f t="shared" si="13"/>
        <v>0</v>
      </c>
      <c r="O27" s="704"/>
      <c r="P27" s="705"/>
      <c r="Q27" s="705"/>
      <c r="R27" s="706"/>
      <c r="T27" s="706"/>
      <c r="U27" s="706"/>
      <c r="V27" s="706"/>
      <c r="W27" s="706"/>
      <c r="X27" s="706"/>
      <c r="Y27" s="706"/>
      <c r="Z27" s="706"/>
      <c r="AA27" s="706"/>
      <c r="AB27" s="706"/>
      <c r="AC27" s="706"/>
      <c r="AD27" s="706"/>
      <c r="AE27" s="706"/>
      <c r="AF27" s="681"/>
    </row>
    <row r="28" spans="1:42">
      <c r="A28" s="2307">
        <v>11</v>
      </c>
      <c r="B28" s="2171" t="s">
        <v>284</v>
      </c>
      <c r="C28" s="2155"/>
      <c r="D28" s="2303">
        <f t="shared" ref="D28:N28" si="14">+D80+D132+D184+D236+D288+D340+D392+D444+D496+D548+D600+D652+D704+D756+D808+D860</f>
        <v>191164982.38224825</v>
      </c>
      <c r="E28" s="2304">
        <f t="shared" si="14"/>
        <v>0</v>
      </c>
      <c r="F28" s="2304">
        <f t="shared" si="14"/>
        <v>42355392.03275615</v>
      </c>
      <c r="G28" s="2304">
        <f t="shared" si="14"/>
        <v>49892113.294695251</v>
      </c>
      <c r="H28" s="2304">
        <f t="shared" si="14"/>
        <v>40573326.007090859</v>
      </c>
      <c r="I28" s="2304">
        <f t="shared" si="14"/>
        <v>52611580.999066003</v>
      </c>
      <c r="J28" s="2305">
        <f t="shared" si="14"/>
        <v>143077020.30085209</v>
      </c>
      <c r="K28" s="2304">
        <f t="shared" si="14"/>
        <v>290762.99099999998</v>
      </c>
      <c r="L28" s="2304">
        <f t="shared" si="14"/>
        <v>95622</v>
      </c>
      <c r="M28" s="2306">
        <f t="shared" si="14"/>
        <v>5346185.0576400012</v>
      </c>
      <c r="N28" s="2305">
        <f t="shared" si="14"/>
        <v>5732570.0486400006</v>
      </c>
      <c r="O28" s="704"/>
      <c r="P28" s="705"/>
      <c r="Q28" s="705"/>
      <c r="R28" s="706"/>
      <c r="T28" s="706"/>
      <c r="U28" s="706"/>
      <c r="V28" s="706"/>
      <c r="W28" s="706"/>
      <c r="X28" s="706"/>
      <c r="Y28" s="706"/>
      <c r="Z28" s="706"/>
      <c r="AA28" s="706"/>
      <c r="AB28" s="706"/>
      <c r="AC28" s="706"/>
      <c r="AD28" s="706"/>
      <c r="AE28" s="706"/>
      <c r="AF28" s="681"/>
    </row>
    <row r="29" spans="1:42">
      <c r="A29" s="2307">
        <v>12</v>
      </c>
      <c r="B29" s="2171" t="s">
        <v>285</v>
      </c>
      <c r="C29" s="2155"/>
      <c r="D29" s="2303">
        <f t="shared" ref="D29:N29" si="15">+D81+D133+D185+D237+D289+D341+D393+D445+D497+D549+D601+D653+D705+D757+D809+D861</f>
        <v>126400349.01037318</v>
      </c>
      <c r="E29" s="2304">
        <f t="shared" si="15"/>
        <v>0</v>
      </c>
      <c r="F29" s="2304">
        <f t="shared" si="15"/>
        <v>30546669.551391635</v>
      </c>
      <c r="G29" s="2304">
        <f t="shared" si="15"/>
        <v>48645443.108324952</v>
      </c>
      <c r="H29" s="2304">
        <f t="shared" si="15"/>
        <v>6925631.004504893</v>
      </c>
      <c r="I29" s="2304">
        <f t="shared" si="15"/>
        <v>39312007.444121681</v>
      </c>
      <c r="J29" s="2305">
        <f t="shared" si="15"/>
        <v>94883081.556951523</v>
      </c>
      <c r="K29" s="2304">
        <f t="shared" si="15"/>
        <v>236622</v>
      </c>
      <c r="L29" s="2304">
        <f t="shared" si="15"/>
        <v>0</v>
      </c>
      <c r="M29" s="2306">
        <f t="shared" si="15"/>
        <v>733975.90202999988</v>
      </c>
      <c r="N29" s="2305">
        <f t="shared" si="15"/>
        <v>970597.90202999988</v>
      </c>
      <c r="O29" s="704"/>
      <c r="P29" s="705"/>
      <c r="Q29" s="705"/>
      <c r="R29" s="706"/>
      <c r="T29" s="706"/>
      <c r="U29" s="706"/>
      <c r="V29" s="706"/>
      <c r="W29" s="706"/>
      <c r="X29" s="706"/>
      <c r="Y29" s="706"/>
      <c r="Z29" s="706"/>
      <c r="AA29" s="706"/>
      <c r="AB29" s="706"/>
      <c r="AC29" s="706"/>
      <c r="AD29" s="706"/>
      <c r="AE29" s="706"/>
      <c r="AF29" s="681"/>
    </row>
    <row r="30" spans="1:42" ht="25.5">
      <c r="A30" s="2307">
        <v>13</v>
      </c>
      <c r="B30" s="2171" t="s">
        <v>286</v>
      </c>
      <c r="C30" s="2155"/>
      <c r="D30" s="2303">
        <f t="shared" ref="D30:N30" si="16">+D82+D134+D186+D238+D290+D342+D394+D446+D498+D550+D602+D654+D706+D758+D810+D862</f>
        <v>35144969.904506601</v>
      </c>
      <c r="E30" s="2304">
        <f t="shared" si="16"/>
        <v>0</v>
      </c>
      <c r="F30" s="2304">
        <f t="shared" si="16"/>
        <v>7626813.2837840002</v>
      </c>
      <c r="G30" s="2304">
        <f t="shared" si="16"/>
        <v>14695117.505352356</v>
      </c>
      <c r="H30" s="2304">
        <f t="shared" si="16"/>
        <v>5438075.6922045546</v>
      </c>
      <c r="I30" s="2304">
        <f t="shared" si="16"/>
        <v>4621613.9161656927</v>
      </c>
      <c r="J30" s="2305">
        <f t="shared" si="16"/>
        <v>24754807.1137226</v>
      </c>
      <c r="K30" s="2304">
        <f t="shared" si="16"/>
        <v>75529</v>
      </c>
      <c r="L30" s="2304">
        <f t="shared" si="16"/>
        <v>0</v>
      </c>
      <c r="M30" s="2306">
        <f t="shared" si="16"/>
        <v>2687820.5070000002</v>
      </c>
      <c r="N30" s="2305">
        <f t="shared" si="16"/>
        <v>2763349.5070000002</v>
      </c>
      <c r="O30" s="704"/>
      <c r="P30" s="705"/>
      <c r="Q30" s="705"/>
      <c r="R30" s="706"/>
      <c r="T30" s="706"/>
      <c r="U30" s="706"/>
      <c r="V30" s="706"/>
      <c r="W30" s="706"/>
      <c r="X30" s="706"/>
      <c r="Y30" s="706"/>
      <c r="Z30" s="706"/>
      <c r="AA30" s="706"/>
      <c r="AB30" s="706"/>
      <c r="AC30" s="706"/>
      <c r="AD30" s="706"/>
      <c r="AE30" s="706"/>
      <c r="AF30" s="681"/>
    </row>
    <row r="31" spans="1:42">
      <c r="A31" s="2307">
        <v>14</v>
      </c>
      <c r="B31" s="2154" t="s">
        <v>287</v>
      </c>
      <c r="C31" s="2155"/>
      <c r="D31" s="2303">
        <f t="shared" ref="D31:N31" si="17">+D83+D135+D187+D239+D291+D343+D395+D447+D499+D551+D603+D655+D707+D759+D811+D863</f>
        <v>6934262.5934455497</v>
      </c>
      <c r="E31" s="2304">
        <f t="shared" si="17"/>
        <v>0</v>
      </c>
      <c r="F31" s="2304">
        <f t="shared" si="17"/>
        <v>0</v>
      </c>
      <c r="G31" s="2304">
        <f t="shared" si="17"/>
        <v>3064226.9270801693</v>
      </c>
      <c r="H31" s="2304">
        <f t="shared" si="17"/>
        <v>1339638.0427064609</v>
      </c>
      <c r="I31" s="2304">
        <f t="shared" si="17"/>
        <v>2530397.6236589197</v>
      </c>
      <c r="J31" s="2305">
        <f t="shared" si="17"/>
        <v>6934262.5934455497</v>
      </c>
      <c r="K31" s="2304">
        <f t="shared" si="17"/>
        <v>0</v>
      </c>
      <c r="L31" s="2304">
        <f t="shared" si="17"/>
        <v>0</v>
      </c>
      <c r="M31" s="2306">
        <f t="shared" si="17"/>
        <v>0</v>
      </c>
      <c r="N31" s="2305">
        <f t="shared" si="17"/>
        <v>0</v>
      </c>
      <c r="O31" s="704"/>
      <c r="P31" s="705"/>
      <c r="Q31" s="705"/>
      <c r="R31" s="706"/>
      <c r="T31" s="706"/>
      <c r="U31" s="706"/>
      <c r="V31" s="706"/>
      <c r="W31" s="706"/>
      <c r="X31" s="706"/>
      <c r="Y31" s="706"/>
      <c r="Z31" s="706"/>
      <c r="AA31" s="706"/>
      <c r="AB31" s="706"/>
      <c r="AC31" s="706"/>
      <c r="AD31" s="706"/>
      <c r="AE31" s="706"/>
      <c r="AF31" s="681"/>
    </row>
    <row r="32" spans="1:42">
      <c r="A32" s="2307">
        <v>15</v>
      </c>
      <c r="B32" s="2154" t="s">
        <v>288</v>
      </c>
      <c r="C32" s="2161"/>
      <c r="D32" s="2303">
        <f t="shared" ref="D32:N32" si="18">+D84+D136+D188+D240+D292+D344+D396+D448+D500+D552+D604+D656+D708+D760+D812+D864</f>
        <v>2091842.6292903789</v>
      </c>
      <c r="E32" s="2304">
        <f t="shared" si="18"/>
        <v>0</v>
      </c>
      <c r="F32" s="2304">
        <f t="shared" si="18"/>
        <v>75146.858219999995</v>
      </c>
      <c r="G32" s="2304">
        <f t="shared" si="18"/>
        <v>501878.11726662744</v>
      </c>
      <c r="H32" s="2304">
        <f t="shared" si="18"/>
        <v>1186203.2605837514</v>
      </c>
      <c r="I32" s="2304">
        <f t="shared" si="18"/>
        <v>305504.62422</v>
      </c>
      <c r="J32" s="2305">
        <f t="shared" si="18"/>
        <v>1993586.0020703787</v>
      </c>
      <c r="K32" s="2304">
        <f t="shared" si="18"/>
        <v>19641.309000000001</v>
      </c>
      <c r="L32" s="2304">
        <f t="shared" si="18"/>
        <v>0</v>
      </c>
      <c r="M32" s="2306">
        <f t="shared" si="18"/>
        <v>3468.46</v>
      </c>
      <c r="N32" s="2305">
        <f t="shared" si="18"/>
        <v>23109.769</v>
      </c>
      <c r="O32" s="704"/>
      <c r="P32" s="705"/>
      <c r="Q32" s="705"/>
      <c r="R32" s="706"/>
      <c r="T32" s="706"/>
      <c r="U32" s="706"/>
      <c r="V32" s="706"/>
      <c r="W32" s="706"/>
      <c r="X32" s="706"/>
      <c r="Y32" s="706"/>
      <c r="Z32" s="706"/>
      <c r="AA32" s="706"/>
      <c r="AB32" s="706"/>
      <c r="AC32" s="706"/>
      <c r="AD32" s="706"/>
      <c r="AE32" s="706"/>
      <c r="AF32" s="681"/>
    </row>
    <row r="33" spans="1:32">
      <c r="A33" s="2307">
        <v>16</v>
      </c>
      <c r="B33" s="2154" t="s">
        <v>289</v>
      </c>
      <c r="C33" s="2155"/>
      <c r="D33" s="2303">
        <f t="shared" ref="D33:N33" si="19">+D85+D137+D189+D241+D293+D345+D397+D449+D501+D553+D605+D657+D709+D761+D813+D865</f>
        <v>2971782.1434019995</v>
      </c>
      <c r="E33" s="2304">
        <f t="shared" si="19"/>
        <v>0</v>
      </c>
      <c r="F33" s="2304">
        <f t="shared" si="19"/>
        <v>0</v>
      </c>
      <c r="G33" s="2304">
        <f t="shared" si="19"/>
        <v>712660.7705079267</v>
      </c>
      <c r="H33" s="2304">
        <f t="shared" si="19"/>
        <v>1302414.6388208824</v>
      </c>
      <c r="I33" s="2304">
        <f t="shared" si="19"/>
        <v>929259.7559331907</v>
      </c>
      <c r="J33" s="2305">
        <f t="shared" si="19"/>
        <v>2944335.1652619997</v>
      </c>
      <c r="K33" s="2304">
        <f t="shared" si="19"/>
        <v>4722.6710000000003</v>
      </c>
      <c r="L33" s="2304">
        <f t="shared" si="19"/>
        <v>0</v>
      </c>
      <c r="M33" s="2306">
        <f t="shared" si="19"/>
        <v>22724.307140000001</v>
      </c>
      <c r="N33" s="2305">
        <f t="shared" si="19"/>
        <v>27446.978139999999</v>
      </c>
      <c r="O33" s="704"/>
      <c r="P33" s="705"/>
      <c r="Q33" s="705"/>
      <c r="R33" s="706"/>
      <c r="T33" s="706"/>
      <c r="U33" s="706"/>
      <c r="V33" s="706"/>
      <c r="W33" s="706"/>
      <c r="X33" s="706"/>
      <c r="Y33" s="706"/>
      <c r="Z33" s="706"/>
      <c r="AA33" s="706"/>
      <c r="AB33" s="706"/>
      <c r="AC33" s="706"/>
      <c r="AD33" s="706"/>
      <c r="AE33" s="706"/>
      <c r="AF33" s="681"/>
    </row>
    <row r="34" spans="1:32">
      <c r="A34" s="2307">
        <v>17</v>
      </c>
      <c r="B34" s="2154" t="s">
        <v>290</v>
      </c>
      <c r="C34" s="2161"/>
      <c r="D34" s="2303">
        <f t="shared" ref="D34:N34" si="20">+D86+D138+D190+D242+D294+D346+D398+D450+D502+D554+D606+D658+D710+D762+D814+D866</f>
        <v>19086571.480989199</v>
      </c>
      <c r="E34" s="2304">
        <f t="shared" si="20"/>
        <v>-2044698.8058199999</v>
      </c>
      <c r="F34" s="2304">
        <f t="shared" si="20"/>
        <v>14400664.772115564</v>
      </c>
      <c r="G34" s="2304">
        <f t="shared" si="20"/>
        <v>3709209.7071197052</v>
      </c>
      <c r="H34" s="2304">
        <f t="shared" si="20"/>
        <v>2218167.3450219883</v>
      </c>
      <c r="I34" s="2304">
        <f t="shared" si="20"/>
        <v>750635.82760159997</v>
      </c>
      <c r="J34" s="2305">
        <f t="shared" si="20"/>
        <v>6579292.2286936361</v>
      </c>
      <c r="K34" s="2304">
        <f t="shared" si="20"/>
        <v>93139.254000000001</v>
      </c>
      <c r="L34" s="2304">
        <f t="shared" si="20"/>
        <v>0</v>
      </c>
      <c r="M34" s="2306">
        <f t="shared" si="20"/>
        <v>58174.031999999999</v>
      </c>
      <c r="N34" s="2305">
        <f t="shared" si="20"/>
        <v>151313.28599999999</v>
      </c>
      <c r="O34" s="704"/>
      <c r="P34" s="705"/>
      <c r="Q34" s="705"/>
      <c r="R34" s="706"/>
      <c r="T34" s="706"/>
      <c r="U34" s="706"/>
      <c r="V34" s="706"/>
      <c r="W34" s="706"/>
      <c r="X34" s="706"/>
      <c r="Y34" s="706"/>
      <c r="Z34" s="706"/>
      <c r="AA34" s="706"/>
      <c r="AB34" s="706"/>
      <c r="AC34" s="706"/>
      <c r="AD34" s="706"/>
      <c r="AE34" s="706"/>
      <c r="AF34" s="681"/>
    </row>
    <row r="35" spans="1:32">
      <c r="A35" s="2307">
        <v>18</v>
      </c>
      <c r="B35" s="2154" t="s">
        <v>291</v>
      </c>
      <c r="C35" s="2155"/>
      <c r="D35" s="2303">
        <f t="shared" ref="D35:N35" si="21">+D87+D139+D191+D243+D295+D347+D399+D451+D503+D555+D607+D659+D711+D763+D815+D867</f>
        <v>1284402.3330000001</v>
      </c>
      <c r="E35" s="2304">
        <f t="shared" si="21"/>
        <v>0</v>
      </c>
      <c r="F35" s="2304">
        <f t="shared" si="21"/>
        <v>1284402.3330000001</v>
      </c>
      <c r="G35" s="2304">
        <f t="shared" si="21"/>
        <v>0</v>
      </c>
      <c r="H35" s="2304">
        <f t="shared" si="21"/>
        <v>0</v>
      </c>
      <c r="I35" s="2304">
        <f t="shared" si="21"/>
        <v>0</v>
      </c>
      <c r="J35" s="2305">
        <f t="shared" si="21"/>
        <v>0</v>
      </c>
      <c r="K35" s="2304">
        <f t="shared" si="21"/>
        <v>0</v>
      </c>
      <c r="L35" s="2304">
        <f t="shared" si="21"/>
        <v>0</v>
      </c>
      <c r="M35" s="2306">
        <f t="shared" si="21"/>
        <v>0</v>
      </c>
      <c r="N35" s="2305">
        <f t="shared" si="21"/>
        <v>0</v>
      </c>
      <c r="O35" s="704"/>
      <c r="P35" s="705"/>
      <c r="Q35" s="705"/>
      <c r="R35" s="706"/>
      <c r="T35" s="706"/>
      <c r="U35" s="706"/>
      <c r="V35" s="706"/>
      <c r="W35" s="706"/>
      <c r="X35" s="706"/>
      <c r="Y35" s="706"/>
      <c r="Z35" s="706"/>
      <c r="AA35" s="706"/>
      <c r="AB35" s="706"/>
      <c r="AC35" s="706"/>
      <c r="AD35" s="706"/>
      <c r="AE35" s="706"/>
      <c r="AF35" s="681"/>
    </row>
    <row r="36" spans="1:32" ht="13.5" thickBot="1">
      <c r="A36" s="2314">
        <v>19</v>
      </c>
      <c r="B36" s="2173" t="s">
        <v>292</v>
      </c>
      <c r="C36" s="2172"/>
      <c r="D36" s="1485">
        <f t="shared" ref="D36:N36" si="22">+D88+D140+D192+D244+D296+D348+D400+D452+D504+D556+D608+D660+D712+D764+D816+D868</f>
        <v>18592588.928516623</v>
      </c>
      <c r="E36" s="998">
        <f t="shared" si="22"/>
        <v>0</v>
      </c>
      <c r="F36" s="998">
        <f t="shared" si="22"/>
        <v>3017573.2363590882</v>
      </c>
      <c r="G36" s="998">
        <f t="shared" si="22"/>
        <v>5487808.9007764589</v>
      </c>
      <c r="H36" s="998">
        <f t="shared" si="22"/>
        <v>8061093.3667599838</v>
      </c>
      <c r="I36" s="998">
        <f t="shared" si="22"/>
        <v>1980538.3184710923</v>
      </c>
      <c r="J36" s="1489">
        <f t="shared" si="22"/>
        <v>15529440.586007534</v>
      </c>
      <c r="K36" s="998">
        <f t="shared" si="22"/>
        <v>28144</v>
      </c>
      <c r="L36" s="998">
        <f t="shared" si="22"/>
        <v>77</v>
      </c>
      <c r="M36" s="2315">
        <f t="shared" si="22"/>
        <v>17354.106150000011</v>
      </c>
      <c r="N36" s="1489">
        <f t="shared" si="22"/>
        <v>45575.106150000007</v>
      </c>
      <c r="O36" s="704"/>
      <c r="P36" s="705"/>
      <c r="Q36" s="705"/>
      <c r="R36" s="706"/>
      <c r="T36" s="706"/>
      <c r="U36" s="706"/>
      <c r="V36" s="706"/>
      <c r="W36" s="706"/>
      <c r="X36" s="706"/>
      <c r="Y36" s="706"/>
      <c r="Z36" s="706"/>
      <c r="AA36" s="706"/>
      <c r="AB36" s="706"/>
      <c r="AC36" s="706"/>
      <c r="AD36" s="706"/>
      <c r="AE36" s="706"/>
      <c r="AF36" s="681"/>
    </row>
    <row r="37" spans="1:32" ht="26.25" thickBot="1">
      <c r="A37" s="1493">
        <v>20</v>
      </c>
      <c r="B37" s="1352" t="s">
        <v>293</v>
      </c>
      <c r="C37" s="1351"/>
      <c r="D37" s="1494">
        <f t="shared" ref="D37:N37" si="23">+D89+D141+D193+D245+D297+D349+D401+D453+D505+D557+D609+D661+D713+D765+D817+D869</f>
        <v>562705964.46515381</v>
      </c>
      <c r="E37" s="1494">
        <f t="shared" si="23"/>
        <v>-2044698.8058199999</v>
      </c>
      <c r="F37" s="1494">
        <f t="shared" si="23"/>
        <v>128810387.58312152</v>
      </c>
      <c r="G37" s="1494">
        <f t="shared" si="23"/>
        <v>221324447.79074067</v>
      </c>
      <c r="H37" s="1494">
        <f t="shared" si="23"/>
        <v>80517620.259735525</v>
      </c>
      <c r="I37" s="1494">
        <f t="shared" si="23"/>
        <v>124482965.69146577</v>
      </c>
      <c r="J37" s="1494">
        <f t="shared" si="23"/>
        <v>426226313.09089231</v>
      </c>
      <c r="K37" s="1494">
        <f t="shared" si="23"/>
        <v>748561.22499999998</v>
      </c>
      <c r="L37" s="1494">
        <f t="shared" si="23"/>
        <v>95699</v>
      </c>
      <c r="M37" s="1495">
        <f t="shared" si="23"/>
        <v>8869702.3719600011</v>
      </c>
      <c r="N37" s="1494">
        <f t="shared" si="23"/>
        <v>9713962.5969600007</v>
      </c>
      <c r="O37" s="704"/>
      <c r="P37" s="705"/>
      <c r="Q37" s="705"/>
      <c r="R37" s="706"/>
      <c r="T37" s="706"/>
      <c r="U37" s="706"/>
      <c r="V37" s="706"/>
      <c r="W37" s="706"/>
      <c r="X37" s="706"/>
      <c r="Y37" s="706"/>
      <c r="Z37" s="706"/>
      <c r="AA37" s="706"/>
      <c r="AB37" s="706"/>
      <c r="AC37" s="706"/>
      <c r="AD37" s="706"/>
      <c r="AE37" s="706"/>
      <c r="AF37" s="681"/>
    </row>
    <row r="38" spans="1:32">
      <c r="A38" s="1483"/>
      <c r="B38" s="1481" t="s">
        <v>294</v>
      </c>
      <c r="C38" s="1346"/>
      <c r="D38" s="1487">
        <f t="shared" ref="D38:N38" si="24">+D90+D142+D194+D246+D298+D350+D402+D454+D506+D558+D610+D662+D714+D766+D818+D870</f>
        <v>0</v>
      </c>
      <c r="E38" s="996">
        <f t="shared" si="24"/>
        <v>0</v>
      </c>
      <c r="F38" s="996">
        <f t="shared" si="24"/>
        <v>0</v>
      </c>
      <c r="G38" s="996">
        <f t="shared" si="24"/>
        <v>0</v>
      </c>
      <c r="H38" s="996">
        <f t="shared" si="24"/>
        <v>0</v>
      </c>
      <c r="I38" s="996">
        <f t="shared" si="24"/>
        <v>0</v>
      </c>
      <c r="J38" s="1491">
        <f t="shared" si="24"/>
        <v>0</v>
      </c>
      <c r="K38" s="996">
        <f t="shared" si="24"/>
        <v>0</v>
      </c>
      <c r="L38" s="996">
        <f t="shared" si="24"/>
        <v>0</v>
      </c>
      <c r="M38" s="995">
        <f t="shared" si="24"/>
        <v>0</v>
      </c>
      <c r="N38" s="1491">
        <f t="shared" si="24"/>
        <v>0</v>
      </c>
      <c r="O38" s="704"/>
      <c r="P38" s="705"/>
      <c r="Q38" s="705"/>
      <c r="R38" s="706"/>
      <c r="T38" s="706"/>
      <c r="U38" s="706"/>
      <c r="V38" s="706"/>
      <c r="W38" s="706"/>
      <c r="X38" s="706"/>
      <c r="Y38" s="706"/>
      <c r="Z38" s="706"/>
      <c r="AA38" s="706"/>
      <c r="AB38" s="706"/>
      <c r="AC38" s="706"/>
      <c r="AD38" s="706"/>
      <c r="AE38" s="706"/>
      <c r="AF38" s="681"/>
    </row>
    <row r="39" spans="1:32">
      <c r="A39" s="2307"/>
      <c r="B39" s="2316" t="s">
        <v>295</v>
      </c>
      <c r="C39" s="2155"/>
      <c r="D39" s="2303">
        <f t="shared" ref="D39:N39" si="25">+D91+D143+D195+D247+D299+D351+D403+D455+D507+D559+D611+D663+D715+D767+D819+D871</f>
        <v>0</v>
      </c>
      <c r="E39" s="2304">
        <f t="shared" si="25"/>
        <v>0</v>
      </c>
      <c r="F39" s="2304">
        <f t="shared" si="25"/>
        <v>0</v>
      </c>
      <c r="G39" s="2304">
        <f t="shared" si="25"/>
        <v>0</v>
      </c>
      <c r="H39" s="2304">
        <f t="shared" si="25"/>
        <v>0</v>
      </c>
      <c r="I39" s="2304">
        <f t="shared" si="25"/>
        <v>0</v>
      </c>
      <c r="J39" s="2305">
        <f t="shared" si="25"/>
        <v>0</v>
      </c>
      <c r="K39" s="2304">
        <f t="shared" si="25"/>
        <v>0</v>
      </c>
      <c r="L39" s="2304">
        <f t="shared" si="25"/>
        <v>0</v>
      </c>
      <c r="M39" s="2306">
        <f t="shared" si="25"/>
        <v>0</v>
      </c>
      <c r="N39" s="2305">
        <f t="shared" si="25"/>
        <v>0</v>
      </c>
      <c r="O39" s="704"/>
      <c r="P39" s="705"/>
      <c r="Q39" s="705"/>
      <c r="R39" s="706"/>
      <c r="T39" s="706"/>
      <c r="U39" s="706"/>
      <c r="V39" s="706"/>
      <c r="W39" s="706"/>
      <c r="X39" s="706"/>
      <c r="Y39" s="706"/>
      <c r="Z39" s="706"/>
      <c r="AA39" s="706"/>
      <c r="AB39" s="706"/>
      <c r="AC39" s="706"/>
      <c r="AD39" s="706"/>
      <c r="AE39" s="706"/>
      <c r="AF39" s="681"/>
    </row>
    <row r="40" spans="1:32">
      <c r="A40" s="2307">
        <v>21</v>
      </c>
      <c r="B40" s="2154" t="s">
        <v>296</v>
      </c>
      <c r="C40" s="2161"/>
      <c r="D40" s="2303">
        <f t="shared" ref="D40:N40" si="26">+D92+D144+D196+D248+D300+D352+D404+D456+D508+D560+D612+D664+D716+D768+D820+D872</f>
        <v>397017531.46317095</v>
      </c>
      <c r="E40" s="2304">
        <f t="shared" si="26"/>
        <v>0</v>
      </c>
      <c r="F40" s="2304">
        <f t="shared" si="26"/>
        <v>0</v>
      </c>
      <c r="G40" s="2304">
        <f t="shared" si="26"/>
        <v>208337398.56458443</v>
      </c>
      <c r="H40" s="2304">
        <f t="shared" si="26"/>
        <v>61639607.964741111</v>
      </c>
      <c r="I40" s="2304">
        <f t="shared" si="26"/>
        <v>118034082.0906654</v>
      </c>
      <c r="J40" s="2305">
        <f t="shared" si="26"/>
        <v>388011088.61999094</v>
      </c>
      <c r="K40" s="2304">
        <f t="shared" si="26"/>
        <v>130854.227</v>
      </c>
      <c r="L40" s="2304">
        <f t="shared" si="26"/>
        <v>95302</v>
      </c>
      <c r="M40" s="2306">
        <f t="shared" si="26"/>
        <v>8780286.616179999</v>
      </c>
      <c r="N40" s="2305">
        <f t="shared" si="26"/>
        <v>9006442.8431800008</v>
      </c>
      <c r="O40" s="704"/>
      <c r="P40" s="705"/>
      <c r="Q40" s="705"/>
      <c r="R40" s="706"/>
      <c r="T40" s="706"/>
      <c r="U40" s="706"/>
      <c r="V40" s="706"/>
      <c r="W40" s="706"/>
      <c r="X40" s="706"/>
      <c r="Y40" s="706"/>
      <c r="Z40" s="706"/>
      <c r="AA40" s="706"/>
      <c r="AB40" s="706"/>
      <c r="AC40" s="706"/>
      <c r="AD40" s="706"/>
      <c r="AE40" s="706"/>
      <c r="AF40" s="681"/>
    </row>
    <row r="41" spans="1:32">
      <c r="A41" s="2307">
        <v>22</v>
      </c>
      <c r="B41" s="2154" t="s">
        <v>297</v>
      </c>
      <c r="C41" s="2155"/>
      <c r="D41" s="2303">
        <f t="shared" ref="D41:N41" si="27">+D93+D145+D197+D249+D301+D353+D405+D457+D509+D561+D613+D665+D717+D769+D821+D873</f>
        <v>2384463.2433500001</v>
      </c>
      <c r="E41" s="2304">
        <f t="shared" si="27"/>
        <v>0</v>
      </c>
      <c r="F41" s="2304">
        <f t="shared" si="27"/>
        <v>533744.08899999992</v>
      </c>
      <c r="G41" s="2304">
        <f t="shared" si="27"/>
        <v>1138935.2204757575</v>
      </c>
      <c r="H41" s="2304">
        <f t="shared" si="27"/>
        <v>659446.72414072894</v>
      </c>
      <c r="I41" s="2304">
        <f t="shared" si="27"/>
        <v>52337.209733513424</v>
      </c>
      <c r="J41" s="2305">
        <f t="shared" si="27"/>
        <v>1850719.15435</v>
      </c>
      <c r="K41" s="2304">
        <f t="shared" si="27"/>
        <v>0</v>
      </c>
      <c r="L41" s="2304">
        <f t="shared" si="27"/>
        <v>0</v>
      </c>
      <c r="M41" s="2306">
        <f t="shared" si="27"/>
        <v>0</v>
      </c>
      <c r="N41" s="2305">
        <f t="shared" si="27"/>
        <v>0</v>
      </c>
      <c r="O41" s="704"/>
      <c r="P41" s="705"/>
      <c r="Q41" s="705"/>
      <c r="R41" s="706"/>
      <c r="T41" s="706"/>
      <c r="U41" s="706"/>
      <c r="V41" s="706"/>
      <c r="W41" s="706"/>
      <c r="X41" s="706"/>
      <c r="Y41" s="706"/>
      <c r="Z41" s="706"/>
      <c r="AA41" s="706"/>
      <c r="AB41" s="706"/>
      <c r="AC41" s="706"/>
      <c r="AD41" s="706"/>
      <c r="AE41" s="706"/>
      <c r="AF41" s="681"/>
    </row>
    <row r="42" spans="1:32">
      <c r="A42" s="2307">
        <v>23</v>
      </c>
      <c r="B42" s="2154" t="s">
        <v>298</v>
      </c>
      <c r="C42" s="2155"/>
      <c r="D42" s="2303">
        <f t="shared" ref="D42:N42" si="28">+D94+D146+D198+D250+D302+D354+D406+D458+D510+D562+D614+D666+D718+D770+D822+D874</f>
        <v>3321886.7571429228</v>
      </c>
      <c r="E42" s="2304">
        <f t="shared" si="28"/>
        <v>0</v>
      </c>
      <c r="F42" s="2304">
        <f t="shared" si="28"/>
        <v>163316.39332000003</v>
      </c>
      <c r="G42" s="2304">
        <f t="shared" si="28"/>
        <v>614292.46815355821</v>
      </c>
      <c r="H42" s="2304">
        <f t="shared" si="28"/>
        <v>2376121.6032506004</v>
      </c>
      <c r="I42" s="2304">
        <f t="shared" si="28"/>
        <v>113010.7841387651</v>
      </c>
      <c r="J42" s="2305">
        <f t="shared" si="28"/>
        <v>3103424.8555429233</v>
      </c>
      <c r="K42" s="2304">
        <f t="shared" si="28"/>
        <v>42002.573000000004</v>
      </c>
      <c r="L42" s="2304">
        <f t="shared" si="28"/>
        <v>0</v>
      </c>
      <c r="M42" s="2306">
        <f t="shared" si="28"/>
        <v>13142.93527999998</v>
      </c>
      <c r="N42" s="2305">
        <f t="shared" si="28"/>
        <v>55145.50827999998</v>
      </c>
      <c r="O42" s="704"/>
      <c r="P42" s="705"/>
      <c r="Q42" s="705"/>
      <c r="R42" s="706"/>
      <c r="T42" s="706"/>
      <c r="U42" s="706"/>
      <c r="V42" s="706"/>
      <c r="W42" s="706"/>
      <c r="X42" s="706"/>
      <c r="Y42" s="706"/>
      <c r="Z42" s="706"/>
      <c r="AA42" s="706"/>
      <c r="AB42" s="706"/>
      <c r="AC42" s="706"/>
      <c r="AD42" s="706"/>
      <c r="AE42" s="706"/>
      <c r="AF42" s="681"/>
    </row>
    <row r="43" spans="1:32">
      <c r="A43" s="2307">
        <v>24</v>
      </c>
      <c r="B43" s="2154" t="s">
        <v>299</v>
      </c>
      <c r="C43" s="2155"/>
      <c r="D43" s="2303">
        <f t="shared" ref="D43:N43" si="29">+D95+D147+D199+D251+D303+D355+D407+D459+D511+D563+D615+D667+D719+D771+D823+D875</f>
        <v>993706.80255999998</v>
      </c>
      <c r="E43" s="2304">
        <f t="shared" si="29"/>
        <v>0</v>
      </c>
      <c r="F43" s="2304">
        <f t="shared" si="29"/>
        <v>0</v>
      </c>
      <c r="G43" s="2304">
        <f t="shared" si="29"/>
        <v>443866.43483223999</v>
      </c>
      <c r="H43" s="2304">
        <f t="shared" si="29"/>
        <v>430800.68132775993</v>
      </c>
      <c r="I43" s="2304">
        <f t="shared" si="29"/>
        <v>110888.68640000001</v>
      </c>
      <c r="J43" s="2305">
        <f t="shared" si="29"/>
        <v>985555.80255999998</v>
      </c>
      <c r="K43" s="2304">
        <f t="shared" si="29"/>
        <v>8151</v>
      </c>
      <c r="L43" s="2304">
        <f t="shared" si="29"/>
        <v>0</v>
      </c>
      <c r="M43" s="2306">
        <f t="shared" si="29"/>
        <v>0</v>
      </c>
      <c r="N43" s="2305">
        <f t="shared" si="29"/>
        <v>8151</v>
      </c>
      <c r="O43" s="704"/>
      <c r="P43" s="705"/>
      <c r="Q43" s="705"/>
      <c r="R43" s="706"/>
      <c r="T43" s="706"/>
      <c r="U43" s="706"/>
      <c r="V43" s="706"/>
      <c r="W43" s="706"/>
      <c r="X43" s="706"/>
      <c r="Y43" s="706"/>
      <c r="Z43" s="706"/>
      <c r="AA43" s="706"/>
      <c r="AB43" s="706"/>
      <c r="AC43" s="706"/>
      <c r="AD43" s="706"/>
      <c r="AE43" s="706"/>
      <c r="AF43" s="681"/>
    </row>
    <row r="44" spans="1:32">
      <c r="A44" s="2307">
        <v>25</v>
      </c>
      <c r="B44" s="2176" t="s">
        <v>300</v>
      </c>
      <c r="C44" s="2155"/>
      <c r="D44" s="2303">
        <f t="shared" ref="D44:N44" si="30">+D96+D148+D200+D252+D304+D356+D408+D460+D512+D564+D616+D668+D720+D772+D824+D876</f>
        <v>3614092.4487699997</v>
      </c>
      <c r="E44" s="2304">
        <f t="shared" si="30"/>
        <v>0</v>
      </c>
      <c r="F44" s="2304">
        <f t="shared" si="30"/>
        <v>2937698.6740100002</v>
      </c>
      <c r="G44" s="2304">
        <f t="shared" si="30"/>
        <v>298879.49321999995</v>
      </c>
      <c r="H44" s="2304">
        <f t="shared" si="30"/>
        <v>346034.79113920004</v>
      </c>
      <c r="I44" s="2304">
        <f t="shared" si="30"/>
        <v>31479.490400800034</v>
      </c>
      <c r="J44" s="2305">
        <f t="shared" si="30"/>
        <v>676393.77476000006</v>
      </c>
      <c r="K44" s="2304">
        <f t="shared" si="30"/>
        <v>0</v>
      </c>
      <c r="L44" s="2304">
        <f t="shared" si="30"/>
        <v>0</v>
      </c>
      <c r="M44" s="2306">
        <f t="shared" si="30"/>
        <v>0</v>
      </c>
      <c r="N44" s="2305">
        <f t="shared" si="30"/>
        <v>0</v>
      </c>
      <c r="O44" s="704"/>
      <c r="P44" s="705"/>
      <c r="Q44" s="705"/>
      <c r="R44" s="706"/>
      <c r="T44" s="706"/>
      <c r="U44" s="706"/>
      <c r="V44" s="706"/>
      <c r="W44" s="706"/>
      <c r="X44" s="706"/>
      <c r="Y44" s="706"/>
      <c r="Z44" s="706"/>
      <c r="AA44" s="706"/>
      <c r="AB44" s="706"/>
      <c r="AC44" s="706"/>
      <c r="AD44" s="706"/>
      <c r="AE44" s="706"/>
      <c r="AF44" s="681"/>
    </row>
    <row r="45" spans="1:32" ht="13.5" thickBot="1">
      <c r="A45" s="2314">
        <v>26</v>
      </c>
      <c r="B45" s="2173" t="s">
        <v>301</v>
      </c>
      <c r="C45" s="2177"/>
      <c r="D45" s="1485">
        <f t="shared" ref="D45:N45" si="31">+D97+D149+D201+D253+D305+D357+D409+D461+D513+D565+D617+D669+D721+D773+D825+D877</f>
        <v>29322263.153226949</v>
      </c>
      <c r="E45" s="998">
        <f t="shared" si="31"/>
        <v>-2044698.8058199999</v>
      </c>
      <c r="F45" s="998">
        <f t="shared" si="31"/>
        <v>2769451.2763829576</v>
      </c>
      <c r="G45" s="998">
        <f t="shared" si="31"/>
        <v>10314600.825193623</v>
      </c>
      <c r="H45" s="998">
        <f t="shared" si="31"/>
        <v>13254863.553171324</v>
      </c>
      <c r="I45" s="998">
        <f t="shared" si="31"/>
        <v>4520205.3241264177</v>
      </c>
      <c r="J45" s="1489">
        <f t="shared" si="31"/>
        <v>27990949.051441707</v>
      </c>
      <c r="K45" s="998">
        <f t="shared" si="31"/>
        <v>532978.42500000005</v>
      </c>
      <c r="L45" s="998">
        <f t="shared" si="31"/>
        <v>397</v>
      </c>
      <c r="M45" s="2315">
        <f t="shared" si="31"/>
        <v>73186.206222283305</v>
      </c>
      <c r="N45" s="1489">
        <f t="shared" si="31"/>
        <v>606561.63122228323</v>
      </c>
      <c r="O45" s="704"/>
      <c r="P45" s="705"/>
      <c r="Q45" s="705"/>
      <c r="R45" s="706"/>
      <c r="T45" s="706"/>
      <c r="U45" s="706"/>
      <c r="V45" s="706"/>
      <c r="W45" s="706"/>
      <c r="X45" s="706"/>
      <c r="Y45" s="706"/>
      <c r="Z45" s="706"/>
      <c r="AA45" s="706"/>
      <c r="AB45" s="706"/>
      <c r="AC45" s="706"/>
      <c r="AD45" s="706"/>
      <c r="AE45" s="706"/>
      <c r="AF45" s="681"/>
    </row>
    <row r="46" spans="1:32" ht="26.25" thickBot="1">
      <c r="A46" s="1482">
        <v>27</v>
      </c>
      <c r="B46" s="1349" t="s">
        <v>302</v>
      </c>
      <c r="C46" s="1348"/>
      <c r="D46" s="1486">
        <f t="shared" ref="D46:N46" si="32">+D98+D150+D202+D254+D306+D358+D410+D462+D514+D566+D618+D670+D722+D774+D826+D878</f>
        <v>436653943.86822081</v>
      </c>
      <c r="E46" s="999">
        <f t="shared" si="32"/>
        <v>-2044698.8058199999</v>
      </c>
      <c r="F46" s="999">
        <f t="shared" si="32"/>
        <v>6404210.4327129573</v>
      </c>
      <c r="G46" s="999">
        <f t="shared" si="32"/>
        <v>221147973.00645965</v>
      </c>
      <c r="H46" s="999">
        <f t="shared" si="32"/>
        <v>78706875.317770734</v>
      </c>
      <c r="I46" s="999">
        <f t="shared" si="32"/>
        <v>122862003.58546489</v>
      </c>
      <c r="J46" s="1490">
        <f t="shared" si="32"/>
        <v>422618131.25864553</v>
      </c>
      <c r="K46" s="999">
        <f t="shared" si="32"/>
        <v>713986.22499999998</v>
      </c>
      <c r="L46" s="999">
        <f t="shared" si="32"/>
        <v>95699</v>
      </c>
      <c r="M46" s="1019">
        <f t="shared" si="32"/>
        <v>8866615.7576822825</v>
      </c>
      <c r="N46" s="1490">
        <f t="shared" si="32"/>
        <v>9676300.982682284</v>
      </c>
      <c r="O46" s="704"/>
      <c r="P46" s="705"/>
      <c r="Q46" s="705"/>
      <c r="R46" s="706"/>
      <c r="T46" s="706"/>
      <c r="U46" s="706"/>
      <c r="V46" s="706"/>
      <c r="W46" s="706"/>
      <c r="X46" s="706"/>
      <c r="Y46" s="706"/>
      <c r="Z46" s="706"/>
      <c r="AA46" s="706"/>
      <c r="AB46" s="706"/>
      <c r="AC46" s="706"/>
      <c r="AD46" s="706"/>
      <c r="AE46" s="706"/>
      <c r="AF46" s="681"/>
    </row>
    <row r="47" spans="1:32">
      <c r="A47" s="1483"/>
      <c r="B47" s="1481" t="s">
        <v>303</v>
      </c>
      <c r="C47" s="1346"/>
      <c r="D47" s="1487">
        <f t="shared" ref="D47:N47" si="33">+D99+D151+D203+D255+D307+D359+D411+D463+D515+D567+D619+D671+D723+D775+D827+D879</f>
        <v>0</v>
      </c>
      <c r="E47" s="996">
        <f t="shared" si="33"/>
        <v>0</v>
      </c>
      <c r="F47" s="996">
        <f t="shared" si="33"/>
        <v>0</v>
      </c>
      <c r="G47" s="996">
        <f t="shared" si="33"/>
        <v>0</v>
      </c>
      <c r="H47" s="996">
        <f t="shared" si="33"/>
        <v>0</v>
      </c>
      <c r="I47" s="996">
        <f t="shared" si="33"/>
        <v>0</v>
      </c>
      <c r="J47" s="1491">
        <f t="shared" si="33"/>
        <v>0</v>
      </c>
      <c r="K47" s="996">
        <f t="shared" si="33"/>
        <v>0</v>
      </c>
      <c r="L47" s="996">
        <f t="shared" si="33"/>
        <v>0</v>
      </c>
      <c r="M47" s="995">
        <f t="shared" si="33"/>
        <v>0</v>
      </c>
      <c r="N47" s="1491">
        <f t="shared" si="33"/>
        <v>0</v>
      </c>
      <c r="O47" s="704"/>
      <c r="P47" s="705"/>
      <c r="Q47" s="705"/>
      <c r="R47" s="706"/>
      <c r="T47" s="706"/>
      <c r="U47" s="706"/>
      <c r="V47" s="706"/>
      <c r="W47" s="706"/>
      <c r="X47" s="706"/>
      <c r="Y47" s="706"/>
      <c r="Z47" s="706"/>
      <c r="AA47" s="706"/>
      <c r="AB47" s="706"/>
      <c r="AC47" s="706"/>
      <c r="AD47" s="706"/>
      <c r="AE47" s="706"/>
      <c r="AF47" s="681"/>
    </row>
    <row r="48" spans="1:32">
      <c r="A48" s="2307">
        <v>28</v>
      </c>
      <c r="B48" s="2302" t="s">
        <v>304</v>
      </c>
      <c r="C48" s="2161"/>
      <c r="D48" s="2303">
        <f t="shared" ref="D48:N48" si="34">+D100+D152+D204+D256+D308+D360+D412+D464+D516+D568+D620+D672+D724+D776+D828+D880</f>
        <v>14934343.051000001</v>
      </c>
      <c r="E48" s="2304">
        <f t="shared" si="34"/>
        <v>0</v>
      </c>
      <c r="F48" s="2304">
        <f t="shared" si="34"/>
        <v>14934343.051000001</v>
      </c>
      <c r="G48" s="2304">
        <f t="shared" si="34"/>
        <v>0</v>
      </c>
      <c r="H48" s="2304">
        <f t="shared" si="34"/>
        <v>0</v>
      </c>
      <c r="I48" s="2304">
        <f t="shared" si="34"/>
        <v>0</v>
      </c>
      <c r="J48" s="2305">
        <f t="shared" si="34"/>
        <v>0</v>
      </c>
      <c r="K48" s="2304">
        <f t="shared" si="34"/>
        <v>0</v>
      </c>
      <c r="L48" s="2304">
        <f t="shared" si="34"/>
        <v>0</v>
      </c>
      <c r="M48" s="2306">
        <f t="shared" si="34"/>
        <v>0</v>
      </c>
      <c r="N48" s="2305">
        <f t="shared" si="34"/>
        <v>0</v>
      </c>
      <c r="O48" s="704"/>
      <c r="P48" s="705"/>
      <c r="Q48" s="705"/>
      <c r="R48" s="706"/>
      <c r="T48" s="706"/>
      <c r="U48" s="706"/>
      <c r="V48" s="706"/>
      <c r="W48" s="706"/>
      <c r="X48" s="706"/>
      <c r="Y48" s="706"/>
      <c r="Z48" s="706"/>
      <c r="AA48" s="706"/>
      <c r="AB48" s="706"/>
      <c r="AC48" s="706"/>
      <c r="AD48" s="706"/>
      <c r="AE48" s="706"/>
      <c r="AF48" s="681"/>
    </row>
    <row r="49" spans="1:32">
      <c r="A49" s="2307">
        <v>29</v>
      </c>
      <c r="B49" s="2302" t="s">
        <v>305</v>
      </c>
      <c r="C49" s="2161"/>
      <c r="D49" s="2303">
        <f t="shared" ref="D49:N49" si="35">+D101+D153+D205+D257+D309+D361+D413+D465+D517+D569+D621+D673+D725+D777+D829+D881</f>
        <v>13432536.269849</v>
      </c>
      <c r="E49" s="2304">
        <f t="shared" si="35"/>
        <v>0</v>
      </c>
      <c r="F49" s="2304">
        <f t="shared" si="35"/>
        <v>11132202.206619</v>
      </c>
      <c r="G49" s="2304">
        <f t="shared" si="35"/>
        <v>456743.10569877544</v>
      </c>
      <c r="H49" s="2304">
        <f t="shared" si="35"/>
        <v>177796.38391122455</v>
      </c>
      <c r="I49" s="2304">
        <f t="shared" si="35"/>
        <v>1628133.96062</v>
      </c>
      <c r="J49" s="2305">
        <f t="shared" si="35"/>
        <v>2262673.4502300001</v>
      </c>
      <c r="K49" s="2304">
        <f t="shared" si="35"/>
        <v>34575</v>
      </c>
      <c r="L49" s="2304">
        <f t="shared" si="35"/>
        <v>0</v>
      </c>
      <c r="M49" s="2306">
        <f t="shared" si="35"/>
        <v>3085.6129999999998</v>
      </c>
      <c r="N49" s="2305">
        <f t="shared" si="35"/>
        <v>37660.612999999998</v>
      </c>
      <c r="O49" s="704"/>
      <c r="P49" s="705"/>
      <c r="Q49" s="705"/>
      <c r="R49" s="706"/>
      <c r="T49" s="706"/>
      <c r="U49" s="706"/>
      <c r="V49" s="706"/>
      <c r="W49" s="706"/>
      <c r="X49" s="706"/>
      <c r="Y49" s="706"/>
      <c r="Z49" s="706"/>
      <c r="AA49" s="706"/>
      <c r="AB49" s="706"/>
      <c r="AC49" s="706"/>
      <c r="AD49" s="706"/>
      <c r="AE49" s="706"/>
      <c r="AF49" s="681"/>
    </row>
    <row r="50" spans="1:32">
      <c r="A50" s="2307">
        <v>30</v>
      </c>
      <c r="B50" s="2317" t="s">
        <v>306</v>
      </c>
      <c r="C50" s="2177"/>
      <c r="D50" s="2303">
        <f t="shared" ref="D50:N50" si="36">+D102+D154+D206+D258+D310+D362+D414+D466+D518+D570+D622+D674+D726+D778+D830+D882</f>
        <v>2991480.4160598335</v>
      </c>
      <c r="E50" s="2304">
        <f t="shared" si="36"/>
        <v>0</v>
      </c>
      <c r="F50" s="2304">
        <f t="shared" si="36"/>
        <v>1230044.4160598335</v>
      </c>
      <c r="G50" s="2304">
        <f t="shared" si="36"/>
        <v>123328</v>
      </c>
      <c r="H50" s="2304">
        <f t="shared" si="36"/>
        <v>1638108</v>
      </c>
      <c r="I50" s="2304">
        <f t="shared" si="36"/>
        <v>0</v>
      </c>
      <c r="J50" s="2305">
        <f t="shared" si="36"/>
        <v>1761436</v>
      </c>
      <c r="K50" s="2304">
        <f t="shared" si="36"/>
        <v>0</v>
      </c>
      <c r="L50" s="2304">
        <f t="shared" si="36"/>
        <v>0</v>
      </c>
      <c r="M50" s="2306">
        <f t="shared" si="36"/>
        <v>0</v>
      </c>
      <c r="N50" s="2305">
        <f t="shared" si="36"/>
        <v>0</v>
      </c>
      <c r="O50" s="704"/>
      <c r="P50" s="705"/>
      <c r="Q50" s="705"/>
      <c r="R50" s="706"/>
      <c r="T50" s="706"/>
      <c r="U50" s="706"/>
      <c r="V50" s="706"/>
      <c r="W50" s="706"/>
      <c r="X50" s="706"/>
      <c r="Y50" s="706"/>
      <c r="Z50" s="706"/>
      <c r="AA50" s="706"/>
      <c r="AB50" s="706"/>
      <c r="AC50" s="706"/>
      <c r="AD50" s="706"/>
      <c r="AE50" s="706"/>
      <c r="AF50" s="681"/>
    </row>
    <row r="51" spans="1:32">
      <c r="A51" s="2307">
        <v>31</v>
      </c>
      <c r="B51" s="2318" t="s">
        <v>307</v>
      </c>
      <c r="C51" s="2177"/>
      <c r="D51" s="2303">
        <f t="shared" ref="D51:N51" si="37">+D103+D155+D207+D259+D311+D363+D415+D467+D519+D571+D623+D675+D727+D779+D831+D883</f>
        <v>16248325.984056292</v>
      </c>
      <c r="E51" s="2304">
        <f t="shared" si="37"/>
        <v>0</v>
      </c>
      <c r="F51" s="2304">
        <f t="shared" si="37"/>
        <v>16248325.984056292</v>
      </c>
      <c r="G51" s="2304">
        <f t="shared" si="37"/>
        <v>0</v>
      </c>
      <c r="H51" s="2304">
        <f t="shared" si="37"/>
        <v>0</v>
      </c>
      <c r="I51" s="2304">
        <f t="shared" si="37"/>
        <v>0</v>
      </c>
      <c r="J51" s="2305">
        <f t="shared" si="37"/>
        <v>0</v>
      </c>
      <c r="K51" s="2304">
        <f t="shared" si="37"/>
        <v>0</v>
      </c>
      <c r="L51" s="2304">
        <f t="shared" si="37"/>
        <v>0</v>
      </c>
      <c r="M51" s="2306">
        <f t="shared" si="37"/>
        <v>0</v>
      </c>
      <c r="N51" s="2305">
        <f t="shared" si="37"/>
        <v>0</v>
      </c>
      <c r="O51" s="704"/>
      <c r="P51" s="705"/>
      <c r="Q51" s="705"/>
      <c r="R51" s="706"/>
      <c r="T51" s="706"/>
      <c r="U51" s="706"/>
      <c r="V51" s="706"/>
      <c r="W51" s="706"/>
      <c r="X51" s="706"/>
      <c r="Y51" s="706"/>
      <c r="Z51" s="706"/>
      <c r="AA51" s="706"/>
      <c r="AB51" s="706"/>
      <c r="AC51" s="706"/>
      <c r="AD51" s="706"/>
      <c r="AE51" s="706"/>
      <c r="AF51" s="681"/>
    </row>
    <row r="52" spans="1:32" ht="13.5" thickBot="1">
      <c r="A52" s="2307">
        <v>32</v>
      </c>
      <c r="B52" s="2317" t="s">
        <v>308</v>
      </c>
      <c r="C52" s="2177"/>
      <c r="D52" s="1485">
        <f t="shared" ref="D52:N52" si="38">+D104+D156+D208+D260+D312+D364+D416+D468+D520+D572+D624+D676+D728+D780+D832+D884</f>
        <v>78445335.03811197</v>
      </c>
      <c r="E52" s="998">
        <f t="shared" si="38"/>
        <v>0</v>
      </c>
      <c r="F52" s="998">
        <f t="shared" si="38"/>
        <v>78861260.552457571</v>
      </c>
      <c r="G52" s="998">
        <f t="shared" si="38"/>
        <v>-403595.54706235288</v>
      </c>
      <c r="H52" s="998">
        <f t="shared" si="38"/>
        <v>-5158.0931015902897</v>
      </c>
      <c r="I52" s="998">
        <f t="shared" si="38"/>
        <v>-7171.874181652337</v>
      </c>
      <c r="J52" s="1489">
        <f t="shared" si="38"/>
        <v>-415925.5143455955</v>
      </c>
      <c r="K52" s="998">
        <f t="shared" si="38"/>
        <v>0</v>
      </c>
      <c r="L52" s="998">
        <f t="shared" si="38"/>
        <v>0</v>
      </c>
      <c r="M52" s="2315">
        <f t="shared" si="38"/>
        <v>0</v>
      </c>
      <c r="N52" s="1489">
        <f t="shared" si="38"/>
        <v>0</v>
      </c>
      <c r="O52" s="704"/>
      <c r="P52" s="705"/>
      <c r="Q52" s="705"/>
      <c r="R52" s="706"/>
      <c r="T52" s="706"/>
      <c r="U52" s="706"/>
      <c r="V52" s="706"/>
      <c r="W52" s="706"/>
      <c r="X52" s="706"/>
      <c r="Y52" s="706"/>
      <c r="Z52" s="706"/>
      <c r="AA52" s="706"/>
      <c r="AB52" s="706"/>
      <c r="AC52" s="706"/>
      <c r="AD52" s="706"/>
      <c r="AE52" s="706"/>
      <c r="AF52" s="681"/>
    </row>
    <row r="53" spans="1:32" ht="13.5" thickBot="1">
      <c r="A53" s="2314">
        <v>33</v>
      </c>
      <c r="B53" s="1350" t="s">
        <v>309</v>
      </c>
      <c r="C53" s="1348"/>
      <c r="D53" s="1486">
        <f t="shared" ref="D53:N53" si="39">+D105+D157+D209+D261+D313+D365+D417+D469+D521+D573+D625+D677+D729+D781+D833+D885</f>
        <v>126052020.75907712</v>
      </c>
      <c r="E53" s="999">
        <f t="shared" si="39"/>
        <v>0</v>
      </c>
      <c r="F53" s="999">
        <f t="shared" si="39"/>
        <v>122406176.21019271</v>
      </c>
      <c r="G53" s="999">
        <f t="shared" si="39"/>
        <v>176475.55863642256</v>
      </c>
      <c r="H53" s="999">
        <f t="shared" si="39"/>
        <v>1810746.2908096341</v>
      </c>
      <c r="I53" s="999">
        <f t="shared" si="39"/>
        <v>1620962.0864383476</v>
      </c>
      <c r="J53" s="1490">
        <f t="shared" si="39"/>
        <v>3608183.9358844045</v>
      </c>
      <c r="K53" s="999">
        <f t="shared" si="39"/>
        <v>34575</v>
      </c>
      <c r="L53" s="999">
        <f t="shared" si="39"/>
        <v>0</v>
      </c>
      <c r="M53" s="1019">
        <f t="shared" si="39"/>
        <v>3085.6129999999998</v>
      </c>
      <c r="N53" s="1490">
        <f t="shared" si="39"/>
        <v>37660.612999999998</v>
      </c>
      <c r="O53" s="704"/>
      <c r="P53" s="705"/>
      <c r="Q53" s="705"/>
      <c r="R53" s="706"/>
      <c r="T53" s="706"/>
      <c r="U53" s="706"/>
      <c r="V53" s="706"/>
      <c r="W53" s="706"/>
      <c r="X53" s="706"/>
      <c r="Y53" s="706"/>
      <c r="Z53" s="706"/>
      <c r="AA53" s="706"/>
      <c r="AB53" s="706"/>
      <c r="AC53" s="706"/>
      <c r="AD53" s="706"/>
      <c r="AE53" s="706"/>
      <c r="AF53" s="681"/>
    </row>
    <row r="54" spans="1:32" ht="26.25" thickBot="1">
      <c r="A54" s="1493">
        <v>34</v>
      </c>
      <c r="B54" s="1352" t="s">
        <v>310</v>
      </c>
      <c r="C54" s="1351"/>
      <c r="D54" s="1494">
        <f t="shared" ref="D54:N54" si="40">+D106+D158+D210+D262+D314+D366+D418+D470+D522+D574+D626+D678+D730+D782+D834+D886</f>
        <v>562705964.62729788</v>
      </c>
      <c r="E54" s="1494">
        <f t="shared" si="40"/>
        <v>-2044698.8058199999</v>
      </c>
      <c r="F54" s="1494">
        <f t="shared" si="40"/>
        <v>128810386.64290565</v>
      </c>
      <c r="G54" s="1494">
        <f t="shared" si="40"/>
        <v>221324448.56509605</v>
      </c>
      <c r="H54" s="1494">
        <f t="shared" si="40"/>
        <v>80517621.608580366</v>
      </c>
      <c r="I54" s="1494">
        <f t="shared" si="40"/>
        <v>124482965.67190324</v>
      </c>
      <c r="J54" s="1494">
        <f t="shared" si="40"/>
        <v>426226315.19453001</v>
      </c>
      <c r="K54" s="1494">
        <f t="shared" si="40"/>
        <v>748561.22499999998</v>
      </c>
      <c r="L54" s="1494">
        <f t="shared" si="40"/>
        <v>95699</v>
      </c>
      <c r="M54" s="1495">
        <f t="shared" si="40"/>
        <v>8869701.3706822842</v>
      </c>
      <c r="N54" s="1494">
        <f t="shared" si="40"/>
        <v>9713961.5956822839</v>
      </c>
      <c r="O54" s="704"/>
      <c r="P54" s="705"/>
      <c r="Q54" s="705"/>
      <c r="R54" s="706"/>
      <c r="T54" s="706"/>
      <c r="U54" s="706"/>
      <c r="V54" s="706"/>
      <c r="W54" s="706"/>
      <c r="X54" s="706"/>
      <c r="Y54" s="706"/>
      <c r="Z54" s="706"/>
      <c r="AA54" s="706"/>
      <c r="AB54" s="706"/>
      <c r="AC54" s="706"/>
      <c r="AD54" s="706"/>
      <c r="AE54" s="706"/>
      <c r="AF54" s="681"/>
    </row>
    <row r="55" spans="1:32">
      <c r="D55" s="679"/>
    </row>
    <row r="56" spans="1:32">
      <c r="B56" s="680"/>
      <c r="D56" s="679"/>
      <c r="E56" s="679"/>
      <c r="F56" s="679"/>
      <c r="G56" s="679"/>
      <c r="H56" s="679"/>
      <c r="I56" s="679"/>
      <c r="J56" s="679"/>
      <c r="K56" s="679"/>
      <c r="L56" s="679"/>
      <c r="M56" s="679"/>
      <c r="N56" s="911">
        <v>30</v>
      </c>
      <c r="O56" s="679"/>
    </row>
    <row r="58" spans="1:32" ht="13.5" thickBot="1"/>
    <row r="59" spans="1:32" ht="15.75" customHeight="1" thickBot="1">
      <c r="A59" s="1368" t="s">
        <v>311</v>
      </c>
      <c r="B59" s="3543" t="s">
        <v>312</v>
      </c>
      <c r="C59" s="3544"/>
      <c r="M59" s="3538" t="s">
        <v>251</v>
      </c>
      <c r="N59" s="3538"/>
      <c r="O59" s="701"/>
    </row>
    <row r="60" spans="1:32" ht="12.75" customHeight="1" thickBot="1">
      <c r="A60" s="3555" t="s">
        <v>252</v>
      </c>
      <c r="B60" s="1467"/>
      <c r="C60" s="3523" t="s">
        <v>254</v>
      </c>
      <c r="D60" s="3562" t="s">
        <v>255</v>
      </c>
      <c r="E60" s="3562" t="s">
        <v>256</v>
      </c>
      <c r="F60" s="3562" t="s">
        <v>257</v>
      </c>
      <c r="G60" s="3565" t="s">
        <v>258</v>
      </c>
      <c r="H60" s="3566"/>
      <c r="I60" s="3566"/>
      <c r="J60" s="3566"/>
      <c r="K60" s="3566"/>
      <c r="L60" s="3566"/>
      <c r="M60" s="3566"/>
      <c r="N60" s="3567"/>
      <c r="O60" s="702"/>
    </row>
    <row r="61" spans="1:32" ht="15.75" customHeight="1" thickBot="1">
      <c r="A61" s="3556"/>
      <c r="B61" s="1468"/>
      <c r="C61" s="3524"/>
      <c r="D61" s="3563"/>
      <c r="E61" s="3563"/>
      <c r="F61" s="3563"/>
      <c r="G61" s="3529" t="s">
        <v>259</v>
      </c>
      <c r="H61" s="3530"/>
      <c r="I61" s="3530"/>
      <c r="J61" s="3531"/>
      <c r="K61" s="3568" t="s">
        <v>260</v>
      </c>
      <c r="L61" s="3569"/>
      <c r="M61" s="3569"/>
      <c r="N61" s="3570"/>
      <c r="O61" s="458"/>
    </row>
    <row r="62" spans="1:32" ht="39" thickBot="1">
      <c r="A62" s="3556"/>
      <c r="B62" s="1469"/>
      <c r="C62" s="3524"/>
      <c r="D62" s="3563"/>
      <c r="E62" s="3564"/>
      <c r="F62" s="3564"/>
      <c r="G62" s="1336" t="s">
        <v>261</v>
      </c>
      <c r="H62" s="1336" t="s">
        <v>262</v>
      </c>
      <c r="I62" s="1336" t="s">
        <v>263</v>
      </c>
      <c r="J62" s="1336" t="s">
        <v>158</v>
      </c>
      <c r="K62" s="1337" t="s">
        <v>264</v>
      </c>
      <c r="L62" s="1337" t="s">
        <v>265</v>
      </c>
      <c r="M62" s="1337" t="s">
        <v>266</v>
      </c>
      <c r="N62" s="1404" t="s">
        <v>158</v>
      </c>
      <c r="O62" s="443"/>
    </row>
    <row r="63" spans="1:32" ht="13.5" thickBot="1">
      <c r="A63" s="3556"/>
      <c r="B63" s="1468"/>
      <c r="C63" s="3571"/>
      <c r="D63" s="1471">
        <v>1</v>
      </c>
      <c r="E63" s="1473">
        <v>2</v>
      </c>
      <c r="F63" s="1471">
        <v>3</v>
      </c>
      <c r="G63" s="1472">
        <v>4</v>
      </c>
      <c r="H63" s="1471">
        <v>5</v>
      </c>
      <c r="I63" s="1473">
        <v>6</v>
      </c>
      <c r="J63" s="1474">
        <v>7</v>
      </c>
      <c r="K63" s="1472">
        <v>8</v>
      </c>
      <c r="L63" s="1471">
        <v>9</v>
      </c>
      <c r="M63" s="1496">
        <v>10</v>
      </c>
      <c r="N63" s="1470">
        <v>11</v>
      </c>
      <c r="O63" s="702"/>
    </row>
    <row r="64" spans="1:32" ht="13.5" thickBot="1">
      <c r="A64" s="3557"/>
      <c r="B64" s="1475"/>
      <c r="C64" s="3572"/>
      <c r="D64" s="1476"/>
      <c r="E64" s="1478"/>
      <c r="F64" s="1476"/>
      <c r="G64" s="1477"/>
      <c r="H64" s="1476"/>
      <c r="I64" s="1478"/>
      <c r="J64" s="1478" t="s">
        <v>267</v>
      </c>
      <c r="K64" s="1477"/>
      <c r="L64" s="1476"/>
      <c r="M64" s="1968"/>
      <c r="N64" s="1476" t="s">
        <v>268</v>
      </c>
      <c r="O64" s="703"/>
      <c r="P64" s="703"/>
      <c r="Q64" s="703"/>
    </row>
    <row r="65" spans="1:43">
      <c r="A65" s="1497"/>
      <c r="B65" s="1481" t="s">
        <v>269</v>
      </c>
      <c r="C65" s="1375"/>
      <c r="D65" s="1386"/>
      <c r="E65" s="1017"/>
      <c r="F65" s="737"/>
      <c r="G65" s="694"/>
      <c r="H65" s="738"/>
      <c r="I65" s="689"/>
      <c r="J65" s="1512"/>
      <c r="K65" s="996"/>
      <c r="L65" s="994"/>
      <c r="M65" s="997"/>
      <c r="N65" s="1518"/>
      <c r="Q65" s="703"/>
    </row>
    <row r="66" spans="1:43">
      <c r="A66" s="2301">
        <v>1</v>
      </c>
      <c r="B66" s="2302" t="s">
        <v>270</v>
      </c>
      <c r="C66" s="2179"/>
      <c r="D66" s="2319">
        <f>+E66+F66+J66+N66</f>
        <v>0</v>
      </c>
      <c r="E66" s="2320"/>
      <c r="F66" s="2321"/>
      <c r="G66" s="2322"/>
      <c r="H66" s="2321"/>
      <c r="I66" s="2323"/>
      <c r="J66" s="2324">
        <f>G66+H66+I66</f>
        <v>0</v>
      </c>
      <c r="K66" s="2304"/>
      <c r="L66" s="2304"/>
      <c r="M66" s="2325"/>
      <c r="N66" s="2324">
        <f>K66+L66+M66</f>
        <v>0</v>
      </c>
      <c r="O66" s="704"/>
      <c r="P66" s="705"/>
      <c r="Q66" s="709"/>
      <c r="S66" s="706"/>
      <c r="T66" s="706"/>
      <c r="U66" s="706"/>
      <c r="V66" s="706"/>
      <c r="W66" s="706"/>
      <c r="X66" s="706"/>
      <c r="Y66" s="706"/>
      <c r="Z66" s="706"/>
      <c r="AA66" s="706"/>
      <c r="AB66" s="706"/>
      <c r="AC66" s="706"/>
      <c r="AF66" s="681"/>
      <c r="AG66" s="681"/>
      <c r="AH66" s="681"/>
      <c r="AI66" s="681"/>
      <c r="AJ66" s="681"/>
      <c r="AK66" s="681"/>
      <c r="AL66" s="681"/>
      <c r="AM66" s="681"/>
      <c r="AN66" s="681"/>
      <c r="AO66" s="681"/>
      <c r="AP66" s="681"/>
      <c r="AQ66" s="679"/>
    </row>
    <row r="67" spans="1:43">
      <c r="A67" s="2301">
        <v>2</v>
      </c>
      <c r="B67" s="2302" t="s">
        <v>271</v>
      </c>
      <c r="C67" s="2179"/>
      <c r="D67" s="2319">
        <f t="shared" ref="D67:D104" si="41">+E67+F67+J67+N67</f>
        <v>922941</v>
      </c>
      <c r="E67" s="2320"/>
      <c r="F67" s="2326">
        <v>922941</v>
      </c>
      <c r="G67" s="2322"/>
      <c r="H67" s="2327"/>
      <c r="I67" s="2328"/>
      <c r="J67" s="2324">
        <f t="shared" ref="J67:J77" si="42">G67+H67+I67</f>
        <v>0</v>
      </c>
      <c r="K67" s="2304"/>
      <c r="L67" s="2304"/>
      <c r="M67" s="2325"/>
      <c r="N67" s="2324">
        <f t="shared" ref="N67:N106" si="43">K67+L67+M67</f>
        <v>0</v>
      </c>
      <c r="O67" s="704"/>
      <c r="P67" s="705"/>
      <c r="Q67" s="709"/>
      <c r="R67" s="706"/>
      <c r="S67" s="706"/>
      <c r="T67" s="706"/>
      <c r="U67" s="706"/>
      <c r="V67" s="706"/>
      <c r="W67" s="706"/>
      <c r="X67" s="706"/>
      <c r="Y67" s="706"/>
      <c r="Z67" s="706"/>
      <c r="AA67" s="706"/>
      <c r="AB67" s="706"/>
      <c r="AC67" s="706"/>
      <c r="AF67" s="681"/>
      <c r="AG67" s="681"/>
      <c r="AH67" s="681"/>
      <c r="AI67" s="681"/>
      <c r="AJ67" s="681"/>
      <c r="AK67" s="681"/>
      <c r="AL67" s="681"/>
      <c r="AM67" s="681"/>
      <c r="AN67" s="681"/>
      <c r="AO67" s="681"/>
      <c r="AP67" s="681"/>
    </row>
    <row r="68" spans="1:43">
      <c r="A68" s="2301">
        <v>3</v>
      </c>
      <c r="B68" s="2302" t="s">
        <v>272</v>
      </c>
      <c r="C68" s="2179"/>
      <c r="D68" s="2319">
        <f t="shared" si="41"/>
        <v>0</v>
      </c>
      <c r="E68" s="2320"/>
      <c r="F68" s="2321"/>
      <c r="G68" s="2322"/>
      <c r="H68" s="2327"/>
      <c r="I68" s="2328"/>
      <c r="J68" s="2324">
        <f t="shared" si="42"/>
        <v>0</v>
      </c>
      <c r="K68" s="2304"/>
      <c r="L68" s="2304"/>
      <c r="M68" s="2325"/>
      <c r="N68" s="2324">
        <f t="shared" si="43"/>
        <v>0</v>
      </c>
      <c r="O68" s="704"/>
      <c r="P68" s="705"/>
      <c r="Q68" s="709"/>
      <c r="R68" s="706"/>
      <c r="S68" s="706"/>
      <c r="T68" s="706"/>
      <c r="U68" s="706"/>
      <c r="V68" s="706"/>
      <c r="W68" s="706"/>
      <c r="X68" s="706"/>
      <c r="Y68" s="706"/>
      <c r="Z68" s="706"/>
      <c r="AA68" s="706"/>
      <c r="AB68" s="706"/>
      <c r="AC68" s="706"/>
      <c r="AF68" s="681"/>
      <c r="AG68" s="681"/>
      <c r="AH68" s="681"/>
      <c r="AI68" s="681"/>
      <c r="AJ68" s="681"/>
      <c r="AK68" s="681"/>
      <c r="AL68" s="681"/>
      <c r="AM68" s="681"/>
      <c r="AN68" s="681"/>
      <c r="AO68" s="681"/>
      <c r="AP68" s="681"/>
    </row>
    <row r="69" spans="1:43" ht="15">
      <c r="A69" s="2301">
        <v>4</v>
      </c>
      <c r="B69" s="1498" t="s">
        <v>273</v>
      </c>
      <c r="C69" s="2179"/>
      <c r="D69" s="2319">
        <f t="shared" si="41"/>
        <v>990706</v>
      </c>
      <c r="E69" s="2320"/>
      <c r="F69" s="2326">
        <v>990706</v>
      </c>
      <c r="G69" s="2322"/>
      <c r="H69" s="2327"/>
      <c r="I69" s="2328"/>
      <c r="J69" s="2324">
        <f t="shared" si="42"/>
        <v>0</v>
      </c>
      <c r="K69" s="2304"/>
      <c r="L69" s="2304"/>
      <c r="M69" s="2325"/>
      <c r="N69" s="2324">
        <f t="shared" si="43"/>
        <v>0</v>
      </c>
      <c r="O69" s="704"/>
      <c r="P69" s="705"/>
      <c r="Q69" s="709"/>
      <c r="R69" s="706"/>
      <c r="S69" s="706"/>
      <c r="T69" s="706"/>
      <c r="U69" s="706"/>
      <c r="V69" s="706"/>
      <c r="W69" s="706"/>
      <c r="X69" s="706"/>
      <c r="Y69" s="706"/>
      <c r="Z69" s="706"/>
      <c r="AA69" s="706"/>
      <c r="AB69" s="706"/>
      <c r="AC69" s="706"/>
      <c r="AF69" s="681"/>
      <c r="AG69" s="681"/>
      <c r="AH69" s="681"/>
      <c r="AI69" s="681"/>
      <c r="AJ69" s="681"/>
      <c r="AK69" s="681"/>
      <c r="AL69" s="681"/>
      <c r="AM69" s="681"/>
      <c r="AN69" s="681"/>
      <c r="AO69" s="681"/>
      <c r="AP69" s="681"/>
    </row>
    <row r="70" spans="1:43">
      <c r="A70" s="2301">
        <v>5</v>
      </c>
      <c r="B70" s="2302" t="s">
        <v>274</v>
      </c>
      <c r="C70" s="2196">
        <v>5</v>
      </c>
      <c r="D70" s="2319">
        <f t="shared" si="41"/>
        <v>709407</v>
      </c>
      <c r="E70" s="2320"/>
      <c r="F70" s="2326">
        <v>709407</v>
      </c>
      <c r="G70" s="2322"/>
      <c r="H70" s="2327"/>
      <c r="I70" s="2328"/>
      <c r="J70" s="2324">
        <f t="shared" si="42"/>
        <v>0</v>
      </c>
      <c r="K70" s="2304"/>
      <c r="L70" s="2304"/>
      <c r="M70" s="2325"/>
      <c r="N70" s="2324">
        <f t="shared" si="43"/>
        <v>0</v>
      </c>
      <c r="O70" s="704"/>
      <c r="P70" s="705"/>
      <c r="Q70" s="716"/>
      <c r="R70" s="706"/>
      <c r="S70" s="706"/>
      <c r="T70" s="706"/>
      <c r="U70" s="706"/>
      <c r="V70" s="706"/>
      <c r="W70" s="706"/>
      <c r="X70" s="706"/>
      <c r="Y70" s="706"/>
      <c r="Z70" s="706"/>
      <c r="AA70" s="706"/>
      <c r="AB70" s="706"/>
      <c r="AC70" s="706"/>
      <c r="AF70" s="681"/>
      <c r="AG70" s="681"/>
      <c r="AH70" s="681"/>
      <c r="AI70" s="681"/>
      <c r="AJ70" s="681"/>
      <c r="AK70" s="681"/>
      <c r="AL70" s="681"/>
      <c r="AM70" s="681"/>
      <c r="AN70" s="681"/>
      <c r="AO70" s="681"/>
      <c r="AP70" s="681"/>
    </row>
    <row r="71" spans="1:43">
      <c r="A71" s="2301">
        <v>6</v>
      </c>
      <c r="B71" s="2302" t="s">
        <v>275</v>
      </c>
      <c r="C71" s="2179">
        <v>6</v>
      </c>
      <c r="D71" s="2319">
        <f t="shared" si="41"/>
        <v>0</v>
      </c>
      <c r="E71" s="2320"/>
      <c r="F71" s="2321"/>
      <c r="G71" s="2322"/>
      <c r="H71" s="2327"/>
      <c r="I71" s="2328"/>
      <c r="J71" s="2324">
        <f t="shared" si="42"/>
        <v>0</v>
      </c>
      <c r="K71" s="2304"/>
      <c r="L71" s="2304"/>
      <c r="M71" s="2325"/>
      <c r="N71" s="2324">
        <f t="shared" si="43"/>
        <v>0</v>
      </c>
      <c r="O71" s="704"/>
      <c r="P71" s="705"/>
      <c r="Q71" s="709"/>
      <c r="R71" s="706"/>
      <c r="S71" s="706"/>
      <c r="T71" s="706"/>
      <c r="U71" s="706"/>
      <c r="V71" s="706"/>
      <c r="W71" s="706"/>
      <c r="X71" s="706"/>
      <c r="Y71" s="706"/>
      <c r="Z71" s="706"/>
      <c r="AA71" s="706"/>
      <c r="AB71" s="706"/>
      <c r="AC71" s="706"/>
      <c r="AF71" s="681"/>
      <c r="AG71" s="681"/>
      <c r="AH71" s="681"/>
      <c r="AI71" s="681"/>
      <c r="AJ71" s="681"/>
      <c r="AK71" s="681"/>
      <c r="AL71" s="681"/>
      <c r="AM71" s="681"/>
      <c r="AN71" s="681"/>
      <c r="AO71" s="681"/>
      <c r="AP71" s="681"/>
    </row>
    <row r="72" spans="1:43">
      <c r="A72" s="2301">
        <v>7</v>
      </c>
      <c r="B72" s="2302" t="s">
        <v>276</v>
      </c>
      <c r="C72" s="2196">
        <v>7</v>
      </c>
      <c r="D72" s="2319">
        <f t="shared" si="41"/>
        <v>1000</v>
      </c>
      <c r="E72" s="2320"/>
      <c r="F72" s="2321">
        <f>F73+F74</f>
        <v>1000</v>
      </c>
      <c r="G72" s="2329">
        <f t="shared" ref="G72:M72" si="44">G73+G74</f>
        <v>0</v>
      </c>
      <c r="H72" s="2330">
        <f t="shared" si="44"/>
        <v>0</v>
      </c>
      <c r="I72" s="2321">
        <f t="shared" si="44"/>
        <v>0</v>
      </c>
      <c r="J72" s="2324">
        <f t="shared" si="42"/>
        <v>0</v>
      </c>
      <c r="K72" s="2330">
        <f t="shared" si="44"/>
        <v>0</v>
      </c>
      <c r="L72" s="2330">
        <f t="shared" si="44"/>
        <v>0</v>
      </c>
      <c r="M72" s="2321">
        <f t="shared" si="44"/>
        <v>0</v>
      </c>
      <c r="N72" s="2324">
        <f t="shared" si="43"/>
        <v>0</v>
      </c>
      <c r="O72" s="704"/>
      <c r="P72" s="705"/>
      <c r="Q72" s="716"/>
      <c r="R72" s="706"/>
      <c r="S72" s="706"/>
      <c r="T72" s="706"/>
      <c r="U72" s="706"/>
      <c r="V72" s="706"/>
      <c r="W72" s="706"/>
      <c r="X72" s="706"/>
      <c r="Y72" s="706"/>
      <c r="Z72" s="706"/>
      <c r="AA72" s="706"/>
      <c r="AB72" s="706"/>
      <c r="AC72" s="706"/>
      <c r="AF72" s="681"/>
      <c r="AG72" s="681"/>
      <c r="AH72" s="681"/>
      <c r="AI72" s="681"/>
      <c r="AJ72" s="681"/>
      <c r="AK72" s="681"/>
      <c r="AL72" s="681"/>
      <c r="AM72" s="681"/>
      <c r="AN72" s="681"/>
      <c r="AO72" s="681"/>
      <c r="AP72" s="681"/>
    </row>
    <row r="73" spans="1:43">
      <c r="A73" s="2307"/>
      <c r="B73" s="2162" t="s">
        <v>277</v>
      </c>
      <c r="C73" s="2196"/>
      <c r="D73" s="2319">
        <f t="shared" si="41"/>
        <v>0</v>
      </c>
      <c r="E73" s="2320"/>
      <c r="F73" s="2321"/>
      <c r="G73" s="2322"/>
      <c r="H73" s="2321"/>
      <c r="I73" s="2323"/>
      <c r="J73" s="2324">
        <f t="shared" si="42"/>
        <v>0</v>
      </c>
      <c r="K73" s="2304"/>
      <c r="L73" s="2304"/>
      <c r="M73" s="2325"/>
      <c r="N73" s="2324">
        <f t="shared" si="43"/>
        <v>0</v>
      </c>
      <c r="O73" s="704"/>
      <c r="P73" s="705"/>
      <c r="Q73" s="716"/>
      <c r="R73" s="706"/>
      <c r="S73" s="706"/>
      <c r="T73" s="706"/>
      <c r="U73" s="706"/>
      <c r="V73" s="706"/>
      <c r="W73" s="706"/>
      <c r="X73" s="706"/>
      <c r="Y73" s="706"/>
      <c r="Z73" s="706"/>
      <c r="AA73" s="706"/>
      <c r="AB73" s="706"/>
      <c r="AC73" s="706"/>
      <c r="AF73" s="681"/>
      <c r="AG73" s="681"/>
      <c r="AH73" s="681"/>
      <c r="AI73" s="681"/>
      <c r="AJ73" s="681"/>
      <c r="AK73" s="681"/>
      <c r="AL73" s="681"/>
      <c r="AM73" s="681"/>
      <c r="AN73" s="681"/>
      <c r="AO73" s="681"/>
      <c r="AP73" s="681"/>
    </row>
    <row r="74" spans="1:43">
      <c r="A74" s="2307"/>
      <c r="B74" s="2162" t="s">
        <v>278</v>
      </c>
      <c r="C74" s="2196"/>
      <c r="D74" s="2319">
        <f t="shared" si="41"/>
        <v>1000</v>
      </c>
      <c r="E74" s="2320"/>
      <c r="F74" s="2326">
        <v>1000</v>
      </c>
      <c r="G74" s="2322"/>
      <c r="H74" s="2321"/>
      <c r="I74" s="2323"/>
      <c r="J74" s="2324">
        <f t="shared" si="42"/>
        <v>0</v>
      </c>
      <c r="K74" s="2304"/>
      <c r="L74" s="2304"/>
      <c r="M74" s="2325"/>
      <c r="N74" s="2324">
        <f t="shared" si="43"/>
        <v>0</v>
      </c>
      <c r="O74" s="704"/>
      <c r="P74" s="705"/>
      <c r="Q74" s="716"/>
      <c r="R74" s="706"/>
      <c r="S74" s="706"/>
      <c r="T74" s="706"/>
      <c r="U74" s="706"/>
      <c r="V74" s="706"/>
      <c r="W74" s="706"/>
      <c r="X74" s="706"/>
      <c r="Y74" s="706"/>
      <c r="Z74" s="706"/>
      <c r="AA74" s="706"/>
      <c r="AB74" s="706"/>
      <c r="AC74" s="706"/>
      <c r="AF74" s="681"/>
      <c r="AG74" s="681"/>
      <c r="AH74" s="681"/>
      <c r="AI74" s="681"/>
      <c r="AJ74" s="681"/>
      <c r="AK74" s="681"/>
      <c r="AL74" s="681"/>
      <c r="AM74" s="681"/>
      <c r="AN74" s="681"/>
      <c r="AO74" s="681"/>
      <c r="AP74" s="681"/>
    </row>
    <row r="75" spans="1:43">
      <c r="A75" s="2301">
        <v>8</v>
      </c>
      <c r="B75" s="2302" t="s">
        <v>279</v>
      </c>
      <c r="C75" s="2179">
        <v>8</v>
      </c>
      <c r="D75" s="2319">
        <f t="shared" si="41"/>
        <v>0</v>
      </c>
      <c r="E75" s="2320"/>
      <c r="F75" s="2321">
        <f>F76+F77</f>
        <v>0</v>
      </c>
      <c r="G75" s="2329">
        <f t="shared" ref="G75:M75" si="45">G76+G77</f>
        <v>0</v>
      </c>
      <c r="H75" s="2330">
        <f t="shared" si="45"/>
        <v>0</v>
      </c>
      <c r="I75" s="2321">
        <f t="shared" si="45"/>
        <v>0</v>
      </c>
      <c r="J75" s="2324">
        <f t="shared" si="42"/>
        <v>0</v>
      </c>
      <c r="K75" s="2330">
        <f t="shared" si="45"/>
        <v>0</v>
      </c>
      <c r="L75" s="2330">
        <f t="shared" si="45"/>
        <v>0</v>
      </c>
      <c r="M75" s="2321">
        <f t="shared" si="45"/>
        <v>0</v>
      </c>
      <c r="N75" s="2324">
        <f t="shared" si="43"/>
        <v>0</v>
      </c>
      <c r="O75" s="704"/>
      <c r="P75" s="705"/>
      <c r="Q75" s="709"/>
      <c r="R75" s="706"/>
      <c r="S75" s="706"/>
      <c r="T75" s="706"/>
      <c r="U75" s="706"/>
      <c r="V75" s="706"/>
      <c r="W75" s="706"/>
      <c r="X75" s="706"/>
      <c r="Y75" s="706"/>
      <c r="Z75" s="706"/>
      <c r="AA75" s="706"/>
      <c r="AB75" s="706"/>
      <c r="AC75" s="706"/>
      <c r="AF75" s="681"/>
      <c r="AG75" s="681"/>
      <c r="AH75" s="681"/>
      <c r="AI75" s="681"/>
      <c r="AJ75" s="681"/>
      <c r="AK75" s="681"/>
      <c r="AL75" s="681"/>
      <c r="AM75" s="681"/>
      <c r="AN75" s="681"/>
      <c r="AO75" s="681"/>
      <c r="AP75" s="681"/>
    </row>
    <row r="76" spans="1:43">
      <c r="A76" s="2301"/>
      <c r="B76" s="2162" t="s">
        <v>280</v>
      </c>
      <c r="C76" s="2179"/>
      <c r="D76" s="2319">
        <f t="shared" si="41"/>
        <v>0</v>
      </c>
      <c r="E76" s="2320"/>
      <c r="F76" s="2321"/>
      <c r="G76" s="2322"/>
      <c r="H76" s="2321"/>
      <c r="I76" s="2323"/>
      <c r="J76" s="2324">
        <f t="shared" si="42"/>
        <v>0</v>
      </c>
      <c r="K76" s="2304"/>
      <c r="L76" s="2304"/>
      <c r="M76" s="2325"/>
      <c r="N76" s="2324">
        <f t="shared" si="43"/>
        <v>0</v>
      </c>
      <c r="O76" s="704"/>
      <c r="P76" s="705"/>
      <c r="Q76" s="709"/>
      <c r="R76" s="706"/>
      <c r="S76" s="706"/>
      <c r="T76" s="706"/>
      <c r="U76" s="706"/>
      <c r="V76" s="706"/>
      <c r="W76" s="706"/>
      <c r="X76" s="706"/>
      <c r="Y76" s="706"/>
      <c r="Z76" s="706"/>
      <c r="AA76" s="706"/>
      <c r="AB76" s="706"/>
      <c r="AC76" s="706"/>
      <c r="AF76" s="681"/>
      <c r="AG76" s="681"/>
      <c r="AH76" s="681"/>
      <c r="AI76" s="681"/>
      <c r="AJ76" s="681"/>
      <c r="AK76" s="681"/>
      <c r="AL76" s="681"/>
      <c r="AM76" s="681"/>
      <c r="AN76" s="681"/>
      <c r="AO76" s="681"/>
      <c r="AP76" s="681"/>
    </row>
    <row r="77" spans="1:43">
      <c r="A77" s="2301"/>
      <c r="B77" s="2162" t="s">
        <v>281</v>
      </c>
      <c r="C77" s="2179"/>
      <c r="D77" s="2319">
        <f t="shared" si="41"/>
        <v>0</v>
      </c>
      <c r="E77" s="2320"/>
      <c r="F77" s="2321"/>
      <c r="G77" s="2322"/>
      <c r="H77" s="2321"/>
      <c r="I77" s="2323"/>
      <c r="J77" s="2324">
        <f t="shared" si="42"/>
        <v>0</v>
      </c>
      <c r="K77" s="2304"/>
      <c r="L77" s="2304"/>
      <c r="M77" s="2325"/>
      <c r="N77" s="2324">
        <f t="shared" si="43"/>
        <v>0</v>
      </c>
      <c r="O77" s="704"/>
      <c r="P77" s="705"/>
      <c r="Q77" s="709"/>
      <c r="R77" s="706"/>
      <c r="S77" s="706"/>
      <c r="T77" s="706"/>
      <c r="U77" s="706"/>
      <c r="V77" s="706"/>
      <c r="W77" s="706"/>
      <c r="X77" s="706"/>
      <c r="Y77" s="706"/>
      <c r="Z77" s="706"/>
      <c r="AA77" s="706"/>
      <c r="AB77" s="706"/>
      <c r="AC77" s="706"/>
      <c r="AF77" s="681"/>
      <c r="AG77" s="681"/>
      <c r="AH77" s="681"/>
      <c r="AI77" s="681"/>
      <c r="AJ77" s="681"/>
      <c r="AK77" s="681"/>
      <c r="AL77" s="681"/>
      <c r="AM77" s="681"/>
      <c r="AN77" s="681"/>
      <c r="AO77" s="681"/>
      <c r="AP77" s="681"/>
    </row>
    <row r="78" spans="1:43" s="913" customFormat="1" ht="25.5">
      <c r="A78" s="2308">
        <v>9</v>
      </c>
      <c r="B78" s="2309" t="s">
        <v>282</v>
      </c>
      <c r="C78" s="2198"/>
      <c r="D78" s="2331">
        <f t="shared" si="41"/>
        <v>64625812</v>
      </c>
      <c r="E78" s="2332">
        <f>SUM(E79:E82)</f>
        <v>0</v>
      </c>
      <c r="F78" s="2333">
        <f>SUM(F79:F82)</f>
        <v>18356044</v>
      </c>
      <c r="G78" s="2334">
        <f>SUM(G79:G82)</f>
        <v>0</v>
      </c>
      <c r="H78" s="2311">
        <f>SUM(H79:H82)</f>
        <v>436579</v>
      </c>
      <c r="I78" s="2333">
        <f>SUM(I79:I82)</f>
        <v>40429529</v>
      </c>
      <c r="J78" s="2335">
        <f>G78+H78+I78</f>
        <v>40866108</v>
      </c>
      <c r="K78" s="2311">
        <f>SUM(K79:K82)</f>
        <v>238026</v>
      </c>
      <c r="L78" s="2311">
        <f>SUM(L79:L82)</f>
        <v>95622</v>
      </c>
      <c r="M78" s="2333">
        <f>SUM(M79:M82)</f>
        <v>5070012</v>
      </c>
      <c r="N78" s="2336">
        <f t="shared" si="43"/>
        <v>5403660</v>
      </c>
      <c r="O78" s="1024"/>
      <c r="P78" s="1025"/>
      <c r="Q78" s="1059"/>
      <c r="R78" s="1027"/>
      <c r="S78" s="1027"/>
      <c r="T78" s="1027"/>
      <c r="U78" s="1027"/>
      <c r="V78" s="1027"/>
      <c r="W78" s="1027"/>
      <c r="X78" s="1027"/>
      <c r="Y78" s="1027"/>
      <c r="Z78" s="1027"/>
      <c r="AA78" s="1027"/>
      <c r="AB78" s="1027"/>
      <c r="AC78" s="1027"/>
      <c r="AE78" s="1028"/>
      <c r="AF78" s="1029"/>
      <c r="AG78" s="1029"/>
      <c r="AH78" s="1029"/>
      <c r="AI78" s="1029"/>
      <c r="AJ78" s="1029"/>
      <c r="AK78" s="1029"/>
      <c r="AL78" s="1029"/>
      <c r="AM78" s="1029"/>
      <c r="AN78" s="1029"/>
      <c r="AO78" s="1029"/>
      <c r="AP78" s="1029"/>
    </row>
    <row r="79" spans="1:43">
      <c r="A79" s="2307">
        <v>10</v>
      </c>
      <c r="B79" s="2171" t="s">
        <v>283</v>
      </c>
      <c r="C79" s="2179">
        <v>9</v>
      </c>
      <c r="D79" s="2319">
        <f t="shared" si="41"/>
        <v>0</v>
      </c>
      <c r="E79" s="2320"/>
      <c r="F79" s="2321"/>
      <c r="G79" s="2322"/>
      <c r="H79" s="2327"/>
      <c r="I79" s="2323"/>
      <c r="J79" s="2337">
        <f t="shared" ref="J79:J105" si="46">G79+H79+I79</f>
        <v>0</v>
      </c>
      <c r="K79" s="2304"/>
      <c r="L79" s="2304"/>
      <c r="M79" s="2325"/>
      <c r="N79" s="2324">
        <f t="shared" si="43"/>
        <v>0</v>
      </c>
      <c r="O79" s="704"/>
      <c r="P79" s="705"/>
      <c r="Q79" s="709"/>
      <c r="R79" s="706"/>
      <c r="S79" s="706"/>
      <c r="T79" s="706"/>
      <c r="U79" s="706"/>
      <c r="V79" s="706"/>
      <c r="W79" s="706"/>
      <c r="X79" s="706"/>
      <c r="Y79" s="706"/>
      <c r="Z79" s="706"/>
      <c r="AA79" s="706"/>
      <c r="AB79" s="706"/>
      <c r="AC79" s="706"/>
      <c r="AF79" s="681"/>
      <c r="AG79" s="681"/>
      <c r="AH79" s="681"/>
      <c r="AI79" s="681"/>
      <c r="AJ79" s="681"/>
      <c r="AK79" s="681"/>
      <c r="AL79" s="681"/>
      <c r="AM79" s="681"/>
      <c r="AN79" s="681"/>
      <c r="AO79" s="681"/>
      <c r="AP79" s="681"/>
    </row>
    <row r="80" spans="1:43">
      <c r="A80" s="2307">
        <v>11</v>
      </c>
      <c r="B80" s="2171" t="s">
        <v>284</v>
      </c>
      <c r="C80" s="2179">
        <v>10</v>
      </c>
      <c r="D80" s="2319">
        <f t="shared" si="41"/>
        <v>26241933</v>
      </c>
      <c r="E80" s="2320"/>
      <c r="F80" s="2326">
        <v>4484797</v>
      </c>
      <c r="G80" s="2338">
        <v>0</v>
      </c>
      <c r="H80" s="2326">
        <v>132658</v>
      </c>
      <c r="I80" s="2339">
        <v>17772275</v>
      </c>
      <c r="J80" s="2337">
        <f t="shared" si="46"/>
        <v>17904933</v>
      </c>
      <c r="K80" s="2340">
        <v>238026</v>
      </c>
      <c r="L80" s="2326">
        <v>95622</v>
      </c>
      <c r="M80" s="2339">
        <v>3518555</v>
      </c>
      <c r="N80" s="2341">
        <f t="shared" si="43"/>
        <v>3852203</v>
      </c>
      <c r="O80" s="704"/>
      <c r="P80" s="705"/>
      <c r="Q80" s="709"/>
      <c r="R80" s="706"/>
      <c r="S80" s="706"/>
      <c r="T80" s="706"/>
      <c r="U80" s="706"/>
      <c r="V80" s="706"/>
      <c r="W80" s="706"/>
      <c r="X80" s="706"/>
      <c r="Y80" s="706"/>
      <c r="Z80" s="706"/>
      <c r="AA80" s="706"/>
      <c r="AB80" s="706"/>
      <c r="AC80" s="706"/>
      <c r="AF80" s="681"/>
      <c r="AG80" s="681"/>
      <c r="AH80" s="681"/>
      <c r="AI80" s="681"/>
      <c r="AJ80" s="681"/>
      <c r="AK80" s="681"/>
      <c r="AL80" s="681"/>
      <c r="AM80" s="681"/>
      <c r="AN80" s="681"/>
      <c r="AO80" s="681"/>
      <c r="AP80" s="681"/>
    </row>
    <row r="81" spans="1:42">
      <c r="A81" s="2307">
        <v>12</v>
      </c>
      <c r="B81" s="2171" t="s">
        <v>285</v>
      </c>
      <c r="C81" s="2179">
        <v>11</v>
      </c>
      <c r="D81" s="2319">
        <f t="shared" si="41"/>
        <v>36832422</v>
      </c>
      <c r="E81" s="2320"/>
      <c r="F81" s="1000">
        <v>13871247</v>
      </c>
      <c r="G81" s="822">
        <v>0</v>
      </c>
      <c r="H81" s="1000">
        <v>303921</v>
      </c>
      <c r="I81" s="1073">
        <v>22657254</v>
      </c>
      <c r="J81" s="2337">
        <f t="shared" si="46"/>
        <v>22961175</v>
      </c>
      <c r="K81" s="2327"/>
      <c r="L81" s="2327"/>
      <c r="M81" s="2342"/>
      <c r="N81" s="2341"/>
      <c r="O81" s="704"/>
      <c r="P81" s="705"/>
      <c r="Q81" s="709"/>
      <c r="R81" s="706"/>
      <c r="S81" s="706"/>
      <c r="T81" s="706"/>
      <c r="U81" s="706"/>
      <c r="V81" s="706"/>
      <c r="W81" s="706"/>
      <c r="X81" s="706"/>
      <c r="Y81" s="706"/>
      <c r="Z81" s="706"/>
      <c r="AA81" s="706"/>
      <c r="AB81" s="706"/>
      <c r="AC81" s="706"/>
      <c r="AF81" s="681"/>
      <c r="AG81" s="681"/>
      <c r="AH81" s="681"/>
      <c r="AI81" s="681"/>
      <c r="AJ81" s="681"/>
      <c r="AK81" s="681"/>
      <c r="AL81" s="681"/>
      <c r="AM81" s="681"/>
      <c r="AN81" s="681"/>
      <c r="AO81" s="681"/>
      <c r="AP81" s="681"/>
    </row>
    <row r="82" spans="1:42" ht="25.5">
      <c r="A82" s="2307">
        <v>13</v>
      </c>
      <c r="B82" s="2171" t="s">
        <v>286</v>
      </c>
      <c r="C82" s="2179">
        <v>12</v>
      </c>
      <c r="D82" s="2319">
        <f t="shared" si="41"/>
        <v>1551457</v>
      </c>
      <c r="E82" s="2320"/>
      <c r="F82" s="2321"/>
      <c r="G82" s="2322">
        <v>0</v>
      </c>
      <c r="H82" s="2327"/>
      <c r="I82" s="2328"/>
      <c r="J82" s="2337">
        <f t="shared" si="46"/>
        <v>0</v>
      </c>
      <c r="K82" s="2327"/>
      <c r="L82" s="2327"/>
      <c r="M82" s="2339">
        <v>1551457</v>
      </c>
      <c r="N82" s="2341">
        <f t="shared" si="43"/>
        <v>1551457</v>
      </c>
      <c r="O82" s="704"/>
      <c r="P82" s="705"/>
      <c r="Q82" s="709"/>
      <c r="R82" s="706"/>
      <c r="S82" s="706"/>
      <c r="T82" s="706"/>
      <c r="U82" s="706"/>
      <c r="V82" s="706"/>
      <c r="W82" s="706"/>
      <c r="X82" s="706"/>
      <c r="Y82" s="706"/>
      <c r="Z82" s="706"/>
      <c r="AA82" s="706"/>
      <c r="AB82" s="706"/>
      <c r="AC82" s="706"/>
      <c r="AF82" s="681"/>
      <c r="AG82" s="681"/>
      <c r="AH82" s="681"/>
      <c r="AI82" s="681"/>
      <c r="AJ82" s="681"/>
      <c r="AK82" s="681"/>
      <c r="AL82" s="681"/>
      <c r="AM82" s="681"/>
      <c r="AN82" s="681"/>
      <c r="AO82" s="681"/>
      <c r="AP82" s="681"/>
    </row>
    <row r="83" spans="1:42">
      <c r="A83" s="2307">
        <v>14</v>
      </c>
      <c r="B83" s="2154" t="s">
        <v>287</v>
      </c>
      <c r="C83" s="2179">
        <v>13</v>
      </c>
      <c r="D83" s="2319">
        <f t="shared" si="41"/>
        <v>579049</v>
      </c>
      <c r="E83" s="2320"/>
      <c r="F83" s="2321"/>
      <c r="G83" s="2322">
        <v>0</v>
      </c>
      <c r="H83" s="2327"/>
      <c r="I83" s="2339">
        <v>579049</v>
      </c>
      <c r="J83" s="2337">
        <f t="shared" si="46"/>
        <v>579049</v>
      </c>
      <c r="K83" s="2327"/>
      <c r="L83" s="2342"/>
      <c r="M83" s="2342"/>
      <c r="N83" s="2341"/>
      <c r="O83" s="704"/>
      <c r="P83" s="705"/>
      <c r="Q83" s="709"/>
      <c r="R83" s="706"/>
      <c r="S83" s="706"/>
      <c r="T83" s="706"/>
      <c r="U83" s="706"/>
      <c r="V83" s="706"/>
      <c r="W83" s="706"/>
      <c r="X83" s="706"/>
      <c r="Y83" s="706"/>
      <c r="Z83" s="706"/>
      <c r="AA83" s="706"/>
      <c r="AB83" s="706"/>
      <c r="AC83" s="706"/>
      <c r="AF83" s="681"/>
      <c r="AG83" s="681"/>
      <c r="AH83" s="681"/>
      <c r="AI83" s="681"/>
      <c r="AJ83" s="681"/>
      <c r="AK83" s="681"/>
      <c r="AL83" s="681"/>
      <c r="AM83" s="681"/>
      <c r="AN83" s="681"/>
      <c r="AO83" s="681"/>
      <c r="AP83" s="681"/>
    </row>
    <row r="84" spans="1:42">
      <c r="A84" s="2307">
        <v>15</v>
      </c>
      <c r="B84" s="2154" t="s">
        <v>288</v>
      </c>
      <c r="C84" s="2196">
        <v>14</v>
      </c>
      <c r="D84" s="2319">
        <f t="shared" si="41"/>
        <v>141249</v>
      </c>
      <c r="E84" s="2320"/>
      <c r="F84" s="2321"/>
      <c r="G84" s="2338">
        <v>0</v>
      </c>
      <c r="H84" s="2326">
        <v>3203</v>
      </c>
      <c r="I84" s="1073">
        <v>124514</v>
      </c>
      <c r="J84" s="2337">
        <f t="shared" si="46"/>
        <v>127717</v>
      </c>
      <c r="K84" s="2340">
        <v>13532</v>
      </c>
      <c r="L84" s="2342"/>
      <c r="M84" s="2342"/>
      <c r="N84" s="2341">
        <f t="shared" si="43"/>
        <v>13532</v>
      </c>
      <c r="O84" s="704"/>
      <c r="P84" s="705"/>
      <c r="Q84" s="709"/>
      <c r="R84" s="706"/>
      <c r="S84" s="706"/>
      <c r="T84" s="706"/>
      <c r="U84" s="706"/>
      <c r="V84" s="706"/>
      <c r="W84" s="706"/>
      <c r="X84" s="706"/>
      <c r="Y84" s="706"/>
      <c r="Z84" s="706"/>
      <c r="AA84" s="706"/>
      <c r="AB84" s="706"/>
      <c r="AC84" s="706"/>
      <c r="AF84" s="681"/>
      <c r="AG84" s="681"/>
      <c r="AH84" s="681"/>
      <c r="AI84" s="681"/>
      <c r="AJ84" s="681"/>
      <c r="AK84" s="681"/>
      <c r="AL84" s="681"/>
      <c r="AM84" s="681"/>
      <c r="AN84" s="681"/>
      <c r="AO84" s="681"/>
      <c r="AP84" s="681"/>
    </row>
    <row r="85" spans="1:42">
      <c r="A85" s="2307">
        <v>16</v>
      </c>
      <c r="B85" s="2154" t="s">
        <v>289</v>
      </c>
      <c r="C85" s="2179">
        <v>15</v>
      </c>
      <c r="D85" s="2319">
        <f t="shared" si="41"/>
        <v>430327</v>
      </c>
      <c r="E85" s="2320"/>
      <c r="F85" s="2321"/>
      <c r="G85" s="821">
        <v>0</v>
      </c>
      <c r="H85" s="1001">
        <v>39</v>
      </c>
      <c r="I85" s="1073">
        <v>430288</v>
      </c>
      <c r="J85" s="2337">
        <f t="shared" si="46"/>
        <v>430327</v>
      </c>
      <c r="K85" s="2327"/>
      <c r="L85" s="2342"/>
      <c r="M85" s="2342"/>
      <c r="N85" s="2341"/>
      <c r="O85" s="704"/>
      <c r="P85" s="705"/>
      <c r="Q85" s="709"/>
      <c r="R85" s="706"/>
      <c r="S85" s="706"/>
      <c r="T85" s="706"/>
      <c r="U85" s="706"/>
      <c r="V85" s="706"/>
      <c r="W85" s="706"/>
      <c r="X85" s="706"/>
      <c r="Y85" s="706"/>
      <c r="Z85" s="706"/>
      <c r="AA85" s="706"/>
      <c r="AB85" s="706"/>
      <c r="AC85" s="706"/>
      <c r="AF85" s="681"/>
      <c r="AG85" s="681"/>
      <c r="AH85" s="681"/>
      <c r="AI85" s="681"/>
      <c r="AJ85" s="681"/>
      <c r="AK85" s="681"/>
      <c r="AL85" s="681"/>
      <c r="AM85" s="681"/>
      <c r="AN85" s="681"/>
      <c r="AO85" s="681"/>
      <c r="AP85" s="681"/>
    </row>
    <row r="86" spans="1:42">
      <c r="A86" s="2307">
        <v>17</v>
      </c>
      <c r="B86" s="2154" t="s">
        <v>290</v>
      </c>
      <c r="C86" s="2196">
        <v>16</v>
      </c>
      <c r="D86" s="2319">
        <f t="shared" si="41"/>
        <v>2536782</v>
      </c>
      <c r="E86" s="2320"/>
      <c r="F86" s="2326">
        <f>1508046+418449</f>
        <v>1926495</v>
      </c>
      <c r="G86" s="2322"/>
      <c r="H86" s="2327"/>
      <c r="I86" s="1073">
        <v>537422</v>
      </c>
      <c r="J86" s="2337">
        <f t="shared" si="46"/>
        <v>537422</v>
      </c>
      <c r="K86" s="2340">
        <v>72865</v>
      </c>
      <c r="L86" s="2327"/>
      <c r="M86" s="2342"/>
      <c r="N86" s="2341">
        <f t="shared" si="43"/>
        <v>72865</v>
      </c>
      <c r="O86" s="704"/>
      <c r="P86" s="705"/>
      <c r="Q86" s="716"/>
      <c r="R86" s="706"/>
      <c r="S86" s="706"/>
      <c r="T86" s="706"/>
      <c r="U86" s="706"/>
      <c r="V86" s="706"/>
      <c r="W86" s="706"/>
      <c r="X86" s="706"/>
      <c r="Y86" s="706"/>
      <c r="Z86" s="706"/>
      <c r="AA86" s="706"/>
      <c r="AB86" s="706"/>
      <c r="AC86" s="706"/>
      <c r="AF86" s="681"/>
      <c r="AG86" s="681"/>
      <c r="AH86" s="681"/>
      <c r="AI86" s="681"/>
      <c r="AJ86" s="681"/>
      <c r="AK86" s="681"/>
      <c r="AL86" s="681"/>
      <c r="AM86" s="681"/>
      <c r="AN86" s="681"/>
      <c r="AO86" s="681"/>
      <c r="AP86" s="681"/>
    </row>
    <row r="87" spans="1:42">
      <c r="A87" s="2307">
        <v>18</v>
      </c>
      <c r="B87" s="2154" t="s">
        <v>291</v>
      </c>
      <c r="C87" s="2179"/>
      <c r="D87" s="2319">
        <f t="shared" si="41"/>
        <v>0</v>
      </c>
      <c r="E87" s="2320"/>
      <c r="F87" s="2321"/>
      <c r="G87" s="2322"/>
      <c r="H87" s="2321"/>
      <c r="I87" s="2323"/>
      <c r="J87" s="2337">
        <f t="shared" si="46"/>
        <v>0</v>
      </c>
      <c r="K87" s="2327"/>
      <c r="L87" s="2342"/>
      <c r="M87" s="2342"/>
      <c r="N87" s="2341"/>
      <c r="O87" s="704"/>
      <c r="P87" s="705"/>
      <c r="Q87" s="709"/>
      <c r="R87" s="706"/>
      <c r="S87" s="706"/>
      <c r="T87" s="706"/>
      <c r="U87" s="706"/>
      <c r="V87" s="706"/>
      <c r="W87" s="706"/>
      <c r="X87" s="706"/>
      <c r="Y87" s="706"/>
      <c r="Z87" s="706"/>
      <c r="AA87" s="706"/>
      <c r="AB87" s="706"/>
      <c r="AC87" s="706"/>
      <c r="AF87" s="681"/>
      <c r="AG87" s="681"/>
      <c r="AH87" s="681"/>
      <c r="AI87" s="681"/>
      <c r="AJ87" s="681"/>
      <c r="AK87" s="681"/>
      <c r="AL87" s="681"/>
      <c r="AM87" s="681"/>
      <c r="AN87" s="681"/>
      <c r="AO87" s="681"/>
      <c r="AP87" s="681"/>
    </row>
    <row r="88" spans="1:42" ht="13.5" thickBot="1">
      <c r="A88" s="2314">
        <v>19</v>
      </c>
      <c r="B88" s="2173" t="s">
        <v>292</v>
      </c>
      <c r="C88" s="2207"/>
      <c r="D88" s="2343">
        <f t="shared" si="41"/>
        <v>1451514</v>
      </c>
      <c r="E88" s="2344"/>
      <c r="F88" s="1002">
        <v>13073</v>
      </c>
      <c r="G88" s="2345"/>
      <c r="H88" s="1003">
        <v>33</v>
      </c>
      <c r="I88" s="2346">
        <v>1409260</v>
      </c>
      <c r="J88" s="2347">
        <f t="shared" si="46"/>
        <v>1409293</v>
      </c>
      <c r="K88" s="1004">
        <v>27266</v>
      </c>
      <c r="L88" s="1003">
        <v>77</v>
      </c>
      <c r="M88" s="2346">
        <v>1805</v>
      </c>
      <c r="N88" s="2348">
        <f t="shared" si="43"/>
        <v>29148</v>
      </c>
      <c r="O88" s="704"/>
      <c r="P88" s="705"/>
      <c r="Q88" s="709"/>
      <c r="R88" s="706"/>
      <c r="S88" s="706"/>
      <c r="T88" s="706"/>
      <c r="U88" s="706"/>
      <c r="V88" s="706"/>
      <c r="W88" s="706"/>
      <c r="X88" s="706"/>
      <c r="Y88" s="706"/>
      <c r="Z88" s="706"/>
      <c r="AA88" s="706"/>
      <c r="AB88" s="706"/>
      <c r="AC88" s="706"/>
      <c r="AF88" s="681"/>
      <c r="AG88" s="681"/>
      <c r="AH88" s="681"/>
      <c r="AI88" s="681"/>
      <c r="AJ88" s="681"/>
      <c r="AK88" s="681"/>
      <c r="AL88" s="681"/>
      <c r="AM88" s="681"/>
      <c r="AN88" s="681"/>
      <c r="AO88" s="681"/>
      <c r="AP88" s="681"/>
    </row>
    <row r="89" spans="1:42" s="913" customFormat="1" ht="26.25" thickBot="1">
      <c r="A89" s="1493">
        <v>20</v>
      </c>
      <c r="B89" s="1352" t="s">
        <v>293</v>
      </c>
      <c r="C89" s="1351"/>
      <c r="D89" s="1494">
        <f t="shared" si="41"/>
        <v>72388787</v>
      </c>
      <c r="E89" s="1522">
        <f>SUM(E66:E72)+E75+E78+SUM(E83:E88)</f>
        <v>0</v>
      </c>
      <c r="F89" s="1523">
        <f>SUM(F66:F72)+F75+F78+SUM(F83:F88)</f>
        <v>22919666</v>
      </c>
      <c r="G89" s="1522">
        <f>SUM(G66:G72)+G75+G78+SUM(G83:G88)</f>
        <v>0</v>
      </c>
      <c r="H89" s="1524">
        <f>SUM(H66:H72)+H75+H78+SUM(H83:H88)</f>
        <v>439854</v>
      </c>
      <c r="I89" s="1522">
        <f>SUM(I66:I72)+I75+I78+SUM(I83:I88)</f>
        <v>43510062</v>
      </c>
      <c r="J89" s="1525">
        <f t="shared" si="46"/>
        <v>43949916</v>
      </c>
      <c r="K89" s="1494">
        <f>SUM(K66:K72)+K75+K78+SUM(K83:K88)</f>
        <v>351689</v>
      </c>
      <c r="L89" s="1494">
        <f>SUM(L66:L72)+L75+L78+SUM(L83:L88)</f>
        <v>95699</v>
      </c>
      <c r="M89" s="1522">
        <f>SUM(M66:M72)+M75+M78+SUM(M83:M88)</f>
        <v>5071817</v>
      </c>
      <c r="N89" s="1495">
        <f t="shared" si="43"/>
        <v>5519205</v>
      </c>
      <c r="O89" s="1024"/>
      <c r="P89" s="1025"/>
      <c r="Q89" s="1026"/>
      <c r="R89" s="1027"/>
      <c r="S89" s="1027"/>
      <c r="T89" s="1027"/>
      <c r="U89" s="1027"/>
      <c r="V89" s="1027"/>
      <c r="W89" s="1027"/>
      <c r="X89" s="1027"/>
      <c r="Y89" s="1027"/>
      <c r="Z89" s="1027"/>
      <c r="AA89" s="1027"/>
      <c r="AB89" s="1027"/>
      <c r="AC89" s="1027"/>
      <c r="AE89" s="1028"/>
      <c r="AF89" s="1029"/>
      <c r="AG89" s="1029"/>
      <c r="AH89" s="1029"/>
      <c r="AI89" s="1029"/>
      <c r="AJ89" s="1029"/>
      <c r="AK89" s="1029"/>
      <c r="AL89" s="1029"/>
      <c r="AM89" s="1029"/>
      <c r="AN89" s="1029"/>
      <c r="AO89" s="1029"/>
      <c r="AP89" s="1029"/>
    </row>
    <row r="90" spans="1:42">
      <c r="A90" s="1483"/>
      <c r="B90" s="1481" t="s">
        <v>294</v>
      </c>
      <c r="C90" s="1346"/>
      <c r="D90" s="1487">
        <f t="shared" si="41"/>
        <v>0</v>
      </c>
      <c r="E90" s="738"/>
      <c r="F90" s="692"/>
      <c r="G90" s="1005"/>
      <c r="H90" s="1006"/>
      <c r="I90" s="1006"/>
      <c r="J90" s="1514">
        <f t="shared" si="46"/>
        <v>0</v>
      </c>
      <c r="K90" s="688"/>
      <c r="L90" s="693"/>
      <c r="M90" s="693"/>
      <c r="N90" s="1488">
        <f t="shared" si="43"/>
        <v>0</v>
      </c>
      <c r="O90" s="704"/>
      <c r="P90" s="705"/>
      <c r="Q90" s="61"/>
      <c r="R90" s="706"/>
      <c r="S90" s="706"/>
      <c r="T90" s="706"/>
      <c r="U90" s="706"/>
      <c r="V90" s="706"/>
      <c r="W90" s="706"/>
      <c r="X90" s="706"/>
      <c r="Y90" s="706"/>
      <c r="Z90" s="706"/>
      <c r="AA90" s="706"/>
      <c r="AB90" s="706"/>
      <c r="AC90" s="706"/>
      <c r="AF90" s="681"/>
      <c r="AG90" s="681"/>
      <c r="AH90" s="681"/>
      <c r="AI90" s="681"/>
      <c r="AJ90" s="681"/>
      <c r="AK90" s="681"/>
      <c r="AL90" s="681"/>
      <c r="AM90" s="681"/>
      <c r="AN90" s="681"/>
      <c r="AO90" s="681"/>
      <c r="AP90" s="681"/>
    </row>
    <row r="91" spans="1:42">
      <c r="A91" s="2307"/>
      <c r="B91" s="2316" t="s">
        <v>295</v>
      </c>
      <c r="C91" s="2155"/>
      <c r="D91" s="2303">
        <f t="shared" si="41"/>
        <v>0</v>
      </c>
      <c r="E91" s="2321"/>
      <c r="F91" s="2329"/>
      <c r="G91" s="2328"/>
      <c r="H91" s="2349"/>
      <c r="I91" s="2349"/>
      <c r="J91" s="2337">
        <f t="shared" si="46"/>
        <v>0</v>
      </c>
      <c r="K91" s="2327"/>
      <c r="L91" s="2342"/>
      <c r="M91" s="2342"/>
      <c r="N91" s="2324">
        <f t="shared" si="43"/>
        <v>0</v>
      </c>
      <c r="O91" s="704"/>
      <c r="P91" s="705"/>
      <c r="Q91" s="718"/>
      <c r="R91" s="706"/>
      <c r="S91" s="706"/>
      <c r="T91" s="706"/>
      <c r="U91" s="706"/>
      <c r="V91" s="706"/>
      <c r="W91" s="706"/>
      <c r="X91" s="706"/>
      <c r="Y91" s="706"/>
      <c r="Z91" s="706"/>
      <c r="AA91" s="706"/>
      <c r="AB91" s="706"/>
      <c r="AC91" s="706"/>
      <c r="AF91" s="681"/>
      <c r="AG91" s="681"/>
      <c r="AH91" s="681"/>
      <c r="AI91" s="681"/>
      <c r="AJ91" s="681"/>
      <c r="AK91" s="681"/>
      <c r="AL91" s="681"/>
      <c r="AM91" s="681"/>
      <c r="AN91" s="681"/>
      <c r="AO91" s="681"/>
      <c r="AP91" s="681"/>
    </row>
    <row r="92" spans="1:42">
      <c r="A92" s="2307">
        <v>21</v>
      </c>
      <c r="B92" s="2154" t="s">
        <v>296</v>
      </c>
      <c r="C92" s="2161">
        <v>17</v>
      </c>
      <c r="D92" s="2303">
        <f t="shared" si="41"/>
        <v>45587414</v>
      </c>
      <c r="E92" s="2321"/>
      <c r="F92" s="2350">
        <v>0</v>
      </c>
      <c r="G92" s="2328"/>
      <c r="H92" s="2351">
        <v>404785</v>
      </c>
      <c r="I92" s="2326">
        <v>39960322</v>
      </c>
      <c r="J92" s="2337">
        <f t="shared" si="46"/>
        <v>40365107</v>
      </c>
      <c r="K92" s="2340">
        <v>72865</v>
      </c>
      <c r="L92" s="2340">
        <v>95302</v>
      </c>
      <c r="M92" s="2326">
        <v>5054140</v>
      </c>
      <c r="N92" s="2324">
        <f t="shared" si="43"/>
        <v>5222307</v>
      </c>
      <c r="O92" s="704"/>
      <c r="P92" s="705"/>
      <c r="Q92" s="717"/>
      <c r="R92" s="706"/>
      <c r="S92" s="706"/>
      <c r="T92" s="706"/>
      <c r="U92" s="706"/>
      <c r="V92" s="706"/>
      <c r="W92" s="706"/>
      <c r="X92" s="706"/>
      <c r="Y92" s="706"/>
      <c r="Z92" s="706"/>
      <c r="AA92" s="706"/>
      <c r="AB92" s="706"/>
      <c r="AC92" s="706"/>
      <c r="AF92" s="681"/>
      <c r="AG92" s="681"/>
      <c r="AH92" s="681"/>
      <c r="AI92" s="681"/>
      <c r="AJ92" s="681"/>
      <c r="AK92" s="681"/>
      <c r="AL92" s="681"/>
      <c r="AM92" s="681"/>
      <c r="AN92" s="681"/>
      <c r="AO92" s="681"/>
      <c r="AP92" s="681"/>
    </row>
    <row r="93" spans="1:42">
      <c r="A93" s="2307">
        <v>22</v>
      </c>
      <c r="B93" s="2154" t="s">
        <v>297</v>
      </c>
      <c r="C93" s="2155"/>
      <c r="D93" s="2303">
        <f t="shared" si="41"/>
        <v>338709</v>
      </c>
      <c r="E93" s="2321"/>
      <c r="F93" s="822">
        <v>338709</v>
      </c>
      <c r="G93" s="2328"/>
      <c r="H93" s="1007">
        <v>0</v>
      </c>
      <c r="I93" s="1001">
        <v>0</v>
      </c>
      <c r="J93" s="2337">
        <f t="shared" si="46"/>
        <v>0</v>
      </c>
      <c r="K93" s="1008">
        <v>0</v>
      </c>
      <c r="L93" s="1008">
        <v>0</v>
      </c>
      <c r="M93" s="1001">
        <v>0</v>
      </c>
      <c r="N93" s="2324">
        <f t="shared" si="43"/>
        <v>0</v>
      </c>
      <c r="O93" s="704"/>
      <c r="P93" s="705"/>
      <c r="Q93" s="709"/>
      <c r="R93" s="706"/>
      <c r="S93" s="706"/>
      <c r="T93" s="706"/>
      <c r="U93" s="706"/>
      <c r="V93" s="706"/>
      <c r="W93" s="706"/>
      <c r="X93" s="706"/>
      <c r="Y93" s="706"/>
      <c r="Z93" s="706"/>
      <c r="AA93" s="706"/>
      <c r="AB93" s="706"/>
      <c r="AC93" s="706"/>
      <c r="AF93" s="681"/>
      <c r="AG93" s="681"/>
      <c r="AH93" s="681"/>
      <c r="AI93" s="681"/>
      <c r="AJ93" s="681"/>
      <c r="AK93" s="681"/>
      <c r="AL93" s="681"/>
      <c r="AM93" s="681"/>
      <c r="AN93" s="681"/>
      <c r="AO93" s="681"/>
      <c r="AP93" s="681"/>
    </row>
    <row r="94" spans="1:42">
      <c r="A94" s="2307">
        <v>23</v>
      </c>
      <c r="B94" s="2154" t="s">
        <v>298</v>
      </c>
      <c r="C94" s="2155">
        <v>18</v>
      </c>
      <c r="D94" s="2303">
        <f t="shared" si="41"/>
        <v>216764</v>
      </c>
      <c r="E94" s="2321"/>
      <c r="F94" s="821">
        <v>0</v>
      </c>
      <c r="G94" s="1038"/>
      <c r="H94" s="1009">
        <v>29306</v>
      </c>
      <c r="I94" s="1000">
        <v>171086</v>
      </c>
      <c r="J94" s="2337">
        <f t="shared" si="46"/>
        <v>200392</v>
      </c>
      <c r="K94" s="1010">
        <v>16372</v>
      </c>
      <c r="L94" s="1008">
        <v>0</v>
      </c>
      <c r="M94" s="1001">
        <v>0</v>
      </c>
      <c r="N94" s="2324">
        <f t="shared" si="43"/>
        <v>16372</v>
      </c>
      <c r="O94" s="704"/>
      <c r="P94" s="705"/>
      <c r="Q94" s="709"/>
      <c r="R94" s="706"/>
      <c r="S94" s="706"/>
      <c r="T94" s="706"/>
      <c r="U94" s="706"/>
      <c r="V94" s="706"/>
      <c r="W94" s="706"/>
      <c r="X94" s="706"/>
      <c r="Y94" s="706"/>
      <c r="Z94" s="706"/>
      <c r="AA94" s="706"/>
      <c r="AB94" s="706"/>
      <c r="AC94" s="706"/>
      <c r="AF94" s="681"/>
      <c r="AG94" s="681"/>
      <c r="AH94" s="681"/>
      <c r="AI94" s="681"/>
      <c r="AJ94" s="681"/>
      <c r="AK94" s="681"/>
      <c r="AL94" s="681"/>
      <c r="AM94" s="681"/>
      <c r="AN94" s="681"/>
      <c r="AO94" s="681"/>
      <c r="AP94" s="681"/>
    </row>
    <row r="95" spans="1:42">
      <c r="A95" s="2307">
        <v>24</v>
      </c>
      <c r="B95" s="2154" t="s">
        <v>299</v>
      </c>
      <c r="C95" s="2155"/>
      <c r="D95" s="2303">
        <f t="shared" si="41"/>
        <v>53367</v>
      </c>
      <c r="E95" s="2321"/>
      <c r="F95" s="821">
        <v>0</v>
      </c>
      <c r="G95" s="1038"/>
      <c r="H95" s="1007">
        <v>0</v>
      </c>
      <c r="I95" s="1000">
        <v>45216</v>
      </c>
      <c r="J95" s="2337">
        <f t="shared" si="46"/>
        <v>45216</v>
      </c>
      <c r="K95" s="1010">
        <v>8151</v>
      </c>
      <c r="L95" s="1008">
        <v>0</v>
      </c>
      <c r="M95" s="1001">
        <v>0</v>
      </c>
      <c r="N95" s="2324">
        <f t="shared" si="43"/>
        <v>8151</v>
      </c>
      <c r="O95" s="704"/>
      <c r="P95" s="705"/>
      <c r="Q95" s="719"/>
      <c r="R95" s="706"/>
      <c r="S95" s="706"/>
      <c r="T95" s="706"/>
      <c r="U95" s="706"/>
      <c r="V95" s="706"/>
      <c r="W95" s="706"/>
      <c r="X95" s="706"/>
      <c r="Y95" s="706"/>
      <c r="Z95" s="706"/>
      <c r="AA95" s="706"/>
      <c r="AB95" s="706"/>
      <c r="AC95" s="706"/>
      <c r="AF95" s="681"/>
      <c r="AG95" s="681"/>
      <c r="AH95" s="681"/>
      <c r="AI95" s="681"/>
      <c r="AJ95" s="681"/>
      <c r="AK95" s="681"/>
      <c r="AL95" s="681"/>
      <c r="AM95" s="681"/>
      <c r="AN95" s="681"/>
      <c r="AO95" s="681"/>
      <c r="AP95" s="681"/>
    </row>
    <row r="96" spans="1:42">
      <c r="A96" s="2307">
        <v>25</v>
      </c>
      <c r="B96" s="2176" t="s">
        <v>300</v>
      </c>
      <c r="C96" s="2155"/>
      <c r="D96" s="2303">
        <f t="shared" si="41"/>
        <v>0</v>
      </c>
      <c r="E96" s="2321"/>
      <c r="F96" s="821">
        <v>0</v>
      </c>
      <c r="G96" s="1038"/>
      <c r="H96" s="1007">
        <v>0</v>
      </c>
      <c r="I96" s="1001">
        <v>0</v>
      </c>
      <c r="J96" s="2337">
        <f t="shared" si="46"/>
        <v>0</v>
      </c>
      <c r="K96" s="1008">
        <v>0</v>
      </c>
      <c r="L96" s="1008">
        <v>0</v>
      </c>
      <c r="M96" s="1001">
        <v>0</v>
      </c>
      <c r="N96" s="2324">
        <f t="shared" si="43"/>
        <v>0</v>
      </c>
      <c r="O96" s="704"/>
      <c r="P96" s="705"/>
      <c r="Q96" s="720"/>
      <c r="R96" s="706"/>
      <c r="S96" s="706"/>
      <c r="T96" s="706"/>
      <c r="U96" s="706"/>
      <c r="V96" s="706"/>
      <c r="W96" s="706"/>
      <c r="X96" s="706"/>
      <c r="Y96" s="706"/>
      <c r="Z96" s="706"/>
      <c r="AA96" s="706"/>
      <c r="AB96" s="706"/>
      <c r="AC96" s="706"/>
      <c r="AF96" s="681"/>
      <c r="AG96" s="681"/>
      <c r="AH96" s="681"/>
      <c r="AI96" s="681"/>
      <c r="AJ96" s="681"/>
      <c r="AK96" s="681"/>
      <c r="AL96" s="681"/>
      <c r="AM96" s="681"/>
      <c r="AN96" s="681"/>
      <c r="AO96" s="681"/>
      <c r="AP96" s="681"/>
    </row>
    <row r="97" spans="1:42" ht="13.5" thickBot="1">
      <c r="A97" s="2314">
        <v>26</v>
      </c>
      <c r="B97" s="2173" t="s">
        <v>301</v>
      </c>
      <c r="C97" s="2177">
        <v>19</v>
      </c>
      <c r="D97" s="2303">
        <f t="shared" si="41"/>
        <v>5612848</v>
      </c>
      <c r="E97" s="2321"/>
      <c r="F97" s="1011">
        <v>2001273</v>
      </c>
      <c r="G97" s="2328"/>
      <c r="H97" s="1012">
        <v>5763</v>
      </c>
      <c r="I97" s="1508">
        <v>3333438</v>
      </c>
      <c r="J97" s="1515">
        <f t="shared" si="46"/>
        <v>3339201</v>
      </c>
      <c r="K97" s="1013">
        <v>254301</v>
      </c>
      <c r="L97" s="1014">
        <v>397</v>
      </c>
      <c r="M97" s="1510">
        <v>17676</v>
      </c>
      <c r="N97" s="1520">
        <f t="shared" si="43"/>
        <v>272374</v>
      </c>
      <c r="O97" s="704"/>
      <c r="P97" s="705"/>
      <c r="Q97" s="719"/>
      <c r="R97" s="706"/>
      <c r="S97" s="706"/>
      <c r="T97" s="706"/>
      <c r="U97" s="706"/>
      <c r="V97" s="706"/>
      <c r="W97" s="706"/>
      <c r="X97" s="706"/>
      <c r="Y97" s="706"/>
      <c r="Z97" s="706"/>
      <c r="AA97" s="706"/>
      <c r="AB97" s="706"/>
      <c r="AC97" s="706"/>
      <c r="AF97" s="681"/>
      <c r="AG97" s="681"/>
      <c r="AH97" s="681"/>
      <c r="AI97" s="681"/>
      <c r="AJ97" s="681"/>
      <c r="AK97" s="681"/>
      <c r="AL97" s="681"/>
      <c r="AM97" s="681"/>
      <c r="AN97" s="681"/>
      <c r="AO97" s="681"/>
      <c r="AP97" s="681"/>
    </row>
    <row r="98" spans="1:42" ht="26.25" thickBot="1">
      <c r="A98" s="1482">
        <v>27</v>
      </c>
      <c r="B98" s="1349" t="s">
        <v>302</v>
      </c>
      <c r="C98" s="1348"/>
      <c r="D98" s="1499">
        <f t="shared" si="41"/>
        <v>51809102</v>
      </c>
      <c r="E98" s="1019">
        <f>SUM(E92:E97)</f>
        <v>0</v>
      </c>
      <c r="F98" s="1020">
        <f>SUM(F92:F97)</f>
        <v>2339982</v>
      </c>
      <c r="G98" s="1019">
        <f>SUM(G92:G97)</f>
        <v>0</v>
      </c>
      <c r="H98" s="1021">
        <f>SUM(H92:H97)</f>
        <v>439854</v>
      </c>
      <c r="I98" s="1509">
        <f>SUM(I92:I97)</f>
        <v>43510062</v>
      </c>
      <c r="J98" s="1516">
        <f>G98+H98+I98</f>
        <v>43949916</v>
      </c>
      <c r="K98" s="1511">
        <f>SUM(K92:K97)</f>
        <v>351689</v>
      </c>
      <c r="L98" s="1020">
        <f>SUM(L92:L97)</f>
        <v>95699</v>
      </c>
      <c r="M98" s="1021">
        <f>SUM(M92:M97)</f>
        <v>5071816</v>
      </c>
      <c r="N98" s="1506">
        <f t="shared" si="43"/>
        <v>5519204</v>
      </c>
      <c r="O98" s="704"/>
      <c r="P98" s="705"/>
      <c r="Q98" s="721"/>
      <c r="R98" s="706"/>
      <c r="S98" s="706"/>
      <c r="T98" s="706"/>
      <c r="U98" s="706"/>
      <c r="V98" s="706"/>
      <c r="W98" s="706"/>
      <c r="X98" s="706"/>
      <c r="Y98" s="706"/>
      <c r="Z98" s="706"/>
      <c r="AA98" s="706"/>
      <c r="AB98" s="706"/>
      <c r="AC98" s="706"/>
      <c r="AF98" s="681"/>
      <c r="AG98" s="681"/>
      <c r="AH98" s="681"/>
      <c r="AI98" s="681"/>
      <c r="AJ98" s="681"/>
      <c r="AK98" s="681"/>
      <c r="AL98" s="681"/>
      <c r="AM98" s="681"/>
      <c r="AN98" s="681"/>
      <c r="AO98" s="681"/>
      <c r="AP98" s="681"/>
    </row>
    <row r="99" spans="1:42">
      <c r="A99" s="1483"/>
      <c r="B99" s="1481" t="s">
        <v>303</v>
      </c>
      <c r="C99" s="1346">
        <v>20</v>
      </c>
      <c r="D99" s="1487">
        <f t="shared" si="41"/>
        <v>0</v>
      </c>
      <c r="E99" s="996"/>
      <c r="F99" s="996"/>
      <c r="G99" s="996"/>
      <c r="H99" s="996"/>
      <c r="I99" s="1067"/>
      <c r="J99" s="1514">
        <f t="shared" si="46"/>
        <v>0</v>
      </c>
      <c r="K99" s="996"/>
      <c r="L99" s="996"/>
      <c r="M99" s="1067"/>
      <c r="N99" s="1488">
        <f t="shared" si="43"/>
        <v>0</v>
      </c>
      <c r="O99" s="704"/>
      <c r="P99" s="705"/>
      <c r="Q99" s="720"/>
      <c r="R99" s="706"/>
      <c r="S99" s="706"/>
      <c r="T99" s="706"/>
      <c r="U99" s="706"/>
      <c r="V99" s="706"/>
      <c r="W99" s="706"/>
      <c r="X99" s="706"/>
      <c r="Y99" s="706"/>
      <c r="Z99" s="706"/>
      <c r="AA99" s="706"/>
      <c r="AB99" s="706"/>
      <c r="AC99" s="706"/>
      <c r="AF99" s="681"/>
      <c r="AG99" s="681"/>
      <c r="AH99" s="681"/>
      <c r="AI99" s="681"/>
      <c r="AJ99" s="681"/>
      <c r="AK99" s="681"/>
      <c r="AL99" s="681"/>
      <c r="AM99" s="681"/>
      <c r="AN99" s="681"/>
      <c r="AO99" s="681"/>
      <c r="AP99" s="681"/>
    </row>
    <row r="100" spans="1:42">
      <c r="A100" s="2307">
        <v>28</v>
      </c>
      <c r="B100" s="2302" t="s">
        <v>304</v>
      </c>
      <c r="C100" s="2161"/>
      <c r="D100" s="2303">
        <f t="shared" si="41"/>
        <v>511922</v>
      </c>
      <c r="E100" s="2304"/>
      <c r="F100" s="2340">
        <v>511922</v>
      </c>
      <c r="G100" s="2304"/>
      <c r="H100" s="2304"/>
      <c r="I100" s="2325"/>
      <c r="J100" s="2337">
        <f t="shared" si="46"/>
        <v>0</v>
      </c>
      <c r="K100" s="2304"/>
      <c r="L100" s="2304"/>
      <c r="M100" s="2325"/>
      <c r="N100" s="2324">
        <f t="shared" si="43"/>
        <v>0</v>
      </c>
      <c r="O100" s="704"/>
      <c r="P100" s="705"/>
      <c r="Q100" s="718"/>
      <c r="R100" s="706"/>
      <c r="S100" s="706"/>
      <c r="T100" s="706"/>
      <c r="U100" s="706"/>
      <c r="V100" s="706"/>
      <c r="W100" s="706"/>
      <c r="X100" s="706"/>
      <c r="Y100" s="706"/>
      <c r="Z100" s="706"/>
      <c r="AA100" s="706"/>
      <c r="AB100" s="706"/>
      <c r="AC100" s="706"/>
      <c r="AF100" s="681"/>
      <c r="AG100" s="681"/>
      <c r="AH100" s="681"/>
      <c r="AI100" s="681"/>
      <c r="AJ100" s="681"/>
      <c r="AK100" s="681"/>
      <c r="AL100" s="681"/>
      <c r="AM100" s="681"/>
      <c r="AN100" s="681"/>
      <c r="AO100" s="681"/>
      <c r="AP100" s="681"/>
    </row>
    <row r="101" spans="1:42">
      <c r="A101" s="2307">
        <v>29</v>
      </c>
      <c r="B101" s="2302" t="s">
        <v>305</v>
      </c>
      <c r="C101" s="2161"/>
      <c r="D101" s="2303">
        <f t="shared" si="41"/>
        <v>1766854</v>
      </c>
      <c r="E101" s="2304"/>
      <c r="F101" s="1010">
        <v>1766854</v>
      </c>
      <c r="G101" s="2304"/>
      <c r="H101" s="2304"/>
      <c r="I101" s="2325"/>
      <c r="J101" s="2337">
        <f t="shared" si="46"/>
        <v>0</v>
      </c>
      <c r="K101" s="2304"/>
      <c r="L101" s="2304"/>
      <c r="M101" s="2325"/>
      <c r="N101" s="2324">
        <f t="shared" si="43"/>
        <v>0</v>
      </c>
      <c r="O101" s="704"/>
      <c r="P101" s="705"/>
      <c r="Q101" s="718"/>
      <c r="R101" s="706"/>
      <c r="S101" s="706"/>
      <c r="T101" s="706"/>
      <c r="U101" s="706"/>
      <c r="V101" s="706"/>
      <c r="W101" s="706"/>
      <c r="X101" s="706"/>
      <c r="Y101" s="706"/>
      <c r="Z101" s="706"/>
      <c r="AA101" s="706"/>
      <c r="AB101" s="706"/>
      <c r="AC101" s="706"/>
      <c r="AF101" s="681"/>
      <c r="AG101" s="681"/>
      <c r="AH101" s="681"/>
      <c r="AI101" s="681"/>
      <c r="AJ101" s="681"/>
      <c r="AK101" s="681"/>
      <c r="AL101" s="681"/>
      <c r="AM101" s="681"/>
      <c r="AN101" s="681"/>
      <c r="AO101" s="681"/>
      <c r="AP101" s="681"/>
    </row>
    <row r="102" spans="1:42">
      <c r="A102" s="2307">
        <v>30</v>
      </c>
      <c r="B102" s="2317" t="s">
        <v>306</v>
      </c>
      <c r="C102" s="2177"/>
      <c r="D102" s="2303">
        <f t="shared" si="41"/>
        <v>216236</v>
      </c>
      <c r="E102" s="2304"/>
      <c r="F102" s="1015">
        <v>216236</v>
      </c>
      <c r="G102" s="2304"/>
      <c r="H102" s="2304"/>
      <c r="I102" s="2325"/>
      <c r="J102" s="2337">
        <f t="shared" si="46"/>
        <v>0</v>
      </c>
      <c r="K102" s="2304"/>
      <c r="L102" s="2304"/>
      <c r="M102" s="2325"/>
      <c r="N102" s="2324">
        <f t="shared" si="43"/>
        <v>0</v>
      </c>
      <c r="O102" s="704"/>
      <c r="P102" s="705"/>
      <c r="Q102" s="716"/>
      <c r="R102" s="706"/>
      <c r="S102" s="706"/>
      <c r="T102" s="706"/>
      <c r="U102" s="706"/>
      <c r="V102" s="706"/>
      <c r="W102" s="706"/>
      <c r="X102" s="706"/>
      <c r="Y102" s="706"/>
      <c r="Z102" s="706"/>
      <c r="AA102" s="706"/>
      <c r="AB102" s="706"/>
      <c r="AC102" s="706"/>
      <c r="AF102" s="681"/>
      <c r="AG102" s="681"/>
      <c r="AH102" s="681"/>
      <c r="AI102" s="681"/>
      <c r="AJ102" s="681"/>
      <c r="AK102" s="681"/>
      <c r="AL102" s="681"/>
      <c r="AM102" s="681"/>
      <c r="AN102" s="681"/>
      <c r="AO102" s="681"/>
      <c r="AP102" s="681"/>
    </row>
    <row r="103" spans="1:42">
      <c r="A103" s="2307">
        <v>31</v>
      </c>
      <c r="B103" s="2317" t="s">
        <v>307</v>
      </c>
      <c r="C103" s="2177"/>
      <c r="D103" s="2303">
        <f t="shared" si="41"/>
        <v>6080848</v>
      </c>
      <c r="E103" s="2304"/>
      <c r="F103" s="1004">
        <v>6080848</v>
      </c>
      <c r="G103" s="2304"/>
      <c r="H103" s="2304"/>
      <c r="I103" s="2325"/>
      <c r="J103" s="2337">
        <f t="shared" si="46"/>
        <v>0</v>
      </c>
      <c r="K103" s="2304"/>
      <c r="L103" s="2304"/>
      <c r="M103" s="2325"/>
      <c r="N103" s="2324">
        <f t="shared" si="43"/>
        <v>0</v>
      </c>
      <c r="O103" s="704"/>
      <c r="P103" s="705"/>
      <c r="Q103" s="716"/>
      <c r="R103" s="706"/>
      <c r="S103" s="706"/>
      <c r="T103" s="706"/>
      <c r="U103" s="706"/>
      <c r="V103" s="706"/>
      <c r="W103" s="706"/>
      <c r="X103" s="706"/>
      <c r="Y103" s="706"/>
      <c r="Z103" s="706"/>
      <c r="AA103" s="706"/>
      <c r="AB103" s="706"/>
      <c r="AC103" s="706"/>
      <c r="AF103" s="681"/>
      <c r="AG103" s="681"/>
      <c r="AH103" s="681"/>
      <c r="AI103" s="681"/>
      <c r="AJ103" s="681"/>
      <c r="AK103" s="681"/>
      <c r="AL103" s="681"/>
      <c r="AM103" s="681"/>
      <c r="AN103" s="681"/>
      <c r="AO103" s="681"/>
      <c r="AP103" s="681"/>
    </row>
    <row r="104" spans="1:42" ht="13.5" thickBot="1">
      <c r="A104" s="2314">
        <v>32</v>
      </c>
      <c r="B104" s="2302" t="s">
        <v>308</v>
      </c>
      <c r="C104" s="2177"/>
      <c r="D104" s="2303">
        <f t="shared" si="41"/>
        <v>12003824</v>
      </c>
      <c r="E104" s="2304"/>
      <c r="F104" s="1004">
        <v>12003824</v>
      </c>
      <c r="G104" s="2304"/>
      <c r="H104" s="2304"/>
      <c r="I104" s="2325"/>
      <c r="J104" s="2337">
        <f t="shared" si="46"/>
        <v>0</v>
      </c>
      <c r="K104" s="2304"/>
      <c r="L104" s="2304"/>
      <c r="M104" s="2325"/>
      <c r="N104" s="2324">
        <f t="shared" si="43"/>
        <v>0</v>
      </c>
      <c r="O104" s="704"/>
      <c r="P104" s="705"/>
      <c r="Q104" s="719"/>
      <c r="R104" s="706"/>
      <c r="S104" s="706"/>
      <c r="T104" s="706"/>
      <c r="U104" s="706"/>
      <c r="V104" s="706"/>
      <c r="W104" s="706"/>
      <c r="X104" s="706"/>
      <c r="Y104" s="706"/>
      <c r="Z104" s="706"/>
      <c r="AA104" s="706"/>
      <c r="AB104" s="706"/>
      <c r="AC104" s="706"/>
      <c r="AF104" s="681"/>
      <c r="AG104" s="681"/>
      <c r="AH104" s="681"/>
      <c r="AI104" s="681"/>
      <c r="AJ104" s="681"/>
      <c r="AK104" s="681"/>
      <c r="AL104" s="681"/>
      <c r="AM104" s="681"/>
      <c r="AN104" s="681"/>
      <c r="AO104" s="681"/>
      <c r="AP104" s="681"/>
    </row>
    <row r="105" spans="1:42" s="913" customFormat="1" ht="13.5" thickBot="1">
      <c r="A105" s="1482">
        <v>33</v>
      </c>
      <c r="B105" s="1350" t="s">
        <v>309</v>
      </c>
      <c r="C105" s="1348"/>
      <c r="D105" s="1500">
        <f>+E105+F105+J105+N105</f>
        <v>20579684</v>
      </c>
      <c r="E105" s="1030">
        <f t="shared" ref="E105:M105" si="47">SUM(E100:E104)</f>
        <v>0</v>
      </c>
      <c r="F105" s="1030">
        <f t="shared" si="47"/>
        <v>20579684</v>
      </c>
      <c r="G105" s="1030">
        <f t="shared" si="47"/>
        <v>0</v>
      </c>
      <c r="H105" s="1030">
        <f t="shared" si="47"/>
        <v>0</v>
      </c>
      <c r="I105" s="1040">
        <f t="shared" si="47"/>
        <v>0</v>
      </c>
      <c r="J105" s="1517">
        <f t="shared" si="46"/>
        <v>0</v>
      </c>
      <c r="K105" s="1030">
        <f t="shared" si="47"/>
        <v>0</v>
      </c>
      <c r="L105" s="1030">
        <f t="shared" si="47"/>
        <v>0</v>
      </c>
      <c r="M105" s="1040">
        <f t="shared" si="47"/>
        <v>0</v>
      </c>
      <c r="N105" s="1521">
        <f t="shared" si="43"/>
        <v>0</v>
      </c>
      <c r="O105" s="1024"/>
      <c r="P105" s="1025"/>
      <c r="Q105" s="724"/>
      <c r="R105" s="1027"/>
      <c r="S105" s="1027"/>
      <c r="T105" s="1027"/>
      <c r="U105" s="1027"/>
      <c r="V105" s="1027"/>
      <c r="W105" s="1027"/>
      <c r="X105" s="1027"/>
      <c r="Y105" s="1027"/>
      <c r="Z105" s="1027"/>
      <c r="AA105" s="1027"/>
      <c r="AB105" s="1027"/>
      <c r="AC105" s="1027"/>
      <c r="AE105" s="1028"/>
      <c r="AF105" s="1029"/>
      <c r="AG105" s="1029"/>
      <c r="AH105" s="1029"/>
      <c r="AI105" s="1029"/>
      <c r="AJ105" s="1029"/>
      <c r="AK105" s="1029"/>
      <c r="AL105" s="1029"/>
      <c r="AM105" s="1029"/>
      <c r="AN105" s="1029"/>
      <c r="AO105" s="1029"/>
      <c r="AP105" s="1029"/>
    </row>
    <row r="106" spans="1:42" s="913" customFormat="1" ht="26.25" thickBot="1">
      <c r="A106" s="1493">
        <v>34</v>
      </c>
      <c r="B106" s="1352" t="s">
        <v>310</v>
      </c>
      <c r="C106" s="1351"/>
      <c r="D106" s="1526">
        <f>+E106+F106+J106+N106</f>
        <v>72388786</v>
      </c>
      <c r="E106" s="1526">
        <f t="shared" ref="E106:M106" si="48">E105+E98</f>
        <v>0</v>
      </c>
      <c r="F106" s="1526">
        <f t="shared" si="48"/>
        <v>22919666</v>
      </c>
      <c r="G106" s="1526">
        <f t="shared" si="48"/>
        <v>0</v>
      </c>
      <c r="H106" s="1526">
        <f t="shared" si="48"/>
        <v>439854</v>
      </c>
      <c r="I106" s="1527">
        <f t="shared" si="48"/>
        <v>43510062</v>
      </c>
      <c r="J106" s="1528">
        <f>G106+H106+I106</f>
        <v>43949916</v>
      </c>
      <c r="K106" s="1526">
        <f t="shared" si="48"/>
        <v>351689</v>
      </c>
      <c r="L106" s="1526">
        <f t="shared" si="48"/>
        <v>95699</v>
      </c>
      <c r="M106" s="1527">
        <f t="shared" si="48"/>
        <v>5071816</v>
      </c>
      <c r="N106" s="1529">
        <f t="shared" si="43"/>
        <v>5519204</v>
      </c>
      <c r="O106" s="1024"/>
      <c r="P106" s="1025"/>
      <c r="R106" s="1027"/>
      <c r="S106" s="1027"/>
      <c r="T106" s="1027"/>
      <c r="U106" s="1027"/>
      <c r="V106" s="1027"/>
      <c r="W106" s="1027"/>
      <c r="X106" s="1027"/>
      <c r="Y106" s="1027"/>
      <c r="Z106" s="1027"/>
      <c r="AA106" s="1027"/>
      <c r="AB106" s="1027"/>
      <c r="AC106" s="1027"/>
      <c r="AE106" s="1028"/>
      <c r="AF106" s="1029"/>
      <c r="AG106" s="1029"/>
      <c r="AH106" s="1029"/>
      <c r="AI106" s="1029"/>
      <c r="AJ106" s="1029"/>
      <c r="AK106" s="1029"/>
      <c r="AL106" s="1029"/>
      <c r="AM106" s="1029"/>
      <c r="AN106" s="1029"/>
      <c r="AO106" s="1029"/>
      <c r="AP106" s="1029"/>
    </row>
    <row r="107" spans="1:42">
      <c r="R107" s="706"/>
    </row>
    <row r="108" spans="1:42">
      <c r="B108" s="680"/>
      <c r="D108" s="684"/>
      <c r="E108" s="679"/>
      <c r="F108" s="679"/>
      <c r="G108" s="679"/>
      <c r="H108" s="679"/>
      <c r="I108" s="679"/>
      <c r="J108" s="679"/>
      <c r="K108" s="679"/>
      <c r="L108" s="679"/>
      <c r="M108" s="679"/>
      <c r="N108" s="911">
        <v>31</v>
      </c>
      <c r="O108" s="679"/>
    </row>
    <row r="109" spans="1:42">
      <c r="D109" s="679"/>
      <c r="E109" s="679"/>
      <c r="F109" s="679"/>
      <c r="G109" s="679"/>
      <c r="H109" s="679"/>
      <c r="I109" s="679"/>
      <c r="J109" s="679"/>
      <c r="K109" s="679"/>
      <c r="L109" s="679"/>
      <c r="M109" s="679"/>
      <c r="N109" s="679"/>
    </row>
    <row r="110" spans="1:42" ht="13.5" thickBot="1">
      <c r="E110" s="679"/>
      <c r="F110" s="679"/>
      <c r="G110" s="679"/>
      <c r="H110" s="679"/>
      <c r="I110" s="679"/>
      <c r="J110" s="679"/>
      <c r="K110" s="679"/>
      <c r="L110" s="679"/>
      <c r="M110" s="679"/>
      <c r="N110" s="679"/>
    </row>
    <row r="111" spans="1:42" ht="15.75" customHeight="1" thickBot="1">
      <c r="A111" s="1537" t="s">
        <v>178</v>
      </c>
      <c r="B111" s="3558" t="s">
        <v>93</v>
      </c>
      <c r="C111" s="3559"/>
      <c r="D111" s="3560"/>
      <c r="E111" s="679"/>
      <c r="F111" s="679"/>
      <c r="G111" s="679"/>
      <c r="H111" s="679"/>
      <c r="I111" s="679"/>
      <c r="J111" s="679"/>
      <c r="K111" s="679"/>
      <c r="L111" s="679"/>
      <c r="M111" s="3538" t="s">
        <v>251</v>
      </c>
      <c r="N111" s="3538"/>
      <c r="O111" s="701"/>
    </row>
    <row r="112" spans="1:42" ht="12.75" customHeight="1" thickBot="1">
      <c r="A112" s="3555" t="s">
        <v>252</v>
      </c>
      <c r="B112" s="1467"/>
      <c r="C112" s="3523" t="s">
        <v>254</v>
      </c>
      <c r="D112" s="3562" t="s">
        <v>255</v>
      </c>
      <c r="E112" s="3562" t="s">
        <v>256</v>
      </c>
      <c r="F112" s="3562" t="s">
        <v>257</v>
      </c>
      <c r="G112" s="3565" t="s">
        <v>258</v>
      </c>
      <c r="H112" s="3566"/>
      <c r="I112" s="3566"/>
      <c r="J112" s="3566"/>
      <c r="K112" s="3566"/>
      <c r="L112" s="3566"/>
      <c r="M112" s="3566"/>
      <c r="N112" s="3567"/>
      <c r="O112" s="702"/>
    </row>
    <row r="113" spans="1:29" ht="15.75" customHeight="1" thickBot="1">
      <c r="A113" s="3556"/>
      <c r="B113" s="1468"/>
      <c r="C113" s="3524"/>
      <c r="D113" s="3563"/>
      <c r="E113" s="3563"/>
      <c r="F113" s="3563"/>
      <c r="G113" s="3529" t="s">
        <v>259</v>
      </c>
      <c r="H113" s="3530"/>
      <c r="I113" s="3530"/>
      <c r="J113" s="3531"/>
      <c r="K113" s="3568" t="s">
        <v>260</v>
      </c>
      <c r="L113" s="3569"/>
      <c r="M113" s="3569"/>
      <c r="N113" s="3570"/>
      <c r="O113" s="458"/>
    </row>
    <row r="114" spans="1:29" ht="39" thickBot="1">
      <c r="A114" s="3556"/>
      <c r="B114" s="1469"/>
      <c r="C114" s="3524"/>
      <c r="D114" s="3564"/>
      <c r="E114" s="3564"/>
      <c r="F114" s="3564"/>
      <c r="G114" s="1336" t="s">
        <v>261</v>
      </c>
      <c r="H114" s="1336" t="s">
        <v>262</v>
      </c>
      <c r="I114" s="1336" t="s">
        <v>263</v>
      </c>
      <c r="J114" s="1336" t="s">
        <v>158</v>
      </c>
      <c r="K114" s="1337" t="s">
        <v>264</v>
      </c>
      <c r="L114" s="1337" t="s">
        <v>265</v>
      </c>
      <c r="M114" s="1337" t="s">
        <v>266</v>
      </c>
      <c r="N114" s="1404" t="s">
        <v>158</v>
      </c>
      <c r="O114" s="443"/>
    </row>
    <row r="115" spans="1:29" ht="15.75" customHeight="1" thickBot="1">
      <c r="A115" s="3556"/>
      <c r="B115" s="1468"/>
      <c r="C115" s="3524"/>
      <c r="D115" s="1470">
        <v>1</v>
      </c>
      <c r="E115" s="1471">
        <v>2</v>
      </c>
      <c r="F115" s="1471">
        <v>3</v>
      </c>
      <c r="G115" s="1472">
        <v>4</v>
      </c>
      <c r="H115" s="1471">
        <v>5</v>
      </c>
      <c r="I115" s="1473">
        <v>6</v>
      </c>
      <c r="J115" s="1474">
        <v>7</v>
      </c>
      <c r="K115" s="1472">
        <v>8</v>
      </c>
      <c r="L115" s="1471">
        <v>9</v>
      </c>
      <c r="M115" s="1496">
        <v>10</v>
      </c>
      <c r="N115" s="1470">
        <v>11</v>
      </c>
      <c r="O115" s="702"/>
    </row>
    <row r="116" spans="1:29" ht="15.75" customHeight="1" thickBot="1">
      <c r="A116" s="3557"/>
      <c r="B116" s="1475"/>
      <c r="C116" s="3525"/>
      <c r="D116" s="1476"/>
      <c r="E116" s="1476"/>
      <c r="F116" s="1476"/>
      <c r="G116" s="1477"/>
      <c r="H116" s="1476"/>
      <c r="I116" s="1478"/>
      <c r="J116" s="1478" t="s">
        <v>267</v>
      </c>
      <c r="K116" s="1477"/>
      <c r="L116" s="1476"/>
      <c r="M116" s="1968"/>
      <c r="N116" s="1476" t="s">
        <v>268</v>
      </c>
      <c r="O116" s="703"/>
      <c r="P116" s="703"/>
      <c r="Q116" s="703"/>
    </row>
    <row r="117" spans="1:29">
      <c r="A117" s="1483"/>
      <c r="B117" s="1481" t="s">
        <v>269</v>
      </c>
      <c r="C117" s="1346"/>
      <c r="D117" s="1484"/>
      <c r="E117" s="687"/>
      <c r="F117" s="687"/>
      <c r="G117" s="688"/>
      <c r="H117" s="689"/>
      <c r="I117" s="1006"/>
      <c r="J117" s="1501"/>
      <c r="K117" s="996"/>
      <c r="L117" s="994"/>
      <c r="M117" s="1032"/>
      <c r="N117" s="1492"/>
      <c r="Q117" s="721"/>
      <c r="R117" s="706"/>
    </row>
    <row r="118" spans="1:29">
      <c r="A118" s="2301">
        <v>1</v>
      </c>
      <c r="B118" s="2302" t="s">
        <v>270</v>
      </c>
      <c r="C118" s="2155"/>
      <c r="D118" s="2303">
        <f>+E118+F118+J118+N118</f>
        <v>0</v>
      </c>
      <c r="E118" s="2330"/>
      <c r="F118" s="2330"/>
      <c r="G118" s="2327"/>
      <c r="H118" s="2323"/>
      <c r="I118" s="2349"/>
      <c r="J118" s="2352">
        <f>G118+H118+I118</f>
        <v>0</v>
      </c>
      <c r="K118" s="2304"/>
      <c r="L118" s="2325"/>
      <c r="M118" s="2353"/>
      <c r="N118" s="2305">
        <f>K118+L118+M118</f>
        <v>0</v>
      </c>
      <c r="O118" s="704"/>
      <c r="P118" s="705"/>
      <c r="Q118" s="719"/>
      <c r="R118" s="706"/>
      <c r="S118" s="706"/>
      <c r="T118" s="706"/>
      <c r="U118" s="706"/>
      <c r="V118" s="706"/>
      <c r="W118" s="706"/>
      <c r="X118" s="706"/>
      <c r="Y118" s="706"/>
      <c r="Z118" s="706"/>
      <c r="AA118" s="706"/>
      <c r="AB118" s="706"/>
      <c r="AC118" s="706"/>
    </row>
    <row r="119" spans="1:29">
      <c r="A119" s="2301">
        <v>2</v>
      </c>
      <c r="B119" s="2302" t="s">
        <v>271</v>
      </c>
      <c r="C119" s="2155"/>
      <c r="D119" s="2303">
        <f t="shared" ref="D119:D157" si="49">+E119+F119+J119+N119</f>
        <v>0</v>
      </c>
      <c r="E119" s="2330"/>
      <c r="F119" s="2330"/>
      <c r="G119" s="2327"/>
      <c r="H119" s="2323"/>
      <c r="I119" s="2349"/>
      <c r="J119" s="2352">
        <f t="shared" ref="J119:J129" si="50">G119+H119+I119</f>
        <v>0</v>
      </c>
      <c r="K119" s="2304"/>
      <c r="L119" s="2325"/>
      <c r="M119" s="2353"/>
      <c r="N119" s="2305">
        <f t="shared" ref="N119:N158" si="51">K119+L119+M119</f>
        <v>0</v>
      </c>
      <c r="O119" s="704"/>
      <c r="P119" s="705"/>
      <c r="Q119" s="719"/>
      <c r="R119" s="706"/>
      <c r="S119" s="706"/>
      <c r="T119" s="706"/>
      <c r="U119" s="706"/>
      <c r="V119" s="706"/>
      <c r="W119" s="706"/>
      <c r="X119" s="706"/>
      <c r="Y119" s="706"/>
      <c r="Z119" s="706"/>
      <c r="AA119" s="706"/>
      <c r="AB119" s="706"/>
      <c r="AC119" s="706"/>
    </row>
    <row r="120" spans="1:29">
      <c r="A120" s="2301">
        <v>3</v>
      </c>
      <c r="B120" s="2302" t="s">
        <v>272</v>
      </c>
      <c r="C120" s="2155"/>
      <c r="D120" s="2303">
        <f t="shared" si="49"/>
        <v>8356.31</v>
      </c>
      <c r="E120" s="2330"/>
      <c r="F120" s="2330">
        <v>8356.31</v>
      </c>
      <c r="G120" s="2327"/>
      <c r="H120" s="2323"/>
      <c r="I120" s="2349"/>
      <c r="J120" s="2352">
        <f t="shared" si="50"/>
        <v>0</v>
      </c>
      <c r="K120" s="2304"/>
      <c r="L120" s="2325"/>
      <c r="M120" s="2353"/>
      <c r="N120" s="2305">
        <f t="shared" si="51"/>
        <v>0</v>
      </c>
      <c r="O120" s="704"/>
      <c r="P120" s="705"/>
      <c r="Q120" s="719"/>
      <c r="R120" s="706"/>
      <c r="S120" s="706"/>
      <c r="T120" s="706"/>
      <c r="U120" s="706"/>
      <c r="V120" s="706"/>
      <c r="W120" s="706"/>
      <c r="X120" s="706"/>
      <c r="Y120" s="706"/>
      <c r="Z120" s="706"/>
      <c r="AA120" s="706"/>
      <c r="AB120" s="706"/>
      <c r="AC120" s="706"/>
    </row>
    <row r="121" spans="1:29">
      <c r="A121" s="2301">
        <v>4</v>
      </c>
      <c r="B121" s="2302" t="s">
        <v>273</v>
      </c>
      <c r="C121" s="2155"/>
      <c r="D121" s="2303">
        <f t="shared" si="49"/>
        <v>0</v>
      </c>
      <c r="E121" s="2330"/>
      <c r="F121" s="2330"/>
      <c r="G121" s="2327"/>
      <c r="H121" s="2323"/>
      <c r="I121" s="2349"/>
      <c r="J121" s="2352">
        <f t="shared" si="50"/>
        <v>0</v>
      </c>
      <c r="K121" s="2304"/>
      <c r="L121" s="2325"/>
      <c r="M121" s="2353"/>
      <c r="N121" s="2305">
        <f t="shared" si="51"/>
        <v>0</v>
      </c>
      <c r="O121" s="704"/>
      <c r="P121" s="705"/>
      <c r="Q121" s="719"/>
      <c r="R121" s="706"/>
      <c r="S121" s="706"/>
      <c r="T121" s="706"/>
      <c r="U121" s="706"/>
      <c r="V121" s="706"/>
      <c r="W121" s="706"/>
      <c r="X121" s="706"/>
      <c r="Y121" s="706"/>
      <c r="Z121" s="706"/>
      <c r="AA121" s="706"/>
      <c r="AB121" s="706"/>
      <c r="AC121" s="706"/>
    </row>
    <row r="122" spans="1:29">
      <c r="A122" s="2301">
        <v>5</v>
      </c>
      <c r="B122" s="2302" t="s">
        <v>274</v>
      </c>
      <c r="C122" s="2161">
        <v>5</v>
      </c>
      <c r="D122" s="2303">
        <f t="shared" si="49"/>
        <v>11016.039999999999</v>
      </c>
      <c r="E122" s="2330"/>
      <c r="F122" s="2330">
        <v>11016.039999999999</v>
      </c>
      <c r="G122" s="2327"/>
      <c r="H122" s="2323"/>
      <c r="I122" s="2349"/>
      <c r="J122" s="2352">
        <f t="shared" si="50"/>
        <v>0</v>
      </c>
      <c r="K122" s="2304"/>
      <c r="L122" s="2325"/>
      <c r="M122" s="2353"/>
      <c r="N122" s="2305">
        <f t="shared" si="51"/>
        <v>0</v>
      </c>
      <c r="O122" s="704"/>
      <c r="P122" s="705"/>
      <c r="Q122" s="722"/>
      <c r="R122" s="706"/>
      <c r="S122" s="706"/>
      <c r="T122" s="706"/>
      <c r="U122" s="706"/>
      <c r="V122" s="706"/>
      <c r="W122" s="706"/>
      <c r="X122" s="706"/>
      <c r="Y122" s="706"/>
      <c r="Z122" s="706"/>
      <c r="AA122" s="706"/>
      <c r="AB122" s="706"/>
      <c r="AC122" s="706"/>
    </row>
    <row r="123" spans="1:29">
      <c r="A123" s="2301">
        <v>6</v>
      </c>
      <c r="B123" s="2302" t="s">
        <v>275</v>
      </c>
      <c r="C123" s="2155">
        <v>6</v>
      </c>
      <c r="D123" s="2303">
        <f t="shared" si="49"/>
        <v>0</v>
      </c>
      <c r="E123" s="2330"/>
      <c r="F123" s="2330"/>
      <c r="G123" s="2327"/>
      <c r="H123" s="2323"/>
      <c r="I123" s="2349"/>
      <c r="J123" s="2352">
        <f t="shared" si="50"/>
        <v>0</v>
      </c>
      <c r="K123" s="2304"/>
      <c r="L123" s="2325"/>
      <c r="M123" s="2353"/>
      <c r="N123" s="2305">
        <f t="shared" si="51"/>
        <v>0</v>
      </c>
      <c r="O123" s="704"/>
      <c r="P123" s="705"/>
      <c r="Q123" s="719"/>
      <c r="R123" s="706"/>
      <c r="S123" s="706"/>
      <c r="T123" s="706"/>
      <c r="U123" s="706"/>
      <c r="V123" s="706"/>
      <c r="W123" s="706"/>
      <c r="X123" s="706"/>
      <c r="Y123" s="706"/>
      <c r="Z123" s="706"/>
      <c r="AA123" s="706"/>
      <c r="AB123" s="706"/>
      <c r="AC123" s="706"/>
    </row>
    <row r="124" spans="1:29">
      <c r="A124" s="2301">
        <v>7</v>
      </c>
      <c r="B124" s="2302" t="s">
        <v>276</v>
      </c>
      <c r="C124" s="2161">
        <v>7</v>
      </c>
      <c r="D124" s="2303">
        <f t="shared" si="49"/>
        <v>0</v>
      </c>
      <c r="E124" s="2330">
        <v>0</v>
      </c>
      <c r="F124" s="2304">
        <f>F125+F126</f>
        <v>0</v>
      </c>
      <c r="G124" s="2304">
        <f t="shared" ref="G124:M124" si="52">G125+G126</f>
        <v>0</v>
      </c>
      <c r="H124" s="2325">
        <f t="shared" si="52"/>
        <v>0</v>
      </c>
      <c r="I124" s="2354">
        <f>I125+I126</f>
        <v>0</v>
      </c>
      <c r="J124" s="2352">
        <f t="shared" si="50"/>
        <v>0</v>
      </c>
      <c r="K124" s="2304">
        <f t="shared" si="52"/>
        <v>0</v>
      </c>
      <c r="L124" s="2325">
        <f t="shared" si="52"/>
        <v>0</v>
      </c>
      <c r="M124" s="2353">
        <f t="shared" si="52"/>
        <v>0</v>
      </c>
      <c r="N124" s="2305">
        <f t="shared" si="51"/>
        <v>0</v>
      </c>
      <c r="O124" s="704"/>
      <c r="P124" s="705"/>
      <c r="Q124" s="722"/>
      <c r="R124" s="706"/>
      <c r="S124" s="706"/>
      <c r="T124" s="706"/>
      <c r="U124" s="706"/>
      <c r="V124" s="706"/>
      <c r="W124" s="706"/>
      <c r="X124" s="706"/>
      <c r="Y124" s="706"/>
      <c r="Z124" s="706"/>
      <c r="AA124" s="706"/>
      <c r="AB124" s="706"/>
      <c r="AC124" s="706"/>
    </row>
    <row r="125" spans="1:29">
      <c r="A125" s="2307"/>
      <c r="B125" s="2162" t="s">
        <v>277</v>
      </c>
      <c r="C125" s="2161"/>
      <c r="D125" s="2303">
        <f t="shared" si="49"/>
        <v>0</v>
      </c>
      <c r="E125" s="2330"/>
      <c r="F125" s="2304"/>
      <c r="G125" s="2304"/>
      <c r="H125" s="2325"/>
      <c r="I125" s="2354"/>
      <c r="J125" s="2352">
        <f t="shared" si="50"/>
        <v>0</v>
      </c>
      <c r="K125" s="2304"/>
      <c r="L125" s="2325"/>
      <c r="M125" s="2353"/>
      <c r="N125" s="2305">
        <f t="shared" si="51"/>
        <v>0</v>
      </c>
      <c r="O125" s="704"/>
      <c r="P125" s="705"/>
      <c r="Q125" s="722"/>
      <c r="R125" s="706"/>
      <c r="S125" s="706"/>
      <c r="T125" s="706"/>
      <c r="U125" s="706"/>
      <c r="V125" s="706"/>
      <c r="W125" s="706"/>
      <c r="X125" s="706"/>
      <c r="Y125" s="706"/>
      <c r="Z125" s="706"/>
      <c r="AA125" s="706"/>
      <c r="AB125" s="706"/>
      <c r="AC125" s="706"/>
    </row>
    <row r="126" spans="1:29">
      <c r="A126" s="2307"/>
      <c r="B126" s="2162" t="s">
        <v>278</v>
      </c>
      <c r="C126" s="2161"/>
      <c r="D126" s="2303">
        <f t="shared" si="49"/>
        <v>0</v>
      </c>
      <c r="E126" s="2330"/>
      <c r="F126" s="2304"/>
      <c r="G126" s="2304"/>
      <c r="H126" s="2325"/>
      <c r="I126" s="2354"/>
      <c r="J126" s="2352">
        <f t="shared" si="50"/>
        <v>0</v>
      </c>
      <c r="K126" s="2304"/>
      <c r="L126" s="2325"/>
      <c r="M126" s="2353"/>
      <c r="N126" s="2305">
        <f t="shared" si="51"/>
        <v>0</v>
      </c>
      <c r="O126" s="704"/>
      <c r="P126" s="705"/>
      <c r="Q126" s="722"/>
      <c r="R126" s="706"/>
      <c r="S126" s="706"/>
      <c r="T126" s="706"/>
      <c r="U126" s="706"/>
      <c r="V126" s="706"/>
      <c r="W126" s="706"/>
      <c r="X126" s="706"/>
      <c r="Y126" s="706"/>
      <c r="Z126" s="706"/>
      <c r="AA126" s="706"/>
      <c r="AB126" s="706"/>
      <c r="AC126" s="706"/>
    </row>
    <row r="127" spans="1:29">
      <c r="A127" s="2301">
        <v>8</v>
      </c>
      <c r="B127" s="2302" t="s">
        <v>279</v>
      </c>
      <c r="C127" s="2155">
        <v>8</v>
      </c>
      <c r="D127" s="2303">
        <f t="shared" si="49"/>
        <v>0</v>
      </c>
      <c r="E127" s="2330">
        <v>0</v>
      </c>
      <c r="F127" s="2304">
        <f>F128+F129</f>
        <v>0</v>
      </c>
      <c r="G127" s="2304">
        <f t="shared" ref="G127:M127" si="53">G128+G129</f>
        <v>0</v>
      </c>
      <c r="H127" s="2325">
        <f t="shared" si="53"/>
        <v>0</v>
      </c>
      <c r="I127" s="2354">
        <f>I128+I129</f>
        <v>0</v>
      </c>
      <c r="J127" s="2352">
        <f t="shared" si="50"/>
        <v>0</v>
      </c>
      <c r="K127" s="2304">
        <f t="shared" si="53"/>
        <v>0</v>
      </c>
      <c r="L127" s="2325">
        <f t="shared" si="53"/>
        <v>0</v>
      </c>
      <c r="M127" s="2353">
        <f t="shared" si="53"/>
        <v>0</v>
      </c>
      <c r="N127" s="2305">
        <f t="shared" si="51"/>
        <v>0</v>
      </c>
      <c r="O127" s="704"/>
      <c r="P127" s="705"/>
      <c r="Q127" s="719"/>
      <c r="R127" s="706"/>
      <c r="S127" s="706"/>
      <c r="T127" s="706"/>
      <c r="U127" s="706"/>
      <c r="V127" s="706"/>
      <c r="W127" s="706"/>
      <c r="X127" s="706"/>
      <c r="Y127" s="706"/>
      <c r="Z127" s="706"/>
      <c r="AA127" s="706"/>
      <c r="AB127" s="706"/>
      <c r="AC127" s="706"/>
    </row>
    <row r="128" spans="1:29">
      <c r="A128" s="2301"/>
      <c r="B128" s="2162" t="s">
        <v>280</v>
      </c>
      <c r="C128" s="2155"/>
      <c r="D128" s="2303">
        <f t="shared" si="49"/>
        <v>0</v>
      </c>
      <c r="E128" s="2330"/>
      <c r="F128" s="2330"/>
      <c r="G128" s="2327"/>
      <c r="H128" s="2323"/>
      <c r="I128" s="2349"/>
      <c r="J128" s="2352">
        <f t="shared" si="50"/>
        <v>0</v>
      </c>
      <c r="K128" s="2304"/>
      <c r="L128" s="2325"/>
      <c r="M128" s="2353"/>
      <c r="N128" s="2305">
        <f t="shared" si="51"/>
        <v>0</v>
      </c>
      <c r="O128" s="704"/>
      <c r="P128" s="705"/>
      <c r="Q128" s="719"/>
      <c r="R128" s="706"/>
      <c r="S128" s="706"/>
      <c r="T128" s="706"/>
      <c r="U128" s="706"/>
      <c r="V128" s="706"/>
      <c r="W128" s="706"/>
      <c r="X128" s="706"/>
      <c r="Y128" s="706"/>
      <c r="Z128" s="706"/>
      <c r="AA128" s="706"/>
      <c r="AB128" s="706"/>
      <c r="AC128" s="706"/>
    </row>
    <row r="129" spans="1:42">
      <c r="A129" s="2301"/>
      <c r="B129" s="2162" t="s">
        <v>281</v>
      </c>
      <c r="C129" s="2155"/>
      <c r="D129" s="2303">
        <f t="shared" si="49"/>
        <v>0</v>
      </c>
      <c r="E129" s="2304"/>
      <c r="F129" s="2304"/>
      <c r="G129" s="2304"/>
      <c r="H129" s="2325"/>
      <c r="I129" s="2354"/>
      <c r="J129" s="2352">
        <f t="shared" si="50"/>
        <v>0</v>
      </c>
      <c r="K129" s="2304"/>
      <c r="L129" s="2325"/>
      <c r="M129" s="2353"/>
      <c r="N129" s="2305">
        <f t="shared" si="51"/>
        <v>0</v>
      </c>
      <c r="O129" s="704"/>
      <c r="P129" s="705"/>
      <c r="Q129" s="719"/>
      <c r="R129" s="706"/>
      <c r="S129" s="706"/>
      <c r="T129" s="706"/>
      <c r="U129" s="706"/>
      <c r="V129" s="706"/>
      <c r="W129" s="706"/>
      <c r="X129" s="706"/>
      <c r="Y129" s="706"/>
      <c r="Z129" s="706"/>
      <c r="AA129" s="706"/>
      <c r="AB129" s="706"/>
      <c r="AC129" s="706"/>
    </row>
    <row r="130" spans="1:42" s="913" customFormat="1" ht="25.5">
      <c r="A130" s="2308">
        <v>9</v>
      </c>
      <c r="B130" s="2309" t="s">
        <v>282</v>
      </c>
      <c r="C130" s="2165"/>
      <c r="D130" s="2310">
        <f t="shared" si="49"/>
        <v>5834949.8281731075</v>
      </c>
      <c r="E130" s="2311">
        <f>SUM(E131:E134)</f>
        <v>0</v>
      </c>
      <c r="F130" s="2311">
        <f>SUM(F131:F134)</f>
        <v>0</v>
      </c>
      <c r="G130" s="2311">
        <f>SUM(G131:G134)</f>
        <v>0</v>
      </c>
      <c r="H130" s="2333">
        <f>SUM(H131:H134)</f>
        <v>177122.72174611711</v>
      </c>
      <c r="I130" s="2355">
        <f>SUM(I131:I134)</f>
        <v>5215199.3509369902</v>
      </c>
      <c r="J130" s="2356">
        <f>G130+H130+I130</f>
        <v>5392322.0726831071</v>
      </c>
      <c r="K130" s="2311">
        <f>SUM(K131:K134)</f>
        <v>0</v>
      </c>
      <c r="L130" s="2333">
        <f>SUM(L131:L134)</f>
        <v>0</v>
      </c>
      <c r="M130" s="2334">
        <f>SUM(M131:M134)</f>
        <v>442627.75548999995</v>
      </c>
      <c r="N130" s="2312">
        <f t="shared" si="51"/>
        <v>442627.75548999995</v>
      </c>
      <c r="O130" s="1024"/>
      <c r="P130" s="1025"/>
      <c r="Q130" s="729"/>
      <c r="R130" s="1027"/>
      <c r="S130" s="1027"/>
      <c r="T130" s="1027"/>
      <c r="U130" s="1027"/>
      <c r="V130" s="1027"/>
      <c r="W130" s="1027"/>
      <c r="X130" s="1027"/>
      <c r="Y130" s="1027"/>
      <c r="Z130" s="1027"/>
      <c r="AA130" s="1027"/>
      <c r="AB130" s="1027"/>
      <c r="AC130" s="1027"/>
      <c r="AE130" s="1028"/>
      <c r="AF130" s="1028"/>
      <c r="AG130" s="1028"/>
      <c r="AH130" s="1028"/>
      <c r="AI130" s="1028"/>
      <c r="AJ130" s="1028"/>
      <c r="AK130" s="1028"/>
      <c r="AL130" s="1028"/>
      <c r="AM130" s="1028"/>
      <c r="AN130" s="1028"/>
      <c r="AO130" s="1028"/>
      <c r="AP130" s="1028"/>
    </row>
    <row r="131" spans="1:42">
      <c r="A131" s="2307">
        <v>10</v>
      </c>
      <c r="B131" s="2171" t="s">
        <v>283</v>
      </c>
      <c r="C131" s="2155">
        <v>9</v>
      </c>
      <c r="D131" s="2303">
        <f t="shared" si="49"/>
        <v>0</v>
      </c>
      <c r="E131" s="2330"/>
      <c r="F131" s="2330"/>
      <c r="G131" s="2327"/>
      <c r="H131" s="2323"/>
      <c r="I131" s="2349"/>
      <c r="J131" s="2357">
        <f t="shared" ref="J131:J149" si="54">G131+H131+I131</f>
        <v>0</v>
      </c>
      <c r="K131" s="2327"/>
      <c r="L131" s="2342"/>
      <c r="M131" s="2322"/>
      <c r="N131" s="2305">
        <f t="shared" si="51"/>
        <v>0</v>
      </c>
      <c r="O131" s="704"/>
      <c r="P131" s="705"/>
      <c r="Q131" s="719"/>
      <c r="R131" s="706"/>
      <c r="S131" s="706"/>
      <c r="T131" s="706"/>
      <c r="U131" s="706"/>
      <c r="V131" s="706"/>
      <c r="W131" s="706"/>
      <c r="X131" s="706"/>
      <c r="Y131" s="706"/>
      <c r="Z131" s="706"/>
      <c r="AA131" s="706"/>
      <c r="AB131" s="706"/>
      <c r="AC131" s="706"/>
    </row>
    <row r="132" spans="1:42">
      <c r="A132" s="2307">
        <v>11</v>
      </c>
      <c r="B132" s="2171" t="s">
        <v>284</v>
      </c>
      <c r="C132" s="2155">
        <v>10</v>
      </c>
      <c r="D132" s="2303">
        <f t="shared" si="49"/>
        <v>154757.59674611711</v>
      </c>
      <c r="E132" s="2330"/>
      <c r="F132" s="2330"/>
      <c r="G132" s="2327"/>
      <c r="H132" s="2328">
        <v>154757.59674611711</v>
      </c>
      <c r="I132" s="2358">
        <v>0</v>
      </c>
      <c r="J132" s="2357">
        <f t="shared" si="54"/>
        <v>154757.59674611711</v>
      </c>
      <c r="K132" s="2327"/>
      <c r="L132" s="2328"/>
      <c r="M132" s="2322"/>
      <c r="N132" s="2305">
        <f t="shared" si="51"/>
        <v>0</v>
      </c>
      <c r="O132" s="704"/>
      <c r="P132" s="705"/>
      <c r="Q132" s="719"/>
      <c r="R132" s="706"/>
      <c r="S132" s="706"/>
      <c r="T132" s="706"/>
      <c r="U132" s="706"/>
      <c r="V132" s="706"/>
      <c r="W132" s="706"/>
      <c r="X132" s="706"/>
      <c r="Y132" s="706"/>
      <c r="Z132" s="706"/>
      <c r="AA132" s="706"/>
      <c r="AB132" s="706"/>
      <c r="AC132" s="706"/>
    </row>
    <row r="133" spans="1:42">
      <c r="A133" s="2307">
        <v>12</v>
      </c>
      <c r="B133" s="2171" t="s">
        <v>285</v>
      </c>
      <c r="C133" s="2155">
        <v>11</v>
      </c>
      <c r="D133" s="2303">
        <f t="shared" si="49"/>
        <v>5680192.2314269906</v>
      </c>
      <c r="E133" s="2330"/>
      <c r="F133" s="2330"/>
      <c r="G133" s="2327"/>
      <c r="H133" s="2328">
        <v>22365.125</v>
      </c>
      <c r="I133" s="2358">
        <v>5215199.3509369902</v>
      </c>
      <c r="J133" s="2357">
        <f t="shared" si="54"/>
        <v>5237564.4759369902</v>
      </c>
      <c r="K133" s="2327"/>
      <c r="L133" s="2328"/>
      <c r="M133" s="2322">
        <v>442627.75548999995</v>
      </c>
      <c r="N133" s="2305">
        <f t="shared" si="51"/>
        <v>442627.75548999995</v>
      </c>
      <c r="O133" s="704"/>
      <c r="P133" s="705"/>
      <c r="Q133" s="719"/>
      <c r="R133" s="706"/>
      <c r="S133" s="706"/>
      <c r="T133" s="706"/>
      <c r="U133" s="706"/>
      <c r="V133" s="706"/>
      <c r="W133" s="706"/>
      <c r="X133" s="706"/>
      <c r="Y133" s="706"/>
      <c r="Z133" s="706"/>
      <c r="AA133" s="706"/>
      <c r="AB133" s="706"/>
      <c r="AC133" s="706"/>
    </row>
    <row r="134" spans="1:42" ht="25.5">
      <c r="A134" s="2307">
        <v>13</v>
      </c>
      <c r="B134" s="2171" t="s">
        <v>286</v>
      </c>
      <c r="C134" s="2155">
        <v>12</v>
      </c>
      <c r="D134" s="2303">
        <f t="shared" si="49"/>
        <v>0</v>
      </c>
      <c r="E134" s="2330"/>
      <c r="F134" s="2330"/>
      <c r="G134" s="2327"/>
      <c r="H134" s="2328"/>
      <c r="I134" s="2358"/>
      <c r="J134" s="2357">
        <f t="shared" si="54"/>
        <v>0</v>
      </c>
      <c r="K134" s="2327"/>
      <c r="L134" s="2328"/>
      <c r="M134" s="2322"/>
      <c r="N134" s="2305">
        <f t="shared" si="51"/>
        <v>0</v>
      </c>
      <c r="O134" s="704"/>
      <c r="P134" s="705"/>
      <c r="Q134" s="719"/>
      <c r="R134" s="706"/>
      <c r="S134" s="706"/>
      <c r="T134" s="706"/>
      <c r="U134" s="706"/>
      <c r="V134" s="706"/>
      <c r="W134" s="706"/>
      <c r="X134" s="706"/>
      <c r="Y134" s="706"/>
      <c r="Z134" s="706"/>
      <c r="AA134" s="706"/>
      <c r="AB134" s="706"/>
      <c r="AC134" s="706"/>
    </row>
    <row r="135" spans="1:42">
      <c r="A135" s="2307">
        <v>14</v>
      </c>
      <c r="B135" s="2154" t="s">
        <v>287</v>
      </c>
      <c r="C135" s="2155">
        <v>13</v>
      </c>
      <c r="D135" s="2303">
        <f t="shared" si="49"/>
        <v>0</v>
      </c>
      <c r="E135" s="2330"/>
      <c r="F135" s="2330"/>
      <c r="G135" s="2327"/>
      <c r="H135" s="2323"/>
      <c r="I135" s="2349"/>
      <c r="J135" s="2357">
        <f t="shared" si="54"/>
        <v>0</v>
      </c>
      <c r="K135" s="2327"/>
      <c r="L135" s="2342"/>
      <c r="M135" s="2322"/>
      <c r="N135" s="2305">
        <f t="shared" si="51"/>
        <v>0</v>
      </c>
      <c r="O135" s="704"/>
      <c r="P135" s="705"/>
      <c r="Q135" s="719"/>
      <c r="R135" s="706"/>
      <c r="S135" s="706"/>
      <c r="T135" s="706"/>
      <c r="U135" s="706"/>
      <c r="V135" s="706"/>
      <c r="W135" s="706"/>
      <c r="X135" s="706"/>
      <c r="Y135" s="706"/>
      <c r="Z135" s="706"/>
      <c r="AA135" s="706"/>
      <c r="AB135" s="706"/>
      <c r="AC135" s="706"/>
    </row>
    <row r="136" spans="1:42">
      <c r="A136" s="2307">
        <v>15</v>
      </c>
      <c r="B136" s="2154" t="s">
        <v>288</v>
      </c>
      <c r="C136" s="2161">
        <v>14</v>
      </c>
      <c r="D136" s="2303">
        <f t="shared" si="49"/>
        <v>78615.318220000001</v>
      </c>
      <c r="E136" s="2330"/>
      <c r="F136" s="2330">
        <v>75146.858219999995</v>
      </c>
      <c r="G136" s="2327"/>
      <c r="H136" s="2323"/>
      <c r="I136" s="2349"/>
      <c r="J136" s="2357">
        <f t="shared" si="54"/>
        <v>0</v>
      </c>
      <c r="K136" s="2327"/>
      <c r="L136" s="2342"/>
      <c r="M136" s="2322">
        <v>3468.46</v>
      </c>
      <c r="N136" s="2305">
        <f t="shared" si="51"/>
        <v>3468.46</v>
      </c>
      <c r="O136" s="704"/>
      <c r="P136" s="705"/>
      <c r="Q136" s="722"/>
      <c r="R136" s="706"/>
      <c r="S136" s="706"/>
      <c r="T136" s="706"/>
      <c r="U136" s="706"/>
      <c r="V136" s="706"/>
      <c r="W136" s="706"/>
      <c r="X136" s="706"/>
      <c r="Y136" s="706"/>
      <c r="Z136" s="706"/>
      <c r="AA136" s="706"/>
      <c r="AB136" s="706"/>
      <c r="AC136" s="706"/>
    </row>
    <row r="137" spans="1:42">
      <c r="A137" s="2307">
        <v>16</v>
      </c>
      <c r="B137" s="2154" t="s">
        <v>289</v>
      </c>
      <c r="C137" s="2155">
        <v>15</v>
      </c>
      <c r="D137" s="2303">
        <f t="shared" si="49"/>
        <v>51440.098250000003</v>
      </c>
      <c r="E137" s="2330"/>
      <c r="F137" s="2330"/>
      <c r="G137" s="2327"/>
      <c r="H137" s="2323">
        <v>0</v>
      </c>
      <c r="I137" s="2349">
        <v>48473.830110000003</v>
      </c>
      <c r="J137" s="2357">
        <f t="shared" si="54"/>
        <v>48473.830110000003</v>
      </c>
      <c r="K137" s="2327"/>
      <c r="L137" s="2342"/>
      <c r="M137" s="2322">
        <v>2966.2681400000001</v>
      </c>
      <c r="N137" s="2305">
        <f t="shared" si="51"/>
        <v>2966.2681400000001</v>
      </c>
      <c r="O137" s="704"/>
      <c r="P137" s="705"/>
      <c r="Q137" s="719"/>
      <c r="R137" s="706"/>
      <c r="S137" s="706"/>
      <c r="T137" s="706"/>
      <c r="U137" s="706"/>
      <c r="V137" s="706"/>
      <c r="W137" s="706"/>
      <c r="X137" s="706"/>
      <c r="Y137" s="706"/>
      <c r="Z137" s="706"/>
      <c r="AA137" s="706"/>
      <c r="AB137" s="706"/>
      <c r="AC137" s="706"/>
    </row>
    <row r="138" spans="1:42">
      <c r="A138" s="2307">
        <v>17</v>
      </c>
      <c r="B138" s="2154" t="s">
        <v>290</v>
      </c>
      <c r="C138" s="2161">
        <v>16</v>
      </c>
      <c r="D138" s="2303">
        <f t="shared" si="49"/>
        <v>396040.70316000003</v>
      </c>
      <c r="E138" s="2330"/>
      <c r="F138" s="2330">
        <v>396040.70316000003</v>
      </c>
      <c r="G138" s="2327"/>
      <c r="H138" s="2328">
        <v>0</v>
      </c>
      <c r="I138" s="2358">
        <v>0</v>
      </c>
      <c r="J138" s="2357">
        <f t="shared" si="54"/>
        <v>0</v>
      </c>
      <c r="K138" s="2327"/>
      <c r="L138" s="2328"/>
      <c r="M138" s="2322">
        <v>0</v>
      </c>
      <c r="N138" s="2305">
        <f t="shared" si="51"/>
        <v>0</v>
      </c>
      <c r="O138" s="704"/>
      <c r="P138" s="705"/>
      <c r="Q138" s="722"/>
      <c r="R138" s="706"/>
      <c r="S138" s="706"/>
      <c r="T138" s="706"/>
      <c r="U138" s="706"/>
      <c r="V138" s="706"/>
      <c r="W138" s="706"/>
      <c r="X138" s="706"/>
      <c r="Y138" s="706"/>
      <c r="Z138" s="706"/>
      <c r="AA138" s="706"/>
      <c r="AB138" s="706"/>
      <c r="AC138" s="706"/>
    </row>
    <row r="139" spans="1:42">
      <c r="A139" s="2307">
        <v>18</v>
      </c>
      <c r="B139" s="2154" t="s">
        <v>291</v>
      </c>
      <c r="C139" s="2155"/>
      <c r="D139" s="2303">
        <f t="shared" si="49"/>
        <v>1284402.3330000001</v>
      </c>
      <c r="E139" s="2330"/>
      <c r="F139" s="2330">
        <v>1284402.3330000001</v>
      </c>
      <c r="G139" s="2327"/>
      <c r="H139" s="2323"/>
      <c r="I139" s="2349"/>
      <c r="J139" s="2357">
        <f t="shared" si="54"/>
        <v>0</v>
      </c>
      <c r="K139" s="2327"/>
      <c r="L139" s="2342"/>
      <c r="M139" s="2322"/>
      <c r="N139" s="2305">
        <f t="shared" si="51"/>
        <v>0</v>
      </c>
      <c r="O139" s="704"/>
      <c r="P139" s="705"/>
      <c r="Q139" s="719"/>
      <c r="R139" s="706"/>
      <c r="S139" s="706"/>
      <c r="T139" s="706"/>
      <c r="U139" s="706"/>
      <c r="V139" s="706"/>
      <c r="W139" s="706"/>
      <c r="X139" s="706"/>
      <c r="Y139" s="706"/>
      <c r="Z139" s="706"/>
      <c r="AA139" s="706"/>
      <c r="AB139" s="706"/>
      <c r="AC139" s="706"/>
    </row>
    <row r="140" spans="1:42" ht="13.5" thickBot="1">
      <c r="A140" s="2314">
        <v>19</v>
      </c>
      <c r="B140" s="2173" t="s">
        <v>292</v>
      </c>
      <c r="C140" s="2172"/>
      <c r="D140" s="1485">
        <f t="shared" si="49"/>
        <v>93650.472199999989</v>
      </c>
      <c r="E140" s="1033"/>
      <c r="F140" s="1033">
        <v>-114951.37655688901</v>
      </c>
      <c r="G140" s="1034"/>
      <c r="H140" s="2359">
        <v>8310</v>
      </c>
      <c r="I140" s="2360">
        <v>191164.87860688899</v>
      </c>
      <c r="J140" s="2361">
        <f t="shared" si="54"/>
        <v>199474.87860688899</v>
      </c>
      <c r="K140" s="1034"/>
      <c r="L140" s="2362"/>
      <c r="M140" s="2345">
        <v>9126.9701500000101</v>
      </c>
      <c r="N140" s="1489">
        <f t="shared" si="51"/>
        <v>9126.9701500000101</v>
      </c>
      <c r="O140" s="704"/>
      <c r="P140" s="705"/>
      <c r="Q140" s="719"/>
      <c r="R140" s="706"/>
      <c r="S140" s="706"/>
      <c r="T140" s="706"/>
      <c r="U140" s="706"/>
      <c r="V140" s="706"/>
      <c r="W140" s="706"/>
      <c r="X140" s="706"/>
      <c r="Y140" s="706"/>
      <c r="Z140" s="706"/>
      <c r="AA140" s="706"/>
      <c r="AB140" s="706"/>
      <c r="AC140" s="706"/>
    </row>
    <row r="141" spans="1:42" ht="26.25" thickBot="1">
      <c r="A141" s="1493">
        <v>20</v>
      </c>
      <c r="B141" s="1352" t="s">
        <v>293</v>
      </c>
      <c r="C141" s="1351"/>
      <c r="D141" s="1494">
        <f>+E141+F141+J141+N141</f>
        <v>7758471.1030031079</v>
      </c>
      <c r="E141" s="1494">
        <f>SUM(E118:E124)+E127+E130+SUM(E135:E140)</f>
        <v>0</v>
      </c>
      <c r="F141" s="1494">
        <f>SUM(F118:F124)+F127+F130+SUM(F135:F140)</f>
        <v>1660010.8678231114</v>
      </c>
      <c r="G141" s="1494">
        <f>SUM(G118:G124)+G127+G130+SUM(G135:G140)</f>
        <v>0</v>
      </c>
      <c r="H141" s="1522">
        <f>SUM(H118:H124)+H127+H130+SUM(H135:H140)</f>
        <v>185432.72174611711</v>
      </c>
      <c r="I141" s="1533">
        <f>SUM(I118:I124)+I127+I130+SUM(I135:I140)</f>
        <v>5454838.0596538791</v>
      </c>
      <c r="J141" s="1534">
        <f t="shared" si="54"/>
        <v>5640270.781399996</v>
      </c>
      <c r="K141" s="1494">
        <f>SUM(K118:K124)+K127+K130+SUM(K135:K140)</f>
        <v>0</v>
      </c>
      <c r="L141" s="1522">
        <f>SUM(L118:L124)+L127+L130+SUM(L135:L140)</f>
        <v>0</v>
      </c>
      <c r="M141" s="1523">
        <f>SUM(M118:M124)+M127+M130+SUM(M135:M140)</f>
        <v>458189.45377999998</v>
      </c>
      <c r="N141" s="1494">
        <f t="shared" si="51"/>
        <v>458189.45377999998</v>
      </c>
      <c r="O141" s="704"/>
      <c r="P141" s="705"/>
      <c r="Q141" s="719"/>
      <c r="R141" s="706"/>
      <c r="S141" s="706"/>
      <c r="T141" s="706"/>
      <c r="U141" s="706"/>
      <c r="V141" s="706"/>
      <c r="W141" s="706"/>
      <c r="X141" s="706"/>
      <c r="Y141" s="706"/>
      <c r="Z141" s="706"/>
      <c r="AA141" s="706"/>
      <c r="AB141" s="706"/>
      <c r="AC141" s="706"/>
    </row>
    <row r="142" spans="1:42">
      <c r="A142" s="1483"/>
      <c r="B142" s="1481" t="s">
        <v>294</v>
      </c>
      <c r="C142" s="1346"/>
      <c r="D142" s="1487">
        <f t="shared" si="49"/>
        <v>0</v>
      </c>
      <c r="E142" s="691"/>
      <c r="F142" s="691"/>
      <c r="G142" s="688"/>
      <c r="H142" s="689"/>
      <c r="I142" s="1006"/>
      <c r="J142" s="1531">
        <f t="shared" si="54"/>
        <v>0</v>
      </c>
      <c r="K142" s="688"/>
      <c r="L142" s="693"/>
      <c r="M142" s="694"/>
      <c r="N142" s="1491">
        <f t="shared" si="51"/>
        <v>0</v>
      </c>
      <c r="O142" s="704"/>
      <c r="P142" s="705"/>
      <c r="Q142" s="719"/>
      <c r="R142" s="706"/>
      <c r="S142" s="706"/>
      <c r="T142" s="706"/>
      <c r="U142" s="706"/>
      <c r="V142" s="706"/>
      <c r="W142" s="706"/>
      <c r="X142" s="706"/>
      <c r="Y142" s="706"/>
      <c r="Z142" s="706"/>
      <c r="AA142" s="706"/>
      <c r="AB142" s="706"/>
      <c r="AC142" s="706"/>
    </row>
    <row r="143" spans="1:42">
      <c r="A143" s="2307"/>
      <c r="B143" s="2316" t="s">
        <v>295</v>
      </c>
      <c r="C143" s="2155"/>
      <c r="D143" s="2303">
        <f t="shared" si="49"/>
        <v>0</v>
      </c>
      <c r="E143" s="2330"/>
      <c r="F143" s="2330"/>
      <c r="G143" s="2327"/>
      <c r="H143" s="2323"/>
      <c r="I143" s="2349"/>
      <c r="J143" s="2357">
        <f t="shared" si="54"/>
        <v>0</v>
      </c>
      <c r="K143" s="2327"/>
      <c r="L143" s="2342"/>
      <c r="M143" s="2322"/>
      <c r="N143" s="2305">
        <f t="shared" si="51"/>
        <v>0</v>
      </c>
      <c r="O143" s="704"/>
      <c r="P143" s="705"/>
      <c r="Q143" s="719"/>
      <c r="R143" s="706"/>
      <c r="S143" s="706"/>
      <c r="T143" s="706"/>
      <c r="U143" s="706"/>
      <c r="V143" s="706"/>
      <c r="W143" s="706"/>
      <c r="X143" s="706"/>
      <c r="Y143" s="706"/>
      <c r="Z143" s="706"/>
      <c r="AA143" s="706"/>
      <c r="AB143" s="706"/>
      <c r="AC143" s="706"/>
    </row>
    <row r="144" spans="1:42">
      <c r="A144" s="2307">
        <v>21</v>
      </c>
      <c r="B144" s="2154" t="s">
        <v>296</v>
      </c>
      <c r="C144" s="2161">
        <v>17</v>
      </c>
      <c r="D144" s="2303">
        <f t="shared" si="49"/>
        <v>5168296.2733800001</v>
      </c>
      <c r="E144" s="2330"/>
      <c r="F144" s="2330"/>
      <c r="G144" s="2327"/>
      <c r="H144" s="2323">
        <v>174319</v>
      </c>
      <c r="I144" s="2349">
        <v>4551353.3933800003</v>
      </c>
      <c r="J144" s="2357">
        <f t="shared" si="54"/>
        <v>4725672.3933800003</v>
      </c>
      <c r="K144" s="2327"/>
      <c r="L144" s="2342"/>
      <c r="M144" s="2322">
        <v>442623.88</v>
      </c>
      <c r="N144" s="2305">
        <f t="shared" si="51"/>
        <v>442623.88</v>
      </c>
      <c r="O144" s="704"/>
      <c r="P144" s="705"/>
      <c r="Q144" s="716"/>
      <c r="R144" s="706"/>
      <c r="S144" s="706"/>
      <c r="T144" s="706"/>
      <c r="U144" s="706"/>
      <c r="V144" s="706"/>
      <c r="W144" s="706"/>
      <c r="X144" s="706"/>
      <c r="Y144" s="706"/>
      <c r="Z144" s="706"/>
      <c r="AA144" s="706"/>
      <c r="AB144" s="706"/>
      <c r="AC144" s="706"/>
    </row>
    <row r="145" spans="1:42">
      <c r="A145" s="2307">
        <v>22</v>
      </c>
      <c r="B145" s="2154" t="s">
        <v>297</v>
      </c>
      <c r="C145" s="2155"/>
      <c r="D145" s="2303">
        <f t="shared" si="49"/>
        <v>16484.260999999999</v>
      </c>
      <c r="E145" s="2330"/>
      <c r="F145" s="2330">
        <v>16484.260999999999</v>
      </c>
      <c r="G145" s="2327"/>
      <c r="H145" s="2323"/>
      <c r="I145" s="2349"/>
      <c r="J145" s="2357">
        <f t="shared" si="54"/>
        <v>0</v>
      </c>
      <c r="K145" s="2327"/>
      <c r="L145" s="2342"/>
      <c r="M145" s="2322"/>
      <c r="N145" s="2305">
        <f t="shared" si="51"/>
        <v>0</v>
      </c>
      <c r="O145" s="704"/>
      <c r="P145" s="705"/>
      <c r="Q145" s="719"/>
      <c r="R145" s="706"/>
      <c r="S145" s="706"/>
      <c r="T145" s="706"/>
      <c r="U145" s="706"/>
      <c r="V145" s="706"/>
      <c r="W145" s="706"/>
      <c r="X145" s="706"/>
      <c r="Y145" s="706"/>
      <c r="Z145" s="706"/>
      <c r="AA145" s="706"/>
      <c r="AB145" s="706"/>
      <c r="AC145" s="706"/>
    </row>
    <row r="146" spans="1:42">
      <c r="A146" s="2307">
        <v>23</v>
      </c>
      <c r="B146" s="2154" t="s">
        <v>298</v>
      </c>
      <c r="C146" s="2155">
        <v>18</v>
      </c>
      <c r="D146" s="2303">
        <f t="shared" si="49"/>
        <v>176459.32860000001</v>
      </c>
      <c r="E146" s="2330"/>
      <c r="F146" s="2330">
        <v>163316.39332000003</v>
      </c>
      <c r="G146" s="2327"/>
      <c r="H146" s="2323"/>
      <c r="I146" s="2349"/>
      <c r="J146" s="2357">
        <f t="shared" si="54"/>
        <v>0</v>
      </c>
      <c r="K146" s="2327"/>
      <c r="L146" s="2342"/>
      <c r="M146" s="2322">
        <v>13142.93527999998</v>
      </c>
      <c r="N146" s="2305">
        <f t="shared" si="51"/>
        <v>13142.93527999998</v>
      </c>
      <c r="O146" s="704"/>
      <c r="P146" s="705"/>
      <c r="Q146" s="719"/>
      <c r="R146" s="706"/>
      <c r="S146" s="706"/>
      <c r="T146" s="706"/>
      <c r="U146" s="706"/>
      <c r="V146" s="706"/>
      <c r="W146" s="706"/>
      <c r="X146" s="706"/>
      <c r="Y146" s="706"/>
      <c r="Z146" s="706"/>
      <c r="AA146" s="706"/>
      <c r="AB146" s="706"/>
      <c r="AC146" s="706"/>
    </row>
    <row r="147" spans="1:42">
      <c r="A147" s="2307">
        <v>24</v>
      </c>
      <c r="B147" s="2154" t="s">
        <v>299</v>
      </c>
      <c r="C147" s="2155"/>
      <c r="D147" s="2303">
        <f t="shared" si="49"/>
        <v>76786.4274</v>
      </c>
      <c r="E147" s="2330"/>
      <c r="F147" s="2330"/>
      <c r="G147" s="2327"/>
      <c r="H147" s="2323">
        <v>11113.741</v>
      </c>
      <c r="I147" s="2349">
        <v>65672.686400000006</v>
      </c>
      <c r="J147" s="2357">
        <f t="shared" si="54"/>
        <v>76786.4274</v>
      </c>
      <c r="K147" s="2327"/>
      <c r="L147" s="2342"/>
      <c r="M147" s="2322"/>
      <c r="N147" s="2305">
        <f t="shared" si="51"/>
        <v>0</v>
      </c>
      <c r="O147" s="704"/>
      <c r="P147" s="705"/>
      <c r="Q147" s="719"/>
      <c r="R147" s="706"/>
      <c r="S147" s="706"/>
      <c r="T147" s="706"/>
      <c r="U147" s="706"/>
      <c r="V147" s="706"/>
      <c r="W147" s="706"/>
      <c r="X147" s="706"/>
      <c r="Y147" s="706"/>
      <c r="Z147" s="706"/>
      <c r="AA147" s="706"/>
      <c r="AB147" s="706"/>
      <c r="AC147" s="706"/>
    </row>
    <row r="148" spans="1:42">
      <c r="A148" s="2307">
        <v>25</v>
      </c>
      <c r="B148" s="2176" t="s">
        <v>300</v>
      </c>
      <c r="C148" s="2155"/>
      <c r="D148" s="2303">
        <f t="shared" si="49"/>
        <v>0</v>
      </c>
      <c r="E148" s="2330"/>
      <c r="F148" s="2330"/>
      <c r="G148" s="2327"/>
      <c r="H148" s="2323"/>
      <c r="I148" s="2349"/>
      <c r="J148" s="2357">
        <f t="shared" si="54"/>
        <v>0</v>
      </c>
      <c r="K148" s="2327"/>
      <c r="L148" s="2342"/>
      <c r="M148" s="2322"/>
      <c r="N148" s="2305">
        <f t="shared" si="51"/>
        <v>0</v>
      </c>
      <c r="O148" s="704"/>
      <c r="P148" s="705"/>
      <c r="Q148" s="719"/>
      <c r="R148" s="706"/>
      <c r="S148" s="706"/>
      <c r="T148" s="706"/>
      <c r="U148" s="706"/>
      <c r="V148" s="706"/>
      <c r="W148" s="706"/>
      <c r="X148" s="706"/>
      <c r="Y148" s="706"/>
      <c r="Z148" s="706"/>
      <c r="AA148" s="706"/>
      <c r="AB148" s="706"/>
      <c r="AC148" s="706"/>
    </row>
    <row r="149" spans="1:42" ht="13.5" thickBot="1">
      <c r="A149" s="2314">
        <v>26</v>
      </c>
      <c r="B149" s="2173" t="s">
        <v>301</v>
      </c>
      <c r="C149" s="2177">
        <v>19</v>
      </c>
      <c r="D149" s="1485">
        <f t="shared" si="49"/>
        <v>241305.10597728333</v>
      </c>
      <c r="E149" s="1033"/>
      <c r="F149" s="1033">
        <v>238882.46875500001</v>
      </c>
      <c r="G149" s="1034"/>
      <c r="H149" s="1038">
        <v>0</v>
      </c>
      <c r="I149" s="2363"/>
      <c r="J149" s="2361">
        <f t="shared" si="54"/>
        <v>0</v>
      </c>
      <c r="K149" s="1034"/>
      <c r="L149" s="1038"/>
      <c r="M149" s="2345">
        <v>2422.6372222833097</v>
      </c>
      <c r="N149" s="1489">
        <f t="shared" si="51"/>
        <v>2422.6372222833097</v>
      </c>
      <c r="O149" s="704"/>
      <c r="P149" s="705"/>
      <c r="Q149" s="722"/>
      <c r="R149" s="706"/>
      <c r="S149" s="706"/>
      <c r="T149" s="706"/>
      <c r="U149" s="706"/>
      <c r="V149" s="706"/>
      <c r="W149" s="706"/>
      <c r="X149" s="706"/>
      <c r="Y149" s="706"/>
      <c r="Z149" s="706"/>
      <c r="AA149" s="706"/>
      <c r="AB149" s="706"/>
      <c r="AC149" s="706"/>
    </row>
    <row r="150" spans="1:42" ht="26.25" thickBot="1">
      <c r="A150" s="1482">
        <v>27</v>
      </c>
      <c r="B150" s="1349" t="s">
        <v>302</v>
      </c>
      <c r="C150" s="1348"/>
      <c r="D150" s="1499">
        <f t="shared" si="49"/>
        <v>5679331.3963572839</v>
      </c>
      <c r="E150" s="1019">
        <f>SUM(E144:E149)</f>
        <v>0</v>
      </c>
      <c r="F150" s="1019">
        <f>SUM(F144:F149)</f>
        <v>418683.12307500001</v>
      </c>
      <c r="G150" s="1019">
        <f>SUM(G144:G149)</f>
        <v>0</v>
      </c>
      <c r="H150" s="1039">
        <f>SUM(H144:H149)</f>
        <v>185432.74100000001</v>
      </c>
      <c r="I150" s="1035">
        <f>SUM(I144:I149)</f>
        <v>4617026.0797800003</v>
      </c>
      <c r="J150" s="1530">
        <f>G150+H150+I150</f>
        <v>4802458.8207800006</v>
      </c>
      <c r="K150" s="999">
        <f>SUM(K144:K149)</f>
        <v>0</v>
      </c>
      <c r="L150" s="1039">
        <f>SUM(L144:L149)</f>
        <v>0</v>
      </c>
      <c r="M150" s="1023">
        <f>SUM(M144:M149)</f>
        <v>458189.45250228327</v>
      </c>
      <c r="N150" s="1490">
        <f t="shared" si="51"/>
        <v>458189.45250228327</v>
      </c>
      <c r="O150" s="704"/>
      <c r="P150" s="705"/>
      <c r="Q150" s="719"/>
      <c r="R150" s="706"/>
      <c r="S150" s="706"/>
      <c r="T150" s="706"/>
      <c r="U150" s="706"/>
      <c r="V150" s="706"/>
      <c r="W150" s="706"/>
      <c r="X150" s="706"/>
      <c r="Y150" s="706"/>
      <c r="Z150" s="706"/>
      <c r="AA150" s="706"/>
      <c r="AB150" s="706"/>
      <c r="AC150" s="706"/>
    </row>
    <row r="151" spans="1:42">
      <c r="A151" s="1483"/>
      <c r="B151" s="1481" t="s">
        <v>303</v>
      </c>
      <c r="C151" s="1346">
        <v>20</v>
      </c>
      <c r="D151" s="1487">
        <f t="shared" si="49"/>
        <v>0</v>
      </c>
      <c r="E151" s="691"/>
      <c r="F151" s="691"/>
      <c r="G151" s="688"/>
      <c r="H151" s="689"/>
      <c r="I151" s="692"/>
      <c r="J151" s="1491">
        <f t="shared" ref="J151:J157" si="55">G151+H151+I151</f>
        <v>0</v>
      </c>
      <c r="K151" s="688"/>
      <c r="L151" s="693"/>
      <c r="M151" s="694"/>
      <c r="N151" s="1491">
        <f t="shared" si="51"/>
        <v>0</v>
      </c>
      <c r="O151" s="704"/>
      <c r="P151" s="705"/>
      <c r="Q151" s="719"/>
      <c r="R151" s="706"/>
      <c r="S151" s="706"/>
      <c r="T151" s="706"/>
      <c r="U151" s="706"/>
      <c r="V151" s="706"/>
      <c r="W151" s="706"/>
      <c r="X151" s="706"/>
      <c r="Y151" s="706"/>
      <c r="Z151" s="706"/>
      <c r="AA151" s="706"/>
      <c r="AB151" s="706"/>
      <c r="AC151" s="706"/>
    </row>
    <row r="152" spans="1:42">
      <c r="A152" s="2307">
        <v>28</v>
      </c>
      <c r="B152" s="2302" t="s">
        <v>304</v>
      </c>
      <c r="C152" s="2161"/>
      <c r="D152" s="2303">
        <f t="shared" si="49"/>
        <v>739623.5</v>
      </c>
      <c r="E152" s="2330"/>
      <c r="F152" s="2330">
        <v>739623.5</v>
      </c>
      <c r="G152" s="2327"/>
      <c r="H152" s="2323"/>
      <c r="I152" s="2329"/>
      <c r="J152" s="2305">
        <f t="shared" si="55"/>
        <v>0</v>
      </c>
      <c r="K152" s="2327"/>
      <c r="L152" s="2342"/>
      <c r="M152" s="2322"/>
      <c r="N152" s="2305">
        <f t="shared" si="51"/>
        <v>0</v>
      </c>
      <c r="O152" s="704"/>
      <c r="P152" s="705"/>
      <c r="Q152" s="722"/>
      <c r="R152" s="706"/>
      <c r="S152" s="706"/>
      <c r="T152" s="706"/>
      <c r="U152" s="706"/>
      <c r="V152" s="706"/>
      <c r="W152" s="706"/>
      <c r="X152" s="706"/>
      <c r="Y152" s="706"/>
      <c r="Z152" s="706"/>
      <c r="AA152" s="706"/>
      <c r="AB152" s="706"/>
      <c r="AC152" s="706"/>
    </row>
    <row r="153" spans="1:42">
      <c r="A153" s="2307">
        <v>29</v>
      </c>
      <c r="B153" s="2302" t="s">
        <v>305</v>
      </c>
      <c r="C153" s="2161"/>
      <c r="D153" s="2303">
        <f t="shared" si="49"/>
        <v>603224.61165000009</v>
      </c>
      <c r="E153" s="2330"/>
      <c r="F153" s="2330">
        <v>-234587.34896999999</v>
      </c>
      <c r="G153" s="2327"/>
      <c r="H153" s="2323">
        <v>0</v>
      </c>
      <c r="I153" s="2329">
        <v>837811.96062000003</v>
      </c>
      <c r="J153" s="2305">
        <f t="shared" si="55"/>
        <v>837811.96062000003</v>
      </c>
      <c r="K153" s="2327"/>
      <c r="L153" s="2342"/>
      <c r="M153" s="2322"/>
      <c r="N153" s="2305">
        <f t="shared" si="51"/>
        <v>0</v>
      </c>
      <c r="O153" s="704"/>
      <c r="P153" s="705"/>
      <c r="Q153" s="722"/>
      <c r="R153" s="706"/>
      <c r="S153" s="706"/>
      <c r="T153" s="706"/>
      <c r="U153" s="706"/>
      <c r="V153" s="706"/>
      <c r="W153" s="706"/>
      <c r="X153" s="706"/>
      <c r="Y153" s="706"/>
      <c r="Z153" s="706"/>
      <c r="AA153" s="706"/>
      <c r="AB153" s="706"/>
      <c r="AC153" s="706"/>
    </row>
    <row r="154" spans="1:42">
      <c r="A154" s="2307">
        <v>30</v>
      </c>
      <c r="B154" s="2317" t="s">
        <v>306</v>
      </c>
      <c r="C154" s="2177"/>
      <c r="D154" s="2303">
        <f t="shared" si="49"/>
        <v>0</v>
      </c>
      <c r="E154" s="2330"/>
      <c r="F154" s="1033"/>
      <c r="G154" s="1034"/>
      <c r="H154" s="2359"/>
      <c r="I154" s="2364"/>
      <c r="J154" s="2305">
        <f t="shared" si="55"/>
        <v>0</v>
      </c>
      <c r="K154" s="2327"/>
      <c r="L154" s="2362"/>
      <c r="M154" s="2345"/>
      <c r="N154" s="2305">
        <f t="shared" si="51"/>
        <v>0</v>
      </c>
      <c r="O154" s="704"/>
      <c r="P154" s="705"/>
      <c r="Q154" s="722"/>
      <c r="R154" s="706"/>
      <c r="S154" s="706"/>
      <c r="T154" s="706"/>
      <c r="U154" s="706"/>
      <c r="V154" s="706"/>
      <c r="W154" s="706"/>
      <c r="X154" s="706"/>
      <c r="Y154" s="706"/>
      <c r="Z154" s="706"/>
      <c r="AA154" s="706"/>
      <c r="AB154" s="706"/>
      <c r="AC154" s="706"/>
    </row>
    <row r="155" spans="1:42">
      <c r="A155" s="2307">
        <v>31</v>
      </c>
      <c r="B155" s="2317" t="s">
        <v>307</v>
      </c>
      <c r="C155" s="2177"/>
      <c r="D155" s="2303">
        <f t="shared" si="49"/>
        <v>0</v>
      </c>
      <c r="E155" s="2330"/>
      <c r="F155" s="1033">
        <v>0</v>
      </c>
      <c r="G155" s="1034"/>
      <c r="H155" s="2359"/>
      <c r="I155" s="2364"/>
      <c r="J155" s="2305">
        <f t="shared" si="55"/>
        <v>0</v>
      </c>
      <c r="K155" s="2327"/>
      <c r="L155" s="2362"/>
      <c r="M155" s="2345"/>
      <c r="N155" s="2305">
        <f t="shared" si="51"/>
        <v>0</v>
      </c>
      <c r="O155" s="704"/>
      <c r="P155" s="705"/>
      <c r="Q155" s="722"/>
      <c r="R155" s="706"/>
      <c r="S155" s="706"/>
      <c r="T155" s="706"/>
      <c r="U155" s="706"/>
      <c r="V155" s="706"/>
      <c r="W155" s="706"/>
      <c r="X155" s="706"/>
      <c r="Y155" s="706"/>
      <c r="Z155" s="706"/>
      <c r="AA155" s="706"/>
      <c r="AB155" s="706"/>
      <c r="AC155" s="706"/>
    </row>
    <row r="156" spans="1:42" ht="13.5" thickBot="1">
      <c r="A156" s="2314">
        <v>32</v>
      </c>
      <c r="B156" s="2317" t="s">
        <v>308</v>
      </c>
      <c r="C156" s="2177"/>
      <c r="D156" s="2303">
        <f t="shared" si="49"/>
        <v>736291.0638874165</v>
      </c>
      <c r="E156" s="2330"/>
      <c r="F156" s="1033">
        <v>736291.0638874165</v>
      </c>
      <c r="G156" s="1034"/>
      <c r="H156" s="2359"/>
      <c r="I156" s="2364"/>
      <c r="J156" s="2305">
        <f t="shared" si="55"/>
        <v>0</v>
      </c>
      <c r="K156" s="2327"/>
      <c r="L156" s="2359"/>
      <c r="M156" s="2364"/>
      <c r="N156" s="2305">
        <f t="shared" si="51"/>
        <v>0</v>
      </c>
      <c r="O156" s="704"/>
      <c r="P156" s="705"/>
      <c r="Q156" s="722"/>
      <c r="R156" s="706"/>
      <c r="S156" s="706"/>
      <c r="T156" s="706"/>
      <c r="U156" s="706"/>
      <c r="V156" s="706"/>
      <c r="W156" s="706"/>
      <c r="X156" s="706"/>
      <c r="Y156" s="706"/>
      <c r="Z156" s="706"/>
      <c r="AA156" s="706"/>
      <c r="AB156" s="706"/>
      <c r="AC156" s="706"/>
    </row>
    <row r="157" spans="1:42" s="913" customFormat="1" ht="13.5" thickBot="1">
      <c r="A157" s="1482">
        <v>33</v>
      </c>
      <c r="B157" s="1350" t="s">
        <v>309</v>
      </c>
      <c r="C157" s="1348"/>
      <c r="D157" s="1500">
        <f t="shared" si="49"/>
        <v>2079139.1755374165</v>
      </c>
      <c r="E157" s="1030">
        <f>SUM(E152:E156)</f>
        <v>0</v>
      </c>
      <c r="F157" s="1030">
        <f>SUM(F152:F156)</f>
        <v>1241327.2149174165</v>
      </c>
      <c r="G157" s="1030">
        <f>SUM(G152:G156)</f>
        <v>0</v>
      </c>
      <c r="H157" s="1040">
        <f>SUM(H152:H156)</f>
        <v>0</v>
      </c>
      <c r="I157" s="1041">
        <f>SUM(I152:I156)</f>
        <v>837811.96062000003</v>
      </c>
      <c r="J157" s="1507">
        <f t="shared" si="55"/>
        <v>837811.96062000003</v>
      </c>
      <c r="K157" s="1030">
        <f>SUM(K152:K156)</f>
        <v>0</v>
      </c>
      <c r="L157" s="1040">
        <f>SUM(L152:L156)</f>
        <v>0</v>
      </c>
      <c r="M157" s="1041">
        <f>SUM(M152:M156)</f>
        <v>0</v>
      </c>
      <c r="N157" s="1507">
        <f t="shared" si="51"/>
        <v>0</v>
      </c>
      <c r="O157" s="1024"/>
      <c r="P157" s="1025"/>
      <c r="Q157" s="724"/>
      <c r="R157" s="1027"/>
      <c r="S157" s="1027"/>
      <c r="T157" s="1027"/>
      <c r="U157" s="1027"/>
      <c r="V157" s="1027"/>
      <c r="W157" s="1027"/>
      <c r="X157" s="1027"/>
      <c r="Y157" s="1027"/>
      <c r="Z157" s="1027"/>
      <c r="AA157" s="1027"/>
      <c r="AB157" s="1027"/>
      <c r="AC157" s="1027"/>
      <c r="AE157" s="1028"/>
      <c r="AF157" s="1028"/>
      <c r="AG157" s="1028"/>
      <c r="AH157" s="1028"/>
      <c r="AI157" s="1028"/>
      <c r="AJ157" s="1028"/>
      <c r="AK157" s="1028"/>
      <c r="AL157" s="1028"/>
      <c r="AM157" s="1028"/>
      <c r="AN157" s="1028"/>
      <c r="AO157" s="1028"/>
      <c r="AP157" s="1028"/>
    </row>
    <row r="158" spans="1:42" s="913" customFormat="1" ht="26.25" thickBot="1">
      <c r="A158" s="1493">
        <v>34</v>
      </c>
      <c r="B158" s="1352" t="s">
        <v>310</v>
      </c>
      <c r="C158" s="1351"/>
      <c r="D158" s="1535">
        <f>+E158+F158+J158+N158</f>
        <v>7758470.5718947006</v>
      </c>
      <c r="E158" s="1535">
        <f>E157+E150</f>
        <v>0</v>
      </c>
      <c r="F158" s="1535">
        <f>F157+F150</f>
        <v>1660010.3379924165</v>
      </c>
      <c r="G158" s="1535">
        <f>G157+G150</f>
        <v>0</v>
      </c>
      <c r="H158" s="1535">
        <f>H157+H150</f>
        <v>185432.74100000001</v>
      </c>
      <c r="I158" s="1536">
        <f>I157+I150</f>
        <v>5454838.0404000003</v>
      </c>
      <c r="J158" s="1535">
        <f>G158+H158+I158</f>
        <v>5640270.7814000007</v>
      </c>
      <c r="K158" s="1535">
        <f>K157+K150</f>
        <v>0</v>
      </c>
      <c r="L158" s="1535">
        <f>L157+L150</f>
        <v>0</v>
      </c>
      <c r="M158" s="1536">
        <f>M157+M150</f>
        <v>458189.45250228327</v>
      </c>
      <c r="N158" s="1535">
        <f t="shared" si="51"/>
        <v>458189.45250228327</v>
      </c>
      <c r="O158" s="1024"/>
      <c r="P158" s="1025"/>
      <c r="Q158" s="724"/>
      <c r="R158" s="1027"/>
      <c r="S158" s="1027"/>
      <c r="T158" s="1027"/>
      <c r="U158" s="1027"/>
      <c r="V158" s="1027"/>
      <c r="W158" s="1027"/>
      <c r="X158" s="1027"/>
      <c r="Y158" s="1027"/>
      <c r="Z158" s="1027"/>
      <c r="AA158" s="1027"/>
      <c r="AB158" s="1027"/>
      <c r="AC158" s="1027"/>
      <c r="AE158" s="1028"/>
      <c r="AF158" s="1028"/>
      <c r="AG158" s="1028"/>
      <c r="AH158" s="1028"/>
      <c r="AI158" s="1028"/>
      <c r="AJ158" s="1028"/>
      <c r="AK158" s="1028"/>
      <c r="AL158" s="1028"/>
      <c r="AM158" s="1028"/>
      <c r="AN158" s="1028"/>
      <c r="AO158" s="1028"/>
      <c r="AP158" s="1028"/>
    </row>
    <row r="160" spans="1:42">
      <c r="B160" s="680"/>
      <c r="D160" s="679"/>
      <c r="E160" s="679"/>
      <c r="F160" s="679"/>
      <c r="G160" s="679"/>
      <c r="H160" s="679"/>
      <c r="I160" s="679"/>
      <c r="J160" s="679"/>
      <c r="K160" s="679"/>
      <c r="L160" s="679"/>
      <c r="M160" s="679"/>
      <c r="N160" s="911">
        <v>32</v>
      </c>
      <c r="O160" s="679"/>
    </row>
    <row r="161" spans="1:29">
      <c r="D161" s="679"/>
      <c r="E161" s="679"/>
      <c r="F161" s="679"/>
      <c r="G161" s="679"/>
      <c r="H161" s="679"/>
      <c r="I161" s="679"/>
      <c r="J161" s="679"/>
      <c r="K161" s="679"/>
      <c r="L161" s="679"/>
      <c r="M161" s="679"/>
      <c r="N161" s="679"/>
    </row>
    <row r="162" spans="1:29" ht="13.5" thickBot="1">
      <c r="D162" s="679"/>
      <c r="E162" s="679"/>
      <c r="F162" s="679"/>
      <c r="G162" s="679"/>
      <c r="H162" s="679"/>
      <c r="I162" s="679"/>
      <c r="J162" s="679"/>
      <c r="K162" s="679"/>
      <c r="L162" s="679"/>
      <c r="M162" s="679"/>
      <c r="N162" s="679"/>
    </row>
    <row r="163" spans="1:29" ht="15.75" customHeight="1" thickBot="1">
      <c r="A163" s="1465" t="s">
        <v>180</v>
      </c>
      <c r="B163" s="3521" t="s">
        <v>321</v>
      </c>
      <c r="C163" s="3522"/>
      <c r="D163" s="679"/>
      <c r="E163" s="679"/>
      <c r="F163" s="679"/>
      <c r="G163" s="679"/>
      <c r="H163" s="679"/>
      <c r="I163" s="679"/>
      <c r="J163" s="679"/>
      <c r="K163" s="679"/>
      <c r="L163" s="679"/>
      <c r="M163" s="3538" t="s">
        <v>251</v>
      </c>
      <c r="N163" s="3538"/>
      <c r="O163" s="701"/>
    </row>
    <row r="164" spans="1:29" ht="13.5" customHeight="1" thickBot="1">
      <c r="A164" s="3555" t="s">
        <v>252</v>
      </c>
      <c r="B164" s="1467"/>
      <c r="C164" s="3523" t="s">
        <v>254</v>
      </c>
      <c r="D164" s="3562" t="s">
        <v>255</v>
      </c>
      <c r="E164" s="3562" t="s">
        <v>256</v>
      </c>
      <c r="F164" s="3562" t="s">
        <v>257</v>
      </c>
      <c r="G164" s="3565" t="s">
        <v>258</v>
      </c>
      <c r="H164" s="3566"/>
      <c r="I164" s="3566"/>
      <c r="J164" s="3566"/>
      <c r="K164" s="3566"/>
      <c r="L164" s="3566"/>
      <c r="M164" s="3566"/>
      <c r="N164" s="3567"/>
      <c r="O164" s="702"/>
    </row>
    <row r="165" spans="1:29" ht="12.75" customHeight="1" thickBot="1">
      <c r="A165" s="3556"/>
      <c r="B165" s="1468"/>
      <c r="C165" s="3524"/>
      <c r="D165" s="3563"/>
      <c r="E165" s="3563"/>
      <c r="F165" s="3563"/>
      <c r="G165" s="3529" t="s">
        <v>259</v>
      </c>
      <c r="H165" s="3530"/>
      <c r="I165" s="3530"/>
      <c r="J165" s="3531"/>
      <c r="K165" s="3568" t="s">
        <v>260</v>
      </c>
      <c r="L165" s="3569"/>
      <c r="M165" s="3569"/>
      <c r="N165" s="3570"/>
      <c r="O165" s="458"/>
    </row>
    <row r="166" spans="1:29" ht="39" thickBot="1">
      <c r="A166" s="3556"/>
      <c r="B166" s="1469"/>
      <c r="C166" s="3524"/>
      <c r="D166" s="3564"/>
      <c r="E166" s="3564"/>
      <c r="F166" s="3564"/>
      <c r="G166" s="1336" t="s">
        <v>261</v>
      </c>
      <c r="H166" s="1336" t="s">
        <v>262</v>
      </c>
      <c r="I166" s="1336" t="s">
        <v>263</v>
      </c>
      <c r="J166" s="1336" t="s">
        <v>158</v>
      </c>
      <c r="K166" s="1337" t="s">
        <v>264</v>
      </c>
      <c r="L166" s="1337" t="s">
        <v>265</v>
      </c>
      <c r="M166" s="1338" t="s">
        <v>266</v>
      </c>
      <c r="N166" s="1339" t="s">
        <v>158</v>
      </c>
      <c r="O166" s="443"/>
    </row>
    <row r="167" spans="1:29" ht="13.5" thickBot="1">
      <c r="A167" s="3556"/>
      <c r="B167" s="1468"/>
      <c r="C167" s="3524"/>
      <c r="D167" s="1470">
        <v>1</v>
      </c>
      <c r="E167" s="1471">
        <v>2</v>
      </c>
      <c r="F167" s="1471">
        <v>3</v>
      </c>
      <c r="G167" s="1472">
        <v>4</v>
      </c>
      <c r="H167" s="1471">
        <v>5</v>
      </c>
      <c r="I167" s="1473">
        <v>6</v>
      </c>
      <c r="J167" s="1474">
        <v>7</v>
      </c>
      <c r="K167" s="1472">
        <v>8</v>
      </c>
      <c r="L167" s="1471">
        <v>9</v>
      </c>
      <c r="M167" s="1496">
        <v>10</v>
      </c>
      <c r="N167" s="1470">
        <v>11</v>
      </c>
      <c r="O167" s="702"/>
    </row>
    <row r="168" spans="1:29" ht="13.5" thickBot="1">
      <c r="A168" s="3557"/>
      <c r="B168" s="1475"/>
      <c r="C168" s="3525"/>
      <c r="D168" s="1476"/>
      <c r="E168" s="1476"/>
      <c r="F168" s="1476"/>
      <c r="G168" s="1477"/>
      <c r="H168" s="1476"/>
      <c r="I168" s="1478"/>
      <c r="J168" s="1478" t="s">
        <v>267</v>
      </c>
      <c r="K168" s="1477"/>
      <c r="L168" s="1476"/>
      <c r="M168" s="1968"/>
      <c r="N168" s="1476" t="s">
        <v>268</v>
      </c>
      <c r="O168" s="703"/>
      <c r="P168" s="703"/>
      <c r="Q168" s="703"/>
    </row>
    <row r="169" spans="1:29">
      <c r="A169" s="1483"/>
      <c r="B169" s="1481" t="s">
        <v>269</v>
      </c>
      <c r="C169" s="1346"/>
      <c r="D169" s="1484"/>
      <c r="E169" s="687"/>
      <c r="F169" s="687"/>
      <c r="G169" s="688"/>
      <c r="H169" s="689"/>
      <c r="I169" s="692"/>
      <c r="J169" s="1491"/>
      <c r="K169" s="996"/>
      <c r="L169" s="994"/>
      <c r="M169" s="997"/>
      <c r="N169" s="1539"/>
      <c r="Q169" s="719"/>
      <c r="R169" s="706"/>
    </row>
    <row r="170" spans="1:29">
      <c r="A170" s="2301">
        <v>1</v>
      </c>
      <c r="B170" s="2302" t="s">
        <v>270</v>
      </c>
      <c r="C170" s="2155"/>
      <c r="D170" s="2303">
        <f>+E170+F170+J170+N170</f>
        <v>0</v>
      </c>
      <c r="E170" s="2330"/>
      <c r="F170" s="2330"/>
      <c r="G170" s="2327"/>
      <c r="H170" s="2323"/>
      <c r="I170" s="2329"/>
      <c r="J170" s="2305">
        <f>G170+H170+I170</f>
        <v>0</v>
      </c>
      <c r="K170" s="2304"/>
      <c r="L170" s="2304"/>
      <c r="M170" s="2325"/>
      <c r="N170" s="2324">
        <f>K170+L170+M170</f>
        <v>0</v>
      </c>
      <c r="O170" s="704"/>
      <c r="P170" s="705"/>
      <c r="R170" s="706"/>
      <c r="S170" s="706"/>
      <c r="T170" s="706"/>
      <c r="U170" s="706"/>
      <c r="V170" s="706"/>
      <c r="W170" s="706"/>
      <c r="X170" s="706"/>
      <c r="Y170" s="706"/>
      <c r="Z170" s="706"/>
      <c r="AA170" s="706"/>
      <c r="AB170" s="706"/>
      <c r="AC170" s="706"/>
    </row>
    <row r="171" spans="1:29">
      <c r="A171" s="2301">
        <v>2</v>
      </c>
      <c r="B171" s="2302" t="s">
        <v>271</v>
      </c>
      <c r="C171" s="2155"/>
      <c r="D171" s="2303">
        <f t="shared" ref="D171:D209" si="56">+E171+F171+J171+N171</f>
        <v>18363.194</v>
      </c>
      <c r="E171" s="2330"/>
      <c r="F171" s="2330">
        <v>18363.194</v>
      </c>
      <c r="G171" s="2330"/>
      <c r="H171" s="2321">
        <v>0</v>
      </c>
      <c r="I171" s="2329"/>
      <c r="J171" s="2305">
        <f t="shared" ref="J171:J181" si="57">G171+H171+I171</f>
        <v>0</v>
      </c>
      <c r="K171" s="2304"/>
      <c r="L171" s="2304"/>
      <c r="M171" s="2325"/>
      <c r="N171" s="2324">
        <f t="shared" ref="N171:N210" si="58">K171+L171+M171</f>
        <v>0</v>
      </c>
      <c r="O171" s="704"/>
      <c r="P171" s="705"/>
      <c r="Q171" s="719"/>
      <c r="R171" s="706"/>
      <c r="S171" s="706"/>
      <c r="T171" s="706"/>
      <c r="U171" s="706"/>
      <c r="V171" s="706"/>
      <c r="W171" s="706"/>
      <c r="X171" s="706"/>
      <c r="Y171" s="706"/>
      <c r="Z171" s="706"/>
      <c r="AA171" s="706"/>
      <c r="AB171" s="706"/>
      <c r="AC171" s="706"/>
    </row>
    <row r="172" spans="1:29">
      <c r="A172" s="2301">
        <v>3</v>
      </c>
      <c r="B172" s="2302" t="s">
        <v>272</v>
      </c>
      <c r="C172" s="2155"/>
      <c r="D172" s="2303">
        <f t="shared" si="56"/>
        <v>0</v>
      </c>
      <c r="E172" s="2330"/>
      <c r="F172" s="2330">
        <v>0</v>
      </c>
      <c r="G172" s="2327"/>
      <c r="H172" s="2323">
        <v>0</v>
      </c>
      <c r="I172" s="2329"/>
      <c r="J172" s="2305">
        <f t="shared" si="57"/>
        <v>0</v>
      </c>
      <c r="K172" s="2304"/>
      <c r="L172" s="2304"/>
      <c r="M172" s="2325"/>
      <c r="N172" s="2324">
        <f t="shared" si="58"/>
        <v>0</v>
      </c>
      <c r="O172" s="704"/>
      <c r="P172" s="705"/>
      <c r="Q172" s="719"/>
      <c r="R172" s="706"/>
      <c r="S172" s="706"/>
      <c r="T172" s="706"/>
      <c r="U172" s="706"/>
      <c r="V172" s="706"/>
      <c r="W172" s="706"/>
      <c r="X172" s="706"/>
      <c r="Y172" s="706"/>
      <c r="Z172" s="706"/>
      <c r="AA172" s="706"/>
      <c r="AB172" s="706"/>
      <c r="AC172" s="706"/>
    </row>
    <row r="173" spans="1:29">
      <c r="A173" s="2301">
        <v>4</v>
      </c>
      <c r="B173" s="2302" t="s">
        <v>313</v>
      </c>
      <c r="C173" s="2155"/>
      <c r="D173" s="2303">
        <f t="shared" si="56"/>
        <v>20838.75</v>
      </c>
      <c r="E173" s="2330"/>
      <c r="F173" s="2330">
        <v>20838.75</v>
      </c>
      <c r="G173" s="2327"/>
      <c r="H173" s="2323">
        <v>0</v>
      </c>
      <c r="I173" s="2329"/>
      <c r="J173" s="2305"/>
      <c r="K173" s="2304"/>
      <c r="L173" s="2304"/>
      <c r="M173" s="2325"/>
      <c r="N173" s="2324"/>
      <c r="O173" s="704"/>
      <c r="P173" s="705"/>
      <c r="Q173" s="719"/>
      <c r="R173" s="706"/>
      <c r="S173" s="706"/>
      <c r="T173" s="706"/>
      <c r="U173" s="706"/>
      <c r="V173" s="706"/>
      <c r="W173" s="706"/>
      <c r="X173" s="706"/>
      <c r="Y173" s="706"/>
      <c r="Z173" s="706"/>
      <c r="AA173" s="706"/>
      <c r="AB173" s="706"/>
      <c r="AC173" s="706"/>
    </row>
    <row r="174" spans="1:29">
      <c r="A174" s="2301">
        <v>5</v>
      </c>
      <c r="B174" s="2302" t="s">
        <v>274</v>
      </c>
      <c r="C174" s="2161">
        <v>5</v>
      </c>
      <c r="D174" s="2303">
        <f t="shared" si="56"/>
        <v>15347.229999999996</v>
      </c>
      <c r="E174" s="2330"/>
      <c r="F174" s="2330">
        <v>15347.229999999996</v>
      </c>
      <c r="G174" s="2327">
        <v>0</v>
      </c>
      <c r="H174" s="2323">
        <v>0</v>
      </c>
      <c r="I174" s="2329"/>
      <c r="J174" s="2305">
        <f t="shared" si="57"/>
        <v>0</v>
      </c>
      <c r="K174" s="2304"/>
      <c r="L174" s="2304"/>
      <c r="M174" s="2325"/>
      <c r="N174" s="2324">
        <f t="shared" si="58"/>
        <v>0</v>
      </c>
      <c r="O174" s="704"/>
      <c r="P174" s="705"/>
      <c r="Q174" s="719"/>
      <c r="R174" s="706"/>
      <c r="S174" s="706"/>
      <c r="T174" s="706"/>
      <c r="U174" s="706"/>
      <c r="V174" s="706"/>
      <c r="W174" s="706"/>
      <c r="X174" s="706"/>
      <c r="Y174" s="706"/>
      <c r="Z174" s="706"/>
      <c r="AA174" s="706"/>
      <c r="AB174" s="706"/>
      <c r="AC174" s="706"/>
    </row>
    <row r="175" spans="1:29">
      <c r="A175" s="2301">
        <v>6</v>
      </c>
      <c r="B175" s="2302" t="s">
        <v>275</v>
      </c>
      <c r="C175" s="2155">
        <v>6</v>
      </c>
      <c r="D175" s="2303">
        <f t="shared" si="56"/>
        <v>147500</v>
      </c>
      <c r="E175" s="2330"/>
      <c r="F175" s="2330">
        <v>147500</v>
      </c>
      <c r="G175" s="2327">
        <v>0</v>
      </c>
      <c r="H175" s="2323">
        <v>0</v>
      </c>
      <c r="I175" s="2329"/>
      <c r="J175" s="2305">
        <f t="shared" si="57"/>
        <v>0</v>
      </c>
      <c r="K175" s="2304"/>
      <c r="L175" s="2304"/>
      <c r="M175" s="2325"/>
      <c r="N175" s="2324">
        <f t="shared" si="58"/>
        <v>0</v>
      </c>
      <c r="O175" s="704"/>
      <c r="P175" s="705"/>
      <c r="Q175" s="722"/>
      <c r="R175" s="706"/>
      <c r="S175" s="706"/>
      <c r="T175" s="706"/>
      <c r="U175" s="706"/>
      <c r="V175" s="706"/>
      <c r="W175" s="706"/>
      <c r="X175" s="706"/>
      <c r="Y175" s="706"/>
      <c r="Z175" s="706"/>
      <c r="AA175" s="706"/>
      <c r="AB175" s="706"/>
      <c r="AC175" s="706"/>
    </row>
    <row r="176" spans="1:29">
      <c r="A176" s="2301">
        <v>7</v>
      </c>
      <c r="B176" s="2302" t="s">
        <v>276</v>
      </c>
      <c r="C176" s="2161">
        <v>7</v>
      </c>
      <c r="D176" s="2303">
        <f t="shared" si="56"/>
        <v>0</v>
      </c>
      <c r="E176" s="2330">
        <v>0</v>
      </c>
      <c r="F176" s="2304">
        <f>F177+F178</f>
        <v>0</v>
      </c>
      <c r="G176" s="2304">
        <f t="shared" ref="G176:M176" si="59">G177+G178</f>
        <v>0</v>
      </c>
      <c r="H176" s="2325">
        <f t="shared" si="59"/>
        <v>0</v>
      </c>
      <c r="I176" s="2353">
        <f t="shared" si="59"/>
        <v>0</v>
      </c>
      <c r="J176" s="2305">
        <f t="shared" si="57"/>
        <v>0</v>
      </c>
      <c r="K176" s="2304">
        <f t="shared" si="59"/>
        <v>0</v>
      </c>
      <c r="L176" s="2304">
        <f t="shared" si="59"/>
        <v>0</v>
      </c>
      <c r="M176" s="2325">
        <f t="shared" si="59"/>
        <v>0</v>
      </c>
      <c r="N176" s="2324">
        <f t="shared" si="58"/>
        <v>0</v>
      </c>
      <c r="O176" s="704"/>
      <c r="P176" s="705"/>
      <c r="Q176" s="719"/>
      <c r="R176" s="706"/>
      <c r="S176" s="706"/>
      <c r="T176" s="706"/>
      <c r="U176" s="706"/>
      <c r="V176" s="706"/>
      <c r="W176" s="706"/>
      <c r="X176" s="706"/>
      <c r="Y176" s="706"/>
      <c r="Z176" s="706"/>
      <c r="AA176" s="706"/>
      <c r="AB176" s="706"/>
      <c r="AC176" s="706"/>
    </row>
    <row r="177" spans="1:42">
      <c r="A177" s="2307"/>
      <c r="B177" s="2162" t="s">
        <v>277</v>
      </c>
      <c r="C177" s="2161"/>
      <c r="D177" s="2303">
        <f t="shared" si="56"/>
        <v>0</v>
      </c>
      <c r="E177" s="2330"/>
      <c r="F177" s="2304"/>
      <c r="G177" s="2304"/>
      <c r="H177" s="2325"/>
      <c r="I177" s="2353"/>
      <c r="J177" s="2305">
        <f t="shared" si="57"/>
        <v>0</v>
      </c>
      <c r="K177" s="2304"/>
      <c r="L177" s="2304"/>
      <c r="M177" s="2325"/>
      <c r="N177" s="2324">
        <f t="shared" si="58"/>
        <v>0</v>
      </c>
      <c r="O177" s="704"/>
      <c r="P177" s="705"/>
      <c r="Q177" s="722"/>
      <c r="R177" s="706"/>
      <c r="S177" s="706"/>
      <c r="T177" s="706"/>
      <c r="U177" s="706"/>
      <c r="V177" s="706"/>
      <c r="W177" s="706"/>
      <c r="X177" s="706"/>
      <c r="Y177" s="706"/>
      <c r="Z177" s="706"/>
      <c r="AA177" s="706"/>
      <c r="AB177" s="706"/>
      <c r="AC177" s="706"/>
    </row>
    <row r="178" spans="1:42">
      <c r="A178" s="2307"/>
      <c r="B178" s="2162" t="s">
        <v>278</v>
      </c>
      <c r="C178" s="2161"/>
      <c r="D178" s="2303">
        <f t="shared" si="56"/>
        <v>0</v>
      </c>
      <c r="E178" s="2330"/>
      <c r="F178" s="2304"/>
      <c r="G178" s="2304"/>
      <c r="H178" s="2325"/>
      <c r="I178" s="2353"/>
      <c r="J178" s="2305">
        <f t="shared" si="57"/>
        <v>0</v>
      </c>
      <c r="K178" s="2304"/>
      <c r="L178" s="2304"/>
      <c r="M178" s="2325"/>
      <c r="N178" s="2324">
        <f t="shared" si="58"/>
        <v>0</v>
      </c>
      <c r="O178" s="704"/>
      <c r="P178" s="705"/>
      <c r="Q178" s="722"/>
      <c r="R178" s="706"/>
      <c r="S178" s="706"/>
      <c r="T178" s="706"/>
      <c r="U178" s="706"/>
      <c r="V178" s="706"/>
      <c r="W178" s="706"/>
      <c r="X178" s="706"/>
      <c r="Y178" s="706"/>
      <c r="Z178" s="706"/>
      <c r="AA178" s="706"/>
      <c r="AB178" s="706"/>
      <c r="AC178" s="706"/>
    </row>
    <row r="179" spans="1:42">
      <c r="A179" s="2301">
        <v>8</v>
      </c>
      <c r="B179" s="2302" t="s">
        <v>279</v>
      </c>
      <c r="C179" s="2155">
        <v>8</v>
      </c>
      <c r="D179" s="2303">
        <f t="shared" si="56"/>
        <v>0</v>
      </c>
      <c r="E179" s="2330">
        <v>0</v>
      </c>
      <c r="F179" s="2304">
        <f>F180+F181</f>
        <v>0</v>
      </c>
      <c r="G179" s="2304">
        <f t="shared" ref="G179:M179" si="60">G180+G181</f>
        <v>0</v>
      </c>
      <c r="H179" s="2325">
        <f t="shared" si="60"/>
        <v>0</v>
      </c>
      <c r="I179" s="2353">
        <f t="shared" si="60"/>
        <v>0</v>
      </c>
      <c r="J179" s="2305">
        <f t="shared" si="57"/>
        <v>0</v>
      </c>
      <c r="K179" s="2304">
        <f t="shared" si="60"/>
        <v>0</v>
      </c>
      <c r="L179" s="2304">
        <f t="shared" si="60"/>
        <v>0</v>
      </c>
      <c r="M179" s="2325">
        <f t="shared" si="60"/>
        <v>0</v>
      </c>
      <c r="N179" s="2324">
        <f t="shared" si="58"/>
        <v>0</v>
      </c>
      <c r="O179" s="704"/>
      <c r="P179" s="705"/>
      <c r="Q179" s="722"/>
      <c r="R179" s="706"/>
      <c r="S179" s="706"/>
      <c r="T179" s="706"/>
      <c r="U179" s="706"/>
      <c r="V179" s="706"/>
      <c r="W179" s="706"/>
      <c r="X179" s="706"/>
      <c r="Y179" s="706"/>
      <c r="Z179" s="706"/>
      <c r="AA179" s="706"/>
      <c r="AB179" s="706"/>
      <c r="AC179" s="706"/>
    </row>
    <row r="180" spans="1:42">
      <c r="A180" s="2301"/>
      <c r="B180" s="2162" t="s">
        <v>280</v>
      </c>
      <c r="C180" s="2155"/>
      <c r="D180" s="2303">
        <f t="shared" si="56"/>
        <v>0</v>
      </c>
      <c r="E180" s="2330"/>
      <c r="F180" s="2330"/>
      <c r="G180" s="2327"/>
      <c r="H180" s="2323"/>
      <c r="I180" s="2329"/>
      <c r="J180" s="2305">
        <f t="shared" si="57"/>
        <v>0</v>
      </c>
      <c r="K180" s="2304"/>
      <c r="L180" s="2304"/>
      <c r="M180" s="2325"/>
      <c r="N180" s="2324">
        <f t="shared" si="58"/>
        <v>0</v>
      </c>
      <c r="O180" s="704"/>
      <c r="P180" s="705"/>
      <c r="Q180" s="719"/>
      <c r="R180" s="706"/>
      <c r="S180" s="706"/>
      <c r="T180" s="706"/>
      <c r="U180" s="706"/>
      <c r="V180" s="706"/>
      <c r="W180" s="706"/>
      <c r="X180" s="706"/>
      <c r="Y180" s="706"/>
      <c r="Z180" s="706"/>
      <c r="AA180" s="706"/>
      <c r="AB180" s="706"/>
      <c r="AC180" s="706"/>
    </row>
    <row r="181" spans="1:42">
      <c r="A181" s="2301"/>
      <c r="B181" s="2162" t="s">
        <v>281</v>
      </c>
      <c r="C181" s="2155"/>
      <c r="D181" s="2303">
        <f t="shared" si="56"/>
        <v>0</v>
      </c>
      <c r="E181" s="2330"/>
      <c r="F181" s="2330"/>
      <c r="G181" s="2327"/>
      <c r="H181" s="2323"/>
      <c r="I181" s="2329"/>
      <c r="J181" s="2305">
        <f t="shared" si="57"/>
        <v>0</v>
      </c>
      <c r="K181" s="2304"/>
      <c r="L181" s="2304"/>
      <c r="M181" s="2325"/>
      <c r="N181" s="2324">
        <f t="shared" si="58"/>
        <v>0</v>
      </c>
      <c r="O181" s="704"/>
      <c r="P181" s="705"/>
      <c r="Q181" s="719"/>
      <c r="R181" s="706"/>
      <c r="S181" s="706"/>
      <c r="T181" s="706"/>
      <c r="U181" s="706"/>
      <c r="V181" s="706"/>
      <c r="W181" s="706"/>
      <c r="X181" s="706"/>
      <c r="Y181" s="706"/>
      <c r="Z181" s="706"/>
      <c r="AA181" s="706"/>
      <c r="AB181" s="706"/>
      <c r="AC181" s="706"/>
    </row>
    <row r="182" spans="1:42" s="913" customFormat="1" ht="25.5">
      <c r="A182" s="2308">
        <v>9</v>
      </c>
      <c r="B182" s="2309" t="s">
        <v>282</v>
      </c>
      <c r="C182" s="2165"/>
      <c r="D182" s="2310">
        <f t="shared" si="56"/>
        <v>2762763.6120000007</v>
      </c>
      <c r="E182" s="2311">
        <f>SUM(E183:E186)</f>
        <v>0</v>
      </c>
      <c r="F182" s="2311">
        <f>SUM(F183:F186)</f>
        <v>346755.68500000006</v>
      </c>
      <c r="G182" s="2311">
        <f>SUM(G183:G186)</f>
        <v>0</v>
      </c>
      <c r="H182" s="2365">
        <f>SUM(H183:H186)</f>
        <v>512511.62800000003</v>
      </c>
      <c r="I182" s="2366">
        <f>SUM(I183:I186)</f>
        <v>0</v>
      </c>
      <c r="J182" s="2367">
        <f>G182+H182+I182</f>
        <v>512511.62800000003</v>
      </c>
      <c r="K182" s="2368">
        <f>SUM(K183:K186)</f>
        <v>30767.991000000002</v>
      </c>
      <c r="L182" s="2311">
        <f>SUM(L183:L186)</f>
        <v>0</v>
      </c>
      <c r="M182" s="2333">
        <f>SUM(M183:M186)</f>
        <v>1872728.3080000004</v>
      </c>
      <c r="N182" s="2336">
        <f t="shared" si="58"/>
        <v>1903496.2990000003</v>
      </c>
      <c r="O182" s="1024"/>
      <c r="P182" s="1025"/>
      <c r="Q182" s="724"/>
      <c r="R182" s="1027"/>
      <c r="S182" s="1027"/>
      <c r="T182" s="1027"/>
      <c r="U182" s="1027"/>
      <c r="V182" s="1027"/>
      <c r="W182" s="1027"/>
      <c r="X182" s="1027"/>
      <c r="Y182" s="1027"/>
      <c r="Z182" s="1027"/>
      <c r="AA182" s="1027"/>
      <c r="AB182" s="1027"/>
      <c r="AC182" s="1027"/>
      <c r="AE182" s="1028"/>
      <c r="AF182" s="1028"/>
      <c r="AG182" s="1028"/>
      <c r="AH182" s="1028"/>
      <c r="AI182" s="1028"/>
      <c r="AJ182" s="1028"/>
      <c r="AK182" s="1028"/>
      <c r="AL182" s="1028"/>
      <c r="AM182" s="1028"/>
      <c r="AN182" s="1028"/>
      <c r="AO182" s="1028"/>
      <c r="AP182" s="1028"/>
    </row>
    <row r="183" spans="1:42">
      <c r="A183" s="2307">
        <v>10</v>
      </c>
      <c r="B183" s="2171" t="s">
        <v>283</v>
      </c>
      <c r="C183" s="2155">
        <v>9</v>
      </c>
      <c r="D183" s="2303">
        <f t="shared" si="56"/>
        <v>0</v>
      </c>
      <c r="E183" s="2330">
        <v>0</v>
      </c>
      <c r="F183" s="2330">
        <v>0</v>
      </c>
      <c r="G183" s="2330">
        <v>0</v>
      </c>
      <c r="H183" s="2369">
        <v>0</v>
      </c>
      <c r="I183" s="2370"/>
      <c r="J183" s="2371">
        <f t="shared" ref="J183:J200" si="61">G183+H183+I183</f>
        <v>0</v>
      </c>
      <c r="K183" s="2372">
        <v>0</v>
      </c>
      <c r="L183" s="2327">
        <v>0</v>
      </c>
      <c r="M183" s="2373">
        <v>0</v>
      </c>
      <c r="N183" s="2324">
        <f t="shared" si="58"/>
        <v>0</v>
      </c>
      <c r="O183" s="704"/>
      <c r="P183" s="705"/>
      <c r="Q183" s="722"/>
      <c r="R183" s="706"/>
      <c r="S183" s="706"/>
      <c r="T183" s="706"/>
      <c r="U183" s="706"/>
      <c r="V183" s="706"/>
      <c r="W183" s="706"/>
      <c r="X183" s="706"/>
      <c r="Y183" s="706"/>
      <c r="Z183" s="706"/>
      <c r="AA183" s="706"/>
      <c r="AB183" s="706"/>
      <c r="AC183" s="706"/>
    </row>
    <row r="184" spans="1:42">
      <c r="A184" s="2307">
        <v>11</v>
      </c>
      <c r="B184" s="2171" t="s">
        <v>284</v>
      </c>
      <c r="C184" s="2155">
        <v>10</v>
      </c>
      <c r="D184" s="2303">
        <f t="shared" si="56"/>
        <v>2523403.6160000004</v>
      </c>
      <c r="E184" s="2330">
        <v>0</v>
      </c>
      <c r="F184" s="2330">
        <v>314072.28500000003</v>
      </c>
      <c r="G184" s="2330">
        <v>0</v>
      </c>
      <c r="H184" s="2369">
        <v>423238.01700000005</v>
      </c>
      <c r="I184" s="2374"/>
      <c r="J184" s="2371">
        <f t="shared" si="61"/>
        <v>423238.01700000005</v>
      </c>
      <c r="K184" s="2372">
        <v>30767.991000000002</v>
      </c>
      <c r="L184" s="2327">
        <v>0</v>
      </c>
      <c r="M184" s="2373">
        <v>1755325.3230000003</v>
      </c>
      <c r="N184" s="2324">
        <f t="shared" si="58"/>
        <v>1786093.3140000002</v>
      </c>
      <c r="O184" s="704"/>
      <c r="P184" s="705"/>
      <c r="Q184" s="719"/>
      <c r="R184" s="706"/>
      <c r="S184" s="706"/>
      <c r="T184" s="706"/>
      <c r="U184" s="706"/>
      <c r="V184" s="706"/>
      <c r="W184" s="706"/>
      <c r="X184" s="706"/>
      <c r="Y184" s="706"/>
      <c r="Z184" s="706"/>
      <c r="AA184" s="706"/>
      <c r="AB184" s="706"/>
      <c r="AC184" s="706"/>
    </row>
    <row r="185" spans="1:42">
      <c r="A185" s="2307">
        <v>12</v>
      </c>
      <c r="B185" s="2171" t="s">
        <v>285</v>
      </c>
      <c r="C185" s="2155">
        <v>11</v>
      </c>
      <c r="D185" s="2303">
        <f t="shared" si="56"/>
        <v>157279.95699999999</v>
      </c>
      <c r="E185" s="2330">
        <v>0</v>
      </c>
      <c r="F185" s="2330">
        <v>32683.4</v>
      </c>
      <c r="G185" s="2330">
        <v>0</v>
      </c>
      <c r="H185" s="2369">
        <v>89273.611000000004</v>
      </c>
      <c r="I185" s="2374"/>
      <c r="J185" s="2371">
        <f t="shared" si="61"/>
        <v>89273.611000000004</v>
      </c>
      <c r="K185" s="2372">
        <v>0</v>
      </c>
      <c r="L185" s="2327">
        <v>0</v>
      </c>
      <c r="M185" s="2373">
        <v>35322.945999999996</v>
      </c>
      <c r="N185" s="2324">
        <f t="shared" si="58"/>
        <v>35322.945999999996</v>
      </c>
      <c r="O185" s="704"/>
      <c r="P185" s="705"/>
      <c r="Q185" s="719"/>
      <c r="R185" s="706"/>
      <c r="S185" s="706"/>
      <c r="T185" s="706"/>
      <c r="U185" s="706"/>
      <c r="V185" s="706"/>
      <c r="W185" s="706"/>
      <c r="X185" s="706"/>
      <c r="Y185" s="706"/>
      <c r="Z185" s="706"/>
      <c r="AA185" s="706"/>
      <c r="AB185" s="706"/>
      <c r="AC185" s="706"/>
    </row>
    <row r="186" spans="1:42" ht="25.5">
      <c r="A186" s="2307">
        <v>13</v>
      </c>
      <c r="B186" s="2171" t="s">
        <v>286</v>
      </c>
      <c r="C186" s="2155">
        <v>12</v>
      </c>
      <c r="D186" s="2303">
        <f t="shared" si="56"/>
        <v>82080.039000000004</v>
      </c>
      <c r="E186" s="2330">
        <v>0</v>
      </c>
      <c r="F186" s="2330">
        <v>0</v>
      </c>
      <c r="G186" s="2330">
        <v>0</v>
      </c>
      <c r="H186" s="2369">
        <v>0</v>
      </c>
      <c r="I186" s="2374"/>
      <c r="J186" s="2371">
        <f t="shared" si="61"/>
        <v>0</v>
      </c>
      <c r="K186" s="2372">
        <v>0</v>
      </c>
      <c r="L186" s="2327">
        <v>0</v>
      </c>
      <c r="M186" s="2373">
        <v>82080.039000000004</v>
      </c>
      <c r="N186" s="2324">
        <f t="shared" si="58"/>
        <v>82080.039000000004</v>
      </c>
      <c r="O186" s="704"/>
      <c r="P186" s="705"/>
      <c r="Q186" s="719"/>
      <c r="R186" s="706"/>
      <c r="S186" s="706"/>
      <c r="T186" s="706"/>
      <c r="U186" s="706"/>
      <c r="V186" s="706"/>
      <c r="W186" s="706"/>
      <c r="X186" s="706"/>
      <c r="Y186" s="706"/>
      <c r="Z186" s="706"/>
      <c r="AA186" s="706"/>
      <c r="AB186" s="706"/>
      <c r="AC186" s="706"/>
    </row>
    <row r="187" spans="1:42">
      <c r="A187" s="2307">
        <v>14</v>
      </c>
      <c r="B187" s="2154" t="s">
        <v>287</v>
      </c>
      <c r="C187" s="2155">
        <v>13</v>
      </c>
      <c r="D187" s="2303">
        <f t="shared" si="56"/>
        <v>0</v>
      </c>
      <c r="E187" s="2330">
        <v>0</v>
      </c>
      <c r="F187" s="2330">
        <v>0</v>
      </c>
      <c r="G187" s="2330">
        <v>0</v>
      </c>
      <c r="H187" s="2369">
        <v>0</v>
      </c>
      <c r="I187" s="2370"/>
      <c r="J187" s="2371">
        <f t="shared" si="61"/>
        <v>0</v>
      </c>
      <c r="K187" s="2372">
        <v>0</v>
      </c>
      <c r="L187" s="2327">
        <v>0</v>
      </c>
      <c r="M187" s="2373">
        <v>0</v>
      </c>
      <c r="N187" s="2324">
        <f t="shared" si="58"/>
        <v>0</v>
      </c>
      <c r="O187" s="704"/>
      <c r="P187" s="705"/>
      <c r="Q187" s="719"/>
      <c r="R187" s="706"/>
      <c r="S187" s="706"/>
      <c r="T187" s="706"/>
      <c r="U187" s="706"/>
      <c r="V187" s="706"/>
      <c r="W187" s="706"/>
      <c r="X187" s="706"/>
      <c r="Y187" s="706"/>
      <c r="Z187" s="706"/>
      <c r="AA187" s="706"/>
      <c r="AB187" s="706"/>
      <c r="AC187" s="706"/>
    </row>
    <row r="188" spans="1:42">
      <c r="A188" s="2307">
        <v>15</v>
      </c>
      <c r="B188" s="2154" t="s">
        <v>288</v>
      </c>
      <c r="C188" s="2161">
        <v>14</v>
      </c>
      <c r="D188" s="2303">
        <f t="shared" si="56"/>
        <v>11449.309000000001</v>
      </c>
      <c r="E188" s="2330">
        <v>0</v>
      </c>
      <c r="F188" s="2330">
        <v>0</v>
      </c>
      <c r="G188" s="2330">
        <v>0</v>
      </c>
      <c r="H188" s="2369">
        <v>5548.0000000000009</v>
      </c>
      <c r="I188" s="2370"/>
      <c r="J188" s="2371">
        <f t="shared" si="61"/>
        <v>5548.0000000000009</v>
      </c>
      <c r="K188" s="2372">
        <v>5901.3090000000002</v>
      </c>
      <c r="L188" s="2327">
        <v>0</v>
      </c>
      <c r="M188" s="2373">
        <v>0</v>
      </c>
      <c r="N188" s="2324">
        <f t="shared" si="58"/>
        <v>5901.3090000000002</v>
      </c>
      <c r="O188" s="704"/>
      <c r="P188" s="705"/>
      <c r="Q188" s="719"/>
      <c r="R188" s="706"/>
      <c r="S188" s="706"/>
      <c r="T188" s="706"/>
      <c r="U188" s="706"/>
      <c r="V188" s="706"/>
      <c r="W188" s="706"/>
      <c r="X188" s="706"/>
      <c r="Y188" s="706"/>
      <c r="Z188" s="706"/>
      <c r="AA188" s="706"/>
      <c r="AB188" s="706"/>
      <c r="AC188" s="706"/>
    </row>
    <row r="189" spans="1:42">
      <c r="A189" s="2307">
        <v>16</v>
      </c>
      <c r="B189" s="2154" t="s">
        <v>289</v>
      </c>
      <c r="C189" s="2155">
        <v>15</v>
      </c>
      <c r="D189" s="2303">
        <f t="shared" si="56"/>
        <v>37119.107000000004</v>
      </c>
      <c r="E189" s="2330">
        <v>0</v>
      </c>
      <c r="F189" s="2330">
        <v>0</v>
      </c>
      <c r="G189" s="2330">
        <v>0</v>
      </c>
      <c r="H189" s="2369">
        <v>12671.397000000001</v>
      </c>
      <c r="I189" s="2370"/>
      <c r="J189" s="2371">
        <f t="shared" si="61"/>
        <v>12671.397000000001</v>
      </c>
      <c r="K189" s="2372">
        <v>4689.6710000000003</v>
      </c>
      <c r="L189" s="2327">
        <v>0</v>
      </c>
      <c r="M189" s="2373">
        <v>19758.039000000001</v>
      </c>
      <c r="N189" s="2324">
        <f t="shared" si="58"/>
        <v>24447.71</v>
      </c>
      <c r="O189" s="704"/>
      <c r="P189" s="705"/>
      <c r="Q189" s="722"/>
      <c r="R189" s="706"/>
      <c r="S189" s="706"/>
      <c r="T189" s="706"/>
      <c r="U189" s="706"/>
      <c r="V189" s="706"/>
      <c r="W189" s="706"/>
      <c r="X189" s="706"/>
      <c r="Y189" s="706"/>
      <c r="Z189" s="706"/>
      <c r="AA189" s="706"/>
      <c r="AB189" s="706"/>
      <c r="AC189" s="706"/>
    </row>
    <row r="190" spans="1:42">
      <c r="A190" s="2307">
        <v>17</v>
      </c>
      <c r="B190" s="2154" t="s">
        <v>290</v>
      </c>
      <c r="C190" s="2161">
        <v>16</v>
      </c>
      <c r="D190" s="2303">
        <f t="shared" si="56"/>
        <v>39847.67</v>
      </c>
      <c r="E190" s="2330">
        <v>-62407.286</v>
      </c>
      <c r="F190" s="2330">
        <v>38311.828999999998</v>
      </c>
      <c r="G190" s="2330">
        <v>0</v>
      </c>
      <c r="H190" s="2369">
        <v>1535.8409999999999</v>
      </c>
      <c r="I190" s="2374"/>
      <c r="J190" s="2371">
        <f t="shared" si="61"/>
        <v>1535.8409999999999</v>
      </c>
      <c r="K190" s="2372">
        <v>16367.254000000001</v>
      </c>
      <c r="L190" s="2327">
        <v>0</v>
      </c>
      <c r="M190" s="2373">
        <v>46040.031999999999</v>
      </c>
      <c r="N190" s="2324">
        <f t="shared" si="58"/>
        <v>62407.286</v>
      </c>
      <c r="O190" s="704"/>
      <c r="P190" s="705"/>
      <c r="Q190" s="719"/>
      <c r="R190" s="706"/>
      <c r="S190" s="706"/>
      <c r="T190" s="706"/>
      <c r="U190" s="706"/>
      <c r="V190" s="706"/>
      <c r="W190" s="706"/>
      <c r="X190" s="706"/>
      <c r="Y190" s="706"/>
      <c r="Z190" s="706"/>
      <c r="AA190" s="706"/>
      <c r="AB190" s="706"/>
      <c r="AC190" s="706"/>
    </row>
    <row r="191" spans="1:42">
      <c r="A191" s="2307">
        <v>18</v>
      </c>
      <c r="B191" s="2154" t="s">
        <v>291</v>
      </c>
      <c r="C191" s="2155"/>
      <c r="D191" s="2303">
        <f t="shared" si="56"/>
        <v>0</v>
      </c>
      <c r="E191" s="2330">
        <v>0</v>
      </c>
      <c r="F191" s="2330">
        <v>0</v>
      </c>
      <c r="G191" s="2330">
        <v>0</v>
      </c>
      <c r="H191" s="2369">
        <v>0</v>
      </c>
      <c r="I191" s="2370"/>
      <c r="J191" s="2371">
        <f>G191+H191+I191</f>
        <v>0</v>
      </c>
      <c r="K191" s="2372">
        <v>0</v>
      </c>
      <c r="L191" s="2327">
        <v>0</v>
      </c>
      <c r="M191" s="2373">
        <v>0</v>
      </c>
      <c r="N191" s="2324">
        <f t="shared" si="58"/>
        <v>0</v>
      </c>
      <c r="O191" s="704"/>
      <c r="P191" s="705"/>
      <c r="Q191" s="722"/>
      <c r="R191" s="706"/>
      <c r="S191" s="706"/>
      <c r="T191" s="706"/>
      <c r="U191" s="706"/>
      <c r="V191" s="706"/>
      <c r="W191" s="706"/>
      <c r="X191" s="706"/>
      <c r="Y191" s="706"/>
      <c r="Z191" s="706"/>
      <c r="AA191" s="706"/>
      <c r="AB191" s="706"/>
      <c r="AC191" s="706"/>
    </row>
    <row r="192" spans="1:42" ht="13.5" thickBot="1">
      <c r="A192" s="2314">
        <v>19</v>
      </c>
      <c r="B192" s="2173" t="s">
        <v>292</v>
      </c>
      <c r="C192" s="2172"/>
      <c r="D192" s="1485">
        <f>+E192+F192+J192+N192</f>
        <v>45993.501000000004</v>
      </c>
      <c r="E192" s="1033">
        <v>0</v>
      </c>
      <c r="F192" s="1033">
        <v>4395.9989999999998</v>
      </c>
      <c r="G192" s="1033">
        <v>0</v>
      </c>
      <c r="H192" s="1044">
        <v>35230.366000000002</v>
      </c>
      <c r="I192" s="2375"/>
      <c r="J192" s="1538">
        <f>G192+H192+I192</f>
        <v>35230.366000000002</v>
      </c>
      <c r="K192" s="1045">
        <v>0</v>
      </c>
      <c r="L192" s="1034">
        <v>0</v>
      </c>
      <c r="M192" s="1051">
        <v>6367.1359999999995</v>
      </c>
      <c r="N192" s="2376">
        <f t="shared" si="58"/>
        <v>6367.1359999999995</v>
      </c>
      <c r="O192" s="704"/>
      <c r="P192" s="705"/>
      <c r="Q192" s="719"/>
      <c r="R192" s="706"/>
      <c r="S192" s="706"/>
      <c r="T192" s="706"/>
      <c r="U192" s="706"/>
      <c r="V192" s="706"/>
      <c r="W192" s="706"/>
      <c r="X192" s="706"/>
      <c r="Y192" s="706"/>
      <c r="Z192" s="706"/>
      <c r="AA192" s="706"/>
      <c r="AB192" s="706"/>
      <c r="AC192" s="706"/>
    </row>
    <row r="193" spans="1:29" ht="26.25" thickBot="1">
      <c r="A193" s="1493">
        <v>20</v>
      </c>
      <c r="B193" s="1352" t="s">
        <v>293</v>
      </c>
      <c r="C193" s="1351"/>
      <c r="D193" s="1494">
        <f t="shared" si="56"/>
        <v>3099222.3730000006</v>
      </c>
      <c r="E193" s="1494">
        <f>SUM(E170:E176)+E179+E182+SUM(E187:E192)</f>
        <v>-62407.286</v>
      </c>
      <c r="F193" s="1494">
        <f>SUM(F170:F176)+F179+F182+SUM(F187:F192)</f>
        <v>591512.68700000003</v>
      </c>
      <c r="G193" s="1494">
        <f>SUM(G170:G176)+G179+G182+SUM(G187:G192)</f>
        <v>0</v>
      </c>
      <c r="H193" s="1540">
        <f>SUM(H170:H176)+H179+H182+SUM(H187:H192)</f>
        <v>567497.23200000008</v>
      </c>
      <c r="I193" s="1534">
        <f>SUM(I170:I176)+I179+I182+SUM(I187:I192)</f>
        <v>0</v>
      </c>
      <c r="J193" s="1541">
        <f t="shared" si="61"/>
        <v>567497.23200000008</v>
      </c>
      <c r="K193" s="1541">
        <f>SUM(K170:K176)+K179+K182+SUM(K187:K192)</f>
        <v>57726.225000000006</v>
      </c>
      <c r="L193" s="1522">
        <f>SUM(L170:L176)+L179+L182+SUM(L187:L192)</f>
        <v>0</v>
      </c>
      <c r="M193" s="1533">
        <f>SUM(M170:M176)+M179+M182+SUM(M187:M192)</f>
        <v>1944893.5150000004</v>
      </c>
      <c r="N193" s="1495">
        <f t="shared" si="58"/>
        <v>2002619.7400000005</v>
      </c>
      <c r="O193" s="704"/>
      <c r="P193" s="705"/>
      <c r="Q193" s="719"/>
      <c r="R193" s="706"/>
      <c r="S193" s="706"/>
      <c r="T193" s="706"/>
      <c r="U193" s="706"/>
      <c r="V193" s="706"/>
      <c r="W193" s="706"/>
      <c r="X193" s="706"/>
      <c r="Y193" s="706"/>
      <c r="Z193" s="706"/>
      <c r="AA193" s="706"/>
      <c r="AB193" s="706"/>
      <c r="AC193" s="706"/>
    </row>
    <row r="194" spans="1:29">
      <c r="A194" s="1483"/>
      <c r="B194" s="1481" t="s">
        <v>294</v>
      </c>
      <c r="C194" s="1346"/>
      <c r="D194" s="1487">
        <f t="shared" si="56"/>
        <v>0</v>
      </c>
      <c r="E194" s="691"/>
      <c r="F194" s="691"/>
      <c r="G194" s="688"/>
      <c r="H194" s="1047"/>
      <c r="I194" s="1048"/>
      <c r="J194" s="1503">
        <f t="shared" si="61"/>
        <v>0</v>
      </c>
      <c r="K194" s="1049"/>
      <c r="L194" s="693"/>
      <c r="M194" s="1052"/>
      <c r="N194" s="1488">
        <f t="shared" si="58"/>
        <v>0</v>
      </c>
      <c r="O194" s="704"/>
      <c r="P194" s="705"/>
      <c r="Q194" s="719"/>
      <c r="R194" s="706"/>
      <c r="S194" s="706"/>
      <c r="T194" s="706"/>
      <c r="U194" s="706"/>
      <c r="V194" s="706"/>
      <c r="W194" s="706"/>
      <c r="X194" s="706"/>
      <c r="Y194" s="706"/>
      <c r="Z194" s="706"/>
      <c r="AA194" s="706"/>
      <c r="AB194" s="706"/>
      <c r="AC194" s="706"/>
    </row>
    <row r="195" spans="1:29">
      <c r="A195" s="2307"/>
      <c r="B195" s="2316" t="s">
        <v>295</v>
      </c>
      <c r="C195" s="2155"/>
      <c r="D195" s="2303">
        <f t="shared" si="56"/>
        <v>0</v>
      </c>
      <c r="E195" s="2330"/>
      <c r="F195" s="2330"/>
      <c r="G195" s="2327"/>
      <c r="H195" s="2377"/>
      <c r="I195" s="2370"/>
      <c r="J195" s="2371">
        <f t="shared" si="61"/>
        <v>0</v>
      </c>
      <c r="K195" s="2372"/>
      <c r="L195" s="2342"/>
      <c r="M195" s="2378"/>
      <c r="N195" s="2324">
        <f t="shared" si="58"/>
        <v>0</v>
      </c>
      <c r="O195" s="704"/>
      <c r="P195" s="705"/>
      <c r="Q195" s="719"/>
      <c r="R195" s="706"/>
      <c r="S195" s="706"/>
      <c r="T195" s="706"/>
      <c r="U195" s="706"/>
      <c r="V195" s="706"/>
      <c r="W195" s="706"/>
      <c r="X195" s="706"/>
      <c r="Y195" s="706"/>
      <c r="Z195" s="706"/>
      <c r="AA195" s="706"/>
      <c r="AB195" s="706"/>
      <c r="AC195" s="706"/>
    </row>
    <row r="196" spans="1:29">
      <c r="A196" s="2307">
        <v>21</v>
      </c>
      <c r="B196" s="2154" t="s">
        <v>296</v>
      </c>
      <c r="C196" s="2161">
        <v>17</v>
      </c>
      <c r="D196" s="2303">
        <f t="shared" si="56"/>
        <v>2358888.27</v>
      </c>
      <c r="E196" s="2330">
        <v>0</v>
      </c>
      <c r="F196" s="2330">
        <v>0</v>
      </c>
      <c r="G196" s="2330">
        <v>0</v>
      </c>
      <c r="H196" s="2369">
        <v>445781.71</v>
      </c>
      <c r="I196" s="2370"/>
      <c r="J196" s="2371">
        <f t="shared" si="61"/>
        <v>445781.71</v>
      </c>
      <c r="K196" s="2379">
        <v>20542.226999999999</v>
      </c>
      <c r="L196" s="2380">
        <v>0</v>
      </c>
      <c r="M196" s="2381">
        <v>1892564.3330000001</v>
      </c>
      <c r="N196" s="2324">
        <f t="shared" si="58"/>
        <v>1913106.56</v>
      </c>
      <c r="O196" s="704"/>
      <c r="P196" s="705"/>
      <c r="Q196" s="719"/>
      <c r="R196" s="706"/>
      <c r="S196" s="706"/>
      <c r="T196" s="706"/>
      <c r="U196" s="706"/>
      <c r="V196" s="706"/>
      <c r="W196" s="706"/>
      <c r="X196" s="706"/>
      <c r="Y196" s="706"/>
      <c r="Z196" s="706"/>
      <c r="AA196" s="706"/>
      <c r="AB196" s="706"/>
      <c r="AC196" s="706"/>
    </row>
    <row r="197" spans="1:29">
      <c r="A197" s="2307">
        <v>22</v>
      </c>
      <c r="B197" s="2154" t="s">
        <v>297</v>
      </c>
      <c r="C197" s="2155"/>
      <c r="D197" s="2303">
        <f t="shared" si="56"/>
        <v>11710.758</v>
      </c>
      <c r="E197" s="2330">
        <v>0</v>
      </c>
      <c r="F197" s="2330">
        <v>11710.758</v>
      </c>
      <c r="G197" s="2330">
        <v>0</v>
      </c>
      <c r="H197" s="2369">
        <v>0</v>
      </c>
      <c r="I197" s="2370"/>
      <c r="J197" s="2371">
        <f t="shared" si="61"/>
        <v>0</v>
      </c>
      <c r="K197" s="2379">
        <v>0</v>
      </c>
      <c r="L197" s="2380">
        <v>0</v>
      </c>
      <c r="M197" s="2381">
        <v>0</v>
      </c>
      <c r="N197" s="2324">
        <f t="shared" si="58"/>
        <v>0</v>
      </c>
      <c r="O197" s="704"/>
      <c r="P197" s="705"/>
      <c r="Q197" s="722"/>
      <c r="R197" s="706"/>
      <c r="S197" s="706"/>
      <c r="T197" s="706"/>
      <c r="U197" s="706"/>
      <c r="V197" s="706"/>
      <c r="W197" s="706"/>
      <c r="X197" s="706"/>
      <c r="Y197" s="706"/>
      <c r="Z197" s="706"/>
      <c r="AA197" s="706"/>
      <c r="AB197" s="706"/>
      <c r="AC197" s="706"/>
    </row>
    <row r="198" spans="1:29">
      <c r="A198" s="2307">
        <v>23</v>
      </c>
      <c r="B198" s="2154" t="s">
        <v>298</v>
      </c>
      <c r="C198" s="2155">
        <v>18</v>
      </c>
      <c r="D198" s="2303">
        <f t="shared" si="56"/>
        <v>60509.324999999997</v>
      </c>
      <c r="E198" s="2330">
        <v>0</v>
      </c>
      <c r="F198" s="2330">
        <v>0</v>
      </c>
      <c r="G198" s="2330">
        <v>0</v>
      </c>
      <c r="H198" s="2369">
        <v>35373.751999999993</v>
      </c>
      <c r="I198" s="2370"/>
      <c r="J198" s="2371">
        <f t="shared" si="61"/>
        <v>35373.751999999993</v>
      </c>
      <c r="K198" s="2379">
        <v>25135.573</v>
      </c>
      <c r="L198" s="2380">
        <v>0</v>
      </c>
      <c r="M198" s="2381">
        <v>0</v>
      </c>
      <c r="N198" s="2324">
        <f t="shared" si="58"/>
        <v>25135.573</v>
      </c>
      <c r="O198" s="704"/>
      <c r="P198" s="705"/>
      <c r="Q198" s="719"/>
      <c r="R198" s="706"/>
      <c r="S198" s="706"/>
      <c r="T198" s="706"/>
      <c r="U198" s="706"/>
      <c r="V198" s="706"/>
      <c r="W198" s="706"/>
      <c r="X198" s="706"/>
      <c r="Y198" s="706"/>
      <c r="Z198" s="706"/>
      <c r="AA198" s="706"/>
      <c r="AB198" s="706"/>
      <c r="AC198" s="706"/>
    </row>
    <row r="199" spans="1:29">
      <c r="A199" s="2307">
        <v>24</v>
      </c>
      <c r="B199" s="2154" t="s">
        <v>299</v>
      </c>
      <c r="C199" s="2155"/>
      <c r="D199" s="2303">
        <f t="shared" si="56"/>
        <v>0</v>
      </c>
      <c r="E199" s="2330">
        <v>0</v>
      </c>
      <c r="F199" s="2330">
        <v>0</v>
      </c>
      <c r="G199" s="2330">
        <v>0</v>
      </c>
      <c r="H199" s="2369">
        <v>0</v>
      </c>
      <c r="I199" s="2370"/>
      <c r="J199" s="2371">
        <f t="shared" si="61"/>
        <v>0</v>
      </c>
      <c r="K199" s="2379">
        <v>0</v>
      </c>
      <c r="L199" s="2380">
        <v>0</v>
      </c>
      <c r="M199" s="2381">
        <v>0</v>
      </c>
      <c r="N199" s="2324">
        <f t="shared" si="58"/>
        <v>0</v>
      </c>
      <c r="O199" s="704"/>
      <c r="P199" s="705"/>
      <c r="Q199" s="719"/>
      <c r="R199" s="706"/>
      <c r="S199" s="706"/>
      <c r="T199" s="706"/>
      <c r="U199" s="706"/>
      <c r="V199" s="706"/>
      <c r="W199" s="706"/>
      <c r="X199" s="706"/>
      <c r="Y199" s="706"/>
      <c r="Z199" s="706"/>
      <c r="AA199" s="706"/>
      <c r="AB199" s="706"/>
      <c r="AC199" s="706"/>
    </row>
    <row r="200" spans="1:29">
      <c r="A200" s="2307">
        <v>25</v>
      </c>
      <c r="B200" s="2176" t="s">
        <v>300</v>
      </c>
      <c r="C200" s="2155"/>
      <c r="D200" s="2303">
        <f t="shared" si="56"/>
        <v>83375.301000000007</v>
      </c>
      <c r="E200" s="2330"/>
      <c r="F200" s="2330">
        <v>83375.301000000007</v>
      </c>
      <c r="G200" s="2330"/>
      <c r="H200" s="2369"/>
      <c r="I200" s="2370"/>
      <c r="J200" s="2371">
        <f t="shared" si="61"/>
        <v>0</v>
      </c>
      <c r="K200" s="2382">
        <f>H200+I200+J200</f>
        <v>0</v>
      </c>
      <c r="L200" s="2328"/>
      <c r="M200" s="2378"/>
      <c r="N200" s="2324">
        <f t="shared" si="58"/>
        <v>0</v>
      </c>
      <c r="O200" s="704"/>
      <c r="P200" s="705"/>
      <c r="Q200" s="719"/>
      <c r="R200" s="706"/>
      <c r="S200" s="706"/>
      <c r="T200" s="706"/>
      <c r="U200" s="706"/>
      <c r="V200" s="706"/>
      <c r="W200" s="706"/>
      <c r="X200" s="706"/>
      <c r="Y200" s="706"/>
      <c r="Z200" s="706"/>
      <c r="AA200" s="706"/>
      <c r="AB200" s="706"/>
      <c r="AC200" s="706"/>
    </row>
    <row r="201" spans="1:29" ht="13.5" thickBot="1">
      <c r="A201" s="2314">
        <v>26</v>
      </c>
      <c r="B201" s="2173" t="s">
        <v>301</v>
      </c>
      <c r="C201" s="2177">
        <v>19</v>
      </c>
      <c r="D201" s="2303">
        <f>+E201+F201+J201+N201</f>
        <v>125126.671</v>
      </c>
      <c r="E201" s="2330">
        <v>-62407.286</v>
      </c>
      <c r="F201" s="2330">
        <v>45814.520000000004</v>
      </c>
      <c r="G201" s="2330">
        <v>0</v>
      </c>
      <c r="H201" s="2369">
        <v>80427.442999999999</v>
      </c>
      <c r="I201" s="2383"/>
      <c r="J201" s="2371">
        <f>G201+H201+I201</f>
        <v>80427.442999999999</v>
      </c>
      <c r="K201" s="2372">
        <v>12048.424999999999</v>
      </c>
      <c r="L201" s="2328">
        <v>0</v>
      </c>
      <c r="M201" s="1053">
        <v>49243.569000000003</v>
      </c>
      <c r="N201" s="2324">
        <f>K201+L201+M201</f>
        <v>61291.994000000006</v>
      </c>
      <c r="O201" s="704"/>
      <c r="P201" s="705"/>
      <c r="Q201" s="722"/>
      <c r="R201" s="706"/>
      <c r="S201" s="706"/>
      <c r="T201" s="706"/>
      <c r="U201" s="706"/>
      <c r="V201" s="706"/>
      <c r="W201" s="706"/>
      <c r="X201" s="706"/>
      <c r="Y201" s="706"/>
      <c r="Z201" s="706"/>
      <c r="AA201" s="706"/>
      <c r="AB201" s="706"/>
      <c r="AC201" s="706"/>
    </row>
    <row r="202" spans="1:29" ht="26.25" thickBot="1">
      <c r="A202" s="1482">
        <v>27</v>
      </c>
      <c r="B202" s="1349" t="s">
        <v>302</v>
      </c>
      <c r="C202" s="1348"/>
      <c r="D202" s="1499">
        <f>+E202+F202+J202+N202</f>
        <v>2639610.3250000002</v>
      </c>
      <c r="E202" s="1019">
        <f>SUM(E196:E201)</f>
        <v>-62407.286</v>
      </c>
      <c r="F202" s="1019">
        <f>SUM(F196:F201)</f>
        <v>140900.57900000003</v>
      </c>
      <c r="G202" s="1019">
        <f>SUM(G196:G201)</f>
        <v>0</v>
      </c>
      <c r="H202" s="1042">
        <f>SUM(H196:H201)</f>
        <v>561582.90500000003</v>
      </c>
      <c r="I202" s="1036">
        <f>SUM(I196:I201)</f>
        <v>0</v>
      </c>
      <c r="J202" s="1502">
        <f>G202+H202+I202</f>
        <v>561582.90500000003</v>
      </c>
      <c r="K202" s="1043">
        <f>SUM(K196:K201)</f>
        <v>57726.225000000006</v>
      </c>
      <c r="L202" s="1019">
        <f>SUM(L196:L201)</f>
        <v>0</v>
      </c>
      <c r="M202" s="1021">
        <f>SUM(M196:M201)</f>
        <v>1941807.902</v>
      </c>
      <c r="N202" s="1519">
        <f t="shared" si="58"/>
        <v>1999534.1270000001</v>
      </c>
      <c r="O202" s="704"/>
      <c r="P202" s="705"/>
      <c r="Q202" s="719"/>
      <c r="R202" s="706"/>
      <c r="S202" s="706"/>
      <c r="T202" s="706"/>
      <c r="U202" s="706"/>
      <c r="V202" s="706"/>
      <c r="W202" s="706"/>
      <c r="X202" s="706"/>
      <c r="Y202" s="706"/>
      <c r="Z202" s="706"/>
      <c r="AA202" s="706"/>
      <c r="AB202" s="706"/>
      <c r="AC202" s="706"/>
    </row>
    <row r="203" spans="1:29">
      <c r="A203" s="1483"/>
      <c r="B203" s="1481" t="s">
        <v>303</v>
      </c>
      <c r="C203" s="1346">
        <v>20</v>
      </c>
      <c r="D203" s="1487">
        <f t="shared" si="56"/>
        <v>0</v>
      </c>
      <c r="E203" s="996"/>
      <c r="F203" s="691"/>
      <c r="G203" s="688"/>
      <c r="H203" s="1047"/>
      <c r="I203" s="1037"/>
      <c r="J203" s="1503">
        <f t="shared" ref="J203:J209" si="62">G203+H203+I203</f>
        <v>0</v>
      </c>
      <c r="K203" s="1049"/>
      <c r="L203" s="693"/>
      <c r="M203" s="1050"/>
      <c r="N203" s="1488">
        <f t="shared" si="58"/>
        <v>0</v>
      </c>
      <c r="O203" s="704"/>
      <c r="P203" s="705"/>
      <c r="Q203" s="719"/>
      <c r="R203" s="706"/>
      <c r="S203" s="706"/>
      <c r="T203" s="706"/>
      <c r="U203" s="706"/>
      <c r="V203" s="706"/>
      <c r="W203" s="706"/>
      <c r="X203" s="706"/>
      <c r="Y203" s="706"/>
      <c r="Z203" s="706"/>
      <c r="AA203" s="706"/>
      <c r="AB203" s="706"/>
      <c r="AC203" s="706"/>
    </row>
    <row r="204" spans="1:29">
      <c r="A204" s="2307">
        <v>28</v>
      </c>
      <c r="B204" s="2302" t="s">
        <v>304</v>
      </c>
      <c r="C204" s="2161"/>
      <c r="D204" s="2303">
        <f t="shared" si="56"/>
        <v>500000</v>
      </c>
      <c r="E204" s="2304">
        <v>0</v>
      </c>
      <c r="F204" s="2330">
        <v>500000</v>
      </c>
      <c r="G204" s="2330">
        <v>0</v>
      </c>
      <c r="H204" s="2321">
        <v>0</v>
      </c>
      <c r="I204" s="2353"/>
      <c r="J204" s="2305">
        <f t="shared" si="62"/>
        <v>0</v>
      </c>
      <c r="K204" s="2327">
        <v>0</v>
      </c>
      <c r="L204" s="2327">
        <v>0</v>
      </c>
      <c r="M204" s="2373">
        <v>0</v>
      </c>
      <c r="N204" s="2324">
        <f t="shared" si="58"/>
        <v>0</v>
      </c>
      <c r="O204" s="704"/>
      <c r="P204" s="705"/>
      <c r="Q204" s="722"/>
      <c r="R204" s="706"/>
      <c r="S204" s="706"/>
      <c r="T204" s="706"/>
      <c r="U204" s="706"/>
      <c r="V204" s="706"/>
      <c r="W204" s="706"/>
      <c r="X204" s="706"/>
      <c r="Y204" s="706"/>
      <c r="Z204" s="706"/>
      <c r="AA204" s="706"/>
      <c r="AB204" s="706"/>
      <c r="AC204" s="706"/>
    </row>
    <row r="205" spans="1:29">
      <c r="A205" s="2307">
        <v>29</v>
      </c>
      <c r="B205" s="2302" t="s">
        <v>305</v>
      </c>
      <c r="C205" s="2161"/>
      <c r="D205" s="2303">
        <f t="shared" si="56"/>
        <v>8999.94</v>
      </c>
      <c r="E205" s="2304">
        <v>0</v>
      </c>
      <c r="F205" s="2330">
        <v>0</v>
      </c>
      <c r="G205" s="2330">
        <v>0</v>
      </c>
      <c r="H205" s="2321">
        <v>5914.3270000000002</v>
      </c>
      <c r="I205" s="2353"/>
      <c r="J205" s="2305">
        <f t="shared" si="62"/>
        <v>5914.3270000000002</v>
      </c>
      <c r="K205" s="2327">
        <v>0</v>
      </c>
      <c r="L205" s="2327">
        <v>0</v>
      </c>
      <c r="M205" s="2373">
        <v>3085.6129999999998</v>
      </c>
      <c r="N205" s="2324">
        <f t="shared" si="58"/>
        <v>3085.6129999999998</v>
      </c>
      <c r="O205" s="704"/>
      <c r="P205" s="705"/>
      <c r="Q205" s="722"/>
      <c r="R205" s="706"/>
      <c r="S205" s="706"/>
      <c r="T205" s="706"/>
      <c r="U205" s="706"/>
      <c r="V205" s="706"/>
      <c r="W205" s="706"/>
      <c r="X205" s="706"/>
      <c r="Y205" s="706"/>
      <c r="Z205" s="706"/>
      <c r="AA205" s="706"/>
      <c r="AB205" s="706"/>
      <c r="AC205" s="706"/>
    </row>
    <row r="206" spans="1:29">
      <c r="A206" s="2307">
        <v>30</v>
      </c>
      <c r="B206" s="2317" t="s">
        <v>306</v>
      </c>
      <c r="C206" s="2177"/>
      <c r="D206" s="2303">
        <f t="shared" si="56"/>
        <v>2545.326</v>
      </c>
      <c r="E206" s="2304">
        <v>0</v>
      </c>
      <c r="F206" s="2330">
        <v>2545.326</v>
      </c>
      <c r="G206" s="2330">
        <v>0</v>
      </c>
      <c r="H206" s="2321">
        <v>0</v>
      </c>
      <c r="I206" s="2353"/>
      <c r="J206" s="2305">
        <f t="shared" si="62"/>
        <v>0</v>
      </c>
      <c r="K206" s="2327">
        <v>0</v>
      </c>
      <c r="L206" s="2327">
        <v>0</v>
      </c>
      <c r="M206" s="2373">
        <v>0</v>
      </c>
      <c r="N206" s="2324">
        <f t="shared" si="58"/>
        <v>0</v>
      </c>
      <c r="O206" s="704"/>
      <c r="P206" s="705"/>
      <c r="Q206" s="722"/>
      <c r="R206" s="706"/>
      <c r="S206" s="706"/>
      <c r="T206" s="706"/>
      <c r="U206" s="706"/>
      <c r="V206" s="706"/>
      <c r="W206" s="706"/>
      <c r="X206" s="706"/>
      <c r="Y206" s="706"/>
      <c r="Z206" s="706"/>
      <c r="AA206" s="706"/>
      <c r="AB206" s="706"/>
      <c r="AC206" s="706"/>
    </row>
    <row r="207" spans="1:29">
      <c r="A207" s="2307">
        <v>31</v>
      </c>
      <c r="B207" s="2302" t="s">
        <v>307</v>
      </c>
      <c r="C207" s="2177"/>
      <c r="D207" s="2303">
        <f t="shared" si="56"/>
        <v>0</v>
      </c>
      <c r="E207" s="2304">
        <v>0</v>
      </c>
      <c r="F207" s="2330">
        <v>0</v>
      </c>
      <c r="G207" s="2330">
        <v>0</v>
      </c>
      <c r="H207" s="2321">
        <v>0</v>
      </c>
      <c r="I207" s="2353"/>
      <c r="J207" s="2305">
        <f t="shared" si="62"/>
        <v>0</v>
      </c>
      <c r="K207" s="2327">
        <v>0</v>
      </c>
      <c r="L207" s="2327">
        <v>0</v>
      </c>
      <c r="M207" s="2373">
        <v>0</v>
      </c>
      <c r="N207" s="2324">
        <f t="shared" si="58"/>
        <v>0</v>
      </c>
      <c r="O207" s="704"/>
      <c r="P207" s="705"/>
      <c r="Q207" s="722"/>
      <c r="R207" s="706"/>
      <c r="S207" s="706"/>
      <c r="T207" s="706"/>
      <c r="U207" s="706"/>
      <c r="V207" s="706"/>
      <c r="W207" s="706"/>
      <c r="X207" s="706"/>
      <c r="Y207" s="706"/>
      <c r="Z207" s="706"/>
      <c r="AA207" s="706"/>
      <c r="AB207" s="706"/>
      <c r="AC207" s="706"/>
    </row>
    <row r="208" spans="1:29" ht="13.5" thickBot="1">
      <c r="A208" s="2314">
        <v>32</v>
      </c>
      <c r="B208" s="2317" t="s">
        <v>308</v>
      </c>
      <c r="C208" s="2177"/>
      <c r="D208" s="2303">
        <f t="shared" si="56"/>
        <v>-51933.218000000001</v>
      </c>
      <c r="E208" s="2304">
        <v>0</v>
      </c>
      <c r="F208" s="2330">
        <v>-51933.218000000001</v>
      </c>
      <c r="G208" s="2330">
        <v>0</v>
      </c>
      <c r="H208" s="2321">
        <v>0</v>
      </c>
      <c r="I208" s="2353"/>
      <c r="J208" s="2305">
        <f t="shared" si="62"/>
        <v>0</v>
      </c>
      <c r="K208" s="2327">
        <v>0</v>
      </c>
      <c r="L208" s="2327">
        <v>0</v>
      </c>
      <c r="M208" s="2373">
        <v>0</v>
      </c>
      <c r="N208" s="2324">
        <f t="shared" si="58"/>
        <v>0</v>
      </c>
      <c r="O208" s="704"/>
      <c r="P208" s="705"/>
      <c r="Q208" s="722"/>
      <c r="R208" s="706"/>
      <c r="S208" s="706"/>
      <c r="T208" s="706"/>
      <c r="U208" s="706"/>
      <c r="V208" s="706"/>
      <c r="W208" s="706"/>
      <c r="X208" s="706"/>
      <c r="Y208" s="706"/>
      <c r="Z208" s="706"/>
      <c r="AA208" s="706"/>
      <c r="AB208" s="706"/>
      <c r="AC208" s="706"/>
    </row>
    <row r="209" spans="1:42" s="913" customFormat="1" ht="13.5" thickBot="1">
      <c r="A209" s="1482">
        <v>33</v>
      </c>
      <c r="B209" s="1350" t="s">
        <v>309</v>
      </c>
      <c r="C209" s="1348"/>
      <c r="D209" s="1500">
        <f t="shared" si="56"/>
        <v>459612.04800000001</v>
      </c>
      <c r="E209" s="1030">
        <f>SUM(E204:E208)</f>
        <v>0</v>
      </c>
      <c r="F209" s="1030">
        <f>SUM(F204:F208)</f>
        <v>450612.10800000001</v>
      </c>
      <c r="G209" s="1030">
        <f>SUM(G204:G208)</f>
        <v>0</v>
      </c>
      <c r="H209" s="1040">
        <f>SUM(H204:H208)</f>
        <v>5914.3270000000002</v>
      </c>
      <c r="I209" s="1057">
        <f>SUM(I204:I208)</f>
        <v>0</v>
      </c>
      <c r="J209" s="1507">
        <f t="shared" si="62"/>
        <v>5914.3270000000002</v>
      </c>
      <c r="K209" s="1030">
        <f>SUM(K204:K208)</f>
        <v>0</v>
      </c>
      <c r="L209" s="1030">
        <f>SUM(L204:L208)</f>
        <v>0</v>
      </c>
      <c r="M209" s="1040">
        <f>SUM(M204:M208)</f>
        <v>3085.6129999999998</v>
      </c>
      <c r="N209" s="1521">
        <f t="shared" si="58"/>
        <v>3085.6129999999998</v>
      </c>
      <c r="O209" s="1024"/>
      <c r="P209" s="1025"/>
      <c r="Q209" s="724"/>
      <c r="R209" s="1027"/>
      <c r="S209" s="1027"/>
      <c r="T209" s="1027"/>
      <c r="U209" s="1027"/>
      <c r="V209" s="1027"/>
      <c r="W209" s="1027"/>
      <c r="X209" s="1027"/>
      <c r="Y209" s="1027"/>
      <c r="Z209" s="1027"/>
      <c r="AA209" s="1027"/>
      <c r="AB209" s="1027"/>
      <c r="AC209" s="1027"/>
      <c r="AE209" s="1028"/>
      <c r="AF209" s="1028"/>
      <c r="AG209" s="1028"/>
      <c r="AH209" s="1028"/>
      <c r="AI209" s="1028"/>
      <c r="AJ209" s="1028"/>
      <c r="AK209" s="1028"/>
      <c r="AL209" s="1028"/>
      <c r="AM209" s="1028"/>
      <c r="AN209" s="1028"/>
      <c r="AO209" s="1028"/>
      <c r="AP209" s="1028"/>
    </row>
    <row r="210" spans="1:42" s="913" customFormat="1" ht="26.25" thickBot="1">
      <c r="A210" s="1493">
        <v>34</v>
      </c>
      <c r="B210" s="1352" t="s">
        <v>310</v>
      </c>
      <c r="C210" s="1351"/>
      <c r="D210" s="1526">
        <f>+E210+F210+J210+N210</f>
        <v>3099222.3730000001</v>
      </c>
      <c r="E210" s="1526">
        <f>E209+E202</f>
        <v>-62407.286</v>
      </c>
      <c r="F210" s="1526">
        <f>F209+F202</f>
        <v>591512.68700000003</v>
      </c>
      <c r="G210" s="1526">
        <f>G209+G202</f>
        <v>0</v>
      </c>
      <c r="H210" s="1526">
        <f>H209+H202</f>
        <v>567497.23200000008</v>
      </c>
      <c r="I210" s="1535">
        <f>I209+I202</f>
        <v>0</v>
      </c>
      <c r="J210" s="1535">
        <f>G210+H210+I210</f>
        <v>567497.23200000008</v>
      </c>
      <c r="K210" s="1535">
        <f>K209+K202</f>
        <v>57726.225000000006</v>
      </c>
      <c r="L210" s="1526">
        <f>L209+L202</f>
        <v>0</v>
      </c>
      <c r="M210" s="1527">
        <f>M209+M202</f>
        <v>1944893.5149999999</v>
      </c>
      <c r="N210" s="1529">
        <f t="shared" si="58"/>
        <v>2002619.74</v>
      </c>
      <c r="O210" s="1024"/>
      <c r="P210" s="1025"/>
      <c r="Q210" s="724"/>
      <c r="R210" s="1027"/>
      <c r="S210" s="1027"/>
      <c r="T210" s="1027"/>
      <c r="U210" s="1027"/>
      <c r="V210" s="1027"/>
      <c r="W210" s="1027"/>
      <c r="X210" s="1027"/>
      <c r="Y210" s="1027"/>
      <c r="Z210" s="1027"/>
      <c r="AA210" s="1027"/>
      <c r="AB210" s="1027"/>
      <c r="AC210" s="1027"/>
      <c r="AE210" s="1028"/>
      <c r="AF210" s="1028"/>
      <c r="AG210" s="1028"/>
      <c r="AH210" s="1028"/>
      <c r="AI210" s="1028"/>
      <c r="AJ210" s="1028"/>
      <c r="AK210" s="1028"/>
      <c r="AL210" s="1028"/>
      <c r="AM210" s="1028"/>
      <c r="AN210" s="1028"/>
      <c r="AO210" s="1028"/>
      <c r="AP210" s="1028"/>
    </row>
    <row r="211" spans="1:42">
      <c r="R211" s="706"/>
    </row>
    <row r="212" spans="1:42">
      <c r="B212" s="680"/>
      <c r="D212" s="679"/>
      <c r="E212" s="679"/>
      <c r="F212" s="679"/>
      <c r="G212" s="679"/>
      <c r="H212" s="679"/>
      <c r="I212" s="679"/>
      <c r="J212" s="679"/>
      <c r="K212" s="679"/>
      <c r="L212" s="679"/>
      <c r="M212" s="679"/>
      <c r="N212" s="911">
        <v>33</v>
      </c>
      <c r="O212" s="679"/>
    </row>
    <row r="213" spans="1:42">
      <c r="D213" s="679"/>
      <c r="E213" s="679"/>
      <c r="F213" s="679"/>
      <c r="G213" s="679"/>
      <c r="H213" s="679"/>
      <c r="I213" s="679"/>
      <c r="J213" s="679"/>
      <c r="K213" s="679"/>
      <c r="L213" s="679"/>
      <c r="M213" s="679"/>
      <c r="N213" s="679"/>
      <c r="O213" s="679"/>
      <c r="P213" s="679"/>
      <c r="Q213" s="679"/>
    </row>
    <row r="214" spans="1:42" ht="13.5" thickBot="1">
      <c r="E214" s="679"/>
      <c r="F214" s="679"/>
      <c r="G214" s="679"/>
      <c r="H214" s="679"/>
      <c r="I214" s="679"/>
      <c r="J214" s="679"/>
      <c r="K214" s="679"/>
      <c r="L214" s="679"/>
      <c r="M214" s="679"/>
      <c r="N214" s="679"/>
    </row>
    <row r="215" spans="1:42" ht="15.75" customHeight="1" thickBot="1">
      <c r="A215" s="1368" t="s">
        <v>176</v>
      </c>
      <c r="B215" s="3543" t="s">
        <v>314</v>
      </c>
      <c r="C215" s="3544"/>
      <c r="D215" s="67"/>
      <c r="E215" s="679"/>
      <c r="F215" s="679"/>
      <c r="G215" s="679"/>
      <c r="H215" s="679"/>
      <c r="I215" s="679"/>
      <c r="J215" s="679"/>
      <c r="K215" s="679"/>
      <c r="L215" s="679"/>
      <c r="M215" s="3538" t="s">
        <v>251</v>
      </c>
      <c r="N215" s="3538"/>
      <c r="O215" s="701"/>
    </row>
    <row r="216" spans="1:42" ht="18" customHeight="1" thickBot="1">
      <c r="A216" s="3555" t="s">
        <v>252</v>
      </c>
      <c r="B216" s="1467"/>
      <c r="C216" s="3523" t="s">
        <v>254</v>
      </c>
      <c r="D216" s="3562" t="s">
        <v>255</v>
      </c>
      <c r="E216" s="3562" t="s">
        <v>256</v>
      </c>
      <c r="F216" s="3562" t="s">
        <v>257</v>
      </c>
      <c r="G216" s="3565" t="s">
        <v>258</v>
      </c>
      <c r="H216" s="3566"/>
      <c r="I216" s="3566"/>
      <c r="J216" s="3566"/>
      <c r="K216" s="3566"/>
      <c r="L216" s="3566"/>
      <c r="M216" s="3566"/>
      <c r="N216" s="3567"/>
      <c r="O216" s="702"/>
    </row>
    <row r="217" spans="1:42" ht="12.75" customHeight="1" thickBot="1">
      <c r="A217" s="3556"/>
      <c r="B217" s="1468"/>
      <c r="C217" s="3524"/>
      <c r="D217" s="3563"/>
      <c r="E217" s="3563"/>
      <c r="F217" s="3563"/>
      <c r="G217" s="3529" t="s">
        <v>259</v>
      </c>
      <c r="H217" s="3530"/>
      <c r="I217" s="3530"/>
      <c r="J217" s="3531"/>
      <c r="K217" s="3568" t="s">
        <v>260</v>
      </c>
      <c r="L217" s="3569"/>
      <c r="M217" s="3569"/>
      <c r="N217" s="3570"/>
      <c r="O217" s="458"/>
    </row>
    <row r="218" spans="1:42" ht="39" thickBot="1">
      <c r="A218" s="3556"/>
      <c r="B218" s="1469"/>
      <c r="C218" s="3524"/>
      <c r="D218" s="3564"/>
      <c r="E218" s="3564"/>
      <c r="F218" s="3564"/>
      <c r="G218" s="1336" t="s">
        <v>261</v>
      </c>
      <c r="H218" s="1336" t="s">
        <v>262</v>
      </c>
      <c r="I218" s="1336" t="s">
        <v>263</v>
      </c>
      <c r="J218" s="1336" t="s">
        <v>158</v>
      </c>
      <c r="K218" s="1337" t="s">
        <v>264</v>
      </c>
      <c r="L218" s="1337" t="s">
        <v>265</v>
      </c>
      <c r="M218" s="1337" t="s">
        <v>266</v>
      </c>
      <c r="N218" s="1404" t="s">
        <v>158</v>
      </c>
      <c r="O218" s="443"/>
    </row>
    <row r="219" spans="1:42" ht="13.5" thickBot="1">
      <c r="A219" s="3556"/>
      <c r="B219" s="1468"/>
      <c r="C219" s="3524"/>
      <c r="D219" s="1471">
        <v>1</v>
      </c>
      <c r="E219" s="1471">
        <v>2</v>
      </c>
      <c r="F219" s="1471">
        <v>3</v>
      </c>
      <c r="G219" s="1472">
        <v>4</v>
      </c>
      <c r="H219" s="1471">
        <v>5</v>
      </c>
      <c r="I219" s="1473">
        <v>6</v>
      </c>
      <c r="J219" s="1474">
        <v>7</v>
      </c>
      <c r="K219" s="1472">
        <v>8</v>
      </c>
      <c r="L219" s="1471">
        <v>9</v>
      </c>
      <c r="M219" s="1496">
        <v>10</v>
      </c>
      <c r="N219" s="1470">
        <v>11</v>
      </c>
      <c r="O219" s="702"/>
    </row>
    <row r="220" spans="1:42" ht="13.5" thickBot="1">
      <c r="A220" s="3557"/>
      <c r="B220" s="1475"/>
      <c r="C220" s="3525"/>
      <c r="D220" s="1476"/>
      <c r="E220" s="1476"/>
      <c r="F220" s="1476"/>
      <c r="G220" s="1477"/>
      <c r="H220" s="1476"/>
      <c r="I220" s="1478"/>
      <c r="J220" s="1478" t="s">
        <v>267</v>
      </c>
      <c r="K220" s="1477"/>
      <c r="L220" s="1476"/>
      <c r="M220" s="1968"/>
      <c r="N220" s="1470" t="s">
        <v>268</v>
      </c>
      <c r="O220" s="703"/>
      <c r="P220" s="703"/>
      <c r="Q220" s="703"/>
    </row>
    <row r="221" spans="1:42">
      <c r="A221" s="1483"/>
      <c r="B221" s="1481" t="s">
        <v>269</v>
      </c>
      <c r="C221" s="1346"/>
      <c r="D221" s="1484"/>
      <c r="E221" s="687"/>
      <c r="F221" s="687"/>
      <c r="G221" s="1005"/>
      <c r="H221" s="1292"/>
      <c r="I221" s="1293"/>
      <c r="J221" s="1505"/>
      <c r="K221" s="996"/>
      <c r="L221" s="994"/>
      <c r="M221" s="997"/>
      <c r="N221" s="1518"/>
      <c r="Q221" s="721"/>
      <c r="R221" s="706"/>
    </row>
    <row r="222" spans="1:42">
      <c r="A222" s="2301">
        <v>1</v>
      </c>
      <c r="B222" s="2302" t="s">
        <v>270</v>
      </c>
      <c r="C222" s="2155"/>
      <c r="D222" s="2303">
        <f>+E222+F222+J222+N222</f>
        <v>0</v>
      </c>
      <c r="E222" s="2304"/>
      <c r="F222" s="2304"/>
      <c r="G222" s="2373"/>
      <c r="H222" s="2306"/>
      <c r="I222" s="2384"/>
      <c r="J222" s="2385">
        <f>G222+H222+I222</f>
        <v>0</v>
      </c>
      <c r="K222" s="2304"/>
      <c r="L222" s="2304"/>
      <c r="M222" s="2325"/>
      <c r="N222" s="2324">
        <f>K222+L222+M222</f>
        <v>0</v>
      </c>
      <c r="O222" s="704"/>
      <c r="P222" s="705"/>
      <c r="Q222" s="709"/>
      <c r="R222" s="706"/>
      <c r="S222" s="706"/>
      <c r="T222" s="706"/>
      <c r="U222" s="706"/>
      <c r="V222" s="706"/>
      <c r="W222" s="706"/>
      <c r="X222" s="706"/>
      <c r="Y222" s="706"/>
      <c r="Z222" s="706"/>
      <c r="AA222" s="706"/>
      <c r="AB222" s="706"/>
      <c r="AC222" s="706"/>
    </row>
    <row r="223" spans="1:42">
      <c r="A223" s="2301">
        <v>2</v>
      </c>
      <c r="B223" s="2302" t="s">
        <v>271</v>
      </c>
      <c r="C223" s="2155"/>
      <c r="D223" s="2303">
        <f t="shared" ref="D223:D261" si="63">+E223+F223+J223+N223</f>
        <v>413.03100000000001</v>
      </c>
      <c r="E223" s="2304"/>
      <c r="F223" s="2304"/>
      <c r="G223" s="2373"/>
      <c r="H223" s="2306">
        <v>413.03100000000001</v>
      </c>
      <c r="I223" s="2384"/>
      <c r="J223" s="2385">
        <f t="shared" ref="J223:J233" si="64">G223+H223+I223</f>
        <v>413.03100000000001</v>
      </c>
      <c r="K223" s="2304"/>
      <c r="L223" s="2304"/>
      <c r="M223" s="2325"/>
      <c r="N223" s="2324">
        <f t="shared" ref="N223:N262" si="65">K223+L223+M223</f>
        <v>0</v>
      </c>
      <c r="O223" s="704"/>
      <c r="P223" s="705"/>
      <c r="Q223" s="709"/>
      <c r="R223" s="706"/>
      <c r="S223" s="706"/>
      <c r="T223" s="706"/>
      <c r="U223" s="706"/>
      <c r="V223" s="706"/>
      <c r="W223" s="706"/>
      <c r="X223" s="706"/>
      <c r="Y223" s="706"/>
      <c r="Z223" s="706"/>
      <c r="AA223" s="706"/>
      <c r="AB223" s="706"/>
      <c r="AC223" s="706"/>
    </row>
    <row r="224" spans="1:42">
      <c r="A224" s="2301">
        <v>3</v>
      </c>
      <c r="B224" s="2302" t="s">
        <v>272</v>
      </c>
      <c r="C224" s="2155"/>
      <c r="D224" s="2303">
        <f t="shared" si="63"/>
        <v>0</v>
      </c>
      <c r="E224" s="2304"/>
      <c r="F224" s="2304"/>
      <c r="G224" s="2373"/>
      <c r="H224" s="2306"/>
      <c r="I224" s="2384"/>
      <c r="J224" s="2386">
        <f t="shared" si="64"/>
        <v>0</v>
      </c>
      <c r="K224" s="2304"/>
      <c r="L224" s="2304"/>
      <c r="M224" s="2325"/>
      <c r="N224" s="2324">
        <f t="shared" si="65"/>
        <v>0</v>
      </c>
      <c r="O224" s="704"/>
      <c r="P224" s="705"/>
      <c r="Q224" s="709"/>
      <c r="R224" s="706"/>
      <c r="S224" s="706"/>
      <c r="T224" s="706"/>
      <c r="U224" s="706"/>
      <c r="V224" s="706"/>
      <c r="W224" s="706"/>
      <c r="X224" s="706"/>
      <c r="Y224" s="706"/>
      <c r="Z224" s="706"/>
      <c r="AA224" s="706"/>
      <c r="AB224" s="706"/>
      <c r="AC224" s="706"/>
    </row>
    <row r="225" spans="1:42">
      <c r="A225" s="2301">
        <v>4</v>
      </c>
      <c r="B225" s="2302" t="s">
        <v>315</v>
      </c>
      <c r="C225" s="2155"/>
      <c r="D225" s="2303">
        <f t="shared" si="63"/>
        <v>137336.42210000003</v>
      </c>
      <c r="E225" s="2304"/>
      <c r="F225" s="2304"/>
      <c r="G225" s="2373"/>
      <c r="H225" s="2306">
        <v>137336.42210000003</v>
      </c>
      <c r="I225" s="2384"/>
      <c r="J225" s="2386">
        <f t="shared" si="64"/>
        <v>137336.42210000003</v>
      </c>
      <c r="K225" s="2304"/>
      <c r="L225" s="2304"/>
      <c r="M225" s="2325"/>
      <c r="N225" s="2324">
        <f t="shared" si="65"/>
        <v>0</v>
      </c>
      <c r="O225" s="704"/>
      <c r="P225" s="705"/>
      <c r="Q225" s="709"/>
      <c r="R225" s="706"/>
      <c r="S225" s="706"/>
      <c r="T225" s="706"/>
      <c r="U225" s="706"/>
      <c r="V225" s="706"/>
      <c r="W225" s="706"/>
      <c r="X225" s="706"/>
      <c r="Y225" s="706"/>
      <c r="Z225" s="706"/>
      <c r="AA225" s="706"/>
      <c r="AB225" s="706"/>
      <c r="AC225" s="706"/>
    </row>
    <row r="226" spans="1:42">
      <c r="A226" s="2301">
        <v>5</v>
      </c>
      <c r="B226" s="2302" t="s">
        <v>274</v>
      </c>
      <c r="C226" s="2161">
        <v>5</v>
      </c>
      <c r="D226" s="2303">
        <f t="shared" si="63"/>
        <v>59060.218040000043</v>
      </c>
      <c r="E226" s="2304"/>
      <c r="F226" s="2304"/>
      <c r="G226" s="2373"/>
      <c r="H226" s="2306">
        <v>59060.218040000043</v>
      </c>
      <c r="I226" s="2384"/>
      <c r="J226" s="2386">
        <f t="shared" si="64"/>
        <v>59060.218040000043</v>
      </c>
      <c r="K226" s="2304"/>
      <c r="L226" s="2304"/>
      <c r="M226" s="2325"/>
      <c r="N226" s="2324">
        <f t="shared" si="65"/>
        <v>0</v>
      </c>
      <c r="O226" s="704"/>
      <c r="P226" s="705"/>
      <c r="Q226" s="716"/>
      <c r="R226" s="706"/>
      <c r="S226" s="706"/>
      <c r="T226" s="706"/>
      <c r="U226" s="706"/>
      <c r="V226" s="706"/>
      <c r="W226" s="706"/>
      <c r="X226" s="706"/>
      <c r="Y226" s="706"/>
      <c r="Z226" s="706"/>
      <c r="AA226" s="706"/>
      <c r="AB226" s="706"/>
      <c r="AC226" s="706"/>
    </row>
    <row r="227" spans="1:42">
      <c r="A227" s="2301">
        <v>6</v>
      </c>
      <c r="B227" s="2302" t="s">
        <v>275</v>
      </c>
      <c r="C227" s="2155">
        <v>6</v>
      </c>
      <c r="D227" s="2303">
        <f t="shared" si="63"/>
        <v>0</v>
      </c>
      <c r="E227" s="2304"/>
      <c r="F227" s="2304"/>
      <c r="G227" s="2373"/>
      <c r="H227" s="2306"/>
      <c r="I227" s="2384"/>
      <c r="J227" s="2386">
        <f t="shared" si="64"/>
        <v>0</v>
      </c>
      <c r="K227" s="2304"/>
      <c r="L227" s="2304"/>
      <c r="M227" s="2325"/>
      <c r="N227" s="2324">
        <f t="shared" si="65"/>
        <v>0</v>
      </c>
      <c r="O227" s="704"/>
      <c r="P227" s="705"/>
      <c r="Q227" s="709"/>
      <c r="R227" s="706"/>
      <c r="S227" s="706"/>
      <c r="T227" s="706"/>
      <c r="U227" s="706"/>
      <c r="V227" s="706"/>
      <c r="W227" s="706"/>
      <c r="X227" s="706"/>
      <c r="Y227" s="706"/>
      <c r="Z227" s="706"/>
      <c r="AA227" s="706"/>
      <c r="AB227" s="706"/>
      <c r="AC227" s="706"/>
    </row>
    <row r="228" spans="1:42">
      <c r="A228" s="2301">
        <v>7</v>
      </c>
      <c r="B228" s="2302" t="s">
        <v>276</v>
      </c>
      <c r="C228" s="2161">
        <v>7</v>
      </c>
      <c r="D228" s="2303">
        <f t="shared" si="63"/>
        <v>0</v>
      </c>
      <c r="E228" s="2304"/>
      <c r="F228" s="2304">
        <f>F229+F230</f>
        <v>0</v>
      </c>
      <c r="G228" s="2325">
        <f t="shared" ref="G228:M228" si="66">G229+G230</f>
        <v>0</v>
      </c>
      <c r="H228" s="2306">
        <f t="shared" si="66"/>
        <v>0</v>
      </c>
      <c r="I228" s="2384">
        <f t="shared" si="66"/>
        <v>0</v>
      </c>
      <c r="J228" s="2386">
        <f t="shared" si="64"/>
        <v>0</v>
      </c>
      <c r="K228" s="2304">
        <f t="shared" si="66"/>
        <v>0</v>
      </c>
      <c r="L228" s="2304">
        <f t="shared" si="66"/>
        <v>0</v>
      </c>
      <c r="M228" s="2325">
        <f t="shared" si="66"/>
        <v>0</v>
      </c>
      <c r="N228" s="2324">
        <f t="shared" si="65"/>
        <v>0</v>
      </c>
      <c r="O228" s="704"/>
      <c r="P228" s="705"/>
      <c r="Q228" s="716"/>
      <c r="R228" s="706"/>
      <c r="S228" s="706"/>
      <c r="T228" s="706"/>
      <c r="U228" s="706"/>
      <c r="V228" s="706"/>
      <c r="W228" s="706"/>
      <c r="X228" s="706"/>
      <c r="Y228" s="706"/>
      <c r="Z228" s="706"/>
      <c r="AA228" s="706"/>
      <c r="AB228" s="706"/>
      <c r="AC228" s="706"/>
    </row>
    <row r="229" spans="1:42">
      <c r="A229" s="2307"/>
      <c r="B229" s="2162" t="s">
        <v>277</v>
      </c>
      <c r="C229" s="2161"/>
      <c r="D229" s="2303">
        <f t="shared" si="63"/>
        <v>0</v>
      </c>
      <c r="E229" s="2304"/>
      <c r="F229" s="2304"/>
      <c r="G229" s="2325"/>
      <c r="H229" s="2306"/>
      <c r="I229" s="2384"/>
      <c r="J229" s="2386">
        <f t="shared" si="64"/>
        <v>0</v>
      </c>
      <c r="K229" s="2304"/>
      <c r="L229" s="2304"/>
      <c r="M229" s="2325"/>
      <c r="N229" s="2324">
        <f t="shared" si="65"/>
        <v>0</v>
      </c>
      <c r="O229" s="704"/>
      <c r="P229" s="705"/>
      <c r="Q229" s="716"/>
      <c r="R229" s="706"/>
      <c r="S229" s="706"/>
      <c r="T229" s="706"/>
      <c r="U229" s="706"/>
      <c r="V229" s="706"/>
      <c r="W229" s="706"/>
      <c r="X229" s="706"/>
      <c r="Y229" s="706"/>
      <c r="Z229" s="706"/>
      <c r="AA229" s="706"/>
      <c r="AB229" s="706"/>
      <c r="AC229" s="706"/>
    </row>
    <row r="230" spans="1:42">
      <c r="A230" s="2307"/>
      <c r="B230" s="2162" t="s">
        <v>278</v>
      </c>
      <c r="C230" s="2161"/>
      <c r="D230" s="2303">
        <f t="shared" si="63"/>
        <v>0</v>
      </c>
      <c r="E230" s="2304"/>
      <c r="F230" s="2304"/>
      <c r="G230" s="2325"/>
      <c r="H230" s="2306"/>
      <c r="I230" s="2384"/>
      <c r="J230" s="2386">
        <f t="shared" si="64"/>
        <v>0</v>
      </c>
      <c r="K230" s="2304"/>
      <c r="L230" s="2304"/>
      <c r="M230" s="2325"/>
      <c r="N230" s="2324">
        <f t="shared" si="65"/>
        <v>0</v>
      </c>
      <c r="O230" s="704"/>
      <c r="P230" s="705"/>
      <c r="Q230" s="722"/>
      <c r="R230" s="706"/>
      <c r="S230" s="706"/>
      <c r="T230" s="706"/>
      <c r="U230" s="706"/>
      <c r="V230" s="706"/>
      <c r="W230" s="706"/>
      <c r="X230" s="706"/>
      <c r="Y230" s="706"/>
      <c r="Z230" s="706"/>
      <c r="AA230" s="706"/>
      <c r="AB230" s="706"/>
      <c r="AC230" s="706"/>
    </row>
    <row r="231" spans="1:42">
      <c r="A231" s="2301">
        <v>8</v>
      </c>
      <c r="B231" s="2302" t="s">
        <v>279</v>
      </c>
      <c r="C231" s="2155">
        <v>8</v>
      </c>
      <c r="D231" s="2303">
        <f t="shared" si="63"/>
        <v>0</v>
      </c>
      <c r="E231" s="2304"/>
      <c r="F231" s="2304">
        <f>F232+F233</f>
        <v>0</v>
      </c>
      <c r="G231" s="2325">
        <f t="shared" ref="G231:M231" si="67">G232+G233</f>
        <v>0</v>
      </c>
      <c r="H231" s="2306">
        <f t="shared" si="67"/>
        <v>0</v>
      </c>
      <c r="I231" s="2384">
        <f t="shared" si="67"/>
        <v>0</v>
      </c>
      <c r="J231" s="2386">
        <f t="shared" si="64"/>
        <v>0</v>
      </c>
      <c r="K231" s="2304">
        <f t="shared" si="67"/>
        <v>0</v>
      </c>
      <c r="L231" s="2304">
        <f t="shared" si="67"/>
        <v>0</v>
      </c>
      <c r="M231" s="2325">
        <f t="shared" si="67"/>
        <v>0</v>
      </c>
      <c r="N231" s="2324">
        <f t="shared" si="65"/>
        <v>0</v>
      </c>
      <c r="O231" s="704"/>
      <c r="P231" s="705"/>
      <c r="Q231" s="719"/>
      <c r="R231" s="706"/>
      <c r="S231" s="706"/>
      <c r="T231" s="706"/>
      <c r="U231" s="706"/>
      <c r="V231" s="706"/>
      <c r="W231" s="706"/>
      <c r="X231" s="706"/>
      <c r="Y231" s="706"/>
      <c r="Z231" s="706"/>
      <c r="AA231" s="706"/>
      <c r="AB231" s="706"/>
      <c r="AC231" s="706"/>
    </row>
    <row r="232" spans="1:42">
      <c r="A232" s="2301"/>
      <c r="B232" s="2162" t="s">
        <v>280</v>
      </c>
      <c r="C232" s="2155"/>
      <c r="D232" s="2303">
        <f t="shared" si="63"/>
        <v>0</v>
      </c>
      <c r="E232" s="2304"/>
      <c r="F232" s="2304"/>
      <c r="G232" s="2325"/>
      <c r="H232" s="2306"/>
      <c r="I232" s="2384"/>
      <c r="J232" s="2386">
        <f t="shared" si="64"/>
        <v>0</v>
      </c>
      <c r="K232" s="2304"/>
      <c r="L232" s="2304"/>
      <c r="M232" s="2325"/>
      <c r="N232" s="2324">
        <f t="shared" si="65"/>
        <v>0</v>
      </c>
      <c r="O232" s="704"/>
      <c r="P232" s="705"/>
      <c r="Q232" s="719"/>
      <c r="R232" s="706"/>
      <c r="S232" s="706"/>
      <c r="T232" s="706"/>
      <c r="U232" s="706"/>
      <c r="V232" s="706"/>
      <c r="W232" s="706"/>
      <c r="X232" s="706"/>
      <c r="Y232" s="706"/>
      <c r="Z232" s="706"/>
      <c r="AA232" s="706"/>
      <c r="AB232" s="706"/>
      <c r="AC232" s="706"/>
    </row>
    <row r="233" spans="1:42">
      <c r="A233" s="2301"/>
      <c r="B233" s="2162" t="s">
        <v>281</v>
      </c>
      <c r="C233" s="2155"/>
      <c r="D233" s="2303">
        <f t="shared" si="63"/>
        <v>0</v>
      </c>
      <c r="E233" s="2304"/>
      <c r="F233" s="2304"/>
      <c r="G233" s="2325"/>
      <c r="H233" s="2306"/>
      <c r="I233" s="2384"/>
      <c r="J233" s="2386">
        <f t="shared" si="64"/>
        <v>0</v>
      </c>
      <c r="K233" s="2304"/>
      <c r="L233" s="2304"/>
      <c r="M233" s="2325"/>
      <c r="N233" s="2324">
        <f t="shared" si="65"/>
        <v>0</v>
      </c>
      <c r="O233" s="704"/>
      <c r="P233" s="705"/>
      <c r="Q233" s="719"/>
      <c r="R233" s="706"/>
      <c r="S233" s="706"/>
      <c r="T233" s="706"/>
      <c r="U233" s="706"/>
      <c r="V233" s="706"/>
      <c r="W233" s="706"/>
      <c r="X233" s="706"/>
      <c r="Y233" s="706"/>
      <c r="Z233" s="706"/>
      <c r="AA233" s="706"/>
      <c r="AB233" s="706"/>
      <c r="AC233" s="706"/>
    </row>
    <row r="234" spans="1:42" s="913" customFormat="1" ht="25.5">
      <c r="A234" s="2308">
        <v>9</v>
      </c>
      <c r="B234" s="2309" t="s">
        <v>282</v>
      </c>
      <c r="C234" s="2165"/>
      <c r="D234" s="2310">
        <f t="shared" si="63"/>
        <v>2682476.4559974913</v>
      </c>
      <c r="E234" s="2311">
        <f>SUM(E235:E238)</f>
        <v>0</v>
      </c>
      <c r="F234" s="2311">
        <f>SUM(F235:F238)</f>
        <v>1053797.0224637671</v>
      </c>
      <c r="G234" s="2333">
        <f>SUM(G235:G238)</f>
        <v>0</v>
      </c>
      <c r="H234" s="2313">
        <f>SUM(H235:H238)</f>
        <v>1628679.4335337244</v>
      </c>
      <c r="I234" s="2387">
        <f>SUM(I235:I238)</f>
        <v>0</v>
      </c>
      <c r="J234" s="2388">
        <f>G234+H234+I234</f>
        <v>1628679.4335337244</v>
      </c>
      <c r="K234" s="2311">
        <f>SUM(K235:K238)</f>
        <v>0</v>
      </c>
      <c r="L234" s="2311">
        <f>SUM(L235:L238)</f>
        <v>0</v>
      </c>
      <c r="M234" s="2333">
        <f>SUM(M235:M238)</f>
        <v>0</v>
      </c>
      <c r="N234" s="2336">
        <f t="shared" si="65"/>
        <v>0</v>
      </c>
      <c r="O234" s="1024"/>
      <c r="P234" s="1025"/>
      <c r="Q234" s="1059"/>
      <c r="R234" s="1027"/>
      <c r="S234" s="1027"/>
      <c r="T234" s="1027"/>
      <c r="U234" s="1027"/>
      <c r="V234" s="1027"/>
      <c r="W234" s="1027"/>
      <c r="X234" s="1027"/>
      <c r="Y234" s="1027"/>
      <c r="Z234" s="1027"/>
      <c r="AA234" s="1027"/>
      <c r="AB234" s="1027"/>
      <c r="AC234" s="1027"/>
      <c r="AE234" s="1028"/>
      <c r="AF234" s="1028"/>
      <c r="AG234" s="1028"/>
      <c r="AH234" s="1028"/>
      <c r="AI234" s="1028"/>
      <c r="AJ234" s="1028"/>
      <c r="AK234" s="1028"/>
      <c r="AL234" s="1028"/>
      <c r="AM234" s="1028"/>
      <c r="AN234" s="1028"/>
      <c r="AO234" s="1028"/>
      <c r="AP234" s="1028"/>
    </row>
    <row r="235" spans="1:42">
      <c r="A235" s="2307">
        <v>10</v>
      </c>
      <c r="B235" s="2171" t="s">
        <v>283</v>
      </c>
      <c r="C235" s="2155">
        <v>9</v>
      </c>
      <c r="D235" s="2303">
        <f t="shared" si="63"/>
        <v>0</v>
      </c>
      <c r="E235" s="2304"/>
      <c r="F235" s="2304"/>
      <c r="G235" s="2373"/>
      <c r="H235" s="2306"/>
      <c r="I235" s="2384"/>
      <c r="J235" s="2386">
        <f t="shared" ref="J235:J253" si="68">G235+H235+I235</f>
        <v>0</v>
      </c>
      <c r="K235" s="2304"/>
      <c r="L235" s="2304"/>
      <c r="M235" s="2325"/>
      <c r="N235" s="2324">
        <f t="shared" si="65"/>
        <v>0</v>
      </c>
      <c r="O235" s="704"/>
      <c r="P235" s="705"/>
      <c r="Q235" s="709"/>
      <c r="R235" s="706"/>
      <c r="S235" s="706"/>
      <c r="T235" s="706"/>
      <c r="U235" s="706"/>
      <c r="V235" s="706"/>
      <c r="W235" s="706"/>
      <c r="X235" s="706"/>
      <c r="Y235" s="706"/>
      <c r="Z235" s="706"/>
      <c r="AA235" s="706"/>
      <c r="AB235" s="706"/>
      <c r="AC235" s="706"/>
    </row>
    <row r="236" spans="1:42">
      <c r="A236" s="2307">
        <v>11</v>
      </c>
      <c r="B236" s="2171" t="s">
        <v>284</v>
      </c>
      <c r="C236" s="2155">
        <v>10</v>
      </c>
      <c r="D236" s="2303">
        <f t="shared" si="63"/>
        <v>2304767.6471984861</v>
      </c>
      <c r="E236" s="2304"/>
      <c r="F236" s="2304">
        <v>1053797.0224637671</v>
      </c>
      <c r="G236" s="2373"/>
      <c r="H236" s="2389">
        <v>1250970.6247347191</v>
      </c>
      <c r="I236" s="2390"/>
      <c r="J236" s="2386">
        <f t="shared" si="68"/>
        <v>1250970.6247347191</v>
      </c>
      <c r="K236" s="2304"/>
      <c r="L236" s="2304"/>
      <c r="M236" s="2325"/>
      <c r="N236" s="2324">
        <f t="shared" si="65"/>
        <v>0</v>
      </c>
      <c r="O236" s="704"/>
      <c r="P236" s="705"/>
      <c r="Q236" s="709"/>
      <c r="R236" s="706"/>
      <c r="S236" s="706"/>
      <c r="T236" s="706"/>
      <c r="U236" s="706"/>
      <c r="V236" s="706"/>
      <c r="W236" s="706"/>
      <c r="X236" s="706"/>
      <c r="Y236" s="706"/>
      <c r="Z236" s="706"/>
      <c r="AA236" s="706"/>
      <c r="AB236" s="706"/>
      <c r="AC236" s="706"/>
    </row>
    <row r="237" spans="1:42">
      <c r="A237" s="2307">
        <v>12</v>
      </c>
      <c r="B237" s="2171" t="s">
        <v>285</v>
      </c>
      <c r="C237" s="2155">
        <v>11</v>
      </c>
      <c r="D237" s="2303">
        <f t="shared" si="63"/>
        <v>377708.80879900535</v>
      </c>
      <c r="E237" s="2304"/>
      <c r="F237" s="2304"/>
      <c r="G237" s="2373"/>
      <c r="H237" s="2389">
        <v>377708.80879900535</v>
      </c>
      <c r="I237" s="2390"/>
      <c r="J237" s="2386">
        <f t="shared" si="68"/>
        <v>377708.80879900535</v>
      </c>
      <c r="K237" s="2304"/>
      <c r="L237" s="2304"/>
      <c r="M237" s="2325"/>
      <c r="N237" s="2324">
        <f t="shared" si="65"/>
        <v>0</v>
      </c>
      <c r="O237" s="704"/>
      <c r="P237" s="705"/>
      <c r="Q237" s="709"/>
      <c r="R237" s="706"/>
      <c r="S237" s="706"/>
      <c r="T237" s="706"/>
      <c r="U237" s="706"/>
      <c r="V237" s="706"/>
      <c r="W237" s="706"/>
      <c r="X237" s="706"/>
      <c r="Y237" s="706"/>
      <c r="Z237" s="706"/>
      <c r="AA237" s="706"/>
      <c r="AB237" s="706"/>
      <c r="AC237" s="706"/>
    </row>
    <row r="238" spans="1:42" ht="25.5">
      <c r="A238" s="2307">
        <v>13</v>
      </c>
      <c r="B238" s="2171" t="s">
        <v>286</v>
      </c>
      <c r="C238" s="2155">
        <v>12</v>
      </c>
      <c r="D238" s="2303">
        <f t="shared" si="63"/>
        <v>0</v>
      </c>
      <c r="E238" s="2304"/>
      <c r="F238" s="2304"/>
      <c r="G238" s="2373"/>
      <c r="H238" s="2389"/>
      <c r="I238" s="2390"/>
      <c r="J238" s="2386">
        <f t="shared" si="68"/>
        <v>0</v>
      </c>
      <c r="K238" s="2304"/>
      <c r="L238" s="2304"/>
      <c r="M238" s="2325"/>
      <c r="N238" s="2324">
        <f t="shared" si="65"/>
        <v>0</v>
      </c>
      <c r="O238" s="704"/>
      <c r="P238" s="705"/>
      <c r="Q238" s="709"/>
      <c r="R238" s="706"/>
      <c r="S238" s="706"/>
      <c r="T238" s="706"/>
      <c r="U238" s="706"/>
      <c r="V238" s="706"/>
      <c r="W238" s="706"/>
      <c r="X238" s="706"/>
      <c r="Y238" s="706"/>
      <c r="Z238" s="706"/>
      <c r="AA238" s="706"/>
      <c r="AB238" s="706"/>
      <c r="AC238" s="706"/>
    </row>
    <row r="239" spans="1:42">
      <c r="A239" s="2307">
        <v>14</v>
      </c>
      <c r="B239" s="2154" t="s">
        <v>287</v>
      </c>
      <c r="C239" s="2155">
        <v>13</v>
      </c>
      <c r="D239" s="2303">
        <f t="shared" si="63"/>
        <v>389694.26270999998</v>
      </c>
      <c r="E239" s="2304"/>
      <c r="F239" s="2304"/>
      <c r="G239" s="2373"/>
      <c r="H239" s="2306">
        <v>389694.26270999998</v>
      </c>
      <c r="I239" s="2384"/>
      <c r="J239" s="2386">
        <f t="shared" si="68"/>
        <v>389694.26270999998</v>
      </c>
      <c r="K239" s="2304"/>
      <c r="L239" s="2304"/>
      <c r="M239" s="2325"/>
      <c r="N239" s="2324">
        <f t="shared" si="65"/>
        <v>0</v>
      </c>
      <c r="O239" s="704"/>
      <c r="P239" s="705"/>
      <c r="Q239" s="709"/>
      <c r="R239" s="706"/>
      <c r="S239" s="706"/>
      <c r="T239" s="706"/>
      <c r="U239" s="706"/>
      <c r="V239" s="706"/>
      <c r="W239" s="706"/>
      <c r="X239" s="706"/>
      <c r="Y239" s="706"/>
      <c r="Z239" s="706"/>
      <c r="AA239" s="706"/>
      <c r="AB239" s="706"/>
      <c r="AC239" s="706"/>
    </row>
    <row r="240" spans="1:42">
      <c r="A240" s="2307">
        <v>15</v>
      </c>
      <c r="B240" s="2154" t="s">
        <v>288</v>
      </c>
      <c r="C240" s="2161">
        <v>14</v>
      </c>
      <c r="D240" s="2303">
        <f t="shared" si="63"/>
        <v>7170.4136299999955</v>
      </c>
      <c r="E240" s="2304"/>
      <c r="F240" s="2304"/>
      <c r="G240" s="2373"/>
      <c r="H240" s="2306">
        <v>7170.4136299999955</v>
      </c>
      <c r="I240" s="2384"/>
      <c r="J240" s="2386">
        <f t="shared" si="68"/>
        <v>7170.4136299999955</v>
      </c>
      <c r="K240" s="2304"/>
      <c r="L240" s="2304"/>
      <c r="M240" s="2325"/>
      <c r="N240" s="2324">
        <f t="shared" si="65"/>
        <v>0</v>
      </c>
      <c r="O240" s="704"/>
      <c r="P240" s="705"/>
      <c r="Q240" s="716"/>
      <c r="R240" s="706"/>
      <c r="S240" s="706"/>
      <c r="T240" s="706"/>
      <c r="U240" s="706"/>
      <c r="V240" s="706"/>
      <c r="W240" s="706"/>
      <c r="X240" s="706"/>
      <c r="Y240" s="706"/>
      <c r="Z240" s="706"/>
      <c r="AA240" s="706"/>
      <c r="AB240" s="706"/>
      <c r="AC240" s="706"/>
    </row>
    <row r="241" spans="1:29">
      <c r="A241" s="2307">
        <v>16</v>
      </c>
      <c r="B241" s="2154" t="s">
        <v>289</v>
      </c>
      <c r="C241" s="2155">
        <v>15</v>
      </c>
      <c r="D241" s="2303">
        <f t="shared" si="63"/>
        <v>30808.28904</v>
      </c>
      <c r="E241" s="2304"/>
      <c r="F241" s="2304"/>
      <c r="G241" s="2373"/>
      <c r="H241" s="2306">
        <v>30808.28904</v>
      </c>
      <c r="I241" s="2384"/>
      <c r="J241" s="2386">
        <f t="shared" si="68"/>
        <v>30808.28904</v>
      </c>
      <c r="K241" s="2304"/>
      <c r="L241" s="2304"/>
      <c r="M241" s="2325"/>
      <c r="N241" s="2324">
        <f t="shared" si="65"/>
        <v>0</v>
      </c>
      <c r="O241" s="704"/>
      <c r="P241" s="705"/>
      <c r="Q241" s="709"/>
      <c r="R241" s="706"/>
      <c r="S241" s="706"/>
      <c r="T241" s="706"/>
      <c r="U241" s="706"/>
      <c r="V241" s="706"/>
      <c r="W241" s="706"/>
      <c r="X241" s="706"/>
      <c r="Y241" s="706"/>
      <c r="Z241" s="706"/>
      <c r="AA241" s="706"/>
      <c r="AB241" s="706"/>
      <c r="AC241" s="706"/>
    </row>
    <row r="242" spans="1:29">
      <c r="A242" s="2307">
        <v>17</v>
      </c>
      <c r="B242" s="2154" t="s">
        <v>290</v>
      </c>
      <c r="C242" s="2161">
        <v>16</v>
      </c>
      <c r="D242" s="2303">
        <f t="shared" si="63"/>
        <v>199983.44389000002</v>
      </c>
      <c r="E242" s="2304"/>
      <c r="F242" s="2304">
        <v>277136.90881000005</v>
      </c>
      <c r="G242" s="2373"/>
      <c r="H242" s="2389">
        <v>-77153.464920000028</v>
      </c>
      <c r="I242" s="2390"/>
      <c r="J242" s="2386">
        <f t="shared" si="68"/>
        <v>-77153.464920000028</v>
      </c>
      <c r="K242" s="2304"/>
      <c r="L242" s="2304"/>
      <c r="M242" s="2325"/>
      <c r="N242" s="2324">
        <f t="shared" si="65"/>
        <v>0</v>
      </c>
      <c r="O242" s="704"/>
      <c r="P242" s="705"/>
      <c r="Q242" s="716"/>
      <c r="R242" s="706"/>
      <c r="S242" s="706"/>
      <c r="T242" s="706"/>
      <c r="U242" s="706"/>
      <c r="V242" s="706"/>
      <c r="W242" s="706"/>
      <c r="X242" s="706"/>
      <c r="Y242" s="706"/>
      <c r="Z242" s="706"/>
      <c r="AA242" s="706"/>
      <c r="AB242" s="706"/>
      <c r="AC242" s="706"/>
    </row>
    <row r="243" spans="1:29">
      <c r="A243" s="2307">
        <v>18</v>
      </c>
      <c r="B243" s="2154" t="s">
        <v>291</v>
      </c>
      <c r="C243" s="2155"/>
      <c r="D243" s="2303">
        <f t="shared" si="63"/>
        <v>0</v>
      </c>
      <c r="E243" s="2304"/>
      <c r="F243" s="2304"/>
      <c r="G243" s="2373"/>
      <c r="H243" s="2306"/>
      <c r="I243" s="2384"/>
      <c r="J243" s="2386">
        <f t="shared" si="68"/>
        <v>0</v>
      </c>
      <c r="K243" s="2304"/>
      <c r="L243" s="2304"/>
      <c r="M243" s="2325"/>
      <c r="N243" s="2324">
        <f t="shared" si="65"/>
        <v>0</v>
      </c>
      <c r="O243" s="704"/>
      <c r="P243" s="705"/>
      <c r="Q243" s="709"/>
      <c r="R243" s="706"/>
      <c r="S243" s="706"/>
      <c r="T243" s="706"/>
      <c r="U243" s="706"/>
      <c r="V243" s="706"/>
      <c r="W243" s="706"/>
      <c r="X243" s="706"/>
      <c r="Y243" s="706"/>
      <c r="Z243" s="706"/>
      <c r="AA243" s="706"/>
      <c r="AB243" s="706"/>
      <c r="AC243" s="706"/>
    </row>
    <row r="244" spans="1:29" ht="13.5" thickBot="1">
      <c r="A244" s="2314">
        <v>19</v>
      </c>
      <c r="B244" s="2173" t="s">
        <v>292</v>
      </c>
      <c r="C244" s="2172"/>
      <c r="D244" s="1485">
        <f t="shared" si="63"/>
        <v>668548.26948000025</v>
      </c>
      <c r="E244" s="998"/>
      <c r="F244" s="998">
        <v>550417.19487999997</v>
      </c>
      <c r="G244" s="1051"/>
      <c r="H244" s="1294">
        <v>118131.0746000003</v>
      </c>
      <c r="I244" s="1324"/>
      <c r="J244" s="1545">
        <f t="shared" si="68"/>
        <v>118131.0746000003</v>
      </c>
      <c r="K244" s="998"/>
      <c r="L244" s="998"/>
      <c r="M244" s="1070"/>
      <c r="N244" s="2376">
        <f t="shared" si="65"/>
        <v>0</v>
      </c>
      <c r="O244" s="704"/>
      <c r="P244" s="705"/>
      <c r="Q244" s="709"/>
      <c r="R244" s="706"/>
      <c r="S244" s="706"/>
      <c r="T244" s="706"/>
      <c r="U244" s="706"/>
      <c r="V244" s="706"/>
      <c r="W244" s="706"/>
      <c r="X244" s="706"/>
      <c r="Y244" s="706"/>
      <c r="Z244" s="706"/>
      <c r="AA244" s="706"/>
      <c r="AB244" s="706"/>
      <c r="AC244" s="706"/>
    </row>
    <row r="245" spans="1:29" ht="26.25" thickBot="1">
      <c r="A245" s="1493">
        <v>20</v>
      </c>
      <c r="B245" s="1352" t="s">
        <v>293</v>
      </c>
      <c r="C245" s="1351"/>
      <c r="D245" s="1494">
        <f t="shared" si="63"/>
        <v>4175490.8058874919</v>
      </c>
      <c r="E245" s="1494">
        <f>SUM(E222:E228)+E231+E234+SUM(E239:E244)</f>
        <v>0</v>
      </c>
      <c r="F245" s="1494">
        <f>SUM(F222:F228)+F231+F234+SUM(F239:F244)</f>
        <v>1881351.1261537671</v>
      </c>
      <c r="G245" s="1522">
        <f>SUM(G222:G228)+G231+G234+SUM(G239:G244)</f>
        <v>0</v>
      </c>
      <c r="H245" s="1495">
        <f>SUM(H222:H228)+H231+H234+SUM(H239:H244)</f>
        <v>2294139.6797337248</v>
      </c>
      <c r="I245" s="1550">
        <f>SUM(I222:I228)+I231+I234+SUM(I239:I244)</f>
        <v>0</v>
      </c>
      <c r="J245" s="1551">
        <f t="shared" si="68"/>
        <v>2294139.6797337248</v>
      </c>
      <c r="K245" s="1494">
        <f>SUM(K222:K228)+K231+K234+SUM(K239:K244)</f>
        <v>0</v>
      </c>
      <c r="L245" s="1494">
        <f>SUM(L222:L228)+L231+L234+SUM(L239:L244)</f>
        <v>0</v>
      </c>
      <c r="M245" s="1522">
        <f>SUM(M222:M228)+M231+M234+SUM(M239:M244)</f>
        <v>0</v>
      </c>
      <c r="N245" s="1495">
        <f t="shared" si="65"/>
        <v>0</v>
      </c>
      <c r="O245" s="704"/>
      <c r="P245" s="705"/>
      <c r="Q245" s="709"/>
      <c r="R245" s="706"/>
      <c r="S245" s="706"/>
      <c r="T245" s="706"/>
      <c r="U245" s="706"/>
      <c r="V245" s="706"/>
      <c r="W245" s="706"/>
      <c r="X245" s="706"/>
      <c r="Y245" s="706"/>
      <c r="Z245" s="706"/>
      <c r="AA245" s="706"/>
      <c r="AB245" s="706"/>
      <c r="AC245" s="706"/>
    </row>
    <row r="246" spans="1:29">
      <c r="A246" s="1483"/>
      <c r="B246" s="1481" t="s">
        <v>294</v>
      </c>
      <c r="C246" s="1346"/>
      <c r="D246" s="1487">
        <f t="shared" si="63"/>
        <v>0</v>
      </c>
      <c r="E246" s="996"/>
      <c r="F246" s="996"/>
      <c r="G246" s="993"/>
      <c r="H246" s="994"/>
      <c r="I246" s="1018"/>
      <c r="J246" s="1547">
        <f t="shared" si="68"/>
        <v>0</v>
      </c>
      <c r="K246" s="996"/>
      <c r="L246" s="996"/>
      <c r="M246" s="1067"/>
      <c r="N246" s="1488">
        <f t="shared" si="65"/>
        <v>0</v>
      </c>
      <c r="O246" s="704"/>
      <c r="P246" s="705"/>
      <c r="Q246" s="709"/>
      <c r="R246" s="706"/>
      <c r="S246" s="706"/>
      <c r="T246" s="706"/>
      <c r="U246" s="706"/>
      <c r="V246" s="706"/>
      <c r="W246" s="706"/>
      <c r="X246" s="706"/>
      <c r="Y246" s="706"/>
      <c r="Z246" s="706"/>
      <c r="AA246" s="706"/>
      <c r="AB246" s="706"/>
      <c r="AC246" s="706"/>
    </row>
    <row r="247" spans="1:29">
      <c r="A247" s="2307"/>
      <c r="B247" s="2316" t="s">
        <v>295</v>
      </c>
      <c r="C247" s="2155"/>
      <c r="D247" s="2303">
        <f t="shared" si="63"/>
        <v>0</v>
      </c>
      <c r="E247" s="2304"/>
      <c r="F247" s="2304"/>
      <c r="G247" s="2391"/>
      <c r="H247" s="2392"/>
      <c r="I247" s="2353"/>
      <c r="J247" s="2386">
        <f t="shared" si="68"/>
        <v>0</v>
      </c>
      <c r="K247" s="2304"/>
      <c r="L247" s="2304"/>
      <c r="M247" s="2325"/>
      <c r="N247" s="2324">
        <f t="shared" si="65"/>
        <v>0</v>
      </c>
      <c r="O247" s="704"/>
      <c r="P247" s="705"/>
      <c r="Q247" s="709"/>
      <c r="R247" s="706"/>
      <c r="S247" s="706"/>
      <c r="T247" s="706"/>
      <c r="U247" s="706"/>
      <c r="V247" s="706"/>
      <c r="W247" s="706"/>
      <c r="X247" s="706"/>
      <c r="Y247" s="706"/>
      <c r="Z247" s="706"/>
      <c r="AA247" s="706"/>
      <c r="AB247" s="706"/>
      <c r="AC247" s="706"/>
    </row>
    <row r="248" spans="1:29">
      <c r="A248" s="2307">
        <v>21</v>
      </c>
      <c r="B248" s="2154" t="s">
        <v>296</v>
      </c>
      <c r="C248" s="2161">
        <v>17</v>
      </c>
      <c r="D248" s="2303">
        <f t="shared" si="63"/>
        <v>1904914.00083</v>
      </c>
      <c r="E248" s="2304"/>
      <c r="F248" s="2304"/>
      <c r="G248" s="2391"/>
      <c r="H248" s="2392">
        <v>1904914.00083</v>
      </c>
      <c r="I248" s="2353"/>
      <c r="J248" s="2386">
        <f t="shared" si="68"/>
        <v>1904914.00083</v>
      </c>
      <c r="K248" s="2304"/>
      <c r="L248" s="2304"/>
      <c r="M248" s="2325"/>
      <c r="N248" s="2324">
        <f t="shared" si="65"/>
        <v>0</v>
      </c>
      <c r="O248" s="704"/>
      <c r="P248" s="705"/>
      <c r="Q248" s="716"/>
      <c r="R248" s="706"/>
      <c r="S248" s="706"/>
      <c r="T248" s="706"/>
      <c r="U248" s="706"/>
      <c r="V248" s="706"/>
      <c r="W248" s="706"/>
      <c r="X248" s="706"/>
      <c r="Y248" s="706"/>
      <c r="Z248" s="706"/>
      <c r="AA248" s="706"/>
      <c r="AB248" s="706"/>
      <c r="AC248" s="706"/>
    </row>
    <row r="249" spans="1:29">
      <c r="A249" s="2307">
        <v>22</v>
      </c>
      <c r="B249" s="2154" t="s">
        <v>297</v>
      </c>
      <c r="C249" s="2155"/>
      <c r="D249" s="2303">
        <f t="shared" si="63"/>
        <v>14743.50764</v>
      </c>
      <c r="E249" s="2304"/>
      <c r="F249" s="2304"/>
      <c r="G249" s="2391"/>
      <c r="H249" s="2392">
        <v>14743.50764</v>
      </c>
      <c r="I249" s="2353"/>
      <c r="J249" s="2386">
        <f t="shared" si="68"/>
        <v>14743.50764</v>
      </c>
      <c r="K249" s="2304"/>
      <c r="L249" s="2304"/>
      <c r="M249" s="2325"/>
      <c r="N249" s="2324">
        <f t="shared" si="65"/>
        <v>0</v>
      </c>
      <c r="O249" s="704"/>
      <c r="P249" s="705"/>
      <c r="Q249" s="709"/>
      <c r="R249" s="706"/>
      <c r="S249" s="706"/>
      <c r="T249" s="706"/>
      <c r="U249" s="706"/>
      <c r="V249" s="706"/>
      <c r="W249" s="706"/>
      <c r="X249" s="706"/>
      <c r="Y249" s="706"/>
      <c r="Z249" s="706"/>
      <c r="AA249" s="706"/>
      <c r="AB249" s="706"/>
      <c r="AC249" s="706"/>
    </row>
    <row r="250" spans="1:29">
      <c r="A250" s="2307">
        <v>23</v>
      </c>
      <c r="B250" s="2154" t="s">
        <v>298</v>
      </c>
      <c r="C250" s="2155">
        <v>18</v>
      </c>
      <c r="D250" s="2303">
        <f t="shared" si="63"/>
        <v>85918.646429999993</v>
      </c>
      <c r="E250" s="2304"/>
      <c r="F250" s="2304"/>
      <c r="G250" s="2391"/>
      <c r="H250" s="2392">
        <v>85918.646429999993</v>
      </c>
      <c r="I250" s="2353"/>
      <c r="J250" s="2386">
        <f t="shared" si="68"/>
        <v>85918.646429999993</v>
      </c>
      <c r="K250" s="2304"/>
      <c r="L250" s="2304"/>
      <c r="M250" s="2325"/>
      <c r="N250" s="2324">
        <f t="shared" si="65"/>
        <v>0</v>
      </c>
      <c r="O250" s="704"/>
      <c r="P250" s="705"/>
      <c r="Q250" s="709"/>
      <c r="R250" s="706"/>
      <c r="S250" s="706"/>
      <c r="T250" s="706"/>
      <c r="U250" s="706"/>
      <c r="V250" s="706"/>
      <c r="W250" s="706"/>
      <c r="X250" s="706"/>
      <c r="Y250" s="706"/>
      <c r="Z250" s="706"/>
      <c r="AA250" s="706"/>
      <c r="AB250" s="706"/>
      <c r="AC250" s="706"/>
    </row>
    <row r="251" spans="1:29">
      <c r="A251" s="2307">
        <v>24</v>
      </c>
      <c r="B251" s="2154" t="s">
        <v>299</v>
      </c>
      <c r="C251" s="2155"/>
      <c r="D251" s="2303">
        <f t="shared" si="63"/>
        <v>0</v>
      </c>
      <c r="E251" s="2304"/>
      <c r="F251" s="2304"/>
      <c r="G251" s="2391"/>
      <c r="H251" s="2392"/>
      <c r="I251" s="2353"/>
      <c r="J251" s="2386">
        <f t="shared" si="68"/>
        <v>0</v>
      </c>
      <c r="K251" s="2304"/>
      <c r="L251" s="2304"/>
      <c r="M251" s="2325"/>
      <c r="N251" s="2324">
        <f t="shared" si="65"/>
        <v>0</v>
      </c>
      <c r="O251" s="704"/>
      <c r="P251" s="705"/>
      <c r="Q251" s="709"/>
      <c r="R251" s="706"/>
      <c r="S251" s="706"/>
      <c r="T251" s="706"/>
      <c r="U251" s="706"/>
      <c r="V251" s="706"/>
      <c r="W251" s="706"/>
      <c r="X251" s="706"/>
      <c r="Y251" s="706"/>
      <c r="Z251" s="706"/>
      <c r="AA251" s="706"/>
      <c r="AB251" s="706"/>
      <c r="AC251" s="706"/>
    </row>
    <row r="252" spans="1:29">
      <c r="A252" s="2307">
        <v>25</v>
      </c>
      <c r="B252" s="2176" t="s">
        <v>300</v>
      </c>
      <c r="C252" s="2155"/>
      <c r="D252" s="2303">
        <f t="shared" si="63"/>
        <v>0</v>
      </c>
      <c r="E252" s="2304"/>
      <c r="F252" s="2304"/>
      <c r="G252" s="2391"/>
      <c r="H252" s="2392"/>
      <c r="I252" s="2353"/>
      <c r="J252" s="2386">
        <f t="shared" si="68"/>
        <v>0</v>
      </c>
      <c r="K252" s="2304"/>
      <c r="L252" s="2304"/>
      <c r="M252" s="2325"/>
      <c r="N252" s="2324">
        <f t="shared" si="65"/>
        <v>0</v>
      </c>
      <c r="O252" s="704"/>
      <c r="P252" s="705"/>
      <c r="Q252" s="709"/>
      <c r="R252" s="706"/>
      <c r="S252" s="706"/>
      <c r="T252" s="706"/>
      <c r="U252" s="706"/>
      <c r="V252" s="706"/>
      <c r="W252" s="706"/>
      <c r="X252" s="706"/>
      <c r="Y252" s="706"/>
      <c r="Z252" s="706"/>
      <c r="AA252" s="706"/>
      <c r="AB252" s="706"/>
      <c r="AC252" s="706"/>
    </row>
    <row r="253" spans="1:29" ht="13.5" thickBot="1">
      <c r="A253" s="2314">
        <v>26</v>
      </c>
      <c r="B253" s="2173" t="s">
        <v>301</v>
      </c>
      <c r="C253" s="2177">
        <v>19</v>
      </c>
      <c r="D253" s="1485">
        <f t="shared" si="63"/>
        <v>309105.71999000001</v>
      </c>
      <c r="E253" s="998"/>
      <c r="F253" s="998">
        <v>20542.237649999999</v>
      </c>
      <c r="G253" s="1046"/>
      <c r="H253" s="1051">
        <v>288563.48233999999</v>
      </c>
      <c r="I253" s="2393"/>
      <c r="J253" s="1545">
        <f t="shared" si="68"/>
        <v>288563.48233999999</v>
      </c>
      <c r="K253" s="998"/>
      <c r="L253" s="998"/>
      <c r="M253" s="1070"/>
      <c r="N253" s="2376">
        <f t="shared" si="65"/>
        <v>0</v>
      </c>
      <c r="O253" s="704"/>
      <c r="P253" s="705"/>
      <c r="Q253" s="716"/>
      <c r="R253" s="706"/>
      <c r="S253" s="706"/>
      <c r="T253" s="706"/>
      <c r="U253" s="706"/>
      <c r="V253" s="706"/>
      <c r="W253" s="706"/>
      <c r="X253" s="706"/>
      <c r="Y253" s="706"/>
      <c r="Z253" s="706"/>
      <c r="AA253" s="706"/>
      <c r="AB253" s="706"/>
      <c r="AC253" s="706"/>
    </row>
    <row r="254" spans="1:29" ht="26.25" thickBot="1">
      <c r="A254" s="1482">
        <v>27</v>
      </c>
      <c r="B254" s="1349" t="s">
        <v>302</v>
      </c>
      <c r="C254" s="1348"/>
      <c r="D254" s="1499">
        <f t="shared" si="63"/>
        <v>2314681.8748900001</v>
      </c>
      <c r="E254" s="1019">
        <f>SUM(E248:E253)</f>
        <v>0</v>
      </c>
      <c r="F254" s="1019">
        <f>SUM(F248:F253)</f>
        <v>20542.237649999999</v>
      </c>
      <c r="G254" s="1019">
        <f>SUM(G248:G253)</f>
        <v>0</v>
      </c>
      <c r="H254" s="1039">
        <f>SUM(H248:H253)</f>
        <v>2294139.6372400001</v>
      </c>
      <c r="I254" s="1023">
        <f>SUM(I248:I253)</f>
        <v>0</v>
      </c>
      <c r="J254" s="1546">
        <f>G254+H254+I254</f>
        <v>2294139.6372400001</v>
      </c>
      <c r="K254" s="999">
        <f>SUM(K248:K253)</f>
        <v>0</v>
      </c>
      <c r="L254" s="1019">
        <f>SUM(L248:L253)</f>
        <v>0</v>
      </c>
      <c r="M254" s="1039">
        <f>SUM(M248:M253)</f>
        <v>0</v>
      </c>
      <c r="N254" s="1519">
        <f t="shared" si="65"/>
        <v>0</v>
      </c>
      <c r="O254" s="704"/>
      <c r="P254" s="705"/>
      <c r="Q254" s="709"/>
      <c r="R254" s="706"/>
      <c r="S254" s="706"/>
      <c r="T254" s="706"/>
      <c r="U254" s="706"/>
      <c r="V254" s="706"/>
      <c r="W254" s="706"/>
      <c r="X254" s="706"/>
      <c r="Y254" s="706"/>
      <c r="Z254" s="706"/>
      <c r="AA254" s="706"/>
      <c r="AB254" s="706"/>
      <c r="AC254" s="706"/>
    </row>
    <row r="255" spans="1:29">
      <c r="A255" s="1483"/>
      <c r="B255" s="1481" t="s">
        <v>303</v>
      </c>
      <c r="C255" s="1346">
        <v>20</v>
      </c>
      <c r="D255" s="1487">
        <f t="shared" si="63"/>
        <v>0</v>
      </c>
      <c r="E255" s="996"/>
      <c r="F255" s="996"/>
      <c r="G255" s="993"/>
      <c r="H255" s="994"/>
      <c r="I255" s="1018"/>
      <c r="J255" s="1503">
        <f t="shared" ref="J255:J261" si="69">G255+H255+I255</f>
        <v>0</v>
      </c>
      <c r="K255" s="996"/>
      <c r="L255" s="996"/>
      <c r="M255" s="1067"/>
      <c r="N255" s="1488">
        <f t="shared" si="65"/>
        <v>0</v>
      </c>
      <c r="O255" s="704"/>
      <c r="P255" s="705"/>
      <c r="Q255" s="709"/>
      <c r="R255" s="706"/>
      <c r="S255" s="706"/>
      <c r="T255" s="706"/>
      <c r="U255" s="706"/>
      <c r="V255" s="706"/>
      <c r="W255" s="706"/>
      <c r="X255" s="706"/>
      <c r="Y255" s="706"/>
      <c r="Z255" s="706"/>
      <c r="AA255" s="706"/>
      <c r="AB255" s="706"/>
      <c r="AC255" s="706"/>
    </row>
    <row r="256" spans="1:29">
      <c r="A256" s="2307">
        <v>28</v>
      </c>
      <c r="B256" s="2302" t="s">
        <v>304</v>
      </c>
      <c r="C256" s="2161"/>
      <c r="D256" s="2303">
        <f t="shared" si="63"/>
        <v>675564.87</v>
      </c>
      <c r="E256" s="2304"/>
      <c r="F256" s="2304">
        <v>675564.87</v>
      </c>
      <c r="G256" s="2391"/>
      <c r="H256" s="2392"/>
      <c r="I256" s="2353"/>
      <c r="J256" s="2371">
        <f t="shared" si="69"/>
        <v>0</v>
      </c>
      <c r="K256" s="2304"/>
      <c r="L256" s="2304"/>
      <c r="M256" s="2325"/>
      <c r="N256" s="2324">
        <f t="shared" si="65"/>
        <v>0</v>
      </c>
      <c r="O256" s="704"/>
      <c r="P256" s="705"/>
      <c r="Q256" s="716"/>
      <c r="R256" s="706"/>
      <c r="S256" s="706"/>
      <c r="T256" s="706"/>
      <c r="U256" s="706"/>
      <c r="V256" s="706"/>
      <c r="W256" s="706"/>
      <c r="X256" s="706"/>
      <c r="Y256" s="706"/>
      <c r="Z256" s="706"/>
      <c r="AA256" s="706"/>
      <c r="AB256" s="706"/>
      <c r="AC256" s="706"/>
    </row>
    <row r="257" spans="1:42">
      <c r="A257" s="2307">
        <v>29</v>
      </c>
      <c r="B257" s="2302" t="s">
        <v>305</v>
      </c>
      <c r="C257" s="2161"/>
      <c r="D257" s="2303">
        <f t="shared" si="63"/>
        <v>0</v>
      </c>
      <c r="E257" s="2304"/>
      <c r="F257" s="2304"/>
      <c r="G257" s="2391"/>
      <c r="H257" s="2392"/>
      <c r="I257" s="2353"/>
      <c r="J257" s="2371">
        <f t="shared" si="69"/>
        <v>0</v>
      </c>
      <c r="K257" s="2304"/>
      <c r="L257" s="2304"/>
      <c r="M257" s="2325"/>
      <c r="N257" s="2324">
        <f t="shared" si="65"/>
        <v>0</v>
      </c>
      <c r="O257" s="704"/>
      <c r="P257" s="705"/>
      <c r="Q257" s="716"/>
      <c r="R257" s="706"/>
      <c r="S257" s="706"/>
      <c r="T257" s="706"/>
      <c r="U257" s="706"/>
      <c r="V257" s="706"/>
      <c r="W257" s="706"/>
      <c r="X257" s="706"/>
      <c r="Y257" s="706"/>
      <c r="Z257" s="706"/>
      <c r="AA257" s="706"/>
      <c r="AB257" s="706"/>
      <c r="AC257" s="706"/>
    </row>
    <row r="258" spans="1:42">
      <c r="A258" s="2307">
        <v>30</v>
      </c>
      <c r="B258" s="2302" t="s">
        <v>306</v>
      </c>
      <c r="C258" s="2177"/>
      <c r="D258" s="2303">
        <f t="shared" si="63"/>
        <v>0</v>
      </c>
      <c r="E258" s="2304"/>
      <c r="F258" s="998"/>
      <c r="G258" s="1046"/>
      <c r="H258" s="2394"/>
      <c r="I258" s="2395"/>
      <c r="J258" s="2371">
        <f t="shared" si="69"/>
        <v>0</v>
      </c>
      <c r="K258" s="2304"/>
      <c r="L258" s="2304"/>
      <c r="M258" s="2325"/>
      <c r="N258" s="2324">
        <f t="shared" si="65"/>
        <v>0</v>
      </c>
      <c r="O258" s="704"/>
      <c r="P258" s="705"/>
      <c r="Q258" s="716"/>
      <c r="R258" s="706"/>
      <c r="S258" s="706"/>
      <c r="T258" s="706"/>
      <c r="U258" s="706"/>
      <c r="V258" s="706"/>
      <c r="W258" s="706"/>
      <c r="X258" s="706"/>
      <c r="Y258" s="706"/>
      <c r="Z258" s="706"/>
      <c r="AA258" s="706"/>
      <c r="AB258" s="706"/>
      <c r="AC258" s="706"/>
    </row>
    <row r="259" spans="1:42">
      <c r="A259" s="2307">
        <v>31</v>
      </c>
      <c r="B259" s="2302" t="s">
        <v>307</v>
      </c>
      <c r="C259" s="2177"/>
      <c r="D259" s="2303">
        <f t="shared" si="63"/>
        <v>0</v>
      </c>
      <c r="E259" s="2304"/>
      <c r="F259" s="998"/>
      <c r="G259" s="1046"/>
      <c r="H259" s="2394"/>
      <c r="I259" s="2395"/>
      <c r="J259" s="2371">
        <f t="shared" si="69"/>
        <v>0</v>
      </c>
      <c r="K259" s="2304"/>
      <c r="L259" s="2304"/>
      <c r="M259" s="2325"/>
      <c r="N259" s="2324">
        <f t="shared" si="65"/>
        <v>0</v>
      </c>
      <c r="O259" s="704"/>
      <c r="P259" s="705"/>
      <c r="Q259" s="716"/>
      <c r="R259" s="706"/>
      <c r="S259" s="706"/>
      <c r="T259" s="706"/>
      <c r="U259" s="706"/>
      <c r="V259" s="706"/>
      <c r="W259" s="706"/>
      <c r="X259" s="706"/>
      <c r="Y259" s="706"/>
      <c r="Z259" s="706"/>
      <c r="AA259" s="706"/>
      <c r="AB259" s="706"/>
      <c r="AC259" s="706"/>
    </row>
    <row r="260" spans="1:42" ht="13.5" thickBot="1">
      <c r="A260" s="2314">
        <v>32</v>
      </c>
      <c r="B260" s="2317" t="s">
        <v>308</v>
      </c>
      <c r="C260" s="2177"/>
      <c r="D260" s="2303">
        <f t="shared" si="63"/>
        <v>1185244.060160001</v>
      </c>
      <c r="E260" s="2304"/>
      <c r="F260" s="998">
        <v>1185244.060160001</v>
      </c>
      <c r="G260" s="1046"/>
      <c r="H260" s="2394"/>
      <c r="I260" s="2395"/>
      <c r="J260" s="2371">
        <f t="shared" si="69"/>
        <v>0</v>
      </c>
      <c r="K260" s="2304"/>
      <c r="L260" s="2304"/>
      <c r="M260" s="2325"/>
      <c r="N260" s="2324">
        <f t="shared" si="65"/>
        <v>0</v>
      </c>
      <c r="O260" s="704"/>
      <c r="P260" s="705"/>
      <c r="Q260" s="716"/>
      <c r="R260" s="706"/>
      <c r="S260" s="706"/>
      <c r="T260" s="706"/>
      <c r="U260" s="706"/>
      <c r="V260" s="706"/>
      <c r="W260" s="706"/>
      <c r="X260" s="706"/>
      <c r="Y260" s="706"/>
      <c r="Z260" s="706"/>
      <c r="AA260" s="706"/>
      <c r="AB260" s="706"/>
      <c r="AC260" s="706"/>
    </row>
    <row r="261" spans="1:42" s="913" customFormat="1" ht="13.5" thickBot="1">
      <c r="A261" s="1542">
        <v>33</v>
      </c>
      <c r="B261" s="1384" t="s">
        <v>309</v>
      </c>
      <c r="C261" s="1385"/>
      <c r="D261" s="1544">
        <f t="shared" si="63"/>
        <v>1860808.9301600009</v>
      </c>
      <c r="E261" s="1060">
        <f>SUM(E256:E260)</f>
        <v>0</v>
      </c>
      <c r="F261" s="1060">
        <f>SUM(F256:F260)</f>
        <v>1860808.9301600009</v>
      </c>
      <c r="G261" s="1060">
        <f>SUM(G256:G260)</f>
        <v>0</v>
      </c>
      <c r="H261" s="1061">
        <f>SUM(H256:H260)</f>
        <v>0</v>
      </c>
      <c r="I261" s="1062">
        <f>SUM(I256:I260)</f>
        <v>0</v>
      </c>
      <c r="J261" s="1548">
        <f t="shared" si="69"/>
        <v>0</v>
      </c>
      <c r="K261" s="1060">
        <f>SUM(K256:K260)</f>
        <v>0</v>
      </c>
      <c r="L261" s="1060">
        <f>SUM(L256:L260)</f>
        <v>0</v>
      </c>
      <c r="M261" s="1061">
        <f>SUM(M256:M260)</f>
        <v>0</v>
      </c>
      <c r="N261" s="1549">
        <f t="shared" si="65"/>
        <v>0</v>
      </c>
      <c r="O261" s="1024"/>
      <c r="P261" s="1025"/>
      <c r="Q261" s="1063"/>
      <c r="R261" s="1027"/>
      <c r="S261" s="1027"/>
      <c r="T261" s="1027"/>
      <c r="U261" s="1027"/>
      <c r="V261" s="1027"/>
      <c r="W261" s="1027"/>
      <c r="X261" s="1027"/>
      <c r="Y261" s="1027"/>
      <c r="Z261" s="1027"/>
      <c r="AA261" s="1027"/>
      <c r="AB261" s="1027"/>
      <c r="AC261" s="1027"/>
      <c r="AE261" s="1028"/>
      <c r="AF261" s="1028"/>
      <c r="AG261" s="1028"/>
      <c r="AH261" s="1028"/>
      <c r="AI261" s="1028"/>
      <c r="AJ261" s="1028"/>
      <c r="AK261" s="1028"/>
      <c r="AL261" s="1028"/>
      <c r="AM261" s="1028"/>
      <c r="AN261" s="1028"/>
      <c r="AO261" s="1028"/>
      <c r="AP261" s="1028"/>
    </row>
    <row r="262" spans="1:42" ht="26.25" thickBot="1">
      <c r="A262" s="1493">
        <v>34</v>
      </c>
      <c r="B262" s="1352" t="s">
        <v>310</v>
      </c>
      <c r="C262" s="1351"/>
      <c r="D262" s="1526">
        <f>+E262+F262+J262+N262</f>
        <v>4175490.805050001</v>
      </c>
      <c r="E262" s="1526">
        <f>E261+E254</f>
        <v>0</v>
      </c>
      <c r="F262" s="1526">
        <f>F261+F254</f>
        <v>1881351.1678100009</v>
      </c>
      <c r="G262" s="1526">
        <f>G261+G254</f>
        <v>0</v>
      </c>
      <c r="H262" s="1526">
        <f>H261+H254</f>
        <v>2294139.6372400001</v>
      </c>
      <c r="I262" s="1526">
        <f>I261+I254</f>
        <v>0</v>
      </c>
      <c r="J262" s="1535">
        <f>G262+H262+I262</f>
        <v>2294139.6372400001</v>
      </c>
      <c r="K262" s="1526">
        <f>K261+K254</f>
        <v>0</v>
      </c>
      <c r="L262" s="1526">
        <f>L261+L254</f>
        <v>0</v>
      </c>
      <c r="M262" s="1527">
        <f>M261+M254</f>
        <v>0</v>
      </c>
      <c r="N262" s="1529">
        <f t="shared" si="65"/>
        <v>0</v>
      </c>
      <c r="O262" s="704"/>
      <c r="P262" s="705"/>
      <c r="Q262" s="709"/>
      <c r="R262" s="706"/>
      <c r="S262" s="706"/>
      <c r="T262" s="706"/>
      <c r="U262" s="706"/>
      <c r="V262" s="706"/>
      <c r="W262" s="706"/>
      <c r="X262" s="706"/>
      <c r="Y262" s="706"/>
      <c r="Z262" s="706"/>
      <c r="AA262" s="706"/>
      <c r="AB262" s="706"/>
      <c r="AC262" s="706"/>
    </row>
    <row r="264" spans="1:42">
      <c r="B264" s="680"/>
      <c r="D264" s="679"/>
      <c r="E264" s="679"/>
      <c r="F264" s="679"/>
      <c r="G264" s="679"/>
      <c r="H264" s="679"/>
      <c r="I264" s="679"/>
      <c r="J264" s="679"/>
      <c r="K264" s="679"/>
      <c r="L264" s="679"/>
      <c r="M264" s="679"/>
      <c r="N264" s="911">
        <v>34</v>
      </c>
      <c r="O264" s="679"/>
    </row>
    <row r="265" spans="1:42">
      <c r="D265" s="679"/>
      <c r="E265" s="679"/>
      <c r="F265" s="679"/>
      <c r="G265" s="679"/>
      <c r="H265" s="679"/>
      <c r="I265" s="679"/>
      <c r="J265" s="679"/>
    </row>
    <row r="266" spans="1:42" ht="13.5" thickBot="1"/>
    <row r="267" spans="1:42" ht="15.75" customHeight="1" thickBot="1">
      <c r="A267" s="1368" t="s">
        <v>175</v>
      </c>
      <c r="B267" s="3573" t="s">
        <v>116</v>
      </c>
      <c r="C267" s="3534"/>
      <c r="M267" s="3538" t="s">
        <v>251</v>
      </c>
      <c r="N267" s="3538"/>
      <c r="O267" s="701"/>
    </row>
    <row r="268" spans="1:42" ht="19.5" customHeight="1" thickBot="1">
      <c r="A268" s="3555" t="s">
        <v>252</v>
      </c>
      <c r="B268" s="1467"/>
      <c r="C268" s="3523" t="s">
        <v>254</v>
      </c>
      <c r="D268" s="3562" t="s">
        <v>255</v>
      </c>
      <c r="E268" s="3562" t="s">
        <v>256</v>
      </c>
      <c r="F268" s="3562" t="s">
        <v>257</v>
      </c>
      <c r="G268" s="3565" t="s">
        <v>258</v>
      </c>
      <c r="H268" s="3566"/>
      <c r="I268" s="3566"/>
      <c r="J268" s="3566"/>
      <c r="K268" s="3566"/>
      <c r="L268" s="3566"/>
      <c r="M268" s="3566"/>
      <c r="N268" s="3567"/>
      <c r="O268" s="702"/>
    </row>
    <row r="269" spans="1:42" ht="15.75" customHeight="1" thickBot="1">
      <c r="A269" s="3556"/>
      <c r="B269" s="1468"/>
      <c r="C269" s="3524"/>
      <c r="D269" s="3563"/>
      <c r="E269" s="3563"/>
      <c r="F269" s="3563"/>
      <c r="G269" s="3529" t="s">
        <v>259</v>
      </c>
      <c r="H269" s="3530"/>
      <c r="I269" s="3530"/>
      <c r="J269" s="3531"/>
      <c r="K269" s="3568" t="s">
        <v>260</v>
      </c>
      <c r="L269" s="3569"/>
      <c r="M269" s="3569"/>
      <c r="N269" s="3570"/>
      <c r="O269" s="458"/>
    </row>
    <row r="270" spans="1:42" ht="39" thickBot="1">
      <c r="A270" s="3556"/>
      <c r="B270" s="1469"/>
      <c r="C270" s="3524"/>
      <c r="D270" s="3564"/>
      <c r="E270" s="3564"/>
      <c r="F270" s="3564"/>
      <c r="G270" s="1336" t="s">
        <v>261</v>
      </c>
      <c r="H270" s="1336" t="s">
        <v>262</v>
      </c>
      <c r="I270" s="1336" t="s">
        <v>263</v>
      </c>
      <c r="J270" s="1336" t="s">
        <v>158</v>
      </c>
      <c r="K270" s="1337" t="s">
        <v>264</v>
      </c>
      <c r="L270" s="1337" t="s">
        <v>265</v>
      </c>
      <c r="M270" s="1337" t="s">
        <v>266</v>
      </c>
      <c r="N270" s="1404" t="s">
        <v>158</v>
      </c>
      <c r="O270" s="443"/>
    </row>
    <row r="271" spans="1:42" ht="13.5" thickBot="1">
      <c r="A271" s="3556"/>
      <c r="B271" s="1468"/>
      <c r="C271" s="3524"/>
      <c r="D271" s="1470">
        <v>1</v>
      </c>
      <c r="E271" s="1471">
        <v>2</v>
      </c>
      <c r="F271" s="1471">
        <v>3</v>
      </c>
      <c r="G271" s="1472">
        <v>4</v>
      </c>
      <c r="H271" s="1471">
        <v>5</v>
      </c>
      <c r="I271" s="1473">
        <v>6</v>
      </c>
      <c r="J271" s="1474">
        <v>7</v>
      </c>
      <c r="K271" s="1472">
        <v>8</v>
      </c>
      <c r="L271" s="1471">
        <v>9</v>
      </c>
      <c r="M271" s="1496">
        <v>10</v>
      </c>
      <c r="N271" s="1470">
        <v>11</v>
      </c>
      <c r="O271" s="702"/>
    </row>
    <row r="272" spans="1:42" ht="13.5" thickBot="1">
      <c r="A272" s="3557"/>
      <c r="B272" s="1475"/>
      <c r="C272" s="3525"/>
      <c r="D272" s="1476"/>
      <c r="E272" s="1476"/>
      <c r="F272" s="1476"/>
      <c r="G272" s="1477"/>
      <c r="H272" s="1476"/>
      <c r="I272" s="1552"/>
      <c r="J272" s="1478" t="s">
        <v>267</v>
      </c>
      <c r="K272" s="1477"/>
      <c r="L272" s="1476"/>
      <c r="M272" s="1968"/>
      <c r="N272" s="1553" t="s">
        <v>268</v>
      </c>
      <c r="O272" s="703"/>
      <c r="P272" s="703"/>
      <c r="Q272" s="703"/>
    </row>
    <row r="273" spans="1:42">
      <c r="A273" s="1480"/>
      <c r="B273" s="1554" t="s">
        <v>269</v>
      </c>
      <c r="C273" s="1405"/>
      <c r="D273" s="1555"/>
      <c r="E273" s="685"/>
      <c r="F273" s="685"/>
      <c r="G273" s="682"/>
      <c r="H273" s="683"/>
      <c r="I273" s="686"/>
      <c r="J273" s="1557"/>
      <c r="K273" s="677"/>
      <c r="L273" s="676"/>
      <c r="M273" s="678"/>
      <c r="N273" s="1558"/>
      <c r="Q273" s="719"/>
      <c r="R273" s="706"/>
      <c r="S273" s="706"/>
      <c r="T273" s="706"/>
      <c r="U273" s="706"/>
      <c r="V273" s="706"/>
      <c r="W273" s="706"/>
      <c r="X273" s="706"/>
      <c r="Y273" s="706"/>
      <c r="Z273" s="706"/>
      <c r="AA273" s="706"/>
      <c r="AB273" s="706"/>
      <c r="AC273" s="706"/>
    </row>
    <row r="274" spans="1:42">
      <c r="A274" s="2301">
        <v>1</v>
      </c>
      <c r="B274" s="2302" t="s">
        <v>270</v>
      </c>
      <c r="C274" s="2155"/>
      <c r="D274" s="2303">
        <f>+E274+F274+J274+N274</f>
        <v>0</v>
      </c>
      <c r="E274" s="2330"/>
      <c r="F274" s="2330">
        <v>0</v>
      </c>
      <c r="G274" s="2327">
        <v>0</v>
      </c>
      <c r="H274" s="2323">
        <v>0</v>
      </c>
      <c r="I274" s="2329">
        <v>0</v>
      </c>
      <c r="J274" s="2158">
        <f>G274+H274+I274</f>
        <v>0</v>
      </c>
      <c r="K274" s="2304"/>
      <c r="L274" s="2304"/>
      <c r="M274" s="2325"/>
      <c r="N274" s="2324">
        <f>K274+L274+M274</f>
        <v>0</v>
      </c>
      <c r="O274" s="704"/>
      <c r="P274" s="705"/>
      <c r="Q274" s="719"/>
      <c r="R274" s="706"/>
      <c r="S274" s="706"/>
      <c r="T274" s="706"/>
      <c r="U274" s="706"/>
      <c r="V274" s="706"/>
      <c r="W274" s="706"/>
      <c r="X274" s="706"/>
      <c r="Y274" s="706"/>
      <c r="Z274" s="706"/>
      <c r="AA274" s="706"/>
      <c r="AB274" s="706"/>
      <c r="AC274" s="706"/>
    </row>
    <row r="275" spans="1:42">
      <c r="A275" s="2301">
        <v>2</v>
      </c>
      <c r="B275" s="2302" t="s">
        <v>271</v>
      </c>
      <c r="C275" s="2155"/>
      <c r="D275" s="2303">
        <f t="shared" ref="D275:D313" si="70">+E275+F275+J275+N275</f>
        <v>404</v>
      </c>
      <c r="E275" s="2330"/>
      <c r="F275" s="2330">
        <v>404</v>
      </c>
      <c r="G275" s="2327">
        <v>0</v>
      </c>
      <c r="H275" s="2323">
        <v>0</v>
      </c>
      <c r="I275" s="2329">
        <v>0</v>
      </c>
      <c r="J275" s="2158">
        <f t="shared" ref="J275:J285" si="71">G275+H275+I275</f>
        <v>0</v>
      </c>
      <c r="K275" s="2304"/>
      <c r="L275" s="2304"/>
      <c r="M275" s="2325"/>
      <c r="N275" s="2324">
        <f t="shared" ref="N275:N314" si="72">K275+L275+M275</f>
        <v>0</v>
      </c>
      <c r="O275" s="704"/>
      <c r="P275" s="705"/>
      <c r="Q275" s="719"/>
      <c r="R275" s="706"/>
      <c r="S275" s="706"/>
      <c r="T275" s="706"/>
      <c r="U275" s="706"/>
      <c r="V275" s="706"/>
      <c r="W275" s="706"/>
      <c r="X275" s="706"/>
      <c r="Y275" s="706"/>
      <c r="Z275" s="706"/>
      <c r="AA275" s="706"/>
      <c r="AB275" s="706"/>
      <c r="AC275" s="706"/>
    </row>
    <row r="276" spans="1:42">
      <c r="A276" s="2301">
        <v>3</v>
      </c>
      <c r="B276" s="2302" t="s">
        <v>272</v>
      </c>
      <c r="C276" s="2155"/>
      <c r="D276" s="2303">
        <f t="shared" si="70"/>
        <v>0</v>
      </c>
      <c r="E276" s="2330"/>
      <c r="F276" s="2330">
        <v>0</v>
      </c>
      <c r="G276" s="2327">
        <v>0</v>
      </c>
      <c r="H276" s="2323">
        <v>0</v>
      </c>
      <c r="I276" s="2329">
        <v>0</v>
      </c>
      <c r="J276" s="2158">
        <f t="shared" si="71"/>
        <v>0</v>
      </c>
      <c r="K276" s="2304"/>
      <c r="L276" s="2304"/>
      <c r="M276" s="2325"/>
      <c r="N276" s="2324">
        <f t="shared" si="72"/>
        <v>0</v>
      </c>
      <c r="O276" s="704"/>
      <c r="P276" s="705"/>
      <c r="Q276" s="719"/>
      <c r="R276" s="706"/>
      <c r="S276" s="706"/>
      <c r="T276" s="706"/>
      <c r="U276" s="706"/>
      <c r="V276" s="706"/>
      <c r="W276" s="706"/>
      <c r="X276" s="706"/>
      <c r="Y276" s="706"/>
      <c r="Z276" s="706"/>
      <c r="AA276" s="706"/>
      <c r="AB276" s="706"/>
      <c r="AC276" s="706"/>
    </row>
    <row r="277" spans="1:42">
      <c r="A277" s="2301">
        <v>4</v>
      </c>
      <c r="B277" s="2302" t="s">
        <v>273</v>
      </c>
      <c r="C277" s="2155"/>
      <c r="D277" s="2303">
        <f t="shared" si="70"/>
        <v>752394</v>
      </c>
      <c r="E277" s="2330"/>
      <c r="F277" s="2396">
        <v>0</v>
      </c>
      <c r="G277" s="2391">
        <v>428864</v>
      </c>
      <c r="H277" s="2392">
        <v>323530</v>
      </c>
      <c r="I277" s="2397">
        <v>0</v>
      </c>
      <c r="J277" s="2158">
        <f t="shared" si="71"/>
        <v>752394</v>
      </c>
      <c r="K277" s="2304"/>
      <c r="L277" s="2304"/>
      <c r="M277" s="2325"/>
      <c r="N277" s="2324">
        <f t="shared" si="72"/>
        <v>0</v>
      </c>
      <c r="O277" s="704"/>
      <c r="P277" s="705"/>
      <c r="Q277" s="719"/>
      <c r="R277" s="706"/>
      <c r="S277" s="706"/>
      <c r="T277" s="706"/>
      <c r="U277" s="706"/>
      <c r="V277" s="706"/>
      <c r="W277" s="706"/>
      <c r="X277" s="706"/>
      <c r="Y277" s="706"/>
      <c r="Z277" s="706"/>
      <c r="AA277" s="706"/>
      <c r="AB277" s="706"/>
      <c r="AC277" s="706"/>
    </row>
    <row r="278" spans="1:42">
      <c r="A278" s="2301">
        <v>5</v>
      </c>
      <c r="B278" s="2302" t="s">
        <v>274</v>
      </c>
      <c r="C278" s="2161">
        <v>5</v>
      </c>
      <c r="D278" s="2303">
        <f t="shared" si="70"/>
        <v>660927</v>
      </c>
      <c r="E278" s="2330"/>
      <c r="F278" s="2330">
        <v>402384</v>
      </c>
      <c r="G278" s="2327">
        <f>687407-G277</f>
        <v>258543</v>
      </c>
      <c r="H278" s="2323">
        <v>0</v>
      </c>
      <c r="I278" s="2329">
        <v>0</v>
      </c>
      <c r="J278" s="2158">
        <f t="shared" si="71"/>
        <v>258543</v>
      </c>
      <c r="K278" s="2304"/>
      <c r="L278" s="2304"/>
      <c r="M278" s="2325"/>
      <c r="N278" s="2324">
        <f t="shared" si="72"/>
        <v>0</v>
      </c>
      <c r="O278" s="704"/>
      <c r="P278" s="705"/>
      <c r="Q278" s="720"/>
      <c r="R278" s="706"/>
      <c r="S278" s="706"/>
      <c r="T278" s="706"/>
      <c r="U278" s="706"/>
      <c r="V278" s="706"/>
      <c r="W278" s="706"/>
      <c r="X278" s="706"/>
      <c r="Y278" s="706"/>
      <c r="Z278" s="706"/>
      <c r="AA278" s="706"/>
      <c r="AB278" s="706"/>
      <c r="AC278" s="706"/>
    </row>
    <row r="279" spans="1:42">
      <c r="A279" s="2301">
        <v>6</v>
      </c>
      <c r="B279" s="2302" t="s">
        <v>275</v>
      </c>
      <c r="C279" s="2155">
        <v>6</v>
      </c>
      <c r="D279" s="2303">
        <f t="shared" si="70"/>
        <v>0</v>
      </c>
      <c r="E279" s="2304"/>
      <c r="F279" s="2304"/>
      <c r="G279" s="2304"/>
      <c r="H279" s="2325"/>
      <c r="I279" s="2353"/>
      <c r="J279" s="2158">
        <f t="shared" si="71"/>
        <v>0</v>
      </c>
      <c r="K279" s="2304"/>
      <c r="L279" s="2304"/>
      <c r="M279" s="2325"/>
      <c r="N279" s="2324">
        <f t="shared" si="72"/>
        <v>0</v>
      </c>
      <c r="O279" s="704"/>
      <c r="P279" s="705"/>
      <c r="Q279" s="719"/>
      <c r="R279" s="706"/>
      <c r="S279" s="706"/>
      <c r="T279" s="706"/>
      <c r="U279" s="706"/>
      <c r="V279" s="706"/>
      <c r="W279" s="706"/>
      <c r="X279" s="706"/>
      <c r="Y279" s="706"/>
      <c r="Z279" s="706"/>
      <c r="AA279" s="706"/>
      <c r="AB279" s="706"/>
      <c r="AC279" s="706"/>
    </row>
    <row r="280" spans="1:42">
      <c r="A280" s="2301">
        <v>7</v>
      </c>
      <c r="B280" s="2302" t="s">
        <v>276</v>
      </c>
      <c r="C280" s="2161">
        <v>7</v>
      </c>
      <c r="D280" s="2303">
        <f t="shared" si="70"/>
        <v>0</v>
      </c>
      <c r="E280" s="2304"/>
      <c r="F280" s="2304">
        <f>F281+F282</f>
        <v>0</v>
      </c>
      <c r="G280" s="2304">
        <f>G281+G282</f>
        <v>0</v>
      </c>
      <c r="H280" s="2325">
        <f>H281+H282</f>
        <v>0</v>
      </c>
      <c r="I280" s="2353">
        <f>I281+I282</f>
        <v>0</v>
      </c>
      <c r="J280" s="2158">
        <f t="shared" si="71"/>
        <v>0</v>
      </c>
      <c r="K280" s="2304">
        <f>K281+K282</f>
        <v>0</v>
      </c>
      <c r="L280" s="2304">
        <f>L281+L282</f>
        <v>0</v>
      </c>
      <c r="M280" s="2325">
        <f>M281+M282</f>
        <v>0</v>
      </c>
      <c r="N280" s="2324">
        <f t="shared" si="72"/>
        <v>0</v>
      </c>
      <c r="O280" s="704"/>
      <c r="P280" s="705"/>
      <c r="Q280" s="722"/>
      <c r="R280" s="706"/>
      <c r="S280" s="706"/>
      <c r="T280" s="706"/>
      <c r="U280" s="706"/>
      <c r="V280" s="706"/>
      <c r="W280" s="706"/>
      <c r="X280" s="706"/>
      <c r="Y280" s="706"/>
      <c r="Z280" s="706"/>
      <c r="AA280" s="706"/>
      <c r="AB280" s="706"/>
      <c r="AC280" s="706"/>
    </row>
    <row r="281" spans="1:42">
      <c r="A281" s="2307"/>
      <c r="B281" s="2162" t="s">
        <v>277</v>
      </c>
      <c r="C281" s="2161"/>
      <c r="D281" s="2303">
        <f t="shared" si="70"/>
        <v>0</v>
      </c>
      <c r="E281" s="2304"/>
      <c r="F281" s="2304"/>
      <c r="G281" s="2304"/>
      <c r="H281" s="2325"/>
      <c r="I281" s="2353"/>
      <c r="J281" s="2158">
        <f t="shared" si="71"/>
        <v>0</v>
      </c>
      <c r="K281" s="2304"/>
      <c r="L281" s="2304"/>
      <c r="M281" s="2325"/>
      <c r="N281" s="2324">
        <f t="shared" si="72"/>
        <v>0</v>
      </c>
      <c r="O281" s="704"/>
      <c r="P281" s="705"/>
      <c r="Q281" s="722"/>
      <c r="R281" s="706"/>
      <c r="S281" s="706"/>
      <c r="T281" s="706"/>
      <c r="U281" s="706"/>
      <c r="V281" s="706"/>
      <c r="W281" s="706"/>
      <c r="X281" s="706"/>
      <c r="Y281" s="706"/>
      <c r="Z281" s="706"/>
      <c r="AA281" s="706"/>
      <c r="AB281" s="706"/>
      <c r="AC281" s="706"/>
    </row>
    <row r="282" spans="1:42">
      <c r="A282" s="2307"/>
      <c r="B282" s="2162" t="s">
        <v>278</v>
      </c>
      <c r="C282" s="2161"/>
      <c r="D282" s="2303">
        <f t="shared" si="70"/>
        <v>0</v>
      </c>
      <c r="E282" s="2304"/>
      <c r="F282" s="2304"/>
      <c r="G282" s="2304"/>
      <c r="H282" s="2325"/>
      <c r="I282" s="2353"/>
      <c r="J282" s="2158">
        <f t="shared" si="71"/>
        <v>0</v>
      </c>
      <c r="K282" s="2304"/>
      <c r="L282" s="2304"/>
      <c r="M282" s="2325"/>
      <c r="N282" s="2324">
        <f t="shared" si="72"/>
        <v>0</v>
      </c>
      <c r="O282" s="704"/>
      <c r="P282" s="705"/>
      <c r="Q282" s="720"/>
      <c r="R282" s="706"/>
      <c r="S282" s="706"/>
      <c r="T282" s="706"/>
      <c r="U282" s="706"/>
      <c r="V282" s="706"/>
      <c r="W282" s="706"/>
      <c r="X282" s="706"/>
      <c r="Y282" s="706"/>
      <c r="Z282" s="706"/>
      <c r="AA282" s="706"/>
      <c r="AB282" s="706"/>
      <c r="AC282" s="706"/>
    </row>
    <row r="283" spans="1:42">
      <c r="A283" s="2301">
        <v>8</v>
      </c>
      <c r="B283" s="2302" t="s">
        <v>279</v>
      </c>
      <c r="C283" s="2155">
        <v>8</v>
      </c>
      <c r="D283" s="2303">
        <f t="shared" si="70"/>
        <v>0</v>
      </c>
      <c r="E283" s="2304"/>
      <c r="F283" s="2304">
        <f>F284+F285</f>
        <v>0</v>
      </c>
      <c r="G283" s="2304">
        <f>G284+G285</f>
        <v>0</v>
      </c>
      <c r="H283" s="2325">
        <f>H284+H285</f>
        <v>0</v>
      </c>
      <c r="I283" s="2353">
        <f>I284+I285</f>
        <v>0</v>
      </c>
      <c r="J283" s="2158">
        <f t="shared" si="71"/>
        <v>0</v>
      </c>
      <c r="K283" s="2304">
        <f>K284+K285</f>
        <v>0</v>
      </c>
      <c r="L283" s="2304">
        <f>L284+L285</f>
        <v>0</v>
      </c>
      <c r="M283" s="2325">
        <f>M284+M285</f>
        <v>0</v>
      </c>
      <c r="N283" s="2324">
        <f t="shared" si="72"/>
        <v>0</v>
      </c>
      <c r="O283" s="704"/>
      <c r="P283" s="705"/>
      <c r="Q283" s="719"/>
      <c r="R283" s="706"/>
      <c r="S283" s="706"/>
      <c r="T283" s="706"/>
      <c r="U283" s="706"/>
      <c r="V283" s="706"/>
      <c r="W283" s="706"/>
      <c r="X283" s="706"/>
      <c r="Y283" s="706"/>
      <c r="Z283" s="706"/>
      <c r="AA283" s="706"/>
      <c r="AB283" s="706"/>
      <c r="AC283" s="706"/>
    </row>
    <row r="284" spans="1:42">
      <c r="A284" s="2301"/>
      <c r="B284" s="2162" t="s">
        <v>280</v>
      </c>
      <c r="C284" s="2155"/>
      <c r="D284" s="2303">
        <f t="shared" si="70"/>
        <v>0</v>
      </c>
      <c r="E284" s="2304"/>
      <c r="F284" s="2304"/>
      <c r="G284" s="2304"/>
      <c r="H284" s="2325"/>
      <c r="I284" s="2353"/>
      <c r="J284" s="2158">
        <f t="shared" si="71"/>
        <v>0</v>
      </c>
      <c r="K284" s="2304"/>
      <c r="L284" s="2304"/>
      <c r="M284" s="2325"/>
      <c r="N284" s="2324">
        <f t="shared" si="72"/>
        <v>0</v>
      </c>
      <c r="O284" s="704"/>
      <c r="P284" s="705"/>
      <c r="Q284" s="719"/>
      <c r="R284" s="706"/>
      <c r="S284" s="706"/>
      <c r="T284" s="706"/>
      <c r="U284" s="706"/>
      <c r="V284" s="706"/>
      <c r="W284" s="706"/>
      <c r="X284" s="706"/>
      <c r="Y284" s="706"/>
      <c r="Z284" s="706"/>
      <c r="AA284" s="706"/>
      <c r="AB284" s="706"/>
      <c r="AC284" s="706"/>
    </row>
    <row r="285" spans="1:42">
      <c r="A285" s="2301"/>
      <c r="B285" s="2162" t="s">
        <v>281</v>
      </c>
      <c r="C285" s="2155"/>
      <c r="D285" s="2303">
        <f t="shared" si="70"/>
        <v>0</v>
      </c>
      <c r="E285" s="2304"/>
      <c r="F285" s="2304"/>
      <c r="G285" s="2304"/>
      <c r="H285" s="2325"/>
      <c r="I285" s="2353"/>
      <c r="J285" s="2158">
        <f t="shared" si="71"/>
        <v>0</v>
      </c>
      <c r="K285" s="2304"/>
      <c r="L285" s="2304"/>
      <c r="M285" s="2325"/>
      <c r="N285" s="2324">
        <f t="shared" si="72"/>
        <v>0</v>
      </c>
      <c r="O285" s="704"/>
      <c r="P285" s="705"/>
      <c r="Q285" s="719"/>
      <c r="R285" s="706"/>
      <c r="S285" s="706"/>
      <c r="T285" s="706"/>
      <c r="U285" s="706"/>
      <c r="V285" s="706"/>
      <c r="W285" s="706"/>
      <c r="X285" s="706"/>
      <c r="Y285" s="706"/>
      <c r="Z285" s="706"/>
      <c r="AA285" s="706"/>
      <c r="AB285" s="706"/>
      <c r="AC285" s="706"/>
    </row>
    <row r="286" spans="1:42" s="913" customFormat="1" ht="25.5">
      <c r="A286" s="2308">
        <v>9</v>
      </c>
      <c r="B286" s="2309" t="s">
        <v>282</v>
      </c>
      <c r="C286" s="2165"/>
      <c r="D286" s="2310">
        <f t="shared" si="70"/>
        <v>27367792</v>
      </c>
      <c r="E286" s="2311">
        <f>SUM(E287:E290)</f>
        <v>0</v>
      </c>
      <c r="F286" s="2311">
        <f>SUM(F287:F290)</f>
        <v>8059692</v>
      </c>
      <c r="G286" s="2311">
        <f>SUM(G287:G290)</f>
        <v>7354974</v>
      </c>
      <c r="H286" s="2333">
        <f>SUM(H287:H290)</f>
        <v>11368644</v>
      </c>
      <c r="I286" s="2334">
        <f>SUM(I287:I290)</f>
        <v>584482</v>
      </c>
      <c r="J286" s="2168">
        <f>G286+H286+I286</f>
        <v>19308100</v>
      </c>
      <c r="K286" s="2311">
        <f>SUM(K287:K290)</f>
        <v>0</v>
      </c>
      <c r="L286" s="2311">
        <f>SUM(L287:L290)</f>
        <v>0</v>
      </c>
      <c r="M286" s="2333">
        <f>SUM(M287:M290)</f>
        <v>0</v>
      </c>
      <c r="N286" s="2336">
        <f t="shared" si="72"/>
        <v>0</v>
      </c>
      <c r="O286" s="1024"/>
      <c r="P286" s="1025"/>
      <c r="Q286" s="723"/>
      <c r="R286" s="1027"/>
      <c r="S286" s="1027"/>
      <c r="T286" s="1027"/>
      <c r="U286" s="1027"/>
      <c r="V286" s="1027"/>
      <c r="W286" s="1027"/>
      <c r="X286" s="1027"/>
      <c r="Y286" s="1027"/>
      <c r="Z286" s="1027"/>
      <c r="AA286" s="1027"/>
      <c r="AB286" s="1027"/>
      <c r="AC286" s="1027"/>
      <c r="AE286" s="1028"/>
      <c r="AF286" s="1028"/>
      <c r="AG286" s="1028"/>
      <c r="AH286" s="1028"/>
      <c r="AI286" s="1028"/>
      <c r="AJ286" s="1028"/>
      <c r="AK286" s="1028"/>
      <c r="AL286" s="1028"/>
      <c r="AM286" s="1028"/>
      <c r="AN286" s="1028"/>
      <c r="AO286" s="1028"/>
      <c r="AP286" s="1028"/>
    </row>
    <row r="287" spans="1:42">
      <c r="A287" s="2307">
        <v>10</v>
      </c>
      <c r="B287" s="2171" t="s">
        <v>283</v>
      </c>
      <c r="C287" s="2155">
        <v>9</v>
      </c>
      <c r="D287" s="2303">
        <f t="shared" si="70"/>
        <v>0</v>
      </c>
      <c r="E287" s="2330"/>
      <c r="F287" s="2330">
        <v>0</v>
      </c>
      <c r="G287" s="2327">
        <v>0</v>
      </c>
      <c r="H287" s="2323">
        <v>0</v>
      </c>
      <c r="I287" s="2329"/>
      <c r="J287" s="2158">
        <f t="shared" ref="J287:J305" si="73">G287+H287+I287</f>
        <v>0</v>
      </c>
      <c r="K287" s="2304"/>
      <c r="L287" s="2304"/>
      <c r="M287" s="2325"/>
      <c r="N287" s="2324">
        <f t="shared" si="72"/>
        <v>0</v>
      </c>
      <c r="O287" s="704"/>
      <c r="P287" s="705"/>
      <c r="Q287" s="719"/>
      <c r="R287" s="706"/>
      <c r="S287" s="706"/>
      <c r="T287" s="706"/>
      <c r="U287" s="706"/>
      <c r="V287" s="706"/>
      <c r="W287" s="706"/>
      <c r="X287" s="706"/>
      <c r="Y287" s="706"/>
      <c r="Z287" s="706"/>
      <c r="AA287" s="706"/>
      <c r="AB287" s="706"/>
      <c r="AC287" s="706"/>
    </row>
    <row r="288" spans="1:42">
      <c r="A288" s="2307">
        <v>11</v>
      </c>
      <c r="B288" s="2171" t="s">
        <v>284</v>
      </c>
      <c r="C288" s="2155">
        <v>10</v>
      </c>
      <c r="D288" s="2303">
        <f t="shared" si="70"/>
        <v>19213702</v>
      </c>
      <c r="E288" s="2330"/>
      <c r="F288" s="2330">
        <v>4775857</v>
      </c>
      <c r="G288" s="2327">
        <v>4274232</v>
      </c>
      <c r="H288" s="2328">
        <v>9674734</v>
      </c>
      <c r="I288" s="2322">
        <v>488879</v>
      </c>
      <c r="J288" s="2158">
        <f t="shared" si="73"/>
        <v>14437845</v>
      </c>
      <c r="K288" s="2304"/>
      <c r="L288" s="2304"/>
      <c r="M288" s="2325"/>
      <c r="N288" s="2324">
        <f t="shared" si="72"/>
        <v>0</v>
      </c>
      <c r="O288" s="704"/>
      <c r="P288" s="705"/>
      <c r="Q288" s="719"/>
      <c r="R288" s="706"/>
      <c r="S288" s="706"/>
      <c r="T288" s="706"/>
      <c r="U288" s="706"/>
      <c r="V288" s="706"/>
      <c r="W288" s="706"/>
      <c r="X288" s="706"/>
      <c r="Y288" s="706"/>
      <c r="Z288" s="706"/>
      <c r="AA288" s="706"/>
      <c r="AB288" s="706"/>
      <c r="AC288" s="706"/>
    </row>
    <row r="289" spans="1:42">
      <c r="A289" s="2307">
        <v>12</v>
      </c>
      <c r="B289" s="2171" t="s">
        <v>285</v>
      </c>
      <c r="C289" s="2155">
        <v>11</v>
      </c>
      <c r="D289" s="2303">
        <f t="shared" si="70"/>
        <v>4050056</v>
      </c>
      <c r="E289" s="2330"/>
      <c r="F289" s="2330">
        <v>1201698</v>
      </c>
      <c r="G289" s="2327">
        <v>2080027</v>
      </c>
      <c r="H289" s="2328">
        <v>768331</v>
      </c>
      <c r="I289" s="2322">
        <v>0</v>
      </c>
      <c r="J289" s="2158">
        <f t="shared" si="73"/>
        <v>2848358</v>
      </c>
      <c r="K289" s="2304"/>
      <c r="L289" s="2304"/>
      <c r="M289" s="2325"/>
      <c r="N289" s="2324">
        <f t="shared" si="72"/>
        <v>0</v>
      </c>
      <c r="O289" s="704"/>
      <c r="P289" s="705"/>
      <c r="Q289" s="719"/>
      <c r="R289" s="706"/>
      <c r="S289" s="706"/>
      <c r="T289" s="706"/>
      <c r="U289" s="706"/>
      <c r="V289" s="706"/>
      <c r="W289" s="706"/>
      <c r="X289" s="706"/>
      <c r="Y289" s="706"/>
      <c r="Z289" s="706"/>
      <c r="AA289" s="706"/>
      <c r="AB289" s="706"/>
      <c r="AC289" s="706"/>
    </row>
    <row r="290" spans="1:42" ht="25.5">
      <c r="A290" s="2307">
        <v>13</v>
      </c>
      <c r="B290" s="2171" t="s">
        <v>286</v>
      </c>
      <c r="C290" s="2155">
        <v>12</v>
      </c>
      <c r="D290" s="2303">
        <f t="shared" si="70"/>
        <v>4104034</v>
      </c>
      <c r="E290" s="2330"/>
      <c r="F290" s="2330">
        <v>2082137</v>
      </c>
      <c r="G290" s="2327">
        <v>1000715</v>
      </c>
      <c r="H290" s="2328">
        <v>925579</v>
      </c>
      <c r="I290" s="2322">
        <v>95603</v>
      </c>
      <c r="J290" s="2158">
        <f t="shared" si="73"/>
        <v>2021897</v>
      </c>
      <c r="K290" s="2304"/>
      <c r="L290" s="2304"/>
      <c r="M290" s="2325"/>
      <c r="N290" s="2324">
        <f t="shared" si="72"/>
        <v>0</v>
      </c>
      <c r="O290" s="704"/>
      <c r="P290" s="705"/>
      <c r="Q290" s="719"/>
      <c r="R290" s="706"/>
      <c r="S290" s="706"/>
      <c r="T290" s="706"/>
      <c r="U290" s="706"/>
      <c r="V290" s="706"/>
      <c r="W290" s="706"/>
      <c r="X290" s="706"/>
      <c r="Y290" s="706"/>
      <c r="Z290" s="706"/>
      <c r="AA290" s="706"/>
      <c r="AB290" s="706"/>
      <c r="AC290" s="706"/>
    </row>
    <row r="291" spans="1:42">
      <c r="A291" s="2307">
        <v>14</v>
      </c>
      <c r="B291" s="2154" t="s">
        <v>287</v>
      </c>
      <c r="C291" s="2155">
        <v>13</v>
      </c>
      <c r="D291" s="2303">
        <f t="shared" si="70"/>
        <v>234462</v>
      </c>
      <c r="E291" s="2330"/>
      <c r="F291" s="2330">
        <v>0</v>
      </c>
      <c r="G291" s="2327">
        <v>222534</v>
      </c>
      <c r="H291" s="2323">
        <v>11928</v>
      </c>
      <c r="I291" s="2329"/>
      <c r="J291" s="2158">
        <f t="shared" si="73"/>
        <v>234462</v>
      </c>
      <c r="K291" s="2304"/>
      <c r="L291" s="2304"/>
      <c r="M291" s="2325"/>
      <c r="N291" s="2324">
        <f t="shared" si="72"/>
        <v>0</v>
      </c>
      <c r="O291" s="704"/>
      <c r="P291" s="705"/>
      <c r="Q291" s="719"/>
      <c r="R291" s="706"/>
      <c r="S291" s="706"/>
      <c r="T291" s="706"/>
      <c r="U291" s="706"/>
      <c r="V291" s="706"/>
      <c r="W291" s="706"/>
      <c r="X291" s="706"/>
      <c r="Y291" s="706"/>
      <c r="Z291" s="706"/>
      <c r="AA291" s="706"/>
      <c r="AB291" s="706"/>
      <c r="AC291" s="706"/>
    </row>
    <row r="292" spans="1:42">
      <c r="A292" s="2307">
        <v>15</v>
      </c>
      <c r="B292" s="2154" t="s">
        <v>288</v>
      </c>
      <c r="C292" s="2161">
        <v>14</v>
      </c>
      <c r="D292" s="2303">
        <f t="shared" si="70"/>
        <v>323288</v>
      </c>
      <c r="E292" s="2330"/>
      <c r="F292" s="2330">
        <v>0</v>
      </c>
      <c r="G292" s="2327">
        <v>23867</v>
      </c>
      <c r="H292" s="2323">
        <v>299421</v>
      </c>
      <c r="I292" s="2329"/>
      <c r="J292" s="2158">
        <f t="shared" si="73"/>
        <v>323288</v>
      </c>
      <c r="K292" s="2304"/>
      <c r="L292" s="2304"/>
      <c r="M292" s="2325"/>
      <c r="N292" s="2324">
        <f t="shared" si="72"/>
        <v>0</v>
      </c>
      <c r="O292" s="704"/>
      <c r="P292" s="705"/>
      <c r="Q292" s="720"/>
      <c r="R292" s="706"/>
      <c r="S292" s="706"/>
      <c r="T292" s="706"/>
      <c r="U292" s="706"/>
      <c r="V292" s="706"/>
      <c r="W292" s="706"/>
      <c r="X292" s="706"/>
      <c r="Y292" s="706"/>
      <c r="Z292" s="706"/>
      <c r="AA292" s="706"/>
      <c r="AB292" s="706"/>
      <c r="AC292" s="706"/>
    </row>
    <row r="293" spans="1:42">
      <c r="A293" s="2307">
        <v>16</v>
      </c>
      <c r="B293" s="2154" t="s">
        <v>289</v>
      </c>
      <c r="C293" s="2155">
        <v>15</v>
      </c>
      <c r="D293" s="2303">
        <f t="shared" si="70"/>
        <v>856281</v>
      </c>
      <c r="E293" s="2330"/>
      <c r="F293" s="2330">
        <v>0</v>
      </c>
      <c r="G293" s="2327">
        <v>72763</v>
      </c>
      <c r="H293" s="2323">
        <v>783169</v>
      </c>
      <c r="I293" s="2329">
        <v>349</v>
      </c>
      <c r="J293" s="2158">
        <f t="shared" si="73"/>
        <v>856281</v>
      </c>
      <c r="K293" s="2304"/>
      <c r="L293" s="2304"/>
      <c r="M293" s="2325"/>
      <c r="N293" s="2324">
        <f t="shared" si="72"/>
        <v>0</v>
      </c>
      <c r="O293" s="704"/>
      <c r="P293" s="705"/>
      <c r="Q293" s="719"/>
      <c r="R293" s="706"/>
      <c r="S293" s="706"/>
      <c r="T293" s="706"/>
      <c r="U293" s="706"/>
      <c r="V293" s="706"/>
      <c r="W293" s="706"/>
      <c r="X293" s="706"/>
      <c r="Y293" s="706"/>
      <c r="Z293" s="706"/>
      <c r="AA293" s="706"/>
      <c r="AB293" s="706"/>
      <c r="AC293" s="706"/>
    </row>
    <row r="294" spans="1:42">
      <c r="A294" s="2307">
        <v>17</v>
      </c>
      <c r="B294" s="2154" t="s">
        <v>290</v>
      </c>
      <c r="C294" s="2161">
        <v>16</v>
      </c>
      <c r="D294" s="2303">
        <f t="shared" si="70"/>
        <v>2456293</v>
      </c>
      <c r="E294" s="2330"/>
      <c r="F294" s="2330">
        <v>1738676</v>
      </c>
      <c r="G294" s="2327">
        <v>707345</v>
      </c>
      <c r="H294" s="2328">
        <v>-18766</v>
      </c>
      <c r="I294" s="2322">
        <v>29038</v>
      </c>
      <c r="J294" s="2158">
        <f t="shared" si="73"/>
        <v>717617</v>
      </c>
      <c r="K294" s="2304"/>
      <c r="L294" s="2304"/>
      <c r="M294" s="2325"/>
      <c r="N294" s="2324">
        <f t="shared" si="72"/>
        <v>0</v>
      </c>
      <c r="O294" s="704"/>
      <c r="P294" s="705"/>
      <c r="Q294" s="720"/>
      <c r="R294" s="706"/>
      <c r="S294" s="706"/>
      <c r="T294" s="706"/>
      <c r="U294" s="706"/>
      <c r="V294" s="706"/>
      <c r="W294" s="706"/>
      <c r="X294" s="706"/>
      <c r="Y294" s="706"/>
      <c r="Z294" s="706"/>
      <c r="AA294" s="706"/>
      <c r="AB294" s="706"/>
      <c r="AC294" s="706"/>
    </row>
    <row r="295" spans="1:42">
      <c r="A295" s="2307">
        <v>18</v>
      </c>
      <c r="B295" s="2154" t="s">
        <v>291</v>
      </c>
      <c r="C295" s="2155"/>
      <c r="D295" s="2303">
        <f t="shared" si="70"/>
        <v>0</v>
      </c>
      <c r="E295" s="2330"/>
      <c r="F295" s="2330">
        <v>0</v>
      </c>
      <c r="G295" s="2327">
        <v>0</v>
      </c>
      <c r="H295" s="2323">
        <v>0</v>
      </c>
      <c r="I295" s="2329"/>
      <c r="J295" s="2158">
        <f t="shared" si="73"/>
        <v>0</v>
      </c>
      <c r="K295" s="2304"/>
      <c r="L295" s="2304"/>
      <c r="M295" s="2325"/>
      <c r="N295" s="2324">
        <f t="shared" si="72"/>
        <v>0</v>
      </c>
      <c r="O295" s="704"/>
      <c r="P295" s="705"/>
      <c r="Q295" s="719"/>
      <c r="R295" s="706"/>
      <c r="S295" s="706"/>
      <c r="T295" s="706"/>
      <c r="U295" s="706"/>
      <c r="V295" s="706"/>
      <c r="W295" s="706"/>
      <c r="X295" s="706"/>
      <c r="Y295" s="706"/>
      <c r="Z295" s="706"/>
      <c r="AA295" s="706"/>
      <c r="AB295" s="706"/>
      <c r="AC295" s="706"/>
    </row>
    <row r="296" spans="1:42" ht="13.5" thickBot="1">
      <c r="A296" s="2314">
        <v>19</v>
      </c>
      <c r="B296" s="2173" t="s">
        <v>292</v>
      </c>
      <c r="C296" s="2172"/>
      <c r="D296" s="1485">
        <f t="shared" si="70"/>
        <v>554362</v>
      </c>
      <c r="E296" s="1033"/>
      <c r="F296" s="1033">
        <v>118639</v>
      </c>
      <c r="G296" s="1034">
        <v>3025</v>
      </c>
      <c r="H296" s="2359">
        <v>432371.33081000001</v>
      </c>
      <c r="I296" s="2364">
        <v>326.66919000000001</v>
      </c>
      <c r="J296" s="1364">
        <f t="shared" si="73"/>
        <v>435723</v>
      </c>
      <c r="K296" s="998"/>
      <c r="L296" s="998"/>
      <c r="M296" s="1070"/>
      <c r="N296" s="2376">
        <f t="shared" si="72"/>
        <v>0</v>
      </c>
      <c r="O296" s="704"/>
      <c r="P296" s="705"/>
      <c r="Q296" s="719"/>
      <c r="R296" s="706"/>
      <c r="S296" s="706"/>
      <c r="T296" s="706"/>
      <c r="U296" s="706"/>
      <c r="V296" s="706"/>
      <c r="W296" s="706"/>
      <c r="X296" s="706"/>
      <c r="Y296" s="706"/>
      <c r="Z296" s="706"/>
      <c r="AA296" s="706"/>
      <c r="AB296" s="706"/>
      <c r="AC296" s="706"/>
    </row>
    <row r="297" spans="1:42" s="913" customFormat="1" ht="26.25" thickBot="1">
      <c r="A297" s="1493">
        <v>20</v>
      </c>
      <c r="B297" s="1352" t="s">
        <v>293</v>
      </c>
      <c r="C297" s="1351"/>
      <c r="D297" s="1494">
        <f t="shared" si="70"/>
        <v>33206203</v>
      </c>
      <c r="E297" s="1494">
        <f>SUM(E274:E280)+E283+E286+SUM(E291:E296)</f>
        <v>0</v>
      </c>
      <c r="F297" s="1494">
        <f>SUM(F274:F280)+F283+F286+SUM(F291:F296)</f>
        <v>10319795</v>
      </c>
      <c r="G297" s="1494">
        <f>SUM(G274:G280)+G283+G286+SUM(G291:G296)</f>
        <v>9071915</v>
      </c>
      <c r="H297" s="1522">
        <f>SUM(H274:H280)+H283+H286+SUM(H291:H296)</f>
        <v>13200297.330809999</v>
      </c>
      <c r="I297" s="1523">
        <f>SUM(I274:I280)+I283+I286+SUM(I291:I296)</f>
        <v>614195.66919000004</v>
      </c>
      <c r="J297" s="1353">
        <f t="shared" si="73"/>
        <v>22886408</v>
      </c>
      <c r="K297" s="1494">
        <f>SUM(K274:K280)+K283+K286+SUM(K291:K296)</f>
        <v>0</v>
      </c>
      <c r="L297" s="1494">
        <f>SUM(L274:L280)+L283+L286+SUM(L291:L296)</f>
        <v>0</v>
      </c>
      <c r="M297" s="1522">
        <f>SUM(M274:M280)+M283+M286+SUM(M291:M296)</f>
        <v>0</v>
      </c>
      <c r="N297" s="1495">
        <f t="shared" si="72"/>
        <v>0</v>
      </c>
      <c r="O297" s="1024"/>
      <c r="P297" s="1025"/>
      <c r="Q297" s="724"/>
      <c r="R297" s="1027"/>
      <c r="S297" s="1027"/>
      <c r="T297" s="1027"/>
      <c r="U297" s="1027"/>
      <c r="V297" s="1027"/>
      <c r="W297" s="1027"/>
      <c r="X297" s="1027"/>
      <c r="Y297" s="1027"/>
      <c r="Z297" s="1027"/>
      <c r="AA297" s="1027"/>
      <c r="AB297" s="1027"/>
      <c r="AC297" s="1027"/>
      <c r="AE297" s="1028"/>
      <c r="AF297" s="1028"/>
      <c r="AG297" s="1028"/>
      <c r="AH297" s="1028"/>
      <c r="AI297" s="1028"/>
      <c r="AJ297" s="1028"/>
      <c r="AK297" s="1028"/>
      <c r="AL297" s="1028"/>
      <c r="AM297" s="1028"/>
      <c r="AN297" s="1028"/>
      <c r="AO297" s="1028"/>
      <c r="AP297" s="1028"/>
    </row>
    <row r="298" spans="1:42">
      <c r="A298" s="1483"/>
      <c r="B298" s="1481" t="s">
        <v>294</v>
      </c>
      <c r="C298" s="1346"/>
      <c r="D298" s="1487">
        <f t="shared" si="70"/>
        <v>0</v>
      </c>
      <c r="E298" s="691"/>
      <c r="F298" s="691"/>
      <c r="G298" s="688"/>
      <c r="H298" s="689"/>
      <c r="I298" s="1292"/>
      <c r="J298" s="1417">
        <f t="shared" si="73"/>
        <v>0</v>
      </c>
      <c r="K298" s="996"/>
      <c r="L298" s="996"/>
      <c r="M298" s="1067"/>
      <c r="N298" s="1488">
        <f t="shared" si="72"/>
        <v>0</v>
      </c>
      <c r="O298" s="704"/>
      <c r="P298" s="705"/>
      <c r="Q298" s="719"/>
      <c r="R298" s="706"/>
      <c r="S298" s="706"/>
      <c r="T298" s="706"/>
      <c r="U298" s="706"/>
      <c r="V298" s="706"/>
      <c r="W298" s="706"/>
      <c r="X298" s="706"/>
      <c r="Y298" s="706"/>
      <c r="Z298" s="706"/>
      <c r="AA298" s="706"/>
      <c r="AB298" s="706"/>
      <c r="AC298" s="706"/>
    </row>
    <row r="299" spans="1:42">
      <c r="A299" s="2307"/>
      <c r="B299" s="2316" t="s">
        <v>295</v>
      </c>
      <c r="C299" s="2155"/>
      <c r="D299" s="2303">
        <f t="shared" si="70"/>
        <v>0</v>
      </c>
      <c r="E299" s="2330"/>
      <c r="F299" s="2330"/>
      <c r="G299" s="2327"/>
      <c r="H299" s="2323"/>
      <c r="I299" s="2398"/>
      <c r="J299" s="2158">
        <f t="shared" si="73"/>
        <v>0</v>
      </c>
      <c r="K299" s="2304"/>
      <c r="L299" s="2304"/>
      <c r="M299" s="2325"/>
      <c r="N299" s="2324">
        <f t="shared" si="72"/>
        <v>0</v>
      </c>
      <c r="O299" s="704"/>
      <c r="P299" s="705"/>
      <c r="Q299" s="719"/>
      <c r="R299" s="706"/>
      <c r="S299" s="706"/>
      <c r="T299" s="706"/>
      <c r="U299" s="706"/>
      <c r="V299" s="706"/>
      <c r="W299" s="706"/>
      <c r="X299" s="706"/>
      <c r="Y299" s="706"/>
      <c r="Z299" s="706"/>
      <c r="AA299" s="706"/>
      <c r="AB299" s="706"/>
      <c r="AC299" s="706"/>
    </row>
    <row r="300" spans="1:42">
      <c r="A300" s="2307">
        <v>21</v>
      </c>
      <c r="B300" s="2154" t="s">
        <v>296</v>
      </c>
      <c r="C300" s="2161">
        <v>17</v>
      </c>
      <c r="D300" s="2303">
        <f t="shared" si="70"/>
        <v>16841079.342599999</v>
      </c>
      <c r="E300" s="2330"/>
      <c r="F300" s="2330">
        <v>0</v>
      </c>
      <c r="G300" s="2399">
        <v>7586402</v>
      </c>
      <c r="H300" s="2323">
        <v>8125156.3426000001</v>
      </c>
      <c r="I300" s="2400">
        <v>1129521</v>
      </c>
      <c r="J300" s="2158">
        <f t="shared" si="73"/>
        <v>16841079.342599999</v>
      </c>
      <c r="K300" s="2304"/>
      <c r="L300" s="2304"/>
      <c r="M300" s="2325"/>
      <c r="N300" s="2324">
        <f t="shared" si="72"/>
        <v>0</v>
      </c>
      <c r="O300" s="704"/>
      <c r="P300" s="705"/>
      <c r="Q300" s="720"/>
      <c r="R300" s="706"/>
      <c r="S300" s="706"/>
      <c r="T300" s="706"/>
      <c r="U300" s="706"/>
      <c r="V300" s="706"/>
      <c r="W300" s="706"/>
      <c r="X300" s="706"/>
      <c r="Y300" s="706"/>
      <c r="Z300" s="706"/>
      <c r="AA300" s="706"/>
      <c r="AB300" s="706"/>
      <c r="AC300" s="706"/>
    </row>
    <row r="301" spans="1:42">
      <c r="A301" s="2307">
        <v>22</v>
      </c>
      <c r="B301" s="2154" t="s">
        <v>297</v>
      </c>
      <c r="C301" s="2155"/>
      <c r="D301" s="2303">
        <f t="shared" si="70"/>
        <v>182332</v>
      </c>
      <c r="E301" s="2330"/>
      <c r="F301" s="2330">
        <v>0</v>
      </c>
      <c r="G301" s="2399">
        <v>0</v>
      </c>
      <c r="H301" s="2323">
        <v>182332</v>
      </c>
      <c r="I301" s="2398"/>
      <c r="J301" s="2158">
        <f t="shared" si="73"/>
        <v>182332</v>
      </c>
      <c r="K301" s="2304"/>
      <c r="L301" s="2304"/>
      <c r="M301" s="2325"/>
      <c r="N301" s="2324">
        <f t="shared" si="72"/>
        <v>0</v>
      </c>
      <c r="O301" s="704"/>
      <c r="P301" s="705"/>
      <c r="Q301" s="719"/>
      <c r="R301" s="706"/>
      <c r="S301" s="706"/>
      <c r="T301" s="706"/>
      <c r="U301" s="706"/>
      <c r="V301" s="706"/>
      <c r="W301" s="706"/>
      <c r="X301" s="706"/>
      <c r="Y301" s="706"/>
      <c r="Z301" s="706"/>
      <c r="AA301" s="706"/>
      <c r="AB301" s="706"/>
      <c r="AC301" s="706"/>
    </row>
    <row r="302" spans="1:42">
      <c r="A302" s="2307">
        <v>23</v>
      </c>
      <c r="B302" s="2154" t="s">
        <v>298</v>
      </c>
      <c r="C302" s="2155">
        <v>18</v>
      </c>
      <c r="D302" s="2303">
        <f t="shared" si="70"/>
        <v>636060</v>
      </c>
      <c r="E302" s="2330"/>
      <c r="F302" s="2330">
        <v>0</v>
      </c>
      <c r="G302" s="2399">
        <v>21876</v>
      </c>
      <c r="H302" s="2323">
        <v>613405.36962000001</v>
      </c>
      <c r="I302" s="2400">
        <v>778.63038000000006</v>
      </c>
      <c r="J302" s="2158">
        <f t="shared" si="73"/>
        <v>636060</v>
      </c>
      <c r="K302" s="2304"/>
      <c r="L302" s="2304"/>
      <c r="M302" s="2325"/>
      <c r="N302" s="2324">
        <f t="shared" si="72"/>
        <v>0</v>
      </c>
      <c r="O302" s="704"/>
      <c r="P302" s="705"/>
      <c r="Q302" s="719"/>
      <c r="R302" s="706"/>
      <c r="S302" s="706"/>
      <c r="T302" s="706"/>
      <c r="U302" s="706"/>
      <c r="V302" s="706"/>
      <c r="W302" s="706"/>
      <c r="X302" s="706"/>
      <c r="Y302" s="706"/>
      <c r="Z302" s="706"/>
      <c r="AA302" s="706"/>
      <c r="AB302" s="706"/>
      <c r="AC302" s="706"/>
    </row>
    <row r="303" spans="1:42">
      <c r="A303" s="2307">
        <v>24</v>
      </c>
      <c r="B303" s="2154" t="s">
        <v>299</v>
      </c>
      <c r="C303" s="2155"/>
      <c r="D303" s="2303">
        <f t="shared" si="70"/>
        <v>0</v>
      </c>
      <c r="E303" s="2330"/>
      <c r="F303" s="2330">
        <v>0</v>
      </c>
      <c r="G303" s="2327">
        <v>0</v>
      </c>
      <c r="H303" s="2323">
        <v>0</v>
      </c>
      <c r="I303" s="2398"/>
      <c r="J303" s="2158">
        <f t="shared" si="73"/>
        <v>0</v>
      </c>
      <c r="K303" s="2304"/>
      <c r="L303" s="2304"/>
      <c r="M303" s="2325"/>
      <c r="N303" s="2324">
        <f t="shared" si="72"/>
        <v>0</v>
      </c>
      <c r="O303" s="704"/>
      <c r="P303" s="705"/>
      <c r="Q303" s="719"/>
      <c r="R303" s="706"/>
      <c r="S303" s="706"/>
      <c r="T303" s="706"/>
      <c r="U303" s="706"/>
      <c r="V303" s="706"/>
      <c r="W303" s="706"/>
      <c r="X303" s="706"/>
      <c r="Y303" s="706"/>
      <c r="Z303" s="706"/>
      <c r="AA303" s="706"/>
      <c r="AB303" s="706"/>
      <c r="AC303" s="706"/>
    </row>
    <row r="304" spans="1:42">
      <c r="A304" s="2307">
        <v>25</v>
      </c>
      <c r="B304" s="2176" t="s">
        <v>300</v>
      </c>
      <c r="C304" s="2155"/>
      <c r="D304" s="2303">
        <f t="shared" si="70"/>
        <v>3077635</v>
      </c>
      <c r="E304" s="2330"/>
      <c r="F304" s="2401">
        <v>2852245</v>
      </c>
      <c r="G304" s="2399">
        <v>0</v>
      </c>
      <c r="H304" s="2323">
        <v>225390</v>
      </c>
      <c r="I304" s="2398"/>
      <c r="J304" s="2158">
        <f t="shared" si="73"/>
        <v>225390</v>
      </c>
      <c r="K304" s="2304"/>
      <c r="L304" s="2304"/>
      <c r="M304" s="2325"/>
      <c r="N304" s="2324">
        <f t="shared" si="72"/>
        <v>0</v>
      </c>
      <c r="O304" s="704"/>
      <c r="P304" s="705"/>
      <c r="Q304" s="719"/>
      <c r="R304" s="706"/>
      <c r="S304" s="706"/>
      <c r="T304" s="706"/>
      <c r="U304" s="706"/>
      <c r="V304" s="706"/>
      <c r="W304" s="706"/>
      <c r="X304" s="706"/>
      <c r="Y304" s="706"/>
      <c r="Z304" s="706"/>
      <c r="AA304" s="706"/>
      <c r="AB304" s="706"/>
      <c r="AC304" s="706"/>
    </row>
    <row r="305" spans="1:42" ht="13.5" thickBot="1">
      <c r="A305" s="2314">
        <v>26</v>
      </c>
      <c r="B305" s="2173" t="s">
        <v>301</v>
      </c>
      <c r="C305" s="2177">
        <v>19</v>
      </c>
      <c r="D305" s="1485">
        <f t="shared" si="70"/>
        <v>2532849.657399999</v>
      </c>
      <c r="E305" s="1033"/>
      <c r="F305" s="1064">
        <v>-2525194</v>
      </c>
      <c r="G305" s="1065">
        <v>1532219</v>
      </c>
      <c r="H305" s="1038">
        <v>4041928.6185899996</v>
      </c>
      <c r="I305" s="2402">
        <v>-516103.96118999994</v>
      </c>
      <c r="J305" s="1364">
        <f t="shared" si="73"/>
        <v>5058043.657399999</v>
      </c>
      <c r="K305" s="998"/>
      <c r="L305" s="998"/>
      <c r="M305" s="1070"/>
      <c r="N305" s="2376">
        <f t="shared" si="72"/>
        <v>0</v>
      </c>
      <c r="O305" s="704"/>
      <c r="P305" s="705"/>
      <c r="Q305" s="720"/>
      <c r="R305" s="706"/>
      <c r="S305" s="706"/>
      <c r="T305" s="706"/>
      <c r="U305" s="706"/>
      <c r="V305" s="706"/>
      <c r="W305" s="706"/>
      <c r="X305" s="706"/>
      <c r="Y305" s="706"/>
      <c r="Z305" s="706"/>
      <c r="AA305" s="706"/>
      <c r="AB305" s="706"/>
      <c r="AC305" s="706"/>
    </row>
    <row r="306" spans="1:42" s="913" customFormat="1" ht="26.25" thickBot="1">
      <c r="A306" s="1482">
        <v>27</v>
      </c>
      <c r="B306" s="1349" t="s">
        <v>302</v>
      </c>
      <c r="C306" s="1348"/>
      <c r="D306" s="1499">
        <f t="shared" si="70"/>
        <v>23269956</v>
      </c>
      <c r="E306" s="1019">
        <f>SUM(E300:E305)</f>
        <v>0</v>
      </c>
      <c r="F306" s="1019">
        <f>SUM(F300:F305)</f>
        <v>327051</v>
      </c>
      <c r="G306" s="1019">
        <f>SUM(G300:G305)</f>
        <v>9140497</v>
      </c>
      <c r="H306" s="1039">
        <f>SUM(H300:H305)</f>
        <v>13188212.330809999</v>
      </c>
      <c r="I306" s="1019">
        <f>SUM(I300:I305)</f>
        <v>614195.66919000004</v>
      </c>
      <c r="J306" s="1365">
        <f>G306+H306+I306</f>
        <v>22942905</v>
      </c>
      <c r="K306" s="1019">
        <f>SUM(K300:K305)</f>
        <v>0</v>
      </c>
      <c r="L306" s="1019">
        <f>SUM(L300:L305)</f>
        <v>0</v>
      </c>
      <c r="M306" s="1039">
        <f>SUM(M300:M305)</f>
        <v>0</v>
      </c>
      <c r="N306" s="1519">
        <f t="shared" si="72"/>
        <v>0</v>
      </c>
      <c r="O306" s="1024"/>
      <c r="P306" s="1025"/>
      <c r="Q306" s="724"/>
      <c r="R306" s="1027"/>
      <c r="S306" s="1027"/>
      <c r="T306" s="1027"/>
      <c r="U306" s="1027"/>
      <c r="V306" s="1027"/>
      <c r="W306" s="1027"/>
      <c r="X306" s="1027"/>
      <c r="Y306" s="1027"/>
      <c r="Z306" s="1027"/>
      <c r="AA306" s="1027"/>
      <c r="AB306" s="1027"/>
      <c r="AC306" s="1027"/>
      <c r="AE306" s="1028"/>
      <c r="AF306" s="1028"/>
      <c r="AG306" s="1028"/>
      <c r="AH306" s="1028"/>
      <c r="AI306" s="1028"/>
      <c r="AJ306" s="1028"/>
      <c r="AK306" s="1028"/>
      <c r="AL306" s="1028"/>
      <c r="AM306" s="1028"/>
      <c r="AN306" s="1028"/>
      <c r="AO306" s="1028"/>
      <c r="AP306" s="1028"/>
    </row>
    <row r="307" spans="1:42">
      <c r="A307" s="1483"/>
      <c r="B307" s="1481" t="s">
        <v>303</v>
      </c>
      <c r="C307" s="1346">
        <v>20</v>
      </c>
      <c r="D307" s="1487">
        <f t="shared" si="70"/>
        <v>0</v>
      </c>
      <c r="E307" s="691"/>
      <c r="F307" s="691"/>
      <c r="G307" s="688"/>
      <c r="H307" s="689"/>
      <c r="I307" s="692"/>
      <c r="J307" s="1417">
        <f t="shared" ref="J307:J313" si="74">G307+H307+I307</f>
        <v>0</v>
      </c>
      <c r="K307" s="996"/>
      <c r="L307" s="996"/>
      <c r="M307" s="1067"/>
      <c r="N307" s="1488">
        <f t="shared" si="72"/>
        <v>0</v>
      </c>
      <c r="O307" s="704"/>
      <c r="P307" s="705"/>
      <c r="Q307" s="719"/>
      <c r="R307" s="706"/>
      <c r="S307" s="706"/>
      <c r="T307" s="706"/>
      <c r="U307" s="706"/>
      <c r="V307" s="706"/>
      <c r="W307" s="706"/>
      <c r="X307" s="706"/>
      <c r="Y307" s="706"/>
      <c r="Z307" s="706"/>
      <c r="AA307" s="706"/>
      <c r="AB307" s="706"/>
      <c r="AC307" s="706"/>
    </row>
    <row r="308" spans="1:42">
      <c r="A308" s="2307">
        <v>28</v>
      </c>
      <c r="B308" s="2302" t="s">
        <v>304</v>
      </c>
      <c r="C308" s="2161"/>
      <c r="D308" s="2303">
        <f t="shared" si="70"/>
        <v>1062500</v>
      </c>
      <c r="E308" s="2330"/>
      <c r="F308" s="2401">
        <v>1062500</v>
      </c>
      <c r="G308" s="2327">
        <v>0</v>
      </c>
      <c r="H308" s="2323">
        <v>0</v>
      </c>
      <c r="I308" s="2329"/>
      <c r="J308" s="2158">
        <f t="shared" si="74"/>
        <v>0</v>
      </c>
      <c r="K308" s="2304"/>
      <c r="L308" s="2304"/>
      <c r="M308" s="2325"/>
      <c r="N308" s="2324">
        <f t="shared" si="72"/>
        <v>0</v>
      </c>
      <c r="O308" s="704"/>
      <c r="P308" s="705"/>
      <c r="Q308" s="722"/>
      <c r="R308" s="706"/>
      <c r="S308" s="706"/>
      <c r="T308" s="706"/>
      <c r="U308" s="706"/>
      <c r="V308" s="706"/>
      <c r="W308" s="706"/>
      <c r="X308" s="706"/>
      <c r="Y308" s="706"/>
      <c r="Z308" s="706"/>
      <c r="AA308" s="706"/>
      <c r="AB308" s="706"/>
      <c r="AC308" s="706"/>
    </row>
    <row r="309" spans="1:42">
      <c r="A309" s="2307">
        <v>29</v>
      </c>
      <c r="B309" s="2302" t="s">
        <v>305</v>
      </c>
      <c r="C309" s="2161"/>
      <c r="D309" s="2303">
        <f t="shared" si="70"/>
        <v>-1307313</v>
      </c>
      <c r="E309" s="2330"/>
      <c r="F309" s="2401">
        <v>-1185351</v>
      </c>
      <c r="G309" s="2399">
        <v>-161291</v>
      </c>
      <c r="H309" s="2323">
        <v>39329</v>
      </c>
      <c r="I309" s="2329"/>
      <c r="J309" s="2158">
        <f t="shared" si="74"/>
        <v>-121962</v>
      </c>
      <c r="K309" s="2304"/>
      <c r="L309" s="2304"/>
      <c r="M309" s="2325"/>
      <c r="N309" s="2324">
        <f t="shared" si="72"/>
        <v>0</v>
      </c>
      <c r="O309" s="704"/>
      <c r="P309" s="705"/>
      <c r="Q309" s="720"/>
      <c r="R309" s="706"/>
      <c r="S309" s="706"/>
      <c r="T309" s="706"/>
      <c r="U309" s="706"/>
      <c r="V309" s="706"/>
      <c r="W309" s="706"/>
      <c r="X309" s="706"/>
      <c r="Y309" s="706"/>
      <c r="Z309" s="706"/>
      <c r="AA309" s="706"/>
      <c r="AB309" s="706"/>
      <c r="AC309" s="706"/>
    </row>
    <row r="310" spans="1:42">
      <c r="A310" s="2307">
        <v>30</v>
      </c>
      <c r="B310" s="2317" t="s">
        <v>306</v>
      </c>
      <c r="C310" s="2177"/>
      <c r="D310" s="2303">
        <f t="shared" si="70"/>
        <v>92709</v>
      </c>
      <c r="E310" s="2330"/>
      <c r="F310" s="1064">
        <v>0</v>
      </c>
      <c r="G310" s="1065">
        <v>92709</v>
      </c>
      <c r="H310" s="2359">
        <v>0</v>
      </c>
      <c r="I310" s="2364"/>
      <c r="J310" s="2158">
        <f t="shared" si="74"/>
        <v>92709</v>
      </c>
      <c r="K310" s="2304"/>
      <c r="L310" s="2304"/>
      <c r="M310" s="2325"/>
      <c r="N310" s="2324">
        <f t="shared" si="72"/>
        <v>0</v>
      </c>
      <c r="O310" s="704"/>
      <c r="P310" s="705"/>
      <c r="Q310" s="722"/>
      <c r="R310" s="706"/>
      <c r="S310" s="706"/>
      <c r="T310" s="706"/>
      <c r="U310" s="706"/>
      <c r="V310" s="706"/>
      <c r="W310" s="706"/>
      <c r="X310" s="706"/>
      <c r="Y310" s="706"/>
      <c r="Z310" s="706"/>
      <c r="AA310" s="706"/>
      <c r="AB310" s="706"/>
      <c r="AC310" s="706"/>
    </row>
    <row r="311" spans="1:42">
      <c r="A311" s="2307">
        <v>31</v>
      </c>
      <c r="B311" s="2317" t="s">
        <v>307</v>
      </c>
      <c r="C311" s="2177"/>
      <c r="D311" s="2303">
        <f t="shared" si="70"/>
        <v>798004</v>
      </c>
      <c r="E311" s="2330"/>
      <c r="F311" s="1064">
        <v>798004</v>
      </c>
      <c r="G311" s="1034">
        <v>0</v>
      </c>
      <c r="H311" s="2359">
        <v>0</v>
      </c>
      <c r="I311" s="2364"/>
      <c r="J311" s="2158">
        <f t="shared" si="74"/>
        <v>0</v>
      </c>
      <c r="K311" s="2304"/>
      <c r="L311" s="2304"/>
      <c r="M311" s="2325"/>
      <c r="N311" s="2324">
        <f t="shared" si="72"/>
        <v>0</v>
      </c>
      <c r="O311" s="704"/>
      <c r="P311" s="705"/>
      <c r="Q311" s="722"/>
      <c r="R311" s="706"/>
      <c r="S311" s="706"/>
      <c r="T311" s="706"/>
      <c r="U311" s="706"/>
      <c r="V311" s="706"/>
      <c r="W311" s="706"/>
      <c r="X311" s="706"/>
      <c r="Y311" s="706"/>
      <c r="Z311" s="706"/>
      <c r="AA311" s="706"/>
      <c r="AB311" s="706"/>
      <c r="AC311" s="706"/>
    </row>
    <row r="312" spans="1:42" ht="13.5" thickBot="1">
      <c r="A312" s="2314">
        <v>32</v>
      </c>
      <c r="B312" s="2317" t="s">
        <v>308</v>
      </c>
      <c r="C312" s="2177"/>
      <c r="D312" s="1485">
        <f t="shared" si="70"/>
        <v>9290347</v>
      </c>
      <c r="E312" s="1033"/>
      <c r="F312" s="1064">
        <v>9317591</v>
      </c>
      <c r="G312" s="1034">
        <v>0</v>
      </c>
      <c r="H312" s="2359">
        <v>-27244</v>
      </c>
      <c r="I312" s="2364"/>
      <c r="J312" s="1364">
        <f t="shared" si="74"/>
        <v>-27244</v>
      </c>
      <c r="K312" s="998"/>
      <c r="L312" s="998"/>
      <c r="M312" s="1070"/>
      <c r="N312" s="2324">
        <f t="shared" si="72"/>
        <v>0</v>
      </c>
      <c r="O312" s="704"/>
      <c r="P312" s="705"/>
      <c r="Q312" s="720"/>
      <c r="R312" s="706"/>
      <c r="S312" s="706"/>
      <c r="T312" s="706"/>
      <c r="U312" s="706"/>
      <c r="V312" s="706"/>
      <c r="W312" s="706"/>
      <c r="X312" s="706"/>
      <c r="Y312" s="706"/>
      <c r="Z312" s="706"/>
      <c r="AA312" s="706"/>
      <c r="AB312" s="706"/>
      <c r="AC312" s="706"/>
    </row>
    <row r="313" spans="1:42" s="913" customFormat="1" ht="13.5" thickBot="1">
      <c r="A313" s="1482">
        <v>33</v>
      </c>
      <c r="B313" s="1350" t="s">
        <v>309</v>
      </c>
      <c r="C313" s="1348"/>
      <c r="D313" s="1500">
        <f t="shared" si="70"/>
        <v>9936247</v>
      </c>
      <c r="E313" s="1030">
        <f>SUM(E308:E312)</f>
        <v>0</v>
      </c>
      <c r="F313" s="1030">
        <f>SUM(F308:F312)</f>
        <v>9992744</v>
      </c>
      <c r="G313" s="1030">
        <f>SUM(G308:G312)</f>
        <v>-68582</v>
      </c>
      <c r="H313" s="1040">
        <f>SUM(H308:H312)</f>
        <v>12085</v>
      </c>
      <c r="I313" s="1057">
        <f>SUM(I308:I312)</f>
        <v>0</v>
      </c>
      <c r="J313" s="1430">
        <f t="shared" si="74"/>
        <v>-56497</v>
      </c>
      <c r="K313" s="1030">
        <f>SUM(K308:K312)</f>
        <v>0</v>
      </c>
      <c r="L313" s="1030">
        <f>SUM(L308:L312)</f>
        <v>0</v>
      </c>
      <c r="M313" s="1040">
        <f>SUM(M308:M312)</f>
        <v>0</v>
      </c>
      <c r="N313" s="1549">
        <f t="shared" si="72"/>
        <v>0</v>
      </c>
      <c r="O313" s="1024"/>
      <c r="P313" s="1025"/>
      <c r="Q313" s="724"/>
      <c r="R313" s="1027"/>
      <c r="S313" s="1027"/>
      <c r="T313" s="1027"/>
      <c r="U313" s="1027"/>
      <c r="V313" s="1027"/>
      <c r="W313" s="1027"/>
      <c r="X313" s="1027"/>
      <c r="Y313" s="1027"/>
      <c r="Z313" s="1027"/>
      <c r="AA313" s="1027"/>
      <c r="AB313" s="1027"/>
      <c r="AC313" s="1027"/>
      <c r="AE313" s="1028"/>
      <c r="AF313" s="1028"/>
      <c r="AG313" s="1028"/>
      <c r="AH313" s="1028"/>
      <c r="AI313" s="1028"/>
      <c r="AJ313" s="1028"/>
      <c r="AK313" s="1028"/>
      <c r="AL313" s="1028"/>
      <c r="AM313" s="1028"/>
      <c r="AN313" s="1028"/>
      <c r="AO313" s="1028"/>
      <c r="AP313" s="1028"/>
    </row>
    <row r="314" spans="1:42" s="913" customFormat="1" ht="26.25" thickBot="1">
      <c r="A314" s="1493">
        <v>34</v>
      </c>
      <c r="B314" s="1352" t="s">
        <v>310</v>
      </c>
      <c r="C314" s="1351"/>
      <c r="D314" s="1526">
        <f>+E314+F314+J314+N314</f>
        <v>33206203</v>
      </c>
      <c r="E314" s="1526">
        <f>E313+E306</f>
        <v>0</v>
      </c>
      <c r="F314" s="1526">
        <f>F313+F306</f>
        <v>10319795</v>
      </c>
      <c r="G314" s="1526">
        <f>G313+G306</f>
        <v>9071915</v>
      </c>
      <c r="H314" s="1526">
        <f>H313+H306</f>
        <v>13200297.330809999</v>
      </c>
      <c r="I314" s="1526">
        <f>I313+I306</f>
        <v>614195.66919000004</v>
      </c>
      <c r="J314" s="1431">
        <f>G314+H314+I314</f>
        <v>22886408</v>
      </c>
      <c r="K314" s="1526">
        <f>K313+K306</f>
        <v>0</v>
      </c>
      <c r="L314" s="1526">
        <f>L313+L306</f>
        <v>0</v>
      </c>
      <c r="M314" s="1527">
        <f>M313+M306</f>
        <v>0</v>
      </c>
      <c r="N314" s="1529">
        <f t="shared" si="72"/>
        <v>0</v>
      </c>
      <c r="O314" s="1024"/>
      <c r="P314" s="1025"/>
      <c r="Q314" s="724"/>
      <c r="R314" s="1027"/>
      <c r="S314" s="1027"/>
      <c r="T314" s="1027"/>
      <c r="U314" s="1027"/>
      <c r="V314" s="1027"/>
      <c r="W314" s="1027"/>
      <c r="X314" s="1027"/>
      <c r="Y314" s="1027"/>
      <c r="Z314" s="1027"/>
      <c r="AA314" s="1027"/>
      <c r="AB314" s="1027"/>
      <c r="AC314" s="1027"/>
      <c r="AE314" s="1028"/>
      <c r="AF314" s="1028"/>
      <c r="AG314" s="1028"/>
      <c r="AH314" s="1028"/>
      <c r="AI314" s="1028"/>
      <c r="AJ314" s="1028"/>
      <c r="AK314" s="1028"/>
      <c r="AL314" s="1028"/>
      <c r="AM314" s="1028"/>
      <c r="AN314" s="1028"/>
      <c r="AO314" s="1028"/>
      <c r="AP314" s="1028"/>
    </row>
    <row r="315" spans="1:42">
      <c r="S315" s="706"/>
      <c r="T315" s="706"/>
      <c r="U315" s="706"/>
      <c r="V315" s="706"/>
      <c r="W315" s="706"/>
      <c r="X315" s="706"/>
      <c r="Y315" s="706"/>
      <c r="Z315" s="706"/>
      <c r="AA315" s="706"/>
      <c r="AB315" s="706"/>
      <c r="AC315" s="706"/>
    </row>
    <row r="316" spans="1:42">
      <c r="B316" s="680"/>
      <c r="D316" s="679"/>
      <c r="E316" s="679"/>
      <c r="F316" s="679"/>
      <c r="G316" s="679"/>
      <c r="H316" s="679"/>
      <c r="I316" s="679"/>
      <c r="J316" s="679"/>
      <c r="K316" s="679"/>
      <c r="L316" s="679"/>
      <c r="M316" s="679"/>
      <c r="N316" s="911">
        <v>35</v>
      </c>
      <c r="O316" s="679"/>
      <c r="S316" s="706"/>
      <c r="T316" s="706"/>
      <c r="U316" s="706"/>
      <c r="V316" s="706"/>
      <c r="W316" s="706"/>
      <c r="X316" s="706"/>
      <c r="Y316" s="706"/>
      <c r="Z316" s="706"/>
      <c r="AA316" s="706"/>
      <c r="AB316" s="706"/>
      <c r="AC316" s="706"/>
    </row>
    <row r="317" spans="1:42">
      <c r="D317" s="679"/>
      <c r="E317" s="679"/>
      <c r="F317" s="679"/>
      <c r="G317" s="679"/>
      <c r="H317" s="679"/>
      <c r="I317" s="679"/>
      <c r="J317" s="679"/>
      <c r="S317" s="706"/>
      <c r="T317" s="706"/>
      <c r="U317" s="706"/>
      <c r="V317" s="706"/>
      <c r="W317" s="706"/>
      <c r="X317" s="706"/>
      <c r="Y317" s="706"/>
      <c r="Z317" s="706"/>
      <c r="AA317" s="706"/>
      <c r="AB317" s="706"/>
      <c r="AC317" s="706"/>
    </row>
    <row r="318" spans="1:42" ht="13.5" thickBot="1"/>
    <row r="319" spans="1:42" ht="15.75" customHeight="1" thickBot="1">
      <c r="A319" s="1368" t="s">
        <v>183</v>
      </c>
      <c r="B319" s="3533" t="s">
        <v>97</v>
      </c>
      <c r="C319" s="3534"/>
      <c r="M319" s="3538" t="s">
        <v>251</v>
      </c>
      <c r="N319" s="3538"/>
      <c r="O319" s="701"/>
    </row>
    <row r="320" spans="1:42" ht="15.75" customHeight="1" thickBot="1">
      <c r="A320" s="1559" t="s">
        <v>252</v>
      </c>
      <c r="B320" s="1467"/>
      <c r="C320" s="3523" t="s">
        <v>254</v>
      </c>
      <c r="D320" s="3562" t="s">
        <v>255</v>
      </c>
      <c r="E320" s="3562" t="s">
        <v>256</v>
      </c>
      <c r="F320" s="3562" t="s">
        <v>257</v>
      </c>
      <c r="G320" s="3565" t="s">
        <v>258</v>
      </c>
      <c r="H320" s="3566"/>
      <c r="I320" s="3566"/>
      <c r="J320" s="3566"/>
      <c r="K320" s="3566"/>
      <c r="L320" s="3566"/>
      <c r="M320" s="3566"/>
      <c r="N320" s="3567"/>
      <c r="O320" s="702"/>
    </row>
    <row r="321" spans="1:29" ht="12.75" customHeight="1" thickBot="1">
      <c r="A321" s="1560"/>
      <c r="B321" s="1468"/>
      <c r="C321" s="3524"/>
      <c r="D321" s="3563"/>
      <c r="E321" s="3563"/>
      <c r="F321" s="3563"/>
      <c r="G321" s="3529" t="s">
        <v>259</v>
      </c>
      <c r="H321" s="3530"/>
      <c r="I321" s="3530"/>
      <c r="J321" s="3531"/>
      <c r="K321" s="3568" t="s">
        <v>260</v>
      </c>
      <c r="L321" s="3569"/>
      <c r="M321" s="3569"/>
      <c r="N321" s="3570"/>
      <c r="O321" s="458"/>
    </row>
    <row r="322" spans="1:29" ht="39" thickBot="1">
      <c r="A322" s="1560"/>
      <c r="B322" s="1469"/>
      <c r="C322" s="3524"/>
      <c r="D322" s="3564"/>
      <c r="E322" s="3564"/>
      <c r="F322" s="3564"/>
      <c r="G322" s="1336" t="s">
        <v>261</v>
      </c>
      <c r="H322" s="1336" t="s">
        <v>262</v>
      </c>
      <c r="I322" s="1336" t="s">
        <v>263</v>
      </c>
      <c r="J322" s="1336" t="s">
        <v>158</v>
      </c>
      <c r="K322" s="1337" t="s">
        <v>264</v>
      </c>
      <c r="L322" s="1337" t="s">
        <v>265</v>
      </c>
      <c r="M322" s="1337" t="s">
        <v>266</v>
      </c>
      <c r="N322" s="1404" t="s">
        <v>158</v>
      </c>
      <c r="O322" s="443"/>
    </row>
    <row r="323" spans="1:29" ht="13.5" thickBot="1">
      <c r="A323" s="1560"/>
      <c r="B323" s="1468"/>
      <c r="C323" s="3524"/>
      <c r="D323" s="1470">
        <v>1</v>
      </c>
      <c r="E323" s="1471">
        <v>2</v>
      </c>
      <c r="F323" s="1471">
        <v>3</v>
      </c>
      <c r="G323" s="1472">
        <v>4</v>
      </c>
      <c r="H323" s="1471">
        <v>5</v>
      </c>
      <c r="I323" s="1473">
        <v>6</v>
      </c>
      <c r="J323" s="1474">
        <v>7</v>
      </c>
      <c r="K323" s="1472">
        <v>8</v>
      </c>
      <c r="L323" s="1471">
        <v>9</v>
      </c>
      <c r="M323" s="1496">
        <v>10</v>
      </c>
      <c r="N323" s="1470">
        <v>11</v>
      </c>
      <c r="O323" s="702"/>
    </row>
    <row r="324" spans="1:29" ht="13.5" thickBot="1">
      <c r="A324" s="1561"/>
      <c r="B324" s="1475"/>
      <c r="C324" s="3525"/>
      <c r="D324" s="1476"/>
      <c r="E324" s="1476"/>
      <c r="F324" s="1476"/>
      <c r="G324" s="1562"/>
      <c r="H324" s="1476"/>
      <c r="I324" s="1552"/>
      <c r="J324" s="1478" t="s">
        <v>267</v>
      </c>
      <c r="K324" s="1477"/>
      <c r="L324" s="1476"/>
      <c r="M324" s="1563"/>
      <c r="N324" s="1553" t="s">
        <v>268</v>
      </c>
      <c r="O324" s="703"/>
      <c r="P324" s="703"/>
      <c r="Q324" s="703"/>
    </row>
    <row r="325" spans="1:29">
      <c r="A325" s="1483"/>
      <c r="B325" s="1481" t="s">
        <v>269</v>
      </c>
      <c r="C325" s="1346"/>
      <c r="D325" s="1484"/>
      <c r="E325" s="687"/>
      <c r="F325" s="737"/>
      <c r="G325" s="736"/>
      <c r="H325" s="738"/>
      <c r="I325" s="690"/>
      <c r="J325" s="1491"/>
      <c r="K325" s="996"/>
      <c r="L325" s="994"/>
      <c r="M325" s="1564"/>
      <c r="N325" s="1518"/>
      <c r="Q325" s="725"/>
    </row>
    <row r="326" spans="1:29">
      <c r="A326" s="2301">
        <v>1</v>
      </c>
      <c r="B326" s="2302" t="s">
        <v>270</v>
      </c>
      <c r="C326" s="2155"/>
      <c r="D326" s="2303">
        <f>+E326+F326+J326+N326</f>
        <v>0</v>
      </c>
      <c r="E326" s="2330"/>
      <c r="F326" s="2321"/>
      <c r="G326" s="2322"/>
      <c r="H326" s="2321"/>
      <c r="I326" s="2329"/>
      <c r="J326" s="2305">
        <f>G326+H326+I326</f>
        <v>0</v>
      </c>
      <c r="K326" s="2304"/>
      <c r="L326" s="2325"/>
      <c r="M326" s="2354"/>
      <c r="N326" s="2324">
        <f>K326+L326+M326</f>
        <v>0</v>
      </c>
      <c r="O326" s="704"/>
      <c r="P326" s="705"/>
      <c r="Q326" s="726"/>
      <c r="R326" s="706"/>
      <c r="S326" s="706"/>
      <c r="T326" s="706"/>
      <c r="U326" s="706"/>
      <c r="V326" s="706"/>
      <c r="W326" s="706"/>
      <c r="X326" s="706"/>
      <c r="Y326" s="706"/>
      <c r="Z326" s="706"/>
      <c r="AA326" s="706"/>
      <c r="AB326" s="706"/>
      <c r="AC326" s="706"/>
    </row>
    <row r="327" spans="1:29">
      <c r="A327" s="2301">
        <v>2</v>
      </c>
      <c r="B327" s="2302" t="s">
        <v>271</v>
      </c>
      <c r="C327" s="2155"/>
      <c r="D327" s="2303">
        <f t="shared" ref="D327:D365" si="75">+E327+F327+J327+N327</f>
        <v>362837.72988999996</v>
      </c>
      <c r="E327" s="2330"/>
      <c r="F327" s="2321">
        <v>362837.72988999996</v>
      </c>
      <c r="G327" s="2322"/>
      <c r="H327" s="2321"/>
      <c r="I327" s="2329"/>
      <c r="J327" s="2305">
        <f t="shared" ref="J327:J337" si="76">G327+H327+I327</f>
        <v>0</v>
      </c>
      <c r="K327" s="2304"/>
      <c r="L327" s="2325"/>
      <c r="M327" s="2354"/>
      <c r="N327" s="2324">
        <f t="shared" ref="N327:N366" si="77">K327+L327+M327</f>
        <v>0</v>
      </c>
      <c r="O327" s="704"/>
      <c r="P327" s="705"/>
      <c r="Q327" s="726"/>
      <c r="R327" s="706"/>
      <c r="S327" s="706"/>
      <c r="T327" s="706"/>
      <c r="U327" s="706"/>
      <c r="V327" s="706"/>
      <c r="W327" s="706"/>
      <c r="X327" s="706"/>
      <c r="Y327" s="706"/>
      <c r="Z327" s="706"/>
      <c r="AA327" s="706"/>
      <c r="AB327" s="706"/>
      <c r="AC327" s="706"/>
    </row>
    <row r="328" spans="1:29">
      <c r="A328" s="2301">
        <v>3</v>
      </c>
      <c r="B328" s="2302" t="s">
        <v>272</v>
      </c>
      <c r="C328" s="2155"/>
      <c r="D328" s="2303">
        <f t="shared" si="75"/>
        <v>0</v>
      </c>
      <c r="E328" s="2330"/>
      <c r="F328" s="2321"/>
      <c r="G328" s="2322"/>
      <c r="H328" s="2321"/>
      <c r="I328" s="2329"/>
      <c r="J328" s="2305">
        <f t="shared" si="76"/>
        <v>0</v>
      </c>
      <c r="K328" s="2304"/>
      <c r="L328" s="2325"/>
      <c r="M328" s="2354"/>
      <c r="N328" s="2324">
        <f t="shared" si="77"/>
        <v>0</v>
      </c>
      <c r="O328" s="704"/>
      <c r="P328" s="705"/>
      <c r="Q328" s="726"/>
      <c r="R328" s="706"/>
      <c r="S328" s="706"/>
      <c r="T328" s="706"/>
      <c r="U328" s="706"/>
      <c r="V328" s="706"/>
      <c r="W328" s="706"/>
      <c r="X328" s="706"/>
      <c r="Y328" s="706"/>
      <c r="Z328" s="706"/>
      <c r="AA328" s="706"/>
      <c r="AB328" s="706"/>
      <c r="AC328" s="706"/>
    </row>
    <row r="329" spans="1:29">
      <c r="A329" s="2301">
        <v>4</v>
      </c>
      <c r="B329" s="2302" t="s">
        <v>315</v>
      </c>
      <c r="C329" s="2155"/>
      <c r="D329" s="2303">
        <f t="shared" si="75"/>
        <v>197762.91947999998</v>
      </c>
      <c r="E329" s="2330"/>
      <c r="F329" s="2321"/>
      <c r="G329" s="2322">
        <v>197762.91947999998</v>
      </c>
      <c r="H329" s="2321"/>
      <c r="I329" s="2329"/>
      <c r="J329" s="2305">
        <f t="shared" si="76"/>
        <v>197762.91947999998</v>
      </c>
      <c r="K329" s="2304"/>
      <c r="L329" s="2325"/>
      <c r="M329" s="2354"/>
      <c r="N329" s="2324">
        <f t="shared" si="77"/>
        <v>0</v>
      </c>
      <c r="O329" s="704"/>
      <c r="P329" s="705"/>
      <c r="Q329" s="726"/>
      <c r="R329" s="706"/>
      <c r="S329" s="706"/>
      <c r="T329" s="706"/>
      <c r="U329" s="706"/>
      <c r="V329" s="706"/>
      <c r="W329" s="706"/>
      <c r="X329" s="706"/>
      <c r="Y329" s="706"/>
      <c r="Z329" s="706"/>
      <c r="AA329" s="706"/>
      <c r="AB329" s="706"/>
      <c r="AC329" s="706"/>
    </row>
    <row r="330" spans="1:29">
      <c r="A330" s="2301">
        <v>5</v>
      </c>
      <c r="B330" s="2302" t="s">
        <v>274</v>
      </c>
      <c r="C330" s="2161">
        <v>5</v>
      </c>
      <c r="D330" s="2303">
        <f t="shared" si="75"/>
        <v>9280572.8936600015</v>
      </c>
      <c r="E330" s="2330"/>
      <c r="F330" s="2321">
        <v>2333918.07235</v>
      </c>
      <c r="G330" s="2322">
        <v>6777874.2521000002</v>
      </c>
      <c r="H330" s="2321">
        <v>168780.56920999999</v>
      </c>
      <c r="I330" s="2329"/>
      <c r="J330" s="2305">
        <f t="shared" si="76"/>
        <v>6946654.8213100005</v>
      </c>
      <c r="K330" s="2304"/>
      <c r="L330" s="2325"/>
      <c r="M330" s="2354"/>
      <c r="N330" s="2324">
        <f t="shared" si="77"/>
        <v>0</v>
      </c>
      <c r="O330" s="704"/>
      <c r="P330" s="705"/>
      <c r="Q330" s="727"/>
      <c r="R330" s="706"/>
      <c r="S330" s="706"/>
      <c r="T330" s="706"/>
      <c r="U330" s="706"/>
      <c r="V330" s="706"/>
      <c r="W330" s="706"/>
      <c r="X330" s="706"/>
      <c r="Y330" s="706"/>
      <c r="Z330" s="706"/>
      <c r="AA330" s="706"/>
      <c r="AB330" s="706"/>
      <c r="AC330" s="706"/>
    </row>
    <row r="331" spans="1:29">
      <c r="A331" s="2301">
        <v>6</v>
      </c>
      <c r="B331" s="2302" t="s">
        <v>275</v>
      </c>
      <c r="C331" s="2155">
        <v>6</v>
      </c>
      <c r="D331" s="2303">
        <f t="shared" si="75"/>
        <v>3515700</v>
      </c>
      <c r="E331" s="2330"/>
      <c r="F331" s="2321">
        <v>2319400</v>
      </c>
      <c r="G331" s="2322">
        <v>1196300</v>
      </c>
      <c r="H331" s="2321"/>
      <c r="I331" s="2329"/>
      <c r="J331" s="2305">
        <f t="shared" si="76"/>
        <v>1196300</v>
      </c>
      <c r="K331" s="2304"/>
      <c r="L331" s="2325"/>
      <c r="M331" s="2354"/>
      <c r="N331" s="2324">
        <f t="shared" si="77"/>
        <v>0</v>
      </c>
      <c r="O331" s="704"/>
      <c r="P331" s="705"/>
      <c r="Q331" s="726"/>
      <c r="R331" s="706"/>
      <c r="S331" s="706"/>
      <c r="T331" s="706"/>
      <c r="U331" s="706"/>
      <c r="V331" s="706"/>
      <c r="W331" s="706"/>
      <c r="X331" s="706"/>
      <c r="Y331" s="706"/>
      <c r="Z331" s="706"/>
      <c r="AA331" s="706"/>
      <c r="AB331" s="706"/>
      <c r="AC331" s="706"/>
    </row>
    <row r="332" spans="1:29">
      <c r="A332" s="2301">
        <v>7</v>
      </c>
      <c r="B332" s="2302" t="s">
        <v>276</v>
      </c>
      <c r="C332" s="2161">
        <v>7</v>
      </c>
      <c r="D332" s="2303">
        <f t="shared" si="75"/>
        <v>1136000</v>
      </c>
      <c r="E332" s="2403">
        <f>E333+E334</f>
        <v>0</v>
      </c>
      <c r="F332" s="2403">
        <f>F333+F334</f>
        <v>1121000</v>
      </c>
      <c r="G332" s="2397">
        <f>G333+G334</f>
        <v>15000</v>
      </c>
      <c r="H332" s="2325">
        <f>H333+H334</f>
        <v>0</v>
      </c>
      <c r="I332" s="2353">
        <f t="shared" ref="I332:M332" si="78">I333+I334</f>
        <v>0</v>
      </c>
      <c r="J332" s="2305">
        <f t="shared" si="76"/>
        <v>15000</v>
      </c>
      <c r="K332" s="2304">
        <f t="shared" si="78"/>
        <v>0</v>
      </c>
      <c r="L332" s="2325">
        <f t="shared" si="78"/>
        <v>0</v>
      </c>
      <c r="M332" s="2354">
        <f t="shared" si="78"/>
        <v>0</v>
      </c>
      <c r="N332" s="2324">
        <f t="shared" si="77"/>
        <v>0</v>
      </c>
      <c r="O332" s="704"/>
      <c r="P332" s="705"/>
      <c r="Q332" s="727"/>
      <c r="R332" s="706"/>
      <c r="S332" s="706"/>
      <c r="T332" s="706"/>
      <c r="U332" s="706"/>
      <c r="V332" s="706"/>
      <c r="W332" s="706"/>
      <c r="X332" s="706"/>
      <c r="Y332" s="706"/>
      <c r="Z332" s="706"/>
      <c r="AA332" s="706"/>
      <c r="AB332" s="706"/>
      <c r="AC332" s="706"/>
    </row>
    <row r="333" spans="1:29">
      <c r="A333" s="2307"/>
      <c r="B333" s="2162" t="s">
        <v>277</v>
      </c>
      <c r="C333" s="2161"/>
      <c r="D333" s="2303">
        <f t="shared" si="75"/>
        <v>0</v>
      </c>
      <c r="E333" s="2304"/>
      <c r="F333" s="2325"/>
      <c r="G333" s="2353"/>
      <c r="H333" s="2325"/>
      <c r="I333" s="2353"/>
      <c r="J333" s="2305">
        <f t="shared" si="76"/>
        <v>0</v>
      </c>
      <c r="K333" s="2304"/>
      <c r="L333" s="2325"/>
      <c r="M333" s="2354"/>
      <c r="N333" s="2324">
        <f t="shared" si="77"/>
        <v>0</v>
      </c>
      <c r="O333" s="704"/>
      <c r="P333" s="705"/>
      <c r="Q333" s="727"/>
      <c r="R333" s="706"/>
      <c r="S333" s="706"/>
      <c r="T333" s="706"/>
      <c r="U333" s="706"/>
      <c r="V333" s="706"/>
      <c r="W333" s="706"/>
      <c r="X333" s="706"/>
      <c r="Y333" s="706"/>
      <c r="Z333" s="706"/>
      <c r="AA333" s="706"/>
      <c r="AB333" s="706"/>
      <c r="AC333" s="706"/>
    </row>
    <row r="334" spans="1:29">
      <c r="A334" s="2307"/>
      <c r="B334" s="2162" t="s">
        <v>278</v>
      </c>
      <c r="C334" s="2161"/>
      <c r="D334" s="2303">
        <f t="shared" si="75"/>
        <v>1136000</v>
      </c>
      <c r="E334" s="2330"/>
      <c r="F334" s="2321">
        <v>1121000</v>
      </c>
      <c r="G334" s="2322">
        <v>15000</v>
      </c>
      <c r="H334" s="2321"/>
      <c r="I334" s="2329"/>
      <c r="J334" s="2305">
        <f t="shared" si="76"/>
        <v>15000</v>
      </c>
      <c r="K334" s="2304"/>
      <c r="L334" s="2325"/>
      <c r="M334" s="2354"/>
      <c r="N334" s="2324">
        <f t="shared" si="77"/>
        <v>0</v>
      </c>
      <c r="O334" s="704"/>
      <c r="P334" s="705"/>
      <c r="Q334" s="727"/>
      <c r="R334" s="706"/>
      <c r="S334" s="706"/>
      <c r="T334" s="706"/>
      <c r="U334" s="706"/>
      <c r="V334" s="706"/>
      <c r="W334" s="706"/>
      <c r="X334" s="706"/>
      <c r="Y334" s="706"/>
      <c r="Z334" s="706"/>
      <c r="AA334" s="706"/>
      <c r="AB334" s="706"/>
      <c r="AC334" s="706"/>
    </row>
    <row r="335" spans="1:29">
      <c r="A335" s="2301">
        <v>8</v>
      </c>
      <c r="B335" s="2302" t="s">
        <v>279</v>
      </c>
      <c r="C335" s="2155">
        <v>8</v>
      </c>
      <c r="D335" s="2303">
        <f t="shared" si="75"/>
        <v>807672.05697000003</v>
      </c>
      <c r="E335" s="2304"/>
      <c r="F335" s="2325">
        <f>F336+F337</f>
        <v>764681.56697000004</v>
      </c>
      <c r="G335" s="2353">
        <f t="shared" ref="G335:M335" si="79">G336+G337</f>
        <v>13858.33</v>
      </c>
      <c r="H335" s="2325">
        <f t="shared" si="79"/>
        <v>29132.16</v>
      </c>
      <c r="I335" s="2353">
        <f t="shared" si="79"/>
        <v>0</v>
      </c>
      <c r="J335" s="2305">
        <f t="shared" si="76"/>
        <v>42990.49</v>
      </c>
      <c r="K335" s="2304">
        <f t="shared" si="79"/>
        <v>0</v>
      </c>
      <c r="L335" s="2325">
        <f t="shared" si="79"/>
        <v>0</v>
      </c>
      <c r="M335" s="2354">
        <f t="shared" si="79"/>
        <v>0</v>
      </c>
      <c r="N335" s="2324">
        <f t="shared" si="77"/>
        <v>0</v>
      </c>
      <c r="O335" s="704"/>
      <c r="P335" s="705"/>
      <c r="Q335" s="726"/>
      <c r="R335" s="706"/>
      <c r="S335" s="706"/>
      <c r="T335" s="706"/>
      <c r="U335" s="706"/>
      <c r="V335" s="706"/>
      <c r="W335" s="706"/>
      <c r="X335" s="706"/>
      <c r="Y335" s="706"/>
      <c r="Z335" s="706"/>
      <c r="AA335" s="706"/>
      <c r="AB335" s="706"/>
      <c r="AC335" s="706"/>
    </row>
    <row r="336" spans="1:29">
      <c r="A336" s="2301"/>
      <c r="B336" s="2162" t="s">
        <v>280</v>
      </c>
      <c r="C336" s="2155"/>
      <c r="D336" s="2303">
        <f t="shared" si="75"/>
        <v>0</v>
      </c>
      <c r="E336" s="2304"/>
      <c r="F336" s="2325"/>
      <c r="G336" s="2353"/>
      <c r="H336" s="2325"/>
      <c r="I336" s="2353"/>
      <c r="J336" s="2305">
        <f t="shared" si="76"/>
        <v>0</v>
      </c>
      <c r="K336" s="2304"/>
      <c r="L336" s="2325"/>
      <c r="M336" s="2354"/>
      <c r="N336" s="2324">
        <f t="shared" si="77"/>
        <v>0</v>
      </c>
      <c r="O336" s="704"/>
      <c r="P336" s="705"/>
      <c r="Q336" s="726"/>
      <c r="R336" s="706"/>
      <c r="S336" s="706"/>
      <c r="T336" s="706"/>
      <c r="U336" s="706"/>
      <c r="V336" s="706"/>
      <c r="W336" s="706"/>
      <c r="X336" s="706"/>
      <c r="Y336" s="706"/>
      <c r="Z336" s="706"/>
      <c r="AA336" s="706"/>
      <c r="AB336" s="706"/>
      <c r="AC336" s="706"/>
    </row>
    <row r="337" spans="1:42">
      <c r="A337" s="2301"/>
      <c r="B337" s="2162" t="s">
        <v>281</v>
      </c>
      <c r="C337" s="2155"/>
      <c r="D337" s="2303">
        <f t="shared" si="75"/>
        <v>807672.05697000003</v>
      </c>
      <c r="E337" s="2330"/>
      <c r="F337" s="2321">
        <v>764681.56697000004</v>
      </c>
      <c r="G337" s="2322">
        <v>13858.33</v>
      </c>
      <c r="H337" s="2321">
        <v>29132.16</v>
      </c>
      <c r="I337" s="2329"/>
      <c r="J337" s="2371">
        <f t="shared" si="76"/>
        <v>42990.49</v>
      </c>
      <c r="K337" s="2304"/>
      <c r="L337" s="2325"/>
      <c r="M337" s="2354"/>
      <c r="N337" s="2324">
        <f t="shared" si="77"/>
        <v>0</v>
      </c>
      <c r="O337" s="704"/>
      <c r="P337" s="705"/>
      <c r="Q337" s="726"/>
      <c r="R337" s="706"/>
      <c r="S337" s="706"/>
      <c r="T337" s="706"/>
      <c r="U337" s="706"/>
      <c r="V337" s="706"/>
      <c r="W337" s="706"/>
      <c r="X337" s="706"/>
      <c r="Y337" s="706"/>
      <c r="Z337" s="706"/>
      <c r="AA337" s="706"/>
      <c r="AB337" s="706"/>
      <c r="AC337" s="706"/>
    </row>
    <row r="338" spans="1:42" s="913" customFormat="1" ht="25.5">
      <c r="A338" s="2308">
        <v>9</v>
      </c>
      <c r="B338" s="2309" t="s">
        <v>282</v>
      </c>
      <c r="C338" s="2165"/>
      <c r="D338" s="2310">
        <f t="shared" si="75"/>
        <v>128248463.07405619</v>
      </c>
      <c r="E338" s="2311">
        <f>SUM(E339:E342)</f>
        <v>0</v>
      </c>
      <c r="F338" s="2333">
        <f>SUM(F339:F342)</f>
        <v>26619550.864080001</v>
      </c>
      <c r="G338" s="2334">
        <f>SUM(G339:G342)</f>
        <v>55107169.768140003</v>
      </c>
      <c r="H338" s="2333">
        <f>SUM(H339:H342)</f>
        <v>18414821.5566562</v>
      </c>
      <c r="I338" s="2334">
        <f>SUM(I339:I342)</f>
        <v>27777663.482000001</v>
      </c>
      <c r="J338" s="2367">
        <f>G338+H338+I338</f>
        <v>101299654.80679619</v>
      </c>
      <c r="K338" s="2311">
        <f>SUM(K339:K342)</f>
        <v>0</v>
      </c>
      <c r="L338" s="2333">
        <f>SUM(L339:L342)</f>
        <v>0</v>
      </c>
      <c r="M338" s="2355">
        <f>SUM(M339:M342)</f>
        <v>329257.40318000002</v>
      </c>
      <c r="N338" s="2336">
        <f t="shared" si="77"/>
        <v>329257.40318000002</v>
      </c>
      <c r="O338" s="1024"/>
      <c r="P338" s="1025"/>
      <c r="Q338" s="1068"/>
      <c r="R338" s="1027"/>
      <c r="S338" s="1027"/>
      <c r="T338" s="1027"/>
      <c r="U338" s="1027"/>
      <c r="V338" s="1027"/>
      <c r="W338" s="1027"/>
      <c r="X338" s="1027"/>
      <c r="Y338" s="1027"/>
      <c r="Z338" s="1027"/>
      <c r="AA338" s="1027"/>
      <c r="AB338" s="1027"/>
      <c r="AC338" s="1027"/>
      <c r="AE338" s="1028"/>
      <c r="AF338" s="1028"/>
      <c r="AG338" s="1028"/>
      <c r="AH338" s="1028"/>
      <c r="AI338" s="1028"/>
      <c r="AJ338" s="1028"/>
      <c r="AK338" s="1028"/>
      <c r="AL338" s="1028"/>
      <c r="AM338" s="1028"/>
      <c r="AN338" s="1028"/>
      <c r="AO338" s="1028"/>
      <c r="AP338" s="1028"/>
    </row>
    <row r="339" spans="1:42">
      <c r="A339" s="2307">
        <v>10</v>
      </c>
      <c r="B339" s="2171" t="s">
        <v>283</v>
      </c>
      <c r="C339" s="2155">
        <v>9</v>
      </c>
      <c r="D339" s="2303">
        <f t="shared" si="75"/>
        <v>51485457.087540008</v>
      </c>
      <c r="E339" s="2330"/>
      <c r="F339" s="2325">
        <v>6827524.9726200011</v>
      </c>
      <c r="G339" s="2404">
        <v>31861211.795150004</v>
      </c>
      <c r="H339" s="2325">
        <v>5356583.5458700005</v>
      </c>
      <c r="I339" s="2353">
        <v>7440136.7739000004</v>
      </c>
      <c r="J339" s="2371">
        <f t="shared" ref="J339:J357" si="80">G339+H339+I339</f>
        <v>44657932.114920005</v>
      </c>
      <c r="K339" s="2391"/>
      <c r="L339" s="2405"/>
      <c r="M339" s="2378">
        <v>0</v>
      </c>
      <c r="N339" s="2324">
        <f t="shared" si="77"/>
        <v>0</v>
      </c>
      <c r="O339" s="704"/>
      <c r="P339" s="705"/>
      <c r="Q339" s="726"/>
      <c r="R339" s="706"/>
      <c r="S339" s="706"/>
      <c r="T339" s="706"/>
      <c r="U339" s="706"/>
      <c r="V339" s="706"/>
      <c r="W339" s="706"/>
      <c r="X339" s="706"/>
      <c r="Y339" s="706"/>
      <c r="Z339" s="706"/>
      <c r="AA339" s="706"/>
      <c r="AB339" s="706"/>
      <c r="AC339" s="706"/>
    </row>
    <row r="340" spans="1:42">
      <c r="A340" s="2307">
        <v>11</v>
      </c>
      <c r="B340" s="2171" t="s">
        <v>284</v>
      </c>
      <c r="C340" s="2155">
        <v>10</v>
      </c>
      <c r="D340" s="2303">
        <f t="shared" si="75"/>
        <v>60633154.046646208</v>
      </c>
      <c r="E340" s="2330"/>
      <c r="F340" s="2325">
        <v>17767132.360520002</v>
      </c>
      <c r="G340" s="2404">
        <v>15538003.55164</v>
      </c>
      <c r="H340" s="2373">
        <v>11726146.2492662</v>
      </c>
      <c r="I340" s="2404">
        <v>15529567.15058</v>
      </c>
      <c r="J340" s="2371">
        <f t="shared" si="80"/>
        <v>42793716.9514862</v>
      </c>
      <c r="K340" s="2391"/>
      <c r="L340" s="2373"/>
      <c r="M340" s="2378">
        <v>72304.734640000097</v>
      </c>
      <c r="N340" s="2324">
        <f t="shared" si="77"/>
        <v>72304.734640000097</v>
      </c>
      <c r="O340" s="704"/>
      <c r="P340" s="705"/>
      <c r="Q340" s="726"/>
      <c r="R340" s="706"/>
      <c r="S340" s="706"/>
      <c r="T340" s="706"/>
      <c r="U340" s="706"/>
      <c r="V340" s="706"/>
      <c r="W340" s="706"/>
      <c r="X340" s="706"/>
      <c r="Y340" s="706"/>
      <c r="Z340" s="706"/>
      <c r="AA340" s="706"/>
      <c r="AB340" s="706"/>
      <c r="AC340" s="706"/>
    </row>
    <row r="341" spans="1:42">
      <c r="A341" s="2307">
        <v>12</v>
      </c>
      <c r="B341" s="2171" t="s">
        <v>285</v>
      </c>
      <c r="C341" s="2155">
        <v>11</v>
      </c>
      <c r="D341" s="2303">
        <f t="shared" si="75"/>
        <v>13032167.65511</v>
      </c>
      <c r="E341" s="2330"/>
      <c r="F341" s="2325">
        <v>1814916.96007</v>
      </c>
      <c r="G341" s="2404">
        <v>5092129.8660800001</v>
      </c>
      <c r="H341" s="2373">
        <v>1061136.0708999997</v>
      </c>
      <c r="I341" s="2404">
        <v>4807959.5575200003</v>
      </c>
      <c r="J341" s="2371">
        <f t="shared" si="80"/>
        <v>10961225.4945</v>
      </c>
      <c r="K341" s="2391"/>
      <c r="L341" s="2373"/>
      <c r="M341" s="2378">
        <v>256025.20053999996</v>
      </c>
      <c r="N341" s="2324">
        <f t="shared" si="77"/>
        <v>256025.20053999996</v>
      </c>
      <c r="O341" s="704"/>
      <c r="P341" s="705"/>
      <c r="Q341" s="726"/>
      <c r="R341" s="706"/>
      <c r="S341" s="706"/>
      <c r="T341" s="706"/>
      <c r="U341" s="706"/>
      <c r="V341" s="706"/>
      <c r="W341" s="706"/>
      <c r="X341" s="706"/>
      <c r="Y341" s="706"/>
      <c r="Z341" s="706"/>
      <c r="AA341" s="706"/>
      <c r="AB341" s="706"/>
      <c r="AC341" s="706"/>
    </row>
    <row r="342" spans="1:42" ht="25.5">
      <c r="A342" s="2307">
        <v>13</v>
      </c>
      <c r="B342" s="2171" t="s">
        <v>286</v>
      </c>
      <c r="C342" s="2155">
        <v>12</v>
      </c>
      <c r="D342" s="2303">
        <f t="shared" si="75"/>
        <v>3097684.2847599997</v>
      </c>
      <c r="E342" s="2330"/>
      <c r="F342" s="2325">
        <v>209976.57087</v>
      </c>
      <c r="G342" s="2404">
        <v>2615824.5552699999</v>
      </c>
      <c r="H342" s="2373">
        <v>270955.69062000001</v>
      </c>
      <c r="I342" s="2404"/>
      <c r="J342" s="2371">
        <f t="shared" si="80"/>
        <v>2886780.2458899999</v>
      </c>
      <c r="K342" s="2391"/>
      <c r="L342" s="2373"/>
      <c r="M342" s="2378">
        <v>927.46799999999996</v>
      </c>
      <c r="N342" s="2324">
        <f t="shared" si="77"/>
        <v>927.46799999999996</v>
      </c>
      <c r="O342" s="704"/>
      <c r="P342" s="705"/>
      <c r="Q342" s="726"/>
      <c r="R342" s="706"/>
      <c r="S342" s="706"/>
      <c r="T342" s="706"/>
      <c r="U342" s="706"/>
      <c r="V342" s="706"/>
      <c r="W342" s="706"/>
      <c r="X342" s="706"/>
      <c r="Y342" s="706"/>
      <c r="Z342" s="706"/>
      <c r="AA342" s="706"/>
      <c r="AB342" s="706"/>
      <c r="AC342" s="706"/>
    </row>
    <row r="343" spans="1:42">
      <c r="A343" s="2307">
        <v>14</v>
      </c>
      <c r="B343" s="2154" t="s">
        <v>287</v>
      </c>
      <c r="C343" s="2155">
        <v>13</v>
      </c>
      <c r="D343" s="2303">
        <f t="shared" si="75"/>
        <v>1282725.3781999999</v>
      </c>
      <c r="E343" s="2330"/>
      <c r="F343" s="2325"/>
      <c r="G343" s="2404">
        <v>646028.56599999999</v>
      </c>
      <c r="H343" s="2325">
        <v>636696.81219999993</v>
      </c>
      <c r="I343" s="2353"/>
      <c r="J343" s="2371">
        <f t="shared" si="80"/>
        <v>1282725.3781999999</v>
      </c>
      <c r="K343" s="2391"/>
      <c r="L343" s="2405"/>
      <c r="M343" s="2378"/>
      <c r="N343" s="2324">
        <f t="shared" si="77"/>
        <v>0</v>
      </c>
      <c r="O343" s="704"/>
      <c r="P343" s="705"/>
      <c r="Q343" s="726"/>
      <c r="R343" s="706"/>
      <c r="S343" s="706"/>
      <c r="T343" s="706"/>
      <c r="U343" s="706"/>
      <c r="V343" s="706"/>
      <c r="W343" s="706"/>
      <c r="X343" s="706"/>
      <c r="Y343" s="706"/>
      <c r="Z343" s="706"/>
      <c r="AA343" s="706"/>
      <c r="AB343" s="706"/>
      <c r="AC343" s="706"/>
    </row>
    <row r="344" spans="1:42">
      <c r="A344" s="2307">
        <v>15</v>
      </c>
      <c r="B344" s="2154" t="s">
        <v>288</v>
      </c>
      <c r="C344" s="2161">
        <v>14</v>
      </c>
      <c r="D344" s="2303">
        <f t="shared" si="75"/>
        <v>280009.10442999995</v>
      </c>
      <c r="E344" s="2330"/>
      <c r="F344" s="2325"/>
      <c r="G344" s="2404">
        <v>7755.3748599999999</v>
      </c>
      <c r="H344" s="2325">
        <v>272253.72956999997</v>
      </c>
      <c r="I344" s="2353"/>
      <c r="J344" s="2371">
        <f t="shared" si="80"/>
        <v>280009.10442999995</v>
      </c>
      <c r="K344" s="2391"/>
      <c r="L344" s="2405"/>
      <c r="M344" s="2378"/>
      <c r="N344" s="2324">
        <f t="shared" si="77"/>
        <v>0</v>
      </c>
      <c r="O344" s="704"/>
      <c r="P344" s="705"/>
      <c r="Q344" s="727"/>
      <c r="R344" s="706"/>
      <c r="S344" s="706"/>
      <c r="T344" s="706"/>
      <c r="U344" s="706"/>
      <c r="V344" s="706"/>
      <c r="W344" s="706"/>
      <c r="X344" s="706"/>
      <c r="Y344" s="706"/>
      <c r="Z344" s="706"/>
      <c r="AA344" s="706"/>
      <c r="AB344" s="706"/>
      <c r="AC344" s="706"/>
    </row>
    <row r="345" spans="1:42">
      <c r="A345" s="2307">
        <v>16</v>
      </c>
      <c r="B345" s="2154" t="s">
        <v>289</v>
      </c>
      <c r="C345" s="2155">
        <v>15</v>
      </c>
      <c r="D345" s="2303">
        <f t="shared" si="75"/>
        <v>288720.27101999999</v>
      </c>
      <c r="E345" s="2330"/>
      <c r="F345" s="2325"/>
      <c r="G345" s="2404">
        <v>139839.37250999999</v>
      </c>
      <c r="H345" s="2325">
        <v>148880.89851</v>
      </c>
      <c r="I345" s="2353"/>
      <c r="J345" s="2371">
        <f t="shared" si="80"/>
        <v>288720.27101999999</v>
      </c>
      <c r="K345" s="2391"/>
      <c r="L345" s="2405"/>
      <c r="M345" s="2378"/>
      <c r="N345" s="2324">
        <f t="shared" si="77"/>
        <v>0</v>
      </c>
      <c r="O345" s="704"/>
      <c r="P345" s="705"/>
      <c r="Q345" s="726"/>
      <c r="R345" s="706"/>
      <c r="S345" s="706"/>
      <c r="T345" s="706"/>
      <c r="U345" s="706"/>
      <c r="V345" s="706"/>
      <c r="W345" s="706"/>
      <c r="X345" s="706"/>
      <c r="Y345" s="706"/>
      <c r="Z345" s="706"/>
      <c r="AA345" s="706"/>
      <c r="AB345" s="706"/>
      <c r="AC345" s="706"/>
    </row>
    <row r="346" spans="1:42">
      <c r="A346" s="2307">
        <v>17</v>
      </c>
      <c r="B346" s="2154" t="s">
        <v>290</v>
      </c>
      <c r="C346" s="2161">
        <v>16</v>
      </c>
      <c r="D346" s="2303">
        <f t="shared" si="75"/>
        <v>4632370.4729699995</v>
      </c>
      <c r="E346" s="2330"/>
      <c r="F346" s="2325">
        <v>4479336.8175399993</v>
      </c>
      <c r="G346" s="2404">
        <v>99946.631838256464</v>
      </c>
      <c r="H346" s="2373">
        <v>53087.023591743535</v>
      </c>
      <c r="I346" s="2404"/>
      <c r="J346" s="2371">
        <f t="shared" si="80"/>
        <v>153033.65542999998</v>
      </c>
      <c r="K346" s="2391"/>
      <c r="L346" s="2373"/>
      <c r="M346" s="2378"/>
      <c r="N346" s="2324">
        <f t="shared" si="77"/>
        <v>0</v>
      </c>
      <c r="O346" s="704"/>
      <c r="P346" s="705"/>
      <c r="Q346" s="727"/>
      <c r="R346" s="706"/>
      <c r="S346" s="706"/>
      <c r="T346" s="706"/>
      <c r="U346" s="706"/>
      <c r="V346" s="706"/>
      <c r="W346" s="706"/>
      <c r="X346" s="706"/>
      <c r="Y346" s="706"/>
      <c r="Z346" s="706"/>
      <c r="AA346" s="706"/>
      <c r="AB346" s="706"/>
      <c r="AC346" s="706"/>
    </row>
    <row r="347" spans="1:42">
      <c r="A347" s="2307">
        <v>18</v>
      </c>
      <c r="B347" s="2154" t="s">
        <v>291</v>
      </c>
      <c r="C347" s="2155"/>
      <c r="D347" s="2303">
        <f t="shared" si="75"/>
        <v>0</v>
      </c>
      <c r="E347" s="2330"/>
      <c r="F347" s="2321"/>
      <c r="G347" s="2322"/>
      <c r="H347" s="2321"/>
      <c r="I347" s="2329"/>
      <c r="J347" s="2371">
        <f t="shared" si="80"/>
        <v>0</v>
      </c>
      <c r="K347" s="2327"/>
      <c r="L347" s="2342"/>
      <c r="M347" s="2358"/>
      <c r="N347" s="2324">
        <f t="shared" si="77"/>
        <v>0</v>
      </c>
      <c r="O347" s="704"/>
      <c r="P347" s="705"/>
      <c r="Q347" s="726"/>
      <c r="R347" s="706"/>
      <c r="S347" s="706"/>
      <c r="T347" s="706"/>
      <c r="U347" s="706"/>
      <c r="V347" s="706"/>
      <c r="W347" s="706"/>
      <c r="X347" s="706"/>
      <c r="Y347" s="706"/>
      <c r="Z347" s="706"/>
      <c r="AA347" s="706"/>
      <c r="AB347" s="706"/>
      <c r="AC347" s="706"/>
    </row>
    <row r="348" spans="1:42" ht="13.5" thickBot="1">
      <c r="A348" s="2314">
        <v>19</v>
      </c>
      <c r="B348" s="2173" t="s">
        <v>292</v>
      </c>
      <c r="C348" s="2172"/>
      <c r="D348" s="1485">
        <f t="shared" si="75"/>
        <v>768552.56961999938</v>
      </c>
      <c r="E348" s="1033"/>
      <c r="F348" s="1069">
        <v>140902.32771000508</v>
      </c>
      <c r="G348" s="2345">
        <v>172906.29442113845</v>
      </c>
      <c r="H348" s="1069">
        <v>454743.9474888558</v>
      </c>
      <c r="I348" s="2364"/>
      <c r="J348" s="1538">
        <f t="shared" si="80"/>
        <v>627650.24190999428</v>
      </c>
      <c r="K348" s="1034"/>
      <c r="L348" s="2362"/>
      <c r="M348" s="2363"/>
      <c r="N348" s="2376">
        <f t="shared" si="77"/>
        <v>0</v>
      </c>
      <c r="O348" s="704"/>
      <c r="P348" s="705"/>
      <c r="Q348" s="726"/>
      <c r="R348" s="706"/>
      <c r="S348" s="706"/>
      <c r="T348" s="706"/>
      <c r="U348" s="706"/>
      <c r="V348" s="706"/>
      <c r="W348" s="706"/>
      <c r="X348" s="706"/>
      <c r="Y348" s="706"/>
      <c r="Z348" s="706"/>
      <c r="AA348" s="706"/>
      <c r="AB348" s="706"/>
      <c r="AC348" s="706"/>
    </row>
    <row r="349" spans="1:42" s="913" customFormat="1" ht="26.25" thickBot="1">
      <c r="A349" s="1493">
        <v>20</v>
      </c>
      <c r="B349" s="1352" t="s">
        <v>293</v>
      </c>
      <c r="C349" s="1351"/>
      <c r="D349" s="1494">
        <f t="shared" si="75"/>
        <v>150801386.4702962</v>
      </c>
      <c r="E349" s="1494">
        <f>SUM(E326:E332)+E335+E338+SUM(E343:E348)</f>
        <v>0</v>
      </c>
      <c r="F349" s="1494">
        <f>SUM(F326:F332)+F335+F338+SUM(F343:F348)</f>
        <v>38141627.378540009</v>
      </c>
      <c r="G349" s="1494">
        <f>SUM(G326:G332)+G335+G338+SUM(G343:G348)</f>
        <v>64374441.509349398</v>
      </c>
      <c r="H349" s="1522">
        <f>SUM(H326:H332)+H335+H338+SUM(H343:H348)</f>
        <v>20178396.6972268</v>
      </c>
      <c r="I349" s="1523">
        <f>SUM(I326:I332)+I335+I338+SUM(I343:I348)</f>
        <v>27777663.482000001</v>
      </c>
      <c r="J349" s="1541">
        <f t="shared" si="80"/>
        <v>112330501.68857619</v>
      </c>
      <c r="K349" s="1494">
        <f>SUM(K326:K332)+K335+K338+SUM(K343:K348)</f>
        <v>0</v>
      </c>
      <c r="L349" s="1522">
        <f>SUM(L326:L332)+L335+L338+SUM(L343:L348)</f>
        <v>0</v>
      </c>
      <c r="M349" s="1533">
        <f>SUM(M326:M332)+M335+M338+SUM(M343:M348)</f>
        <v>329257.40318000002</v>
      </c>
      <c r="N349" s="1495">
        <f t="shared" si="77"/>
        <v>329257.40318000002</v>
      </c>
      <c r="O349" s="1024"/>
      <c r="P349" s="1025"/>
      <c r="Q349" s="728"/>
      <c r="R349" s="1027"/>
      <c r="S349" s="1027"/>
      <c r="T349" s="1027"/>
      <c r="U349" s="1027"/>
      <c r="V349" s="1027"/>
      <c r="W349" s="1027"/>
      <c r="X349" s="1027"/>
      <c r="Y349" s="1027"/>
      <c r="Z349" s="1027"/>
      <c r="AA349" s="1027"/>
      <c r="AB349" s="1027"/>
      <c r="AC349" s="1027"/>
      <c r="AE349" s="1028"/>
      <c r="AF349" s="1028"/>
      <c r="AG349" s="1028"/>
      <c r="AH349" s="1028"/>
      <c r="AI349" s="1028"/>
      <c r="AJ349" s="1028"/>
      <c r="AK349" s="1028"/>
      <c r="AL349" s="1028"/>
      <c r="AM349" s="1028"/>
      <c r="AN349" s="1028"/>
      <c r="AO349" s="1028"/>
      <c r="AP349" s="1028"/>
    </row>
    <row r="350" spans="1:42">
      <c r="A350" s="1483"/>
      <c r="B350" s="1481" t="s">
        <v>294</v>
      </c>
      <c r="C350" s="1346"/>
      <c r="D350" s="1487">
        <f t="shared" si="75"/>
        <v>0</v>
      </c>
      <c r="E350" s="691"/>
      <c r="F350" s="691"/>
      <c r="G350" s="688"/>
      <c r="H350" s="689"/>
      <c r="I350" s="692"/>
      <c r="J350" s="1503">
        <f t="shared" si="80"/>
        <v>0</v>
      </c>
      <c r="K350" s="688"/>
      <c r="L350" s="693"/>
      <c r="M350" s="1565"/>
      <c r="N350" s="1488">
        <f t="shared" si="77"/>
        <v>0</v>
      </c>
      <c r="O350" s="704"/>
      <c r="P350" s="705"/>
      <c r="Q350" s="726"/>
      <c r="R350" s="706"/>
      <c r="S350" s="706"/>
      <c r="T350" s="706"/>
      <c r="U350" s="706"/>
      <c r="V350" s="706"/>
      <c r="W350" s="706"/>
      <c r="X350" s="706"/>
      <c r="Y350" s="706"/>
      <c r="Z350" s="706"/>
      <c r="AA350" s="706"/>
      <c r="AB350" s="706"/>
      <c r="AC350" s="706"/>
    </row>
    <row r="351" spans="1:42">
      <c r="A351" s="2307"/>
      <c r="B351" s="2316" t="s">
        <v>295</v>
      </c>
      <c r="C351" s="2155"/>
      <c r="D351" s="2303">
        <f t="shared" si="75"/>
        <v>0</v>
      </c>
      <c r="E351" s="2330"/>
      <c r="F351" s="2330"/>
      <c r="G351" s="2327"/>
      <c r="H351" s="2323"/>
      <c r="I351" s="2329"/>
      <c r="J351" s="2371">
        <f t="shared" si="80"/>
        <v>0</v>
      </c>
      <c r="K351" s="2327"/>
      <c r="L351" s="2342"/>
      <c r="M351" s="2358"/>
      <c r="N351" s="2324">
        <f t="shared" si="77"/>
        <v>0</v>
      </c>
      <c r="O351" s="704"/>
      <c r="P351" s="705"/>
      <c r="Q351" s="726"/>
      <c r="R351" s="706"/>
      <c r="S351" s="706"/>
      <c r="T351" s="706"/>
      <c r="U351" s="706"/>
      <c r="V351" s="706"/>
      <c r="W351" s="706"/>
      <c r="X351" s="706"/>
      <c r="Y351" s="706"/>
      <c r="Z351" s="706"/>
      <c r="AA351" s="706"/>
      <c r="AB351" s="706"/>
      <c r="AC351" s="706"/>
    </row>
    <row r="352" spans="1:42">
      <c r="A352" s="2307">
        <v>21</v>
      </c>
      <c r="B352" s="2154" t="s">
        <v>296</v>
      </c>
      <c r="C352" s="2161">
        <v>17</v>
      </c>
      <c r="D352" s="2303">
        <f t="shared" si="75"/>
        <v>107394765.96307769</v>
      </c>
      <c r="E352" s="2330"/>
      <c r="F352" s="2330"/>
      <c r="G352" s="2327">
        <v>62484449.986000001</v>
      </c>
      <c r="H352" s="2323">
        <v>16803395.091897696</v>
      </c>
      <c r="I352" s="2329">
        <v>27777663.482000001</v>
      </c>
      <c r="J352" s="2371">
        <f t="shared" si="80"/>
        <v>107065508.55989769</v>
      </c>
      <c r="K352" s="2327"/>
      <c r="L352" s="2342"/>
      <c r="M352" s="2358">
        <v>329257.40318000002</v>
      </c>
      <c r="N352" s="2324">
        <f t="shared" si="77"/>
        <v>329257.40318000002</v>
      </c>
      <c r="O352" s="704"/>
      <c r="P352" s="705"/>
      <c r="Q352" s="727"/>
      <c r="R352" s="706"/>
      <c r="S352" s="706"/>
      <c r="T352" s="706"/>
      <c r="U352" s="706"/>
      <c r="V352" s="706"/>
      <c r="W352" s="706"/>
      <c r="X352" s="706"/>
      <c r="Y352" s="706"/>
      <c r="Z352" s="706"/>
      <c r="AA352" s="706"/>
      <c r="AB352" s="706"/>
      <c r="AC352" s="706"/>
    </row>
    <row r="353" spans="1:42">
      <c r="A353" s="2307">
        <v>22</v>
      </c>
      <c r="B353" s="2154" t="s">
        <v>297</v>
      </c>
      <c r="C353" s="2155"/>
      <c r="D353" s="2303">
        <f t="shared" si="75"/>
        <v>99516.068489999976</v>
      </c>
      <c r="E353" s="2330"/>
      <c r="F353" s="2330"/>
      <c r="G353" s="2327">
        <v>51151.259203859998</v>
      </c>
      <c r="H353" s="2323">
        <v>48364.809286139985</v>
      </c>
      <c r="I353" s="2329"/>
      <c r="J353" s="2371">
        <f t="shared" si="80"/>
        <v>99516.068489999976</v>
      </c>
      <c r="K353" s="2327"/>
      <c r="L353" s="2342"/>
      <c r="M353" s="2358"/>
      <c r="N353" s="2324">
        <f t="shared" si="77"/>
        <v>0</v>
      </c>
      <c r="O353" s="704"/>
      <c r="P353" s="705"/>
      <c r="Q353" s="726"/>
      <c r="R353" s="706"/>
      <c r="S353" s="706"/>
      <c r="T353" s="706"/>
      <c r="U353" s="706"/>
      <c r="V353" s="706"/>
      <c r="W353" s="706"/>
      <c r="X353" s="706"/>
      <c r="Y353" s="706"/>
      <c r="Z353" s="706"/>
      <c r="AA353" s="706"/>
      <c r="AB353" s="706"/>
      <c r="AC353" s="706"/>
    </row>
    <row r="354" spans="1:42">
      <c r="A354" s="2307">
        <v>23</v>
      </c>
      <c r="B354" s="2154" t="s">
        <v>298</v>
      </c>
      <c r="C354" s="2155">
        <v>18</v>
      </c>
      <c r="D354" s="2303">
        <f t="shared" si="75"/>
        <v>477739.89124999999</v>
      </c>
      <c r="E354" s="2330"/>
      <c r="F354" s="2330"/>
      <c r="G354" s="2327">
        <v>13231.898119032832</v>
      </c>
      <c r="H354" s="2323">
        <v>464507.99313096714</v>
      </c>
      <c r="I354" s="2329"/>
      <c r="J354" s="2371">
        <f t="shared" si="80"/>
        <v>477739.89124999999</v>
      </c>
      <c r="K354" s="2327"/>
      <c r="L354" s="2342"/>
      <c r="M354" s="2358"/>
      <c r="N354" s="2324">
        <f t="shared" si="77"/>
        <v>0</v>
      </c>
      <c r="O354" s="704"/>
      <c r="P354" s="705"/>
      <c r="Q354" s="726"/>
      <c r="R354" s="706"/>
      <c r="S354" s="706"/>
      <c r="T354" s="706"/>
      <c r="U354" s="706"/>
      <c r="V354" s="706"/>
      <c r="W354" s="706"/>
      <c r="X354" s="706"/>
      <c r="Y354" s="706"/>
      <c r="Z354" s="706"/>
      <c r="AA354" s="706"/>
      <c r="AB354" s="706"/>
      <c r="AC354" s="706"/>
    </row>
    <row r="355" spans="1:42">
      <c r="A355" s="2307">
        <v>24</v>
      </c>
      <c r="B355" s="2154" t="s">
        <v>299</v>
      </c>
      <c r="C355" s="2155"/>
      <c r="D355" s="2303">
        <f t="shared" si="75"/>
        <v>863553.37515999994</v>
      </c>
      <c r="E355" s="2330"/>
      <c r="F355" s="2330"/>
      <c r="G355" s="2327">
        <v>443866.43483223999</v>
      </c>
      <c r="H355" s="2323">
        <v>419686.94032775995</v>
      </c>
      <c r="I355" s="2329"/>
      <c r="J355" s="2371">
        <f t="shared" si="80"/>
        <v>863553.37515999994</v>
      </c>
      <c r="K355" s="2327"/>
      <c r="L355" s="2342"/>
      <c r="M355" s="2358"/>
      <c r="N355" s="2324">
        <f t="shared" si="77"/>
        <v>0</v>
      </c>
      <c r="O355" s="704"/>
      <c r="P355" s="705"/>
      <c r="Q355" s="726"/>
      <c r="R355" s="706"/>
      <c r="S355" s="706"/>
      <c r="T355" s="706"/>
      <c r="U355" s="706"/>
      <c r="V355" s="706"/>
      <c r="W355" s="706"/>
      <c r="X355" s="706"/>
      <c r="Y355" s="706"/>
      <c r="Z355" s="706"/>
      <c r="AA355" s="706"/>
      <c r="AB355" s="706"/>
      <c r="AC355" s="706"/>
    </row>
    <row r="356" spans="1:42">
      <c r="A356" s="2307">
        <v>25</v>
      </c>
      <c r="B356" s="2176" t="s">
        <v>300</v>
      </c>
      <c r="C356" s="2155"/>
      <c r="D356" s="2303">
        <f t="shared" si="75"/>
        <v>210890.12191999998</v>
      </c>
      <c r="E356" s="2330"/>
      <c r="F356" s="2330"/>
      <c r="G356" s="2327">
        <v>210890.12191999998</v>
      </c>
      <c r="H356" s="2323"/>
      <c r="I356" s="2329"/>
      <c r="J356" s="2371">
        <f t="shared" si="80"/>
        <v>210890.12191999998</v>
      </c>
      <c r="K356" s="2327"/>
      <c r="L356" s="2342"/>
      <c r="M356" s="2358"/>
      <c r="N356" s="2324">
        <f t="shared" si="77"/>
        <v>0</v>
      </c>
      <c r="O356" s="704"/>
      <c r="P356" s="705"/>
      <c r="Q356" s="726"/>
      <c r="R356" s="706"/>
      <c r="S356" s="706"/>
      <c r="T356" s="706"/>
      <c r="U356" s="706"/>
      <c r="V356" s="706"/>
      <c r="W356" s="706"/>
      <c r="X356" s="706"/>
      <c r="Y356" s="706"/>
      <c r="Z356" s="706"/>
      <c r="AA356" s="706"/>
      <c r="AB356" s="706"/>
      <c r="AC356" s="706"/>
    </row>
    <row r="357" spans="1:42" ht="13.5" thickBot="1">
      <c r="A357" s="2314">
        <v>26</v>
      </c>
      <c r="B357" s="2173" t="s">
        <v>301</v>
      </c>
      <c r="C357" s="2177">
        <v>19</v>
      </c>
      <c r="D357" s="1485">
        <f t="shared" si="75"/>
        <v>3609885.1273392229</v>
      </c>
      <c r="E357" s="1033"/>
      <c r="F357" s="1033">
        <v>-3408.5445192860207</v>
      </c>
      <c r="G357" s="1034">
        <v>1170851.8092742725</v>
      </c>
      <c r="H357" s="1038">
        <v>2442441.8625842365</v>
      </c>
      <c r="I357" s="2345"/>
      <c r="J357" s="1538">
        <f t="shared" si="80"/>
        <v>3613293.6718585091</v>
      </c>
      <c r="K357" s="1034"/>
      <c r="L357" s="1038"/>
      <c r="M357" s="2363"/>
      <c r="N357" s="2376">
        <f t="shared" si="77"/>
        <v>0</v>
      </c>
      <c r="O357" s="704"/>
      <c r="P357" s="705"/>
      <c r="Q357" s="727"/>
      <c r="R357" s="706"/>
      <c r="S357" s="706"/>
      <c r="T357" s="706"/>
      <c r="U357" s="706"/>
      <c r="V357" s="706"/>
      <c r="W357" s="706"/>
      <c r="X357" s="706"/>
      <c r="Y357" s="706"/>
      <c r="Z357" s="706"/>
      <c r="AA357" s="706"/>
      <c r="AB357" s="706"/>
      <c r="AC357" s="706"/>
    </row>
    <row r="358" spans="1:42" s="913" customFormat="1" ht="26.25" thickBot="1">
      <c r="A358" s="1482">
        <v>27</v>
      </c>
      <c r="B358" s="1349" t="s">
        <v>302</v>
      </c>
      <c r="C358" s="1348"/>
      <c r="D358" s="1499">
        <f t="shared" si="75"/>
        <v>112656350.5472369</v>
      </c>
      <c r="E358" s="1019">
        <f>SUM(E352:E357)</f>
        <v>0</v>
      </c>
      <c r="F358" s="1019">
        <f>SUM(F352:F357)</f>
        <v>-3408.5445192860207</v>
      </c>
      <c r="G358" s="1019">
        <f>SUM(G352:G357)</f>
        <v>64374441.509349398</v>
      </c>
      <c r="H358" s="1039">
        <f>SUM(H352:H357)</f>
        <v>20178396.6972268</v>
      </c>
      <c r="I358" s="1023">
        <f>SUM(I352:I357)</f>
        <v>27777663.482000001</v>
      </c>
      <c r="J358" s="1502">
        <f>G358+H358+I358</f>
        <v>112330501.68857619</v>
      </c>
      <c r="K358" s="1019">
        <f>SUM(K352:K357)</f>
        <v>0</v>
      </c>
      <c r="L358" s="1039">
        <f>SUM(L352:L357)</f>
        <v>0</v>
      </c>
      <c r="M358" s="1035">
        <f>SUM(M352:M357)</f>
        <v>329257.40318000002</v>
      </c>
      <c r="N358" s="1519">
        <f t="shared" si="77"/>
        <v>329257.40318000002</v>
      </c>
      <c r="O358" s="1024"/>
      <c r="P358" s="1025"/>
      <c r="Q358" s="728"/>
      <c r="R358" s="1027"/>
      <c r="S358" s="1027"/>
      <c r="T358" s="1027"/>
      <c r="U358" s="1027"/>
      <c r="V358" s="1027"/>
      <c r="W358" s="1027"/>
      <c r="X358" s="1027"/>
      <c r="Y358" s="1027"/>
      <c r="Z358" s="1027"/>
      <c r="AA358" s="1027"/>
      <c r="AB358" s="1027"/>
      <c r="AC358" s="1027"/>
      <c r="AE358" s="1028"/>
      <c r="AF358" s="1028"/>
      <c r="AG358" s="1028"/>
      <c r="AH358" s="1028"/>
      <c r="AI358" s="1028"/>
      <c r="AJ358" s="1028"/>
      <c r="AK358" s="1028"/>
      <c r="AL358" s="1028"/>
      <c r="AM358" s="1028"/>
      <c r="AN358" s="1028"/>
      <c r="AO358" s="1028"/>
      <c r="AP358" s="1028"/>
    </row>
    <row r="359" spans="1:42">
      <c r="A359" s="1483"/>
      <c r="B359" s="1481" t="s">
        <v>303</v>
      </c>
      <c r="C359" s="1346">
        <v>20</v>
      </c>
      <c r="D359" s="1487">
        <f t="shared" si="75"/>
        <v>0</v>
      </c>
      <c r="E359" s="691"/>
      <c r="F359" s="691"/>
      <c r="G359" s="688"/>
      <c r="H359" s="689"/>
      <c r="I359" s="692"/>
      <c r="J359" s="1503">
        <f t="shared" ref="J359:J365" si="81">G359+H359+I359</f>
        <v>0</v>
      </c>
      <c r="K359" s="996"/>
      <c r="L359" s="1067"/>
      <c r="M359" s="1566"/>
      <c r="N359" s="1488">
        <f t="shared" si="77"/>
        <v>0</v>
      </c>
      <c r="O359" s="704"/>
      <c r="P359" s="705"/>
      <c r="Q359" s="726"/>
      <c r="R359" s="706"/>
      <c r="S359" s="706"/>
      <c r="T359" s="706"/>
      <c r="U359" s="706"/>
      <c r="V359" s="706"/>
      <c r="W359" s="706"/>
      <c r="X359" s="706"/>
      <c r="Y359" s="706"/>
      <c r="Z359" s="706"/>
      <c r="AA359" s="706"/>
      <c r="AB359" s="706"/>
      <c r="AC359" s="706"/>
    </row>
    <row r="360" spans="1:42">
      <c r="A360" s="2307">
        <v>28</v>
      </c>
      <c r="B360" s="2302" t="s">
        <v>304</v>
      </c>
      <c r="C360" s="2161"/>
      <c r="D360" s="2303">
        <f t="shared" si="75"/>
        <v>500000.5</v>
      </c>
      <c r="E360" s="2330"/>
      <c r="F360" s="2330">
        <v>500000.5</v>
      </c>
      <c r="G360" s="2327"/>
      <c r="H360" s="2323"/>
      <c r="I360" s="2329"/>
      <c r="J360" s="2371">
        <f t="shared" si="81"/>
        <v>0</v>
      </c>
      <c r="K360" s="2304"/>
      <c r="L360" s="2325"/>
      <c r="M360" s="2354"/>
      <c r="N360" s="2324">
        <f t="shared" si="77"/>
        <v>0</v>
      </c>
      <c r="O360" s="704"/>
      <c r="P360" s="705"/>
      <c r="Q360" s="727"/>
      <c r="R360" s="706"/>
      <c r="S360" s="706"/>
      <c r="T360" s="706"/>
      <c r="U360" s="706"/>
      <c r="V360" s="706"/>
      <c r="W360" s="706"/>
      <c r="X360" s="706"/>
      <c r="Y360" s="706"/>
      <c r="Z360" s="706"/>
      <c r="AA360" s="706"/>
      <c r="AB360" s="706"/>
      <c r="AC360" s="706"/>
    </row>
    <row r="361" spans="1:42">
      <c r="A361" s="2307">
        <v>29</v>
      </c>
      <c r="B361" s="2302" t="s">
        <v>305</v>
      </c>
      <c r="C361" s="2161"/>
      <c r="D361" s="2303">
        <f t="shared" si="75"/>
        <v>7414273.9067589995</v>
      </c>
      <c r="E361" s="2330"/>
      <c r="F361" s="2330">
        <v>7414273.9067589995</v>
      </c>
      <c r="G361" s="2327"/>
      <c r="H361" s="2323"/>
      <c r="I361" s="2329"/>
      <c r="J361" s="2371">
        <f t="shared" si="81"/>
        <v>0</v>
      </c>
      <c r="K361" s="2304"/>
      <c r="L361" s="2325"/>
      <c r="M361" s="2354"/>
      <c r="N361" s="2324">
        <f t="shared" si="77"/>
        <v>0</v>
      </c>
      <c r="O361" s="704"/>
      <c r="P361" s="705"/>
      <c r="Q361" s="727"/>
      <c r="R361" s="706"/>
      <c r="S361" s="706"/>
      <c r="T361" s="706"/>
      <c r="U361" s="706"/>
      <c r="V361" s="706"/>
      <c r="W361" s="706"/>
      <c r="X361" s="706"/>
      <c r="Y361" s="706"/>
      <c r="Z361" s="706"/>
      <c r="AA361" s="706"/>
      <c r="AB361" s="706"/>
      <c r="AC361" s="706"/>
    </row>
    <row r="362" spans="1:42">
      <c r="A362" s="2307">
        <v>30</v>
      </c>
      <c r="B362" s="2317" t="s">
        <v>306</v>
      </c>
      <c r="C362" s="2177"/>
      <c r="D362" s="2303">
        <f t="shared" si="75"/>
        <v>366251.14397983334</v>
      </c>
      <c r="E362" s="2330"/>
      <c r="F362" s="1033">
        <v>366251.14397983334</v>
      </c>
      <c r="G362" s="1034"/>
      <c r="H362" s="2359"/>
      <c r="I362" s="2364"/>
      <c r="J362" s="2371">
        <f t="shared" si="81"/>
        <v>0</v>
      </c>
      <c r="K362" s="2304"/>
      <c r="L362" s="2325"/>
      <c r="M362" s="2354"/>
      <c r="N362" s="2324">
        <f t="shared" si="77"/>
        <v>0</v>
      </c>
      <c r="O362" s="704"/>
      <c r="P362" s="705"/>
      <c r="Q362" s="727"/>
      <c r="R362" s="706"/>
      <c r="S362" s="706"/>
      <c r="T362" s="706"/>
      <c r="U362" s="706"/>
      <c r="V362" s="706"/>
      <c r="W362" s="706"/>
      <c r="X362" s="706"/>
      <c r="Y362" s="706"/>
      <c r="Z362" s="706"/>
      <c r="AA362" s="706"/>
      <c r="AB362" s="706"/>
      <c r="AC362" s="706"/>
    </row>
    <row r="363" spans="1:42">
      <c r="A363" s="2307">
        <v>31</v>
      </c>
      <c r="B363" s="2317" t="s">
        <v>307</v>
      </c>
      <c r="C363" s="2177"/>
      <c r="D363" s="2303">
        <f t="shared" si="75"/>
        <v>3456184.2829999998</v>
      </c>
      <c r="E363" s="2330"/>
      <c r="F363" s="1033">
        <v>3456184.2829999998</v>
      </c>
      <c r="G363" s="1034"/>
      <c r="H363" s="2359"/>
      <c r="I363" s="2364"/>
      <c r="J363" s="2371">
        <f t="shared" si="81"/>
        <v>0</v>
      </c>
      <c r="K363" s="2304"/>
      <c r="L363" s="2325"/>
      <c r="M363" s="2354"/>
      <c r="N363" s="2324">
        <f t="shared" si="77"/>
        <v>0</v>
      </c>
      <c r="O363" s="704"/>
      <c r="P363" s="705"/>
      <c r="Q363" s="727"/>
      <c r="R363" s="706"/>
      <c r="S363" s="706"/>
      <c r="T363" s="706"/>
      <c r="U363" s="706"/>
      <c r="V363" s="706"/>
      <c r="W363" s="706"/>
      <c r="X363" s="706"/>
      <c r="Y363" s="706"/>
      <c r="Z363" s="706"/>
      <c r="AA363" s="706"/>
      <c r="AB363" s="706"/>
      <c r="AC363" s="706"/>
    </row>
    <row r="364" spans="1:42" ht="13.5" thickBot="1">
      <c r="A364" s="2314">
        <v>32</v>
      </c>
      <c r="B364" s="2317" t="s">
        <v>308</v>
      </c>
      <c r="C364" s="2177"/>
      <c r="D364" s="1485">
        <f t="shared" si="75"/>
        <v>26408325.936419792</v>
      </c>
      <c r="E364" s="1033"/>
      <c r="F364" s="1033">
        <v>26408325.936419792</v>
      </c>
      <c r="G364" s="1034"/>
      <c r="H364" s="2359"/>
      <c r="I364" s="2364"/>
      <c r="J364" s="1538">
        <f t="shared" si="81"/>
        <v>0</v>
      </c>
      <c r="K364" s="998"/>
      <c r="L364" s="1070"/>
      <c r="M364" s="2406"/>
      <c r="N364" s="2376">
        <f t="shared" si="77"/>
        <v>0</v>
      </c>
      <c r="O364" s="704"/>
      <c r="P364" s="705"/>
      <c r="Q364" s="727"/>
      <c r="R364" s="706"/>
      <c r="S364" s="706"/>
      <c r="T364" s="706"/>
      <c r="U364" s="706"/>
      <c r="V364" s="706"/>
      <c r="W364" s="706"/>
      <c r="X364" s="706"/>
      <c r="Y364" s="706"/>
      <c r="Z364" s="706"/>
      <c r="AA364" s="706"/>
      <c r="AB364" s="706"/>
      <c r="AC364" s="706"/>
    </row>
    <row r="365" spans="1:42" s="913" customFormat="1" ht="13.5" thickBot="1">
      <c r="A365" s="1482">
        <v>33</v>
      </c>
      <c r="B365" s="1350" t="s">
        <v>309</v>
      </c>
      <c r="C365" s="1348"/>
      <c r="D365" s="1500">
        <f t="shared" si="75"/>
        <v>38145035.770158626</v>
      </c>
      <c r="E365" s="1030">
        <f>SUM(E360:E364)</f>
        <v>0</v>
      </c>
      <c r="F365" s="1030">
        <f>SUM(F360:F364)</f>
        <v>38145035.770158626</v>
      </c>
      <c r="G365" s="1030">
        <f>SUM(G360:G364)</f>
        <v>0</v>
      </c>
      <c r="H365" s="1030">
        <f>SUM(H360:H364)</f>
        <v>0</v>
      </c>
      <c r="I365" s="1030">
        <f>SUM(I360:I364)</f>
        <v>0</v>
      </c>
      <c r="J365" s="1031">
        <f t="shared" si="81"/>
        <v>0</v>
      </c>
      <c r="K365" s="1030">
        <f>SUM(K360:K364)</f>
        <v>0</v>
      </c>
      <c r="L365" s="1040">
        <f>SUM(L360:L364)</f>
        <v>0</v>
      </c>
      <c r="M365" s="1567">
        <f>SUM(M360:M364)</f>
        <v>0</v>
      </c>
      <c r="N365" s="1521">
        <f t="shared" si="77"/>
        <v>0</v>
      </c>
      <c r="O365" s="1024"/>
      <c r="P365" s="1025"/>
      <c r="Q365" s="728"/>
      <c r="R365" s="1027"/>
      <c r="S365" s="1027"/>
      <c r="T365" s="1027"/>
      <c r="U365" s="1027"/>
      <c r="V365" s="1027"/>
      <c r="W365" s="1027"/>
      <c r="X365" s="1027"/>
      <c r="Y365" s="1027"/>
      <c r="Z365" s="1027"/>
      <c r="AA365" s="1027"/>
      <c r="AB365" s="1027"/>
      <c r="AC365" s="1027"/>
      <c r="AE365" s="1028"/>
      <c r="AF365" s="1028"/>
      <c r="AG365" s="1028"/>
      <c r="AH365" s="1028"/>
      <c r="AI365" s="1028"/>
      <c r="AJ365" s="1028"/>
      <c r="AK365" s="1028"/>
      <c r="AL365" s="1028"/>
      <c r="AM365" s="1028"/>
      <c r="AN365" s="1028"/>
      <c r="AO365" s="1028"/>
      <c r="AP365" s="1028"/>
    </row>
    <row r="366" spans="1:42" s="913" customFormat="1" ht="26.25" thickBot="1">
      <c r="A366" s="1493">
        <v>34</v>
      </c>
      <c r="B366" s="1352" t="s">
        <v>310</v>
      </c>
      <c r="C366" s="1351"/>
      <c r="D366" s="1526">
        <f>+E366+F366+J366+N366</f>
        <v>150801386.31739554</v>
      </c>
      <c r="E366" s="1526">
        <f>E365+E358</f>
        <v>0</v>
      </c>
      <c r="F366" s="1526">
        <f>F365+F358</f>
        <v>38141627.225639343</v>
      </c>
      <c r="G366" s="1526">
        <f>G365+G358</f>
        <v>64374441.509349398</v>
      </c>
      <c r="H366" s="1526">
        <f>H365+H358</f>
        <v>20178396.6972268</v>
      </c>
      <c r="I366" s="1526">
        <f>I365+I358</f>
        <v>27777663.482000001</v>
      </c>
      <c r="J366" s="1535">
        <f>G366+H366+I366</f>
        <v>112330501.68857619</v>
      </c>
      <c r="K366" s="1526">
        <f>K365+K358</f>
        <v>0</v>
      </c>
      <c r="L366" s="1527">
        <f>L365+L358</f>
        <v>0</v>
      </c>
      <c r="M366" s="1568">
        <f>M365+M358</f>
        <v>329257.40318000002</v>
      </c>
      <c r="N366" s="1529">
        <f t="shared" si="77"/>
        <v>329257.40318000002</v>
      </c>
      <c r="O366" s="1024"/>
      <c r="P366" s="1025"/>
      <c r="Q366" s="728"/>
      <c r="R366" s="1027"/>
      <c r="S366" s="1027"/>
      <c r="T366" s="1027"/>
      <c r="U366" s="1027"/>
      <c r="V366" s="1027"/>
      <c r="W366" s="1027"/>
      <c r="X366" s="1027"/>
      <c r="Y366" s="1027"/>
      <c r="Z366" s="1027"/>
      <c r="AA366" s="1027"/>
      <c r="AB366" s="1027"/>
      <c r="AC366" s="1027"/>
      <c r="AE366" s="1028"/>
      <c r="AF366" s="1028"/>
      <c r="AG366" s="1028"/>
      <c r="AH366" s="1028"/>
      <c r="AI366" s="1028"/>
      <c r="AJ366" s="1028"/>
      <c r="AK366" s="1028"/>
      <c r="AL366" s="1028"/>
      <c r="AM366" s="1028"/>
      <c r="AN366" s="1028"/>
      <c r="AO366" s="1028"/>
      <c r="AP366" s="1028"/>
    </row>
    <row r="368" spans="1:42">
      <c r="B368" s="680"/>
      <c r="D368" s="679"/>
      <c r="E368" s="679"/>
      <c r="F368" s="679"/>
      <c r="G368" s="679"/>
      <c r="H368" s="679"/>
      <c r="I368" s="679"/>
      <c r="J368" s="679"/>
      <c r="K368" s="679"/>
      <c r="L368" s="679"/>
      <c r="M368" s="679"/>
      <c r="N368" s="911">
        <v>36</v>
      </c>
      <c r="O368" s="679"/>
    </row>
    <row r="369" spans="1:29">
      <c r="D369" s="679"/>
      <c r="E369" s="679"/>
      <c r="F369" s="679"/>
      <c r="G369" s="679"/>
      <c r="H369" s="679"/>
      <c r="I369" s="679"/>
      <c r="J369" s="679"/>
      <c r="K369" s="679"/>
      <c r="L369" s="679"/>
      <c r="M369" s="679"/>
      <c r="N369" s="679"/>
      <c r="O369" s="679"/>
      <c r="P369" s="679"/>
      <c r="Q369" s="679"/>
      <c r="R369" s="679"/>
      <c r="S369" s="679"/>
      <c r="T369" s="679"/>
    </row>
    <row r="370" spans="1:29" ht="13.5" thickBot="1">
      <c r="D370" s="679"/>
      <c r="E370" s="679"/>
      <c r="F370" s="679"/>
      <c r="G370" s="679"/>
      <c r="H370" s="679"/>
      <c r="I370" s="679"/>
      <c r="J370" s="679"/>
      <c r="K370" s="679"/>
      <c r="L370" s="679"/>
      <c r="M370" s="679"/>
      <c r="N370" s="679"/>
      <c r="O370" s="679"/>
      <c r="P370" s="679"/>
      <c r="Q370" s="679"/>
      <c r="R370" s="679"/>
      <c r="S370" s="679"/>
      <c r="T370" s="679"/>
    </row>
    <row r="371" spans="1:29" ht="15.75" customHeight="1" thickBot="1">
      <c r="A371" s="1368" t="s">
        <v>184</v>
      </c>
      <c r="B371" s="3533" t="s">
        <v>233</v>
      </c>
      <c r="C371" s="3534"/>
      <c r="E371" s="679"/>
      <c r="F371" s="679"/>
      <c r="G371" s="679"/>
      <c r="H371" s="679"/>
      <c r="I371" s="679"/>
      <c r="J371" s="679"/>
      <c r="K371" s="679"/>
      <c r="L371" s="679"/>
      <c r="M371" s="3538" t="s">
        <v>251</v>
      </c>
      <c r="N371" s="3538"/>
      <c r="O371" s="701"/>
    </row>
    <row r="372" spans="1:29" ht="15.75" customHeight="1" thickBot="1">
      <c r="A372" s="3555" t="s">
        <v>252</v>
      </c>
      <c r="B372" s="1467"/>
      <c r="C372" s="3523" t="s">
        <v>254</v>
      </c>
      <c r="D372" s="3562" t="s">
        <v>255</v>
      </c>
      <c r="E372" s="3562" t="s">
        <v>256</v>
      </c>
      <c r="F372" s="3562" t="s">
        <v>257</v>
      </c>
      <c r="G372" s="3565" t="s">
        <v>258</v>
      </c>
      <c r="H372" s="3566"/>
      <c r="I372" s="3566"/>
      <c r="J372" s="3566"/>
      <c r="K372" s="3566"/>
      <c r="L372" s="3566"/>
      <c r="M372" s="3566"/>
      <c r="N372" s="3567"/>
      <c r="O372" s="702"/>
    </row>
    <row r="373" spans="1:29" ht="15.75" customHeight="1" thickBot="1">
      <c r="A373" s="3556"/>
      <c r="B373" s="1468"/>
      <c r="C373" s="3524"/>
      <c r="D373" s="3563"/>
      <c r="E373" s="3563"/>
      <c r="F373" s="3563"/>
      <c r="G373" s="3529" t="s">
        <v>259</v>
      </c>
      <c r="H373" s="3530"/>
      <c r="I373" s="3530"/>
      <c r="J373" s="3531"/>
      <c r="K373" s="3568" t="s">
        <v>260</v>
      </c>
      <c r="L373" s="3569"/>
      <c r="M373" s="3569"/>
      <c r="N373" s="3570"/>
      <c r="O373" s="458"/>
    </row>
    <row r="374" spans="1:29" ht="39" thickBot="1">
      <c r="A374" s="3556"/>
      <c r="B374" s="1469"/>
      <c r="C374" s="3524"/>
      <c r="D374" s="3564"/>
      <c r="E374" s="3564"/>
      <c r="F374" s="3564"/>
      <c r="G374" s="1336" t="s">
        <v>261</v>
      </c>
      <c r="H374" s="1336" t="s">
        <v>262</v>
      </c>
      <c r="I374" s="1336" t="s">
        <v>263</v>
      </c>
      <c r="J374" s="1336" t="s">
        <v>158</v>
      </c>
      <c r="K374" s="1337" t="s">
        <v>264</v>
      </c>
      <c r="L374" s="1337" t="s">
        <v>265</v>
      </c>
      <c r="M374" s="1337" t="s">
        <v>266</v>
      </c>
      <c r="N374" s="1404" t="s">
        <v>158</v>
      </c>
      <c r="O374" s="443"/>
    </row>
    <row r="375" spans="1:29" ht="13.5" thickBot="1">
      <c r="A375" s="3556"/>
      <c r="B375" s="1468"/>
      <c r="C375" s="3524"/>
      <c r="D375" s="1470">
        <v>1</v>
      </c>
      <c r="E375" s="1471">
        <v>2</v>
      </c>
      <c r="F375" s="1471">
        <v>3</v>
      </c>
      <c r="G375" s="1472">
        <v>4</v>
      </c>
      <c r="H375" s="1471">
        <v>5</v>
      </c>
      <c r="I375" s="1473">
        <v>6</v>
      </c>
      <c r="J375" s="1474">
        <v>7</v>
      </c>
      <c r="K375" s="1472">
        <v>8</v>
      </c>
      <c r="L375" s="1471">
        <v>9</v>
      </c>
      <c r="M375" s="1496">
        <v>10</v>
      </c>
      <c r="N375" s="1470">
        <v>11</v>
      </c>
      <c r="O375" s="702"/>
    </row>
    <row r="376" spans="1:29" ht="13.5" thickBot="1">
      <c r="A376" s="3557"/>
      <c r="B376" s="1475"/>
      <c r="C376" s="3525"/>
      <c r="D376" s="1476"/>
      <c r="E376" s="1476"/>
      <c r="F376" s="1476"/>
      <c r="G376" s="1477"/>
      <c r="H376" s="1476"/>
      <c r="I376" s="1552"/>
      <c r="J376" s="1478" t="s">
        <v>267</v>
      </c>
      <c r="K376" s="1477"/>
      <c r="L376" s="1476"/>
      <c r="M376" s="1968"/>
      <c r="N376" s="1553" t="s">
        <v>268</v>
      </c>
      <c r="O376" s="703"/>
      <c r="P376" s="703"/>
      <c r="Q376" s="703"/>
    </row>
    <row r="377" spans="1:29">
      <c r="A377" s="1483"/>
      <c r="B377" s="1481" t="s">
        <v>269</v>
      </c>
      <c r="C377" s="1346"/>
      <c r="D377" s="1484"/>
      <c r="E377" s="992"/>
      <c r="F377" s="687"/>
      <c r="G377" s="688"/>
      <c r="H377" s="689"/>
      <c r="I377" s="690"/>
      <c r="J377" s="1491"/>
      <c r="K377" s="996"/>
      <c r="L377" s="994"/>
      <c r="M377" s="997"/>
      <c r="N377" s="1518"/>
      <c r="Q377" s="721"/>
    </row>
    <row r="378" spans="1:29">
      <c r="A378" s="2301">
        <v>1</v>
      </c>
      <c r="B378" s="2302" t="s">
        <v>270</v>
      </c>
      <c r="C378" s="2155"/>
      <c r="D378" s="2303">
        <f>+E378+F378+J378+N378</f>
        <v>0</v>
      </c>
      <c r="E378" s="2304"/>
      <c r="F378" s="2330"/>
      <c r="G378" s="2327"/>
      <c r="H378" s="2323"/>
      <c r="I378" s="2329"/>
      <c r="J378" s="2371">
        <f>G378+H378+I378</f>
        <v>0</v>
      </c>
      <c r="K378" s="2304"/>
      <c r="L378" s="2304"/>
      <c r="M378" s="2325"/>
      <c r="N378" s="2324">
        <f>K378+L378+M378</f>
        <v>0</v>
      </c>
      <c r="O378" s="704"/>
      <c r="P378" s="705"/>
      <c r="Q378" s="719"/>
      <c r="R378" s="706"/>
      <c r="S378" s="706"/>
      <c r="T378" s="706"/>
      <c r="U378" s="706"/>
      <c r="V378" s="706"/>
      <c r="W378" s="706"/>
      <c r="X378" s="706"/>
      <c r="Y378" s="706"/>
      <c r="Z378" s="706"/>
      <c r="AA378" s="706"/>
      <c r="AB378" s="706"/>
      <c r="AC378" s="706"/>
    </row>
    <row r="379" spans="1:29">
      <c r="A379" s="2301">
        <v>2</v>
      </c>
      <c r="B379" s="2302" t="s">
        <v>271</v>
      </c>
      <c r="C379" s="2155"/>
      <c r="D379" s="2303">
        <f t="shared" ref="D379:D417" si="82">+E379+F379+J379+N379</f>
        <v>1593</v>
      </c>
      <c r="E379" s="2304"/>
      <c r="F379" s="2330"/>
      <c r="G379" s="2407">
        <v>621</v>
      </c>
      <c r="H379" s="2408">
        <v>972</v>
      </c>
      <c r="I379" s="2329"/>
      <c r="J379" s="2371">
        <f t="shared" ref="J379:J389" si="83">G379+H379+I379</f>
        <v>1593</v>
      </c>
      <c r="K379" s="2304"/>
      <c r="L379" s="2304"/>
      <c r="M379" s="2325"/>
      <c r="N379" s="2324">
        <f t="shared" ref="N379:N418" si="84">K379+L379+M379</f>
        <v>0</v>
      </c>
      <c r="O379" s="704"/>
      <c r="P379" s="705"/>
      <c r="Q379" s="719"/>
      <c r="R379" s="706"/>
      <c r="S379" s="706"/>
      <c r="T379" s="706"/>
      <c r="U379" s="706"/>
      <c r="V379" s="706"/>
      <c r="W379" s="706"/>
      <c r="X379" s="706"/>
      <c r="Y379" s="706"/>
      <c r="Z379" s="706"/>
      <c r="AA379" s="706"/>
      <c r="AB379" s="706"/>
      <c r="AC379" s="706"/>
    </row>
    <row r="380" spans="1:29">
      <c r="A380" s="2301">
        <v>3</v>
      </c>
      <c r="B380" s="2302" t="s">
        <v>272</v>
      </c>
      <c r="C380" s="2155"/>
      <c r="D380" s="2303">
        <f t="shared" si="82"/>
        <v>0</v>
      </c>
      <c r="E380" s="2304"/>
      <c r="F380" s="2330"/>
      <c r="G380" s="2327"/>
      <c r="H380" s="2323"/>
      <c r="I380" s="2329"/>
      <c r="J380" s="2371">
        <f t="shared" si="83"/>
        <v>0</v>
      </c>
      <c r="K380" s="2304"/>
      <c r="L380" s="2304"/>
      <c r="M380" s="2325"/>
      <c r="N380" s="2324">
        <f t="shared" si="84"/>
        <v>0</v>
      </c>
      <c r="O380" s="704"/>
      <c r="P380" s="705"/>
      <c r="Q380" s="719"/>
      <c r="R380" s="706"/>
      <c r="S380" s="706"/>
      <c r="T380" s="706"/>
      <c r="U380" s="706"/>
      <c r="V380" s="706"/>
      <c r="W380" s="706"/>
      <c r="X380" s="706"/>
      <c r="Y380" s="706"/>
      <c r="Z380" s="706"/>
      <c r="AA380" s="706"/>
      <c r="AB380" s="706"/>
      <c r="AC380" s="706"/>
    </row>
    <row r="381" spans="1:29">
      <c r="A381" s="2301">
        <v>4</v>
      </c>
      <c r="B381" s="2302" t="s">
        <v>316</v>
      </c>
      <c r="C381" s="2155"/>
      <c r="D381" s="2303">
        <f t="shared" si="82"/>
        <v>0</v>
      </c>
      <c r="E381" s="2304"/>
      <c r="F381" s="2330"/>
      <c r="G381" s="2327"/>
      <c r="H381" s="2323"/>
      <c r="I381" s="2329"/>
      <c r="J381" s="2371">
        <f t="shared" si="83"/>
        <v>0</v>
      </c>
      <c r="K381" s="2304"/>
      <c r="L381" s="2304"/>
      <c r="M381" s="2325"/>
      <c r="N381" s="2324">
        <f t="shared" si="84"/>
        <v>0</v>
      </c>
      <c r="O381" s="704"/>
      <c r="P381" s="705"/>
      <c r="Q381" s="719"/>
      <c r="R381" s="706"/>
      <c r="S381" s="706"/>
      <c r="T381" s="706"/>
      <c r="U381" s="706"/>
      <c r="V381" s="706"/>
      <c r="W381" s="706"/>
      <c r="X381" s="706"/>
      <c r="Y381" s="706"/>
      <c r="Z381" s="706"/>
      <c r="AA381" s="706"/>
      <c r="AB381" s="706"/>
      <c r="AC381" s="706"/>
    </row>
    <row r="382" spans="1:29">
      <c r="A382" s="2301">
        <v>5</v>
      </c>
      <c r="B382" s="2302" t="s">
        <v>274</v>
      </c>
      <c r="C382" s="2161">
        <v>5</v>
      </c>
      <c r="D382" s="2303">
        <f t="shared" si="82"/>
        <v>345612</v>
      </c>
      <c r="E382" s="2304"/>
      <c r="F382" s="2340">
        <v>207160</v>
      </c>
      <c r="G382" s="2409">
        <v>53936</v>
      </c>
      <c r="H382" s="2326">
        <v>84516</v>
      </c>
      <c r="I382" s="2329"/>
      <c r="J382" s="2371">
        <f t="shared" si="83"/>
        <v>138452</v>
      </c>
      <c r="K382" s="2304"/>
      <c r="L382" s="2304"/>
      <c r="M382" s="2325"/>
      <c r="N382" s="2324">
        <f t="shared" si="84"/>
        <v>0</v>
      </c>
      <c r="O382" s="704"/>
      <c r="P382" s="705"/>
      <c r="Q382" s="722"/>
      <c r="R382" s="706"/>
      <c r="S382" s="706"/>
      <c r="T382" s="706"/>
      <c r="U382" s="706"/>
      <c r="V382" s="706"/>
      <c r="W382" s="706"/>
      <c r="X382" s="706"/>
      <c r="Y382" s="706"/>
      <c r="Z382" s="706"/>
      <c r="AA382" s="706"/>
      <c r="AB382" s="706"/>
      <c r="AC382" s="706"/>
    </row>
    <row r="383" spans="1:29">
      <c r="A383" s="2301">
        <v>6</v>
      </c>
      <c r="B383" s="2302" t="s">
        <v>275</v>
      </c>
      <c r="C383" s="2155">
        <v>6</v>
      </c>
      <c r="D383" s="2303">
        <f t="shared" si="82"/>
        <v>0</v>
      </c>
      <c r="E383" s="2304"/>
      <c r="F383" s="2330"/>
      <c r="G383" s="2327"/>
      <c r="H383" s="2323"/>
      <c r="I383" s="2329"/>
      <c r="J383" s="2371">
        <f t="shared" si="83"/>
        <v>0</v>
      </c>
      <c r="K383" s="2304"/>
      <c r="L383" s="2304"/>
      <c r="M383" s="2325"/>
      <c r="N383" s="2324">
        <f t="shared" si="84"/>
        <v>0</v>
      </c>
      <c r="O383" s="704"/>
      <c r="P383" s="705"/>
      <c r="Q383" s="719"/>
      <c r="R383" s="706"/>
      <c r="S383" s="706"/>
      <c r="T383" s="706"/>
      <c r="U383" s="706"/>
      <c r="V383" s="706"/>
      <c r="W383" s="706"/>
      <c r="X383" s="706"/>
      <c r="Y383" s="706"/>
      <c r="Z383" s="706"/>
      <c r="AA383" s="706"/>
      <c r="AB383" s="706"/>
      <c r="AC383" s="706"/>
    </row>
    <row r="384" spans="1:29">
      <c r="A384" s="2301">
        <v>7</v>
      </c>
      <c r="B384" s="2302" t="s">
        <v>276</v>
      </c>
      <c r="C384" s="2161">
        <v>7</v>
      </c>
      <c r="D384" s="2303">
        <f t="shared" si="82"/>
        <v>0</v>
      </c>
      <c r="E384" s="2304">
        <f>SUM(E385:E386)</f>
        <v>0</v>
      </c>
      <c r="F384" s="2330">
        <f>SUM(F385:F386)</f>
        <v>0</v>
      </c>
      <c r="G384" s="2330">
        <f>SUM(G385:G386)</f>
        <v>0</v>
      </c>
      <c r="H384" s="2321">
        <f>SUM(H385:H386)</f>
        <v>0</v>
      </c>
      <c r="I384" s="2329">
        <f>SUM(I385:I386)</f>
        <v>0</v>
      </c>
      <c r="J384" s="2371">
        <f t="shared" si="83"/>
        <v>0</v>
      </c>
      <c r="K384" s="2304">
        <f>K385+K386</f>
        <v>0</v>
      </c>
      <c r="L384" s="2304">
        <f>L385+L386</f>
        <v>0</v>
      </c>
      <c r="M384" s="2325">
        <f>M385+M386</f>
        <v>0</v>
      </c>
      <c r="N384" s="2324">
        <f t="shared" si="84"/>
        <v>0</v>
      </c>
      <c r="O384" s="704"/>
      <c r="P384" s="705"/>
      <c r="Q384" s="722"/>
      <c r="R384" s="706"/>
      <c r="S384" s="706"/>
      <c r="T384" s="706"/>
      <c r="U384" s="706"/>
      <c r="V384" s="706"/>
      <c r="W384" s="706"/>
      <c r="X384" s="706"/>
      <c r="Y384" s="706"/>
      <c r="Z384" s="706"/>
      <c r="AA384" s="706"/>
      <c r="AB384" s="706"/>
      <c r="AC384" s="706"/>
    </row>
    <row r="385" spans="1:29">
      <c r="A385" s="2307"/>
      <c r="B385" s="2162" t="s">
        <v>277</v>
      </c>
      <c r="C385" s="2161"/>
      <c r="D385" s="2303">
        <f t="shared" si="82"/>
        <v>0</v>
      </c>
      <c r="E385" s="2304"/>
      <c r="F385" s="2304"/>
      <c r="G385" s="2304"/>
      <c r="H385" s="2325"/>
      <c r="I385" s="2353"/>
      <c r="J385" s="2371">
        <f t="shared" si="83"/>
        <v>0</v>
      </c>
      <c r="K385" s="2304"/>
      <c r="L385" s="2304"/>
      <c r="M385" s="2325"/>
      <c r="N385" s="2324">
        <f t="shared" si="84"/>
        <v>0</v>
      </c>
      <c r="O385" s="704"/>
      <c r="P385" s="705"/>
      <c r="Q385" s="722"/>
      <c r="R385" s="706"/>
      <c r="S385" s="706"/>
      <c r="T385" s="706"/>
      <c r="U385" s="706"/>
      <c r="V385" s="706"/>
      <c r="W385" s="706"/>
      <c r="X385" s="706"/>
      <c r="Y385" s="706"/>
      <c r="Z385" s="706"/>
      <c r="AA385" s="706"/>
      <c r="AB385" s="706"/>
      <c r="AC385" s="706"/>
    </row>
    <row r="386" spans="1:29">
      <c r="A386" s="2307"/>
      <c r="B386" s="2162" t="s">
        <v>278</v>
      </c>
      <c r="C386" s="2161"/>
      <c r="D386" s="2303">
        <f t="shared" si="82"/>
        <v>0</v>
      </c>
      <c r="E386" s="2304"/>
      <c r="F386" s="2304"/>
      <c r="G386" s="2304"/>
      <c r="H386" s="2325"/>
      <c r="I386" s="2353"/>
      <c r="J386" s="2371">
        <f t="shared" si="83"/>
        <v>0</v>
      </c>
      <c r="K386" s="2304"/>
      <c r="L386" s="2304"/>
      <c r="M386" s="2325"/>
      <c r="N386" s="2324">
        <f t="shared" si="84"/>
        <v>0</v>
      </c>
      <c r="O386" s="704"/>
      <c r="P386" s="705"/>
      <c r="Q386" s="722"/>
      <c r="R386" s="706"/>
      <c r="S386" s="706"/>
      <c r="T386" s="706"/>
      <c r="U386" s="706"/>
      <c r="V386" s="706"/>
      <c r="W386" s="706"/>
      <c r="X386" s="706"/>
      <c r="Y386" s="706"/>
      <c r="Z386" s="706"/>
      <c r="AA386" s="706"/>
      <c r="AB386" s="706"/>
      <c r="AC386" s="706"/>
    </row>
    <row r="387" spans="1:29">
      <c r="A387" s="2301">
        <v>8</v>
      </c>
      <c r="B387" s="2302" t="s">
        <v>279</v>
      </c>
      <c r="C387" s="2155">
        <v>8</v>
      </c>
      <c r="D387" s="2303">
        <f t="shared" si="82"/>
        <v>0</v>
      </c>
      <c r="E387" s="2304"/>
      <c r="F387" s="2304">
        <f>F388+F389</f>
        <v>0</v>
      </c>
      <c r="G387" s="2304">
        <f>G388+G389</f>
        <v>0</v>
      </c>
      <c r="H387" s="2325">
        <f>H388+H389</f>
        <v>0</v>
      </c>
      <c r="I387" s="2353">
        <f>I388+I389</f>
        <v>0</v>
      </c>
      <c r="J387" s="2371">
        <f t="shared" si="83"/>
        <v>0</v>
      </c>
      <c r="K387" s="2304">
        <f>K388+K389</f>
        <v>0</v>
      </c>
      <c r="L387" s="2304">
        <f>L388+L389</f>
        <v>0</v>
      </c>
      <c r="M387" s="2325">
        <f>M388+M389</f>
        <v>0</v>
      </c>
      <c r="N387" s="2324">
        <f t="shared" si="84"/>
        <v>0</v>
      </c>
      <c r="O387" s="704"/>
      <c r="P387" s="705"/>
      <c r="Q387" s="719"/>
      <c r="R387" s="706"/>
      <c r="S387" s="706"/>
      <c r="T387" s="706"/>
      <c r="U387" s="706"/>
      <c r="V387" s="706"/>
      <c r="W387" s="706"/>
      <c r="X387" s="706"/>
      <c r="Y387" s="706"/>
      <c r="Z387" s="706"/>
      <c r="AA387" s="706"/>
      <c r="AB387" s="706"/>
      <c r="AC387" s="706"/>
    </row>
    <row r="388" spans="1:29">
      <c r="A388" s="2301"/>
      <c r="B388" s="2162" t="s">
        <v>280</v>
      </c>
      <c r="C388" s="2155"/>
      <c r="D388" s="2303">
        <f t="shared" si="82"/>
        <v>0</v>
      </c>
      <c r="E388" s="2304"/>
      <c r="F388" s="2304"/>
      <c r="G388" s="2304"/>
      <c r="H388" s="2325"/>
      <c r="I388" s="2353"/>
      <c r="J388" s="2371">
        <f t="shared" si="83"/>
        <v>0</v>
      </c>
      <c r="K388" s="2304"/>
      <c r="L388" s="2304"/>
      <c r="M388" s="2325"/>
      <c r="N388" s="2324">
        <f t="shared" si="84"/>
        <v>0</v>
      </c>
      <c r="O388" s="704"/>
      <c r="P388" s="705"/>
      <c r="Q388" s="719"/>
      <c r="R388" s="706"/>
      <c r="S388" s="706"/>
      <c r="T388" s="706"/>
      <c r="U388" s="706"/>
      <c r="V388" s="706"/>
      <c r="W388" s="706"/>
      <c r="X388" s="706"/>
      <c r="Y388" s="706"/>
      <c r="Z388" s="706"/>
      <c r="AA388" s="706"/>
      <c r="AB388" s="706"/>
      <c r="AC388" s="706"/>
    </row>
    <row r="389" spans="1:29">
      <c r="A389" s="2301"/>
      <c r="B389" s="2162" t="s">
        <v>281</v>
      </c>
      <c r="C389" s="2155"/>
      <c r="D389" s="2303">
        <f t="shared" si="82"/>
        <v>0</v>
      </c>
      <c r="E389" s="2304"/>
      <c r="F389" s="2304"/>
      <c r="G389" s="2304"/>
      <c r="H389" s="2325"/>
      <c r="I389" s="2353"/>
      <c r="J389" s="2371">
        <f t="shared" si="83"/>
        <v>0</v>
      </c>
      <c r="K389" s="2304"/>
      <c r="L389" s="2304"/>
      <c r="M389" s="2325"/>
      <c r="N389" s="2324">
        <f t="shared" si="84"/>
        <v>0</v>
      </c>
      <c r="O389" s="704"/>
      <c r="P389" s="705"/>
      <c r="Q389" s="719"/>
      <c r="R389" s="706"/>
      <c r="S389" s="706"/>
      <c r="T389" s="706"/>
      <c r="U389" s="706"/>
      <c r="V389" s="706"/>
      <c r="W389" s="706"/>
      <c r="X389" s="706"/>
      <c r="Y389" s="706"/>
      <c r="Z389" s="706"/>
      <c r="AA389" s="706"/>
      <c r="AB389" s="706"/>
      <c r="AC389" s="706"/>
    </row>
    <row r="390" spans="1:29" ht="25.5">
      <c r="A390" s="2307">
        <v>9</v>
      </c>
      <c r="B390" s="2309" t="s">
        <v>282</v>
      </c>
      <c r="C390" s="2161"/>
      <c r="D390" s="2303">
        <f t="shared" si="82"/>
        <v>2952789</v>
      </c>
      <c r="E390" s="2304">
        <f>SUM(E391:E394)</f>
        <v>0</v>
      </c>
      <c r="F390" s="2340">
        <v>634109</v>
      </c>
      <c r="G390" s="2340">
        <v>1573994</v>
      </c>
      <c r="H390" s="2340">
        <v>744686</v>
      </c>
      <c r="I390" s="2353">
        <f>SUM(I391:I394)</f>
        <v>0</v>
      </c>
      <c r="J390" s="2371">
        <f>G390+H390+I390</f>
        <v>2318680</v>
      </c>
      <c r="K390" s="2304">
        <f>SUM(K391:K394)</f>
        <v>0</v>
      </c>
      <c r="L390" s="2304">
        <f>SUM(L391:L394)</f>
        <v>0</v>
      </c>
      <c r="M390" s="2325">
        <f>SUM(M391:M394)</f>
        <v>0</v>
      </c>
      <c r="N390" s="2324">
        <f t="shared" si="84"/>
        <v>0</v>
      </c>
      <c r="O390" s="704"/>
      <c r="P390" s="705"/>
      <c r="Q390" s="729"/>
      <c r="R390" s="706"/>
      <c r="S390" s="706"/>
      <c r="T390" s="706"/>
      <c r="U390" s="706"/>
      <c r="V390" s="706"/>
      <c r="W390" s="706"/>
      <c r="X390" s="706"/>
      <c r="Y390" s="706"/>
      <c r="Z390" s="706"/>
      <c r="AA390" s="706"/>
      <c r="AB390" s="706"/>
      <c r="AC390" s="706"/>
    </row>
    <row r="391" spans="1:29">
      <c r="A391" s="2307">
        <v>10</v>
      </c>
      <c r="B391" s="2171" t="s">
        <v>283</v>
      </c>
      <c r="C391" s="2155">
        <v>9</v>
      </c>
      <c r="D391" s="2303">
        <f t="shared" si="82"/>
        <v>368085</v>
      </c>
      <c r="E391" s="2304"/>
      <c r="F391" s="1010">
        <v>104640</v>
      </c>
      <c r="G391" s="1072">
        <v>208676</v>
      </c>
      <c r="H391" s="1073">
        <v>54769</v>
      </c>
      <c r="I391" s="2329"/>
      <c r="J391" s="2371">
        <f t="shared" ref="J391:J409" si="85">G391+H391+I391</f>
        <v>263445</v>
      </c>
      <c r="K391" s="2304"/>
      <c r="L391" s="2304"/>
      <c r="M391" s="2325"/>
      <c r="N391" s="2324">
        <f t="shared" si="84"/>
        <v>0</v>
      </c>
      <c r="O391" s="704"/>
      <c r="P391" s="705"/>
      <c r="Q391" s="719"/>
      <c r="R391" s="706"/>
      <c r="S391" s="706"/>
      <c r="T391" s="706"/>
      <c r="U391" s="706"/>
      <c r="V391" s="706"/>
      <c r="W391" s="706"/>
      <c r="X391" s="706"/>
      <c r="Y391" s="706"/>
      <c r="Z391" s="706"/>
      <c r="AA391" s="706"/>
      <c r="AB391" s="706"/>
      <c r="AC391" s="706"/>
    </row>
    <row r="392" spans="1:29">
      <c r="A392" s="2307">
        <v>11</v>
      </c>
      <c r="B392" s="2171" t="s">
        <v>284</v>
      </c>
      <c r="C392" s="2155">
        <v>10</v>
      </c>
      <c r="D392" s="2303">
        <f t="shared" si="82"/>
        <v>1286612</v>
      </c>
      <c r="E392" s="2304"/>
      <c r="F392" s="1010">
        <v>217333</v>
      </c>
      <c r="G392" s="1072">
        <v>646608</v>
      </c>
      <c r="H392" s="1072">
        <v>422671</v>
      </c>
      <c r="I392" s="2404"/>
      <c r="J392" s="2371">
        <f t="shared" si="85"/>
        <v>1069279</v>
      </c>
      <c r="K392" s="2304"/>
      <c r="L392" s="2304"/>
      <c r="M392" s="2325"/>
      <c r="N392" s="2324">
        <f t="shared" si="84"/>
        <v>0</v>
      </c>
      <c r="O392" s="704"/>
      <c r="P392" s="705"/>
      <c r="Q392" s="719"/>
      <c r="R392" s="706"/>
      <c r="S392" s="706"/>
      <c r="T392" s="706"/>
      <c r="U392" s="706"/>
      <c r="V392" s="706"/>
      <c r="W392" s="706"/>
      <c r="X392" s="706"/>
      <c r="Y392" s="706"/>
      <c r="Z392" s="706"/>
      <c r="AA392" s="706"/>
      <c r="AB392" s="706"/>
      <c r="AC392" s="706"/>
    </row>
    <row r="393" spans="1:29">
      <c r="A393" s="2307">
        <v>12</v>
      </c>
      <c r="B393" s="2171" t="s">
        <v>285</v>
      </c>
      <c r="C393" s="2155">
        <v>11</v>
      </c>
      <c r="D393" s="2303">
        <f t="shared" si="82"/>
        <v>1296870</v>
      </c>
      <c r="E393" s="2304"/>
      <c r="F393" s="1010">
        <v>312137</v>
      </c>
      <c r="G393" s="1072">
        <v>717487</v>
      </c>
      <c r="H393" s="1072">
        <v>267246</v>
      </c>
      <c r="I393" s="2404"/>
      <c r="J393" s="2371">
        <f t="shared" si="85"/>
        <v>984733</v>
      </c>
      <c r="K393" s="2304"/>
      <c r="L393" s="2304"/>
      <c r="M393" s="2325"/>
      <c r="N393" s="2324">
        <f t="shared" si="84"/>
        <v>0</v>
      </c>
      <c r="O393" s="704"/>
      <c r="P393" s="705"/>
      <c r="Q393" s="719"/>
      <c r="R393" s="706"/>
      <c r="S393" s="706"/>
      <c r="T393" s="706"/>
      <c r="U393" s="706"/>
      <c r="V393" s="706"/>
      <c r="W393" s="706"/>
      <c r="X393" s="706"/>
      <c r="Y393" s="706"/>
      <c r="Z393" s="706"/>
      <c r="AA393" s="706"/>
      <c r="AB393" s="706"/>
      <c r="AC393" s="706"/>
    </row>
    <row r="394" spans="1:29" ht="25.5">
      <c r="A394" s="2307">
        <v>13</v>
      </c>
      <c r="B394" s="2171" t="s">
        <v>286</v>
      </c>
      <c r="C394" s="2155">
        <v>12</v>
      </c>
      <c r="D394" s="2303">
        <f t="shared" si="82"/>
        <v>1224</v>
      </c>
      <c r="E394" s="2304"/>
      <c r="F394" s="2330"/>
      <c r="G394" s="2409">
        <v>1224</v>
      </c>
      <c r="H394" s="2328"/>
      <c r="I394" s="2322"/>
      <c r="J394" s="2371">
        <f t="shared" si="85"/>
        <v>1224</v>
      </c>
      <c r="K394" s="2304"/>
      <c r="L394" s="2304"/>
      <c r="M394" s="2325"/>
      <c r="N394" s="2324">
        <f t="shared" si="84"/>
        <v>0</v>
      </c>
      <c r="O394" s="704"/>
      <c r="P394" s="705"/>
      <c r="Q394" s="719"/>
      <c r="R394" s="706"/>
      <c r="S394" s="706"/>
      <c r="T394" s="706"/>
      <c r="U394" s="706"/>
      <c r="V394" s="706"/>
      <c r="W394" s="706"/>
      <c r="X394" s="706"/>
      <c r="Y394" s="706"/>
      <c r="Z394" s="706"/>
      <c r="AA394" s="706"/>
      <c r="AB394" s="706"/>
      <c r="AC394" s="706"/>
    </row>
    <row r="395" spans="1:29">
      <c r="A395" s="2307">
        <v>14</v>
      </c>
      <c r="B395" s="2154" t="s">
        <v>287</v>
      </c>
      <c r="C395" s="2155">
        <v>13</v>
      </c>
      <c r="D395" s="2303">
        <f t="shared" si="82"/>
        <v>28551</v>
      </c>
      <c r="E395" s="2304"/>
      <c r="F395" s="2330"/>
      <c r="G395" s="2409">
        <v>28551</v>
      </c>
      <c r="H395" s="2323"/>
      <c r="I395" s="2329"/>
      <c r="J395" s="2371">
        <f t="shared" si="85"/>
        <v>28551</v>
      </c>
      <c r="K395" s="2304"/>
      <c r="L395" s="2304"/>
      <c r="M395" s="2325"/>
      <c r="N395" s="2324">
        <f t="shared" si="84"/>
        <v>0</v>
      </c>
      <c r="O395" s="704"/>
      <c r="P395" s="705"/>
      <c r="Q395" s="719"/>
      <c r="R395" s="706"/>
      <c r="S395" s="706"/>
      <c r="T395" s="706"/>
      <c r="U395" s="706"/>
      <c r="V395" s="706"/>
      <c r="W395" s="706"/>
      <c r="X395" s="706"/>
      <c r="Y395" s="706"/>
      <c r="Z395" s="706"/>
      <c r="AA395" s="706"/>
      <c r="AB395" s="706"/>
      <c r="AC395" s="706"/>
    </row>
    <row r="396" spans="1:29">
      <c r="A396" s="2307">
        <v>15</v>
      </c>
      <c r="B396" s="2154" t="s">
        <v>288</v>
      </c>
      <c r="C396" s="2161">
        <v>14</v>
      </c>
      <c r="D396" s="2303">
        <f t="shared" si="82"/>
        <v>11441</v>
      </c>
      <c r="E396" s="2304"/>
      <c r="F396" s="2330"/>
      <c r="G396" s="2409">
        <v>1487</v>
      </c>
      <c r="H396" s="2339">
        <v>9954</v>
      </c>
      <c r="I396" s="2329"/>
      <c r="J396" s="2371">
        <f t="shared" si="85"/>
        <v>11441</v>
      </c>
      <c r="K396" s="2304"/>
      <c r="L396" s="2304"/>
      <c r="M396" s="2325"/>
      <c r="N396" s="2324">
        <f t="shared" si="84"/>
        <v>0</v>
      </c>
      <c r="O396" s="704"/>
      <c r="P396" s="705"/>
      <c r="Q396" s="722"/>
      <c r="R396" s="706"/>
      <c r="S396" s="706"/>
      <c r="T396" s="706"/>
      <c r="U396" s="706"/>
      <c r="V396" s="706"/>
      <c r="W396" s="706"/>
      <c r="X396" s="706"/>
      <c r="Y396" s="706"/>
      <c r="Z396" s="706"/>
      <c r="AA396" s="706"/>
      <c r="AB396" s="706"/>
      <c r="AC396" s="706"/>
    </row>
    <row r="397" spans="1:29">
      <c r="A397" s="2307">
        <v>16</v>
      </c>
      <c r="B397" s="2154" t="s">
        <v>289</v>
      </c>
      <c r="C397" s="2155">
        <v>15</v>
      </c>
      <c r="D397" s="2303">
        <f t="shared" si="82"/>
        <v>7532</v>
      </c>
      <c r="E397" s="2304"/>
      <c r="F397" s="2330"/>
      <c r="G397" s="2409">
        <v>7532</v>
      </c>
      <c r="H397" s="2323"/>
      <c r="I397" s="2329"/>
      <c r="J397" s="2371">
        <f t="shared" si="85"/>
        <v>7532</v>
      </c>
      <c r="K397" s="2304"/>
      <c r="L397" s="2304"/>
      <c r="M397" s="2325"/>
      <c r="N397" s="2324">
        <f t="shared" si="84"/>
        <v>0</v>
      </c>
      <c r="O397" s="704"/>
      <c r="P397" s="705"/>
      <c r="Q397" s="719"/>
      <c r="R397" s="706"/>
      <c r="S397" s="706"/>
      <c r="T397" s="706"/>
      <c r="U397" s="706"/>
      <c r="V397" s="706"/>
      <c r="W397" s="706"/>
      <c r="X397" s="706"/>
      <c r="Y397" s="706"/>
      <c r="Z397" s="706"/>
      <c r="AA397" s="706"/>
      <c r="AB397" s="706"/>
      <c r="AC397" s="706"/>
    </row>
    <row r="398" spans="1:29">
      <c r="A398" s="2307">
        <v>17</v>
      </c>
      <c r="B398" s="2154" t="s">
        <v>290</v>
      </c>
      <c r="C398" s="2161">
        <v>16</v>
      </c>
      <c r="D398" s="2303">
        <f t="shared" si="82"/>
        <v>135094</v>
      </c>
      <c r="E398" s="2396"/>
      <c r="F398" s="2340">
        <v>98177</v>
      </c>
      <c r="G398" s="2409">
        <v>13559</v>
      </c>
      <c r="H398" s="2409">
        <v>23358</v>
      </c>
      <c r="I398" s="2322"/>
      <c r="J398" s="2371">
        <f t="shared" si="85"/>
        <v>36917</v>
      </c>
      <c r="K398" s="2304"/>
      <c r="L398" s="2304"/>
      <c r="M398" s="2325"/>
      <c r="N398" s="2324">
        <f t="shared" si="84"/>
        <v>0</v>
      </c>
      <c r="O398" s="704"/>
      <c r="P398" s="705"/>
      <c r="Q398" s="722"/>
      <c r="R398" s="706"/>
      <c r="S398" s="706"/>
      <c r="T398" s="706"/>
      <c r="U398" s="706"/>
      <c r="V398" s="706"/>
      <c r="W398" s="706"/>
      <c r="X398" s="706"/>
      <c r="Y398" s="706"/>
      <c r="Z398" s="706"/>
      <c r="AA398" s="706"/>
      <c r="AB398" s="706"/>
      <c r="AC398" s="706"/>
    </row>
    <row r="399" spans="1:29">
      <c r="A399" s="2307">
        <v>18</v>
      </c>
      <c r="B399" s="2154" t="s">
        <v>291</v>
      </c>
      <c r="C399" s="2155"/>
      <c r="D399" s="2303">
        <f t="shared" si="82"/>
        <v>0</v>
      </c>
      <c r="E399" s="2304"/>
      <c r="F399" s="2330"/>
      <c r="G399" s="2327"/>
      <c r="H399" s="2323"/>
      <c r="I399" s="2329"/>
      <c r="J399" s="2371">
        <f t="shared" si="85"/>
        <v>0</v>
      </c>
      <c r="K399" s="2304"/>
      <c r="L399" s="2304"/>
      <c r="M399" s="2325"/>
      <c r="N399" s="2324">
        <f t="shared" si="84"/>
        <v>0</v>
      </c>
      <c r="O399" s="704"/>
      <c r="P399" s="705"/>
      <c r="Q399" s="719"/>
      <c r="R399" s="706"/>
      <c r="S399" s="706"/>
      <c r="T399" s="706"/>
      <c r="U399" s="706"/>
      <c r="V399" s="706"/>
      <c r="W399" s="706"/>
      <c r="X399" s="706"/>
      <c r="Y399" s="706"/>
      <c r="Z399" s="706"/>
      <c r="AA399" s="706"/>
      <c r="AB399" s="706"/>
      <c r="AC399" s="706"/>
    </row>
    <row r="400" spans="1:29" ht="13.5" thickBot="1">
      <c r="A400" s="2314">
        <v>19</v>
      </c>
      <c r="B400" s="2173" t="s">
        <v>292</v>
      </c>
      <c r="C400" s="2172"/>
      <c r="D400" s="1485">
        <f t="shared" si="82"/>
        <v>27814</v>
      </c>
      <c r="E400" s="998"/>
      <c r="F400" s="1033"/>
      <c r="G400" s="1080">
        <v>27814</v>
      </c>
      <c r="H400" s="2359"/>
      <c r="I400" s="2364"/>
      <c r="J400" s="1538">
        <f t="shared" si="85"/>
        <v>27814</v>
      </c>
      <c r="K400" s="998"/>
      <c r="L400" s="998"/>
      <c r="M400" s="1070"/>
      <c r="N400" s="2376">
        <f t="shared" si="84"/>
        <v>0</v>
      </c>
      <c r="O400" s="704"/>
      <c r="P400" s="705"/>
      <c r="Q400" s="719"/>
      <c r="R400" s="706"/>
      <c r="S400" s="706"/>
      <c r="T400" s="706"/>
      <c r="U400" s="706"/>
      <c r="V400" s="706"/>
      <c r="W400" s="706"/>
      <c r="X400" s="706"/>
      <c r="Y400" s="706"/>
      <c r="Z400" s="706"/>
      <c r="AA400" s="706"/>
      <c r="AB400" s="706"/>
      <c r="AC400" s="706"/>
    </row>
    <row r="401" spans="1:29" ht="26.25" thickBot="1">
      <c r="A401" s="1493">
        <v>20</v>
      </c>
      <c r="B401" s="1352" t="s">
        <v>293</v>
      </c>
      <c r="C401" s="1351"/>
      <c r="D401" s="1494">
        <f t="shared" si="82"/>
        <v>3510426</v>
      </c>
      <c r="E401" s="1494">
        <f>SUM(E378:E384)+E387+E390+SUM(E395:E400)</f>
        <v>0</v>
      </c>
      <c r="F401" s="1494">
        <f>SUM(F378:F384)+F387+F390+SUM(F395:F400)</f>
        <v>939446</v>
      </c>
      <c r="G401" s="1494">
        <f>SUM(G378:G384)+G387+G390+SUM(G395:G400)</f>
        <v>1707494</v>
      </c>
      <c r="H401" s="1522">
        <f>SUM(H378:H384)+H387+H390+SUM(H395:H400)</f>
        <v>863486</v>
      </c>
      <c r="I401" s="1523">
        <f>SUM(I378:I384)+I387+I390+SUM(I395:I400)</f>
        <v>0</v>
      </c>
      <c r="J401" s="1541">
        <f t="shared" si="85"/>
        <v>2570980</v>
      </c>
      <c r="K401" s="1494">
        <f>SUM(K378:K384)+K387+K390+SUM(K395:K400)</f>
        <v>0</v>
      </c>
      <c r="L401" s="1494">
        <f>SUM(L378:L384)+L387+L390+SUM(L395:L400)</f>
        <v>0</v>
      </c>
      <c r="M401" s="1522">
        <f>SUM(M378:M384)+M387+M390+SUM(M395:M400)</f>
        <v>0</v>
      </c>
      <c r="N401" s="1495">
        <f t="shared" si="84"/>
        <v>0</v>
      </c>
      <c r="O401" s="704"/>
      <c r="P401" s="705"/>
      <c r="Q401" s="724"/>
      <c r="R401" s="706"/>
      <c r="S401" s="706"/>
      <c r="T401" s="706"/>
      <c r="U401" s="706"/>
      <c r="V401" s="706"/>
      <c r="W401" s="706"/>
      <c r="X401" s="706"/>
      <c r="Y401" s="706"/>
      <c r="Z401" s="706"/>
      <c r="AA401" s="706"/>
      <c r="AB401" s="706"/>
      <c r="AC401" s="706"/>
    </row>
    <row r="402" spans="1:29">
      <c r="A402" s="1483"/>
      <c r="B402" s="1481" t="s">
        <v>294</v>
      </c>
      <c r="C402" s="1346"/>
      <c r="D402" s="1487">
        <f t="shared" si="82"/>
        <v>0</v>
      </c>
      <c r="E402" s="996"/>
      <c r="F402" s="691"/>
      <c r="G402" s="688"/>
      <c r="H402" s="689"/>
      <c r="I402" s="692"/>
      <c r="J402" s="1503">
        <f t="shared" si="85"/>
        <v>0</v>
      </c>
      <c r="K402" s="996"/>
      <c r="L402" s="996"/>
      <c r="M402" s="1067"/>
      <c r="N402" s="1488">
        <f t="shared" si="84"/>
        <v>0</v>
      </c>
      <c r="O402" s="704"/>
      <c r="P402" s="705"/>
      <c r="Q402" s="719"/>
      <c r="R402" s="706"/>
      <c r="S402" s="706"/>
      <c r="T402" s="706"/>
      <c r="U402" s="706"/>
      <c r="V402" s="706"/>
      <c r="W402" s="706"/>
      <c r="X402" s="706"/>
      <c r="Y402" s="706"/>
      <c r="Z402" s="706"/>
      <c r="AA402" s="706"/>
      <c r="AB402" s="706"/>
      <c r="AC402" s="706"/>
    </row>
    <row r="403" spans="1:29">
      <c r="A403" s="2307"/>
      <c r="B403" s="2316" t="s">
        <v>295</v>
      </c>
      <c r="C403" s="2155"/>
      <c r="D403" s="2303">
        <f t="shared" si="82"/>
        <v>0</v>
      </c>
      <c r="E403" s="2304"/>
      <c r="F403" s="2330"/>
      <c r="G403" s="2327"/>
      <c r="H403" s="2323"/>
      <c r="I403" s="2329"/>
      <c r="J403" s="2371">
        <f t="shared" si="85"/>
        <v>0</v>
      </c>
      <c r="K403" s="2304"/>
      <c r="L403" s="2304"/>
      <c r="M403" s="2325"/>
      <c r="N403" s="2324">
        <f t="shared" si="84"/>
        <v>0</v>
      </c>
      <c r="O403" s="704"/>
      <c r="P403" s="705"/>
      <c r="Q403" s="719"/>
      <c r="R403" s="706"/>
      <c r="S403" s="706"/>
      <c r="T403" s="706"/>
      <c r="U403" s="706"/>
      <c r="V403" s="706"/>
      <c r="W403" s="706"/>
      <c r="X403" s="706"/>
      <c r="Y403" s="706"/>
      <c r="Z403" s="706"/>
      <c r="AA403" s="706"/>
      <c r="AB403" s="706"/>
      <c r="AC403" s="706"/>
    </row>
    <row r="404" spans="1:29">
      <c r="A404" s="2307">
        <v>21</v>
      </c>
      <c r="B404" s="2154" t="s">
        <v>296</v>
      </c>
      <c r="C404" s="2161">
        <v>17</v>
      </c>
      <c r="D404" s="2303">
        <f t="shared" si="82"/>
        <v>2136122</v>
      </c>
      <c r="E404" s="2304"/>
      <c r="F404" s="2330"/>
      <c r="G404" s="2410">
        <v>1547259</v>
      </c>
      <c r="H404" s="2411">
        <v>588863</v>
      </c>
      <c r="I404" s="2353"/>
      <c r="J404" s="2371">
        <f t="shared" si="85"/>
        <v>2136122</v>
      </c>
      <c r="K404" s="2304"/>
      <c r="L404" s="2304"/>
      <c r="M404" s="2325"/>
      <c r="N404" s="2324">
        <f t="shared" si="84"/>
        <v>0</v>
      </c>
      <c r="O404" s="704"/>
      <c r="P404" s="705"/>
      <c r="Q404" s="722"/>
      <c r="R404" s="706"/>
      <c r="S404" s="706"/>
      <c r="T404" s="706"/>
      <c r="U404" s="706"/>
      <c r="V404" s="706"/>
      <c r="W404" s="706"/>
      <c r="X404" s="706"/>
      <c r="Y404" s="706"/>
      <c r="Z404" s="706"/>
      <c r="AA404" s="706"/>
      <c r="AB404" s="706"/>
      <c r="AC404" s="706"/>
    </row>
    <row r="405" spans="1:29">
      <c r="A405" s="2307">
        <v>22</v>
      </c>
      <c r="B405" s="2154" t="s">
        <v>297</v>
      </c>
      <c r="C405" s="2155"/>
      <c r="D405" s="2303">
        <f t="shared" si="82"/>
        <v>13112</v>
      </c>
      <c r="E405" s="2304"/>
      <c r="F405" s="2330"/>
      <c r="G405" s="1074">
        <v>5113</v>
      </c>
      <c r="H405" s="1075">
        <v>7999</v>
      </c>
      <c r="I405" s="2329"/>
      <c r="J405" s="2371">
        <f t="shared" si="85"/>
        <v>13112</v>
      </c>
      <c r="K405" s="2304"/>
      <c r="L405" s="2304"/>
      <c r="M405" s="2325"/>
      <c r="N405" s="2324">
        <f t="shared" si="84"/>
        <v>0</v>
      </c>
      <c r="O405" s="704"/>
      <c r="P405" s="705"/>
      <c r="Q405" s="719"/>
      <c r="R405" s="706"/>
      <c r="S405" s="706"/>
      <c r="T405" s="706"/>
      <c r="U405" s="706"/>
      <c r="V405" s="706"/>
      <c r="W405" s="706"/>
      <c r="X405" s="706"/>
      <c r="Y405" s="706"/>
      <c r="Z405" s="706"/>
      <c r="AA405" s="706"/>
      <c r="AB405" s="706"/>
      <c r="AC405" s="706"/>
    </row>
    <row r="406" spans="1:29">
      <c r="A406" s="2307">
        <v>23</v>
      </c>
      <c r="B406" s="2154" t="s">
        <v>298</v>
      </c>
      <c r="C406" s="2155">
        <v>18</v>
      </c>
      <c r="D406" s="2303">
        <f t="shared" si="82"/>
        <v>11035</v>
      </c>
      <c r="E406" s="2304"/>
      <c r="F406" s="2330"/>
      <c r="G406" s="1074">
        <v>1324</v>
      </c>
      <c r="H406" s="1075">
        <v>9711</v>
      </c>
      <c r="I406" s="2329"/>
      <c r="J406" s="2371">
        <f t="shared" si="85"/>
        <v>11035</v>
      </c>
      <c r="K406" s="2304"/>
      <c r="L406" s="2304"/>
      <c r="M406" s="2325"/>
      <c r="N406" s="2324">
        <f t="shared" si="84"/>
        <v>0</v>
      </c>
      <c r="O406" s="704"/>
      <c r="P406" s="705"/>
      <c r="Q406" s="719"/>
      <c r="R406" s="706"/>
      <c r="S406" s="706"/>
      <c r="T406" s="706"/>
      <c r="U406" s="706"/>
      <c r="V406" s="706"/>
      <c r="W406" s="706"/>
      <c r="X406" s="706"/>
      <c r="Y406" s="706"/>
      <c r="Z406" s="706"/>
      <c r="AA406" s="706"/>
      <c r="AB406" s="706"/>
      <c r="AC406" s="706"/>
    </row>
    <row r="407" spans="1:29">
      <c r="A407" s="2307">
        <v>24</v>
      </c>
      <c r="B407" s="2154" t="s">
        <v>299</v>
      </c>
      <c r="C407" s="2155"/>
      <c r="D407" s="2303">
        <f t="shared" si="82"/>
        <v>0</v>
      </c>
      <c r="E407" s="2304"/>
      <c r="F407" s="2330"/>
      <c r="G407" s="1076">
        <v>0</v>
      </c>
      <c r="H407" s="1077">
        <v>0</v>
      </c>
      <c r="I407" s="2329"/>
      <c r="J407" s="2371">
        <f t="shared" si="85"/>
        <v>0</v>
      </c>
      <c r="K407" s="2304"/>
      <c r="L407" s="2304"/>
      <c r="M407" s="2325"/>
      <c r="N407" s="2324">
        <f t="shared" si="84"/>
        <v>0</v>
      </c>
      <c r="O407" s="704"/>
      <c r="P407" s="705"/>
      <c r="Q407" s="719"/>
      <c r="R407" s="706"/>
      <c r="S407" s="706"/>
      <c r="T407" s="706"/>
      <c r="U407" s="706"/>
      <c r="V407" s="706"/>
      <c r="W407" s="706"/>
      <c r="X407" s="706"/>
      <c r="Y407" s="706"/>
      <c r="Z407" s="706"/>
      <c r="AA407" s="706"/>
      <c r="AB407" s="706"/>
      <c r="AC407" s="706"/>
    </row>
    <row r="408" spans="1:29">
      <c r="A408" s="2307">
        <v>25</v>
      </c>
      <c r="B408" s="2176" t="s">
        <v>300</v>
      </c>
      <c r="C408" s="2155"/>
      <c r="D408" s="2303">
        <f t="shared" si="82"/>
        <v>0</v>
      </c>
      <c r="E408" s="2304"/>
      <c r="F408" s="2330"/>
      <c r="G408" s="1076">
        <v>0</v>
      </c>
      <c r="H408" s="1077">
        <v>0</v>
      </c>
      <c r="I408" s="2329"/>
      <c r="J408" s="2371">
        <f t="shared" si="85"/>
        <v>0</v>
      </c>
      <c r="K408" s="2304"/>
      <c r="L408" s="2304"/>
      <c r="M408" s="2325"/>
      <c r="N408" s="2324">
        <f t="shared" si="84"/>
        <v>0</v>
      </c>
      <c r="O408" s="704"/>
      <c r="P408" s="705"/>
      <c r="Q408" s="719"/>
      <c r="R408" s="706"/>
      <c r="S408" s="706"/>
      <c r="T408" s="706"/>
      <c r="U408" s="706"/>
      <c r="V408" s="706"/>
      <c r="W408" s="706"/>
      <c r="X408" s="706"/>
      <c r="Y408" s="706"/>
      <c r="Z408" s="706"/>
      <c r="AA408" s="706"/>
      <c r="AB408" s="706"/>
      <c r="AC408" s="706"/>
    </row>
    <row r="409" spans="1:29" ht="13.5" thickBot="1">
      <c r="A409" s="2314">
        <v>26</v>
      </c>
      <c r="B409" s="2173" t="s">
        <v>301</v>
      </c>
      <c r="C409" s="2177">
        <v>19</v>
      </c>
      <c r="D409" s="1485">
        <f t="shared" si="82"/>
        <v>242418</v>
      </c>
      <c r="E409" s="998"/>
      <c r="F409" s="998"/>
      <c r="G409" s="1078">
        <v>58367</v>
      </c>
      <c r="H409" s="1078">
        <v>184051</v>
      </c>
      <c r="I409" s="2345"/>
      <c r="J409" s="1538">
        <f t="shared" si="85"/>
        <v>242418</v>
      </c>
      <c r="K409" s="998"/>
      <c r="L409" s="998"/>
      <c r="M409" s="1070"/>
      <c r="N409" s="2376">
        <f t="shared" si="84"/>
        <v>0</v>
      </c>
      <c r="O409" s="704"/>
      <c r="P409" s="705"/>
      <c r="Q409" s="722"/>
      <c r="R409" s="706"/>
      <c r="S409" s="706"/>
      <c r="T409" s="706"/>
      <c r="U409" s="706"/>
      <c r="V409" s="706"/>
      <c r="W409" s="706"/>
      <c r="X409" s="706"/>
      <c r="Y409" s="706"/>
      <c r="Z409" s="706"/>
      <c r="AA409" s="706"/>
      <c r="AB409" s="706"/>
      <c r="AC409" s="706"/>
    </row>
    <row r="410" spans="1:29" ht="26.25" thickBot="1">
      <c r="A410" s="1482">
        <v>27</v>
      </c>
      <c r="B410" s="1349" t="s">
        <v>302</v>
      </c>
      <c r="C410" s="1348"/>
      <c r="D410" s="1499">
        <f t="shared" si="82"/>
        <v>2402687</v>
      </c>
      <c r="E410" s="1019">
        <f>SUM(E404:E409)</f>
        <v>0</v>
      </c>
      <c r="F410" s="1019">
        <f>SUM(F404:F409)</f>
        <v>0</v>
      </c>
      <c r="G410" s="1019">
        <f>SUM(G404:G409)</f>
        <v>1612063</v>
      </c>
      <c r="H410" s="1039">
        <f>SUM(H404:H409)</f>
        <v>790624</v>
      </c>
      <c r="I410" s="1023">
        <f>SUM(I404:I409)</f>
        <v>0</v>
      </c>
      <c r="J410" s="1502">
        <f>G410+H410+I410</f>
        <v>2402687</v>
      </c>
      <c r="K410" s="1019">
        <f>SUM(K404:K409)</f>
        <v>0</v>
      </c>
      <c r="L410" s="1019">
        <f>SUM(L404:L409)</f>
        <v>0</v>
      </c>
      <c r="M410" s="1039">
        <f>SUM(M404:M409)</f>
        <v>0</v>
      </c>
      <c r="N410" s="1519">
        <f t="shared" si="84"/>
        <v>0</v>
      </c>
      <c r="O410" s="704"/>
      <c r="P410" s="705"/>
      <c r="Q410" s="724"/>
      <c r="R410" s="706"/>
      <c r="S410" s="706"/>
      <c r="T410" s="706"/>
      <c r="U410" s="706"/>
      <c r="V410" s="706"/>
      <c r="W410" s="706"/>
      <c r="X410" s="706"/>
      <c r="Y410" s="706"/>
      <c r="Z410" s="706"/>
      <c r="AA410" s="706"/>
      <c r="AB410" s="706"/>
      <c r="AC410" s="706"/>
    </row>
    <row r="411" spans="1:29">
      <c r="A411" s="1483"/>
      <c r="B411" s="1481" t="s">
        <v>303</v>
      </c>
      <c r="C411" s="1346">
        <v>20</v>
      </c>
      <c r="D411" s="1487">
        <f t="shared" si="82"/>
        <v>0</v>
      </c>
      <c r="E411" s="996"/>
      <c r="F411" s="691"/>
      <c r="G411" s="688"/>
      <c r="H411" s="689"/>
      <c r="I411" s="692"/>
      <c r="J411" s="1503">
        <f t="shared" ref="J411:J417" si="86">G411+H411+I411</f>
        <v>0</v>
      </c>
      <c r="K411" s="996"/>
      <c r="L411" s="996"/>
      <c r="M411" s="1067"/>
      <c r="N411" s="1488">
        <f t="shared" si="84"/>
        <v>0</v>
      </c>
      <c r="O411" s="704"/>
      <c r="P411" s="705"/>
      <c r="Q411" s="719"/>
      <c r="R411" s="706"/>
      <c r="S411" s="706"/>
      <c r="T411" s="706"/>
      <c r="U411" s="706"/>
      <c r="V411" s="706"/>
      <c r="W411" s="706"/>
      <c r="X411" s="706"/>
      <c r="Y411" s="706"/>
      <c r="Z411" s="706"/>
      <c r="AA411" s="706"/>
      <c r="AB411" s="706"/>
      <c r="AC411" s="706"/>
    </row>
    <row r="412" spans="1:29">
      <c r="A412" s="2307">
        <v>28</v>
      </c>
      <c r="B412" s="2302" t="s">
        <v>304</v>
      </c>
      <c r="C412" s="2161"/>
      <c r="D412" s="2303">
        <f t="shared" si="82"/>
        <v>574260</v>
      </c>
      <c r="E412" s="2304"/>
      <c r="F412" s="2340">
        <v>574260</v>
      </c>
      <c r="G412" s="2412">
        <v>0</v>
      </c>
      <c r="H412" s="2413">
        <v>0</v>
      </c>
      <c r="I412" s="2329">
        <v>0</v>
      </c>
      <c r="J412" s="2371">
        <f t="shared" si="86"/>
        <v>0</v>
      </c>
      <c r="K412" s="2304"/>
      <c r="L412" s="2304"/>
      <c r="M412" s="2325"/>
      <c r="N412" s="2324">
        <f t="shared" si="84"/>
        <v>0</v>
      </c>
      <c r="O412" s="704"/>
      <c r="P412" s="705"/>
      <c r="Q412" s="722"/>
      <c r="R412" s="706"/>
      <c r="S412" s="706"/>
      <c r="T412" s="706"/>
      <c r="U412" s="706"/>
      <c r="V412" s="706"/>
      <c r="W412" s="706"/>
      <c r="X412" s="706"/>
      <c r="Y412" s="706"/>
      <c r="Z412" s="706"/>
      <c r="AA412" s="706"/>
      <c r="AB412" s="706"/>
      <c r="AC412" s="706"/>
    </row>
    <row r="413" spans="1:29">
      <c r="A413" s="2307">
        <v>29</v>
      </c>
      <c r="B413" s="2302" t="s">
        <v>305</v>
      </c>
      <c r="C413" s="2161"/>
      <c r="D413" s="2303">
        <f t="shared" si="82"/>
        <v>162536</v>
      </c>
      <c r="E413" s="2304"/>
      <c r="F413" s="1010">
        <v>53142</v>
      </c>
      <c r="G413" s="1072">
        <v>64812</v>
      </c>
      <c r="H413" s="1073">
        <v>44582</v>
      </c>
      <c r="I413" s="2329"/>
      <c r="J413" s="2371">
        <f t="shared" si="86"/>
        <v>109394</v>
      </c>
      <c r="K413" s="2304"/>
      <c r="L413" s="2304"/>
      <c r="M413" s="2325"/>
      <c r="N413" s="2324">
        <f t="shared" si="84"/>
        <v>0</v>
      </c>
      <c r="O413" s="704"/>
      <c r="P413" s="705"/>
      <c r="Q413" s="722"/>
      <c r="R413" s="706"/>
      <c r="S413" s="706"/>
      <c r="T413" s="706"/>
      <c r="U413" s="706"/>
      <c r="V413" s="706"/>
      <c r="W413" s="706"/>
      <c r="X413" s="706"/>
      <c r="Y413" s="706"/>
      <c r="Z413" s="706"/>
      <c r="AA413" s="706"/>
      <c r="AB413" s="706"/>
      <c r="AC413" s="706"/>
    </row>
    <row r="414" spans="1:29">
      <c r="A414" s="2307">
        <v>30</v>
      </c>
      <c r="B414" s="2317" t="s">
        <v>306</v>
      </c>
      <c r="C414" s="2177"/>
      <c r="D414" s="2303">
        <f t="shared" si="82"/>
        <v>108774</v>
      </c>
      <c r="E414" s="2304"/>
      <c r="F414" s="1015">
        <v>49874</v>
      </c>
      <c r="G414" s="1078">
        <v>30619</v>
      </c>
      <c r="H414" s="1079">
        <v>28281</v>
      </c>
      <c r="I414" s="2364"/>
      <c r="J414" s="2371">
        <f t="shared" si="86"/>
        <v>58900</v>
      </c>
      <c r="K414" s="2304"/>
      <c r="L414" s="2304"/>
      <c r="M414" s="2325"/>
      <c r="N414" s="2324">
        <f t="shared" si="84"/>
        <v>0</v>
      </c>
      <c r="O414" s="704"/>
      <c r="P414" s="705"/>
      <c r="Q414" s="722"/>
      <c r="R414" s="706"/>
      <c r="S414" s="706"/>
      <c r="T414" s="706"/>
      <c r="U414" s="706"/>
      <c r="V414" s="706"/>
      <c r="W414" s="706"/>
      <c r="X414" s="706"/>
      <c r="Y414" s="706"/>
      <c r="Z414" s="706"/>
      <c r="AA414" s="706"/>
      <c r="AB414" s="706"/>
      <c r="AC414" s="706"/>
    </row>
    <row r="415" spans="1:29">
      <c r="A415" s="2307">
        <v>31</v>
      </c>
      <c r="B415" s="2317" t="s">
        <v>307</v>
      </c>
      <c r="C415" s="2177"/>
      <c r="D415" s="2303">
        <f t="shared" si="82"/>
        <v>0</v>
      </c>
      <c r="E415" s="2304">
        <v>0</v>
      </c>
      <c r="F415" s="1306">
        <v>0</v>
      </c>
      <c r="G415" s="1081">
        <v>0</v>
      </c>
      <c r="H415" s="2414">
        <v>0</v>
      </c>
      <c r="I415" s="2364"/>
      <c r="J415" s="2371">
        <f t="shared" si="86"/>
        <v>0</v>
      </c>
      <c r="K415" s="2304"/>
      <c r="L415" s="2304"/>
      <c r="M415" s="2325"/>
      <c r="N415" s="2324">
        <f t="shared" si="84"/>
        <v>0</v>
      </c>
      <c r="O415" s="704"/>
      <c r="P415" s="705"/>
      <c r="Q415" s="722"/>
      <c r="R415" s="706"/>
      <c r="S415" s="706"/>
      <c r="T415" s="706"/>
      <c r="U415" s="706"/>
      <c r="V415" s="706"/>
      <c r="W415" s="706"/>
      <c r="X415" s="706"/>
      <c r="Y415" s="706"/>
      <c r="Z415" s="706"/>
      <c r="AA415" s="706"/>
      <c r="AB415" s="706"/>
      <c r="AC415" s="706"/>
    </row>
    <row r="416" spans="1:29" ht="13.5" thickBot="1">
      <c r="A416" s="2314">
        <v>32</v>
      </c>
      <c r="B416" s="2317" t="s">
        <v>308</v>
      </c>
      <c r="C416" s="2177"/>
      <c r="D416" s="1485">
        <f t="shared" si="82"/>
        <v>262170</v>
      </c>
      <c r="E416" s="998"/>
      <c r="F416" s="1004">
        <v>262170</v>
      </c>
      <c r="G416" s="1081">
        <v>0</v>
      </c>
      <c r="H416" s="2414">
        <v>0</v>
      </c>
      <c r="I416" s="2364"/>
      <c r="J416" s="1538">
        <f t="shared" si="86"/>
        <v>0</v>
      </c>
      <c r="K416" s="998"/>
      <c r="L416" s="998"/>
      <c r="M416" s="1070"/>
      <c r="N416" s="2376">
        <f t="shared" si="84"/>
        <v>0</v>
      </c>
      <c r="O416" s="704"/>
      <c r="P416" s="705"/>
      <c r="Q416" s="722"/>
      <c r="R416" s="706"/>
      <c r="S416" s="706"/>
      <c r="T416" s="706"/>
      <c r="U416" s="706"/>
      <c r="V416" s="706"/>
      <c r="W416" s="706"/>
      <c r="X416" s="706"/>
      <c r="Y416" s="706"/>
      <c r="Z416" s="706"/>
      <c r="AA416" s="706"/>
      <c r="AB416" s="706"/>
      <c r="AC416" s="706"/>
    </row>
    <row r="417" spans="1:29" ht="13.5" thickBot="1">
      <c r="A417" s="1482">
        <v>33</v>
      </c>
      <c r="B417" s="1350" t="s">
        <v>309</v>
      </c>
      <c r="C417" s="1348"/>
      <c r="D417" s="1500">
        <f t="shared" si="82"/>
        <v>1107740</v>
      </c>
      <c r="E417" s="1030">
        <f>SUM(E412:E416)</f>
        <v>0</v>
      </c>
      <c r="F417" s="1030">
        <f>SUM(F412:F416)</f>
        <v>939446</v>
      </c>
      <c r="G417" s="1030">
        <f>SUM(G412:G416)</f>
        <v>95431</v>
      </c>
      <c r="H417" s="1040">
        <f>SUM(H412:H416)</f>
        <v>72863</v>
      </c>
      <c r="I417" s="1057">
        <f>SUM(I412:I416)</f>
        <v>0</v>
      </c>
      <c r="J417" s="1504">
        <f t="shared" si="86"/>
        <v>168294</v>
      </c>
      <c r="K417" s="1030">
        <f>SUM(K412:K416)</f>
        <v>0</v>
      </c>
      <c r="L417" s="1030">
        <f>SUM(L412:L416)</f>
        <v>0</v>
      </c>
      <c r="M417" s="1040">
        <f>SUM(M412:M416)</f>
        <v>0</v>
      </c>
      <c r="N417" s="1521">
        <f t="shared" si="84"/>
        <v>0</v>
      </c>
      <c r="O417" s="704"/>
      <c r="P417" s="705"/>
      <c r="Q417" s="724"/>
      <c r="R417" s="706"/>
      <c r="S417" s="706"/>
      <c r="T417" s="706"/>
      <c r="U417" s="706"/>
      <c r="V417" s="706"/>
      <c r="W417" s="706"/>
      <c r="X417" s="706"/>
      <c r="Y417" s="706"/>
      <c r="Z417" s="706"/>
      <c r="AA417" s="706"/>
      <c r="AB417" s="706"/>
      <c r="AC417" s="706"/>
    </row>
    <row r="418" spans="1:29" ht="26.25" thickBot="1">
      <c r="A418" s="1493">
        <v>34</v>
      </c>
      <c r="B418" s="1352" t="s">
        <v>310</v>
      </c>
      <c r="C418" s="1351"/>
      <c r="D418" s="1526">
        <f>+E418+F418+J418+N418</f>
        <v>3510427</v>
      </c>
      <c r="E418" s="1526">
        <f>E417+E410</f>
        <v>0</v>
      </c>
      <c r="F418" s="1526">
        <f>F417+F410</f>
        <v>939446</v>
      </c>
      <c r="G418" s="1526">
        <f>G417+G410</f>
        <v>1707494</v>
      </c>
      <c r="H418" s="1526">
        <f>H417+H410</f>
        <v>863487</v>
      </c>
      <c r="I418" s="1526">
        <f>I417+I410</f>
        <v>0</v>
      </c>
      <c r="J418" s="1535">
        <f>G418+H418+I418</f>
        <v>2570981</v>
      </c>
      <c r="K418" s="1526">
        <f>K417+K410</f>
        <v>0</v>
      </c>
      <c r="L418" s="1526">
        <f>L417+L410</f>
        <v>0</v>
      </c>
      <c r="M418" s="1527">
        <f>M417+M410</f>
        <v>0</v>
      </c>
      <c r="N418" s="1529">
        <f t="shared" si="84"/>
        <v>0</v>
      </c>
      <c r="O418" s="704"/>
      <c r="P418" s="705"/>
      <c r="Q418" s="724"/>
      <c r="R418" s="706"/>
      <c r="S418" s="706"/>
      <c r="T418" s="706"/>
      <c r="U418" s="706"/>
      <c r="V418" s="706"/>
      <c r="W418" s="706"/>
      <c r="X418" s="706"/>
      <c r="Y418" s="706"/>
      <c r="Z418" s="706"/>
      <c r="AA418" s="706"/>
      <c r="AB418" s="706"/>
      <c r="AC418" s="706"/>
    </row>
    <row r="420" spans="1:29">
      <c r="B420" s="680"/>
      <c r="D420" s="679"/>
      <c r="E420" s="679"/>
      <c r="F420" s="679"/>
      <c r="G420" s="679"/>
      <c r="H420" s="679"/>
      <c r="I420" s="679"/>
      <c r="J420" s="679"/>
      <c r="K420" s="679"/>
      <c r="L420" s="679"/>
      <c r="M420" s="679"/>
      <c r="N420" s="911">
        <v>37</v>
      </c>
      <c r="O420" s="679"/>
    </row>
    <row r="422" spans="1:29" ht="13.5" thickBot="1">
      <c r="A422" s="1569"/>
      <c r="B422" s="1569"/>
      <c r="C422" s="1569"/>
    </row>
    <row r="423" spans="1:29" ht="15.75" customHeight="1" thickBot="1">
      <c r="A423" s="1465" t="s">
        <v>131</v>
      </c>
      <c r="B423" s="3521" t="s">
        <v>103</v>
      </c>
      <c r="C423" s="3522"/>
      <c r="M423" s="3538" t="s">
        <v>251</v>
      </c>
      <c r="N423" s="3538"/>
      <c r="O423" s="701"/>
    </row>
    <row r="424" spans="1:29" ht="15.75" customHeight="1" thickBot="1">
      <c r="A424" s="3555" t="s">
        <v>252</v>
      </c>
      <c r="B424" s="1467"/>
      <c r="C424" s="3523" t="s">
        <v>254</v>
      </c>
      <c r="D424" s="3562" t="s">
        <v>255</v>
      </c>
      <c r="E424" s="3562" t="s">
        <v>256</v>
      </c>
      <c r="F424" s="3562" t="s">
        <v>257</v>
      </c>
      <c r="G424" s="3565" t="s">
        <v>258</v>
      </c>
      <c r="H424" s="3566"/>
      <c r="I424" s="3566"/>
      <c r="J424" s="3566"/>
      <c r="K424" s="3566"/>
      <c r="L424" s="3566"/>
      <c r="M424" s="3566"/>
      <c r="N424" s="3567"/>
      <c r="O424" s="702"/>
    </row>
    <row r="425" spans="1:29" ht="12.75" customHeight="1" thickBot="1">
      <c r="A425" s="3556"/>
      <c r="B425" s="1468"/>
      <c r="C425" s="3524"/>
      <c r="D425" s="3563"/>
      <c r="E425" s="3563"/>
      <c r="F425" s="3563"/>
      <c r="G425" s="3529" t="s">
        <v>259</v>
      </c>
      <c r="H425" s="3530"/>
      <c r="I425" s="3530"/>
      <c r="J425" s="3531"/>
      <c r="K425" s="3568" t="s">
        <v>260</v>
      </c>
      <c r="L425" s="3569"/>
      <c r="M425" s="3569"/>
      <c r="N425" s="3570"/>
      <c r="O425" s="458"/>
    </row>
    <row r="426" spans="1:29" ht="39" thickBot="1">
      <c r="A426" s="3556"/>
      <c r="B426" s="1469"/>
      <c r="C426" s="3524"/>
      <c r="D426" s="3564"/>
      <c r="E426" s="3564"/>
      <c r="F426" s="3564"/>
      <c r="G426" s="1336" t="s">
        <v>261</v>
      </c>
      <c r="H426" s="1336" t="s">
        <v>262</v>
      </c>
      <c r="I426" s="1336" t="s">
        <v>263</v>
      </c>
      <c r="J426" s="1336" t="s">
        <v>158</v>
      </c>
      <c r="K426" s="1337" t="s">
        <v>264</v>
      </c>
      <c r="L426" s="1337" t="s">
        <v>265</v>
      </c>
      <c r="M426" s="1337" t="s">
        <v>266</v>
      </c>
      <c r="N426" s="1404" t="s">
        <v>158</v>
      </c>
      <c r="O426" s="443"/>
    </row>
    <row r="427" spans="1:29" ht="13.5" thickBot="1">
      <c r="A427" s="3556"/>
      <c r="B427" s="1468"/>
      <c r="C427" s="3524"/>
      <c r="D427" s="1470">
        <v>1</v>
      </c>
      <c r="E427" s="1471">
        <v>2</v>
      </c>
      <c r="F427" s="1471">
        <v>3</v>
      </c>
      <c r="G427" s="1472">
        <v>4</v>
      </c>
      <c r="H427" s="1471">
        <v>5</v>
      </c>
      <c r="I427" s="1473">
        <v>6</v>
      </c>
      <c r="J427" s="1474">
        <v>7</v>
      </c>
      <c r="K427" s="1472">
        <v>8</v>
      </c>
      <c r="L427" s="1471">
        <v>9</v>
      </c>
      <c r="M427" s="1496">
        <v>10</v>
      </c>
      <c r="N427" s="1470">
        <v>11</v>
      </c>
      <c r="O427" s="702"/>
    </row>
    <row r="428" spans="1:29" ht="13.5" thickBot="1">
      <c r="A428" s="3557"/>
      <c r="B428" s="1475"/>
      <c r="C428" s="3525"/>
      <c r="D428" s="1476"/>
      <c r="E428" s="1476"/>
      <c r="F428" s="1476"/>
      <c r="G428" s="1477"/>
      <c r="H428" s="1476"/>
      <c r="I428" s="1552"/>
      <c r="J428" s="1478" t="s">
        <v>267</v>
      </c>
      <c r="K428" s="1477"/>
      <c r="L428" s="1476"/>
      <c r="M428" s="1968"/>
      <c r="N428" s="1553" t="s">
        <v>268</v>
      </c>
      <c r="O428" s="703"/>
      <c r="P428" s="703"/>
    </row>
    <row r="429" spans="1:29" ht="13.5" thickBot="1">
      <c r="A429" s="1483"/>
      <c r="B429" s="1481" t="s">
        <v>269</v>
      </c>
      <c r="C429" s="1346"/>
      <c r="D429" s="2152"/>
      <c r="E429" s="687"/>
      <c r="F429" s="687"/>
      <c r="G429" s="688"/>
      <c r="H429" s="689"/>
      <c r="I429" s="1572"/>
      <c r="J429" s="1576"/>
      <c r="K429" s="996"/>
      <c r="L429" s="994"/>
      <c r="M429" s="997"/>
      <c r="N429" s="2415"/>
    </row>
    <row r="430" spans="1:29">
      <c r="A430" s="2301">
        <v>1</v>
      </c>
      <c r="B430" s="2302" t="s">
        <v>270</v>
      </c>
      <c r="C430" s="2155"/>
      <c r="D430" s="2303">
        <f>+E430+F430+J430+N430</f>
        <v>0</v>
      </c>
      <c r="E430" s="2330"/>
      <c r="F430" s="2330"/>
      <c r="G430" s="2327"/>
      <c r="H430" s="2323"/>
      <c r="I430" s="2349"/>
      <c r="J430" s="2337">
        <f>G430+H430+I430</f>
        <v>0</v>
      </c>
      <c r="K430" s="2304"/>
      <c r="L430" s="2304"/>
      <c r="M430" s="2304"/>
      <c r="N430" s="1512">
        <f>K430+L430+M430</f>
        <v>0</v>
      </c>
      <c r="O430" s="704"/>
      <c r="P430" s="705"/>
      <c r="Q430" s="721"/>
      <c r="R430" s="706"/>
      <c r="S430" s="706"/>
      <c r="T430" s="706"/>
      <c r="U430" s="706"/>
      <c r="V430" s="706"/>
      <c r="W430" s="706"/>
      <c r="X430" s="706"/>
      <c r="Y430" s="706"/>
      <c r="Z430" s="706"/>
      <c r="AA430" s="706"/>
      <c r="AB430" s="706"/>
      <c r="AC430" s="706"/>
    </row>
    <row r="431" spans="1:29">
      <c r="A431" s="2301">
        <v>2</v>
      </c>
      <c r="B431" s="2302" t="s">
        <v>271</v>
      </c>
      <c r="C431" s="2155"/>
      <c r="D431" s="2303">
        <f t="shared" ref="D431:D469" si="87">+E431+F431+J431+N431</f>
        <v>62240</v>
      </c>
      <c r="E431" s="2330"/>
      <c r="F431" s="2330">
        <v>62240</v>
      </c>
      <c r="G431" s="2327"/>
      <c r="H431" s="2323"/>
      <c r="I431" s="2349"/>
      <c r="J431" s="2337">
        <f t="shared" ref="J431:J441" si="88">G431+H431+I431</f>
        <v>0</v>
      </c>
      <c r="K431" s="2304"/>
      <c r="L431" s="2304"/>
      <c r="M431" s="2304"/>
      <c r="N431" s="2324">
        <f t="shared" ref="N431:N470" si="89">K431+L431+M431</f>
        <v>0</v>
      </c>
      <c r="O431" s="704"/>
      <c r="P431" s="705"/>
      <c r="Q431" s="719"/>
      <c r="R431" s="706"/>
      <c r="S431" s="706"/>
      <c r="T431" s="706"/>
      <c r="U431" s="706"/>
      <c r="V431" s="706"/>
      <c r="W431" s="706"/>
      <c r="X431" s="706"/>
      <c r="Y431" s="706"/>
      <c r="Z431" s="706"/>
      <c r="AA431" s="706"/>
      <c r="AB431" s="706"/>
      <c r="AC431" s="706"/>
    </row>
    <row r="432" spans="1:29">
      <c r="A432" s="2301">
        <v>3</v>
      </c>
      <c r="B432" s="2302" t="s">
        <v>272</v>
      </c>
      <c r="C432" s="2155"/>
      <c r="D432" s="2303">
        <f t="shared" si="87"/>
        <v>0</v>
      </c>
      <c r="E432" s="2330"/>
      <c r="F432" s="2330">
        <v>0</v>
      </c>
      <c r="G432" s="2327"/>
      <c r="H432" s="2323"/>
      <c r="I432" s="2349"/>
      <c r="J432" s="2337">
        <f t="shared" si="88"/>
        <v>0</v>
      </c>
      <c r="K432" s="2304"/>
      <c r="L432" s="2304"/>
      <c r="M432" s="2304"/>
      <c r="N432" s="2324">
        <f t="shared" si="89"/>
        <v>0</v>
      </c>
      <c r="O432" s="704"/>
      <c r="P432" s="705"/>
      <c r="R432" s="706"/>
      <c r="S432" s="706"/>
      <c r="T432" s="706"/>
      <c r="U432" s="706"/>
      <c r="V432" s="706"/>
      <c r="W432" s="706"/>
      <c r="X432" s="706"/>
      <c r="Y432" s="706"/>
      <c r="Z432" s="706"/>
      <c r="AA432" s="706"/>
      <c r="AB432" s="706"/>
      <c r="AC432" s="706"/>
    </row>
    <row r="433" spans="1:29">
      <c r="A433" s="2301">
        <v>4</v>
      </c>
      <c r="B433" s="2302" t="s">
        <v>315</v>
      </c>
      <c r="C433" s="2155"/>
      <c r="D433" s="2303">
        <f t="shared" si="87"/>
        <v>380104.71039999992</v>
      </c>
      <c r="E433" s="2330"/>
      <c r="F433" s="2330">
        <v>380104.71039999992</v>
      </c>
      <c r="G433" s="2327"/>
      <c r="H433" s="2323"/>
      <c r="I433" s="2349"/>
      <c r="J433" s="2337">
        <f t="shared" si="88"/>
        <v>0</v>
      </c>
      <c r="K433" s="2304"/>
      <c r="L433" s="2304"/>
      <c r="M433" s="2304"/>
      <c r="N433" s="2324">
        <f t="shared" si="89"/>
        <v>0</v>
      </c>
      <c r="O433" s="704"/>
      <c r="P433" s="705"/>
      <c r="Q433" s="719"/>
      <c r="R433" s="706"/>
      <c r="S433" s="706"/>
      <c r="T433" s="706"/>
      <c r="U433" s="706"/>
      <c r="V433" s="706"/>
      <c r="W433" s="706"/>
      <c r="X433" s="706"/>
      <c r="Y433" s="706"/>
      <c r="Z433" s="706"/>
      <c r="AA433" s="706"/>
      <c r="AB433" s="706"/>
      <c r="AC433" s="706"/>
    </row>
    <row r="434" spans="1:29">
      <c r="A434" s="2301">
        <v>5</v>
      </c>
      <c r="B434" s="2302" t="s">
        <v>274</v>
      </c>
      <c r="C434" s="2161">
        <v>5</v>
      </c>
      <c r="D434" s="2303">
        <f t="shared" si="87"/>
        <v>116740.36483999998</v>
      </c>
      <c r="E434" s="2330"/>
      <c r="F434" s="2330">
        <v>116740.36483999998</v>
      </c>
      <c r="G434" s="2327"/>
      <c r="H434" s="2323"/>
      <c r="I434" s="2349"/>
      <c r="J434" s="2337">
        <f t="shared" si="88"/>
        <v>0</v>
      </c>
      <c r="K434" s="2304"/>
      <c r="L434" s="2304"/>
      <c r="M434" s="2304"/>
      <c r="N434" s="2324">
        <f t="shared" si="89"/>
        <v>0</v>
      </c>
      <c r="O434" s="704"/>
      <c r="P434" s="705"/>
      <c r="Q434" s="719"/>
      <c r="R434" s="706"/>
      <c r="S434" s="706"/>
      <c r="T434" s="706"/>
      <c r="U434" s="706"/>
      <c r="V434" s="706"/>
      <c r="W434" s="706"/>
      <c r="X434" s="706"/>
      <c r="Y434" s="706"/>
      <c r="Z434" s="706"/>
      <c r="AA434" s="706"/>
      <c r="AB434" s="706"/>
      <c r="AC434" s="706"/>
    </row>
    <row r="435" spans="1:29">
      <c r="A435" s="2301">
        <v>6</v>
      </c>
      <c r="B435" s="2302" t="s">
        <v>275</v>
      </c>
      <c r="C435" s="2155">
        <v>6</v>
      </c>
      <c r="D435" s="2303">
        <f t="shared" si="87"/>
        <v>0</v>
      </c>
      <c r="E435" s="2304"/>
      <c r="F435" s="2304"/>
      <c r="G435" s="2304"/>
      <c r="H435" s="2325"/>
      <c r="I435" s="2354"/>
      <c r="J435" s="2337">
        <f t="shared" si="88"/>
        <v>0</v>
      </c>
      <c r="K435" s="2304"/>
      <c r="L435" s="2304"/>
      <c r="M435" s="2304"/>
      <c r="N435" s="2324">
        <f t="shared" si="89"/>
        <v>0</v>
      </c>
      <c r="O435" s="704"/>
      <c r="P435" s="705"/>
      <c r="Q435" s="719"/>
      <c r="R435" s="706"/>
      <c r="S435" s="706"/>
      <c r="T435" s="706"/>
      <c r="U435" s="706"/>
      <c r="V435" s="706"/>
      <c r="W435" s="706"/>
      <c r="X435" s="706"/>
      <c r="Y435" s="706"/>
      <c r="Z435" s="706"/>
      <c r="AA435" s="706"/>
      <c r="AB435" s="706"/>
      <c r="AC435" s="706"/>
    </row>
    <row r="436" spans="1:29">
      <c r="A436" s="2301">
        <v>7</v>
      </c>
      <c r="B436" s="2302" t="s">
        <v>276</v>
      </c>
      <c r="C436" s="2161">
        <v>7</v>
      </c>
      <c r="D436" s="2303">
        <f t="shared" si="87"/>
        <v>1150000</v>
      </c>
      <c r="E436" s="2304"/>
      <c r="F436" s="2304">
        <f>F437+F438</f>
        <v>1150000</v>
      </c>
      <c r="G436" s="2304">
        <f t="shared" ref="G436:M436" si="90">G437+G438</f>
        <v>0</v>
      </c>
      <c r="H436" s="2325">
        <f t="shared" si="90"/>
        <v>0</v>
      </c>
      <c r="I436" s="2354">
        <f t="shared" si="90"/>
        <v>0</v>
      </c>
      <c r="J436" s="2337">
        <f t="shared" si="88"/>
        <v>0</v>
      </c>
      <c r="K436" s="2304">
        <f t="shared" si="90"/>
        <v>0</v>
      </c>
      <c r="L436" s="2304">
        <f t="shared" si="90"/>
        <v>0</v>
      </c>
      <c r="M436" s="2304">
        <f t="shared" si="90"/>
        <v>0</v>
      </c>
      <c r="N436" s="2324">
        <f t="shared" si="89"/>
        <v>0</v>
      </c>
      <c r="O436" s="704"/>
      <c r="P436" s="705"/>
      <c r="Q436" s="722"/>
      <c r="R436" s="706"/>
      <c r="S436" s="706"/>
      <c r="T436" s="706"/>
      <c r="U436" s="706"/>
      <c r="V436" s="706"/>
      <c r="W436" s="706"/>
      <c r="X436" s="706"/>
      <c r="Y436" s="706"/>
      <c r="Z436" s="706"/>
      <c r="AA436" s="706"/>
      <c r="AB436" s="706"/>
      <c r="AC436" s="706"/>
    </row>
    <row r="437" spans="1:29">
      <c r="A437" s="2307"/>
      <c r="B437" s="2162" t="s">
        <v>277</v>
      </c>
      <c r="C437" s="2161"/>
      <c r="D437" s="2303">
        <f t="shared" si="87"/>
        <v>1150000</v>
      </c>
      <c r="E437" s="2330"/>
      <c r="F437" s="2330">
        <v>1150000</v>
      </c>
      <c r="G437" s="2327"/>
      <c r="H437" s="2323"/>
      <c r="I437" s="2349"/>
      <c r="J437" s="2337">
        <f t="shared" si="88"/>
        <v>0</v>
      </c>
      <c r="K437" s="2304"/>
      <c r="L437" s="2304"/>
      <c r="M437" s="2304"/>
      <c r="N437" s="2324">
        <f t="shared" si="89"/>
        <v>0</v>
      </c>
      <c r="O437" s="704"/>
      <c r="P437" s="705"/>
      <c r="Q437" s="719"/>
      <c r="R437" s="706"/>
      <c r="S437" s="706"/>
      <c r="T437" s="706"/>
      <c r="U437" s="706"/>
      <c r="V437" s="706"/>
      <c r="W437" s="706"/>
      <c r="X437" s="706"/>
      <c r="Y437" s="706"/>
      <c r="Z437" s="706"/>
      <c r="AA437" s="706"/>
      <c r="AB437" s="706"/>
      <c r="AC437" s="706"/>
    </row>
    <row r="438" spans="1:29">
      <c r="A438" s="2307"/>
      <c r="B438" s="2162" t="s">
        <v>278</v>
      </c>
      <c r="C438" s="2161"/>
      <c r="D438" s="2303">
        <f t="shared" si="87"/>
        <v>0</v>
      </c>
      <c r="E438" s="2304"/>
      <c r="F438" s="2304"/>
      <c r="G438" s="2304"/>
      <c r="H438" s="2325"/>
      <c r="I438" s="2354"/>
      <c r="J438" s="2337">
        <f t="shared" si="88"/>
        <v>0</v>
      </c>
      <c r="K438" s="2304"/>
      <c r="L438" s="2304"/>
      <c r="M438" s="2304"/>
      <c r="N438" s="2324">
        <f t="shared" si="89"/>
        <v>0</v>
      </c>
      <c r="O438" s="704"/>
      <c r="P438" s="705"/>
      <c r="Q438" s="722"/>
      <c r="R438" s="706"/>
      <c r="S438" s="706"/>
      <c r="T438" s="706"/>
      <c r="U438" s="706"/>
      <c r="V438" s="706"/>
      <c r="W438" s="706"/>
      <c r="X438" s="706"/>
      <c r="Y438" s="706"/>
      <c r="Z438" s="706"/>
      <c r="AA438" s="706"/>
      <c r="AB438" s="706"/>
      <c r="AC438" s="706"/>
    </row>
    <row r="439" spans="1:29">
      <c r="A439" s="2301">
        <v>8</v>
      </c>
      <c r="B439" s="2302" t="s">
        <v>279</v>
      </c>
      <c r="C439" s="2155">
        <v>8</v>
      </c>
      <c r="D439" s="2303">
        <f t="shared" si="87"/>
        <v>0</v>
      </c>
      <c r="E439" s="2304"/>
      <c r="F439" s="2304">
        <f>F440+F441</f>
        <v>0</v>
      </c>
      <c r="G439" s="2304">
        <f t="shared" ref="G439:M439" si="91">G440+G441</f>
        <v>0</v>
      </c>
      <c r="H439" s="2325">
        <f t="shared" si="91"/>
        <v>0</v>
      </c>
      <c r="I439" s="2354">
        <f t="shared" si="91"/>
        <v>0</v>
      </c>
      <c r="J439" s="2337">
        <f t="shared" si="88"/>
        <v>0</v>
      </c>
      <c r="K439" s="2304">
        <f t="shared" si="91"/>
        <v>0</v>
      </c>
      <c r="L439" s="2304">
        <f t="shared" si="91"/>
        <v>0</v>
      </c>
      <c r="M439" s="2304">
        <f t="shared" si="91"/>
        <v>0</v>
      </c>
      <c r="N439" s="2324">
        <f t="shared" si="89"/>
        <v>0</v>
      </c>
      <c r="O439" s="704"/>
      <c r="P439" s="705"/>
      <c r="Q439" s="722"/>
      <c r="R439" s="706"/>
      <c r="S439" s="706"/>
      <c r="T439" s="706"/>
      <c r="U439" s="706"/>
      <c r="V439" s="706"/>
      <c r="W439" s="706"/>
      <c r="X439" s="706"/>
      <c r="Y439" s="706"/>
      <c r="Z439" s="706"/>
      <c r="AA439" s="706"/>
      <c r="AB439" s="706"/>
      <c r="AC439" s="706"/>
    </row>
    <row r="440" spans="1:29">
      <c r="A440" s="2301"/>
      <c r="B440" s="2162" t="s">
        <v>280</v>
      </c>
      <c r="C440" s="2155"/>
      <c r="D440" s="2303">
        <f t="shared" si="87"/>
        <v>0</v>
      </c>
      <c r="E440" s="2304"/>
      <c r="F440" s="2304"/>
      <c r="G440" s="2304"/>
      <c r="H440" s="2325"/>
      <c r="I440" s="2354"/>
      <c r="J440" s="2337">
        <f t="shared" si="88"/>
        <v>0</v>
      </c>
      <c r="K440" s="2304"/>
      <c r="L440" s="2304"/>
      <c r="M440" s="2304"/>
      <c r="N440" s="2324">
        <f t="shared" si="89"/>
        <v>0</v>
      </c>
      <c r="O440" s="704"/>
      <c r="P440" s="705"/>
      <c r="Q440" s="722"/>
      <c r="R440" s="706"/>
      <c r="S440" s="706"/>
      <c r="T440" s="706"/>
      <c r="U440" s="706"/>
      <c r="V440" s="706"/>
      <c r="W440" s="706"/>
      <c r="X440" s="706"/>
      <c r="Y440" s="706"/>
      <c r="Z440" s="706"/>
      <c r="AA440" s="706"/>
      <c r="AB440" s="706"/>
      <c r="AC440" s="706"/>
    </row>
    <row r="441" spans="1:29">
      <c r="A441" s="2301"/>
      <c r="B441" s="2162" t="s">
        <v>281</v>
      </c>
      <c r="C441" s="2155"/>
      <c r="D441" s="2303">
        <f t="shared" si="87"/>
        <v>0</v>
      </c>
      <c r="E441" s="2304"/>
      <c r="F441" s="2304"/>
      <c r="G441" s="2304"/>
      <c r="H441" s="2325"/>
      <c r="I441" s="2354"/>
      <c r="J441" s="2337">
        <f t="shared" si="88"/>
        <v>0</v>
      </c>
      <c r="K441" s="2304"/>
      <c r="L441" s="2304"/>
      <c r="M441" s="2304"/>
      <c r="N441" s="2324">
        <f t="shared" si="89"/>
        <v>0</v>
      </c>
      <c r="O441" s="704"/>
      <c r="P441" s="705"/>
      <c r="Q441" s="719"/>
      <c r="R441" s="706"/>
      <c r="S441" s="706"/>
      <c r="T441" s="706"/>
      <c r="U441" s="706"/>
      <c r="V441" s="706"/>
      <c r="W441" s="706"/>
      <c r="X441" s="706"/>
      <c r="Y441" s="706"/>
      <c r="Z441" s="706"/>
      <c r="AA441" s="706"/>
      <c r="AB441" s="706"/>
      <c r="AC441" s="706"/>
    </row>
    <row r="442" spans="1:29" ht="25.5">
      <c r="A442" s="2308">
        <v>9</v>
      </c>
      <c r="B442" s="2309" t="s">
        <v>282</v>
      </c>
      <c r="C442" s="2165"/>
      <c r="D442" s="2310">
        <f t="shared" si="87"/>
        <v>22075264.728203032</v>
      </c>
      <c r="E442" s="2311">
        <f>SUM(E443:E446)</f>
        <v>0</v>
      </c>
      <c r="F442" s="2311">
        <f>SUM(F443:F446)</f>
        <v>4385180.3332028203</v>
      </c>
      <c r="G442" s="2311">
        <f>SUM(G443:G446)</f>
        <v>4528235.2367505599</v>
      </c>
      <c r="H442" s="2333">
        <f>SUM(H443:H446)</f>
        <v>3133816.1440996304</v>
      </c>
      <c r="I442" s="2355">
        <f>SUM(I443:I446)</f>
        <v>10028033.01415002</v>
      </c>
      <c r="J442" s="2335">
        <f>G442+H442+I442</f>
        <v>17690084.395000212</v>
      </c>
      <c r="K442" s="2311">
        <f>SUM(K443:K446)</f>
        <v>0</v>
      </c>
      <c r="L442" s="2311">
        <f>SUM(L443:L446)</f>
        <v>0</v>
      </c>
      <c r="M442" s="2311">
        <f>SUM(M443:M446)</f>
        <v>0</v>
      </c>
      <c r="N442" s="2336">
        <f t="shared" si="89"/>
        <v>0</v>
      </c>
      <c r="O442" s="704"/>
      <c r="P442" s="705"/>
      <c r="Q442" s="719"/>
      <c r="R442" s="706"/>
      <c r="S442" s="706"/>
      <c r="T442" s="706"/>
      <c r="U442" s="706"/>
      <c r="V442" s="706"/>
      <c r="W442" s="706"/>
      <c r="X442" s="706"/>
      <c r="Y442" s="706"/>
      <c r="Z442" s="706"/>
      <c r="AA442" s="706"/>
      <c r="AB442" s="706"/>
      <c r="AC442" s="706"/>
    </row>
    <row r="443" spans="1:29">
      <c r="A443" s="2307">
        <v>10</v>
      </c>
      <c r="B443" s="2171" t="s">
        <v>283</v>
      </c>
      <c r="C443" s="2155">
        <v>9</v>
      </c>
      <c r="D443" s="2303">
        <f t="shared" si="87"/>
        <v>0</v>
      </c>
      <c r="E443" s="2304"/>
      <c r="F443" s="2304">
        <v>0</v>
      </c>
      <c r="G443" s="2391">
        <v>0</v>
      </c>
      <c r="H443" s="2392">
        <v>0</v>
      </c>
      <c r="I443" s="2354"/>
      <c r="J443" s="2337">
        <f t="shared" ref="J443:J461" si="92">G443+H443+I443</f>
        <v>0</v>
      </c>
      <c r="K443" s="2304"/>
      <c r="L443" s="2304"/>
      <c r="M443" s="2304"/>
      <c r="N443" s="2324">
        <f t="shared" si="89"/>
        <v>0</v>
      </c>
      <c r="O443" s="704"/>
      <c r="P443" s="705"/>
      <c r="Q443" s="719"/>
      <c r="R443" s="706"/>
      <c r="S443" s="706"/>
      <c r="T443" s="706"/>
      <c r="U443" s="706"/>
      <c r="V443" s="706"/>
      <c r="W443" s="706"/>
      <c r="X443" s="706"/>
      <c r="Y443" s="706"/>
      <c r="Z443" s="706"/>
      <c r="AA443" s="706"/>
      <c r="AB443" s="706"/>
      <c r="AC443" s="706"/>
    </row>
    <row r="444" spans="1:29">
      <c r="A444" s="2307">
        <v>11</v>
      </c>
      <c r="B444" s="2171" t="s">
        <v>284</v>
      </c>
      <c r="C444" s="2155">
        <v>10</v>
      </c>
      <c r="D444" s="2303">
        <f t="shared" si="87"/>
        <v>15060717.186203031</v>
      </c>
      <c r="E444" s="2304"/>
      <c r="F444" s="2304">
        <v>4058057.3082028199</v>
      </c>
      <c r="G444" s="2391">
        <v>2182933.8984505599</v>
      </c>
      <c r="H444" s="2373">
        <v>2530407.9653996304</v>
      </c>
      <c r="I444" s="2378">
        <v>6289318.0141500197</v>
      </c>
      <c r="J444" s="2337">
        <f t="shared" si="92"/>
        <v>11002659.878000211</v>
      </c>
      <c r="K444" s="2304"/>
      <c r="L444" s="2304"/>
      <c r="M444" s="2304"/>
      <c r="N444" s="2324">
        <f t="shared" si="89"/>
        <v>0</v>
      </c>
      <c r="O444" s="704"/>
      <c r="P444" s="705"/>
      <c r="Q444" s="722"/>
      <c r="R444" s="706"/>
      <c r="S444" s="706"/>
      <c r="T444" s="706"/>
      <c r="U444" s="706"/>
      <c r="V444" s="706"/>
      <c r="W444" s="706"/>
      <c r="X444" s="706"/>
      <c r="Y444" s="706"/>
      <c r="Z444" s="706"/>
      <c r="AA444" s="706"/>
      <c r="AB444" s="706"/>
      <c r="AC444" s="706"/>
    </row>
    <row r="445" spans="1:29">
      <c r="A445" s="2307">
        <v>12</v>
      </c>
      <c r="B445" s="2171" t="s">
        <v>285</v>
      </c>
      <c r="C445" s="2155">
        <v>11</v>
      </c>
      <c r="D445" s="2303">
        <f t="shared" si="87"/>
        <v>6313996.5997000001</v>
      </c>
      <c r="E445" s="2304"/>
      <c r="F445" s="2304">
        <v>166723.02499999999</v>
      </c>
      <c r="G445" s="2391">
        <v>2117511.3959999997</v>
      </c>
      <c r="H445" s="2373">
        <v>603408.17870000005</v>
      </c>
      <c r="I445" s="2378">
        <v>3426354</v>
      </c>
      <c r="J445" s="2337">
        <f t="shared" si="92"/>
        <v>6147273.5746999998</v>
      </c>
      <c r="K445" s="2304"/>
      <c r="L445" s="2304"/>
      <c r="M445" s="2304"/>
      <c r="N445" s="2324">
        <f t="shared" si="89"/>
        <v>0</v>
      </c>
      <c r="O445" s="704"/>
      <c r="P445" s="705"/>
      <c r="Q445" s="719"/>
      <c r="R445" s="706"/>
      <c r="S445" s="706"/>
      <c r="T445" s="706"/>
      <c r="U445" s="706"/>
      <c r="V445" s="706"/>
      <c r="W445" s="706"/>
      <c r="X445" s="706"/>
      <c r="Y445" s="706"/>
      <c r="Z445" s="706"/>
      <c r="AA445" s="706"/>
      <c r="AB445" s="706"/>
      <c r="AC445" s="706"/>
    </row>
    <row r="446" spans="1:29" ht="25.5">
      <c r="A446" s="2307">
        <v>13</v>
      </c>
      <c r="B446" s="2171" t="s">
        <v>286</v>
      </c>
      <c r="C446" s="2155">
        <v>12</v>
      </c>
      <c r="D446" s="2303">
        <f t="shared" si="87"/>
        <v>700550.9423</v>
      </c>
      <c r="E446" s="2304"/>
      <c r="F446" s="2304">
        <v>160400</v>
      </c>
      <c r="G446" s="2391">
        <v>227789.9423</v>
      </c>
      <c r="H446" s="2373">
        <v>0</v>
      </c>
      <c r="I446" s="2378">
        <v>312361</v>
      </c>
      <c r="J446" s="2337">
        <f t="shared" si="92"/>
        <v>540150.9423</v>
      </c>
      <c r="K446" s="2304"/>
      <c r="L446" s="2304"/>
      <c r="M446" s="2304"/>
      <c r="N446" s="2324">
        <f t="shared" si="89"/>
        <v>0</v>
      </c>
      <c r="O446" s="704"/>
      <c r="P446" s="705"/>
      <c r="Q446" s="719"/>
      <c r="R446" s="706"/>
      <c r="S446" s="706"/>
      <c r="T446" s="706"/>
      <c r="U446" s="706"/>
      <c r="V446" s="706"/>
      <c r="W446" s="706"/>
      <c r="X446" s="706"/>
      <c r="Y446" s="706"/>
      <c r="Z446" s="706"/>
      <c r="AA446" s="706"/>
      <c r="AB446" s="706"/>
      <c r="AC446" s="706"/>
    </row>
    <row r="447" spans="1:29">
      <c r="A447" s="2307">
        <v>14</v>
      </c>
      <c r="B447" s="2154" t="s">
        <v>287</v>
      </c>
      <c r="C447" s="2155">
        <v>13</v>
      </c>
      <c r="D447" s="2303">
        <f t="shared" si="87"/>
        <v>379736</v>
      </c>
      <c r="E447" s="2304"/>
      <c r="F447" s="2304">
        <v>0</v>
      </c>
      <c r="G447" s="2391">
        <v>164781</v>
      </c>
      <c r="H447" s="2392">
        <v>150</v>
      </c>
      <c r="I447" s="2354">
        <v>214805</v>
      </c>
      <c r="J447" s="2337">
        <f t="shared" si="92"/>
        <v>379736</v>
      </c>
      <c r="K447" s="2304"/>
      <c r="L447" s="2304"/>
      <c r="M447" s="2304"/>
      <c r="N447" s="2324">
        <f t="shared" si="89"/>
        <v>0</v>
      </c>
      <c r="O447" s="704"/>
      <c r="P447" s="705"/>
      <c r="Q447" s="719"/>
      <c r="R447" s="706"/>
      <c r="S447" s="706"/>
      <c r="T447" s="706"/>
      <c r="U447" s="706"/>
      <c r="V447" s="706"/>
      <c r="W447" s="706"/>
      <c r="X447" s="706"/>
      <c r="Y447" s="706"/>
      <c r="Z447" s="706"/>
      <c r="AA447" s="706"/>
      <c r="AB447" s="706"/>
      <c r="AC447" s="706"/>
    </row>
    <row r="448" spans="1:29">
      <c r="A448" s="2307">
        <v>15</v>
      </c>
      <c r="B448" s="2154" t="s">
        <v>288</v>
      </c>
      <c r="C448" s="2161">
        <v>14</v>
      </c>
      <c r="D448" s="2303">
        <f t="shared" si="87"/>
        <v>172699</v>
      </c>
      <c r="E448" s="2304"/>
      <c r="F448" s="2304">
        <v>0</v>
      </c>
      <c r="G448" s="2391">
        <v>3113</v>
      </c>
      <c r="H448" s="2392">
        <v>165110</v>
      </c>
      <c r="I448" s="2354">
        <v>4476</v>
      </c>
      <c r="J448" s="2337">
        <f t="shared" si="92"/>
        <v>172699</v>
      </c>
      <c r="K448" s="2304"/>
      <c r="L448" s="2304"/>
      <c r="M448" s="2304"/>
      <c r="N448" s="2324">
        <f t="shared" si="89"/>
        <v>0</v>
      </c>
      <c r="O448" s="704"/>
      <c r="P448" s="705"/>
      <c r="Q448" s="719"/>
      <c r="R448" s="706"/>
      <c r="S448" s="706"/>
      <c r="T448" s="706"/>
      <c r="U448" s="706"/>
      <c r="V448" s="706"/>
      <c r="W448" s="706"/>
      <c r="X448" s="706"/>
      <c r="Y448" s="706"/>
      <c r="Z448" s="706"/>
      <c r="AA448" s="706"/>
      <c r="AB448" s="706"/>
      <c r="AC448" s="706"/>
    </row>
    <row r="449" spans="1:29">
      <c r="A449" s="2307">
        <v>16</v>
      </c>
      <c r="B449" s="2154" t="s">
        <v>289</v>
      </c>
      <c r="C449" s="2155">
        <v>15</v>
      </c>
      <c r="D449" s="2303">
        <f t="shared" si="87"/>
        <v>4988</v>
      </c>
      <c r="E449" s="2304"/>
      <c r="F449" s="2304">
        <v>0</v>
      </c>
      <c r="G449" s="2391">
        <v>1501</v>
      </c>
      <c r="H449" s="2392">
        <v>799</v>
      </c>
      <c r="I449" s="2354">
        <v>2688</v>
      </c>
      <c r="J449" s="2337">
        <f t="shared" si="92"/>
        <v>4988</v>
      </c>
      <c r="K449" s="2304"/>
      <c r="L449" s="2304"/>
      <c r="M449" s="2304"/>
      <c r="N449" s="2324">
        <f t="shared" si="89"/>
        <v>0</v>
      </c>
      <c r="O449" s="704"/>
      <c r="P449" s="705"/>
      <c r="Q449" s="719"/>
      <c r="R449" s="706"/>
      <c r="S449" s="706"/>
      <c r="T449" s="706"/>
      <c r="U449" s="706"/>
      <c r="V449" s="706"/>
      <c r="W449" s="706"/>
      <c r="X449" s="706"/>
      <c r="Y449" s="706"/>
      <c r="Z449" s="706"/>
      <c r="AA449" s="706"/>
      <c r="AB449" s="706"/>
      <c r="AC449" s="706"/>
    </row>
    <row r="450" spans="1:29">
      <c r="A450" s="2307">
        <v>17</v>
      </c>
      <c r="B450" s="2154" t="s">
        <v>290</v>
      </c>
      <c r="C450" s="2161">
        <v>16</v>
      </c>
      <c r="D450" s="2303">
        <f t="shared" si="87"/>
        <v>1307576.8004971799</v>
      </c>
      <c r="E450" s="2304"/>
      <c r="F450" s="2304">
        <v>1214568.8004971799</v>
      </c>
      <c r="G450" s="2391">
        <v>5983</v>
      </c>
      <c r="H450" s="2373">
        <v>20057</v>
      </c>
      <c r="I450" s="2378">
        <v>66968</v>
      </c>
      <c r="J450" s="2337">
        <f t="shared" si="92"/>
        <v>93008</v>
      </c>
      <c r="K450" s="2304"/>
      <c r="L450" s="2304"/>
      <c r="M450" s="2304"/>
      <c r="N450" s="2324">
        <f t="shared" si="89"/>
        <v>0</v>
      </c>
      <c r="O450" s="704"/>
      <c r="P450" s="705"/>
      <c r="Q450" s="722"/>
      <c r="R450" s="706"/>
      <c r="S450" s="706"/>
      <c r="T450" s="706"/>
      <c r="U450" s="706"/>
      <c r="V450" s="706"/>
      <c r="W450" s="706"/>
      <c r="X450" s="706"/>
      <c r="Y450" s="706"/>
      <c r="Z450" s="706"/>
      <c r="AA450" s="706"/>
      <c r="AB450" s="706"/>
      <c r="AC450" s="706"/>
    </row>
    <row r="451" spans="1:29">
      <c r="A451" s="2307">
        <v>18</v>
      </c>
      <c r="B451" s="2154" t="s">
        <v>291</v>
      </c>
      <c r="C451" s="2155"/>
      <c r="D451" s="2303">
        <f t="shared" si="87"/>
        <v>0</v>
      </c>
      <c r="E451" s="2304"/>
      <c r="F451" s="2304">
        <v>0</v>
      </c>
      <c r="G451" s="2391">
        <v>0</v>
      </c>
      <c r="H451" s="2392">
        <v>0</v>
      </c>
      <c r="I451" s="2354"/>
      <c r="J451" s="2337">
        <f t="shared" si="92"/>
        <v>0</v>
      </c>
      <c r="K451" s="2304"/>
      <c r="L451" s="2304"/>
      <c r="M451" s="2304"/>
      <c r="N451" s="2324">
        <f t="shared" si="89"/>
        <v>0</v>
      </c>
      <c r="O451" s="704"/>
      <c r="P451" s="705"/>
      <c r="Q451" s="719"/>
      <c r="R451" s="706"/>
      <c r="S451" s="706"/>
      <c r="T451" s="706"/>
      <c r="U451" s="706"/>
      <c r="V451" s="706"/>
      <c r="W451" s="706"/>
      <c r="X451" s="706"/>
      <c r="Y451" s="706"/>
      <c r="Z451" s="706"/>
      <c r="AA451" s="706"/>
      <c r="AB451" s="706"/>
      <c r="AC451" s="706"/>
    </row>
    <row r="452" spans="1:29" ht="13.5" thickBot="1">
      <c r="A452" s="2314">
        <v>19</v>
      </c>
      <c r="B452" s="2173" t="s">
        <v>292</v>
      </c>
      <c r="C452" s="2172"/>
      <c r="D452" s="1485">
        <f t="shared" si="87"/>
        <v>393521.51463662297</v>
      </c>
      <c r="E452" s="998"/>
      <c r="F452" s="998">
        <v>74254.791060000003</v>
      </c>
      <c r="G452" s="1046">
        <v>6968.4881281573325</v>
      </c>
      <c r="H452" s="2394">
        <v>16025.34963066244</v>
      </c>
      <c r="I452" s="2406">
        <v>296272.88581780321</v>
      </c>
      <c r="J452" s="2347">
        <f t="shared" si="92"/>
        <v>319266.72357662296</v>
      </c>
      <c r="K452" s="998"/>
      <c r="L452" s="998"/>
      <c r="M452" s="998"/>
      <c r="N452" s="2376">
        <f t="shared" si="89"/>
        <v>0</v>
      </c>
      <c r="O452" s="704"/>
      <c r="P452" s="705"/>
      <c r="Q452" s="716"/>
      <c r="R452" s="706"/>
      <c r="S452" s="706"/>
      <c r="T452" s="706"/>
      <c r="U452" s="706"/>
      <c r="V452" s="706"/>
      <c r="W452" s="706"/>
      <c r="X452" s="706"/>
      <c r="Y452" s="706"/>
      <c r="Z452" s="706"/>
      <c r="AA452" s="706"/>
      <c r="AB452" s="706"/>
      <c r="AC452" s="706"/>
    </row>
    <row r="453" spans="1:29" ht="26.25" thickBot="1">
      <c r="A453" s="1493">
        <v>20</v>
      </c>
      <c r="B453" s="1352" t="s">
        <v>293</v>
      </c>
      <c r="C453" s="1351"/>
      <c r="D453" s="1494">
        <f t="shared" si="87"/>
        <v>26042871.118576832</v>
      </c>
      <c r="E453" s="1494">
        <f>SUM(E430:E436)+E439+E442+SUM(E447:E452)</f>
        <v>0</v>
      </c>
      <c r="F453" s="1494">
        <f>SUM(F430:F436)+F439+F442+SUM(F447:F452)</f>
        <v>7383089</v>
      </c>
      <c r="G453" s="1494">
        <f>SUM(G430:G436)+G439+G442+SUM(G447:G452)</f>
        <v>4710581.7248787172</v>
      </c>
      <c r="H453" s="1522">
        <f>SUM(H430:H436)+H439+H442+SUM(H447:H452)</f>
        <v>3335957.4937302927</v>
      </c>
      <c r="I453" s="1533">
        <f>SUM(I430:I436)+I439+I442+SUM(I447:I452)</f>
        <v>10613242.899967823</v>
      </c>
      <c r="J453" s="1525">
        <f t="shared" si="92"/>
        <v>18659782.118576832</v>
      </c>
      <c r="K453" s="1494">
        <f>SUM(K430:K436)+K439+K442+SUM(K447:K452)</f>
        <v>0</v>
      </c>
      <c r="L453" s="1494">
        <f>SUM(L430:L436)+L439+L442+SUM(L447:L452)</f>
        <v>0</v>
      </c>
      <c r="M453" s="1494">
        <f>SUM(M430:M436)+M439+M442+SUM(M447:M452)</f>
        <v>0</v>
      </c>
      <c r="N453" s="1495">
        <f t="shared" si="89"/>
        <v>0</v>
      </c>
      <c r="O453" s="704"/>
      <c r="P453" s="705"/>
      <c r="Q453" s="709"/>
      <c r="R453" s="706"/>
      <c r="S453" s="706"/>
      <c r="T453" s="706"/>
      <c r="U453" s="706"/>
      <c r="V453" s="706"/>
      <c r="W453" s="706"/>
      <c r="X453" s="706"/>
      <c r="Y453" s="706"/>
      <c r="Z453" s="706"/>
      <c r="AA453" s="706"/>
      <c r="AB453" s="706"/>
      <c r="AC453" s="706"/>
    </row>
    <row r="454" spans="1:29">
      <c r="A454" s="2307"/>
      <c r="B454" s="2316" t="s">
        <v>294</v>
      </c>
      <c r="C454" s="2155"/>
      <c r="D454" s="1487">
        <f t="shared" si="87"/>
        <v>0</v>
      </c>
      <c r="E454" s="691"/>
      <c r="F454" s="691"/>
      <c r="G454" s="688"/>
      <c r="H454" s="689"/>
      <c r="I454" s="1006"/>
      <c r="J454" s="1514">
        <f t="shared" si="92"/>
        <v>0</v>
      </c>
      <c r="K454" s="996"/>
      <c r="L454" s="996"/>
      <c r="M454" s="996"/>
      <c r="N454" s="1488">
        <f t="shared" si="89"/>
        <v>0</v>
      </c>
      <c r="O454" s="704"/>
      <c r="P454" s="705"/>
      <c r="Q454" s="709"/>
      <c r="R454" s="706"/>
      <c r="S454" s="706"/>
      <c r="T454" s="706"/>
      <c r="U454" s="706"/>
      <c r="V454" s="706"/>
      <c r="W454" s="706"/>
      <c r="X454" s="706"/>
      <c r="Y454" s="706"/>
      <c r="Z454" s="706"/>
      <c r="AA454" s="706"/>
      <c r="AB454" s="706"/>
      <c r="AC454" s="706"/>
    </row>
    <row r="455" spans="1:29">
      <c r="A455" s="2307"/>
      <c r="B455" s="2316" t="s">
        <v>295</v>
      </c>
      <c r="C455" s="2155"/>
      <c r="D455" s="2303">
        <f t="shared" si="87"/>
        <v>0</v>
      </c>
      <c r="E455" s="2330"/>
      <c r="F455" s="2330"/>
      <c r="G455" s="2327"/>
      <c r="H455" s="2323"/>
      <c r="I455" s="2349"/>
      <c r="J455" s="2337">
        <f t="shared" si="92"/>
        <v>0</v>
      </c>
      <c r="K455" s="2304"/>
      <c r="L455" s="2304"/>
      <c r="M455" s="2304"/>
      <c r="N455" s="2324">
        <f t="shared" si="89"/>
        <v>0</v>
      </c>
      <c r="O455" s="704"/>
      <c r="P455" s="705"/>
      <c r="Q455" s="719"/>
      <c r="R455" s="706"/>
      <c r="S455" s="706"/>
      <c r="T455" s="706"/>
      <c r="U455" s="706"/>
      <c r="V455" s="706"/>
      <c r="W455" s="706"/>
      <c r="X455" s="706"/>
      <c r="Y455" s="706"/>
      <c r="Z455" s="706"/>
      <c r="AA455" s="706"/>
      <c r="AB455" s="706"/>
      <c r="AC455" s="706"/>
    </row>
    <row r="456" spans="1:29">
      <c r="A456" s="2307">
        <v>21</v>
      </c>
      <c r="B456" s="2154" t="s">
        <v>296</v>
      </c>
      <c r="C456" s="2161">
        <v>17</v>
      </c>
      <c r="D456" s="2303">
        <f t="shared" si="87"/>
        <v>16833050.118576832</v>
      </c>
      <c r="E456" s="2416"/>
      <c r="F456" s="2416">
        <v>0</v>
      </c>
      <c r="G456" s="2379">
        <v>4301909.7248787172</v>
      </c>
      <c r="H456" s="2417">
        <v>2788712.4937302927</v>
      </c>
      <c r="I456" s="2417">
        <v>9742427.8999678232</v>
      </c>
      <c r="J456" s="2337">
        <f t="shared" si="92"/>
        <v>16833050.118576832</v>
      </c>
      <c r="K456" s="2304"/>
      <c r="L456" s="2304"/>
      <c r="M456" s="2304"/>
      <c r="N456" s="2324">
        <f t="shared" si="89"/>
        <v>0</v>
      </c>
      <c r="O456" s="704"/>
      <c r="P456" s="705"/>
      <c r="Q456" s="719"/>
      <c r="R456" s="706"/>
      <c r="S456" s="706"/>
      <c r="T456" s="706"/>
      <c r="U456" s="706"/>
      <c r="V456" s="706"/>
      <c r="W456" s="706"/>
      <c r="X456" s="706"/>
      <c r="Y456" s="706"/>
      <c r="Z456" s="706"/>
      <c r="AA456" s="706"/>
      <c r="AB456" s="706"/>
      <c r="AC456" s="706"/>
    </row>
    <row r="457" spans="1:29">
      <c r="A457" s="2307">
        <v>22</v>
      </c>
      <c r="B457" s="2154" t="s">
        <v>297</v>
      </c>
      <c r="C457" s="2155"/>
      <c r="D457" s="2303">
        <f t="shared" si="87"/>
        <v>150729</v>
      </c>
      <c r="E457" s="2416"/>
      <c r="F457" s="2416">
        <v>150729</v>
      </c>
      <c r="G457" s="2379">
        <v>0</v>
      </c>
      <c r="H457" s="2417">
        <v>0</v>
      </c>
      <c r="I457" s="2417"/>
      <c r="J457" s="2337">
        <f t="shared" si="92"/>
        <v>0</v>
      </c>
      <c r="K457" s="2304"/>
      <c r="L457" s="2304"/>
      <c r="M457" s="2304"/>
      <c r="N457" s="2324">
        <f t="shared" si="89"/>
        <v>0</v>
      </c>
      <c r="O457" s="704"/>
      <c r="P457" s="705"/>
      <c r="Q457" s="719"/>
      <c r="R457" s="706"/>
      <c r="S457" s="706"/>
      <c r="T457" s="706"/>
      <c r="U457" s="706"/>
      <c r="V457" s="706"/>
      <c r="W457" s="706"/>
      <c r="X457" s="706"/>
      <c r="Y457" s="706"/>
      <c r="Z457" s="706"/>
      <c r="AA457" s="706"/>
      <c r="AB457" s="706"/>
      <c r="AC457" s="706"/>
    </row>
    <row r="458" spans="1:29">
      <c r="A458" s="2307">
        <v>23</v>
      </c>
      <c r="B458" s="2154" t="s">
        <v>298</v>
      </c>
      <c r="C458" s="2155">
        <v>18</v>
      </c>
      <c r="D458" s="2303">
        <f t="shared" si="87"/>
        <v>290916</v>
      </c>
      <c r="E458" s="2416"/>
      <c r="F458" s="2416">
        <v>0</v>
      </c>
      <c r="G458" s="2379">
        <v>8044</v>
      </c>
      <c r="H458" s="2417">
        <v>272584</v>
      </c>
      <c r="I458" s="2417">
        <v>10288</v>
      </c>
      <c r="J458" s="2337">
        <f t="shared" si="92"/>
        <v>290916</v>
      </c>
      <c r="K458" s="2304"/>
      <c r="L458" s="2304"/>
      <c r="M458" s="2304"/>
      <c r="N458" s="2324">
        <f t="shared" si="89"/>
        <v>0</v>
      </c>
      <c r="O458" s="704"/>
      <c r="P458" s="705"/>
      <c r="Q458" s="722"/>
      <c r="R458" s="706"/>
      <c r="S458" s="706"/>
      <c r="T458" s="706"/>
      <c r="U458" s="706"/>
      <c r="V458" s="706"/>
      <c r="W458" s="706"/>
      <c r="X458" s="706"/>
      <c r="Y458" s="706"/>
      <c r="Z458" s="706"/>
      <c r="AA458" s="706"/>
      <c r="AB458" s="706"/>
      <c r="AC458" s="706"/>
    </row>
    <row r="459" spans="1:29">
      <c r="A459" s="2307">
        <v>24</v>
      </c>
      <c r="B459" s="2154" t="s">
        <v>299</v>
      </c>
      <c r="C459" s="2155"/>
      <c r="D459" s="2303">
        <f t="shared" si="87"/>
        <v>0</v>
      </c>
      <c r="E459" s="2416"/>
      <c r="F459" s="2416"/>
      <c r="G459" s="2379"/>
      <c r="H459" s="2417"/>
      <c r="I459" s="2417"/>
      <c r="J459" s="2337">
        <f t="shared" si="92"/>
        <v>0</v>
      </c>
      <c r="K459" s="2304"/>
      <c r="L459" s="2304"/>
      <c r="M459" s="2304"/>
      <c r="N459" s="2324">
        <f t="shared" si="89"/>
        <v>0</v>
      </c>
      <c r="O459" s="704"/>
      <c r="P459" s="705"/>
      <c r="Q459" s="719"/>
      <c r="R459" s="706"/>
      <c r="S459" s="706"/>
      <c r="T459" s="706"/>
      <c r="U459" s="706"/>
      <c r="V459" s="706"/>
      <c r="W459" s="706"/>
      <c r="X459" s="706"/>
      <c r="Y459" s="706"/>
      <c r="Z459" s="706"/>
      <c r="AA459" s="706"/>
      <c r="AB459" s="706"/>
      <c r="AC459" s="706"/>
    </row>
    <row r="460" spans="1:29">
      <c r="A460" s="2307">
        <v>25</v>
      </c>
      <c r="B460" s="2176" t="s">
        <v>300</v>
      </c>
      <c r="C460" s="2155"/>
      <c r="D460" s="2303">
        <f t="shared" si="87"/>
        <v>0</v>
      </c>
      <c r="E460" s="2416"/>
      <c r="F460" s="2416"/>
      <c r="G460" s="2379"/>
      <c r="H460" s="2417"/>
      <c r="I460" s="2417"/>
      <c r="J460" s="2337">
        <f t="shared" si="92"/>
        <v>0</v>
      </c>
      <c r="K460" s="2304"/>
      <c r="L460" s="2304"/>
      <c r="M460" s="2304"/>
      <c r="N460" s="2324">
        <f t="shared" si="89"/>
        <v>0</v>
      </c>
      <c r="O460" s="704"/>
      <c r="P460" s="705"/>
      <c r="Q460" s="719"/>
      <c r="R460" s="706"/>
      <c r="S460" s="706"/>
      <c r="T460" s="706"/>
      <c r="U460" s="706"/>
      <c r="V460" s="706"/>
      <c r="W460" s="706"/>
      <c r="X460" s="706"/>
      <c r="Y460" s="706"/>
      <c r="Z460" s="706"/>
      <c r="AA460" s="706"/>
      <c r="AB460" s="706"/>
      <c r="AC460" s="706"/>
    </row>
    <row r="461" spans="1:29" ht="13.5" thickBot="1">
      <c r="A461" s="2314">
        <v>26</v>
      </c>
      <c r="B461" s="2173" t="s">
        <v>301</v>
      </c>
      <c r="C461" s="2177">
        <v>19</v>
      </c>
      <c r="D461" s="2303">
        <f t="shared" si="87"/>
        <v>1507188</v>
      </c>
      <c r="E461" s="2416"/>
      <c r="F461" s="1307">
        <v>729305</v>
      </c>
      <c r="G461" s="1308">
        <v>157847</v>
      </c>
      <c r="H461" s="1308">
        <v>217205</v>
      </c>
      <c r="I461" s="1573">
        <v>402831</v>
      </c>
      <c r="J461" s="2337">
        <f t="shared" si="92"/>
        <v>777883</v>
      </c>
      <c r="K461" s="2304"/>
      <c r="L461" s="2304"/>
      <c r="M461" s="2304"/>
      <c r="N461" s="2324">
        <f t="shared" si="89"/>
        <v>0</v>
      </c>
      <c r="O461" s="704"/>
      <c r="P461" s="705"/>
      <c r="Q461" s="719"/>
      <c r="R461" s="706"/>
      <c r="S461" s="706"/>
      <c r="T461" s="706"/>
      <c r="U461" s="706"/>
      <c r="V461" s="706"/>
      <c r="W461" s="706"/>
      <c r="X461" s="706"/>
      <c r="Y461" s="706"/>
      <c r="Z461" s="706"/>
      <c r="AA461" s="706"/>
      <c r="AB461" s="706"/>
      <c r="AC461" s="706"/>
    </row>
    <row r="462" spans="1:29" ht="26.25" thickBot="1">
      <c r="A462" s="1482">
        <v>27</v>
      </c>
      <c r="B462" s="1349" t="s">
        <v>302</v>
      </c>
      <c r="C462" s="1454"/>
      <c r="D462" s="1570">
        <f t="shared" si="87"/>
        <v>18781883.118576832</v>
      </c>
      <c r="E462" s="1056">
        <f>SUM(E456:E461)</f>
        <v>0</v>
      </c>
      <c r="F462" s="1056">
        <f>SUM(F456:F461)</f>
        <v>880034</v>
      </c>
      <c r="G462" s="1056">
        <f>SUM(G456:G461)</f>
        <v>4467800.7248787172</v>
      </c>
      <c r="H462" s="1066">
        <f>SUM(H456:H461)</f>
        <v>3278501.4937302927</v>
      </c>
      <c r="I462" s="1574">
        <f>SUM(I456:I461)</f>
        <v>10155546.899967823</v>
      </c>
      <c r="J462" s="1577">
        <f>G462+H462+I462</f>
        <v>17901849.118576832</v>
      </c>
      <c r="K462" s="1056">
        <f>SUM(K456:K461)</f>
        <v>0</v>
      </c>
      <c r="L462" s="1056">
        <f>SUM(L456:L461)</f>
        <v>0</v>
      </c>
      <c r="M462" s="1056">
        <f>SUM(M456:M461)</f>
        <v>0</v>
      </c>
      <c r="N462" s="1579">
        <f t="shared" si="89"/>
        <v>0</v>
      </c>
      <c r="O462" s="704"/>
      <c r="P462" s="705"/>
      <c r="Q462" s="719"/>
      <c r="R462" s="706"/>
      <c r="S462" s="706"/>
      <c r="T462" s="706"/>
      <c r="U462" s="706"/>
      <c r="V462" s="706"/>
      <c r="W462" s="706"/>
      <c r="X462" s="706"/>
      <c r="Y462" s="706"/>
      <c r="Z462" s="706"/>
      <c r="AA462" s="706"/>
      <c r="AB462" s="706"/>
      <c r="AC462" s="706"/>
    </row>
    <row r="463" spans="1:29">
      <c r="A463" s="1483"/>
      <c r="B463" s="1481" t="s">
        <v>303</v>
      </c>
      <c r="C463" s="1346">
        <v>20</v>
      </c>
      <c r="D463" s="1487">
        <f t="shared" si="87"/>
        <v>0</v>
      </c>
      <c r="E463" s="691"/>
      <c r="F463" s="691"/>
      <c r="G463" s="688"/>
      <c r="H463" s="689"/>
      <c r="I463" s="1006"/>
      <c r="J463" s="1514">
        <f t="shared" ref="J463:J469" si="93">G463+H463+I463</f>
        <v>0</v>
      </c>
      <c r="K463" s="996"/>
      <c r="L463" s="996"/>
      <c r="M463" s="996"/>
      <c r="N463" s="1488">
        <f t="shared" si="89"/>
        <v>0</v>
      </c>
      <c r="O463" s="704"/>
      <c r="P463" s="705"/>
      <c r="Q463" s="722"/>
      <c r="R463" s="706"/>
      <c r="S463" s="706"/>
      <c r="T463" s="706"/>
      <c r="U463" s="706"/>
      <c r="V463" s="706"/>
      <c r="W463" s="706"/>
      <c r="X463" s="706"/>
      <c r="Y463" s="706"/>
      <c r="Z463" s="706"/>
      <c r="AA463" s="706"/>
      <c r="AB463" s="706"/>
      <c r="AC463" s="706"/>
    </row>
    <row r="464" spans="1:29">
      <c r="A464" s="2307">
        <v>28</v>
      </c>
      <c r="B464" s="2302" t="s">
        <v>304</v>
      </c>
      <c r="C464" s="2161"/>
      <c r="D464" s="2303">
        <f t="shared" si="87"/>
        <v>1171875</v>
      </c>
      <c r="E464" s="2330"/>
      <c r="F464" s="2330">
        <v>1171875</v>
      </c>
      <c r="G464" s="2327">
        <v>0</v>
      </c>
      <c r="H464" s="2323">
        <v>0</v>
      </c>
      <c r="I464" s="2349">
        <v>0</v>
      </c>
      <c r="J464" s="2337">
        <f t="shared" si="93"/>
        <v>0</v>
      </c>
      <c r="K464" s="2304"/>
      <c r="L464" s="2304"/>
      <c r="M464" s="2304"/>
      <c r="N464" s="2324">
        <f t="shared" si="89"/>
        <v>0</v>
      </c>
      <c r="O464" s="704"/>
      <c r="P464" s="705"/>
      <c r="Q464" s="719"/>
      <c r="R464" s="706"/>
      <c r="S464" s="706"/>
      <c r="T464" s="706"/>
      <c r="U464" s="706"/>
      <c r="V464" s="706"/>
      <c r="W464" s="706"/>
      <c r="X464" s="706"/>
      <c r="Y464" s="706"/>
      <c r="Z464" s="706"/>
      <c r="AA464" s="706"/>
      <c r="AB464" s="706"/>
      <c r="AC464" s="706"/>
    </row>
    <row r="465" spans="1:29">
      <c r="A465" s="2307">
        <v>29</v>
      </c>
      <c r="B465" s="2302" t="s">
        <v>305</v>
      </c>
      <c r="C465" s="2161"/>
      <c r="D465" s="2303">
        <f t="shared" si="87"/>
        <v>739643</v>
      </c>
      <c r="E465" s="2330"/>
      <c r="F465" s="2330">
        <v>-18290</v>
      </c>
      <c r="G465" s="2327">
        <v>242781</v>
      </c>
      <c r="H465" s="2323">
        <v>57456</v>
      </c>
      <c r="I465" s="2349">
        <v>457696</v>
      </c>
      <c r="J465" s="2337">
        <f t="shared" si="93"/>
        <v>757933</v>
      </c>
      <c r="K465" s="2304"/>
      <c r="L465" s="2304"/>
      <c r="M465" s="2304"/>
      <c r="N465" s="2324">
        <f t="shared" si="89"/>
        <v>0</v>
      </c>
      <c r="O465" s="704"/>
      <c r="P465" s="705"/>
      <c r="Q465" s="719"/>
      <c r="R465" s="706"/>
      <c r="S465" s="706"/>
      <c r="T465" s="706"/>
      <c r="U465" s="706"/>
      <c r="V465" s="706"/>
      <c r="W465" s="706"/>
      <c r="X465" s="706"/>
      <c r="Y465" s="706"/>
      <c r="Z465" s="706"/>
      <c r="AA465" s="706"/>
      <c r="AB465" s="706"/>
      <c r="AC465" s="706"/>
    </row>
    <row r="466" spans="1:29">
      <c r="A466" s="2307">
        <v>30</v>
      </c>
      <c r="B466" s="2317" t="s">
        <v>306</v>
      </c>
      <c r="C466" s="2177"/>
      <c r="D466" s="2303">
        <f t="shared" si="87"/>
        <v>0</v>
      </c>
      <c r="E466" s="2330"/>
      <c r="F466" s="1033">
        <v>0</v>
      </c>
      <c r="G466" s="1034">
        <v>0</v>
      </c>
      <c r="H466" s="2359">
        <v>0</v>
      </c>
      <c r="I466" s="2360"/>
      <c r="J466" s="2337">
        <f t="shared" si="93"/>
        <v>0</v>
      </c>
      <c r="K466" s="2304"/>
      <c r="L466" s="2304"/>
      <c r="M466" s="2304"/>
      <c r="N466" s="2324">
        <f t="shared" si="89"/>
        <v>0</v>
      </c>
      <c r="O466" s="704"/>
      <c r="P466" s="705"/>
      <c r="Q466" s="722"/>
      <c r="R466" s="706"/>
      <c r="S466" s="706"/>
      <c r="T466" s="706"/>
      <c r="U466" s="706"/>
      <c r="V466" s="706"/>
      <c r="W466" s="706"/>
      <c r="X466" s="706"/>
      <c r="Y466" s="706"/>
      <c r="Z466" s="706"/>
      <c r="AA466" s="706"/>
      <c r="AB466" s="706"/>
      <c r="AC466" s="706"/>
    </row>
    <row r="467" spans="1:29">
      <c r="A467" s="2307">
        <v>31</v>
      </c>
      <c r="B467" s="2317" t="s">
        <v>307</v>
      </c>
      <c r="C467" s="2177"/>
      <c r="D467" s="2303">
        <f t="shared" si="87"/>
        <v>381156</v>
      </c>
      <c r="E467" s="2330"/>
      <c r="F467" s="1033">
        <v>381156</v>
      </c>
      <c r="G467" s="1034">
        <v>0</v>
      </c>
      <c r="H467" s="2359">
        <v>0</v>
      </c>
      <c r="I467" s="2360"/>
      <c r="J467" s="2337">
        <f t="shared" si="93"/>
        <v>0</v>
      </c>
      <c r="K467" s="2304"/>
      <c r="L467" s="2304"/>
      <c r="M467" s="2304"/>
      <c r="N467" s="2324">
        <f t="shared" si="89"/>
        <v>0</v>
      </c>
      <c r="O467" s="704"/>
      <c r="P467" s="705"/>
      <c r="Q467" s="722"/>
      <c r="R467" s="706"/>
      <c r="S467" s="706"/>
      <c r="T467" s="706"/>
      <c r="U467" s="706"/>
      <c r="V467" s="706"/>
      <c r="W467" s="706"/>
      <c r="X467" s="706"/>
      <c r="Y467" s="706"/>
      <c r="Z467" s="706"/>
      <c r="AA467" s="706"/>
      <c r="AB467" s="706"/>
      <c r="AC467" s="706"/>
    </row>
    <row r="468" spans="1:29" ht="13.5" thickBot="1">
      <c r="A468" s="2314">
        <v>32</v>
      </c>
      <c r="B468" s="2317" t="s">
        <v>308</v>
      </c>
      <c r="C468" s="2177"/>
      <c r="D468" s="2303">
        <f t="shared" si="87"/>
        <v>4968314</v>
      </c>
      <c r="E468" s="2330"/>
      <c r="F468" s="1033">
        <v>4968314</v>
      </c>
      <c r="G468" s="1034">
        <v>0</v>
      </c>
      <c r="H468" s="2359">
        <v>0</v>
      </c>
      <c r="I468" s="2360"/>
      <c r="J468" s="2337">
        <f t="shared" si="93"/>
        <v>0</v>
      </c>
      <c r="K468" s="2304"/>
      <c r="L468" s="2304"/>
      <c r="M468" s="2304"/>
      <c r="N468" s="2324">
        <f t="shared" si="89"/>
        <v>0</v>
      </c>
      <c r="O468" s="704"/>
      <c r="P468" s="705"/>
      <c r="Q468" s="722"/>
      <c r="R468" s="706"/>
      <c r="S468" s="706"/>
      <c r="T468" s="706"/>
      <c r="U468" s="706"/>
      <c r="V468" s="706"/>
      <c r="W468" s="706"/>
      <c r="X468" s="706"/>
      <c r="Y468" s="706"/>
      <c r="Z468" s="706"/>
      <c r="AA468" s="706"/>
      <c r="AB468" s="706"/>
      <c r="AC468" s="706"/>
    </row>
    <row r="469" spans="1:29" ht="13.5" thickBot="1">
      <c r="A469" s="1482">
        <v>33</v>
      </c>
      <c r="B469" s="1384" t="s">
        <v>309</v>
      </c>
      <c r="C469" s="1453"/>
      <c r="D469" s="1571">
        <f t="shared" si="87"/>
        <v>7260988</v>
      </c>
      <c r="E469" s="1054">
        <f>SUM(E464:E468)</f>
        <v>0</v>
      </c>
      <c r="F469" s="1054">
        <f>SUM(F464:F468)</f>
        <v>6503055</v>
      </c>
      <c r="G469" s="1054">
        <f>SUM(G464:G468)</f>
        <v>242781</v>
      </c>
      <c r="H469" s="1055">
        <f>SUM(H464:H468)</f>
        <v>57456</v>
      </c>
      <c r="I469" s="1575">
        <f>SUM(I464:I468)</f>
        <v>457696</v>
      </c>
      <c r="J469" s="1578">
        <f t="shared" si="93"/>
        <v>757933</v>
      </c>
      <c r="K469" s="1054">
        <f>SUM(K464:K468)</f>
        <v>0</v>
      </c>
      <c r="L469" s="1054">
        <f>SUM(L464:L468)</f>
        <v>0</v>
      </c>
      <c r="M469" s="1054">
        <f>SUM(M464:M468)</f>
        <v>0</v>
      </c>
      <c r="N469" s="1581">
        <f t="shared" si="89"/>
        <v>0</v>
      </c>
      <c r="O469" s="704"/>
      <c r="P469" s="705"/>
      <c r="Q469" s="722"/>
      <c r="R469" s="706"/>
      <c r="S469" s="706"/>
      <c r="T469" s="706"/>
      <c r="U469" s="706"/>
      <c r="V469" s="706"/>
      <c r="W469" s="706"/>
      <c r="X469" s="706"/>
      <c r="Y469" s="706"/>
      <c r="Z469" s="706"/>
      <c r="AA469" s="706"/>
      <c r="AB469" s="706"/>
      <c r="AC469" s="706"/>
    </row>
    <row r="470" spans="1:29" ht="26.25" thickBot="1">
      <c r="A470" s="1493">
        <v>34</v>
      </c>
      <c r="B470" s="1352" t="s">
        <v>310</v>
      </c>
      <c r="C470" s="1351"/>
      <c r="D470" s="1526">
        <f>+E470+F470+J470+N470</f>
        <v>26042871.118576832</v>
      </c>
      <c r="E470" s="1526">
        <f>E469+E462</f>
        <v>0</v>
      </c>
      <c r="F470" s="1526">
        <f>F469+F462</f>
        <v>7383089</v>
      </c>
      <c r="G470" s="1526">
        <f>G469+G462</f>
        <v>4710581.7248787172</v>
      </c>
      <c r="H470" s="1526">
        <f>H469+H462</f>
        <v>3335957.4937302927</v>
      </c>
      <c r="I470" s="1527">
        <f>I469+I462</f>
        <v>10613242.899967823</v>
      </c>
      <c r="J470" s="1528">
        <f>G470+H470+I470</f>
        <v>18659782.118576832</v>
      </c>
      <c r="K470" s="1526">
        <f>K469+K462</f>
        <v>0</v>
      </c>
      <c r="L470" s="1526">
        <f>L469+L462</f>
        <v>0</v>
      </c>
      <c r="M470" s="1526">
        <f>M469+M462</f>
        <v>0</v>
      </c>
      <c r="N470" s="1529">
        <f t="shared" si="89"/>
        <v>0</v>
      </c>
      <c r="O470" s="704"/>
      <c r="P470" s="705"/>
      <c r="Q470" s="722"/>
      <c r="R470" s="706"/>
      <c r="S470" s="706"/>
      <c r="T470" s="706"/>
      <c r="U470" s="706"/>
      <c r="V470" s="706"/>
      <c r="W470" s="706"/>
      <c r="X470" s="706"/>
      <c r="Y470" s="706"/>
      <c r="Z470" s="706"/>
      <c r="AA470" s="706"/>
      <c r="AB470" s="706"/>
      <c r="AC470" s="706"/>
    </row>
    <row r="472" spans="1:29">
      <c r="B472" s="680"/>
      <c r="D472" s="679"/>
      <c r="E472" s="679"/>
      <c r="F472" s="679"/>
      <c r="G472" s="679"/>
      <c r="H472" s="679"/>
      <c r="I472" s="679"/>
      <c r="J472" s="679"/>
      <c r="K472" s="679"/>
      <c r="L472" s="679"/>
      <c r="M472" s="679"/>
      <c r="N472" s="911">
        <v>38</v>
      </c>
      <c r="O472" s="679"/>
    </row>
    <row r="474" spans="1:29" ht="13.5" thickBot="1"/>
    <row r="475" spans="1:29" ht="15.75" customHeight="1" thickBot="1">
      <c r="A475" s="1368" t="s">
        <v>187</v>
      </c>
      <c r="B475" s="3533" t="s">
        <v>132</v>
      </c>
      <c r="C475" s="3534"/>
      <c r="M475" s="3538" t="s">
        <v>251</v>
      </c>
      <c r="N475" s="3538"/>
      <c r="O475" s="701"/>
    </row>
    <row r="476" spans="1:29" ht="12.75" customHeight="1" thickBot="1">
      <c r="A476" s="3555" t="s">
        <v>252</v>
      </c>
      <c r="B476" s="1467"/>
      <c r="C476" s="3523" t="s">
        <v>254</v>
      </c>
      <c r="D476" s="3562" t="s">
        <v>255</v>
      </c>
      <c r="E476" s="3562" t="s">
        <v>256</v>
      </c>
      <c r="F476" s="3562" t="s">
        <v>257</v>
      </c>
      <c r="G476" s="3565" t="s">
        <v>258</v>
      </c>
      <c r="H476" s="3566"/>
      <c r="I476" s="3566"/>
      <c r="J476" s="3566"/>
      <c r="K476" s="3566"/>
      <c r="L476" s="3566"/>
      <c r="M476" s="3566"/>
      <c r="N476" s="3567"/>
      <c r="O476" s="702"/>
    </row>
    <row r="477" spans="1:29" ht="12.75" customHeight="1" thickBot="1">
      <c r="A477" s="3556"/>
      <c r="B477" s="1468"/>
      <c r="C477" s="3524"/>
      <c r="D477" s="3563"/>
      <c r="E477" s="3563"/>
      <c r="F477" s="3563"/>
      <c r="G477" s="3529" t="s">
        <v>259</v>
      </c>
      <c r="H477" s="3530"/>
      <c r="I477" s="3530"/>
      <c r="J477" s="3531"/>
      <c r="K477" s="3568" t="s">
        <v>260</v>
      </c>
      <c r="L477" s="3569"/>
      <c r="M477" s="3569"/>
      <c r="N477" s="3570"/>
      <c r="O477" s="458"/>
    </row>
    <row r="478" spans="1:29" ht="39" thickBot="1">
      <c r="A478" s="3556"/>
      <c r="B478" s="1469"/>
      <c r="C478" s="3524"/>
      <c r="D478" s="3564"/>
      <c r="E478" s="3564"/>
      <c r="F478" s="3564"/>
      <c r="G478" s="1336" t="s">
        <v>261</v>
      </c>
      <c r="H478" s="1336" t="s">
        <v>262</v>
      </c>
      <c r="I478" s="1336" t="s">
        <v>263</v>
      </c>
      <c r="J478" s="1336" t="s">
        <v>158</v>
      </c>
      <c r="K478" s="1337" t="s">
        <v>264</v>
      </c>
      <c r="L478" s="1337" t="s">
        <v>265</v>
      </c>
      <c r="M478" s="1337" t="s">
        <v>266</v>
      </c>
      <c r="N478" s="1404" t="s">
        <v>158</v>
      </c>
      <c r="O478" s="443"/>
    </row>
    <row r="479" spans="1:29" ht="13.5" thickBot="1">
      <c r="A479" s="3556"/>
      <c r="B479" s="1468"/>
      <c r="C479" s="3524"/>
      <c r="D479" s="1470">
        <v>1</v>
      </c>
      <c r="E479" s="1471">
        <v>2</v>
      </c>
      <c r="F479" s="1471">
        <v>3</v>
      </c>
      <c r="G479" s="1472">
        <v>4</v>
      </c>
      <c r="H479" s="1471">
        <v>5</v>
      </c>
      <c r="I479" s="1473">
        <v>6</v>
      </c>
      <c r="J479" s="1474">
        <v>7</v>
      </c>
      <c r="K479" s="1472">
        <v>8</v>
      </c>
      <c r="L479" s="1471">
        <v>9</v>
      </c>
      <c r="M479" s="1496">
        <v>10</v>
      </c>
      <c r="N479" s="1470">
        <v>11</v>
      </c>
      <c r="O479" s="702"/>
    </row>
    <row r="480" spans="1:29" ht="13.5" thickBot="1">
      <c r="A480" s="3557"/>
      <c r="B480" s="1475"/>
      <c r="C480" s="3525"/>
      <c r="D480" s="1476"/>
      <c r="E480" s="1476"/>
      <c r="F480" s="1476"/>
      <c r="G480" s="1477"/>
      <c r="H480" s="1476"/>
      <c r="I480" s="1552"/>
      <c r="J480" s="1478" t="s">
        <v>267</v>
      </c>
      <c r="K480" s="1477"/>
      <c r="L480" s="1476"/>
      <c r="M480" s="1968"/>
      <c r="N480" s="1553" t="s">
        <v>268</v>
      </c>
      <c r="O480" s="703"/>
      <c r="P480" s="703"/>
      <c r="Q480" s="719"/>
      <c r="R480" s="706"/>
    </row>
    <row r="481" spans="1:42">
      <c r="A481" s="1483"/>
      <c r="B481" s="1481" t="s">
        <v>269</v>
      </c>
      <c r="C481" s="1346"/>
      <c r="D481" s="2152"/>
      <c r="E481" s="687"/>
      <c r="F481" s="687"/>
      <c r="G481" s="688"/>
      <c r="H481" s="689"/>
      <c r="I481" s="690"/>
      <c r="J481" s="1491"/>
      <c r="K481" s="996"/>
      <c r="L481" s="994"/>
      <c r="M481" s="997"/>
      <c r="N481" s="1518"/>
      <c r="Q481" s="719"/>
    </row>
    <row r="482" spans="1:42">
      <c r="A482" s="2301">
        <v>1</v>
      </c>
      <c r="B482" s="2302" t="s">
        <v>270</v>
      </c>
      <c r="C482" s="2155"/>
      <c r="D482" s="2303">
        <f>+E482+F482+J482+N482</f>
        <v>0</v>
      </c>
      <c r="E482" s="2330"/>
      <c r="F482" s="2330">
        <v>0</v>
      </c>
      <c r="G482" s="2327">
        <v>0</v>
      </c>
      <c r="H482" s="2323">
        <v>0</v>
      </c>
      <c r="I482" s="2329"/>
      <c r="J482" s="2305">
        <f>G482+H482+I482</f>
        <v>0</v>
      </c>
      <c r="K482" s="2304"/>
      <c r="L482" s="2304"/>
      <c r="M482" s="2325"/>
      <c r="N482" s="2324">
        <f>K482+L482+M482</f>
        <v>0</v>
      </c>
      <c r="O482" s="704"/>
      <c r="P482" s="705"/>
      <c r="S482" s="706"/>
      <c r="T482" s="706"/>
      <c r="U482" s="706"/>
      <c r="V482" s="706"/>
      <c r="W482" s="706"/>
      <c r="X482" s="706"/>
      <c r="Y482" s="706"/>
      <c r="Z482" s="706"/>
      <c r="AA482" s="706"/>
      <c r="AB482" s="706"/>
      <c r="AC482" s="706"/>
    </row>
    <row r="483" spans="1:42">
      <c r="A483" s="2301">
        <v>2</v>
      </c>
      <c r="B483" s="2302" t="s">
        <v>271</v>
      </c>
      <c r="C483" s="2155"/>
      <c r="D483" s="2303">
        <f t="shared" ref="D483:D521" si="94">+E483+F483+J483+N483</f>
        <v>64073.591650000002</v>
      </c>
      <c r="E483" s="2330"/>
      <c r="F483" s="2330">
        <v>64073.591650000002</v>
      </c>
      <c r="G483" s="2330">
        <v>0</v>
      </c>
      <c r="H483" s="2321">
        <v>0</v>
      </c>
      <c r="I483" s="2329"/>
      <c r="J483" s="2305">
        <f t="shared" ref="J483:J493" si="95">G483+H483+I483</f>
        <v>0</v>
      </c>
      <c r="K483" s="2304"/>
      <c r="L483" s="2304"/>
      <c r="M483" s="2325"/>
      <c r="N483" s="2324">
        <f t="shared" ref="N483:N522" si="96">K483+L483+M483</f>
        <v>0</v>
      </c>
      <c r="O483" s="704"/>
      <c r="P483" s="705"/>
      <c r="Q483" s="719"/>
      <c r="R483" s="706"/>
      <c r="S483" s="706"/>
      <c r="T483" s="706"/>
      <c r="U483" s="706"/>
      <c r="V483" s="706"/>
      <c r="W483" s="706"/>
      <c r="X483" s="706"/>
      <c r="Y483" s="706"/>
      <c r="Z483" s="706"/>
      <c r="AA483" s="706"/>
      <c r="AB483" s="706"/>
      <c r="AC483" s="706"/>
    </row>
    <row r="484" spans="1:42">
      <c r="A484" s="2301">
        <v>3</v>
      </c>
      <c r="B484" s="2302" t="s">
        <v>272</v>
      </c>
      <c r="C484" s="2155"/>
      <c r="D484" s="2303">
        <f t="shared" si="94"/>
        <v>0</v>
      </c>
      <c r="E484" s="2330"/>
      <c r="F484" s="2330">
        <v>0</v>
      </c>
      <c r="G484" s="2327">
        <v>0</v>
      </c>
      <c r="H484" s="2323">
        <v>0</v>
      </c>
      <c r="I484" s="2329"/>
      <c r="J484" s="2371">
        <f t="shared" si="95"/>
        <v>0</v>
      </c>
      <c r="K484" s="2304"/>
      <c r="L484" s="2304"/>
      <c r="M484" s="2325"/>
      <c r="N484" s="2324">
        <f t="shared" si="96"/>
        <v>0</v>
      </c>
      <c r="O484" s="704"/>
      <c r="P484" s="705"/>
      <c r="Q484" s="719"/>
      <c r="R484" s="706"/>
      <c r="S484" s="706"/>
      <c r="T484" s="706"/>
      <c r="U484" s="706"/>
      <c r="V484" s="706"/>
      <c r="W484" s="706"/>
      <c r="X484" s="706"/>
      <c r="Y484" s="706"/>
      <c r="Z484" s="706"/>
      <c r="AA484" s="706"/>
      <c r="AB484" s="706"/>
      <c r="AC484" s="706"/>
    </row>
    <row r="485" spans="1:42">
      <c r="A485" s="2301">
        <v>4</v>
      </c>
      <c r="B485" s="2302" t="s">
        <v>315</v>
      </c>
      <c r="C485" s="2155"/>
      <c r="D485" s="2303">
        <f t="shared" si="94"/>
        <v>224524.30924999999</v>
      </c>
      <c r="E485" s="2330"/>
      <c r="F485" s="2330">
        <v>0</v>
      </c>
      <c r="G485" s="2330">
        <v>0</v>
      </c>
      <c r="H485" s="2321">
        <v>107771.66843999999</v>
      </c>
      <c r="I485" s="2329">
        <v>116752.64081</v>
      </c>
      <c r="J485" s="2371">
        <f t="shared" si="95"/>
        <v>224524.30924999999</v>
      </c>
      <c r="K485" s="2304"/>
      <c r="L485" s="2304"/>
      <c r="M485" s="2325"/>
      <c r="N485" s="2324">
        <f t="shared" si="96"/>
        <v>0</v>
      </c>
      <c r="O485" s="704"/>
      <c r="P485" s="705"/>
      <c r="Q485" s="719"/>
      <c r="R485" s="706"/>
      <c r="S485" s="706"/>
      <c r="T485" s="706"/>
      <c r="U485" s="706"/>
      <c r="V485" s="706"/>
      <c r="W485" s="706"/>
      <c r="X485" s="706"/>
      <c r="Y485" s="706"/>
      <c r="Z485" s="706"/>
      <c r="AA485" s="706"/>
      <c r="AB485" s="706"/>
      <c r="AC485" s="706"/>
    </row>
    <row r="486" spans="1:42">
      <c r="A486" s="2301">
        <v>5</v>
      </c>
      <c r="B486" s="2302" t="s">
        <v>274</v>
      </c>
      <c r="C486" s="2161">
        <v>5</v>
      </c>
      <c r="D486" s="2303">
        <f t="shared" si="94"/>
        <v>354971.836096816</v>
      </c>
      <c r="E486" s="2330"/>
      <c r="F486" s="2330">
        <v>338310.744716816</v>
      </c>
      <c r="G486" s="2330">
        <v>0</v>
      </c>
      <c r="H486" s="2321">
        <v>7997.3238623999969</v>
      </c>
      <c r="I486" s="2329">
        <v>8663.7675175999975</v>
      </c>
      <c r="J486" s="2371">
        <f t="shared" si="95"/>
        <v>16661.091379999994</v>
      </c>
      <c r="K486" s="2304"/>
      <c r="L486" s="2304"/>
      <c r="M486" s="2325"/>
      <c r="N486" s="2324">
        <f t="shared" si="96"/>
        <v>0</v>
      </c>
      <c r="O486" s="704"/>
      <c r="P486" s="705"/>
      <c r="Q486" s="722"/>
      <c r="R486" s="706"/>
      <c r="S486" s="706"/>
      <c r="T486" s="706"/>
      <c r="U486" s="706"/>
      <c r="V486" s="706"/>
      <c r="W486" s="706"/>
      <c r="X486" s="706"/>
      <c r="Y486" s="706"/>
      <c r="Z486" s="706"/>
      <c r="AA486" s="706"/>
      <c r="AB486" s="706"/>
      <c r="AC486" s="706"/>
    </row>
    <row r="487" spans="1:42">
      <c r="A487" s="2301">
        <v>6</v>
      </c>
      <c r="B487" s="2302" t="s">
        <v>275</v>
      </c>
      <c r="C487" s="2155">
        <v>6</v>
      </c>
      <c r="D487" s="2303">
        <f t="shared" si="94"/>
        <v>1984574.5314465002</v>
      </c>
      <c r="E487" s="2330"/>
      <c r="F487" s="2330">
        <v>1984574.5314465002</v>
      </c>
      <c r="G487" s="2330">
        <v>0</v>
      </c>
      <c r="H487" s="2321">
        <v>0</v>
      </c>
      <c r="I487" s="2329"/>
      <c r="J487" s="2371">
        <f t="shared" si="95"/>
        <v>0</v>
      </c>
      <c r="K487" s="2304"/>
      <c r="L487" s="2304"/>
      <c r="M487" s="2325"/>
      <c r="N487" s="2324">
        <f t="shared" si="96"/>
        <v>0</v>
      </c>
      <c r="O487" s="704"/>
      <c r="P487" s="705"/>
      <c r="Q487" s="719"/>
      <c r="R487" s="706"/>
      <c r="S487" s="706"/>
      <c r="T487" s="706"/>
      <c r="U487" s="706"/>
      <c r="V487" s="706"/>
      <c r="W487" s="706"/>
      <c r="X487" s="706"/>
      <c r="Y487" s="706"/>
      <c r="Z487" s="706"/>
      <c r="AA487" s="706"/>
      <c r="AB487" s="706"/>
      <c r="AC487" s="706"/>
    </row>
    <row r="488" spans="1:42">
      <c r="A488" s="2301">
        <v>7</v>
      </c>
      <c r="B488" s="2302" t="s">
        <v>276</v>
      </c>
      <c r="C488" s="2161">
        <v>7</v>
      </c>
      <c r="D488" s="2303">
        <f t="shared" si="94"/>
        <v>0</v>
      </c>
      <c r="E488" s="2330">
        <f>SUM(E489:E490)</f>
        <v>0</v>
      </c>
      <c r="F488" s="2330">
        <f>F489+F490</f>
        <v>0</v>
      </c>
      <c r="G488" s="2330">
        <f>G489+G490</f>
        <v>0</v>
      </c>
      <c r="H488" s="2321">
        <f>H489+H490</f>
        <v>0</v>
      </c>
      <c r="I488" s="2329">
        <f>I489+I490</f>
        <v>0</v>
      </c>
      <c r="J488" s="2371">
        <f t="shared" si="95"/>
        <v>0</v>
      </c>
      <c r="K488" s="2330">
        <f>K489+K490</f>
        <v>0</v>
      </c>
      <c r="L488" s="2330">
        <f>L489+L490</f>
        <v>0</v>
      </c>
      <c r="M488" s="2321">
        <f>M489+M490</f>
        <v>0</v>
      </c>
      <c r="N488" s="2324">
        <f t="shared" si="96"/>
        <v>0</v>
      </c>
      <c r="O488" s="704"/>
      <c r="P488" s="705"/>
      <c r="Q488" s="722"/>
      <c r="R488" s="706"/>
      <c r="S488" s="706"/>
      <c r="T488" s="706"/>
      <c r="U488" s="706"/>
      <c r="V488" s="706"/>
      <c r="W488" s="706"/>
      <c r="X488" s="706"/>
      <c r="Y488" s="706"/>
      <c r="Z488" s="706"/>
      <c r="AA488" s="706"/>
      <c r="AB488" s="706"/>
      <c r="AC488" s="706"/>
    </row>
    <row r="489" spans="1:42">
      <c r="A489" s="2307"/>
      <c r="B489" s="2162" t="s">
        <v>277</v>
      </c>
      <c r="C489" s="2161"/>
      <c r="D489" s="2303">
        <f t="shared" si="94"/>
        <v>0</v>
      </c>
      <c r="E489" s="2330"/>
      <c r="F489" s="2330"/>
      <c r="G489" s="2330"/>
      <c r="H489" s="2321"/>
      <c r="I489" s="2329"/>
      <c r="J489" s="2371">
        <f t="shared" si="95"/>
        <v>0</v>
      </c>
      <c r="K489" s="2304"/>
      <c r="L489" s="2304"/>
      <c r="M489" s="2325"/>
      <c r="N489" s="2324">
        <f t="shared" si="96"/>
        <v>0</v>
      </c>
      <c r="O489" s="704"/>
      <c r="P489" s="705"/>
      <c r="Q489" s="722"/>
      <c r="R489" s="706"/>
      <c r="S489" s="706"/>
      <c r="T489" s="706"/>
      <c r="U489" s="706"/>
      <c r="V489" s="706"/>
      <c r="W489" s="706"/>
      <c r="X489" s="706"/>
      <c r="Y489" s="706"/>
      <c r="Z489" s="706"/>
      <c r="AA489" s="706"/>
      <c r="AB489" s="706"/>
      <c r="AC489" s="706"/>
    </row>
    <row r="490" spans="1:42">
      <c r="A490" s="2307"/>
      <c r="B490" s="2162" t="s">
        <v>278</v>
      </c>
      <c r="C490" s="2161"/>
      <c r="D490" s="2303">
        <f t="shared" si="94"/>
        <v>0</v>
      </c>
      <c r="E490" s="2330"/>
      <c r="F490" s="2330"/>
      <c r="G490" s="2330"/>
      <c r="H490" s="2321"/>
      <c r="I490" s="2329"/>
      <c r="J490" s="2371">
        <f t="shared" si="95"/>
        <v>0</v>
      </c>
      <c r="K490" s="2304"/>
      <c r="L490" s="2304"/>
      <c r="M490" s="2325"/>
      <c r="N490" s="2324">
        <f t="shared" si="96"/>
        <v>0</v>
      </c>
      <c r="O490" s="704"/>
      <c r="P490" s="705"/>
      <c r="Q490" s="722"/>
      <c r="R490" s="706"/>
      <c r="S490" s="706"/>
      <c r="T490" s="706"/>
      <c r="U490" s="706"/>
      <c r="V490" s="706"/>
      <c r="W490" s="706"/>
      <c r="X490" s="706"/>
      <c r="Y490" s="706"/>
      <c r="Z490" s="706"/>
      <c r="AA490" s="706"/>
      <c r="AB490" s="706"/>
      <c r="AC490" s="706"/>
    </row>
    <row r="491" spans="1:42">
      <c r="A491" s="2301">
        <v>8</v>
      </c>
      <c r="B491" s="2302" t="s">
        <v>279</v>
      </c>
      <c r="C491" s="2155">
        <v>8</v>
      </c>
      <c r="D491" s="2303">
        <f t="shared" si="94"/>
        <v>0</v>
      </c>
      <c r="E491" s="2330">
        <f>SUM(E492:E493)</f>
        <v>0</v>
      </c>
      <c r="F491" s="2330">
        <f>+F492+F493</f>
        <v>0</v>
      </c>
      <c r="G491" s="2330">
        <f>+G492+G493</f>
        <v>0</v>
      </c>
      <c r="H491" s="2321">
        <f>+H492+H493</f>
        <v>0</v>
      </c>
      <c r="I491" s="2329">
        <f>+I492+I493</f>
        <v>0</v>
      </c>
      <c r="J491" s="2371">
        <f t="shared" si="95"/>
        <v>0</v>
      </c>
      <c r="K491" s="2330">
        <f>+K492+K493</f>
        <v>0</v>
      </c>
      <c r="L491" s="2330">
        <f>+L492+L493</f>
        <v>0</v>
      </c>
      <c r="M491" s="2321">
        <f>+M492+M493</f>
        <v>0</v>
      </c>
      <c r="N491" s="2324">
        <f t="shared" si="96"/>
        <v>0</v>
      </c>
      <c r="O491" s="704"/>
      <c r="P491" s="705"/>
      <c r="Q491" s="719"/>
      <c r="R491" s="706"/>
      <c r="S491" s="706"/>
      <c r="T491" s="706"/>
      <c r="U491" s="706"/>
      <c r="V491" s="706"/>
      <c r="W491" s="706"/>
      <c r="X491" s="706"/>
      <c r="Y491" s="706"/>
      <c r="Z491" s="706"/>
      <c r="AA491" s="706"/>
      <c r="AB491" s="706"/>
      <c r="AC491" s="706"/>
    </row>
    <row r="492" spans="1:42">
      <c r="A492" s="2301"/>
      <c r="B492" s="2162" t="s">
        <v>280</v>
      </c>
      <c r="C492" s="2155"/>
      <c r="D492" s="2303">
        <f t="shared" si="94"/>
        <v>0</v>
      </c>
      <c r="E492" s="2330"/>
      <c r="F492" s="2330">
        <v>0</v>
      </c>
      <c r="G492" s="2330">
        <v>0</v>
      </c>
      <c r="H492" s="2321">
        <v>0</v>
      </c>
      <c r="I492" s="2329">
        <v>0</v>
      </c>
      <c r="J492" s="2371">
        <f t="shared" si="95"/>
        <v>0</v>
      </c>
      <c r="K492" s="2304"/>
      <c r="L492" s="2304"/>
      <c r="M492" s="2325"/>
      <c r="N492" s="2324">
        <f t="shared" si="96"/>
        <v>0</v>
      </c>
      <c r="O492" s="704"/>
      <c r="P492" s="705"/>
      <c r="Q492" s="719"/>
      <c r="R492" s="706"/>
      <c r="S492" s="706"/>
      <c r="T492" s="706"/>
      <c r="U492" s="706"/>
      <c r="V492" s="706"/>
      <c r="W492" s="706"/>
      <c r="X492" s="706"/>
      <c r="Y492" s="706"/>
      <c r="Z492" s="706"/>
      <c r="AA492" s="706"/>
      <c r="AB492" s="706"/>
      <c r="AC492" s="706"/>
    </row>
    <row r="493" spans="1:42">
      <c r="A493" s="2301"/>
      <c r="B493" s="2162" t="s">
        <v>281</v>
      </c>
      <c r="C493" s="2155"/>
      <c r="D493" s="2303">
        <f t="shared" si="94"/>
        <v>0</v>
      </c>
      <c r="E493" s="2330"/>
      <c r="F493" s="2330">
        <v>0</v>
      </c>
      <c r="G493" s="2330">
        <v>0</v>
      </c>
      <c r="H493" s="2321">
        <v>0</v>
      </c>
      <c r="I493" s="2329">
        <v>0</v>
      </c>
      <c r="J493" s="2371">
        <f t="shared" si="95"/>
        <v>0</v>
      </c>
      <c r="K493" s="2304"/>
      <c r="L493" s="2304"/>
      <c r="M493" s="2325"/>
      <c r="N493" s="2324">
        <f t="shared" si="96"/>
        <v>0</v>
      </c>
      <c r="O493" s="704"/>
      <c r="P493" s="705"/>
      <c r="Q493" s="719"/>
      <c r="R493" s="706"/>
      <c r="S493" s="706"/>
      <c r="T493" s="706"/>
      <c r="U493" s="706"/>
      <c r="V493" s="706"/>
      <c r="W493" s="706"/>
      <c r="X493" s="706"/>
      <c r="Y493" s="706"/>
      <c r="Z493" s="706"/>
      <c r="AA493" s="706"/>
      <c r="AB493" s="706"/>
      <c r="AC493" s="706"/>
    </row>
    <row r="494" spans="1:42" s="913" customFormat="1" ht="25.5">
      <c r="A494" s="2308">
        <v>9</v>
      </c>
      <c r="B494" s="2309" t="s">
        <v>282</v>
      </c>
      <c r="C494" s="2165"/>
      <c r="D494" s="2310">
        <f t="shared" si="94"/>
        <v>19119138.93483657</v>
      </c>
      <c r="E494" s="2311">
        <f>SUM(E495:E498)</f>
        <v>0</v>
      </c>
      <c r="F494" s="2311">
        <f>SUM(F495:F498)</f>
        <v>6299163.3972454304</v>
      </c>
      <c r="G494" s="2311">
        <f>SUM(G495:G498)</f>
        <v>2161987.3407690409</v>
      </c>
      <c r="H494" s="2333">
        <f>SUM(H495:H498)</f>
        <v>5402139.5441166013</v>
      </c>
      <c r="I494" s="2334">
        <f>SUM(I495:I498)</f>
        <v>5255848.652705498</v>
      </c>
      <c r="J494" s="2367">
        <f>G494+H494+I494</f>
        <v>12819975.537591141</v>
      </c>
      <c r="K494" s="2311">
        <f>SUM(K495:K498)</f>
        <v>0</v>
      </c>
      <c r="L494" s="2311">
        <f>SUM(L495:L498)</f>
        <v>0</v>
      </c>
      <c r="M494" s="2333">
        <f>SUM(M495:M498)</f>
        <v>0</v>
      </c>
      <c r="N494" s="2336">
        <f t="shared" si="96"/>
        <v>0</v>
      </c>
      <c r="O494" s="1024"/>
      <c r="P494" s="1025"/>
      <c r="Q494" s="729"/>
      <c r="R494" s="1027"/>
      <c r="S494" s="1027"/>
      <c r="T494" s="1027"/>
      <c r="U494" s="1027"/>
      <c r="V494" s="1027"/>
      <c r="W494" s="1027"/>
      <c r="X494" s="1027"/>
      <c r="Y494" s="1027"/>
      <c r="Z494" s="1027"/>
      <c r="AA494" s="1027"/>
      <c r="AB494" s="1027"/>
      <c r="AC494" s="1027"/>
      <c r="AE494" s="1028"/>
      <c r="AF494" s="1028"/>
      <c r="AG494" s="1028"/>
      <c r="AH494" s="1028"/>
      <c r="AI494" s="1028"/>
      <c r="AJ494" s="1028"/>
      <c r="AK494" s="1028"/>
      <c r="AL494" s="1028"/>
      <c r="AM494" s="1028"/>
      <c r="AN494" s="1028"/>
      <c r="AO494" s="1028"/>
      <c r="AP494" s="1028"/>
    </row>
    <row r="495" spans="1:42">
      <c r="A495" s="2307">
        <v>10</v>
      </c>
      <c r="B495" s="2171" t="s">
        <v>283</v>
      </c>
      <c r="C495" s="2155">
        <v>9</v>
      </c>
      <c r="D495" s="2303">
        <f t="shared" si="94"/>
        <v>0</v>
      </c>
      <c r="E495" s="2330"/>
      <c r="F495" s="2330">
        <v>0</v>
      </c>
      <c r="G495" s="2330">
        <v>0</v>
      </c>
      <c r="H495" s="2321">
        <v>0</v>
      </c>
      <c r="I495" s="2329"/>
      <c r="J495" s="2371">
        <f t="shared" ref="J495:J505" si="97">G495+H495+I495</f>
        <v>0</v>
      </c>
      <c r="K495" s="2304"/>
      <c r="L495" s="2304"/>
      <c r="M495" s="2325"/>
      <c r="N495" s="2324">
        <f t="shared" si="96"/>
        <v>0</v>
      </c>
      <c r="O495" s="704"/>
      <c r="P495" s="705"/>
      <c r="Q495" s="719"/>
      <c r="R495" s="706"/>
      <c r="S495" s="706"/>
      <c r="T495" s="706"/>
      <c r="U495" s="706"/>
      <c r="V495" s="706"/>
      <c r="W495" s="706"/>
      <c r="X495" s="706"/>
      <c r="Y495" s="706"/>
      <c r="Z495" s="706"/>
      <c r="AA495" s="706"/>
      <c r="AB495" s="706"/>
      <c r="AC495" s="706"/>
    </row>
    <row r="496" spans="1:42">
      <c r="A496" s="2307">
        <v>11</v>
      </c>
      <c r="B496" s="2171" t="s">
        <v>284</v>
      </c>
      <c r="C496" s="2155">
        <v>10</v>
      </c>
      <c r="D496" s="2303">
        <f t="shared" si="94"/>
        <v>8380518.9959233161</v>
      </c>
      <c r="E496" s="2330"/>
      <c r="F496" s="2330">
        <v>2602409.2717597969</v>
      </c>
      <c r="G496" s="2330">
        <v>84517.801839040883</v>
      </c>
      <c r="H496" s="2321">
        <v>2583226.4943181216</v>
      </c>
      <c r="I496" s="2329">
        <v>3110365.4280063561</v>
      </c>
      <c r="J496" s="2371">
        <f t="shared" si="97"/>
        <v>5778109.7241635192</v>
      </c>
      <c r="K496" s="2304"/>
      <c r="L496" s="2304"/>
      <c r="M496" s="2325"/>
      <c r="N496" s="2324">
        <f t="shared" si="96"/>
        <v>0</v>
      </c>
      <c r="O496" s="704"/>
      <c r="P496" s="705"/>
      <c r="Q496" s="719"/>
      <c r="R496" s="706"/>
      <c r="S496" s="706"/>
      <c r="T496" s="706"/>
      <c r="U496" s="706"/>
      <c r="V496" s="706"/>
      <c r="W496" s="706"/>
      <c r="X496" s="706"/>
      <c r="Y496" s="706"/>
      <c r="Z496" s="706"/>
      <c r="AA496" s="706"/>
      <c r="AB496" s="706"/>
      <c r="AC496" s="706"/>
    </row>
    <row r="497" spans="1:29">
      <c r="A497" s="2307">
        <v>12</v>
      </c>
      <c r="B497" s="2171" t="s">
        <v>285</v>
      </c>
      <c r="C497" s="2155">
        <v>11</v>
      </c>
      <c r="D497" s="2303">
        <f t="shared" si="94"/>
        <v>3553209.8781766547</v>
      </c>
      <c r="E497" s="2330"/>
      <c r="F497" s="2330">
        <v>2555012.6797116334</v>
      </c>
      <c r="G497" s="2330">
        <v>0</v>
      </c>
      <c r="H497" s="2321">
        <v>693457.26107032783</v>
      </c>
      <c r="I497" s="2329">
        <v>304739.93739469361</v>
      </c>
      <c r="J497" s="2371">
        <f t="shared" si="97"/>
        <v>998197.19846502144</v>
      </c>
      <c r="K497" s="2304"/>
      <c r="L497" s="2304"/>
      <c r="M497" s="2325"/>
      <c r="N497" s="2324">
        <f t="shared" si="96"/>
        <v>0</v>
      </c>
      <c r="O497" s="704"/>
      <c r="P497" s="705"/>
      <c r="Q497" s="719"/>
      <c r="R497" s="706"/>
      <c r="S497" s="706"/>
      <c r="T497" s="706"/>
      <c r="U497" s="706"/>
      <c r="V497" s="706"/>
      <c r="W497" s="706"/>
      <c r="X497" s="706"/>
      <c r="Y497" s="706"/>
      <c r="Z497" s="706"/>
      <c r="AA497" s="706"/>
      <c r="AB497" s="706"/>
      <c r="AC497" s="706"/>
    </row>
    <row r="498" spans="1:29" ht="25.5">
      <c r="A498" s="2307">
        <v>13</v>
      </c>
      <c r="B498" s="2171" t="s">
        <v>286</v>
      </c>
      <c r="C498" s="2155">
        <v>12</v>
      </c>
      <c r="D498" s="2303">
        <f t="shared" si="94"/>
        <v>7185410.0607366003</v>
      </c>
      <c r="E498" s="2330"/>
      <c r="F498" s="2330">
        <v>1141741.4457740001</v>
      </c>
      <c r="G498" s="2330">
        <v>2077469.53893</v>
      </c>
      <c r="H498" s="2321">
        <v>2125455.7887281524</v>
      </c>
      <c r="I498" s="2329">
        <v>1840743.287304448</v>
      </c>
      <c r="J498" s="2371">
        <f t="shared" si="97"/>
        <v>6043668.6149626002</v>
      </c>
      <c r="K498" s="2304"/>
      <c r="L498" s="2304"/>
      <c r="M498" s="2325"/>
      <c r="N498" s="2324">
        <f t="shared" si="96"/>
        <v>0</v>
      </c>
      <c r="O498" s="704"/>
      <c r="P498" s="705"/>
      <c r="Q498" s="719"/>
      <c r="R498" s="706"/>
      <c r="S498" s="706"/>
      <c r="T498" s="706"/>
      <c r="U498" s="706"/>
      <c r="V498" s="706"/>
      <c r="W498" s="706"/>
      <c r="X498" s="706"/>
      <c r="Y498" s="706"/>
      <c r="Z498" s="706"/>
      <c r="AA498" s="706"/>
      <c r="AB498" s="706"/>
      <c r="AC498" s="706"/>
    </row>
    <row r="499" spans="1:29">
      <c r="A499" s="2307">
        <v>14</v>
      </c>
      <c r="B499" s="2154" t="s">
        <v>287</v>
      </c>
      <c r="C499" s="2155">
        <v>13</v>
      </c>
      <c r="D499" s="2303">
        <f t="shared" si="94"/>
        <v>220863.86616000003</v>
      </c>
      <c r="E499" s="2330"/>
      <c r="F499" s="2330">
        <v>0</v>
      </c>
      <c r="G499" s="2330">
        <v>1349.7867699999999</v>
      </c>
      <c r="H499" s="2321">
        <v>111259.39949400001</v>
      </c>
      <c r="I499" s="2329">
        <v>108254.67989600002</v>
      </c>
      <c r="J499" s="2371">
        <f t="shared" si="97"/>
        <v>220863.86616000003</v>
      </c>
      <c r="K499" s="2304"/>
      <c r="L499" s="2304"/>
      <c r="M499" s="2325"/>
      <c r="N499" s="2324">
        <f t="shared" si="96"/>
        <v>0</v>
      </c>
      <c r="O499" s="704"/>
      <c r="P499" s="705"/>
      <c r="Q499" s="719"/>
      <c r="R499" s="706"/>
      <c r="S499" s="706"/>
      <c r="T499" s="706"/>
      <c r="U499" s="706"/>
      <c r="V499" s="706"/>
      <c r="W499" s="706"/>
      <c r="X499" s="706"/>
      <c r="Y499" s="706"/>
      <c r="Z499" s="706"/>
      <c r="AA499" s="706"/>
      <c r="AB499" s="706"/>
      <c r="AC499" s="706"/>
    </row>
    <row r="500" spans="1:29">
      <c r="A500" s="2307">
        <v>15</v>
      </c>
      <c r="B500" s="2154" t="s">
        <v>288</v>
      </c>
      <c r="C500" s="2161">
        <v>14</v>
      </c>
      <c r="D500" s="2303">
        <f t="shared" si="94"/>
        <v>48927.686540378862</v>
      </c>
      <c r="E500" s="2330"/>
      <c r="F500" s="2330">
        <v>0</v>
      </c>
      <c r="G500" s="2330">
        <v>0</v>
      </c>
      <c r="H500" s="2321">
        <v>48927.686540378862</v>
      </c>
      <c r="I500" s="2329"/>
      <c r="J500" s="2371">
        <f t="shared" si="97"/>
        <v>48927.686540378862</v>
      </c>
      <c r="K500" s="2304"/>
      <c r="L500" s="2304"/>
      <c r="M500" s="2325"/>
      <c r="N500" s="2324">
        <f t="shared" si="96"/>
        <v>0</v>
      </c>
      <c r="O500" s="704"/>
      <c r="P500" s="705"/>
      <c r="Q500" s="722"/>
      <c r="R500" s="706"/>
      <c r="S500" s="706"/>
      <c r="T500" s="706"/>
      <c r="U500" s="706"/>
      <c r="V500" s="706"/>
      <c r="W500" s="706"/>
      <c r="X500" s="706"/>
      <c r="Y500" s="706"/>
      <c r="Z500" s="706"/>
      <c r="AA500" s="706"/>
      <c r="AB500" s="706"/>
      <c r="AC500" s="706"/>
    </row>
    <row r="501" spans="1:29">
      <c r="A501" s="2307">
        <v>16</v>
      </c>
      <c r="B501" s="2154" t="s">
        <v>289</v>
      </c>
      <c r="C501" s="2155">
        <v>15</v>
      </c>
      <c r="D501" s="2303">
        <f t="shared" si="94"/>
        <v>102151.8797</v>
      </c>
      <c r="E501" s="2330"/>
      <c r="F501" s="2330">
        <v>0</v>
      </c>
      <c r="G501" s="2330">
        <v>918.62800000000004</v>
      </c>
      <c r="H501" s="2321">
        <v>60199.417166809195</v>
      </c>
      <c r="I501" s="2329">
        <v>41033.834533190813</v>
      </c>
      <c r="J501" s="2371">
        <f t="shared" si="97"/>
        <v>102151.8797</v>
      </c>
      <c r="K501" s="2304"/>
      <c r="L501" s="2304"/>
      <c r="M501" s="2325"/>
      <c r="N501" s="2324">
        <f t="shared" si="96"/>
        <v>0</v>
      </c>
      <c r="O501" s="704"/>
      <c r="P501" s="705"/>
      <c r="Q501" s="719"/>
      <c r="R501" s="706"/>
      <c r="S501" s="706"/>
      <c r="T501" s="706"/>
      <c r="U501" s="706"/>
      <c r="V501" s="706"/>
      <c r="W501" s="706"/>
      <c r="X501" s="706"/>
      <c r="Y501" s="706"/>
      <c r="Z501" s="706"/>
      <c r="AA501" s="706"/>
      <c r="AB501" s="706"/>
      <c r="AC501" s="706"/>
    </row>
    <row r="502" spans="1:29">
      <c r="A502" s="2307">
        <v>17</v>
      </c>
      <c r="B502" s="2154" t="s">
        <v>290</v>
      </c>
      <c r="C502" s="2161">
        <v>16</v>
      </c>
      <c r="D502" s="2303">
        <f t="shared" si="94"/>
        <v>1732089.0600399994</v>
      </c>
      <c r="E502" s="2330"/>
      <c r="F502" s="2330">
        <v>1464174.3483399998</v>
      </c>
      <c r="G502" s="2330">
        <v>-82.981999999999999</v>
      </c>
      <c r="H502" s="2321">
        <v>241270.86609839954</v>
      </c>
      <c r="I502" s="2329">
        <v>26726.827601599995</v>
      </c>
      <c r="J502" s="2371">
        <f t="shared" si="97"/>
        <v>267914.71169999952</v>
      </c>
      <c r="K502" s="2304"/>
      <c r="L502" s="2304"/>
      <c r="M502" s="2325"/>
      <c r="N502" s="2324">
        <f t="shared" si="96"/>
        <v>0</v>
      </c>
      <c r="O502" s="704"/>
      <c r="P502" s="705"/>
      <c r="Q502" s="722"/>
      <c r="R502" s="706"/>
      <c r="S502" s="706"/>
      <c r="T502" s="706"/>
      <c r="U502" s="706"/>
      <c r="V502" s="706"/>
      <c r="W502" s="706"/>
      <c r="X502" s="706"/>
      <c r="Y502" s="706"/>
      <c r="Z502" s="706"/>
      <c r="AA502" s="706"/>
      <c r="AB502" s="706"/>
      <c r="AC502" s="706"/>
    </row>
    <row r="503" spans="1:29">
      <c r="A503" s="2307">
        <v>18</v>
      </c>
      <c r="B503" s="2154" t="s">
        <v>291</v>
      </c>
      <c r="C503" s="2155"/>
      <c r="D503" s="2303">
        <f t="shared" si="94"/>
        <v>0</v>
      </c>
      <c r="E503" s="2330"/>
      <c r="F503" s="2330">
        <v>0</v>
      </c>
      <c r="G503" s="2330">
        <v>0</v>
      </c>
      <c r="H503" s="2321">
        <v>0</v>
      </c>
      <c r="I503" s="2329"/>
      <c r="J503" s="2371">
        <f t="shared" si="97"/>
        <v>0</v>
      </c>
      <c r="K503" s="2304"/>
      <c r="L503" s="2304"/>
      <c r="M503" s="2325"/>
      <c r="N503" s="2324">
        <f t="shared" si="96"/>
        <v>0</v>
      </c>
      <c r="O503" s="704"/>
      <c r="P503" s="705"/>
      <c r="Q503" s="719"/>
      <c r="R503" s="706"/>
      <c r="S503" s="706"/>
      <c r="T503" s="706"/>
      <c r="U503" s="706"/>
      <c r="V503" s="706"/>
      <c r="W503" s="706"/>
      <c r="X503" s="706"/>
      <c r="Y503" s="706"/>
      <c r="Z503" s="706"/>
      <c r="AA503" s="706"/>
      <c r="AB503" s="706"/>
      <c r="AC503" s="706"/>
    </row>
    <row r="504" spans="1:29" ht="13.5" thickBot="1">
      <c r="A504" s="2314">
        <v>19</v>
      </c>
      <c r="B504" s="2173" t="s">
        <v>292</v>
      </c>
      <c r="C504" s="2172"/>
      <c r="D504" s="1485">
        <f t="shared" si="94"/>
        <v>226907.66986999984</v>
      </c>
      <c r="E504" s="1033"/>
      <c r="F504" s="1033">
        <v>1009.8097700000001</v>
      </c>
      <c r="G504" s="1033">
        <v>65757.629780000003</v>
      </c>
      <c r="H504" s="1069">
        <v>76867.310553599935</v>
      </c>
      <c r="I504" s="2364">
        <v>83272.919766399922</v>
      </c>
      <c r="J504" s="1538">
        <f t="shared" si="97"/>
        <v>225897.86009999985</v>
      </c>
      <c r="K504" s="998"/>
      <c r="L504" s="998"/>
      <c r="M504" s="1070"/>
      <c r="N504" s="2376">
        <f t="shared" si="96"/>
        <v>0</v>
      </c>
      <c r="O504" s="704"/>
      <c r="P504" s="705"/>
      <c r="Q504" s="719"/>
      <c r="R504" s="706"/>
      <c r="S504" s="706"/>
      <c r="T504" s="706"/>
      <c r="U504" s="706"/>
      <c r="V504" s="706"/>
      <c r="W504" s="706"/>
      <c r="X504" s="706"/>
      <c r="Y504" s="706"/>
      <c r="Z504" s="706"/>
      <c r="AA504" s="706"/>
      <c r="AB504" s="706"/>
      <c r="AC504" s="706"/>
    </row>
    <row r="505" spans="1:29" ht="26.25" thickBot="1">
      <c r="A505" s="1493">
        <v>20</v>
      </c>
      <c r="B505" s="1352" t="s">
        <v>293</v>
      </c>
      <c r="C505" s="1351"/>
      <c r="D505" s="1494">
        <f t="shared" si="94"/>
        <v>24078223.365590267</v>
      </c>
      <c r="E505" s="1494">
        <f>SUM(E482:E488)+E491+E494+SUM(E499:E504)</f>
        <v>0</v>
      </c>
      <c r="F505" s="1494">
        <f>SUM(F482:F488)+F491+F494+SUM(F499:F504)</f>
        <v>10151306.423168747</v>
      </c>
      <c r="G505" s="1494">
        <f>SUM(G482:G488)+G491+G494+SUM(G499:G504)</f>
        <v>2229930.4033190408</v>
      </c>
      <c r="H505" s="1522">
        <f>SUM(H482:H488)+H491+H494+SUM(H499:H504)</f>
        <v>6056433.2162721893</v>
      </c>
      <c r="I505" s="1523">
        <f>SUM(I482:I488)+I491+I494+SUM(I499:I504)</f>
        <v>5640553.3228302887</v>
      </c>
      <c r="J505" s="1541">
        <f t="shared" si="97"/>
        <v>13926916.942421518</v>
      </c>
      <c r="K505" s="1494">
        <f>SUM(K482:K488)+K491+K494+SUM(K499:K504)</f>
        <v>0</v>
      </c>
      <c r="L505" s="1494">
        <f>SUM(L482:L488)+L491+L494+SUM(L499:L504)</f>
        <v>0</v>
      </c>
      <c r="M505" s="1522">
        <f>SUM(M482:M488)+M491+M494+SUM(M499:M504)</f>
        <v>0</v>
      </c>
      <c r="N505" s="1495">
        <f t="shared" si="96"/>
        <v>0</v>
      </c>
      <c r="O505" s="704"/>
      <c r="P505" s="705"/>
      <c r="Q505" s="719"/>
      <c r="R505" s="706"/>
      <c r="S505" s="706"/>
      <c r="T505" s="706"/>
      <c r="U505" s="706"/>
      <c r="V505" s="706"/>
      <c r="W505" s="706"/>
      <c r="X505" s="706"/>
      <c r="Y505" s="706"/>
      <c r="Z505" s="706"/>
      <c r="AA505" s="706"/>
      <c r="AB505" s="706"/>
      <c r="AC505" s="706"/>
    </row>
    <row r="506" spans="1:29">
      <c r="A506" s="1483"/>
      <c r="B506" s="1481" t="s">
        <v>294</v>
      </c>
      <c r="C506" s="1346"/>
      <c r="D506" s="1487">
        <f t="shared" si="94"/>
        <v>0</v>
      </c>
      <c r="E506" s="691"/>
      <c r="F506" s="691"/>
      <c r="G506" s="688"/>
      <c r="H506" s="689"/>
      <c r="I506" s="692"/>
      <c r="J506" s="1503"/>
      <c r="K506" s="996"/>
      <c r="L506" s="996"/>
      <c r="M506" s="1067"/>
      <c r="N506" s="1488">
        <f t="shared" si="96"/>
        <v>0</v>
      </c>
      <c r="O506" s="704"/>
      <c r="P506" s="705"/>
      <c r="Q506" s="719"/>
      <c r="R506" s="706"/>
      <c r="S506" s="706"/>
      <c r="T506" s="706"/>
      <c r="U506" s="706"/>
      <c r="V506" s="706"/>
      <c r="W506" s="706"/>
      <c r="X506" s="706"/>
      <c r="Y506" s="706"/>
      <c r="Z506" s="706"/>
      <c r="AA506" s="706"/>
      <c r="AB506" s="706"/>
      <c r="AC506" s="706"/>
    </row>
    <row r="507" spans="1:29">
      <c r="A507" s="2307"/>
      <c r="B507" s="2316" t="s">
        <v>295</v>
      </c>
      <c r="C507" s="2155"/>
      <c r="D507" s="2303">
        <f t="shared" si="94"/>
        <v>0</v>
      </c>
      <c r="E507" s="2330"/>
      <c r="F507" s="2330"/>
      <c r="G507" s="2327"/>
      <c r="H507" s="2323"/>
      <c r="I507" s="2329"/>
      <c r="J507" s="2371"/>
      <c r="K507" s="2304"/>
      <c r="L507" s="2304"/>
      <c r="M507" s="2325"/>
      <c r="N507" s="2324">
        <f t="shared" si="96"/>
        <v>0</v>
      </c>
      <c r="O507" s="704"/>
      <c r="P507" s="705"/>
      <c r="Q507" s="719"/>
      <c r="R507" s="706"/>
      <c r="S507" s="706"/>
      <c r="T507" s="706"/>
      <c r="U507" s="706"/>
      <c r="V507" s="706"/>
      <c r="W507" s="706"/>
      <c r="X507" s="706"/>
      <c r="Y507" s="706"/>
      <c r="Z507" s="706"/>
      <c r="AA507" s="706"/>
      <c r="AB507" s="706"/>
      <c r="AC507" s="706"/>
    </row>
    <row r="508" spans="1:29">
      <c r="A508" s="2307">
        <v>21</v>
      </c>
      <c r="B508" s="2154" t="s">
        <v>296</v>
      </c>
      <c r="C508" s="2161">
        <v>17</v>
      </c>
      <c r="D508" s="2303">
        <f t="shared" si="94"/>
        <v>12623086.902840007</v>
      </c>
      <c r="E508" s="2330"/>
      <c r="F508" s="2330">
        <v>0</v>
      </c>
      <c r="G508" s="2330">
        <v>1974130.3630928891</v>
      </c>
      <c r="H508" s="2321">
        <v>5362849.5139546217</v>
      </c>
      <c r="I508" s="2329">
        <v>5286107.0257924953</v>
      </c>
      <c r="J508" s="2371">
        <f t="shared" ref="J508:J514" si="98">G508+H508+I508</f>
        <v>12623086.902840007</v>
      </c>
      <c r="K508" s="2304"/>
      <c r="L508" s="2304"/>
      <c r="M508" s="2325"/>
      <c r="N508" s="2324">
        <f t="shared" si="96"/>
        <v>0</v>
      </c>
      <c r="O508" s="704"/>
      <c r="P508" s="705"/>
      <c r="Q508" s="722"/>
      <c r="R508" s="706"/>
      <c r="S508" s="706"/>
      <c r="T508" s="706"/>
      <c r="U508" s="706"/>
      <c r="V508" s="706"/>
      <c r="W508" s="706"/>
      <c r="X508" s="706"/>
      <c r="Y508" s="706"/>
      <c r="Z508" s="706"/>
      <c r="AA508" s="706"/>
      <c r="AB508" s="706"/>
      <c r="AC508" s="706"/>
    </row>
    <row r="509" spans="1:29">
      <c r="A509" s="2307">
        <v>22</v>
      </c>
      <c r="B509" s="2154" t="s">
        <v>297</v>
      </c>
      <c r="C509" s="2155"/>
      <c r="D509" s="2303">
        <f t="shared" si="94"/>
        <v>98692.14</v>
      </c>
      <c r="E509" s="2330"/>
      <c r="F509" s="2330">
        <v>0</v>
      </c>
      <c r="G509" s="2330">
        <v>0</v>
      </c>
      <c r="H509" s="2321">
        <v>47372.227199999994</v>
      </c>
      <c r="I509" s="2329">
        <v>51319.912800000006</v>
      </c>
      <c r="J509" s="2371">
        <f t="shared" si="98"/>
        <v>98692.14</v>
      </c>
      <c r="K509" s="2304"/>
      <c r="L509" s="2304"/>
      <c r="M509" s="2325"/>
      <c r="N509" s="2324">
        <f t="shared" si="96"/>
        <v>0</v>
      </c>
      <c r="O509" s="704"/>
      <c r="P509" s="705"/>
      <c r="Q509" s="719"/>
      <c r="R509" s="706"/>
      <c r="S509" s="706"/>
      <c r="T509" s="706"/>
      <c r="U509" s="706"/>
      <c r="V509" s="706"/>
      <c r="W509" s="706"/>
      <c r="X509" s="706"/>
      <c r="Y509" s="706"/>
      <c r="Z509" s="706"/>
      <c r="AA509" s="706"/>
      <c r="AB509" s="706"/>
      <c r="AC509" s="706"/>
    </row>
    <row r="510" spans="1:29">
      <c r="A510" s="2307">
        <v>23</v>
      </c>
      <c r="B510" s="2154" t="s">
        <v>298</v>
      </c>
      <c r="C510" s="2155">
        <v>18</v>
      </c>
      <c r="D510" s="2303">
        <f t="shared" si="94"/>
        <v>56104.785877727641</v>
      </c>
      <c r="E510" s="2330"/>
      <c r="F510" s="2330">
        <v>0</v>
      </c>
      <c r="G510" s="2330">
        <v>1154.4066399999999</v>
      </c>
      <c r="H510" s="2321">
        <v>54950.37923772764</v>
      </c>
      <c r="I510" s="2329"/>
      <c r="J510" s="2371">
        <f t="shared" si="98"/>
        <v>56104.785877727641</v>
      </c>
      <c r="K510" s="2304"/>
      <c r="L510" s="2304"/>
      <c r="M510" s="2325"/>
      <c r="N510" s="2324">
        <f t="shared" si="96"/>
        <v>0</v>
      </c>
      <c r="O510" s="704"/>
      <c r="P510" s="705"/>
      <c r="Q510" s="719"/>
      <c r="R510" s="706"/>
      <c r="S510" s="706"/>
      <c r="T510" s="706"/>
      <c r="U510" s="706"/>
      <c r="V510" s="706"/>
      <c r="W510" s="706"/>
      <c r="X510" s="706"/>
      <c r="Y510" s="706"/>
      <c r="Z510" s="706"/>
      <c r="AA510" s="706"/>
      <c r="AB510" s="706"/>
      <c r="AC510" s="706"/>
    </row>
    <row r="511" spans="1:29">
      <c r="A511" s="2307">
        <v>24</v>
      </c>
      <c r="B511" s="2154" t="s">
        <v>299</v>
      </c>
      <c r="C511" s="2155"/>
      <c r="D511" s="2303">
        <f t="shared" si="94"/>
        <v>0</v>
      </c>
      <c r="E511" s="2330"/>
      <c r="F511" s="2330">
        <v>0</v>
      </c>
      <c r="G511" s="2330">
        <v>0</v>
      </c>
      <c r="H511" s="2321">
        <v>0</v>
      </c>
      <c r="I511" s="2329"/>
      <c r="J511" s="2371">
        <f t="shared" si="98"/>
        <v>0</v>
      </c>
      <c r="K511" s="2304"/>
      <c r="L511" s="2304"/>
      <c r="M511" s="2325"/>
      <c r="N511" s="2324">
        <f t="shared" si="96"/>
        <v>0</v>
      </c>
      <c r="O511" s="704"/>
      <c r="P511" s="705"/>
      <c r="Q511" s="719"/>
      <c r="R511" s="706"/>
      <c r="S511" s="706"/>
      <c r="T511" s="706"/>
      <c r="U511" s="706"/>
      <c r="V511" s="706"/>
      <c r="W511" s="706"/>
      <c r="X511" s="706"/>
      <c r="Y511" s="706"/>
      <c r="Z511" s="706"/>
      <c r="AA511" s="706"/>
      <c r="AB511" s="706"/>
      <c r="AC511" s="706"/>
    </row>
    <row r="512" spans="1:29">
      <c r="A512" s="2307">
        <v>25</v>
      </c>
      <c r="B512" s="2176" t="s">
        <v>300</v>
      </c>
      <c r="C512" s="2155"/>
      <c r="D512" s="2303">
        <f t="shared" si="94"/>
        <v>85394.494980000061</v>
      </c>
      <c r="E512" s="2330"/>
      <c r="F512" s="2330">
        <v>2078.3730099999998</v>
      </c>
      <c r="G512" s="2330">
        <v>22778.640429999999</v>
      </c>
      <c r="H512" s="2321">
        <v>29057.991139200032</v>
      </c>
      <c r="I512" s="2329">
        <v>31479.490400800034</v>
      </c>
      <c r="J512" s="2371">
        <f t="shared" si="98"/>
        <v>83316.121970000066</v>
      </c>
      <c r="K512" s="2304"/>
      <c r="L512" s="2304"/>
      <c r="M512" s="2325"/>
      <c r="N512" s="2324">
        <f t="shared" si="96"/>
        <v>0</v>
      </c>
      <c r="O512" s="704"/>
      <c r="P512" s="705"/>
      <c r="Q512" s="719"/>
      <c r="R512" s="706"/>
      <c r="S512" s="706"/>
      <c r="T512" s="706"/>
      <c r="U512" s="706"/>
      <c r="V512" s="706"/>
      <c r="W512" s="706"/>
      <c r="X512" s="706"/>
      <c r="Y512" s="706"/>
      <c r="Z512" s="706"/>
      <c r="AA512" s="706"/>
      <c r="AB512" s="706"/>
      <c r="AC512" s="706"/>
    </row>
    <row r="513" spans="1:29" ht="13.5" thickBot="1">
      <c r="A513" s="2314">
        <v>26</v>
      </c>
      <c r="B513" s="2173" t="s">
        <v>301</v>
      </c>
      <c r="C513" s="2177">
        <v>19</v>
      </c>
      <c r="D513" s="1485">
        <f t="shared" si="94"/>
        <v>1147796.0793999997</v>
      </c>
      <c r="E513" s="1033"/>
      <c r="F513" s="1033">
        <v>122014.51173999954</v>
      </c>
      <c r="G513" s="1033">
        <v>231866.99634711829</v>
      </c>
      <c r="H513" s="1069">
        <v>522267.67747588875</v>
      </c>
      <c r="I513" s="2364">
        <v>271646.89383699303</v>
      </c>
      <c r="J513" s="1538">
        <f t="shared" si="98"/>
        <v>1025781.5676600001</v>
      </c>
      <c r="K513" s="998"/>
      <c r="L513" s="998"/>
      <c r="M513" s="1070"/>
      <c r="N513" s="2376">
        <f t="shared" si="96"/>
        <v>0</v>
      </c>
      <c r="O513" s="704"/>
      <c r="P513" s="705"/>
      <c r="Q513" s="722"/>
      <c r="R513" s="706"/>
      <c r="S513" s="706"/>
      <c r="T513" s="706"/>
      <c r="U513" s="706"/>
      <c r="V513" s="706"/>
      <c r="W513" s="706"/>
      <c r="X513" s="706"/>
      <c r="Y513" s="706"/>
      <c r="Z513" s="706"/>
      <c r="AA513" s="706"/>
      <c r="AB513" s="706"/>
      <c r="AC513" s="706"/>
    </row>
    <row r="514" spans="1:29" ht="26.25" thickBot="1">
      <c r="A514" s="1482">
        <v>27</v>
      </c>
      <c r="B514" s="1349" t="s">
        <v>302</v>
      </c>
      <c r="C514" s="1348"/>
      <c r="D514" s="1499">
        <f t="shared" si="94"/>
        <v>14011074.403097732</v>
      </c>
      <c r="E514" s="1019">
        <f>SUM(E508:E513)</f>
        <v>0</v>
      </c>
      <c r="F514" s="1019">
        <f>SUM(F508:F513)</f>
        <v>124092.88474999953</v>
      </c>
      <c r="G514" s="1019">
        <f>SUM(G508:G513)</f>
        <v>2229930.4065100071</v>
      </c>
      <c r="H514" s="1039">
        <f>SUM(H508:H513)</f>
        <v>6016497.7890074365</v>
      </c>
      <c r="I514" s="1023">
        <f>SUM(I508:I513)</f>
        <v>5640553.3228302887</v>
      </c>
      <c r="J514" s="1502">
        <f t="shared" si="98"/>
        <v>13886981.518347733</v>
      </c>
      <c r="K514" s="1019">
        <f>SUM(K508:K513)</f>
        <v>0</v>
      </c>
      <c r="L514" s="1019">
        <f>SUM(L508:L513)</f>
        <v>0</v>
      </c>
      <c r="M514" s="1039">
        <f>SUM(M508:M513)</f>
        <v>0</v>
      </c>
      <c r="N514" s="1519">
        <f t="shared" si="96"/>
        <v>0</v>
      </c>
      <c r="O514" s="704"/>
      <c r="P514" s="705"/>
      <c r="Q514" s="719"/>
      <c r="R514" s="706"/>
      <c r="S514" s="706"/>
      <c r="T514" s="706"/>
      <c r="U514" s="706"/>
      <c r="V514" s="706"/>
      <c r="W514" s="706"/>
      <c r="X514" s="706"/>
      <c r="Y514" s="706"/>
      <c r="Z514" s="706"/>
      <c r="AA514" s="706"/>
      <c r="AB514" s="706"/>
      <c r="AC514" s="706"/>
    </row>
    <row r="515" spans="1:29">
      <c r="A515" s="1483"/>
      <c r="B515" s="1481" t="s">
        <v>303</v>
      </c>
      <c r="C515" s="1346">
        <v>20</v>
      </c>
      <c r="D515" s="1487">
        <f t="shared" si="94"/>
        <v>0</v>
      </c>
      <c r="E515" s="691"/>
      <c r="F515" s="691"/>
      <c r="G515" s="688"/>
      <c r="H515" s="689"/>
      <c r="I515" s="692"/>
      <c r="J515" s="1503"/>
      <c r="K515" s="996"/>
      <c r="L515" s="996"/>
      <c r="M515" s="1067"/>
      <c r="N515" s="1488">
        <f t="shared" si="96"/>
        <v>0</v>
      </c>
      <c r="O515" s="704"/>
      <c r="P515" s="705"/>
      <c r="Q515" s="719"/>
      <c r="R515" s="706"/>
      <c r="S515" s="706"/>
      <c r="T515" s="706"/>
      <c r="U515" s="706"/>
      <c r="V515" s="706"/>
      <c r="W515" s="706"/>
      <c r="X515" s="706"/>
      <c r="Y515" s="706"/>
      <c r="Z515" s="706"/>
      <c r="AA515" s="706"/>
      <c r="AB515" s="706"/>
      <c r="AC515" s="706"/>
    </row>
    <row r="516" spans="1:29">
      <c r="A516" s="2307">
        <v>28</v>
      </c>
      <c r="B516" s="2302" t="s">
        <v>304</v>
      </c>
      <c r="C516" s="2161"/>
      <c r="D516" s="2303">
        <f t="shared" si="94"/>
        <v>4853751.6210000003</v>
      </c>
      <c r="E516" s="2330"/>
      <c r="F516" s="2330">
        <v>4853751.6210000003</v>
      </c>
      <c r="G516" s="2330">
        <v>0</v>
      </c>
      <c r="H516" s="2321">
        <v>0</v>
      </c>
      <c r="I516" s="2329"/>
      <c r="J516" s="2371">
        <f t="shared" ref="J516:J522" si="99">G516+H516+I516</f>
        <v>0</v>
      </c>
      <c r="K516" s="2304"/>
      <c r="L516" s="2304"/>
      <c r="M516" s="2325"/>
      <c r="N516" s="2324">
        <f t="shared" si="96"/>
        <v>0</v>
      </c>
      <c r="O516" s="704"/>
      <c r="P516" s="705"/>
      <c r="Q516" s="722"/>
      <c r="R516" s="706"/>
      <c r="S516" s="706"/>
      <c r="T516" s="706"/>
      <c r="U516" s="706"/>
      <c r="V516" s="706"/>
      <c r="W516" s="706"/>
      <c r="X516" s="706"/>
      <c r="Y516" s="706"/>
      <c r="Z516" s="706"/>
      <c r="AA516" s="706"/>
      <c r="AB516" s="706"/>
      <c r="AC516" s="706"/>
    </row>
    <row r="517" spans="1:29">
      <c r="A517" s="2307">
        <v>29</v>
      </c>
      <c r="B517" s="2302" t="s">
        <v>305</v>
      </c>
      <c r="C517" s="2161"/>
      <c r="D517" s="2303">
        <f t="shared" si="94"/>
        <v>-196953.01840999999</v>
      </c>
      <c r="E517" s="2330"/>
      <c r="F517" s="2330">
        <v>-236888.24481999999</v>
      </c>
      <c r="G517" s="2330">
        <v>0</v>
      </c>
      <c r="H517" s="2321">
        <v>39935.226409999996</v>
      </c>
      <c r="I517" s="2329"/>
      <c r="J517" s="2371">
        <f t="shared" si="99"/>
        <v>39935.226409999996</v>
      </c>
      <c r="K517" s="2304"/>
      <c r="L517" s="2304"/>
      <c r="M517" s="2325"/>
      <c r="N517" s="2324">
        <f t="shared" si="96"/>
        <v>0</v>
      </c>
      <c r="O517" s="704"/>
      <c r="P517" s="705"/>
      <c r="Q517" s="722"/>
      <c r="R517" s="706"/>
      <c r="S517" s="706"/>
      <c r="T517" s="706"/>
      <c r="U517" s="706"/>
      <c r="V517" s="706"/>
      <c r="W517" s="706"/>
      <c r="X517" s="706"/>
      <c r="Y517" s="706"/>
      <c r="Z517" s="706"/>
      <c r="AA517" s="706"/>
      <c r="AB517" s="706"/>
      <c r="AC517" s="706"/>
    </row>
    <row r="518" spans="1:29">
      <c r="A518" s="2307">
        <v>30</v>
      </c>
      <c r="B518" s="2317" t="s">
        <v>306</v>
      </c>
      <c r="C518" s="2177"/>
      <c r="D518" s="2303">
        <f t="shared" si="94"/>
        <v>0</v>
      </c>
      <c r="E518" s="2330"/>
      <c r="F518" s="2330">
        <v>0</v>
      </c>
      <c r="G518" s="2330">
        <v>0</v>
      </c>
      <c r="H518" s="2321">
        <v>0</v>
      </c>
      <c r="I518" s="2329"/>
      <c r="J518" s="2371">
        <f t="shared" si="99"/>
        <v>0</v>
      </c>
      <c r="K518" s="2304"/>
      <c r="L518" s="2304"/>
      <c r="M518" s="2325"/>
      <c r="N518" s="2324">
        <f t="shared" si="96"/>
        <v>0</v>
      </c>
      <c r="O518" s="704"/>
      <c r="P518" s="705"/>
      <c r="Q518" s="722"/>
      <c r="R518" s="706"/>
      <c r="S518" s="730"/>
      <c r="T518" s="706"/>
      <c r="U518" s="706"/>
      <c r="V518" s="706"/>
      <c r="W518" s="706"/>
      <c r="X518" s="706"/>
      <c r="Y518" s="706"/>
      <c r="Z518" s="706"/>
      <c r="AA518" s="706"/>
      <c r="AB518" s="706"/>
      <c r="AC518" s="706"/>
    </row>
    <row r="519" spans="1:29">
      <c r="A519" s="2307">
        <v>31</v>
      </c>
      <c r="B519" s="2302" t="s">
        <v>307</v>
      </c>
      <c r="C519" s="2161"/>
      <c r="D519" s="2303">
        <f t="shared" si="94"/>
        <v>1795828.6910000001</v>
      </c>
      <c r="E519" s="2330"/>
      <c r="F519" s="2330">
        <v>1795828.6910000001</v>
      </c>
      <c r="G519" s="2330">
        <v>0</v>
      </c>
      <c r="H519" s="2321">
        <v>0</v>
      </c>
      <c r="I519" s="2329"/>
      <c r="J519" s="2371">
        <f t="shared" si="99"/>
        <v>0</v>
      </c>
      <c r="K519" s="2304"/>
      <c r="L519" s="2304"/>
      <c r="M519" s="2325"/>
      <c r="N519" s="2324">
        <f t="shared" si="96"/>
        <v>0</v>
      </c>
      <c r="O519" s="704"/>
      <c r="P519" s="705"/>
      <c r="Q519" s="722"/>
      <c r="R519" s="706"/>
      <c r="S519" s="730"/>
      <c r="T519" s="706"/>
      <c r="U519" s="706"/>
      <c r="V519" s="706"/>
      <c r="W519" s="706"/>
      <c r="X519" s="706"/>
      <c r="Y519" s="706"/>
      <c r="Z519" s="706"/>
      <c r="AA519" s="706"/>
      <c r="AB519" s="706"/>
      <c r="AC519" s="706"/>
    </row>
    <row r="520" spans="1:29" ht="13.5" thickBot="1">
      <c r="A520" s="2314">
        <v>32</v>
      </c>
      <c r="B520" s="2317" t="s">
        <v>308</v>
      </c>
      <c r="C520" s="2177"/>
      <c r="D520" s="2303">
        <f t="shared" si="94"/>
        <v>3614521.7338700001</v>
      </c>
      <c r="E520" s="2330"/>
      <c r="F520" s="2330">
        <v>3614521.7338700001</v>
      </c>
      <c r="G520" s="2330">
        <v>0</v>
      </c>
      <c r="H520" s="2321">
        <v>0</v>
      </c>
      <c r="I520" s="695"/>
      <c r="J520" s="2371">
        <f t="shared" si="99"/>
        <v>0</v>
      </c>
      <c r="K520" s="2304"/>
      <c r="L520" s="2304"/>
      <c r="M520" s="2325"/>
      <c r="N520" s="2324">
        <f t="shared" si="96"/>
        <v>0</v>
      </c>
      <c r="O520" s="704"/>
      <c r="P520" s="705"/>
      <c r="Q520" s="722"/>
      <c r="R520" s="706"/>
      <c r="S520" s="706"/>
      <c r="T520" s="706"/>
      <c r="U520" s="706"/>
      <c r="V520" s="706"/>
      <c r="W520" s="706"/>
      <c r="X520" s="706"/>
      <c r="Y520" s="706"/>
      <c r="Z520" s="706"/>
      <c r="AA520" s="706"/>
      <c r="AB520" s="706"/>
      <c r="AC520" s="706"/>
    </row>
    <row r="521" spans="1:29" ht="13.5" thickBot="1">
      <c r="A521" s="1482">
        <v>33</v>
      </c>
      <c r="B521" s="1384" t="s">
        <v>309</v>
      </c>
      <c r="C521" s="1453"/>
      <c r="D521" s="1571">
        <f t="shared" si="94"/>
        <v>10067149.02746</v>
      </c>
      <c r="E521" s="1054">
        <f>SUM(E516:E520)</f>
        <v>0</v>
      </c>
      <c r="F521" s="1054">
        <f>SUM(F516:F520)</f>
        <v>10027213.80105</v>
      </c>
      <c r="G521" s="1054">
        <f>SUM(G516:G520)</f>
        <v>0</v>
      </c>
      <c r="H521" s="1054">
        <f>SUM(H516:H520)</f>
        <v>39935.226409999996</v>
      </c>
      <c r="I521" s="1082">
        <f>SUM(I516:I520)</f>
        <v>0</v>
      </c>
      <c r="J521" s="1582">
        <f t="shared" si="99"/>
        <v>39935.226409999996</v>
      </c>
      <c r="K521" s="1054">
        <f>SUM(K516:K520)</f>
        <v>0</v>
      </c>
      <c r="L521" s="1054">
        <f>SUM(L516:L520)</f>
        <v>0</v>
      </c>
      <c r="M521" s="1055">
        <f>SUM(M516:M520)</f>
        <v>0</v>
      </c>
      <c r="N521" s="1581">
        <f t="shared" si="96"/>
        <v>0</v>
      </c>
      <c r="O521" s="704"/>
      <c r="P521" s="705"/>
      <c r="Q521" s="719"/>
      <c r="R521" s="706"/>
      <c r="S521" s="706"/>
      <c r="T521" s="706"/>
      <c r="U521" s="706"/>
      <c r="V521" s="706"/>
      <c r="W521" s="706"/>
      <c r="X521" s="706"/>
      <c r="Y521" s="706"/>
      <c r="Z521" s="706"/>
      <c r="AA521" s="706"/>
      <c r="AB521" s="706"/>
      <c r="AC521" s="706"/>
    </row>
    <row r="522" spans="1:29" ht="26.25" thickBot="1">
      <c r="A522" s="1493">
        <v>34</v>
      </c>
      <c r="B522" s="1352" t="s">
        <v>310</v>
      </c>
      <c r="C522" s="1351"/>
      <c r="D522" s="1526">
        <f>+E522+F522+J522+N522</f>
        <v>24078223.430557728</v>
      </c>
      <c r="E522" s="1526">
        <f>E521+E514</f>
        <v>0</v>
      </c>
      <c r="F522" s="1526">
        <f>F521+F514</f>
        <v>10151306.685799999</v>
      </c>
      <c r="G522" s="1526">
        <f>G521+G514</f>
        <v>2229930.4065100071</v>
      </c>
      <c r="H522" s="1526">
        <f>H521+H514</f>
        <v>6056433.0154174361</v>
      </c>
      <c r="I522" s="1526">
        <f>I521+I514</f>
        <v>5640553.3228302887</v>
      </c>
      <c r="J522" s="1535">
        <f t="shared" si="99"/>
        <v>13926916.744757731</v>
      </c>
      <c r="K522" s="1526">
        <f>K521+K514</f>
        <v>0</v>
      </c>
      <c r="L522" s="1526">
        <f>L521+L514</f>
        <v>0</v>
      </c>
      <c r="M522" s="1527">
        <f>M521+M514</f>
        <v>0</v>
      </c>
      <c r="N522" s="1529">
        <f t="shared" si="96"/>
        <v>0</v>
      </c>
      <c r="O522" s="704"/>
      <c r="P522" s="705"/>
      <c r="Q522" s="719"/>
      <c r="R522" s="706"/>
      <c r="S522" s="706"/>
      <c r="T522" s="706"/>
      <c r="U522" s="706"/>
      <c r="V522" s="706"/>
      <c r="W522" s="706"/>
      <c r="X522" s="706"/>
      <c r="Y522" s="706"/>
      <c r="Z522" s="706"/>
      <c r="AA522" s="706"/>
      <c r="AB522" s="706"/>
      <c r="AC522" s="706"/>
    </row>
    <row r="523" spans="1:29">
      <c r="S523" s="706"/>
      <c r="T523" s="706"/>
      <c r="U523" s="706"/>
      <c r="V523" s="706"/>
      <c r="W523" s="706"/>
      <c r="X523" s="706"/>
      <c r="Y523" s="706"/>
      <c r="Z523" s="706"/>
      <c r="AA523" s="706"/>
      <c r="AB523" s="706"/>
      <c r="AC523" s="706"/>
    </row>
    <row r="524" spans="1:29">
      <c r="B524" s="680"/>
      <c r="D524" s="679"/>
      <c r="E524" s="679"/>
      <c r="F524" s="679"/>
      <c r="G524" s="679"/>
      <c r="H524" s="679"/>
      <c r="I524" s="679"/>
      <c r="J524" s="679"/>
      <c r="K524" s="679"/>
      <c r="L524" s="679"/>
      <c r="M524" s="679"/>
      <c r="N524" s="911">
        <v>39</v>
      </c>
      <c r="O524" s="679"/>
      <c r="S524" s="706"/>
      <c r="T524" s="706"/>
      <c r="U524" s="706"/>
      <c r="V524" s="706"/>
      <c r="W524" s="706"/>
      <c r="X524" s="706"/>
      <c r="Y524" s="706"/>
      <c r="Z524" s="706"/>
      <c r="AA524" s="706"/>
      <c r="AB524" s="706"/>
      <c r="AC524" s="706"/>
    </row>
    <row r="525" spans="1:29">
      <c r="D525" s="679"/>
      <c r="E525" s="679"/>
      <c r="F525" s="679"/>
      <c r="G525" s="679"/>
      <c r="H525" s="679"/>
      <c r="I525" s="679"/>
      <c r="J525" s="679"/>
    </row>
    <row r="526" spans="1:29" ht="13.5" thickBot="1"/>
    <row r="527" spans="1:29" ht="15.75" customHeight="1" thickBot="1">
      <c r="A527" s="1368" t="s">
        <v>317</v>
      </c>
      <c r="B527" s="3533" t="s">
        <v>322</v>
      </c>
      <c r="C527" s="3534"/>
      <c r="M527" s="3538" t="s">
        <v>251</v>
      </c>
      <c r="N527" s="3538"/>
      <c r="O527" s="701"/>
    </row>
    <row r="528" spans="1:29" ht="12.75" customHeight="1" thickBot="1">
      <c r="A528" s="3555" t="s">
        <v>252</v>
      </c>
      <c r="B528" s="1467"/>
      <c r="C528" s="3523" t="s">
        <v>254</v>
      </c>
      <c r="D528" s="3562" t="s">
        <v>255</v>
      </c>
      <c r="E528" s="3562" t="s">
        <v>256</v>
      </c>
      <c r="F528" s="3562" t="s">
        <v>257</v>
      </c>
      <c r="G528" s="3565" t="s">
        <v>258</v>
      </c>
      <c r="H528" s="3566"/>
      <c r="I528" s="3566"/>
      <c r="J528" s="3566"/>
      <c r="K528" s="3566"/>
      <c r="L528" s="3566"/>
      <c r="M528" s="3566"/>
      <c r="N528" s="3567"/>
      <c r="O528" s="702"/>
    </row>
    <row r="529" spans="1:29" ht="12.75" customHeight="1" thickBot="1">
      <c r="A529" s="3556"/>
      <c r="B529" s="1468"/>
      <c r="C529" s="3524"/>
      <c r="D529" s="3563"/>
      <c r="E529" s="3563"/>
      <c r="F529" s="3563"/>
      <c r="G529" s="3529" t="s">
        <v>259</v>
      </c>
      <c r="H529" s="3530"/>
      <c r="I529" s="3530"/>
      <c r="J529" s="3531"/>
      <c r="K529" s="3568" t="s">
        <v>260</v>
      </c>
      <c r="L529" s="3569"/>
      <c r="M529" s="3569"/>
      <c r="N529" s="3570"/>
      <c r="O529" s="458"/>
    </row>
    <row r="530" spans="1:29" ht="39" thickBot="1">
      <c r="A530" s="3556"/>
      <c r="B530" s="1469"/>
      <c r="C530" s="3524"/>
      <c r="D530" s="3564"/>
      <c r="E530" s="3564"/>
      <c r="F530" s="3564"/>
      <c r="G530" s="1336" t="s">
        <v>261</v>
      </c>
      <c r="H530" s="1336" t="s">
        <v>262</v>
      </c>
      <c r="I530" s="1336" t="s">
        <v>263</v>
      </c>
      <c r="J530" s="1336" t="s">
        <v>158</v>
      </c>
      <c r="K530" s="1337" t="s">
        <v>264</v>
      </c>
      <c r="L530" s="1337" t="s">
        <v>265</v>
      </c>
      <c r="M530" s="1337" t="s">
        <v>266</v>
      </c>
      <c r="N530" s="1404" t="s">
        <v>158</v>
      </c>
      <c r="O530" s="443"/>
    </row>
    <row r="531" spans="1:29" ht="13.5" thickBot="1">
      <c r="A531" s="3556"/>
      <c r="B531" s="1468"/>
      <c r="C531" s="3524"/>
      <c r="D531" s="1470">
        <v>1</v>
      </c>
      <c r="E531" s="1471">
        <v>2</v>
      </c>
      <c r="F531" s="1471">
        <v>3</v>
      </c>
      <c r="G531" s="1472">
        <v>4</v>
      </c>
      <c r="H531" s="1471">
        <v>5</v>
      </c>
      <c r="I531" s="1473">
        <v>6</v>
      </c>
      <c r="J531" s="1474">
        <v>7</v>
      </c>
      <c r="K531" s="1472">
        <v>8</v>
      </c>
      <c r="L531" s="1471">
        <v>9</v>
      </c>
      <c r="M531" s="1496">
        <v>10</v>
      </c>
      <c r="N531" s="1470">
        <v>11</v>
      </c>
      <c r="O531" s="702"/>
    </row>
    <row r="532" spans="1:29" ht="13.5" thickBot="1">
      <c r="A532" s="3557"/>
      <c r="B532" s="1475"/>
      <c r="C532" s="3525"/>
      <c r="D532" s="1476"/>
      <c r="E532" s="1476"/>
      <c r="F532" s="1476"/>
      <c r="G532" s="1477"/>
      <c r="H532" s="1476"/>
      <c r="I532" s="1478"/>
      <c r="J532" s="1478" t="s">
        <v>267</v>
      </c>
      <c r="K532" s="1477"/>
      <c r="L532" s="1476"/>
      <c r="M532" s="1968"/>
      <c r="N532" s="1553" t="s">
        <v>268</v>
      </c>
      <c r="O532" s="703"/>
      <c r="P532" s="703"/>
      <c r="Q532" s="703"/>
    </row>
    <row r="533" spans="1:29">
      <c r="A533" s="1483"/>
      <c r="B533" s="1481" t="s">
        <v>269</v>
      </c>
      <c r="C533" s="1346"/>
      <c r="D533" s="2152"/>
      <c r="E533" s="992"/>
      <c r="F533" s="992"/>
      <c r="G533" s="993"/>
      <c r="H533" s="994"/>
      <c r="I533" s="994"/>
      <c r="J533" s="1514"/>
      <c r="K533" s="996"/>
      <c r="L533" s="994"/>
      <c r="M533" s="997"/>
      <c r="N533" s="2418"/>
      <c r="Q533" s="703"/>
    </row>
    <row r="534" spans="1:29">
      <c r="A534" s="2301">
        <v>1</v>
      </c>
      <c r="B534" s="2302" t="s">
        <v>270</v>
      </c>
      <c r="C534" s="2155"/>
      <c r="D534" s="2303">
        <f>+E534+F534+J534+N534</f>
        <v>0</v>
      </c>
      <c r="E534" s="2304"/>
      <c r="F534" s="2304"/>
      <c r="G534" s="2304"/>
      <c r="H534" s="2304"/>
      <c r="I534" s="2304"/>
      <c r="J534" s="2371">
        <f>G534+H534+I534</f>
        <v>0</v>
      </c>
      <c r="K534" s="2304"/>
      <c r="L534" s="2304"/>
      <c r="M534" s="2304"/>
      <c r="N534" s="2305">
        <f>K534+L534+M534</f>
        <v>0</v>
      </c>
      <c r="O534" s="704"/>
      <c r="P534" s="705"/>
      <c r="Q534" s="705"/>
      <c r="R534" s="706"/>
      <c r="S534" s="706"/>
      <c r="T534" s="706"/>
      <c r="U534" s="706"/>
      <c r="V534" s="706"/>
      <c r="W534" s="706"/>
      <c r="X534" s="706"/>
      <c r="Y534" s="706"/>
      <c r="Z534" s="706"/>
      <c r="AA534" s="706"/>
      <c r="AB534" s="706"/>
      <c r="AC534" s="706"/>
    </row>
    <row r="535" spans="1:29">
      <c r="A535" s="2301">
        <v>2</v>
      </c>
      <c r="B535" s="2302" t="s">
        <v>271</v>
      </c>
      <c r="C535" s="2155"/>
      <c r="D535" s="2303">
        <f t="shared" ref="D535:D573" si="100">+E535+F535+J535+N535</f>
        <v>0</v>
      </c>
      <c r="E535" s="2304"/>
      <c r="F535" s="2304"/>
      <c r="G535" s="2304"/>
      <c r="H535" s="2304"/>
      <c r="I535" s="2304"/>
      <c r="J535" s="2371">
        <f t="shared" ref="J535:J545" si="101">G535+H535+I535</f>
        <v>0</v>
      </c>
      <c r="K535" s="2304"/>
      <c r="L535" s="2304"/>
      <c r="M535" s="2304"/>
      <c r="N535" s="2305">
        <f t="shared" ref="N535:N574" si="102">K535+L535+M535</f>
        <v>0</v>
      </c>
      <c r="O535" s="704"/>
      <c r="P535" s="705"/>
      <c r="Q535" s="705"/>
      <c r="R535" s="706"/>
      <c r="S535" s="706"/>
      <c r="T535" s="706"/>
      <c r="U535" s="706"/>
      <c r="V535" s="706"/>
      <c r="W535" s="706"/>
      <c r="X535" s="706"/>
      <c r="Y535" s="706"/>
      <c r="Z535" s="706"/>
      <c r="AA535" s="706"/>
      <c r="AB535" s="706"/>
      <c r="AC535" s="706"/>
    </row>
    <row r="536" spans="1:29">
      <c r="A536" s="2301">
        <v>3</v>
      </c>
      <c r="B536" s="2302" t="s">
        <v>272</v>
      </c>
      <c r="C536" s="2155"/>
      <c r="D536" s="2303">
        <f t="shared" si="100"/>
        <v>0</v>
      </c>
      <c r="E536" s="2304"/>
      <c r="F536" s="2304">
        <v>0</v>
      </c>
      <c r="G536" s="2304">
        <v>0</v>
      </c>
      <c r="H536" s="2304"/>
      <c r="I536" s="2304"/>
      <c r="J536" s="2371">
        <f t="shared" si="101"/>
        <v>0</v>
      </c>
      <c r="K536" s="2304"/>
      <c r="L536" s="2304"/>
      <c r="M536" s="2304"/>
      <c r="N536" s="2305">
        <f t="shared" si="102"/>
        <v>0</v>
      </c>
      <c r="O536" s="704"/>
      <c r="P536" s="705"/>
      <c r="Q536" s="705"/>
      <c r="R536" s="706"/>
      <c r="S536" s="706"/>
      <c r="T536" s="706"/>
      <c r="U536" s="706"/>
      <c r="V536" s="706"/>
      <c r="W536" s="706"/>
      <c r="X536" s="706"/>
      <c r="Y536" s="706"/>
      <c r="Z536" s="706"/>
      <c r="AA536" s="706"/>
      <c r="AB536" s="706"/>
      <c r="AC536" s="706"/>
    </row>
    <row r="537" spans="1:29">
      <c r="A537" s="2301">
        <v>4</v>
      </c>
      <c r="B537" s="2302" t="s">
        <v>315</v>
      </c>
      <c r="C537" s="2155"/>
      <c r="D537" s="2303">
        <f t="shared" si="100"/>
        <v>0</v>
      </c>
      <c r="E537" s="2304"/>
      <c r="F537" s="2304"/>
      <c r="G537" s="2304"/>
      <c r="H537" s="2304"/>
      <c r="I537" s="2304"/>
      <c r="J537" s="2371">
        <f t="shared" si="101"/>
        <v>0</v>
      </c>
      <c r="K537" s="2304"/>
      <c r="L537" s="2304"/>
      <c r="M537" s="2304"/>
      <c r="N537" s="2305">
        <f t="shared" si="102"/>
        <v>0</v>
      </c>
      <c r="O537" s="704"/>
      <c r="P537" s="705"/>
      <c r="Q537" s="705"/>
      <c r="R537" s="706"/>
      <c r="S537" s="706"/>
      <c r="T537" s="706"/>
      <c r="U537" s="706"/>
      <c r="V537" s="706"/>
      <c r="W537" s="706"/>
      <c r="X537" s="706"/>
      <c r="Y537" s="706"/>
      <c r="Z537" s="706"/>
      <c r="AA537" s="706"/>
      <c r="AB537" s="706"/>
      <c r="AC537" s="706"/>
    </row>
    <row r="538" spans="1:29">
      <c r="A538" s="2301">
        <v>5</v>
      </c>
      <c r="B538" s="2302" t="s">
        <v>274</v>
      </c>
      <c r="C538" s="2161">
        <v>5</v>
      </c>
      <c r="D538" s="2303">
        <f t="shared" si="100"/>
        <v>0</v>
      </c>
      <c r="E538" s="2304"/>
      <c r="F538" s="2304"/>
      <c r="G538" s="2304"/>
      <c r="H538" s="2304"/>
      <c r="I538" s="2304"/>
      <c r="J538" s="2371">
        <f t="shared" si="101"/>
        <v>0</v>
      </c>
      <c r="K538" s="2304"/>
      <c r="L538" s="2304"/>
      <c r="M538" s="2304"/>
      <c r="N538" s="2305">
        <f t="shared" si="102"/>
        <v>0</v>
      </c>
      <c r="O538" s="704"/>
      <c r="P538" s="705"/>
      <c r="Q538" s="705"/>
      <c r="R538" s="706"/>
      <c r="S538" s="706"/>
      <c r="T538" s="706"/>
      <c r="U538" s="706"/>
      <c r="V538" s="706"/>
      <c r="W538" s="706"/>
      <c r="X538" s="706"/>
      <c r="Y538" s="706"/>
      <c r="Z538" s="706"/>
      <c r="AA538" s="706"/>
      <c r="AB538" s="706"/>
      <c r="AC538" s="706"/>
    </row>
    <row r="539" spans="1:29">
      <c r="A539" s="2301">
        <v>6</v>
      </c>
      <c r="B539" s="2302" t="s">
        <v>275</v>
      </c>
      <c r="C539" s="2155">
        <v>6</v>
      </c>
      <c r="D539" s="2303">
        <f t="shared" si="100"/>
        <v>0</v>
      </c>
      <c r="E539" s="2304"/>
      <c r="F539" s="2304"/>
      <c r="G539" s="2304"/>
      <c r="H539" s="2304"/>
      <c r="I539" s="2304"/>
      <c r="J539" s="2371">
        <f t="shared" si="101"/>
        <v>0</v>
      </c>
      <c r="K539" s="2304"/>
      <c r="L539" s="2304"/>
      <c r="M539" s="2304"/>
      <c r="N539" s="2305">
        <f t="shared" si="102"/>
        <v>0</v>
      </c>
      <c r="O539" s="704"/>
      <c r="P539" s="705"/>
      <c r="Q539" s="705"/>
      <c r="R539" s="706"/>
      <c r="S539" s="706"/>
      <c r="T539" s="706"/>
      <c r="U539" s="706"/>
      <c r="V539" s="706"/>
      <c r="W539" s="706"/>
      <c r="X539" s="706"/>
      <c r="Y539" s="706"/>
      <c r="Z539" s="706"/>
      <c r="AA539" s="706"/>
      <c r="AB539" s="706"/>
      <c r="AC539" s="706"/>
    </row>
    <row r="540" spans="1:29">
      <c r="A540" s="2301">
        <v>7</v>
      </c>
      <c r="B540" s="2302" t="s">
        <v>276</v>
      </c>
      <c r="C540" s="2161">
        <v>7</v>
      </c>
      <c r="D540" s="2303">
        <f t="shared" si="100"/>
        <v>0</v>
      </c>
      <c r="E540" s="2304"/>
      <c r="F540" s="2304">
        <f>F541+F542</f>
        <v>0</v>
      </c>
      <c r="G540" s="2304">
        <f t="shared" ref="G540:M540" si="103">G541+G542</f>
        <v>0</v>
      </c>
      <c r="H540" s="2304">
        <f t="shared" si="103"/>
        <v>0</v>
      </c>
      <c r="I540" s="2304">
        <f t="shared" si="103"/>
        <v>0</v>
      </c>
      <c r="J540" s="2371">
        <f t="shared" si="101"/>
        <v>0</v>
      </c>
      <c r="K540" s="2304">
        <f t="shared" si="103"/>
        <v>0</v>
      </c>
      <c r="L540" s="2304">
        <f t="shared" si="103"/>
        <v>0</v>
      </c>
      <c r="M540" s="2304">
        <f t="shared" si="103"/>
        <v>0</v>
      </c>
      <c r="N540" s="2305">
        <f t="shared" si="102"/>
        <v>0</v>
      </c>
      <c r="O540" s="704"/>
      <c r="P540" s="705"/>
      <c r="Q540" s="705"/>
      <c r="R540" s="706"/>
      <c r="S540" s="706"/>
      <c r="T540" s="706"/>
      <c r="U540" s="706"/>
      <c r="V540" s="706"/>
      <c r="W540" s="706"/>
      <c r="X540" s="706"/>
      <c r="Y540" s="706"/>
      <c r="Z540" s="706"/>
      <c r="AA540" s="706"/>
      <c r="AB540" s="706"/>
      <c r="AC540" s="706"/>
    </row>
    <row r="541" spans="1:29">
      <c r="A541" s="2307"/>
      <c r="B541" s="2162" t="s">
        <v>277</v>
      </c>
      <c r="C541" s="2161"/>
      <c r="D541" s="2303">
        <f t="shared" si="100"/>
        <v>0</v>
      </c>
      <c r="E541" s="2304"/>
      <c r="F541" s="2304"/>
      <c r="G541" s="2304"/>
      <c r="H541" s="2304"/>
      <c r="I541" s="2304"/>
      <c r="J541" s="2371">
        <f t="shared" si="101"/>
        <v>0</v>
      </c>
      <c r="K541" s="2304"/>
      <c r="L541" s="2304"/>
      <c r="M541" s="2304"/>
      <c r="N541" s="2305">
        <f t="shared" si="102"/>
        <v>0</v>
      </c>
      <c r="O541" s="704"/>
      <c r="P541" s="705"/>
      <c r="Q541" s="705"/>
      <c r="R541" s="706"/>
      <c r="S541" s="706"/>
      <c r="T541" s="706"/>
      <c r="U541" s="706"/>
      <c r="V541" s="706"/>
      <c r="W541" s="706"/>
      <c r="X541" s="706"/>
      <c r="Y541" s="706"/>
      <c r="Z541" s="706"/>
      <c r="AA541" s="706"/>
      <c r="AB541" s="706"/>
      <c r="AC541" s="706"/>
    </row>
    <row r="542" spans="1:29">
      <c r="A542" s="2307"/>
      <c r="B542" s="2162" t="s">
        <v>278</v>
      </c>
      <c r="C542" s="2161"/>
      <c r="D542" s="2303">
        <f t="shared" si="100"/>
        <v>0</v>
      </c>
      <c r="E542" s="2304"/>
      <c r="F542" s="2304"/>
      <c r="G542" s="2304"/>
      <c r="H542" s="2304"/>
      <c r="I542" s="2304"/>
      <c r="J542" s="2371">
        <f t="shared" si="101"/>
        <v>0</v>
      </c>
      <c r="K542" s="2304"/>
      <c r="L542" s="2304"/>
      <c r="M542" s="2304"/>
      <c r="N542" s="2305">
        <f t="shared" si="102"/>
        <v>0</v>
      </c>
      <c r="O542" s="704"/>
      <c r="P542" s="705"/>
      <c r="Q542" s="705"/>
      <c r="R542" s="706"/>
      <c r="S542" s="706"/>
      <c r="T542" s="706"/>
      <c r="U542" s="706"/>
      <c r="V542" s="706"/>
      <c r="W542" s="706"/>
      <c r="X542" s="706"/>
      <c r="Y542" s="706"/>
      <c r="Z542" s="706"/>
      <c r="AA542" s="706"/>
      <c r="AB542" s="706"/>
      <c r="AC542" s="706"/>
    </row>
    <row r="543" spans="1:29">
      <c r="A543" s="2301">
        <v>8</v>
      </c>
      <c r="B543" s="2302" t="s">
        <v>279</v>
      </c>
      <c r="C543" s="2155">
        <v>8</v>
      </c>
      <c r="D543" s="2303">
        <f t="shared" si="100"/>
        <v>0</v>
      </c>
      <c r="E543" s="2304"/>
      <c r="F543" s="2304">
        <f>F544+F545</f>
        <v>0</v>
      </c>
      <c r="G543" s="2304">
        <f t="shared" ref="G543:M543" si="104">G544+G545</f>
        <v>0</v>
      </c>
      <c r="H543" s="2304">
        <f t="shared" si="104"/>
        <v>0</v>
      </c>
      <c r="I543" s="2304">
        <f t="shared" si="104"/>
        <v>0</v>
      </c>
      <c r="J543" s="2371">
        <f t="shared" si="101"/>
        <v>0</v>
      </c>
      <c r="K543" s="2304">
        <f t="shared" si="104"/>
        <v>0</v>
      </c>
      <c r="L543" s="2304">
        <f t="shared" si="104"/>
        <v>0</v>
      </c>
      <c r="M543" s="2304">
        <f t="shared" si="104"/>
        <v>0</v>
      </c>
      <c r="N543" s="2305">
        <f t="shared" si="102"/>
        <v>0</v>
      </c>
      <c r="O543" s="704"/>
      <c r="P543" s="705"/>
      <c r="Q543" s="705"/>
      <c r="R543" s="706"/>
      <c r="S543" s="706"/>
      <c r="T543" s="706"/>
      <c r="U543" s="706"/>
      <c r="V543" s="706"/>
      <c r="W543" s="706"/>
      <c r="X543" s="706"/>
      <c r="Y543" s="706"/>
      <c r="Z543" s="706"/>
      <c r="AA543" s="706"/>
      <c r="AB543" s="706"/>
      <c r="AC543" s="706"/>
    </row>
    <row r="544" spans="1:29">
      <c r="A544" s="2301"/>
      <c r="B544" s="2162" t="s">
        <v>280</v>
      </c>
      <c r="C544" s="2155"/>
      <c r="D544" s="2303">
        <f t="shared" si="100"/>
        <v>0</v>
      </c>
      <c r="E544" s="2304"/>
      <c r="F544" s="2304"/>
      <c r="G544" s="2304"/>
      <c r="H544" s="2304"/>
      <c r="I544" s="2304"/>
      <c r="J544" s="2371">
        <f t="shared" si="101"/>
        <v>0</v>
      </c>
      <c r="K544" s="2304"/>
      <c r="L544" s="2304"/>
      <c r="M544" s="2304"/>
      <c r="N544" s="2305">
        <f t="shared" si="102"/>
        <v>0</v>
      </c>
      <c r="O544" s="704"/>
      <c r="P544" s="705"/>
      <c r="Q544" s="705"/>
      <c r="R544" s="706"/>
      <c r="S544" s="706"/>
      <c r="T544" s="706"/>
      <c r="U544" s="706"/>
      <c r="V544" s="706"/>
      <c r="W544" s="706"/>
      <c r="X544" s="706"/>
      <c r="Y544" s="706"/>
      <c r="Z544" s="706"/>
      <c r="AA544" s="706"/>
      <c r="AB544" s="706"/>
      <c r="AC544" s="706"/>
    </row>
    <row r="545" spans="1:42">
      <c r="A545" s="2301"/>
      <c r="B545" s="2162" t="s">
        <v>281</v>
      </c>
      <c r="C545" s="2155"/>
      <c r="D545" s="2303">
        <f t="shared" si="100"/>
        <v>0</v>
      </c>
      <c r="E545" s="2304"/>
      <c r="F545" s="2304"/>
      <c r="G545" s="2304"/>
      <c r="H545" s="2304"/>
      <c r="I545" s="2304"/>
      <c r="J545" s="2371">
        <f t="shared" si="101"/>
        <v>0</v>
      </c>
      <c r="K545" s="2304"/>
      <c r="L545" s="2304"/>
      <c r="M545" s="2304"/>
      <c r="N545" s="2305">
        <f t="shared" si="102"/>
        <v>0</v>
      </c>
      <c r="O545" s="704"/>
      <c r="P545" s="705"/>
      <c r="Q545" s="705"/>
      <c r="R545" s="706"/>
      <c r="S545" s="706"/>
      <c r="T545" s="706"/>
      <c r="U545" s="706"/>
      <c r="V545" s="706"/>
      <c r="W545" s="706"/>
      <c r="X545" s="706"/>
      <c r="Y545" s="706"/>
      <c r="Z545" s="706"/>
      <c r="AA545" s="706"/>
      <c r="AB545" s="706"/>
      <c r="AC545" s="706"/>
    </row>
    <row r="546" spans="1:42" s="913" customFormat="1" ht="25.5">
      <c r="A546" s="2308">
        <v>9</v>
      </c>
      <c r="B546" s="2309" t="s">
        <v>282</v>
      </c>
      <c r="C546" s="2165"/>
      <c r="D546" s="2310">
        <f t="shared" si="100"/>
        <v>255605.03845714201</v>
      </c>
      <c r="E546" s="2311">
        <f>SUM(E547:E550)</f>
        <v>0</v>
      </c>
      <c r="F546" s="2311">
        <f>SUM(F547:F550)</f>
        <v>0</v>
      </c>
      <c r="G546" s="2311">
        <f>SUM(G547:G550)</f>
        <v>43252.928909999995</v>
      </c>
      <c r="H546" s="2311">
        <f>SUM(H547:H550)</f>
        <v>212352.10954714203</v>
      </c>
      <c r="I546" s="2311">
        <f>SUM(I547:I550)</f>
        <v>0</v>
      </c>
      <c r="J546" s="2367">
        <f>G546+H546+I546</f>
        <v>255605.03845714201</v>
      </c>
      <c r="K546" s="2311">
        <f>SUM(K547:K550)</f>
        <v>0</v>
      </c>
      <c r="L546" s="2311">
        <f>SUM(L547:L550)</f>
        <v>0</v>
      </c>
      <c r="M546" s="2311">
        <f>SUM(M547:M550)</f>
        <v>0</v>
      </c>
      <c r="N546" s="2312">
        <f t="shared" si="102"/>
        <v>0</v>
      </c>
      <c r="O546" s="1024"/>
      <c r="P546" s="1025"/>
      <c r="Q546" s="1025"/>
      <c r="R546" s="1027"/>
      <c r="S546" s="1027"/>
      <c r="T546" s="1027"/>
      <c r="U546" s="1027"/>
      <c r="V546" s="1027"/>
      <c r="W546" s="1027"/>
      <c r="X546" s="1027"/>
      <c r="Y546" s="1027"/>
      <c r="Z546" s="1027"/>
      <c r="AA546" s="1027"/>
      <c r="AB546" s="1027"/>
      <c r="AC546" s="1027"/>
      <c r="AE546" s="1028"/>
      <c r="AF546" s="1028"/>
      <c r="AG546" s="1028"/>
      <c r="AH546" s="1028"/>
      <c r="AI546" s="1028"/>
      <c r="AJ546" s="1028"/>
      <c r="AK546" s="1028"/>
      <c r="AL546" s="1028"/>
      <c r="AM546" s="1028"/>
      <c r="AN546" s="1028"/>
      <c r="AO546" s="1028"/>
      <c r="AP546" s="1028"/>
    </row>
    <row r="547" spans="1:42">
      <c r="A547" s="2307">
        <v>10</v>
      </c>
      <c r="B547" s="2171" t="s">
        <v>283</v>
      </c>
      <c r="C547" s="2155">
        <v>9</v>
      </c>
      <c r="D547" s="2303">
        <f t="shared" si="100"/>
        <v>0</v>
      </c>
      <c r="E547" s="2304"/>
      <c r="F547" s="2304"/>
      <c r="G547" s="2304"/>
      <c r="H547" s="2304"/>
      <c r="I547" s="2304"/>
      <c r="J547" s="2371">
        <f t="shared" ref="J547:J565" si="105">G547+H547+I547</f>
        <v>0</v>
      </c>
      <c r="K547" s="2304"/>
      <c r="L547" s="2304"/>
      <c r="M547" s="2304"/>
      <c r="N547" s="2305">
        <f t="shared" si="102"/>
        <v>0</v>
      </c>
      <c r="O547" s="704"/>
      <c r="P547" s="705"/>
      <c r="Q547" s="705"/>
      <c r="R547" s="706"/>
      <c r="S547" s="706"/>
      <c r="T547" s="706"/>
      <c r="U547" s="706"/>
      <c r="V547" s="706"/>
      <c r="W547" s="706"/>
      <c r="X547" s="706"/>
      <c r="Y547" s="706"/>
      <c r="Z547" s="706"/>
      <c r="AA547" s="706"/>
      <c r="AB547" s="706"/>
      <c r="AC547" s="706"/>
    </row>
    <row r="548" spans="1:42">
      <c r="A548" s="2307">
        <v>11</v>
      </c>
      <c r="B548" s="2171" t="s">
        <v>284</v>
      </c>
      <c r="C548" s="2155">
        <v>10</v>
      </c>
      <c r="D548" s="2303">
        <f t="shared" si="100"/>
        <v>116093.36045714204</v>
      </c>
      <c r="E548" s="2304"/>
      <c r="F548" s="2304">
        <v>0</v>
      </c>
      <c r="G548" s="2340">
        <v>1359.5662600000001</v>
      </c>
      <c r="H548" s="2340">
        <v>114733.79419714204</v>
      </c>
      <c r="I548" s="2304"/>
      <c r="J548" s="2371">
        <f t="shared" si="105"/>
        <v>116093.36045714204</v>
      </c>
      <c r="K548" s="2304"/>
      <c r="L548" s="2304"/>
      <c r="M548" s="2304"/>
      <c r="N548" s="2305">
        <f t="shared" si="102"/>
        <v>0</v>
      </c>
      <c r="O548" s="704"/>
      <c r="P548" s="705"/>
      <c r="Q548" s="705"/>
      <c r="R548" s="706"/>
      <c r="S548" s="706"/>
      <c r="T548" s="706"/>
      <c r="U548" s="706"/>
      <c r="V548" s="706"/>
      <c r="W548" s="706"/>
      <c r="X548" s="706"/>
      <c r="Y548" s="706"/>
      <c r="Z548" s="706"/>
      <c r="AA548" s="706"/>
      <c r="AB548" s="706"/>
      <c r="AC548" s="706"/>
    </row>
    <row r="549" spans="1:42">
      <c r="A549" s="2307">
        <v>12</v>
      </c>
      <c r="B549" s="2171" t="s">
        <v>285</v>
      </c>
      <c r="C549" s="2155">
        <v>11</v>
      </c>
      <c r="D549" s="2303"/>
      <c r="E549" s="2304"/>
      <c r="F549" s="2304">
        <v>0</v>
      </c>
      <c r="G549" s="1008">
        <v>0</v>
      </c>
      <c r="H549" s="1008">
        <v>0</v>
      </c>
      <c r="I549" s="2304"/>
      <c r="J549" s="2371">
        <f t="shared" si="105"/>
        <v>0</v>
      </c>
      <c r="K549" s="2304"/>
      <c r="L549" s="2304"/>
      <c r="M549" s="2304"/>
      <c r="N549" s="2305">
        <f t="shared" si="102"/>
        <v>0</v>
      </c>
      <c r="O549" s="704"/>
      <c r="P549" s="705"/>
      <c r="Q549" s="705"/>
      <c r="R549" s="706"/>
      <c r="S549" s="706"/>
      <c r="T549" s="706"/>
      <c r="U549" s="706"/>
      <c r="V549" s="706"/>
      <c r="W549" s="706"/>
      <c r="X549" s="706"/>
      <c r="Y549" s="706"/>
      <c r="Z549" s="706"/>
      <c r="AA549" s="706"/>
      <c r="AB549" s="706"/>
      <c r="AC549" s="706"/>
    </row>
    <row r="550" spans="1:42" ht="25.5">
      <c r="A550" s="2307">
        <v>13</v>
      </c>
      <c r="B550" s="2171" t="s">
        <v>286</v>
      </c>
      <c r="C550" s="2155">
        <v>12</v>
      </c>
      <c r="D550" s="2303">
        <f t="shared" si="100"/>
        <v>139511.67799999999</v>
      </c>
      <c r="E550" s="2304"/>
      <c r="F550" s="2304">
        <v>0</v>
      </c>
      <c r="G550" s="1010">
        <v>41893.362649999995</v>
      </c>
      <c r="H550" s="1010">
        <v>97618.31534999999</v>
      </c>
      <c r="I550" s="2304"/>
      <c r="J550" s="2371">
        <f t="shared" si="105"/>
        <v>139511.67799999999</v>
      </c>
      <c r="K550" s="2304"/>
      <c r="L550" s="2304"/>
      <c r="M550" s="2304"/>
      <c r="N550" s="2305">
        <f t="shared" si="102"/>
        <v>0</v>
      </c>
      <c r="O550" s="704"/>
      <c r="P550" s="705"/>
      <c r="Q550" s="705"/>
      <c r="R550" s="706"/>
      <c r="S550" s="706"/>
      <c r="T550" s="706"/>
      <c r="U550" s="706"/>
      <c r="V550" s="706"/>
      <c r="W550" s="706"/>
      <c r="X550" s="706"/>
      <c r="Y550" s="706"/>
      <c r="Z550" s="706"/>
      <c r="AA550" s="706"/>
      <c r="AB550" s="706"/>
      <c r="AC550" s="706"/>
    </row>
    <row r="551" spans="1:42">
      <c r="A551" s="2307">
        <v>14</v>
      </c>
      <c r="B551" s="2154" t="s">
        <v>287</v>
      </c>
      <c r="C551" s="2155">
        <v>13</v>
      </c>
      <c r="D551" s="2303">
        <f t="shared" si="100"/>
        <v>35795.196369999998</v>
      </c>
      <c r="E551" s="2304"/>
      <c r="F551" s="2304">
        <v>0</v>
      </c>
      <c r="G551" s="1010">
        <v>35795.196369999998</v>
      </c>
      <c r="H551" s="1008">
        <v>0</v>
      </c>
      <c r="I551" s="2304"/>
      <c r="J551" s="2371">
        <f t="shared" si="105"/>
        <v>35795.196369999998</v>
      </c>
      <c r="K551" s="2304"/>
      <c r="L551" s="2304"/>
      <c r="M551" s="2304"/>
      <c r="N551" s="2305">
        <f t="shared" si="102"/>
        <v>0</v>
      </c>
      <c r="O551" s="704"/>
      <c r="P551" s="705"/>
      <c r="Q551" s="705"/>
      <c r="R551" s="706"/>
      <c r="S551" s="706"/>
      <c r="T551" s="706"/>
      <c r="U551" s="706"/>
      <c r="V551" s="706"/>
      <c r="W551" s="706"/>
      <c r="X551" s="706"/>
      <c r="Y551" s="706"/>
      <c r="Z551" s="706"/>
      <c r="AA551" s="706"/>
      <c r="AB551" s="706"/>
      <c r="AC551" s="706"/>
    </row>
    <row r="552" spans="1:42">
      <c r="A552" s="2307">
        <v>15</v>
      </c>
      <c r="B552" s="2154" t="s">
        <v>288</v>
      </c>
      <c r="C552" s="2161">
        <v>14</v>
      </c>
      <c r="D552" s="2303">
        <f t="shared" si="100"/>
        <v>0</v>
      </c>
      <c r="E552" s="2304"/>
      <c r="F552" s="2304">
        <v>0</v>
      </c>
      <c r="G552" s="1008">
        <v>0</v>
      </c>
      <c r="H552" s="1008">
        <v>0</v>
      </c>
      <c r="I552" s="2304"/>
      <c r="J552" s="2371">
        <f t="shared" si="105"/>
        <v>0</v>
      </c>
      <c r="K552" s="2304"/>
      <c r="L552" s="2304"/>
      <c r="M552" s="2304"/>
      <c r="N552" s="2305">
        <f t="shared" si="102"/>
        <v>0</v>
      </c>
      <c r="O552" s="704"/>
      <c r="P552" s="705"/>
      <c r="Q552" s="705"/>
      <c r="R552" s="706"/>
      <c r="S552" s="706"/>
      <c r="T552" s="706"/>
      <c r="U552" s="706"/>
      <c r="V552" s="706"/>
      <c r="W552" s="706"/>
      <c r="X552" s="706"/>
      <c r="Y552" s="706"/>
      <c r="Z552" s="706"/>
      <c r="AA552" s="706"/>
      <c r="AB552" s="706"/>
      <c r="AC552" s="706"/>
    </row>
    <row r="553" spans="1:42">
      <c r="A553" s="2307">
        <v>16</v>
      </c>
      <c r="B553" s="2154" t="s">
        <v>289</v>
      </c>
      <c r="C553" s="2155">
        <v>15</v>
      </c>
      <c r="D553" s="2303">
        <f t="shared" si="100"/>
        <v>0</v>
      </c>
      <c r="E553" s="2304"/>
      <c r="F553" s="2304">
        <v>0</v>
      </c>
      <c r="G553" s="1008">
        <v>0</v>
      </c>
      <c r="H553" s="1008">
        <v>0</v>
      </c>
      <c r="I553" s="2304"/>
      <c r="J553" s="2371">
        <f t="shared" si="105"/>
        <v>0</v>
      </c>
      <c r="K553" s="2304"/>
      <c r="L553" s="2304"/>
      <c r="M553" s="2304"/>
      <c r="N553" s="2305">
        <f t="shared" si="102"/>
        <v>0</v>
      </c>
      <c r="O553" s="704"/>
      <c r="P553" s="705"/>
      <c r="Q553" s="705"/>
      <c r="R553" s="706"/>
      <c r="S553" s="706"/>
      <c r="T553" s="706"/>
      <c r="U553" s="706"/>
      <c r="V553" s="706"/>
      <c r="W553" s="706"/>
      <c r="X553" s="706"/>
      <c r="Y553" s="706"/>
      <c r="Z553" s="706"/>
      <c r="AA553" s="706"/>
      <c r="AB553" s="706"/>
      <c r="AC553" s="706"/>
    </row>
    <row r="554" spans="1:42">
      <c r="A554" s="2307">
        <v>17</v>
      </c>
      <c r="B554" s="2154" t="s">
        <v>290</v>
      </c>
      <c r="C554" s="2161">
        <v>16</v>
      </c>
      <c r="D554" s="2303">
        <f t="shared" si="100"/>
        <v>187893.16306700947</v>
      </c>
      <c r="E554" s="2304"/>
      <c r="F554" s="2304">
        <v>0</v>
      </c>
      <c r="G554" s="1008">
        <v>-10.78237</v>
      </c>
      <c r="H554" s="1010">
        <v>187903.94543700948</v>
      </c>
      <c r="I554" s="2304"/>
      <c r="J554" s="2371">
        <f t="shared" si="105"/>
        <v>187893.16306700947</v>
      </c>
      <c r="K554" s="2304"/>
      <c r="L554" s="2304"/>
      <c r="M554" s="2304"/>
      <c r="N554" s="2305">
        <f t="shared" si="102"/>
        <v>0</v>
      </c>
      <c r="O554" s="704"/>
      <c r="P554" s="705"/>
      <c r="Q554" s="705"/>
      <c r="R554" s="706"/>
      <c r="S554" s="706"/>
      <c r="T554" s="706"/>
      <c r="U554" s="706"/>
      <c r="V554" s="706"/>
      <c r="W554" s="706"/>
      <c r="X554" s="706"/>
      <c r="Y554" s="706"/>
      <c r="Z554" s="706"/>
      <c r="AA554" s="706"/>
      <c r="AB554" s="706"/>
      <c r="AC554" s="706"/>
    </row>
    <row r="555" spans="1:42">
      <c r="A555" s="2307">
        <v>18</v>
      </c>
      <c r="B555" s="2154" t="s">
        <v>291</v>
      </c>
      <c r="C555" s="2155"/>
      <c r="D555" s="2303">
        <f t="shared" si="100"/>
        <v>0</v>
      </c>
      <c r="E555" s="2304"/>
      <c r="F555" s="2304">
        <v>0</v>
      </c>
      <c r="G555" s="1008">
        <v>0</v>
      </c>
      <c r="H555" s="1008">
        <v>0</v>
      </c>
      <c r="I555" s="2304"/>
      <c r="J555" s="2371">
        <f t="shared" si="105"/>
        <v>0</v>
      </c>
      <c r="K555" s="2304"/>
      <c r="L555" s="2304"/>
      <c r="M555" s="2304"/>
      <c r="N555" s="2305">
        <f t="shared" si="102"/>
        <v>0</v>
      </c>
      <c r="O555" s="704"/>
      <c r="P555" s="705"/>
      <c r="Q555" s="705"/>
      <c r="R555" s="706"/>
      <c r="S555" s="706"/>
      <c r="T555" s="706"/>
      <c r="U555" s="706"/>
      <c r="V555" s="706"/>
      <c r="W555" s="706"/>
      <c r="X555" s="706"/>
      <c r="Y555" s="706"/>
      <c r="Z555" s="706"/>
      <c r="AA555" s="706"/>
      <c r="AB555" s="706"/>
      <c r="AC555" s="706"/>
    </row>
    <row r="556" spans="1:42" ht="13.5" thickBot="1">
      <c r="A556" s="2314">
        <v>19</v>
      </c>
      <c r="B556" s="2173" t="s">
        <v>292</v>
      </c>
      <c r="C556" s="2172"/>
      <c r="D556" s="1485">
        <f t="shared" si="100"/>
        <v>55983.682650000002</v>
      </c>
      <c r="E556" s="998"/>
      <c r="F556" s="998">
        <v>0</v>
      </c>
      <c r="G556" s="1015">
        <v>1530.0280999999998</v>
      </c>
      <c r="H556" s="1015">
        <v>54453.654549999999</v>
      </c>
      <c r="I556" s="998"/>
      <c r="J556" s="1538">
        <f t="shared" si="105"/>
        <v>55983.682650000002</v>
      </c>
      <c r="K556" s="998"/>
      <c r="L556" s="998"/>
      <c r="M556" s="998"/>
      <c r="N556" s="1489">
        <f t="shared" si="102"/>
        <v>0</v>
      </c>
      <c r="O556" s="704"/>
      <c r="P556" s="705"/>
      <c r="Q556" s="705"/>
      <c r="R556" s="706"/>
      <c r="S556" s="706"/>
      <c r="T556" s="706"/>
      <c r="U556" s="706"/>
      <c r="V556" s="706"/>
      <c r="W556" s="706"/>
      <c r="X556" s="706"/>
      <c r="Y556" s="706"/>
      <c r="Z556" s="706"/>
      <c r="AA556" s="706"/>
      <c r="AB556" s="706"/>
      <c r="AC556" s="706"/>
    </row>
    <row r="557" spans="1:42" ht="26.25" thickBot="1">
      <c r="A557" s="1493">
        <v>20</v>
      </c>
      <c r="B557" s="1352" t="s">
        <v>293</v>
      </c>
      <c r="C557" s="1351"/>
      <c r="D557" s="1494">
        <f t="shared" si="100"/>
        <v>535277.08054415148</v>
      </c>
      <c r="E557" s="1494">
        <f>SUM(E534:E540)+E543+E546+SUM(E551:E556)</f>
        <v>0</v>
      </c>
      <c r="F557" s="1494">
        <f>SUM(F534:F540)+F543+F546+SUM(F551:F556)</f>
        <v>0</v>
      </c>
      <c r="G557" s="1494">
        <f>SUM(G534:G540)+G543+G546+SUM(G551:G556)</f>
        <v>80567.371010000003</v>
      </c>
      <c r="H557" s="1494">
        <f>SUM(H534:H540)+H543+H546+SUM(H551:H556)</f>
        <v>454709.70953415148</v>
      </c>
      <c r="I557" s="1494">
        <f>SUM(I534:I540)+I543+I546+SUM(I551:I556)</f>
        <v>0</v>
      </c>
      <c r="J557" s="1494">
        <f t="shared" si="105"/>
        <v>535277.08054415148</v>
      </c>
      <c r="K557" s="1494">
        <f>SUM(K534:K540)+K543+K546+SUM(K551:K556)</f>
        <v>0</v>
      </c>
      <c r="L557" s="1494">
        <f>SUM(L534:L540)+L543+L546+SUM(L551:L556)</f>
        <v>0</v>
      </c>
      <c r="M557" s="1494">
        <f>SUM(M534:M540)+M543+M546+SUM(M551:M556)</f>
        <v>0</v>
      </c>
      <c r="N557" s="1494">
        <f t="shared" si="102"/>
        <v>0</v>
      </c>
      <c r="O557" s="704"/>
      <c r="P557" s="705"/>
      <c r="Q557" s="705"/>
      <c r="R557" s="706"/>
      <c r="S557" s="706"/>
      <c r="T557" s="706"/>
      <c r="U557" s="706"/>
      <c r="V557" s="706"/>
      <c r="W557" s="706"/>
      <c r="X557" s="706"/>
      <c r="Y557" s="706"/>
      <c r="Z557" s="706"/>
      <c r="AA557" s="706"/>
      <c r="AB557" s="706"/>
      <c r="AC557" s="706"/>
    </row>
    <row r="558" spans="1:42">
      <c r="A558" s="1483"/>
      <c r="B558" s="1481" t="s">
        <v>294</v>
      </c>
      <c r="C558" s="1346"/>
      <c r="D558" s="1487">
        <f t="shared" si="100"/>
        <v>0</v>
      </c>
      <c r="E558" s="996"/>
      <c r="F558" s="996"/>
      <c r="G558" s="996"/>
      <c r="H558" s="996"/>
      <c r="I558" s="996"/>
      <c r="J558" s="1491">
        <f t="shared" si="105"/>
        <v>0</v>
      </c>
      <c r="K558" s="996"/>
      <c r="L558" s="996"/>
      <c r="M558" s="996"/>
      <c r="N558" s="1491">
        <f t="shared" si="102"/>
        <v>0</v>
      </c>
      <c r="O558" s="704"/>
      <c r="P558" s="705"/>
      <c r="Q558" s="705"/>
      <c r="R558" s="706"/>
      <c r="S558" s="706"/>
      <c r="T558" s="706"/>
      <c r="U558" s="706"/>
      <c r="V558" s="706"/>
      <c r="W558" s="706"/>
      <c r="X558" s="706"/>
      <c r="Y558" s="706"/>
      <c r="Z558" s="706"/>
      <c r="AA558" s="706"/>
      <c r="AB558" s="706"/>
      <c r="AC558" s="706"/>
    </row>
    <row r="559" spans="1:42">
      <c r="A559" s="2307"/>
      <c r="B559" s="2316" t="s">
        <v>295</v>
      </c>
      <c r="C559" s="2155"/>
      <c r="D559" s="2303">
        <f t="shared" si="100"/>
        <v>0</v>
      </c>
      <c r="E559" s="2304"/>
      <c r="F559" s="2304"/>
      <c r="G559" s="2304"/>
      <c r="H559" s="2304"/>
      <c r="I559" s="2304"/>
      <c r="J559" s="2305">
        <f t="shared" si="105"/>
        <v>0</v>
      </c>
      <c r="K559" s="2304"/>
      <c r="L559" s="2304"/>
      <c r="M559" s="2304"/>
      <c r="N559" s="2305">
        <f t="shared" si="102"/>
        <v>0</v>
      </c>
      <c r="O559" s="704"/>
      <c r="P559" s="705"/>
      <c r="Q559" s="705"/>
      <c r="R559" s="706"/>
      <c r="S559" s="706"/>
      <c r="T559" s="706"/>
      <c r="U559" s="706"/>
      <c r="V559" s="706"/>
      <c r="W559" s="706"/>
      <c r="X559" s="706"/>
      <c r="Y559" s="706"/>
      <c r="Z559" s="706"/>
      <c r="AA559" s="706"/>
      <c r="AB559" s="706"/>
      <c r="AC559" s="706"/>
    </row>
    <row r="560" spans="1:42">
      <c r="A560" s="2307">
        <v>21</v>
      </c>
      <c r="B560" s="2154" t="s">
        <v>296</v>
      </c>
      <c r="C560" s="2161">
        <v>17</v>
      </c>
      <c r="D560" s="2303">
        <f t="shared" si="100"/>
        <v>58331.640740000352</v>
      </c>
      <c r="E560" s="2304"/>
      <c r="F560" s="2304">
        <v>0</v>
      </c>
      <c r="G560" s="2340">
        <v>-245136.45315794123</v>
      </c>
      <c r="H560" s="2340">
        <v>303468.09389794158</v>
      </c>
      <c r="I560" s="2304"/>
      <c r="J560" s="2305">
        <f t="shared" si="105"/>
        <v>58331.640740000352</v>
      </c>
      <c r="K560" s="2304"/>
      <c r="L560" s="2304"/>
      <c r="M560" s="2304"/>
      <c r="N560" s="2305">
        <f t="shared" si="102"/>
        <v>0</v>
      </c>
      <c r="O560" s="704"/>
      <c r="P560" s="705"/>
      <c r="Q560" s="705"/>
      <c r="R560" s="706"/>
      <c r="S560" s="706"/>
      <c r="T560" s="706"/>
      <c r="U560" s="706"/>
      <c r="V560" s="706"/>
      <c r="W560" s="706"/>
      <c r="X560" s="706"/>
      <c r="Y560" s="706"/>
      <c r="Z560" s="706"/>
      <c r="AA560" s="706"/>
      <c r="AB560" s="706"/>
      <c r="AC560" s="706"/>
    </row>
    <row r="561" spans="1:29">
      <c r="A561" s="2307">
        <v>22</v>
      </c>
      <c r="B561" s="2154" t="s">
        <v>297</v>
      </c>
      <c r="C561" s="2155"/>
      <c r="D561" s="2303">
        <f t="shared" si="100"/>
        <v>0</v>
      </c>
      <c r="E561" s="2304"/>
      <c r="F561" s="2304">
        <v>0</v>
      </c>
      <c r="G561" s="2304">
        <v>0</v>
      </c>
      <c r="H561" s="2304">
        <v>0</v>
      </c>
      <c r="I561" s="2304"/>
      <c r="J561" s="2305">
        <f t="shared" si="105"/>
        <v>0</v>
      </c>
      <c r="K561" s="2304"/>
      <c r="L561" s="2304"/>
      <c r="M561" s="2304"/>
      <c r="N561" s="2305">
        <f t="shared" si="102"/>
        <v>0</v>
      </c>
      <c r="O561" s="704"/>
      <c r="P561" s="705"/>
      <c r="Q561" s="705"/>
      <c r="R561" s="706"/>
      <c r="S561" s="706"/>
      <c r="T561" s="706"/>
      <c r="U561" s="706"/>
      <c r="V561" s="706"/>
      <c r="W561" s="706"/>
      <c r="X561" s="706"/>
      <c r="Y561" s="706"/>
      <c r="Z561" s="706"/>
      <c r="AA561" s="706"/>
      <c r="AB561" s="706"/>
      <c r="AC561" s="706"/>
    </row>
    <row r="562" spans="1:29">
      <c r="A562" s="2307">
        <v>23</v>
      </c>
      <c r="B562" s="2154" t="s">
        <v>298</v>
      </c>
      <c r="C562" s="2155">
        <v>18</v>
      </c>
      <c r="D562" s="2303">
        <f t="shared" si="100"/>
        <v>0</v>
      </c>
      <c r="E562" s="2304"/>
      <c r="F562" s="2304">
        <v>0</v>
      </c>
      <c r="G562" s="2304">
        <v>0</v>
      </c>
      <c r="H562" s="2304">
        <v>0</v>
      </c>
      <c r="I562" s="2304"/>
      <c r="J562" s="2305">
        <f t="shared" si="105"/>
        <v>0</v>
      </c>
      <c r="K562" s="2304"/>
      <c r="L562" s="2304"/>
      <c r="M562" s="2304"/>
      <c r="N562" s="2305">
        <f t="shared" si="102"/>
        <v>0</v>
      </c>
      <c r="O562" s="704"/>
      <c r="P562" s="705"/>
      <c r="Q562" s="705"/>
      <c r="R562" s="706"/>
      <c r="S562" s="706"/>
      <c r="T562" s="706"/>
      <c r="U562" s="706"/>
      <c r="V562" s="706"/>
      <c r="W562" s="706"/>
      <c r="X562" s="706"/>
      <c r="Y562" s="706"/>
      <c r="Z562" s="706"/>
      <c r="AA562" s="706"/>
      <c r="AB562" s="706"/>
      <c r="AC562" s="706"/>
    </row>
    <row r="563" spans="1:29">
      <c r="A563" s="2307">
        <v>24</v>
      </c>
      <c r="B563" s="2154" t="s">
        <v>299</v>
      </c>
      <c r="C563" s="2155"/>
      <c r="D563" s="2303">
        <f t="shared" si="100"/>
        <v>0</v>
      </c>
      <c r="E563" s="2304"/>
      <c r="F563" s="2304">
        <v>0</v>
      </c>
      <c r="G563" s="2304">
        <v>0</v>
      </c>
      <c r="H563" s="2304">
        <v>0</v>
      </c>
      <c r="I563" s="2304"/>
      <c r="J563" s="2305">
        <f t="shared" si="105"/>
        <v>0</v>
      </c>
      <c r="K563" s="2304"/>
      <c r="L563" s="2304"/>
      <c r="M563" s="2304"/>
      <c r="N563" s="2305">
        <f t="shared" si="102"/>
        <v>0</v>
      </c>
      <c r="O563" s="704"/>
      <c r="P563" s="705"/>
      <c r="Q563" s="705"/>
      <c r="R563" s="706"/>
      <c r="S563" s="706"/>
      <c r="T563" s="706"/>
      <c r="U563" s="706"/>
      <c r="V563" s="706"/>
      <c r="W563" s="706"/>
      <c r="X563" s="706"/>
      <c r="Y563" s="706"/>
      <c r="Z563" s="706"/>
      <c r="AA563" s="706"/>
      <c r="AB563" s="706"/>
      <c r="AC563" s="706"/>
    </row>
    <row r="564" spans="1:29">
      <c r="A564" s="2307">
        <v>25</v>
      </c>
      <c r="B564" s="2176" t="s">
        <v>300</v>
      </c>
      <c r="C564" s="2155"/>
      <c r="D564" s="2303">
        <f t="shared" si="100"/>
        <v>156797.53087000002</v>
      </c>
      <c r="E564" s="2304"/>
      <c r="F564" s="2304">
        <v>0</v>
      </c>
      <c r="G564" s="2340">
        <v>65210.730869999999</v>
      </c>
      <c r="H564" s="2304">
        <v>91586.8</v>
      </c>
      <c r="I564" s="2304"/>
      <c r="J564" s="2305">
        <f t="shared" si="105"/>
        <v>156797.53087000002</v>
      </c>
      <c r="K564" s="2304"/>
      <c r="L564" s="2304"/>
      <c r="M564" s="2304"/>
      <c r="N564" s="2305">
        <f t="shared" si="102"/>
        <v>0</v>
      </c>
      <c r="O564" s="704"/>
      <c r="P564" s="705"/>
      <c r="Q564" s="705"/>
      <c r="R564" s="706"/>
      <c r="S564" s="706"/>
      <c r="T564" s="706"/>
      <c r="U564" s="706"/>
      <c r="V564" s="706"/>
      <c r="W564" s="706"/>
      <c r="X564" s="706"/>
      <c r="Y564" s="706"/>
      <c r="Z564" s="706"/>
      <c r="AA564" s="706"/>
      <c r="AB564" s="706"/>
      <c r="AC564" s="706"/>
    </row>
    <row r="565" spans="1:29" ht="13.5" thickBot="1">
      <c r="A565" s="2314">
        <v>26</v>
      </c>
      <c r="B565" s="2173" t="s">
        <v>301</v>
      </c>
      <c r="C565" s="2177">
        <v>19</v>
      </c>
      <c r="D565" s="1485">
        <f t="shared" si="100"/>
        <v>320147.4578370091</v>
      </c>
      <c r="E565" s="998"/>
      <c r="F565" s="998">
        <v>0</v>
      </c>
      <c r="G565" s="1004">
        <v>260492.96984700911</v>
      </c>
      <c r="H565" s="1004">
        <v>59654.487990000001</v>
      </c>
      <c r="I565" s="998"/>
      <c r="J565" s="1489">
        <f t="shared" si="105"/>
        <v>320147.4578370091</v>
      </c>
      <c r="K565" s="998"/>
      <c r="L565" s="998"/>
      <c r="M565" s="998"/>
      <c r="N565" s="1489">
        <f t="shared" si="102"/>
        <v>0</v>
      </c>
      <c r="O565" s="704"/>
      <c r="P565" s="705"/>
      <c r="Q565" s="705"/>
      <c r="R565" s="706"/>
      <c r="S565" s="706"/>
      <c r="T565" s="706"/>
      <c r="U565" s="706"/>
      <c r="V565" s="706"/>
      <c r="W565" s="706"/>
      <c r="X565" s="706"/>
      <c r="Y565" s="706"/>
      <c r="Z565" s="706"/>
      <c r="AA565" s="706"/>
      <c r="AB565" s="706"/>
      <c r="AC565" s="706"/>
    </row>
    <row r="566" spans="1:29" ht="26.25" thickBot="1">
      <c r="A566" s="1482">
        <v>27</v>
      </c>
      <c r="B566" s="1349" t="s">
        <v>302</v>
      </c>
      <c r="C566" s="1348"/>
      <c r="D566" s="1499">
        <f t="shared" si="100"/>
        <v>535276.62944700941</v>
      </c>
      <c r="E566" s="1019">
        <f>SUM(E560:E565)</f>
        <v>0</v>
      </c>
      <c r="F566" s="1019">
        <f>SUM(F560:F565)</f>
        <v>0</v>
      </c>
      <c r="G566" s="1019">
        <f>SUM(G560:G565)</f>
        <v>80567.247559067881</v>
      </c>
      <c r="H566" s="1019">
        <f>SUM(H560:H565)</f>
        <v>454709.38188794156</v>
      </c>
      <c r="I566" s="1019">
        <f>SUM(I560:I565)</f>
        <v>0</v>
      </c>
      <c r="J566" s="1513">
        <f>G566+H566+I566</f>
        <v>535276.62944700941</v>
      </c>
      <c r="K566" s="1019">
        <f>SUM(K560:K565)</f>
        <v>0</v>
      </c>
      <c r="L566" s="1019">
        <f>SUM(L560:L565)</f>
        <v>0</v>
      </c>
      <c r="M566" s="1019">
        <f>SUM(M560:M565)</f>
        <v>0</v>
      </c>
      <c r="N566" s="1519">
        <f t="shared" si="102"/>
        <v>0</v>
      </c>
      <c r="O566" s="704"/>
      <c r="P566" s="705"/>
      <c r="Q566" s="705"/>
      <c r="R566" s="706"/>
      <c r="S566" s="706"/>
      <c r="T566" s="706"/>
      <c r="U566" s="706"/>
      <c r="V566" s="706"/>
      <c r="W566" s="706"/>
      <c r="X566" s="706"/>
      <c r="Y566" s="706"/>
      <c r="Z566" s="706"/>
      <c r="AA566" s="706"/>
      <c r="AB566" s="706"/>
      <c r="AC566" s="706"/>
    </row>
    <row r="567" spans="1:29">
      <c r="A567" s="1483"/>
      <c r="B567" s="1481" t="s">
        <v>303</v>
      </c>
      <c r="C567" s="1346">
        <v>20</v>
      </c>
      <c r="D567" s="1487">
        <f t="shared" si="100"/>
        <v>0</v>
      </c>
      <c r="E567" s="996"/>
      <c r="F567" s="996"/>
      <c r="G567" s="996"/>
      <c r="H567" s="996"/>
      <c r="I567" s="996"/>
      <c r="J567" s="1503">
        <f t="shared" ref="J567:J573" si="106">G567+H567+I567</f>
        <v>0</v>
      </c>
      <c r="K567" s="996"/>
      <c r="L567" s="996"/>
      <c r="M567" s="996"/>
      <c r="N567" s="1491">
        <f t="shared" si="102"/>
        <v>0</v>
      </c>
      <c r="O567" s="704"/>
      <c r="P567" s="705"/>
      <c r="Q567" s="705"/>
      <c r="R567" s="706"/>
      <c r="S567" s="706"/>
      <c r="T567" s="706"/>
      <c r="U567" s="706"/>
      <c r="V567" s="706"/>
      <c r="W567" s="706"/>
      <c r="X567" s="706"/>
      <c r="Y567" s="706"/>
      <c r="Z567" s="706"/>
      <c r="AA567" s="706"/>
      <c r="AB567" s="706"/>
      <c r="AC567" s="706"/>
    </row>
    <row r="568" spans="1:29">
      <c r="A568" s="2307">
        <v>28</v>
      </c>
      <c r="B568" s="2302" t="s">
        <v>304</v>
      </c>
      <c r="C568" s="2161"/>
      <c r="D568" s="2303">
        <f t="shared" si="100"/>
        <v>0</v>
      </c>
      <c r="E568" s="2304"/>
      <c r="F568" s="2304"/>
      <c r="G568" s="2304"/>
      <c r="H568" s="2304"/>
      <c r="I568" s="2304"/>
      <c r="J568" s="2371">
        <f t="shared" si="106"/>
        <v>0</v>
      </c>
      <c r="K568" s="2304"/>
      <c r="L568" s="2304"/>
      <c r="M568" s="2304"/>
      <c r="N568" s="2305">
        <f t="shared" si="102"/>
        <v>0</v>
      </c>
      <c r="O568" s="704"/>
      <c r="P568" s="705"/>
      <c r="Q568" s="705"/>
      <c r="R568" s="706"/>
      <c r="S568" s="706"/>
      <c r="T568" s="706"/>
      <c r="U568" s="706"/>
      <c r="V568" s="706"/>
      <c r="W568" s="706"/>
      <c r="X568" s="706"/>
      <c r="Y568" s="706"/>
      <c r="Z568" s="706"/>
      <c r="AA568" s="706"/>
      <c r="AB568" s="706"/>
      <c r="AC568" s="706"/>
    </row>
    <row r="569" spans="1:29">
      <c r="A569" s="2307">
        <v>29</v>
      </c>
      <c r="B569" s="2302" t="s">
        <v>305</v>
      </c>
      <c r="C569" s="2161"/>
      <c r="D569" s="2303">
        <f t="shared" si="100"/>
        <v>0</v>
      </c>
      <c r="E569" s="2304"/>
      <c r="F569" s="2304"/>
      <c r="G569" s="2304"/>
      <c r="H569" s="2304"/>
      <c r="I569" s="2304"/>
      <c r="J569" s="2371">
        <f t="shared" si="106"/>
        <v>0</v>
      </c>
      <c r="K569" s="2304"/>
      <c r="L569" s="2304"/>
      <c r="M569" s="2304"/>
      <c r="N569" s="2305">
        <f t="shared" si="102"/>
        <v>0</v>
      </c>
      <c r="O569" s="704"/>
      <c r="P569" s="705"/>
      <c r="Q569" s="705"/>
      <c r="R569" s="706"/>
      <c r="S569" s="706"/>
      <c r="T569" s="706"/>
      <c r="U569" s="706"/>
      <c r="V569" s="706"/>
      <c r="W569" s="706"/>
      <c r="X569" s="706"/>
      <c r="Y569" s="706"/>
      <c r="Z569" s="706"/>
      <c r="AA569" s="706"/>
      <c r="AB569" s="706"/>
      <c r="AC569" s="706"/>
    </row>
    <row r="570" spans="1:29">
      <c r="A570" s="2307">
        <v>30</v>
      </c>
      <c r="B570" s="2317" t="s">
        <v>306</v>
      </c>
      <c r="C570" s="2177"/>
      <c r="D570" s="2303">
        <f t="shared" si="100"/>
        <v>0</v>
      </c>
      <c r="E570" s="2304"/>
      <c r="F570" s="2304"/>
      <c r="G570" s="2304"/>
      <c r="H570" s="2304"/>
      <c r="I570" s="2304"/>
      <c r="J570" s="2371">
        <f t="shared" si="106"/>
        <v>0</v>
      </c>
      <c r="K570" s="2304"/>
      <c r="L570" s="2304"/>
      <c r="M570" s="2304"/>
      <c r="N570" s="2305">
        <f t="shared" si="102"/>
        <v>0</v>
      </c>
      <c r="O570" s="704"/>
      <c r="P570" s="705"/>
      <c r="Q570" s="705"/>
      <c r="R570" s="706"/>
      <c r="S570" s="706"/>
      <c r="T570" s="706"/>
      <c r="U570" s="706"/>
      <c r="V570" s="706"/>
      <c r="W570" s="706"/>
      <c r="X570" s="706"/>
      <c r="Y570" s="706"/>
      <c r="Z570" s="706"/>
      <c r="AA570" s="706"/>
      <c r="AB570" s="706"/>
      <c r="AC570" s="706"/>
    </row>
    <row r="571" spans="1:29">
      <c r="A571" s="2307">
        <v>31</v>
      </c>
      <c r="B571" s="2317" t="s">
        <v>307</v>
      </c>
      <c r="C571" s="2177"/>
      <c r="D571" s="2303">
        <f t="shared" si="100"/>
        <v>0</v>
      </c>
      <c r="E571" s="2304"/>
      <c r="F571" s="2304"/>
      <c r="G571" s="2304"/>
      <c r="H571" s="2304"/>
      <c r="I571" s="2304"/>
      <c r="J571" s="2371">
        <f t="shared" si="106"/>
        <v>0</v>
      </c>
      <c r="K571" s="2304"/>
      <c r="L571" s="2304"/>
      <c r="M571" s="2304"/>
      <c r="N571" s="2305">
        <f t="shared" si="102"/>
        <v>0</v>
      </c>
      <c r="O571" s="704"/>
      <c r="P571" s="705"/>
      <c r="Q571" s="705"/>
      <c r="R571" s="706"/>
      <c r="S571" s="706"/>
      <c r="T571" s="706"/>
      <c r="U571" s="706"/>
      <c r="V571" s="706"/>
      <c r="W571" s="706"/>
      <c r="X571" s="706"/>
      <c r="Y571" s="706"/>
      <c r="Z571" s="706"/>
      <c r="AA571" s="706"/>
      <c r="AB571" s="706"/>
      <c r="AC571" s="706"/>
    </row>
    <row r="572" spans="1:29" ht="13.5" thickBot="1">
      <c r="A572" s="2314">
        <v>32</v>
      </c>
      <c r="B572" s="2317" t="s">
        <v>308</v>
      </c>
      <c r="C572" s="2177"/>
      <c r="D572" s="2303">
        <f t="shared" si="100"/>
        <v>0</v>
      </c>
      <c r="E572" s="2304"/>
      <c r="F572" s="2304"/>
      <c r="G572" s="2304"/>
      <c r="H572" s="2304"/>
      <c r="I572" s="2304"/>
      <c r="J572" s="2371">
        <f t="shared" si="106"/>
        <v>0</v>
      </c>
      <c r="K572" s="2304"/>
      <c r="L572" s="2304"/>
      <c r="M572" s="2304"/>
      <c r="N572" s="2305">
        <f t="shared" si="102"/>
        <v>0</v>
      </c>
      <c r="O572" s="704"/>
      <c r="P572" s="705"/>
      <c r="Q572" s="705"/>
      <c r="R572" s="706"/>
      <c r="S572" s="706"/>
      <c r="T572" s="706"/>
      <c r="U572" s="706"/>
      <c r="V572" s="706"/>
      <c r="W572" s="706"/>
      <c r="X572" s="706"/>
      <c r="Y572" s="706"/>
      <c r="Z572" s="706"/>
      <c r="AA572" s="706"/>
      <c r="AB572" s="706"/>
      <c r="AC572" s="706"/>
    </row>
    <row r="573" spans="1:29" ht="13.5" thickBot="1">
      <c r="A573" s="1482">
        <v>33</v>
      </c>
      <c r="B573" s="1384" t="s">
        <v>309</v>
      </c>
      <c r="C573" s="1453"/>
      <c r="D573" s="1571">
        <f t="shared" si="100"/>
        <v>0</v>
      </c>
      <c r="E573" s="1054">
        <f>SUM(E568:E572)</f>
        <v>0</v>
      </c>
      <c r="F573" s="1054">
        <f>SUM(F568:F572)</f>
        <v>0</v>
      </c>
      <c r="G573" s="1054">
        <f>SUM(G568:G572)</f>
        <v>0</v>
      </c>
      <c r="H573" s="1054">
        <f>SUM(H568:H572)</f>
        <v>0</v>
      </c>
      <c r="I573" s="1054">
        <f>SUM(I568:I572)</f>
        <v>0</v>
      </c>
      <c r="J573" s="1582">
        <f t="shared" si="106"/>
        <v>0</v>
      </c>
      <c r="K573" s="1054">
        <f>SUM(K568:K572)</f>
        <v>0</v>
      </c>
      <c r="L573" s="1054">
        <f>SUM(L568:L572)</f>
        <v>0</v>
      </c>
      <c r="M573" s="1054">
        <f>SUM(M568:M572)</f>
        <v>0</v>
      </c>
      <c r="N573" s="1580">
        <f t="shared" si="102"/>
        <v>0</v>
      </c>
      <c r="O573" s="704"/>
      <c r="P573" s="705"/>
      <c r="Q573" s="705"/>
      <c r="R573" s="706"/>
      <c r="S573" s="706"/>
      <c r="T573" s="706"/>
      <c r="U573" s="706"/>
      <c r="V573" s="706"/>
      <c r="W573" s="706"/>
      <c r="X573" s="706"/>
      <c r="Y573" s="706"/>
      <c r="Z573" s="706"/>
      <c r="AA573" s="706"/>
      <c r="AB573" s="706"/>
      <c r="AC573" s="706"/>
    </row>
    <row r="574" spans="1:29" ht="26.25" thickBot="1">
      <c r="A574" s="1493">
        <v>34</v>
      </c>
      <c r="B574" s="1352" t="s">
        <v>310</v>
      </c>
      <c r="C574" s="1351"/>
      <c r="D574" s="1526">
        <f>+E574+F574+J574+N574</f>
        <v>535276.62944700941</v>
      </c>
      <c r="E574" s="1526">
        <f>E573+E566</f>
        <v>0</v>
      </c>
      <c r="F574" s="1526">
        <f>F573+F566</f>
        <v>0</v>
      </c>
      <c r="G574" s="1526">
        <f>G573+G566</f>
        <v>80567.247559067881</v>
      </c>
      <c r="H574" s="1526">
        <f>H573+H566</f>
        <v>454709.38188794156</v>
      </c>
      <c r="I574" s="1526">
        <f>I573+I566</f>
        <v>0</v>
      </c>
      <c r="J574" s="1535">
        <f>G574+H574+I574</f>
        <v>535276.62944700941</v>
      </c>
      <c r="K574" s="1526">
        <f>K573+K566</f>
        <v>0</v>
      </c>
      <c r="L574" s="1526">
        <f>L573+L566</f>
        <v>0</v>
      </c>
      <c r="M574" s="1526">
        <f>M573+M566</f>
        <v>0</v>
      </c>
      <c r="N574" s="1526">
        <f t="shared" si="102"/>
        <v>0</v>
      </c>
      <c r="O574" s="704"/>
      <c r="P574" s="705"/>
      <c r="Q574" s="705"/>
      <c r="R574" s="706"/>
      <c r="S574" s="706"/>
      <c r="T574" s="706"/>
      <c r="U574" s="706"/>
      <c r="V574" s="706"/>
      <c r="W574" s="706"/>
      <c r="X574" s="706"/>
      <c r="Y574" s="706"/>
      <c r="Z574" s="706"/>
      <c r="AA574" s="706"/>
      <c r="AB574" s="706"/>
      <c r="AC574" s="706"/>
    </row>
    <row r="576" spans="1:29">
      <c r="B576" s="680"/>
      <c r="D576" s="679"/>
      <c r="E576" s="679"/>
      <c r="F576" s="679"/>
      <c r="G576" s="679"/>
      <c r="H576" s="679"/>
      <c r="I576" s="679"/>
      <c r="J576" s="679"/>
      <c r="K576" s="679"/>
      <c r="L576" s="679"/>
      <c r="M576" s="679"/>
      <c r="N576" s="911">
        <v>40</v>
      </c>
      <c r="O576" s="679"/>
    </row>
    <row r="577" spans="1:29">
      <c r="D577" s="679"/>
      <c r="E577" s="679"/>
      <c r="F577" s="679"/>
      <c r="G577" s="679"/>
      <c r="H577" s="679"/>
      <c r="I577" s="679"/>
      <c r="J577" s="679"/>
      <c r="K577" s="679"/>
      <c r="L577" s="679"/>
      <c r="M577" s="679"/>
      <c r="N577" s="679"/>
    </row>
    <row r="578" spans="1:29" ht="13.5" thickBot="1">
      <c r="D578" s="679"/>
      <c r="E578" s="679"/>
      <c r="F578" s="679"/>
      <c r="G578" s="679"/>
      <c r="H578" s="679"/>
      <c r="I578" s="679"/>
      <c r="J578" s="679"/>
      <c r="K578" s="679"/>
      <c r="L578" s="679"/>
      <c r="M578" s="679"/>
      <c r="N578" s="679"/>
    </row>
    <row r="579" spans="1:29" ht="15.75" customHeight="1" thickBot="1">
      <c r="A579" s="1368" t="s">
        <v>188</v>
      </c>
      <c r="B579" s="3533" t="s">
        <v>106</v>
      </c>
      <c r="C579" s="3534"/>
      <c r="D579" s="679"/>
      <c r="E579" s="679"/>
      <c r="F579" s="679"/>
      <c r="G579" s="679"/>
      <c r="H579" s="679"/>
      <c r="I579" s="679"/>
      <c r="J579" s="679"/>
      <c r="K579" s="679"/>
      <c r="L579" s="679"/>
      <c r="M579" s="3538" t="s">
        <v>251</v>
      </c>
      <c r="N579" s="3538"/>
      <c r="O579" s="701"/>
    </row>
    <row r="580" spans="1:29" ht="12.75" customHeight="1" thickBot="1">
      <c r="A580" s="3555" t="s">
        <v>252</v>
      </c>
      <c r="B580" s="1467"/>
      <c r="C580" s="3523" t="s">
        <v>254</v>
      </c>
      <c r="D580" s="3562" t="s">
        <v>255</v>
      </c>
      <c r="E580" s="3562" t="s">
        <v>256</v>
      </c>
      <c r="F580" s="3562" t="s">
        <v>257</v>
      </c>
      <c r="G580" s="3565" t="s">
        <v>258</v>
      </c>
      <c r="H580" s="3566"/>
      <c r="I580" s="3566"/>
      <c r="J580" s="3566"/>
      <c r="K580" s="3566"/>
      <c r="L580" s="3566"/>
      <c r="M580" s="3566"/>
      <c r="N580" s="3567"/>
      <c r="O580" s="702"/>
    </row>
    <row r="581" spans="1:29" ht="12.75" customHeight="1" thickBot="1">
      <c r="A581" s="3556"/>
      <c r="B581" s="1468"/>
      <c r="C581" s="3524"/>
      <c r="D581" s="3563"/>
      <c r="E581" s="3563"/>
      <c r="F581" s="3563"/>
      <c r="G581" s="3529" t="s">
        <v>259</v>
      </c>
      <c r="H581" s="3530"/>
      <c r="I581" s="3530"/>
      <c r="J581" s="3531"/>
      <c r="K581" s="3568" t="s">
        <v>260</v>
      </c>
      <c r="L581" s="3569"/>
      <c r="M581" s="3569"/>
      <c r="N581" s="3570"/>
      <c r="O581" s="458"/>
    </row>
    <row r="582" spans="1:29" ht="39" thickBot="1">
      <c r="A582" s="3556"/>
      <c r="B582" s="1469"/>
      <c r="C582" s="3524"/>
      <c r="D582" s="3564"/>
      <c r="E582" s="3564"/>
      <c r="F582" s="3564"/>
      <c r="G582" s="1336" t="s">
        <v>261</v>
      </c>
      <c r="H582" s="1336" t="s">
        <v>262</v>
      </c>
      <c r="I582" s="1336" t="s">
        <v>263</v>
      </c>
      <c r="J582" s="1336" t="s">
        <v>158</v>
      </c>
      <c r="K582" s="1337" t="s">
        <v>264</v>
      </c>
      <c r="L582" s="1337" t="s">
        <v>265</v>
      </c>
      <c r="M582" s="1337" t="s">
        <v>266</v>
      </c>
      <c r="N582" s="1404" t="s">
        <v>158</v>
      </c>
      <c r="O582" s="443"/>
    </row>
    <row r="583" spans="1:29" ht="13.5" thickBot="1">
      <c r="A583" s="3556"/>
      <c r="B583" s="1468"/>
      <c r="C583" s="3524"/>
      <c r="D583" s="1470">
        <v>1</v>
      </c>
      <c r="E583" s="1471">
        <v>2</v>
      </c>
      <c r="F583" s="1471">
        <v>3</v>
      </c>
      <c r="G583" s="1472">
        <v>4</v>
      </c>
      <c r="H583" s="1471">
        <v>5</v>
      </c>
      <c r="I583" s="1473">
        <v>6</v>
      </c>
      <c r="J583" s="1474">
        <v>7</v>
      </c>
      <c r="K583" s="1472">
        <v>8</v>
      </c>
      <c r="L583" s="1471">
        <v>9</v>
      </c>
      <c r="M583" s="1496">
        <v>10</v>
      </c>
      <c r="N583" s="1470">
        <v>11</v>
      </c>
      <c r="O583" s="702"/>
    </row>
    <row r="584" spans="1:29" ht="13.5" thickBot="1">
      <c r="A584" s="3557"/>
      <c r="B584" s="1475"/>
      <c r="C584" s="3525"/>
      <c r="D584" s="1476"/>
      <c r="E584" s="1476"/>
      <c r="F584" s="1476"/>
      <c r="G584" s="1477"/>
      <c r="H584" s="1476"/>
      <c r="I584" s="1552"/>
      <c r="J584" s="1478" t="s">
        <v>267</v>
      </c>
      <c r="K584" s="1477"/>
      <c r="L584" s="1476"/>
      <c r="M584" s="1968"/>
      <c r="N584" s="1553" t="s">
        <v>268</v>
      </c>
      <c r="O584" s="703"/>
      <c r="P584" s="703"/>
      <c r="Q584" s="703"/>
    </row>
    <row r="585" spans="1:29">
      <c r="A585" s="1483"/>
      <c r="B585" s="1481" t="s">
        <v>269</v>
      </c>
      <c r="C585" s="1346"/>
      <c r="D585" s="1484"/>
      <c r="E585" s="687"/>
      <c r="F585" s="687"/>
      <c r="G585" s="688"/>
      <c r="H585" s="689"/>
      <c r="I585" s="690"/>
      <c r="J585" s="1491"/>
      <c r="K585" s="996"/>
      <c r="L585" s="994"/>
      <c r="M585" s="997"/>
      <c r="N585" s="1518"/>
      <c r="Q585" s="721"/>
      <c r="R585" s="706"/>
    </row>
    <row r="586" spans="1:29">
      <c r="A586" s="2301">
        <v>1</v>
      </c>
      <c r="B586" s="2302" t="s">
        <v>270</v>
      </c>
      <c r="C586" s="2155"/>
      <c r="D586" s="2303">
        <f>+E586+F586+J586+N586</f>
        <v>0</v>
      </c>
      <c r="E586" s="2330"/>
      <c r="F586" s="2330"/>
      <c r="G586" s="2327"/>
      <c r="H586" s="2323"/>
      <c r="I586" s="2329"/>
      <c r="J586" s="2305">
        <f>G586+H586+I586</f>
        <v>0</v>
      </c>
      <c r="K586" s="2304"/>
      <c r="L586" s="2304"/>
      <c r="M586" s="2325"/>
      <c r="N586" s="2324">
        <f>K586+L586+M586</f>
        <v>0</v>
      </c>
      <c r="O586" s="704"/>
      <c r="P586" s="705"/>
      <c r="Q586" s="719"/>
      <c r="R586" s="706"/>
      <c r="S586" s="706"/>
      <c r="T586" s="706"/>
      <c r="U586" s="706"/>
      <c r="V586" s="706"/>
      <c r="W586" s="706"/>
      <c r="X586" s="706"/>
      <c r="Y586" s="706"/>
      <c r="Z586" s="706"/>
      <c r="AA586" s="706"/>
      <c r="AB586" s="706"/>
      <c r="AC586" s="706"/>
    </row>
    <row r="587" spans="1:29">
      <c r="A587" s="2301">
        <v>2</v>
      </c>
      <c r="B587" s="2302" t="s">
        <v>271</v>
      </c>
      <c r="C587" s="2155"/>
      <c r="D587" s="2303">
        <f t="shared" ref="D587:D625" si="107">+E587+F587+J587+N587</f>
        <v>291.50889000000012</v>
      </c>
      <c r="E587" s="2330"/>
      <c r="F587" s="2330">
        <v>291.50889000000012</v>
      </c>
      <c r="G587" s="2327"/>
      <c r="H587" s="2323"/>
      <c r="I587" s="2329"/>
      <c r="J587" s="2305">
        <f t="shared" ref="J587:J597" si="108">G587+H587+I587</f>
        <v>0</v>
      </c>
      <c r="K587" s="2304"/>
      <c r="L587" s="2304"/>
      <c r="M587" s="2325"/>
      <c r="N587" s="2324">
        <f t="shared" ref="N587:N626" si="109">K587+L587+M587</f>
        <v>0</v>
      </c>
      <c r="O587" s="704"/>
      <c r="P587" s="705"/>
      <c r="Q587" s="719"/>
      <c r="R587" s="706"/>
      <c r="S587" s="706"/>
      <c r="T587" s="706"/>
      <c r="U587" s="706"/>
      <c r="V587" s="706"/>
      <c r="W587" s="706"/>
      <c r="X587" s="706"/>
      <c r="Y587" s="706"/>
      <c r="Z587" s="706"/>
      <c r="AA587" s="706"/>
      <c r="AB587" s="706"/>
      <c r="AC587" s="706"/>
    </row>
    <row r="588" spans="1:29">
      <c r="A588" s="2301">
        <v>3</v>
      </c>
      <c r="B588" s="2302" t="s">
        <v>272</v>
      </c>
      <c r="C588" s="2155"/>
      <c r="D588" s="2303">
        <f t="shared" si="107"/>
        <v>0</v>
      </c>
      <c r="E588" s="2330"/>
      <c r="F588" s="2330"/>
      <c r="G588" s="2327"/>
      <c r="H588" s="2323"/>
      <c r="I588" s="2329"/>
      <c r="J588" s="2305">
        <f t="shared" si="108"/>
        <v>0</v>
      </c>
      <c r="K588" s="2304"/>
      <c r="L588" s="2304"/>
      <c r="M588" s="2325"/>
      <c r="N588" s="2324">
        <f t="shared" si="109"/>
        <v>0</v>
      </c>
      <c r="O588" s="704"/>
      <c r="P588" s="705"/>
      <c r="Q588" s="719"/>
      <c r="R588" s="706"/>
      <c r="S588" s="706"/>
      <c r="T588" s="706"/>
      <c r="U588" s="706"/>
      <c r="V588" s="706"/>
      <c r="W588" s="706"/>
      <c r="X588" s="706"/>
      <c r="Y588" s="706"/>
      <c r="Z588" s="706"/>
      <c r="AA588" s="706"/>
      <c r="AB588" s="706"/>
      <c r="AC588" s="706"/>
    </row>
    <row r="589" spans="1:29">
      <c r="A589" s="2301">
        <v>4</v>
      </c>
      <c r="B589" s="2302" t="s">
        <v>315</v>
      </c>
      <c r="C589" s="2155"/>
      <c r="D589" s="2303">
        <f t="shared" si="107"/>
        <v>0</v>
      </c>
      <c r="E589" s="2330"/>
      <c r="F589" s="2330"/>
      <c r="G589" s="2327"/>
      <c r="H589" s="2323"/>
      <c r="I589" s="2329"/>
      <c r="J589" s="2305">
        <f t="shared" si="108"/>
        <v>0</v>
      </c>
      <c r="K589" s="2304"/>
      <c r="L589" s="2304"/>
      <c r="M589" s="2325"/>
      <c r="N589" s="2324">
        <f t="shared" si="109"/>
        <v>0</v>
      </c>
      <c r="O589" s="704"/>
      <c r="P589" s="705"/>
      <c r="Q589" s="719"/>
      <c r="R589" s="706"/>
      <c r="S589" s="706"/>
      <c r="T589" s="706"/>
      <c r="U589" s="706"/>
      <c r="V589" s="706"/>
      <c r="W589" s="706"/>
      <c r="X589" s="706"/>
      <c r="Y589" s="706"/>
      <c r="Z589" s="706"/>
      <c r="AA589" s="706"/>
      <c r="AB589" s="706"/>
      <c r="AC589" s="706"/>
    </row>
    <row r="590" spans="1:29">
      <c r="A590" s="2301">
        <v>5</v>
      </c>
      <c r="B590" s="2302" t="s">
        <v>274</v>
      </c>
      <c r="C590" s="2161">
        <v>5</v>
      </c>
      <c r="D590" s="2303">
        <f t="shared" si="107"/>
        <v>22297.920790000004</v>
      </c>
      <c r="E590" s="2330"/>
      <c r="F590" s="2330">
        <v>22297.920790000004</v>
      </c>
      <c r="G590" s="2327">
        <v>0</v>
      </c>
      <c r="H590" s="2323">
        <v>0</v>
      </c>
      <c r="I590" s="2329"/>
      <c r="J590" s="2305">
        <f t="shared" si="108"/>
        <v>0</v>
      </c>
      <c r="K590" s="2304"/>
      <c r="L590" s="2304"/>
      <c r="M590" s="2325"/>
      <c r="N590" s="2324">
        <f t="shared" si="109"/>
        <v>0</v>
      </c>
      <c r="O590" s="704"/>
      <c r="P590" s="705"/>
      <c r="Q590" s="722"/>
      <c r="R590" s="706"/>
      <c r="S590" s="706"/>
      <c r="T590" s="706"/>
      <c r="U590" s="706"/>
      <c r="V590" s="706"/>
      <c r="W590" s="706"/>
      <c r="X590" s="706"/>
      <c r="Y590" s="706"/>
      <c r="Z590" s="706"/>
      <c r="AA590" s="706"/>
      <c r="AB590" s="706"/>
      <c r="AC590" s="706"/>
    </row>
    <row r="591" spans="1:29">
      <c r="A591" s="2301">
        <v>6</v>
      </c>
      <c r="B591" s="2302" t="s">
        <v>275</v>
      </c>
      <c r="C591" s="2155">
        <v>6</v>
      </c>
      <c r="D591" s="2303">
        <f t="shared" si="107"/>
        <v>239999.99971</v>
      </c>
      <c r="E591" s="2330"/>
      <c r="F591" s="2330">
        <v>45000</v>
      </c>
      <c r="G591" s="2327">
        <v>93599.999860800002</v>
      </c>
      <c r="H591" s="2323">
        <v>101399.99984920002</v>
      </c>
      <c r="I591" s="2329"/>
      <c r="J591" s="2371">
        <f t="shared" si="108"/>
        <v>194999.99971</v>
      </c>
      <c r="K591" s="2304"/>
      <c r="L591" s="2304"/>
      <c r="M591" s="2325"/>
      <c r="N591" s="2324">
        <f t="shared" si="109"/>
        <v>0</v>
      </c>
      <c r="O591" s="704"/>
      <c r="P591" s="705"/>
      <c r="Q591" s="719"/>
      <c r="R591" s="706"/>
      <c r="S591" s="706"/>
      <c r="T591" s="706"/>
      <c r="U591" s="706"/>
      <c r="V591" s="706"/>
      <c r="W591" s="706"/>
      <c r="X591" s="706"/>
      <c r="Y591" s="706"/>
      <c r="Z591" s="706"/>
      <c r="AA591" s="706"/>
      <c r="AB591" s="706"/>
      <c r="AC591" s="706"/>
    </row>
    <row r="592" spans="1:29">
      <c r="A592" s="2301">
        <v>7</v>
      </c>
      <c r="B592" s="2302" t="s">
        <v>276</v>
      </c>
      <c r="C592" s="2161">
        <v>7</v>
      </c>
      <c r="D592" s="2303">
        <f t="shared" si="107"/>
        <v>0</v>
      </c>
      <c r="E592" s="2304"/>
      <c r="F592" s="2304">
        <f>F593+F594</f>
        <v>0</v>
      </c>
      <c r="G592" s="2304">
        <f t="shared" ref="G592:M592" si="110">G593+G594</f>
        <v>0</v>
      </c>
      <c r="H592" s="2325">
        <f t="shared" si="110"/>
        <v>0</v>
      </c>
      <c r="I592" s="2353">
        <f t="shared" si="110"/>
        <v>0</v>
      </c>
      <c r="J592" s="2371">
        <f t="shared" si="108"/>
        <v>0</v>
      </c>
      <c r="K592" s="2304">
        <f t="shared" si="110"/>
        <v>0</v>
      </c>
      <c r="L592" s="2304">
        <f t="shared" si="110"/>
        <v>0</v>
      </c>
      <c r="M592" s="2325">
        <f t="shared" si="110"/>
        <v>0</v>
      </c>
      <c r="N592" s="2324">
        <f t="shared" si="109"/>
        <v>0</v>
      </c>
      <c r="O592" s="704"/>
      <c r="P592" s="705"/>
      <c r="Q592" s="722"/>
      <c r="R592" s="706"/>
      <c r="S592" s="706"/>
      <c r="T592" s="706"/>
      <c r="U592" s="706"/>
      <c r="V592" s="706"/>
      <c r="W592" s="706"/>
      <c r="X592" s="706"/>
      <c r="Y592" s="706"/>
      <c r="Z592" s="706"/>
      <c r="AA592" s="706"/>
      <c r="AB592" s="706"/>
      <c r="AC592" s="706"/>
    </row>
    <row r="593" spans="1:29">
      <c r="A593" s="2307"/>
      <c r="B593" s="2162" t="s">
        <v>277</v>
      </c>
      <c r="C593" s="2161"/>
      <c r="D593" s="2303">
        <f t="shared" si="107"/>
        <v>0</v>
      </c>
      <c r="E593" s="2304"/>
      <c r="F593" s="2304"/>
      <c r="G593" s="2304"/>
      <c r="H593" s="2325"/>
      <c r="I593" s="2353"/>
      <c r="J593" s="2371">
        <f t="shared" si="108"/>
        <v>0</v>
      </c>
      <c r="K593" s="2304"/>
      <c r="L593" s="2304"/>
      <c r="M593" s="2325"/>
      <c r="N593" s="2324">
        <f t="shared" si="109"/>
        <v>0</v>
      </c>
      <c r="O593" s="704"/>
      <c r="P593" s="705"/>
      <c r="Q593" s="722"/>
      <c r="R593" s="706"/>
      <c r="S593" s="706"/>
      <c r="T593" s="706"/>
      <c r="U593" s="706"/>
      <c r="V593" s="706"/>
      <c r="W593" s="706"/>
      <c r="X593" s="706"/>
      <c r="Y593" s="706"/>
      <c r="Z593" s="706"/>
      <c r="AA593" s="706"/>
      <c r="AB593" s="706"/>
      <c r="AC593" s="706"/>
    </row>
    <row r="594" spans="1:29">
      <c r="A594" s="2307"/>
      <c r="B594" s="2162" t="s">
        <v>278</v>
      </c>
      <c r="C594" s="2161"/>
      <c r="D594" s="2303">
        <f t="shared" si="107"/>
        <v>0</v>
      </c>
      <c r="E594" s="2304"/>
      <c r="F594" s="2304"/>
      <c r="G594" s="2304"/>
      <c r="H594" s="2325"/>
      <c r="I594" s="2353"/>
      <c r="J594" s="2371">
        <f t="shared" si="108"/>
        <v>0</v>
      </c>
      <c r="K594" s="2304"/>
      <c r="L594" s="2304"/>
      <c r="M594" s="2325"/>
      <c r="N594" s="2324">
        <f t="shared" si="109"/>
        <v>0</v>
      </c>
      <c r="O594" s="704"/>
      <c r="P594" s="705"/>
      <c r="Q594" s="722"/>
      <c r="R594" s="706"/>
      <c r="S594" s="706"/>
      <c r="T594" s="706"/>
      <c r="U594" s="706"/>
      <c r="V594" s="706"/>
      <c r="W594" s="706"/>
      <c r="X594" s="706"/>
      <c r="Y594" s="706"/>
      <c r="Z594" s="706"/>
      <c r="AA594" s="706"/>
      <c r="AB594" s="706"/>
      <c r="AC594" s="706"/>
    </row>
    <row r="595" spans="1:29">
      <c r="A595" s="2301">
        <v>8</v>
      </c>
      <c r="B595" s="2302" t="s">
        <v>279</v>
      </c>
      <c r="C595" s="2155">
        <v>8</v>
      </c>
      <c r="D595" s="2303">
        <f t="shared" si="107"/>
        <v>0</v>
      </c>
      <c r="E595" s="2304"/>
      <c r="F595" s="2304">
        <f>F596+F597</f>
        <v>0</v>
      </c>
      <c r="G595" s="2304">
        <f t="shared" ref="G595:M595" si="111">G596+G597</f>
        <v>0</v>
      </c>
      <c r="H595" s="2325">
        <f t="shared" si="111"/>
        <v>0</v>
      </c>
      <c r="I595" s="2353">
        <f t="shared" si="111"/>
        <v>0</v>
      </c>
      <c r="J595" s="2371">
        <f t="shared" si="108"/>
        <v>0</v>
      </c>
      <c r="K595" s="2304">
        <f t="shared" si="111"/>
        <v>0</v>
      </c>
      <c r="L595" s="2304">
        <f t="shared" si="111"/>
        <v>0</v>
      </c>
      <c r="M595" s="2325">
        <f t="shared" si="111"/>
        <v>0</v>
      </c>
      <c r="N595" s="2324">
        <f t="shared" si="109"/>
        <v>0</v>
      </c>
      <c r="O595" s="704"/>
      <c r="P595" s="705"/>
      <c r="Q595" s="719"/>
      <c r="R595" s="706"/>
      <c r="S595" s="706"/>
      <c r="T595" s="706"/>
      <c r="U595" s="706"/>
      <c r="V595" s="706"/>
      <c r="W595" s="706"/>
      <c r="X595" s="706"/>
      <c r="Y595" s="706"/>
      <c r="Z595" s="706"/>
      <c r="AA595" s="706"/>
      <c r="AB595" s="706"/>
      <c r="AC595" s="706"/>
    </row>
    <row r="596" spans="1:29">
      <c r="A596" s="2301"/>
      <c r="B596" s="2162" t="s">
        <v>280</v>
      </c>
      <c r="C596" s="2155"/>
      <c r="D596" s="2303">
        <f t="shared" si="107"/>
        <v>0</v>
      </c>
      <c r="E596" s="2304"/>
      <c r="F596" s="2304"/>
      <c r="G596" s="2304"/>
      <c r="H596" s="2325"/>
      <c r="I596" s="2353"/>
      <c r="J596" s="2371">
        <f t="shared" si="108"/>
        <v>0</v>
      </c>
      <c r="K596" s="2304"/>
      <c r="L596" s="2304"/>
      <c r="M596" s="2325"/>
      <c r="N596" s="2324">
        <f t="shared" si="109"/>
        <v>0</v>
      </c>
      <c r="O596" s="704"/>
      <c r="P596" s="705"/>
      <c r="Q596" s="719"/>
      <c r="R596" s="706"/>
      <c r="S596" s="706"/>
      <c r="T596" s="706"/>
      <c r="U596" s="706"/>
      <c r="V596" s="706"/>
      <c r="W596" s="706"/>
      <c r="X596" s="706"/>
      <c r="Y596" s="706"/>
      <c r="Z596" s="706"/>
      <c r="AA596" s="706"/>
      <c r="AB596" s="706"/>
      <c r="AC596" s="706"/>
    </row>
    <row r="597" spans="1:29">
      <c r="A597" s="2301"/>
      <c r="B597" s="2162" t="s">
        <v>281</v>
      </c>
      <c r="C597" s="2155"/>
      <c r="D597" s="2303">
        <f t="shared" si="107"/>
        <v>0</v>
      </c>
      <c r="E597" s="2304"/>
      <c r="F597" s="2304"/>
      <c r="G597" s="2304"/>
      <c r="H597" s="2325"/>
      <c r="I597" s="2353"/>
      <c r="J597" s="2371">
        <f t="shared" si="108"/>
        <v>0</v>
      </c>
      <c r="K597" s="2304"/>
      <c r="L597" s="2304"/>
      <c r="M597" s="2325"/>
      <c r="N597" s="2324">
        <f t="shared" si="109"/>
        <v>0</v>
      </c>
      <c r="O597" s="704"/>
      <c r="P597" s="705"/>
      <c r="Q597" s="719"/>
      <c r="R597" s="706"/>
      <c r="S597" s="706"/>
      <c r="T597" s="706"/>
      <c r="U597" s="706"/>
      <c r="V597" s="706"/>
      <c r="W597" s="706"/>
      <c r="X597" s="706"/>
      <c r="Y597" s="706"/>
      <c r="Z597" s="706"/>
      <c r="AA597" s="706"/>
      <c r="AB597" s="706"/>
      <c r="AC597" s="706"/>
    </row>
    <row r="598" spans="1:29" ht="25.5">
      <c r="A598" s="2308">
        <v>9</v>
      </c>
      <c r="B598" s="2309" t="s">
        <v>282</v>
      </c>
      <c r="C598" s="2165"/>
      <c r="D598" s="2310">
        <f t="shared" si="107"/>
        <v>2768003.8644951545</v>
      </c>
      <c r="E598" s="2311">
        <f>SUM(E599:E602)</f>
        <v>0</v>
      </c>
      <c r="F598" s="2311">
        <f>SUM(F599:F602)</f>
        <v>108833.07817495958</v>
      </c>
      <c r="G598" s="2311">
        <f>SUM(G599:G602)</f>
        <v>1019484.7561200004</v>
      </c>
      <c r="H598" s="2333">
        <f>SUM(H599:H602)</f>
        <v>1639686.0302001946</v>
      </c>
      <c r="I598" s="2334">
        <f>SUM(I599:I602)</f>
        <v>0</v>
      </c>
      <c r="J598" s="2367">
        <f>G598+H598+I598</f>
        <v>2659170.7863201951</v>
      </c>
      <c r="K598" s="2311">
        <f>SUM(K599:K602)</f>
        <v>0</v>
      </c>
      <c r="L598" s="2311">
        <f>SUM(L599:L602)</f>
        <v>0</v>
      </c>
      <c r="M598" s="2333">
        <f>SUM(M599:M602)</f>
        <v>0</v>
      </c>
      <c r="N598" s="2336">
        <f t="shared" si="109"/>
        <v>0</v>
      </c>
      <c r="O598" s="704"/>
      <c r="P598" s="705"/>
      <c r="Q598" s="722"/>
      <c r="R598" s="706"/>
      <c r="S598" s="706"/>
      <c r="T598" s="706"/>
      <c r="U598" s="706"/>
      <c r="V598" s="706"/>
      <c r="W598" s="706"/>
      <c r="X598" s="706"/>
      <c r="Y598" s="706"/>
      <c r="Z598" s="706"/>
      <c r="AA598" s="706"/>
      <c r="AB598" s="706"/>
      <c r="AC598" s="706"/>
    </row>
    <row r="599" spans="1:29">
      <c r="A599" s="2307">
        <v>10</v>
      </c>
      <c r="B599" s="2171" t="s">
        <v>283</v>
      </c>
      <c r="C599" s="2155">
        <v>9</v>
      </c>
      <c r="D599" s="2303">
        <f t="shared" si="107"/>
        <v>1112895.2120060008</v>
      </c>
      <c r="E599" s="2330"/>
      <c r="F599" s="2330">
        <v>0</v>
      </c>
      <c r="G599" s="2327">
        <v>727066.85714000044</v>
      </c>
      <c r="H599" s="2323">
        <v>385828.35486600024</v>
      </c>
      <c r="I599" s="2329"/>
      <c r="J599" s="2371">
        <f t="shared" ref="J599:J617" si="112">G599+H599+I599</f>
        <v>1112895.2120060008</v>
      </c>
      <c r="K599" s="2304"/>
      <c r="L599" s="2304"/>
      <c r="M599" s="2325"/>
      <c r="N599" s="2324">
        <f t="shared" si="109"/>
        <v>0</v>
      </c>
      <c r="O599" s="704"/>
      <c r="P599" s="705"/>
      <c r="Q599" s="719"/>
      <c r="R599" s="706"/>
      <c r="S599" s="706"/>
      <c r="T599" s="706"/>
      <c r="U599" s="706"/>
      <c r="V599" s="706"/>
      <c r="W599" s="706"/>
      <c r="X599" s="706"/>
      <c r="Y599" s="706"/>
      <c r="Z599" s="706"/>
      <c r="AA599" s="706"/>
      <c r="AB599" s="706"/>
      <c r="AC599" s="706"/>
    </row>
    <row r="600" spans="1:29">
      <c r="A600" s="2307">
        <v>11</v>
      </c>
      <c r="B600" s="2171" t="s">
        <v>284</v>
      </c>
      <c r="C600" s="2155">
        <v>10</v>
      </c>
      <c r="D600" s="2303">
        <f t="shared" si="107"/>
        <v>1118310.5252686439</v>
      </c>
      <c r="E600" s="2330"/>
      <c r="F600" s="2330">
        <v>103726.17297495957</v>
      </c>
      <c r="G600" s="2327">
        <v>271517.77497999999</v>
      </c>
      <c r="H600" s="2328">
        <v>743066.57731368439</v>
      </c>
      <c r="I600" s="2322"/>
      <c r="J600" s="2371">
        <f t="shared" si="112"/>
        <v>1014584.3522936844</v>
      </c>
      <c r="K600" s="2304"/>
      <c r="L600" s="2304"/>
      <c r="M600" s="2325"/>
      <c r="N600" s="2324">
        <f t="shared" si="109"/>
        <v>0</v>
      </c>
      <c r="O600" s="704"/>
      <c r="P600" s="705"/>
      <c r="Q600" s="719"/>
      <c r="R600" s="706"/>
      <c r="S600" s="706"/>
      <c r="T600" s="706"/>
      <c r="U600" s="706"/>
      <c r="V600" s="706"/>
      <c r="W600" s="706"/>
      <c r="X600" s="706"/>
      <c r="Y600" s="706"/>
      <c r="Z600" s="706"/>
      <c r="AA600" s="706"/>
      <c r="AB600" s="706"/>
      <c r="AC600" s="706"/>
    </row>
    <row r="601" spans="1:29">
      <c r="A601" s="2307">
        <v>12</v>
      </c>
      <c r="B601" s="2171" t="s">
        <v>285</v>
      </c>
      <c r="C601" s="2155">
        <v>11</v>
      </c>
      <c r="D601" s="2303">
        <f t="shared" si="107"/>
        <v>253395.20830051001</v>
      </c>
      <c r="E601" s="2330"/>
      <c r="F601" s="2330">
        <v>5106.9052000000011</v>
      </c>
      <c r="G601" s="2327">
        <v>20900.124000000003</v>
      </c>
      <c r="H601" s="2328">
        <v>227388.17910050999</v>
      </c>
      <c r="I601" s="2322"/>
      <c r="J601" s="2371">
        <f t="shared" si="112"/>
        <v>248288.30310051001</v>
      </c>
      <c r="K601" s="2304"/>
      <c r="L601" s="2304"/>
      <c r="M601" s="2325"/>
      <c r="N601" s="2324">
        <f t="shared" si="109"/>
        <v>0</v>
      </c>
      <c r="O601" s="704"/>
      <c r="P601" s="705"/>
      <c r="Q601" s="719"/>
      <c r="R601" s="706"/>
      <c r="S601" s="706"/>
      <c r="T601" s="706"/>
      <c r="U601" s="706"/>
      <c r="V601" s="706"/>
      <c r="W601" s="706"/>
      <c r="X601" s="706"/>
      <c r="Y601" s="706"/>
      <c r="Z601" s="706"/>
      <c r="AA601" s="706"/>
      <c r="AB601" s="706"/>
      <c r="AC601" s="706"/>
    </row>
    <row r="602" spans="1:29" ht="25.5">
      <c r="A602" s="2307">
        <v>13</v>
      </c>
      <c r="B602" s="2171" t="s">
        <v>286</v>
      </c>
      <c r="C602" s="2155">
        <v>12</v>
      </c>
      <c r="D602" s="2303">
        <f t="shared" si="107"/>
        <v>283402.91891999997</v>
      </c>
      <c r="E602" s="2330"/>
      <c r="F602" s="2330">
        <v>0</v>
      </c>
      <c r="G602" s="2327">
        <v>0</v>
      </c>
      <c r="H602" s="2328">
        <v>283402.91891999997</v>
      </c>
      <c r="I602" s="2322"/>
      <c r="J602" s="2371">
        <f t="shared" si="112"/>
        <v>283402.91891999997</v>
      </c>
      <c r="K602" s="2304"/>
      <c r="L602" s="2304"/>
      <c r="M602" s="2325"/>
      <c r="N602" s="2324">
        <f t="shared" si="109"/>
        <v>0</v>
      </c>
      <c r="O602" s="704"/>
      <c r="P602" s="705"/>
      <c r="Q602" s="719"/>
      <c r="R602" s="706"/>
      <c r="S602" s="706"/>
      <c r="T602" s="706"/>
      <c r="U602" s="706"/>
      <c r="V602" s="706"/>
      <c r="W602" s="706"/>
      <c r="X602" s="706"/>
      <c r="Y602" s="706"/>
      <c r="Z602" s="706"/>
      <c r="AA602" s="706"/>
      <c r="AB602" s="706"/>
      <c r="AC602" s="706"/>
    </row>
    <row r="603" spans="1:29">
      <c r="A603" s="2307">
        <v>14</v>
      </c>
      <c r="B603" s="2154" t="s">
        <v>287</v>
      </c>
      <c r="C603" s="2155">
        <v>13</v>
      </c>
      <c r="D603" s="2303">
        <f t="shared" si="107"/>
        <v>150815.53599999999</v>
      </c>
      <c r="E603" s="2330"/>
      <c r="F603" s="2330"/>
      <c r="G603" s="2327">
        <v>55001.642999999996</v>
      </c>
      <c r="H603" s="2323">
        <v>95813.892999999996</v>
      </c>
      <c r="I603" s="2329"/>
      <c r="J603" s="2371">
        <f t="shared" si="112"/>
        <v>150815.53599999999</v>
      </c>
      <c r="K603" s="2304"/>
      <c r="L603" s="2304"/>
      <c r="M603" s="2325"/>
      <c r="N603" s="2324">
        <f t="shared" si="109"/>
        <v>0</v>
      </c>
      <c r="O603" s="704"/>
      <c r="P603" s="705"/>
      <c r="Q603" s="719"/>
      <c r="R603" s="706"/>
      <c r="S603" s="706"/>
      <c r="T603" s="706"/>
      <c r="U603" s="706"/>
      <c r="V603" s="706"/>
      <c r="W603" s="706"/>
      <c r="X603" s="706"/>
      <c r="Y603" s="706"/>
      <c r="Z603" s="706"/>
      <c r="AA603" s="706"/>
      <c r="AB603" s="706"/>
      <c r="AC603" s="706"/>
    </row>
    <row r="604" spans="1:29">
      <c r="A604" s="2307">
        <v>15</v>
      </c>
      <c r="B604" s="2154" t="s">
        <v>288</v>
      </c>
      <c r="C604" s="2161">
        <v>14</v>
      </c>
      <c r="D604" s="2303">
        <f t="shared" si="107"/>
        <v>0</v>
      </c>
      <c r="E604" s="2330"/>
      <c r="F604" s="2330"/>
      <c r="G604" s="2327"/>
      <c r="H604" s="2323"/>
      <c r="I604" s="2329"/>
      <c r="J604" s="2371">
        <f t="shared" si="112"/>
        <v>0</v>
      </c>
      <c r="K604" s="2304"/>
      <c r="L604" s="2304"/>
      <c r="M604" s="2325"/>
      <c r="N604" s="2324">
        <f t="shared" si="109"/>
        <v>0</v>
      </c>
      <c r="O604" s="704"/>
      <c r="P604" s="705"/>
      <c r="Q604" s="722"/>
      <c r="R604" s="706"/>
      <c r="S604" s="706"/>
      <c r="T604" s="706"/>
      <c r="U604" s="706"/>
      <c r="V604" s="706"/>
      <c r="W604" s="706"/>
      <c r="X604" s="706"/>
      <c r="Y604" s="706"/>
      <c r="Z604" s="706"/>
      <c r="AA604" s="706"/>
      <c r="AB604" s="706"/>
      <c r="AC604" s="706"/>
    </row>
    <row r="605" spans="1:29">
      <c r="A605" s="2307">
        <v>16</v>
      </c>
      <c r="B605" s="2154" t="s">
        <v>289</v>
      </c>
      <c r="C605" s="2155">
        <v>15</v>
      </c>
      <c r="D605" s="2303">
        <f t="shared" si="107"/>
        <v>7674.9939999999997</v>
      </c>
      <c r="E605" s="2330"/>
      <c r="F605" s="2330"/>
      <c r="G605" s="2327">
        <v>7674.9939999999997</v>
      </c>
      <c r="H605" s="2323">
        <v>0</v>
      </c>
      <c r="I605" s="2329"/>
      <c r="J605" s="2371">
        <f t="shared" si="112"/>
        <v>7674.9939999999997</v>
      </c>
      <c r="K605" s="2304"/>
      <c r="L605" s="2304"/>
      <c r="M605" s="2325"/>
      <c r="N605" s="2324">
        <f t="shared" si="109"/>
        <v>0</v>
      </c>
      <c r="O605" s="704"/>
      <c r="P605" s="705"/>
      <c r="Q605" s="719"/>
      <c r="R605" s="706"/>
      <c r="S605" s="706"/>
      <c r="T605" s="706"/>
      <c r="U605" s="706"/>
      <c r="V605" s="706"/>
      <c r="W605" s="706"/>
      <c r="X605" s="706"/>
      <c r="Y605" s="706"/>
      <c r="Z605" s="706"/>
      <c r="AA605" s="706"/>
      <c r="AB605" s="706"/>
      <c r="AC605" s="706"/>
    </row>
    <row r="606" spans="1:29">
      <c r="A606" s="2307">
        <v>17</v>
      </c>
      <c r="B606" s="2154" t="s">
        <v>290</v>
      </c>
      <c r="C606" s="2161">
        <v>16</v>
      </c>
      <c r="D606" s="2303">
        <f t="shared" si="107"/>
        <v>111762.02739</v>
      </c>
      <c r="E606" s="2330"/>
      <c r="F606" s="2330">
        <v>74953.311860000002</v>
      </c>
      <c r="G606" s="2327">
        <v>26391.915530000002</v>
      </c>
      <c r="H606" s="2328">
        <v>10416.799999999999</v>
      </c>
      <c r="I606" s="2322"/>
      <c r="J606" s="2371">
        <f t="shared" si="112"/>
        <v>36808.715530000001</v>
      </c>
      <c r="K606" s="2304"/>
      <c r="L606" s="2304"/>
      <c r="M606" s="2325"/>
      <c r="N606" s="2324">
        <f t="shared" si="109"/>
        <v>0</v>
      </c>
      <c r="O606" s="704"/>
      <c r="P606" s="705"/>
      <c r="Q606" s="722"/>
      <c r="R606" s="706"/>
      <c r="S606" s="706"/>
      <c r="T606" s="706"/>
      <c r="U606" s="706"/>
      <c r="V606" s="706"/>
      <c r="W606" s="706"/>
      <c r="X606" s="706"/>
      <c r="Y606" s="706"/>
      <c r="Z606" s="706"/>
      <c r="AA606" s="706"/>
      <c r="AB606" s="706"/>
      <c r="AC606" s="706"/>
    </row>
    <row r="607" spans="1:29">
      <c r="A607" s="2307">
        <v>18</v>
      </c>
      <c r="B607" s="2154" t="s">
        <v>291</v>
      </c>
      <c r="C607" s="2155"/>
      <c r="D607" s="2303">
        <f t="shared" si="107"/>
        <v>0</v>
      </c>
      <c r="E607" s="2330"/>
      <c r="F607" s="2330"/>
      <c r="G607" s="2327"/>
      <c r="H607" s="2323"/>
      <c r="I607" s="2329"/>
      <c r="J607" s="2371">
        <f t="shared" si="112"/>
        <v>0</v>
      </c>
      <c r="K607" s="2304"/>
      <c r="L607" s="2304"/>
      <c r="M607" s="2325"/>
      <c r="N607" s="2324">
        <f t="shared" si="109"/>
        <v>0</v>
      </c>
      <c r="O607" s="704"/>
      <c r="P607" s="705"/>
      <c r="Q607" s="719"/>
      <c r="R607" s="706"/>
      <c r="S607" s="706"/>
      <c r="T607" s="706"/>
      <c r="U607" s="706"/>
      <c r="V607" s="706"/>
      <c r="W607" s="706"/>
      <c r="X607" s="706"/>
      <c r="Y607" s="706"/>
      <c r="Z607" s="706"/>
      <c r="AA607" s="706"/>
      <c r="AB607" s="706"/>
      <c r="AC607" s="706"/>
    </row>
    <row r="608" spans="1:29" ht="13.5" thickBot="1">
      <c r="A608" s="2314">
        <v>19</v>
      </c>
      <c r="B608" s="2173" t="s">
        <v>292</v>
      </c>
      <c r="C608" s="2172"/>
      <c r="D608" s="1485">
        <f t="shared" si="107"/>
        <v>32840.755109999998</v>
      </c>
      <c r="E608" s="1033"/>
      <c r="F608" s="1033"/>
      <c r="G608" s="1034">
        <v>31435.72</v>
      </c>
      <c r="H608" s="2359">
        <v>1405.03511</v>
      </c>
      <c r="I608" s="2364"/>
      <c r="J608" s="1538">
        <f t="shared" si="112"/>
        <v>32840.755109999998</v>
      </c>
      <c r="K608" s="998"/>
      <c r="L608" s="998"/>
      <c r="M608" s="1070"/>
      <c r="N608" s="2376">
        <f t="shared" si="109"/>
        <v>0</v>
      </c>
      <c r="O608" s="704"/>
      <c r="P608" s="705"/>
      <c r="Q608" s="719"/>
      <c r="R608" s="706"/>
      <c r="S608" s="706"/>
      <c r="T608" s="706"/>
      <c r="U608" s="706"/>
      <c r="V608" s="706"/>
      <c r="W608" s="706"/>
      <c r="X608" s="706"/>
      <c r="Y608" s="706"/>
      <c r="Z608" s="706"/>
      <c r="AA608" s="706"/>
      <c r="AB608" s="706"/>
      <c r="AC608" s="706"/>
    </row>
    <row r="609" spans="1:29" ht="26.25" thickBot="1">
      <c r="A609" s="1493">
        <v>20</v>
      </c>
      <c r="B609" s="1352" t="s">
        <v>293</v>
      </c>
      <c r="C609" s="1351"/>
      <c r="D609" s="1494">
        <f t="shared" si="107"/>
        <v>3333686.6063851546</v>
      </c>
      <c r="E609" s="1494">
        <f>SUM(E586:E592)+E595+E598+SUM(E603:E608)</f>
        <v>0</v>
      </c>
      <c r="F609" s="1494">
        <f>SUM(F586:F592)+F595+F598+SUM(F603:F608)</f>
        <v>251375.81971495959</v>
      </c>
      <c r="G609" s="1494">
        <f>SUM(G586:G592)+G595+G598+SUM(G603:G608)</f>
        <v>1233589.0285108003</v>
      </c>
      <c r="H609" s="1522">
        <f>SUM(H586:H592)+H595+H598+SUM(H603:H608)</f>
        <v>1848721.7581593946</v>
      </c>
      <c r="I609" s="1523">
        <f>SUM(I586:I592)+I595+I598+SUM(I603:I608)</f>
        <v>0</v>
      </c>
      <c r="J609" s="1541">
        <f t="shared" si="112"/>
        <v>3082310.7866701949</v>
      </c>
      <c r="K609" s="1494">
        <f>SUM(K586:K592)+K595+K598+SUM(K603:K608)</f>
        <v>0</v>
      </c>
      <c r="L609" s="1494">
        <f>SUM(L586:L592)+L595+L598+SUM(L603:L608)</f>
        <v>0</v>
      </c>
      <c r="M609" s="1522">
        <f>SUM(M586:M592)+M595+M598+SUM(M603:M608)</f>
        <v>0</v>
      </c>
      <c r="N609" s="1495">
        <f t="shared" si="109"/>
        <v>0</v>
      </c>
      <c r="O609" s="704"/>
      <c r="P609" s="705"/>
      <c r="Q609" s="719"/>
      <c r="R609" s="706"/>
      <c r="S609" s="706"/>
      <c r="T609" s="706"/>
      <c r="U609" s="706"/>
      <c r="V609" s="706"/>
      <c r="W609" s="706"/>
      <c r="X609" s="706"/>
      <c r="Y609" s="706"/>
      <c r="Z609" s="706"/>
      <c r="AA609" s="706"/>
      <c r="AB609" s="706"/>
      <c r="AC609" s="706"/>
    </row>
    <row r="610" spans="1:29">
      <c r="A610" s="1483"/>
      <c r="B610" s="1481" t="s">
        <v>294</v>
      </c>
      <c r="C610" s="1346"/>
      <c r="D610" s="1487">
        <f t="shared" si="107"/>
        <v>0</v>
      </c>
      <c r="E610" s="691"/>
      <c r="F610" s="691"/>
      <c r="G610" s="688"/>
      <c r="H610" s="689"/>
      <c r="I610" s="692"/>
      <c r="J610" s="1503">
        <f t="shared" si="112"/>
        <v>0</v>
      </c>
      <c r="K610" s="996"/>
      <c r="L610" s="996"/>
      <c r="M610" s="1067"/>
      <c r="N610" s="1488">
        <f t="shared" si="109"/>
        <v>0</v>
      </c>
      <c r="O610" s="704"/>
      <c r="P610" s="705"/>
      <c r="Q610" s="721"/>
      <c r="R610" s="706"/>
      <c r="S610" s="706"/>
      <c r="T610" s="706"/>
      <c r="U610" s="706"/>
      <c r="V610" s="706"/>
      <c r="W610" s="706"/>
      <c r="X610" s="706"/>
      <c r="Y610" s="706"/>
      <c r="Z610" s="706"/>
      <c r="AA610" s="706"/>
      <c r="AB610" s="706"/>
      <c r="AC610" s="706"/>
    </row>
    <row r="611" spans="1:29">
      <c r="A611" s="2307"/>
      <c r="B611" s="2316" t="s">
        <v>295</v>
      </c>
      <c r="C611" s="2155"/>
      <c r="D611" s="2303">
        <f t="shared" si="107"/>
        <v>0</v>
      </c>
      <c r="E611" s="2330"/>
      <c r="F611" s="2330"/>
      <c r="G611" s="2327"/>
      <c r="H611" s="2323"/>
      <c r="I611" s="2329"/>
      <c r="J611" s="2371">
        <f t="shared" si="112"/>
        <v>0</v>
      </c>
      <c r="K611" s="2304"/>
      <c r="L611" s="2304"/>
      <c r="M611" s="2325"/>
      <c r="N611" s="2324">
        <f t="shared" si="109"/>
        <v>0</v>
      </c>
      <c r="O611" s="704"/>
      <c r="P611" s="705"/>
      <c r="Q611" s="719"/>
      <c r="R611" s="706"/>
      <c r="S611" s="706"/>
      <c r="T611" s="706"/>
      <c r="U611" s="706"/>
      <c r="V611" s="706"/>
      <c r="W611" s="706"/>
      <c r="X611" s="706"/>
      <c r="Y611" s="706"/>
      <c r="Z611" s="706"/>
      <c r="AA611" s="706"/>
      <c r="AB611" s="706"/>
      <c r="AC611" s="706"/>
    </row>
    <row r="612" spans="1:29">
      <c r="A612" s="2307">
        <v>21</v>
      </c>
      <c r="B612" s="2154" t="s">
        <v>296</v>
      </c>
      <c r="C612" s="2161">
        <v>17</v>
      </c>
      <c r="D612" s="2303">
        <f t="shared" si="107"/>
        <v>2985435.443</v>
      </c>
      <c r="E612" s="2330"/>
      <c r="F612" s="2330"/>
      <c r="G612" s="2327">
        <v>1167965.4140000001</v>
      </c>
      <c r="H612" s="2323">
        <v>1817470.0290000001</v>
      </c>
      <c r="I612" s="2329"/>
      <c r="J612" s="2371">
        <f t="shared" si="112"/>
        <v>2985435.443</v>
      </c>
      <c r="K612" s="2304"/>
      <c r="L612" s="2304"/>
      <c r="M612" s="2325"/>
      <c r="N612" s="2324">
        <f t="shared" si="109"/>
        <v>0</v>
      </c>
      <c r="O612" s="704"/>
      <c r="P612" s="705"/>
      <c r="Q612" s="722"/>
      <c r="R612" s="706"/>
      <c r="S612" s="706"/>
      <c r="T612" s="706"/>
      <c r="U612" s="706"/>
      <c r="V612" s="706"/>
      <c r="W612" s="706"/>
      <c r="X612" s="706"/>
      <c r="Y612" s="706"/>
      <c r="Z612" s="706"/>
      <c r="AA612" s="706"/>
      <c r="AB612" s="706"/>
      <c r="AC612" s="706"/>
    </row>
    <row r="613" spans="1:29">
      <c r="A613" s="2307">
        <v>22</v>
      </c>
      <c r="B613" s="2154" t="s">
        <v>297</v>
      </c>
      <c r="C613" s="2155"/>
      <c r="D613" s="2303">
        <f t="shared" si="107"/>
        <v>16111.07</v>
      </c>
      <c r="E613" s="2330"/>
      <c r="F613" s="2330">
        <v>16111.07</v>
      </c>
      <c r="G613" s="2327"/>
      <c r="H613" s="2323"/>
      <c r="I613" s="2329"/>
      <c r="J613" s="2371">
        <f t="shared" si="112"/>
        <v>0</v>
      </c>
      <c r="K613" s="2304"/>
      <c r="L613" s="2304"/>
      <c r="M613" s="2325"/>
      <c r="N613" s="2324">
        <f t="shared" si="109"/>
        <v>0</v>
      </c>
      <c r="O613" s="704"/>
      <c r="P613" s="705"/>
      <c r="Q613" s="719"/>
      <c r="R613" s="706"/>
      <c r="S613" s="706"/>
      <c r="T613" s="706"/>
      <c r="U613" s="706"/>
      <c r="V613" s="706"/>
      <c r="W613" s="706"/>
      <c r="X613" s="706"/>
      <c r="Y613" s="706"/>
      <c r="Z613" s="706"/>
      <c r="AA613" s="706"/>
      <c r="AB613" s="706"/>
      <c r="AC613" s="706"/>
    </row>
    <row r="614" spans="1:29">
      <c r="A614" s="2307">
        <v>23</v>
      </c>
      <c r="B614" s="2154" t="s">
        <v>298</v>
      </c>
      <c r="C614" s="2155">
        <v>18</v>
      </c>
      <c r="D614" s="2303">
        <f t="shared" si="107"/>
        <v>0</v>
      </c>
      <c r="E614" s="2330"/>
      <c r="F614" s="2330"/>
      <c r="G614" s="2327"/>
      <c r="H614" s="2323"/>
      <c r="I614" s="2329"/>
      <c r="J614" s="2371">
        <f t="shared" si="112"/>
        <v>0</v>
      </c>
      <c r="K614" s="2304"/>
      <c r="L614" s="2304"/>
      <c r="M614" s="2325"/>
      <c r="N614" s="2324">
        <f t="shared" si="109"/>
        <v>0</v>
      </c>
      <c r="O614" s="704"/>
      <c r="P614" s="705"/>
      <c r="Q614" s="719"/>
      <c r="R614" s="706"/>
      <c r="S614" s="706"/>
      <c r="T614" s="706"/>
      <c r="U614" s="706"/>
      <c r="V614" s="706"/>
      <c r="W614" s="706"/>
      <c r="X614" s="706"/>
      <c r="Y614" s="706"/>
      <c r="Z614" s="706"/>
      <c r="AA614" s="706"/>
      <c r="AB614" s="706"/>
      <c r="AC614" s="706"/>
    </row>
    <row r="615" spans="1:29">
      <c r="A615" s="2307">
        <v>24</v>
      </c>
      <c r="B615" s="2154" t="s">
        <v>299</v>
      </c>
      <c r="C615" s="2155"/>
      <c r="D615" s="2303">
        <f t="shared" si="107"/>
        <v>0</v>
      </c>
      <c r="E615" s="2330"/>
      <c r="F615" s="2330"/>
      <c r="G615" s="2327"/>
      <c r="H615" s="2323"/>
      <c r="I615" s="2329"/>
      <c r="J615" s="2371">
        <f t="shared" si="112"/>
        <v>0</v>
      </c>
      <c r="K615" s="2304"/>
      <c r="L615" s="2304"/>
      <c r="M615" s="2325"/>
      <c r="N615" s="2324">
        <f t="shared" si="109"/>
        <v>0</v>
      </c>
      <c r="O615" s="704"/>
      <c r="P615" s="705"/>
      <c r="Q615" s="719"/>
      <c r="R615" s="706"/>
      <c r="S615" s="706"/>
      <c r="T615" s="706"/>
      <c r="U615" s="706"/>
      <c r="V615" s="706"/>
      <c r="W615" s="706"/>
      <c r="X615" s="706"/>
      <c r="Y615" s="706"/>
      <c r="Z615" s="706"/>
      <c r="AA615" s="706"/>
      <c r="AB615" s="706"/>
      <c r="AC615" s="706"/>
    </row>
    <row r="616" spans="1:29">
      <c r="A616" s="2307">
        <v>25</v>
      </c>
      <c r="B616" s="2176" t="s">
        <v>300</v>
      </c>
      <c r="C616" s="2155"/>
      <c r="D616" s="2303">
        <f t="shared" si="107"/>
        <v>0</v>
      </c>
      <c r="E616" s="2330"/>
      <c r="F616" s="2330"/>
      <c r="G616" s="2327"/>
      <c r="H616" s="2323"/>
      <c r="I616" s="2329"/>
      <c r="J616" s="2371">
        <f t="shared" si="112"/>
        <v>0</v>
      </c>
      <c r="K616" s="2304"/>
      <c r="L616" s="2304"/>
      <c r="M616" s="2325"/>
      <c r="N616" s="2324">
        <f t="shared" si="109"/>
        <v>0</v>
      </c>
      <c r="O616" s="704"/>
      <c r="P616" s="705"/>
      <c r="Q616" s="719"/>
      <c r="R616" s="706"/>
      <c r="S616" s="706"/>
      <c r="T616" s="706"/>
      <c r="U616" s="706"/>
      <c r="V616" s="706"/>
      <c r="W616" s="706"/>
      <c r="X616" s="706"/>
      <c r="Y616" s="706"/>
      <c r="Z616" s="706"/>
      <c r="AA616" s="706"/>
      <c r="AB616" s="706"/>
      <c r="AC616" s="706"/>
    </row>
    <row r="617" spans="1:29" ht="13.5" thickBot="1">
      <c r="A617" s="2314">
        <v>26</v>
      </c>
      <c r="B617" s="2173" t="s">
        <v>301</v>
      </c>
      <c r="C617" s="2177">
        <v>19</v>
      </c>
      <c r="D617" s="1485">
        <f t="shared" si="107"/>
        <v>271299.72253000003</v>
      </c>
      <c r="E617" s="1033"/>
      <c r="F617" s="1033">
        <v>174423</v>
      </c>
      <c r="G617" s="1034">
        <v>65624.471542415602</v>
      </c>
      <c r="H617" s="1038">
        <v>31252.250987584397</v>
      </c>
      <c r="I617" s="2345"/>
      <c r="J617" s="1538">
        <f t="shared" si="112"/>
        <v>96876.722529999999</v>
      </c>
      <c r="K617" s="998"/>
      <c r="L617" s="998"/>
      <c r="M617" s="1070"/>
      <c r="N617" s="2376">
        <f t="shared" si="109"/>
        <v>0</v>
      </c>
      <c r="O617" s="704"/>
      <c r="P617" s="705"/>
      <c r="Q617" s="722"/>
      <c r="R617" s="706"/>
      <c r="S617" s="706"/>
      <c r="T617" s="706"/>
      <c r="U617" s="706"/>
      <c r="V617" s="706"/>
      <c r="W617" s="706"/>
      <c r="X617" s="706"/>
      <c r="Y617" s="706"/>
      <c r="Z617" s="706"/>
      <c r="AA617" s="706"/>
      <c r="AB617" s="706"/>
      <c r="AC617" s="706"/>
    </row>
    <row r="618" spans="1:29" ht="26.25" thickBot="1">
      <c r="A618" s="1482">
        <v>27</v>
      </c>
      <c r="B618" s="1349" t="s">
        <v>302</v>
      </c>
      <c r="C618" s="1348"/>
      <c r="D618" s="1499">
        <f t="shared" si="107"/>
        <v>3272846.2355300002</v>
      </c>
      <c r="E618" s="1019">
        <f>SUM(E612:E617)</f>
        <v>0</v>
      </c>
      <c r="F618" s="1019">
        <f>SUM(F612:F617)</f>
        <v>190534.07</v>
      </c>
      <c r="G618" s="1019">
        <f>SUM(G612:G617)</f>
        <v>1233589.8855424158</v>
      </c>
      <c r="H618" s="1039">
        <f>SUM(H612:H617)</f>
        <v>1848722.2799875846</v>
      </c>
      <c r="I618" s="1023">
        <f>SUM(I612:I617)</f>
        <v>0</v>
      </c>
      <c r="J618" s="1502">
        <f>G618+H618+I618</f>
        <v>3082312.1655300003</v>
      </c>
      <c r="K618" s="1019">
        <f>SUM(K612:K617)</f>
        <v>0</v>
      </c>
      <c r="L618" s="1019">
        <f>SUM(L612:L617)</f>
        <v>0</v>
      </c>
      <c r="M618" s="1039">
        <f>SUM(M612:M617)</f>
        <v>0</v>
      </c>
      <c r="N618" s="1519">
        <f t="shared" si="109"/>
        <v>0</v>
      </c>
      <c r="O618" s="704"/>
      <c r="P618" s="705"/>
      <c r="Q618" s="719"/>
      <c r="R618" s="706"/>
      <c r="S618" s="706"/>
      <c r="T618" s="706"/>
      <c r="U618" s="706"/>
      <c r="V618" s="706"/>
      <c r="W618" s="706"/>
      <c r="X618" s="706"/>
      <c r="Y618" s="706"/>
      <c r="Z618" s="706"/>
      <c r="AA618" s="706"/>
      <c r="AB618" s="706"/>
      <c r="AC618" s="706"/>
    </row>
    <row r="619" spans="1:29">
      <c r="A619" s="1483"/>
      <c r="B619" s="1481" t="s">
        <v>303</v>
      </c>
      <c r="C619" s="1346">
        <v>20</v>
      </c>
      <c r="D619" s="1487">
        <f t="shared" si="107"/>
        <v>0</v>
      </c>
      <c r="E619" s="691"/>
      <c r="F619" s="691"/>
      <c r="G619" s="688"/>
      <c r="H619" s="689"/>
      <c r="I619" s="692"/>
      <c r="J619" s="1503">
        <f t="shared" ref="J619:J625" si="113">G619+H619+I619</f>
        <v>0</v>
      </c>
      <c r="K619" s="996"/>
      <c r="L619" s="996"/>
      <c r="M619" s="1067"/>
      <c r="N619" s="1488">
        <f t="shared" si="109"/>
        <v>0</v>
      </c>
      <c r="O619" s="704"/>
      <c r="P619" s="705"/>
      <c r="Q619" s="719"/>
      <c r="R619" s="706"/>
      <c r="S619" s="706"/>
      <c r="T619" s="706"/>
      <c r="U619" s="706"/>
      <c r="V619" s="706"/>
      <c r="W619" s="706"/>
      <c r="X619" s="706"/>
      <c r="Y619" s="706"/>
      <c r="Z619" s="706"/>
      <c r="AA619" s="706"/>
      <c r="AB619" s="706"/>
      <c r="AC619" s="706"/>
    </row>
    <row r="620" spans="1:29">
      <c r="A620" s="2307">
        <v>28</v>
      </c>
      <c r="B620" s="2302" t="s">
        <v>304</v>
      </c>
      <c r="C620" s="2161"/>
      <c r="D620" s="2303">
        <f t="shared" si="107"/>
        <v>650000</v>
      </c>
      <c r="E620" s="2330"/>
      <c r="F620" s="2330">
        <v>650000</v>
      </c>
      <c r="G620" s="2327"/>
      <c r="H620" s="2323"/>
      <c r="I620" s="2329"/>
      <c r="J620" s="2371">
        <f t="shared" si="113"/>
        <v>0</v>
      </c>
      <c r="K620" s="2304"/>
      <c r="L620" s="2304"/>
      <c r="M620" s="2325"/>
      <c r="N620" s="2324">
        <f t="shared" si="109"/>
        <v>0</v>
      </c>
      <c r="O620" s="704"/>
      <c r="P620" s="705"/>
      <c r="Q620" s="722"/>
      <c r="R620" s="706"/>
      <c r="S620" s="706"/>
      <c r="T620" s="706"/>
      <c r="U620" s="706"/>
      <c r="V620" s="706"/>
      <c r="W620" s="706"/>
      <c r="X620" s="706"/>
      <c r="Y620" s="706"/>
      <c r="Z620" s="706"/>
      <c r="AA620" s="706"/>
      <c r="AB620" s="706"/>
      <c r="AC620" s="706"/>
    </row>
    <row r="621" spans="1:29">
      <c r="A621" s="2307">
        <v>29</v>
      </c>
      <c r="B621" s="2302" t="s">
        <v>305</v>
      </c>
      <c r="C621" s="2161"/>
      <c r="D621" s="2303">
        <f t="shared" si="107"/>
        <v>44358.730330000006</v>
      </c>
      <c r="E621" s="2330"/>
      <c r="F621" s="2330">
        <v>44358.730330000006</v>
      </c>
      <c r="G621" s="2327"/>
      <c r="H621" s="2323"/>
      <c r="I621" s="2329"/>
      <c r="J621" s="2371">
        <f t="shared" si="113"/>
        <v>0</v>
      </c>
      <c r="K621" s="2304"/>
      <c r="L621" s="2304"/>
      <c r="M621" s="2325"/>
      <c r="N621" s="2324">
        <f t="shared" si="109"/>
        <v>0</v>
      </c>
      <c r="O621" s="704"/>
      <c r="P621" s="705"/>
      <c r="Q621" s="722"/>
      <c r="R621" s="706"/>
      <c r="S621" s="706"/>
      <c r="T621" s="706"/>
      <c r="U621" s="706"/>
      <c r="V621" s="706"/>
      <c r="W621" s="706"/>
      <c r="X621" s="706"/>
      <c r="Y621" s="706"/>
      <c r="Z621" s="706"/>
      <c r="AA621" s="706"/>
      <c r="AB621" s="706"/>
      <c r="AC621" s="706"/>
    </row>
    <row r="622" spans="1:29">
      <c r="A622" s="2307">
        <v>30</v>
      </c>
      <c r="B622" s="2317" t="s">
        <v>306</v>
      </c>
      <c r="C622" s="2177"/>
      <c r="D622" s="2303">
        <f t="shared" si="107"/>
        <v>61899.216</v>
      </c>
      <c r="E622" s="2330"/>
      <c r="F622" s="1033">
        <v>61899.216</v>
      </c>
      <c r="G622" s="1034"/>
      <c r="H622" s="2359"/>
      <c r="I622" s="2364"/>
      <c r="J622" s="2371">
        <f t="shared" si="113"/>
        <v>0</v>
      </c>
      <c r="K622" s="2304"/>
      <c r="L622" s="2304"/>
      <c r="M622" s="2325"/>
      <c r="N622" s="2324">
        <f t="shared" si="109"/>
        <v>0</v>
      </c>
      <c r="O622" s="704"/>
      <c r="P622" s="705"/>
      <c r="Q622" s="722"/>
      <c r="R622" s="706"/>
      <c r="S622" s="706"/>
      <c r="T622" s="706"/>
      <c r="U622" s="706"/>
      <c r="V622" s="706"/>
      <c r="W622" s="706"/>
      <c r="X622" s="706"/>
      <c r="Y622" s="706"/>
      <c r="Z622" s="706"/>
      <c r="AA622" s="706"/>
      <c r="AB622" s="706"/>
      <c r="AC622" s="706"/>
    </row>
    <row r="623" spans="1:29">
      <c r="A623" s="2307">
        <v>31</v>
      </c>
      <c r="B623" s="2302" t="s">
        <v>307</v>
      </c>
      <c r="C623" s="2161"/>
      <c r="D623" s="2303">
        <f t="shared" si="107"/>
        <v>0</v>
      </c>
      <c r="E623" s="2330"/>
      <c r="F623" s="1033"/>
      <c r="G623" s="1034"/>
      <c r="H623" s="2359"/>
      <c r="I623" s="2364"/>
      <c r="J623" s="2371">
        <f t="shared" si="113"/>
        <v>0</v>
      </c>
      <c r="K623" s="2304"/>
      <c r="L623" s="2304"/>
      <c r="M623" s="2325"/>
      <c r="N623" s="2324">
        <f t="shared" si="109"/>
        <v>0</v>
      </c>
      <c r="O623" s="704"/>
      <c r="P623" s="705"/>
      <c r="Q623" s="722"/>
      <c r="R623" s="706"/>
      <c r="S623" s="706"/>
      <c r="T623" s="706"/>
      <c r="U623" s="706"/>
      <c r="V623" s="706"/>
      <c r="W623" s="706"/>
      <c r="X623" s="706"/>
      <c r="Y623" s="706"/>
      <c r="Z623" s="706"/>
      <c r="AA623" s="706"/>
      <c r="AB623" s="706"/>
      <c r="AC623" s="706"/>
    </row>
    <row r="624" spans="1:29" ht="13.5" thickBot="1">
      <c r="A624" s="2314">
        <v>32</v>
      </c>
      <c r="B624" s="2317" t="s">
        <v>308</v>
      </c>
      <c r="C624" s="2177"/>
      <c r="D624" s="1485">
        <f t="shared" si="107"/>
        <v>-695417.4923599012</v>
      </c>
      <c r="E624" s="1033"/>
      <c r="F624" s="1083">
        <v>-695417.4923599012</v>
      </c>
      <c r="G624" s="1034"/>
      <c r="H624" s="2359"/>
      <c r="I624" s="2364"/>
      <c r="J624" s="1538">
        <f t="shared" si="113"/>
        <v>0</v>
      </c>
      <c r="K624" s="998"/>
      <c r="L624" s="998"/>
      <c r="M624" s="1070"/>
      <c r="N624" s="2376">
        <f t="shared" si="109"/>
        <v>0</v>
      </c>
      <c r="O624" s="704"/>
      <c r="P624" s="705"/>
      <c r="Q624" s="722"/>
      <c r="R624" s="706"/>
      <c r="S624" s="706"/>
      <c r="T624" s="706"/>
      <c r="U624" s="706"/>
      <c r="V624" s="706"/>
      <c r="W624" s="706"/>
      <c r="X624" s="706"/>
      <c r="Y624" s="706"/>
      <c r="Z624" s="706"/>
      <c r="AA624" s="706"/>
      <c r="AB624" s="706"/>
      <c r="AC624" s="706"/>
    </row>
    <row r="625" spans="1:42" ht="13.5" thickBot="1">
      <c r="A625" s="1482">
        <v>33</v>
      </c>
      <c r="B625" s="1350" t="s">
        <v>309</v>
      </c>
      <c r="C625" s="1348"/>
      <c r="D625" s="1500">
        <f t="shared" si="107"/>
        <v>60840.453970098868</v>
      </c>
      <c r="E625" s="1030">
        <f>SUM(E620:E624)</f>
        <v>0</v>
      </c>
      <c r="F625" s="1030">
        <f>SUM(F620:F624)</f>
        <v>60840.453970098868</v>
      </c>
      <c r="G625" s="1030">
        <f>SUM(G620:G624)</f>
        <v>0</v>
      </c>
      <c r="H625" s="1040">
        <f>SUM(H620:H624)</f>
        <v>0</v>
      </c>
      <c r="I625" s="1057">
        <f>SUM(I620:I624)</f>
        <v>0</v>
      </c>
      <c r="J625" s="1504">
        <f t="shared" si="113"/>
        <v>0</v>
      </c>
      <c r="K625" s="1030">
        <f>SUM(K620:K624)</f>
        <v>0</v>
      </c>
      <c r="L625" s="1030">
        <f>SUM(L620:L624)</f>
        <v>0</v>
      </c>
      <c r="M625" s="1040">
        <f>SUM(M620:M624)</f>
        <v>0</v>
      </c>
      <c r="N625" s="1521">
        <f t="shared" si="109"/>
        <v>0</v>
      </c>
      <c r="O625" s="704"/>
      <c r="P625" s="705"/>
      <c r="Q625" s="719"/>
      <c r="R625" s="706"/>
      <c r="S625" s="706"/>
      <c r="T625" s="706"/>
      <c r="U625" s="706"/>
      <c r="V625" s="706"/>
      <c r="W625" s="706"/>
      <c r="X625" s="706"/>
      <c r="Y625" s="706"/>
      <c r="Z625" s="706"/>
      <c r="AA625" s="706"/>
      <c r="AB625" s="706"/>
      <c r="AC625" s="706"/>
    </row>
    <row r="626" spans="1:42" ht="26.25" thickBot="1">
      <c r="A626" s="1493">
        <v>34</v>
      </c>
      <c r="B626" s="1352" t="s">
        <v>310</v>
      </c>
      <c r="C626" s="1351"/>
      <c r="D626" s="1526">
        <f>+E626+F626+J626+N626</f>
        <v>3333686.689500099</v>
      </c>
      <c r="E626" s="1526">
        <f>E625+E618</f>
        <v>0</v>
      </c>
      <c r="F626" s="1526">
        <f>F625+F618</f>
        <v>251374.52397009887</v>
      </c>
      <c r="G626" s="1526">
        <f>G625+G618</f>
        <v>1233589.8855424158</v>
      </c>
      <c r="H626" s="1526">
        <f>H625+H618</f>
        <v>1848722.2799875846</v>
      </c>
      <c r="I626" s="1526">
        <f>I625+I618</f>
        <v>0</v>
      </c>
      <c r="J626" s="1535">
        <f>G626+H626+I626</f>
        <v>3082312.1655300003</v>
      </c>
      <c r="K626" s="1526">
        <f>K625+K618</f>
        <v>0</v>
      </c>
      <c r="L626" s="1526">
        <f>L625+L618</f>
        <v>0</v>
      </c>
      <c r="M626" s="1527">
        <f>M625+M618</f>
        <v>0</v>
      </c>
      <c r="N626" s="1529">
        <f t="shared" si="109"/>
        <v>0</v>
      </c>
      <c r="O626" s="704"/>
      <c r="P626" s="705"/>
      <c r="Q626" s="719"/>
      <c r="R626" s="706"/>
      <c r="S626" s="706"/>
      <c r="T626" s="706"/>
      <c r="U626" s="706"/>
      <c r="V626" s="706"/>
      <c r="W626" s="706"/>
      <c r="X626" s="706"/>
      <c r="Y626" s="706"/>
      <c r="Z626" s="706"/>
      <c r="AA626" s="706"/>
      <c r="AB626" s="706"/>
      <c r="AC626" s="706"/>
    </row>
    <row r="628" spans="1:42">
      <c r="B628" s="680"/>
      <c r="D628" s="679"/>
      <c r="E628" s="679"/>
      <c r="F628" s="679"/>
      <c r="G628" s="679"/>
      <c r="H628" s="679"/>
      <c r="I628" s="679"/>
      <c r="J628" s="679"/>
      <c r="K628" s="679"/>
      <c r="L628" s="679"/>
      <c r="M628" s="679"/>
      <c r="N628" s="911">
        <v>41</v>
      </c>
      <c r="O628" s="679"/>
    </row>
    <row r="629" spans="1:42">
      <c r="D629" s="679"/>
      <c r="E629" s="679"/>
      <c r="F629" s="679"/>
      <c r="G629" s="679"/>
      <c r="H629" s="679"/>
      <c r="I629" s="679"/>
      <c r="J629" s="679"/>
    </row>
    <row r="630" spans="1:42" ht="13.5" thickBot="1"/>
    <row r="631" spans="1:42" ht="15.75" customHeight="1" thickBot="1">
      <c r="A631" s="1368" t="s">
        <v>133</v>
      </c>
      <c r="B631" s="3533" t="s">
        <v>107</v>
      </c>
      <c r="C631" s="3534"/>
      <c r="M631" s="3538" t="s">
        <v>251</v>
      </c>
      <c r="N631" s="3538"/>
      <c r="O631" s="701"/>
    </row>
    <row r="632" spans="1:42" ht="12.75" customHeight="1" thickBot="1">
      <c r="A632" s="3555" t="s">
        <v>252</v>
      </c>
      <c r="B632" s="1467"/>
      <c r="C632" s="3523" t="s">
        <v>254</v>
      </c>
      <c r="D632" s="3562" t="s">
        <v>255</v>
      </c>
      <c r="E632" s="3562" t="s">
        <v>256</v>
      </c>
      <c r="F632" s="3562" t="s">
        <v>257</v>
      </c>
      <c r="G632" s="3565" t="s">
        <v>258</v>
      </c>
      <c r="H632" s="3566"/>
      <c r="I632" s="3566"/>
      <c r="J632" s="3566"/>
      <c r="K632" s="3566"/>
      <c r="L632" s="3566"/>
      <c r="M632" s="3566"/>
      <c r="N632" s="3567"/>
      <c r="O632" s="702"/>
    </row>
    <row r="633" spans="1:42" ht="12.75" customHeight="1" thickBot="1">
      <c r="A633" s="3556"/>
      <c r="B633" s="1468"/>
      <c r="C633" s="3524"/>
      <c r="D633" s="3563"/>
      <c r="E633" s="3563"/>
      <c r="F633" s="3563"/>
      <c r="G633" s="3529" t="s">
        <v>259</v>
      </c>
      <c r="H633" s="3530"/>
      <c r="I633" s="3530"/>
      <c r="J633" s="3531"/>
      <c r="K633" s="3568" t="s">
        <v>260</v>
      </c>
      <c r="L633" s="3569"/>
      <c r="M633" s="3569"/>
      <c r="N633" s="3570"/>
      <c r="O633" s="458"/>
    </row>
    <row r="634" spans="1:42" ht="39" thickBot="1">
      <c r="A634" s="3556"/>
      <c r="B634" s="1469"/>
      <c r="C634" s="3524"/>
      <c r="D634" s="3564"/>
      <c r="E634" s="3564"/>
      <c r="F634" s="3564"/>
      <c r="G634" s="1336" t="s">
        <v>261</v>
      </c>
      <c r="H634" s="1336" t="s">
        <v>262</v>
      </c>
      <c r="I634" s="1336" t="s">
        <v>263</v>
      </c>
      <c r="J634" s="1336" t="s">
        <v>158</v>
      </c>
      <c r="K634" s="1337" t="s">
        <v>264</v>
      </c>
      <c r="L634" s="1337" t="s">
        <v>265</v>
      </c>
      <c r="M634" s="1337" t="s">
        <v>266</v>
      </c>
      <c r="N634" s="1404" t="s">
        <v>158</v>
      </c>
      <c r="O634" s="443"/>
    </row>
    <row r="635" spans="1:42" ht="13.5" thickBot="1">
      <c r="A635" s="3556"/>
      <c r="B635" s="1468"/>
      <c r="C635" s="3524"/>
      <c r="D635" s="1470">
        <v>1</v>
      </c>
      <c r="E635" s="1471">
        <v>2</v>
      </c>
      <c r="F635" s="1471">
        <v>3</v>
      </c>
      <c r="G635" s="1472">
        <v>4</v>
      </c>
      <c r="H635" s="1471">
        <v>5</v>
      </c>
      <c r="I635" s="1473">
        <v>6</v>
      </c>
      <c r="J635" s="1474">
        <v>7</v>
      </c>
      <c r="K635" s="1472">
        <v>8</v>
      </c>
      <c r="L635" s="1471">
        <v>9</v>
      </c>
      <c r="M635" s="1496">
        <v>10</v>
      </c>
      <c r="N635" s="1470">
        <v>11</v>
      </c>
      <c r="O635" s="702"/>
    </row>
    <row r="636" spans="1:42" ht="13.5" thickBot="1">
      <c r="A636" s="3557"/>
      <c r="B636" s="1475"/>
      <c r="C636" s="3525"/>
      <c r="D636" s="1476"/>
      <c r="E636" s="1476"/>
      <c r="F636" s="1476"/>
      <c r="G636" s="1477"/>
      <c r="H636" s="1476"/>
      <c r="I636" s="1478"/>
      <c r="J636" s="1478" t="s">
        <v>267</v>
      </c>
      <c r="K636" s="1477"/>
      <c r="L636" s="1476"/>
      <c r="M636" s="1968"/>
      <c r="N636" s="1553" t="s">
        <v>268</v>
      </c>
      <c r="O636" s="703"/>
      <c r="P636" s="703"/>
      <c r="Q636" s="703"/>
    </row>
    <row r="637" spans="1:42">
      <c r="A637" s="1373"/>
      <c r="B637" s="1374" t="s">
        <v>269</v>
      </c>
      <c r="C637" s="1373"/>
      <c r="D637" s="2152"/>
      <c r="E637" s="1084"/>
      <c r="F637" s="1084"/>
      <c r="G637" s="1085"/>
      <c r="H637" s="1086"/>
      <c r="I637" s="1087"/>
      <c r="J637" s="1417"/>
      <c r="K637" s="1088"/>
      <c r="L637" s="1089"/>
      <c r="M637" s="1090"/>
      <c r="N637" s="1441"/>
      <c r="Q637" s="703"/>
    </row>
    <row r="638" spans="1:42">
      <c r="A638" s="2153">
        <v>1</v>
      </c>
      <c r="B638" s="2154" t="s">
        <v>270</v>
      </c>
      <c r="C638" s="2155"/>
      <c r="D638" s="2156">
        <f t="shared" ref="D638:D677" si="114">+E638+F638+J638+N638</f>
        <v>0</v>
      </c>
      <c r="E638" s="2419"/>
      <c r="F638" s="2419"/>
      <c r="G638" s="2420"/>
      <c r="H638" s="2421"/>
      <c r="I638" s="2422"/>
      <c r="J638" s="2158">
        <f>G638+H638+I638</f>
        <v>0</v>
      </c>
      <c r="K638" s="2157"/>
      <c r="L638" s="2157"/>
      <c r="M638" s="2159"/>
      <c r="N638" s="2160">
        <f>K638+L638+M638</f>
        <v>0</v>
      </c>
      <c r="O638" s="704"/>
      <c r="P638" s="705"/>
      <c r="Q638" s="705"/>
      <c r="R638" s="706"/>
      <c r="S638" s="706"/>
      <c r="T638" s="706"/>
      <c r="U638" s="706"/>
      <c r="V638" s="706"/>
      <c r="W638" s="706"/>
      <c r="X638" s="706"/>
      <c r="Y638" s="706"/>
      <c r="Z638" s="706"/>
      <c r="AA638" s="706"/>
      <c r="AB638" s="706"/>
      <c r="AC638" s="706"/>
      <c r="AF638" s="681"/>
      <c r="AG638" s="681"/>
      <c r="AH638" s="681"/>
      <c r="AI638" s="681"/>
      <c r="AJ638" s="681"/>
      <c r="AK638" s="681"/>
      <c r="AL638" s="681"/>
      <c r="AM638" s="681"/>
      <c r="AN638" s="681"/>
      <c r="AO638" s="681"/>
      <c r="AP638" s="681"/>
    </row>
    <row r="639" spans="1:42">
      <c r="A639" s="2153">
        <v>2</v>
      </c>
      <c r="B639" s="2154" t="s">
        <v>271</v>
      </c>
      <c r="C639" s="2155"/>
      <c r="D639" s="2156">
        <f t="shared" si="114"/>
        <v>9006.6632099999897</v>
      </c>
      <c r="E639" s="2419"/>
      <c r="F639" s="2419">
        <v>9006.6632099999897</v>
      </c>
      <c r="G639" s="2420"/>
      <c r="H639" s="2421"/>
      <c r="I639" s="2422"/>
      <c r="J639" s="2158">
        <f t="shared" ref="J639:J649" si="115">G639+H639+I639</f>
        <v>0</v>
      </c>
      <c r="K639" s="2157"/>
      <c r="L639" s="2157"/>
      <c r="M639" s="2159"/>
      <c r="N639" s="2160">
        <f t="shared" ref="N639:N678" si="116">K639+L639+M639</f>
        <v>0</v>
      </c>
      <c r="O639" s="704"/>
      <c r="P639" s="705"/>
      <c r="Q639" s="705"/>
      <c r="R639" s="706"/>
      <c r="S639" s="706"/>
      <c r="T639" s="706"/>
      <c r="U639" s="706"/>
      <c r="V639" s="706"/>
      <c r="W639" s="706"/>
      <c r="X639" s="706"/>
      <c r="Y639" s="706"/>
      <c r="Z639" s="706"/>
      <c r="AA639" s="706"/>
      <c r="AB639" s="706"/>
      <c r="AC639" s="706"/>
      <c r="AF639" s="681"/>
      <c r="AG639" s="681"/>
      <c r="AH639" s="681"/>
      <c r="AI639" s="681"/>
      <c r="AJ639" s="681"/>
      <c r="AK639" s="681"/>
      <c r="AL639" s="681"/>
      <c r="AM639" s="681"/>
      <c r="AN639" s="681"/>
      <c r="AO639" s="681"/>
      <c r="AP639" s="681"/>
    </row>
    <row r="640" spans="1:42">
      <c r="A640" s="2153">
        <v>3</v>
      </c>
      <c r="B640" s="2154" t="s">
        <v>272</v>
      </c>
      <c r="C640" s="2155"/>
      <c r="D640" s="2156">
        <f t="shared" si="114"/>
        <v>0</v>
      </c>
      <c r="E640" s="2419"/>
      <c r="F640" s="2419"/>
      <c r="G640" s="2420"/>
      <c r="H640" s="2421"/>
      <c r="I640" s="2422"/>
      <c r="J640" s="2158">
        <f t="shared" si="115"/>
        <v>0</v>
      </c>
      <c r="K640" s="2157"/>
      <c r="L640" s="2157"/>
      <c r="M640" s="2159"/>
      <c r="N640" s="2160">
        <f t="shared" si="116"/>
        <v>0</v>
      </c>
      <c r="O640" s="704"/>
      <c r="P640" s="705"/>
      <c r="Q640" s="705"/>
      <c r="R640" s="706"/>
      <c r="S640" s="706"/>
      <c r="T640" s="706"/>
      <c r="U640" s="706"/>
      <c r="V640" s="706"/>
      <c r="W640" s="706"/>
      <c r="X640" s="706"/>
      <c r="Y640" s="706"/>
      <c r="Z640" s="706"/>
      <c r="AA640" s="706"/>
      <c r="AB640" s="706"/>
      <c r="AC640" s="706"/>
      <c r="AF640" s="681"/>
      <c r="AG640" s="681"/>
      <c r="AH640" s="681"/>
      <c r="AI640" s="681"/>
      <c r="AJ640" s="681"/>
      <c r="AK640" s="681"/>
      <c r="AL640" s="681"/>
      <c r="AM640" s="681"/>
      <c r="AN640" s="681"/>
      <c r="AO640" s="681"/>
      <c r="AP640" s="681"/>
    </row>
    <row r="641" spans="1:42">
      <c r="A641" s="2153">
        <v>4</v>
      </c>
      <c r="B641" s="2154" t="s">
        <v>315</v>
      </c>
      <c r="C641" s="2155"/>
      <c r="D641" s="2156">
        <f t="shared" si="114"/>
        <v>127062.812170946</v>
      </c>
      <c r="E641" s="2419"/>
      <c r="F641" s="2419"/>
      <c r="G641" s="2420"/>
      <c r="H641" s="2421">
        <v>127062.812170946</v>
      </c>
      <c r="I641" s="2422"/>
      <c r="J641" s="2158">
        <f t="shared" si="115"/>
        <v>127062.812170946</v>
      </c>
      <c r="K641" s="2157"/>
      <c r="L641" s="2157"/>
      <c r="M641" s="2159"/>
      <c r="N641" s="2160">
        <f t="shared" si="116"/>
        <v>0</v>
      </c>
      <c r="O641" s="704"/>
      <c r="P641" s="705"/>
      <c r="Q641" s="705"/>
      <c r="R641" s="706"/>
      <c r="S641" s="706"/>
      <c r="T641" s="706"/>
      <c r="U641" s="706"/>
      <c r="V641" s="706"/>
      <c r="W641" s="706"/>
      <c r="X641" s="706"/>
      <c r="Y641" s="706"/>
      <c r="Z641" s="706"/>
      <c r="AA641" s="706"/>
      <c r="AB641" s="706"/>
      <c r="AC641" s="706"/>
      <c r="AF641" s="681"/>
      <c r="AG641" s="681"/>
      <c r="AH641" s="681"/>
      <c r="AI641" s="681"/>
      <c r="AJ641" s="681"/>
      <c r="AK641" s="681"/>
      <c r="AL641" s="681"/>
      <c r="AM641" s="681"/>
      <c r="AN641" s="681"/>
      <c r="AO641" s="681"/>
      <c r="AP641" s="681"/>
    </row>
    <row r="642" spans="1:42">
      <c r="A642" s="2153">
        <v>5</v>
      </c>
      <c r="B642" s="2154" t="s">
        <v>274</v>
      </c>
      <c r="C642" s="2161">
        <v>5</v>
      </c>
      <c r="D642" s="2156">
        <f t="shared" si="114"/>
        <v>25123.215270000001</v>
      </c>
      <c r="E642" s="2419"/>
      <c r="F642" s="2419">
        <v>25123.215270000001</v>
      </c>
      <c r="G642" s="2420"/>
      <c r="H642" s="2421"/>
      <c r="I642" s="2422"/>
      <c r="J642" s="2158">
        <f t="shared" si="115"/>
        <v>0</v>
      </c>
      <c r="K642" s="2157"/>
      <c r="L642" s="2157"/>
      <c r="M642" s="2159"/>
      <c r="N642" s="2160">
        <f t="shared" si="116"/>
        <v>0</v>
      </c>
      <c r="O642" s="704"/>
      <c r="P642" s="705"/>
      <c r="Q642" s="705"/>
      <c r="R642" s="706"/>
      <c r="S642" s="706"/>
      <c r="T642" s="706"/>
      <c r="U642" s="706"/>
      <c r="V642" s="706"/>
      <c r="W642" s="706"/>
      <c r="X642" s="706"/>
      <c r="Y642" s="706"/>
      <c r="Z642" s="706"/>
      <c r="AA642" s="706"/>
      <c r="AB642" s="706"/>
      <c r="AC642" s="706"/>
      <c r="AF642" s="681"/>
      <c r="AG642" s="681"/>
      <c r="AH642" s="681"/>
      <c r="AI642" s="681"/>
      <c r="AJ642" s="681"/>
      <c r="AK642" s="681"/>
      <c r="AL642" s="681"/>
      <c r="AM642" s="681"/>
      <c r="AN642" s="681"/>
      <c r="AO642" s="681"/>
      <c r="AP642" s="681"/>
    </row>
    <row r="643" spans="1:42">
      <c r="A643" s="2153">
        <v>6</v>
      </c>
      <c r="B643" s="2154" t="s">
        <v>275</v>
      </c>
      <c r="C643" s="2155">
        <v>6</v>
      </c>
      <c r="D643" s="2156">
        <f t="shared" si="114"/>
        <v>0</v>
      </c>
      <c r="E643" s="2419"/>
      <c r="F643" s="2419"/>
      <c r="G643" s="2420"/>
      <c r="H643" s="2421"/>
      <c r="I643" s="2422"/>
      <c r="J643" s="2158">
        <f t="shared" si="115"/>
        <v>0</v>
      </c>
      <c r="K643" s="2157"/>
      <c r="L643" s="2157"/>
      <c r="M643" s="2159"/>
      <c r="N643" s="2160">
        <f t="shared" si="116"/>
        <v>0</v>
      </c>
      <c r="O643" s="704"/>
      <c r="P643" s="705"/>
      <c r="Q643" s="705"/>
      <c r="R643" s="706"/>
      <c r="S643" s="706"/>
      <c r="T643" s="706"/>
      <c r="U643" s="706"/>
      <c r="V643" s="706"/>
      <c r="W643" s="706"/>
      <c r="X643" s="706"/>
      <c r="Y643" s="706"/>
      <c r="Z643" s="706"/>
      <c r="AA643" s="706"/>
      <c r="AB643" s="706"/>
      <c r="AC643" s="706"/>
      <c r="AF643" s="681"/>
      <c r="AG643" s="681"/>
      <c r="AH643" s="681"/>
      <c r="AI643" s="681"/>
      <c r="AJ643" s="681"/>
      <c r="AK643" s="681"/>
      <c r="AL643" s="681"/>
      <c r="AM643" s="681"/>
      <c r="AN643" s="681"/>
      <c r="AO643" s="681"/>
      <c r="AP643" s="681"/>
    </row>
    <row r="644" spans="1:42">
      <c r="A644" s="2153">
        <v>7</v>
      </c>
      <c r="B644" s="2154" t="s">
        <v>276</v>
      </c>
      <c r="C644" s="2161">
        <v>7</v>
      </c>
      <c r="D644" s="2156">
        <f t="shared" si="114"/>
        <v>0</v>
      </c>
      <c r="E644" s="2157"/>
      <c r="F644" s="2157">
        <f>F645+F646</f>
        <v>0</v>
      </c>
      <c r="G644" s="2157">
        <f t="shared" ref="G644:M644" si="117">G645+G646</f>
        <v>0</v>
      </c>
      <c r="H644" s="2159">
        <f t="shared" si="117"/>
        <v>0</v>
      </c>
      <c r="I644" s="2184">
        <f t="shared" si="117"/>
        <v>0</v>
      </c>
      <c r="J644" s="2158">
        <f t="shared" si="115"/>
        <v>0</v>
      </c>
      <c r="K644" s="2157">
        <f t="shared" si="117"/>
        <v>0</v>
      </c>
      <c r="L644" s="2157">
        <f t="shared" si="117"/>
        <v>0</v>
      </c>
      <c r="M644" s="2159">
        <f t="shared" si="117"/>
        <v>0</v>
      </c>
      <c r="N644" s="2160">
        <f t="shared" si="116"/>
        <v>0</v>
      </c>
      <c r="O644" s="704"/>
      <c r="P644" s="705"/>
      <c r="Q644" s="705"/>
      <c r="R644" s="706"/>
      <c r="S644" s="706"/>
      <c r="T644" s="706"/>
      <c r="U644" s="706"/>
      <c r="V644" s="706"/>
      <c r="W644" s="706"/>
      <c r="X644" s="706"/>
      <c r="Y644" s="706"/>
      <c r="Z644" s="706"/>
      <c r="AA644" s="706"/>
      <c r="AB644" s="706"/>
      <c r="AC644" s="706"/>
      <c r="AF644" s="681"/>
      <c r="AG644" s="681"/>
      <c r="AH644" s="681"/>
      <c r="AI644" s="681"/>
      <c r="AJ644" s="681"/>
      <c r="AK644" s="681"/>
      <c r="AL644" s="681"/>
      <c r="AM644" s="681"/>
      <c r="AN644" s="681"/>
      <c r="AO644" s="681"/>
      <c r="AP644" s="681"/>
    </row>
    <row r="645" spans="1:42">
      <c r="A645" s="2155"/>
      <c r="B645" s="2162" t="s">
        <v>277</v>
      </c>
      <c r="C645" s="2161"/>
      <c r="D645" s="2156">
        <f t="shared" si="114"/>
        <v>0</v>
      </c>
      <c r="E645" s="2157"/>
      <c r="F645" s="2157"/>
      <c r="G645" s="2157"/>
      <c r="H645" s="2159"/>
      <c r="I645" s="2184"/>
      <c r="J645" s="2158">
        <f t="shared" si="115"/>
        <v>0</v>
      </c>
      <c r="K645" s="2157"/>
      <c r="L645" s="2157"/>
      <c r="M645" s="2159"/>
      <c r="N645" s="2160">
        <f t="shared" si="116"/>
        <v>0</v>
      </c>
      <c r="O645" s="704"/>
      <c r="P645" s="705"/>
      <c r="Q645" s="705"/>
      <c r="R645" s="706"/>
      <c r="S645" s="706"/>
      <c r="T645" s="706"/>
      <c r="U645" s="706"/>
      <c r="V645" s="706"/>
      <c r="W645" s="706"/>
      <c r="X645" s="706"/>
      <c r="Y645" s="706"/>
      <c r="Z645" s="706"/>
      <c r="AA645" s="706"/>
      <c r="AB645" s="706"/>
      <c r="AC645" s="706"/>
      <c r="AF645" s="681"/>
      <c r="AG645" s="681"/>
      <c r="AH645" s="681"/>
      <c r="AI645" s="681"/>
      <c r="AJ645" s="681"/>
      <c r="AK645" s="681"/>
      <c r="AL645" s="681"/>
      <c r="AM645" s="681"/>
      <c r="AN645" s="681"/>
      <c r="AO645" s="681"/>
      <c r="AP645" s="681"/>
    </row>
    <row r="646" spans="1:42">
      <c r="A646" s="2155"/>
      <c r="B646" s="2162" t="s">
        <v>278</v>
      </c>
      <c r="C646" s="2161"/>
      <c r="D646" s="2156">
        <f t="shared" si="114"/>
        <v>0</v>
      </c>
      <c r="E646" s="2157"/>
      <c r="F646" s="2157"/>
      <c r="G646" s="2157"/>
      <c r="H646" s="2159"/>
      <c r="I646" s="2184"/>
      <c r="J646" s="2158">
        <f t="shared" si="115"/>
        <v>0</v>
      </c>
      <c r="K646" s="2157"/>
      <c r="L646" s="2157"/>
      <c r="M646" s="2159"/>
      <c r="N646" s="2160">
        <f t="shared" si="116"/>
        <v>0</v>
      </c>
      <c r="O646" s="704"/>
      <c r="P646" s="705"/>
      <c r="Q646" s="705"/>
      <c r="R646" s="706"/>
      <c r="S646" s="706"/>
      <c r="T646" s="706"/>
      <c r="U646" s="706"/>
      <c r="V646" s="706"/>
      <c r="W646" s="706"/>
      <c r="X646" s="706"/>
      <c r="Y646" s="706"/>
      <c r="Z646" s="706"/>
      <c r="AA646" s="706"/>
      <c r="AB646" s="706"/>
      <c r="AC646" s="706"/>
      <c r="AF646" s="681"/>
      <c r="AG646" s="681"/>
      <c r="AH646" s="681"/>
      <c r="AI646" s="681"/>
      <c r="AJ646" s="681"/>
      <c r="AK646" s="681"/>
      <c r="AL646" s="681"/>
      <c r="AM646" s="681"/>
      <c r="AN646" s="681"/>
      <c r="AO646" s="681"/>
      <c r="AP646" s="681"/>
    </row>
    <row r="647" spans="1:42">
      <c r="A647" s="2153">
        <v>8</v>
      </c>
      <c r="B647" s="2154" t="s">
        <v>279</v>
      </c>
      <c r="C647" s="2155">
        <v>8</v>
      </c>
      <c r="D647" s="2156">
        <f t="shared" si="114"/>
        <v>0</v>
      </c>
      <c r="E647" s="2157"/>
      <c r="F647" s="2157">
        <f>F648+F649</f>
        <v>0</v>
      </c>
      <c r="G647" s="2157">
        <f t="shared" ref="G647:M647" si="118">G648+G649</f>
        <v>0</v>
      </c>
      <c r="H647" s="2159">
        <f t="shared" si="118"/>
        <v>0</v>
      </c>
      <c r="I647" s="2184">
        <f t="shared" si="118"/>
        <v>0</v>
      </c>
      <c r="J647" s="2158">
        <f t="shared" si="115"/>
        <v>0</v>
      </c>
      <c r="K647" s="2157">
        <f t="shared" si="118"/>
        <v>0</v>
      </c>
      <c r="L647" s="2157">
        <f t="shared" si="118"/>
        <v>0</v>
      </c>
      <c r="M647" s="2159">
        <f t="shared" si="118"/>
        <v>0</v>
      </c>
      <c r="N647" s="2160">
        <f t="shared" si="116"/>
        <v>0</v>
      </c>
      <c r="O647" s="704"/>
      <c r="P647" s="705"/>
      <c r="Q647" s="705"/>
      <c r="R647" s="706"/>
      <c r="S647" s="706"/>
      <c r="T647" s="706"/>
      <c r="U647" s="706"/>
      <c r="V647" s="706"/>
      <c r="W647" s="706"/>
      <c r="X647" s="706"/>
      <c r="Y647" s="706"/>
      <c r="Z647" s="706"/>
      <c r="AA647" s="706"/>
      <c r="AB647" s="706"/>
      <c r="AC647" s="706"/>
      <c r="AF647" s="681"/>
      <c r="AG647" s="681"/>
      <c r="AH647" s="681"/>
      <c r="AI647" s="681"/>
      <c r="AJ647" s="681"/>
      <c r="AK647" s="681"/>
      <c r="AL647" s="681"/>
      <c r="AM647" s="681"/>
      <c r="AN647" s="681"/>
      <c r="AO647" s="681"/>
      <c r="AP647" s="681"/>
    </row>
    <row r="648" spans="1:42">
      <c r="A648" s="2153"/>
      <c r="B648" s="2162" t="s">
        <v>280</v>
      </c>
      <c r="C648" s="2155"/>
      <c r="D648" s="2156">
        <f t="shared" si="114"/>
        <v>0</v>
      </c>
      <c r="E648" s="2157"/>
      <c r="F648" s="2157"/>
      <c r="G648" s="2157"/>
      <c r="H648" s="2159"/>
      <c r="I648" s="2184"/>
      <c r="J648" s="2158">
        <f t="shared" si="115"/>
        <v>0</v>
      </c>
      <c r="K648" s="2157"/>
      <c r="L648" s="2157"/>
      <c r="M648" s="2159"/>
      <c r="N648" s="2160">
        <f t="shared" si="116"/>
        <v>0</v>
      </c>
      <c r="O648" s="704"/>
      <c r="P648" s="705"/>
      <c r="Q648" s="705"/>
      <c r="R648" s="706"/>
      <c r="S648" s="706"/>
      <c r="T648" s="706"/>
      <c r="U648" s="706"/>
      <c r="V648" s="706"/>
      <c r="W648" s="706"/>
      <c r="X648" s="706"/>
      <c r="Y648" s="706"/>
      <c r="Z648" s="706"/>
      <c r="AA648" s="706"/>
      <c r="AB648" s="706"/>
      <c r="AC648" s="706"/>
      <c r="AF648" s="681"/>
      <c r="AG648" s="681"/>
      <c r="AH648" s="681"/>
      <c r="AI648" s="681"/>
      <c r="AJ648" s="681"/>
      <c r="AK648" s="681"/>
      <c r="AL648" s="681"/>
      <c r="AM648" s="681"/>
      <c r="AN648" s="681"/>
      <c r="AO648" s="681"/>
      <c r="AP648" s="681"/>
    </row>
    <row r="649" spans="1:42">
      <c r="A649" s="2153"/>
      <c r="B649" s="2162" t="s">
        <v>281</v>
      </c>
      <c r="C649" s="2155"/>
      <c r="D649" s="2156">
        <f t="shared" si="114"/>
        <v>0</v>
      </c>
      <c r="E649" s="2157"/>
      <c r="F649" s="2157"/>
      <c r="G649" s="2157"/>
      <c r="H649" s="2159"/>
      <c r="I649" s="2184"/>
      <c r="J649" s="2158">
        <f t="shared" si="115"/>
        <v>0</v>
      </c>
      <c r="K649" s="2157"/>
      <c r="L649" s="2157"/>
      <c r="M649" s="2159"/>
      <c r="N649" s="2160">
        <f t="shared" si="116"/>
        <v>0</v>
      </c>
      <c r="O649" s="704"/>
      <c r="P649" s="705"/>
      <c r="Q649" s="705"/>
      <c r="R649" s="706"/>
      <c r="S649" s="706"/>
      <c r="T649" s="706"/>
      <c r="U649" s="706"/>
      <c r="V649" s="706"/>
      <c r="W649" s="706"/>
      <c r="X649" s="706"/>
      <c r="Y649" s="706"/>
      <c r="Z649" s="706"/>
      <c r="AA649" s="706"/>
      <c r="AB649" s="706"/>
      <c r="AC649" s="706"/>
      <c r="AF649" s="681"/>
      <c r="AG649" s="681"/>
      <c r="AH649" s="681"/>
      <c r="AI649" s="681"/>
      <c r="AJ649" s="681"/>
      <c r="AK649" s="681"/>
      <c r="AL649" s="681"/>
      <c r="AM649" s="681"/>
      <c r="AN649" s="681"/>
      <c r="AO649" s="681"/>
      <c r="AP649" s="681"/>
    </row>
    <row r="650" spans="1:42" s="913" customFormat="1" ht="25.5">
      <c r="A650" s="2163">
        <v>9</v>
      </c>
      <c r="B650" s="2164" t="s">
        <v>282</v>
      </c>
      <c r="C650" s="2165"/>
      <c r="D650" s="2166">
        <f t="shared" si="114"/>
        <v>6983038.5045228526</v>
      </c>
      <c r="E650" s="2167">
        <f>SUM(E651:E654)</f>
        <v>0</v>
      </c>
      <c r="F650" s="2167">
        <f>SUM(F651:F654)</f>
        <v>1310530.465610411</v>
      </c>
      <c r="G650" s="2167">
        <f>SUM(G651:G654)</f>
        <v>277674.16628902091</v>
      </c>
      <c r="H650" s="2169">
        <f>SUM(H651:H654)</f>
        <v>3292091.9797321763</v>
      </c>
      <c r="I650" s="2253">
        <f>SUM(I651:I654)</f>
        <v>2102741.892891245</v>
      </c>
      <c r="J650" s="2168">
        <f>G650+H650+I650</f>
        <v>5672508.0389124416</v>
      </c>
      <c r="K650" s="2167">
        <f>SUM(K651:K654)</f>
        <v>0</v>
      </c>
      <c r="L650" s="2167">
        <f>SUM(L651:L654)</f>
        <v>0</v>
      </c>
      <c r="M650" s="2169">
        <f>SUM(M651:M654)</f>
        <v>0</v>
      </c>
      <c r="N650" s="2170">
        <f t="shared" si="116"/>
        <v>0</v>
      </c>
      <c r="O650" s="1024"/>
      <c r="P650" s="1025"/>
      <c r="Q650" s="1025"/>
      <c r="R650" s="1027"/>
      <c r="S650" s="1027"/>
      <c r="T650" s="1027"/>
      <c r="U650" s="1027"/>
      <c r="V650" s="1027"/>
      <c r="W650" s="1027"/>
      <c r="X650" s="1027"/>
      <c r="Y650" s="1027"/>
      <c r="Z650" s="1027"/>
      <c r="AA650" s="1027"/>
      <c r="AB650" s="1027"/>
      <c r="AC650" s="1027"/>
      <c r="AE650" s="1028"/>
      <c r="AF650" s="1029"/>
      <c r="AG650" s="1029"/>
      <c r="AH650" s="1029"/>
      <c r="AI650" s="1029"/>
      <c r="AJ650" s="1029"/>
      <c r="AK650" s="1029"/>
      <c r="AL650" s="1029"/>
      <c r="AM650" s="1029"/>
      <c r="AN650" s="1029"/>
      <c r="AO650" s="1029"/>
      <c r="AP650" s="1029"/>
    </row>
    <row r="651" spans="1:42">
      <c r="A651" s="2155">
        <v>10</v>
      </c>
      <c r="B651" s="2171" t="s">
        <v>283</v>
      </c>
      <c r="C651" s="2155">
        <v>9</v>
      </c>
      <c r="D651" s="2156">
        <f t="shared" si="114"/>
        <v>0</v>
      </c>
      <c r="E651" s="2419"/>
      <c r="F651" s="2419"/>
      <c r="G651" s="2420"/>
      <c r="H651" s="2421"/>
      <c r="I651" s="2422"/>
      <c r="J651" s="2158">
        <f t="shared" ref="J651:J663" si="119">G651+H651+I651</f>
        <v>0</v>
      </c>
      <c r="K651" s="2157"/>
      <c r="L651" s="2157"/>
      <c r="M651" s="2159"/>
      <c r="N651" s="2160">
        <f t="shared" si="116"/>
        <v>0</v>
      </c>
      <c r="O651" s="704"/>
      <c r="P651" s="705"/>
      <c r="Q651" s="705"/>
      <c r="R651" s="706"/>
      <c r="S651" s="706"/>
      <c r="T651" s="706"/>
      <c r="U651" s="706"/>
      <c r="V651" s="706"/>
      <c r="W651" s="706"/>
      <c r="X651" s="706"/>
      <c r="Y651" s="706"/>
      <c r="Z651" s="706"/>
      <c r="AA651" s="706"/>
      <c r="AB651" s="706"/>
      <c r="AC651" s="706"/>
      <c r="AF651" s="681"/>
      <c r="AG651" s="681"/>
      <c r="AH651" s="681"/>
      <c r="AI651" s="681"/>
      <c r="AJ651" s="681"/>
      <c r="AK651" s="681"/>
      <c r="AL651" s="681"/>
      <c r="AM651" s="681"/>
      <c r="AN651" s="681"/>
      <c r="AO651" s="681"/>
      <c r="AP651" s="681"/>
    </row>
    <row r="652" spans="1:42">
      <c r="A652" s="2155">
        <v>11</v>
      </c>
      <c r="B652" s="2171" t="s">
        <v>284</v>
      </c>
      <c r="C652" s="2155">
        <v>10</v>
      </c>
      <c r="D652" s="2156">
        <f t="shared" si="114"/>
        <v>2141714.756102853</v>
      </c>
      <c r="E652" s="2419"/>
      <c r="F652" s="2419">
        <v>599080.27365041093</v>
      </c>
      <c r="G652" s="2420">
        <v>90103.191780821915</v>
      </c>
      <c r="H652" s="2423">
        <v>938009.62491162005</v>
      </c>
      <c r="I652" s="2424">
        <v>514521.66576</v>
      </c>
      <c r="J652" s="2158">
        <f t="shared" si="119"/>
        <v>1542634.4824524419</v>
      </c>
      <c r="K652" s="2157"/>
      <c r="L652" s="2157"/>
      <c r="M652" s="2159"/>
      <c r="N652" s="2160">
        <f t="shared" si="116"/>
        <v>0</v>
      </c>
      <c r="O652" s="704"/>
      <c r="P652" s="705"/>
      <c r="Q652" s="705"/>
      <c r="R652" s="706"/>
      <c r="S652" s="706"/>
      <c r="T652" s="706"/>
      <c r="U652" s="706"/>
      <c r="V652" s="706"/>
      <c r="W652" s="706"/>
      <c r="X652" s="706"/>
      <c r="Y652" s="706"/>
      <c r="Z652" s="706"/>
      <c r="AA652" s="706"/>
      <c r="AB652" s="706"/>
      <c r="AC652" s="706"/>
      <c r="AF652" s="681"/>
      <c r="AG652" s="681"/>
      <c r="AH652" s="681"/>
      <c r="AI652" s="681"/>
      <c r="AJ652" s="681"/>
      <c r="AK652" s="681"/>
      <c r="AL652" s="681"/>
      <c r="AM652" s="681"/>
      <c r="AN652" s="681"/>
      <c r="AO652" s="681"/>
      <c r="AP652" s="681"/>
    </row>
    <row r="653" spans="1:42">
      <c r="A653" s="2155">
        <v>12</v>
      </c>
      <c r="B653" s="2171" t="s">
        <v>285</v>
      </c>
      <c r="C653" s="2155">
        <v>11</v>
      </c>
      <c r="D653" s="2156">
        <f t="shared" si="114"/>
        <v>3585393.7773799999</v>
      </c>
      <c r="E653" s="2419"/>
      <c r="F653" s="2419">
        <v>306822.16177999997</v>
      </c>
      <c r="G653" s="2420">
        <v>121424.70131999999</v>
      </c>
      <c r="H653" s="2423">
        <v>1828693.3160100002</v>
      </c>
      <c r="I653" s="2424">
        <v>1328453.59827</v>
      </c>
      <c r="J653" s="2158">
        <f t="shared" si="119"/>
        <v>3278571.6156000001</v>
      </c>
      <c r="K653" s="2157"/>
      <c r="L653" s="2157"/>
      <c r="M653" s="2159"/>
      <c r="N653" s="2160">
        <f t="shared" si="116"/>
        <v>0</v>
      </c>
      <c r="O653" s="704"/>
      <c r="P653" s="705"/>
      <c r="Q653" s="705"/>
      <c r="R653" s="706"/>
      <c r="S653" s="706"/>
      <c r="T653" s="706"/>
      <c r="U653" s="706"/>
      <c r="V653" s="706"/>
      <c r="W653" s="706"/>
      <c r="X653" s="706"/>
      <c r="Y653" s="706"/>
      <c r="Z653" s="706"/>
      <c r="AA653" s="706"/>
      <c r="AB653" s="706"/>
      <c r="AC653" s="706"/>
      <c r="AF653" s="681"/>
      <c r="AG653" s="681"/>
      <c r="AH653" s="681"/>
      <c r="AI653" s="681"/>
      <c r="AJ653" s="681"/>
      <c r="AK653" s="681"/>
      <c r="AL653" s="681"/>
      <c r="AM653" s="681"/>
      <c r="AN653" s="681"/>
      <c r="AO653" s="681"/>
      <c r="AP653" s="681"/>
    </row>
    <row r="654" spans="1:42" ht="25.5">
      <c r="A654" s="2155">
        <v>13</v>
      </c>
      <c r="B654" s="2171" t="s">
        <v>286</v>
      </c>
      <c r="C654" s="2155">
        <v>12</v>
      </c>
      <c r="D654" s="2156">
        <f t="shared" si="114"/>
        <v>1255929.9710400002</v>
      </c>
      <c r="E654" s="2419"/>
      <c r="F654" s="2419">
        <v>404628.03018</v>
      </c>
      <c r="G654" s="2420">
        <v>66146.273188199004</v>
      </c>
      <c r="H654" s="2423">
        <v>525389.03881055606</v>
      </c>
      <c r="I654" s="2424">
        <v>259766.628861245</v>
      </c>
      <c r="J654" s="2158">
        <f t="shared" si="119"/>
        <v>851301.94086000009</v>
      </c>
      <c r="K654" s="2157"/>
      <c r="L654" s="2157"/>
      <c r="M654" s="2159"/>
      <c r="N654" s="2160">
        <f t="shared" si="116"/>
        <v>0</v>
      </c>
      <c r="O654" s="704"/>
      <c r="P654" s="705"/>
      <c r="Q654" s="705"/>
      <c r="R654" s="706"/>
      <c r="S654" s="706"/>
      <c r="T654" s="706"/>
      <c r="U654" s="706"/>
      <c r="V654" s="706"/>
      <c r="W654" s="706"/>
      <c r="X654" s="706"/>
      <c r="Y654" s="706"/>
      <c r="Z654" s="706"/>
      <c r="AA654" s="706"/>
      <c r="AB654" s="706"/>
      <c r="AC654" s="706"/>
      <c r="AF654" s="681"/>
      <c r="AG654" s="681"/>
      <c r="AH654" s="681"/>
      <c r="AI654" s="681"/>
      <c r="AJ654" s="681"/>
      <c r="AK654" s="681"/>
      <c r="AL654" s="681"/>
      <c r="AM654" s="681"/>
      <c r="AN654" s="681"/>
      <c r="AO654" s="681"/>
      <c r="AP654" s="681"/>
    </row>
    <row r="655" spans="1:42">
      <c r="A655" s="2155">
        <v>14</v>
      </c>
      <c r="B655" s="2154" t="s">
        <v>287</v>
      </c>
      <c r="C655" s="2155">
        <v>13</v>
      </c>
      <c r="D655" s="2156">
        <f t="shared" si="114"/>
        <v>65877.376610000007</v>
      </c>
      <c r="E655" s="2419"/>
      <c r="F655" s="2419"/>
      <c r="G655" s="2420">
        <v>5039.8299499999994</v>
      </c>
      <c r="H655" s="2421">
        <v>3431.6401399999959</v>
      </c>
      <c r="I655" s="2422">
        <v>57405.906520000004</v>
      </c>
      <c r="J655" s="2158">
        <f t="shared" si="119"/>
        <v>65877.376610000007</v>
      </c>
      <c r="K655" s="2157"/>
      <c r="L655" s="2157"/>
      <c r="M655" s="2159"/>
      <c r="N655" s="2160">
        <f t="shared" si="116"/>
        <v>0</v>
      </c>
      <c r="O655" s="704"/>
      <c r="P655" s="705"/>
      <c r="Q655" s="705"/>
      <c r="R655" s="706"/>
      <c r="S655" s="706"/>
      <c r="T655" s="706"/>
      <c r="U655" s="706"/>
      <c r="V655" s="706"/>
      <c r="W655" s="706"/>
      <c r="X655" s="706"/>
      <c r="Y655" s="706"/>
      <c r="Z655" s="706"/>
      <c r="AA655" s="706"/>
      <c r="AB655" s="706"/>
      <c r="AC655" s="706"/>
      <c r="AF655" s="681"/>
      <c r="AG655" s="681"/>
      <c r="AH655" s="681"/>
      <c r="AI655" s="681"/>
      <c r="AJ655" s="681"/>
      <c r="AK655" s="681"/>
      <c r="AL655" s="681"/>
      <c r="AM655" s="681"/>
      <c r="AN655" s="681"/>
      <c r="AO655" s="681"/>
      <c r="AP655" s="681"/>
    </row>
    <row r="656" spans="1:42">
      <c r="A656" s="2155">
        <v>15</v>
      </c>
      <c r="B656" s="2154" t="s">
        <v>288</v>
      </c>
      <c r="C656" s="2161">
        <v>14</v>
      </c>
      <c r="D656" s="2156">
        <f t="shared" si="114"/>
        <v>13469.517</v>
      </c>
      <c r="E656" s="2419"/>
      <c r="F656" s="2419"/>
      <c r="G656" s="2420">
        <v>0</v>
      </c>
      <c r="H656" s="2421">
        <v>11360.931</v>
      </c>
      <c r="I656" s="2422">
        <v>2108.5859999999998</v>
      </c>
      <c r="J656" s="2158">
        <f t="shared" si="119"/>
        <v>13469.517</v>
      </c>
      <c r="K656" s="2157"/>
      <c r="L656" s="2157"/>
      <c r="M656" s="2159"/>
      <c r="N656" s="2160">
        <f t="shared" si="116"/>
        <v>0</v>
      </c>
      <c r="O656" s="704"/>
      <c r="P656" s="705"/>
      <c r="Q656" s="705"/>
      <c r="R656" s="706"/>
      <c r="S656" s="706"/>
      <c r="T656" s="706"/>
      <c r="U656" s="706"/>
      <c r="V656" s="706"/>
      <c r="W656" s="706"/>
      <c r="X656" s="706"/>
      <c r="Y656" s="706"/>
      <c r="Z656" s="706"/>
      <c r="AA656" s="706"/>
      <c r="AB656" s="706"/>
      <c r="AC656" s="706"/>
      <c r="AF656" s="681"/>
      <c r="AG656" s="681"/>
      <c r="AH656" s="681"/>
      <c r="AI656" s="681"/>
      <c r="AJ656" s="681"/>
      <c r="AK656" s="681"/>
      <c r="AL656" s="681"/>
      <c r="AM656" s="681"/>
      <c r="AN656" s="681"/>
      <c r="AO656" s="681"/>
      <c r="AP656" s="681"/>
    </row>
    <row r="657" spans="1:42">
      <c r="A657" s="2155">
        <v>16</v>
      </c>
      <c r="B657" s="2154" t="s">
        <v>289</v>
      </c>
      <c r="C657" s="2155">
        <v>15</v>
      </c>
      <c r="D657" s="2156">
        <f>+E657+F657+J657+N657</f>
        <v>107593.12033999999</v>
      </c>
      <c r="E657" s="2419"/>
      <c r="F657" s="2419"/>
      <c r="G657" s="2420">
        <v>1774.2640900000001</v>
      </c>
      <c r="H657" s="2421">
        <v>5598.1305600000051</v>
      </c>
      <c r="I657" s="2422">
        <v>100220.72568999999</v>
      </c>
      <c r="J657" s="2158">
        <f>G657+H657+I657</f>
        <v>107593.12033999999</v>
      </c>
      <c r="K657" s="2157"/>
      <c r="L657" s="2157"/>
      <c r="M657" s="2159"/>
      <c r="N657" s="2160">
        <f t="shared" si="116"/>
        <v>0</v>
      </c>
      <c r="O657" s="704"/>
      <c r="P657" s="705"/>
      <c r="Q657" s="705"/>
      <c r="R657" s="706"/>
      <c r="S657" s="706"/>
      <c r="T657" s="706"/>
      <c r="U657" s="706"/>
      <c r="V657" s="706"/>
      <c r="W657" s="706"/>
      <c r="X657" s="706"/>
      <c r="Y657" s="706"/>
      <c r="Z657" s="706"/>
      <c r="AA657" s="706"/>
      <c r="AB657" s="706"/>
      <c r="AC657" s="706"/>
      <c r="AF657" s="681"/>
      <c r="AG657" s="681"/>
      <c r="AH657" s="681"/>
      <c r="AI657" s="681"/>
      <c r="AJ657" s="681"/>
      <c r="AK657" s="681"/>
      <c r="AL657" s="681"/>
      <c r="AM657" s="681"/>
      <c r="AN657" s="681"/>
      <c r="AO657" s="681"/>
      <c r="AP657" s="681"/>
    </row>
    <row r="658" spans="1:42">
      <c r="A658" s="2155">
        <v>17</v>
      </c>
      <c r="B658" s="2154" t="s">
        <v>290</v>
      </c>
      <c r="C658" s="2161">
        <v>16</v>
      </c>
      <c r="D658" s="2156">
        <f>+E658+F658+J658+N658</f>
        <v>126483.01030999963</v>
      </c>
      <c r="E658" s="2419">
        <v>-438610.51981999999</v>
      </c>
      <c r="F658" s="2419">
        <v>445365.42109000002</v>
      </c>
      <c r="G658" s="2420">
        <v>6476.5143815996898</v>
      </c>
      <c r="H658" s="2423">
        <v>211972.24570805719</v>
      </c>
      <c r="I658" s="2424"/>
      <c r="J658" s="2158">
        <f>G658+H658+I658-33067.1984500141-65653.4525996432</f>
        <v>119728.1090399996</v>
      </c>
      <c r="K658" s="2157"/>
      <c r="L658" s="2157"/>
      <c r="M658" s="2159"/>
      <c r="N658" s="2160">
        <f t="shared" si="116"/>
        <v>0</v>
      </c>
      <c r="O658" s="704"/>
      <c r="P658" s="705"/>
      <c r="Q658" s="705"/>
      <c r="R658" s="706"/>
      <c r="S658" s="706"/>
      <c r="T658" s="706"/>
      <c r="U658" s="706"/>
      <c r="V658" s="706"/>
      <c r="W658" s="706"/>
      <c r="X658" s="706"/>
      <c r="Y658" s="706"/>
      <c r="Z658" s="706"/>
      <c r="AA658" s="706"/>
      <c r="AB658" s="706"/>
      <c r="AC658" s="706"/>
      <c r="AF658" s="681"/>
      <c r="AG658" s="681"/>
      <c r="AH658" s="681"/>
      <c r="AI658" s="681"/>
      <c r="AJ658" s="681"/>
      <c r="AK658" s="681"/>
      <c r="AL658" s="681"/>
      <c r="AM658" s="681"/>
      <c r="AN658" s="681"/>
      <c r="AO658" s="681"/>
      <c r="AP658" s="681"/>
    </row>
    <row r="659" spans="1:42">
      <c r="A659" s="2155">
        <v>18</v>
      </c>
      <c r="B659" s="2154" t="s">
        <v>291</v>
      </c>
      <c r="C659" s="2155"/>
      <c r="D659" s="2156">
        <f>+E659+F659+J659+N659</f>
        <v>0</v>
      </c>
      <c r="E659" s="2419"/>
      <c r="F659" s="2419"/>
      <c r="G659" s="2420"/>
      <c r="H659" s="2421"/>
      <c r="I659" s="2422"/>
      <c r="J659" s="2158">
        <f>G659+H659+I659</f>
        <v>0</v>
      </c>
      <c r="K659" s="2157"/>
      <c r="L659" s="2157"/>
      <c r="M659" s="2159"/>
      <c r="N659" s="2160">
        <f t="shared" si="116"/>
        <v>0</v>
      </c>
      <c r="O659" s="704"/>
      <c r="P659" s="705"/>
      <c r="Q659" s="705"/>
      <c r="R659" s="706"/>
      <c r="S659" s="706"/>
      <c r="T659" s="706"/>
      <c r="U659" s="706"/>
      <c r="V659" s="706"/>
      <c r="W659" s="706"/>
      <c r="X659" s="706"/>
      <c r="Y659" s="706"/>
      <c r="Z659" s="706"/>
      <c r="AA659" s="706"/>
      <c r="AB659" s="706"/>
      <c r="AC659" s="706"/>
      <c r="AF659" s="681"/>
      <c r="AG659" s="681"/>
      <c r="AH659" s="681"/>
      <c r="AI659" s="681"/>
      <c r="AJ659" s="681"/>
      <c r="AK659" s="681"/>
      <c r="AL659" s="681"/>
      <c r="AM659" s="681"/>
      <c r="AN659" s="681"/>
      <c r="AO659" s="681"/>
      <c r="AP659" s="681"/>
    </row>
    <row r="660" spans="1:42" ht="13.5" thickBot="1">
      <c r="A660" s="2172">
        <v>19</v>
      </c>
      <c r="B660" s="2173" t="s">
        <v>292</v>
      </c>
      <c r="C660" s="2172"/>
      <c r="D660" s="1361">
        <f>+E660+F660+J660+N660</f>
        <v>294420.69377999997</v>
      </c>
      <c r="E660" s="1098"/>
      <c r="F660" s="1098">
        <v>10994.1932</v>
      </c>
      <c r="G660" s="1099">
        <v>234.16288</v>
      </c>
      <c r="H660" s="2425">
        <v>282998.37260999996</v>
      </c>
      <c r="I660" s="2426">
        <v>193.96509</v>
      </c>
      <c r="J660" s="1364">
        <f t="shared" si="119"/>
        <v>283426.50057999999</v>
      </c>
      <c r="K660" s="1097"/>
      <c r="L660" s="1097"/>
      <c r="M660" s="1235"/>
      <c r="N660" s="2174">
        <f t="shared" si="116"/>
        <v>0</v>
      </c>
      <c r="O660" s="704"/>
      <c r="P660" s="705"/>
      <c r="Q660" s="705"/>
      <c r="R660" s="706"/>
      <c r="S660" s="706"/>
      <c r="T660" s="706"/>
      <c r="U660" s="706"/>
      <c r="V660" s="706"/>
      <c r="W660" s="706"/>
      <c r="X660" s="706"/>
      <c r="Y660" s="706"/>
      <c r="Z660" s="706"/>
      <c r="AA660" s="706"/>
      <c r="AB660" s="706"/>
      <c r="AC660" s="706"/>
      <c r="AF660" s="681"/>
      <c r="AG660" s="681"/>
      <c r="AH660" s="681"/>
      <c r="AI660" s="681"/>
      <c r="AJ660" s="681"/>
      <c r="AK660" s="681"/>
      <c r="AL660" s="681"/>
      <c r="AM660" s="681"/>
      <c r="AN660" s="681"/>
      <c r="AO660" s="681"/>
      <c r="AP660" s="681"/>
    </row>
    <row r="661" spans="1:42" ht="26.25" thickBot="1">
      <c r="A661" s="1351">
        <v>20</v>
      </c>
      <c r="B661" s="1352" t="s">
        <v>293</v>
      </c>
      <c r="C661" s="1351"/>
      <c r="D661" s="1353">
        <f>+E661+F661+J661+N661</f>
        <v>7752074.9132138006</v>
      </c>
      <c r="E661" s="1353">
        <f>SUM(E638:E644)+E647+E650+SUM(E655:E660)</f>
        <v>-438610.51981999999</v>
      </c>
      <c r="F661" s="1353">
        <f>SUM(F638:F644)+F647+F650+SUM(F655:F660)</f>
        <v>1801019.9583804109</v>
      </c>
      <c r="G661" s="1353">
        <f>SUM(G638:G644)+G647+G650+SUM(G655:G660)</f>
        <v>291198.9375906206</v>
      </c>
      <c r="H661" s="1354">
        <f>SUM(H638:H644)+H647+H650+SUM(H655:H660)</f>
        <v>3934516.1119211796</v>
      </c>
      <c r="I661" s="1355">
        <f>SUM(I638:I644)+I647+I650+SUM(I655:I660)</f>
        <v>2262671.0761912451</v>
      </c>
      <c r="J661" s="1353">
        <f>G661+H661+I661-33067.1984500141-65653.4525996432</f>
        <v>6389665.4746533893</v>
      </c>
      <c r="K661" s="1353">
        <f>SUM(K638:K644)+K647+K650+SUM(K655:K660)</f>
        <v>0</v>
      </c>
      <c r="L661" s="1353">
        <f>SUM(L638:L644)+L647+L650+SUM(L655:L660)</f>
        <v>0</v>
      </c>
      <c r="M661" s="1354">
        <f>SUM(M638:M644)+M647+M650+SUM(M655:M660)</f>
        <v>0</v>
      </c>
      <c r="N661" s="1355">
        <f t="shared" si="116"/>
        <v>0</v>
      </c>
      <c r="O661" s="704"/>
      <c r="P661" s="705"/>
      <c r="Q661" s="705"/>
      <c r="R661" s="706"/>
      <c r="S661" s="706"/>
      <c r="T661" s="706"/>
      <c r="U661" s="706"/>
      <c r="V661" s="706"/>
      <c r="W661" s="706"/>
      <c r="X661" s="706"/>
      <c r="Y661" s="706"/>
      <c r="Z661" s="706"/>
      <c r="AA661" s="706"/>
      <c r="AB661" s="706"/>
      <c r="AC661" s="706"/>
      <c r="AF661" s="681"/>
      <c r="AG661" s="681"/>
      <c r="AH661" s="681"/>
      <c r="AI661" s="681"/>
      <c r="AJ661" s="681"/>
      <c r="AK661" s="681"/>
      <c r="AL661" s="681"/>
      <c r="AM661" s="681"/>
      <c r="AN661" s="681"/>
      <c r="AO661" s="681"/>
      <c r="AP661" s="681"/>
    </row>
    <row r="662" spans="1:42">
      <c r="A662" s="1346"/>
      <c r="B662" s="1347" t="s">
        <v>294</v>
      </c>
      <c r="C662" s="1346"/>
      <c r="D662" s="1416">
        <f t="shared" si="114"/>
        <v>0</v>
      </c>
      <c r="E662" s="1091"/>
      <c r="F662" s="1091"/>
      <c r="G662" s="1091"/>
      <c r="H662" s="1092"/>
      <c r="I662" s="1093"/>
      <c r="J662" s="1417">
        <f t="shared" si="119"/>
        <v>0</v>
      </c>
      <c r="K662" s="1088"/>
      <c r="L662" s="1088"/>
      <c r="M662" s="1165"/>
      <c r="N662" s="1363">
        <f t="shared" si="116"/>
        <v>0</v>
      </c>
      <c r="O662" s="704"/>
      <c r="P662" s="705"/>
      <c r="Q662" s="705"/>
      <c r="R662" s="706"/>
      <c r="S662" s="706"/>
      <c r="T662" s="706"/>
      <c r="U662" s="706"/>
      <c r="V662" s="706"/>
      <c r="W662" s="706"/>
      <c r="X662" s="706"/>
      <c r="Y662" s="706"/>
      <c r="Z662" s="706"/>
      <c r="AA662" s="706"/>
      <c r="AB662" s="706"/>
      <c r="AC662" s="706"/>
      <c r="AF662" s="681"/>
      <c r="AG662" s="681"/>
      <c r="AH662" s="681"/>
      <c r="AI662" s="681"/>
      <c r="AJ662" s="681"/>
      <c r="AK662" s="681"/>
      <c r="AL662" s="681"/>
      <c r="AM662" s="681"/>
      <c r="AN662" s="681"/>
      <c r="AO662" s="681"/>
      <c r="AP662" s="681"/>
    </row>
    <row r="663" spans="1:42">
      <c r="A663" s="2155"/>
      <c r="B663" s="2175" t="s">
        <v>295</v>
      </c>
      <c r="C663" s="2155"/>
      <c r="D663" s="2156">
        <f t="shared" si="114"/>
        <v>0</v>
      </c>
      <c r="E663" s="2427"/>
      <c r="F663" s="2427"/>
      <c r="G663" s="2427"/>
      <c r="H663" s="2428"/>
      <c r="I663" s="2429"/>
      <c r="J663" s="2158">
        <f t="shared" si="119"/>
        <v>0</v>
      </c>
      <c r="K663" s="2157"/>
      <c r="L663" s="2157"/>
      <c r="M663" s="2159"/>
      <c r="N663" s="2160">
        <f t="shared" si="116"/>
        <v>0</v>
      </c>
      <c r="O663" s="704"/>
      <c r="P663" s="705"/>
      <c r="Q663" s="705"/>
      <c r="R663" s="706"/>
      <c r="S663" s="706"/>
      <c r="T663" s="706"/>
      <c r="U663" s="706"/>
      <c r="V663" s="706"/>
      <c r="W663" s="706"/>
      <c r="X663" s="706"/>
      <c r="Y663" s="706"/>
      <c r="Z663" s="706"/>
      <c r="AA663" s="706"/>
      <c r="AB663" s="706"/>
      <c r="AC663" s="706"/>
      <c r="AF663" s="681"/>
      <c r="AG663" s="681"/>
      <c r="AH663" s="681"/>
      <c r="AI663" s="681"/>
      <c r="AJ663" s="681"/>
      <c r="AK663" s="681"/>
      <c r="AL663" s="681"/>
      <c r="AM663" s="681"/>
      <c r="AN663" s="681"/>
      <c r="AO663" s="681"/>
      <c r="AP663" s="681"/>
    </row>
    <row r="664" spans="1:42">
      <c r="A664" s="2155">
        <v>21</v>
      </c>
      <c r="B664" s="2154" t="s">
        <v>296</v>
      </c>
      <c r="C664" s="2161">
        <v>17</v>
      </c>
      <c r="D664" s="2156">
        <f t="shared" si="114"/>
        <v>5119535.5550099965</v>
      </c>
      <c r="E664" s="2419"/>
      <c r="F664" s="2419"/>
      <c r="G664" s="2420">
        <v>252923.51164569601</v>
      </c>
      <c r="H664" s="2421">
        <v>2968869.6462196503</v>
      </c>
      <c r="I664" s="2422">
        <v>1897742.3971446499</v>
      </c>
      <c r="J664" s="2158">
        <f>G664+H664+I664</f>
        <v>5119535.5550099965</v>
      </c>
      <c r="K664" s="2157"/>
      <c r="L664" s="2157"/>
      <c r="M664" s="2159"/>
      <c r="N664" s="2160">
        <f t="shared" si="116"/>
        <v>0</v>
      </c>
      <c r="O664" s="704"/>
      <c r="P664" s="705"/>
      <c r="Q664" s="705"/>
      <c r="R664" s="706"/>
      <c r="S664" s="706"/>
      <c r="T664" s="706"/>
      <c r="U664" s="706"/>
      <c r="V664" s="706"/>
      <c r="W664" s="706"/>
      <c r="X664" s="706"/>
      <c r="Y664" s="706"/>
      <c r="Z664" s="706"/>
      <c r="AA664" s="706"/>
      <c r="AB664" s="706"/>
      <c r="AC664" s="706"/>
      <c r="AF664" s="681"/>
      <c r="AG664" s="681"/>
      <c r="AH664" s="681"/>
      <c r="AI664" s="681"/>
      <c r="AJ664" s="681"/>
      <c r="AK664" s="681"/>
      <c r="AL664" s="681"/>
      <c r="AM664" s="681"/>
      <c r="AN664" s="681"/>
      <c r="AO664" s="681"/>
      <c r="AP664" s="681"/>
    </row>
    <row r="665" spans="1:42">
      <c r="A665" s="2155">
        <v>22</v>
      </c>
      <c r="B665" s="2154" t="s">
        <v>297</v>
      </c>
      <c r="C665" s="2155"/>
      <c r="D665" s="2156">
        <f t="shared" si="114"/>
        <v>16935.532999999999</v>
      </c>
      <c r="E665" s="2419"/>
      <c r="F665" s="2419"/>
      <c r="G665" s="2420"/>
      <c r="H665" s="2421">
        <v>16935.532999999999</v>
      </c>
      <c r="I665" s="2422"/>
      <c r="J665" s="2158">
        <f>G665+H665+I665</f>
        <v>16935.532999999999</v>
      </c>
      <c r="K665" s="2157"/>
      <c r="L665" s="2157"/>
      <c r="M665" s="2159"/>
      <c r="N665" s="2160">
        <f t="shared" si="116"/>
        <v>0</v>
      </c>
      <c r="O665" s="704"/>
      <c r="P665" s="705"/>
      <c r="Q665" s="705"/>
      <c r="R665" s="706"/>
      <c r="S665" s="706"/>
      <c r="T665" s="706"/>
      <c r="U665" s="706"/>
      <c r="V665" s="706"/>
      <c r="W665" s="706"/>
      <c r="X665" s="706"/>
      <c r="Y665" s="706"/>
      <c r="Z665" s="706"/>
      <c r="AA665" s="706"/>
      <c r="AB665" s="706"/>
      <c r="AC665" s="706"/>
      <c r="AF665" s="681"/>
      <c r="AG665" s="681"/>
      <c r="AH665" s="681"/>
      <c r="AI665" s="681"/>
      <c r="AJ665" s="681"/>
      <c r="AK665" s="681"/>
      <c r="AL665" s="681"/>
      <c r="AM665" s="681"/>
      <c r="AN665" s="681"/>
      <c r="AO665" s="681"/>
      <c r="AP665" s="681"/>
    </row>
    <row r="666" spans="1:42">
      <c r="A666" s="2155">
        <v>23</v>
      </c>
      <c r="B666" s="2154" t="s">
        <v>298</v>
      </c>
      <c r="C666" s="2155">
        <v>18</v>
      </c>
      <c r="D666" s="2156">
        <f t="shared" si="114"/>
        <v>128844.03848</v>
      </c>
      <c r="E666" s="2419"/>
      <c r="F666" s="2419"/>
      <c r="G666" s="2420">
        <v>-91.922772161997798</v>
      </c>
      <c r="H666" s="2421">
        <v>72928.722593396902</v>
      </c>
      <c r="I666" s="2422">
        <v>56007.238658765098</v>
      </c>
      <c r="J666" s="2158">
        <f>G666+H666+I666</f>
        <v>128844.03848</v>
      </c>
      <c r="K666" s="2157"/>
      <c r="L666" s="2157"/>
      <c r="M666" s="2159"/>
      <c r="N666" s="2160">
        <f t="shared" si="116"/>
        <v>0</v>
      </c>
      <c r="O666" s="704"/>
      <c r="P666" s="705"/>
      <c r="Q666" s="705"/>
      <c r="R666" s="706"/>
      <c r="S666" s="706"/>
      <c r="T666" s="706"/>
      <c r="U666" s="706"/>
      <c r="V666" s="706"/>
      <c r="W666" s="706"/>
      <c r="X666" s="706"/>
      <c r="Y666" s="706"/>
      <c r="Z666" s="706"/>
      <c r="AA666" s="706"/>
      <c r="AB666" s="706"/>
      <c r="AC666" s="706"/>
      <c r="AF666" s="681"/>
      <c r="AG666" s="681"/>
      <c r="AH666" s="681"/>
      <c r="AI666" s="681"/>
      <c r="AJ666" s="681"/>
      <c r="AK666" s="681"/>
      <c r="AL666" s="681"/>
      <c r="AM666" s="681"/>
      <c r="AN666" s="681"/>
      <c r="AO666" s="681"/>
      <c r="AP666" s="681"/>
    </row>
    <row r="667" spans="1:42">
      <c r="A667" s="2155">
        <v>24</v>
      </c>
      <c r="B667" s="2154" t="s">
        <v>299</v>
      </c>
      <c r="C667" s="2155"/>
      <c r="D667" s="2156">
        <f t="shared" si="114"/>
        <v>0</v>
      </c>
      <c r="E667" s="2419"/>
      <c r="F667" s="2419"/>
      <c r="G667" s="2420"/>
      <c r="H667" s="2421"/>
      <c r="I667" s="2422"/>
      <c r="J667" s="2158">
        <f>G667+H667+I667</f>
        <v>0</v>
      </c>
      <c r="K667" s="2157"/>
      <c r="L667" s="2157"/>
      <c r="M667" s="2159"/>
      <c r="N667" s="2160">
        <f t="shared" si="116"/>
        <v>0</v>
      </c>
      <c r="O667" s="704"/>
      <c r="P667" s="705"/>
      <c r="Q667" s="705"/>
      <c r="R667" s="706"/>
      <c r="S667" s="706"/>
      <c r="T667" s="706"/>
      <c r="U667" s="706"/>
      <c r="V667" s="706"/>
      <c r="W667" s="706"/>
      <c r="X667" s="706"/>
      <c r="Y667" s="706"/>
      <c r="Z667" s="706"/>
      <c r="AA667" s="706"/>
      <c r="AB667" s="706"/>
      <c r="AC667" s="706"/>
      <c r="AF667" s="681"/>
      <c r="AG667" s="681"/>
      <c r="AH667" s="681"/>
      <c r="AI667" s="681"/>
      <c r="AJ667" s="681"/>
      <c r="AK667" s="681"/>
      <c r="AL667" s="681"/>
      <c r="AM667" s="681"/>
      <c r="AN667" s="681"/>
      <c r="AO667" s="681"/>
      <c r="AP667" s="681"/>
    </row>
    <row r="668" spans="1:42">
      <c r="A668" s="2155">
        <v>25</v>
      </c>
      <c r="B668" s="2176" t="s">
        <v>300</v>
      </c>
      <c r="C668" s="2155"/>
      <c r="D668" s="2156">
        <f t="shared" si="114"/>
        <v>0</v>
      </c>
      <c r="E668" s="2427"/>
      <c r="F668" s="2427"/>
      <c r="G668" s="2427"/>
      <c r="H668" s="2428"/>
      <c r="I668" s="2429"/>
      <c r="J668" s="2158">
        <f>G668+H668+I668</f>
        <v>0</v>
      </c>
      <c r="K668" s="2157"/>
      <c r="L668" s="2157"/>
      <c r="M668" s="2159"/>
      <c r="N668" s="2160">
        <f t="shared" si="116"/>
        <v>0</v>
      </c>
      <c r="O668" s="704"/>
      <c r="P668" s="705"/>
      <c r="Q668" s="705"/>
      <c r="R668" s="706"/>
      <c r="S668" s="706"/>
      <c r="T668" s="706"/>
      <c r="U668" s="706"/>
      <c r="V668" s="706"/>
      <c r="W668" s="706"/>
      <c r="X668" s="706"/>
      <c r="Y668" s="706"/>
      <c r="Z668" s="706"/>
      <c r="AA668" s="706"/>
      <c r="AB668" s="706"/>
      <c r="AC668" s="706"/>
      <c r="AF668" s="681"/>
      <c r="AG668" s="681"/>
      <c r="AH668" s="681"/>
      <c r="AI668" s="681"/>
      <c r="AJ668" s="681"/>
      <c r="AK668" s="681"/>
      <c r="AL668" s="681"/>
      <c r="AM668" s="681"/>
      <c r="AN668" s="681"/>
      <c r="AO668" s="681"/>
      <c r="AP668" s="681"/>
    </row>
    <row r="669" spans="1:42" ht="13.5" thickBot="1">
      <c r="A669" s="2172">
        <v>26</v>
      </c>
      <c r="B669" s="2173" t="s">
        <v>301</v>
      </c>
      <c r="C669" s="2177">
        <v>19</v>
      </c>
      <c r="D669" s="1361">
        <f t="shared" si="114"/>
        <v>689503.85355000035</v>
      </c>
      <c r="E669" s="1098">
        <v>-438610.51981999999</v>
      </c>
      <c r="F669" s="1098">
        <v>3764.0247499999996</v>
      </c>
      <c r="G669" s="1099">
        <v>38367.348940014097</v>
      </c>
      <c r="H669" s="1094">
        <f>714850.993861809+160931.21648</f>
        <v>875782.21034180908</v>
      </c>
      <c r="I669" s="2430">
        <v>308921.44038783427</v>
      </c>
      <c r="J669" s="1364">
        <f>G669+H669+I669-33067.1984500141-65653.4525996432</f>
        <v>1124350.3486200003</v>
      </c>
      <c r="K669" s="1097"/>
      <c r="L669" s="1097"/>
      <c r="M669" s="1235"/>
      <c r="N669" s="2174">
        <f t="shared" si="116"/>
        <v>0</v>
      </c>
      <c r="O669" s="704"/>
      <c r="P669" s="705"/>
      <c r="Q669" s="705"/>
      <c r="R669" s="706"/>
      <c r="S669" s="706"/>
      <c r="T669" s="706"/>
      <c r="U669" s="706"/>
      <c r="V669" s="706"/>
      <c r="W669" s="706"/>
      <c r="X669" s="706"/>
      <c r="Y669" s="706"/>
      <c r="Z669" s="706"/>
      <c r="AA669" s="706"/>
      <c r="AB669" s="706"/>
      <c r="AC669" s="706"/>
      <c r="AF669" s="681"/>
      <c r="AG669" s="681"/>
      <c r="AH669" s="681"/>
      <c r="AI669" s="681"/>
      <c r="AJ669" s="681"/>
      <c r="AK669" s="681"/>
      <c r="AL669" s="681"/>
      <c r="AM669" s="681"/>
      <c r="AN669" s="681"/>
      <c r="AO669" s="681"/>
      <c r="AP669" s="681"/>
    </row>
    <row r="670" spans="1:42" ht="26.25" thickBot="1">
      <c r="A670" s="1348">
        <v>27</v>
      </c>
      <c r="B670" s="1349" t="s">
        <v>302</v>
      </c>
      <c r="C670" s="1348"/>
      <c r="D670" s="1420">
        <f t="shared" si="114"/>
        <v>5954818.980039997</v>
      </c>
      <c r="E670" s="1103">
        <f>SUM(E664:E669)</f>
        <v>-438610.51981999999</v>
      </c>
      <c r="F670" s="1103">
        <f>SUM(F664:F669)</f>
        <v>3764.0247499999996</v>
      </c>
      <c r="G670" s="1103">
        <f>SUM(G664:G669)</f>
        <v>291198.93781354808</v>
      </c>
      <c r="H670" s="1104">
        <f>SUM(H664:H669)</f>
        <v>3934516.1121548563</v>
      </c>
      <c r="I670" s="1103">
        <f>SUM(I664:I669)</f>
        <v>2262671.0761912493</v>
      </c>
      <c r="J670" s="1365">
        <f>G670+H670+I670-33067.1984500141-65653.4525996432</f>
        <v>6389665.4751099972</v>
      </c>
      <c r="K670" s="1102">
        <f>SUM(K664:K669)</f>
        <v>0</v>
      </c>
      <c r="L670" s="1102">
        <f>SUM(L664:L669)</f>
        <v>0</v>
      </c>
      <c r="M670" s="1163">
        <f>SUM(M664:M669)</f>
        <v>0</v>
      </c>
      <c r="N670" s="1367">
        <f t="shared" si="116"/>
        <v>0</v>
      </c>
      <c r="O670" s="704"/>
      <c r="P670" s="705"/>
      <c r="Q670" s="705"/>
      <c r="R670" s="706"/>
      <c r="S670" s="706"/>
      <c r="T670" s="706"/>
      <c r="U670" s="706"/>
      <c r="V670" s="706"/>
      <c r="W670" s="706"/>
      <c r="X670" s="706"/>
      <c r="Y670" s="706"/>
      <c r="Z670" s="706"/>
      <c r="AA670" s="706"/>
      <c r="AB670" s="706"/>
      <c r="AC670" s="706"/>
      <c r="AF670" s="681"/>
      <c r="AG670" s="681"/>
      <c r="AH670" s="681"/>
      <c r="AI670" s="681"/>
      <c r="AJ670" s="681"/>
      <c r="AK670" s="681"/>
      <c r="AL670" s="681"/>
      <c r="AM670" s="681"/>
      <c r="AN670" s="681"/>
      <c r="AO670" s="681"/>
      <c r="AP670" s="681"/>
    </row>
    <row r="671" spans="1:42">
      <c r="A671" s="1346"/>
      <c r="B671" s="1347" t="s">
        <v>303</v>
      </c>
      <c r="C671" s="1346">
        <v>20</v>
      </c>
      <c r="D671" s="1416">
        <f t="shared" si="114"/>
        <v>0</v>
      </c>
      <c r="E671" s="1095"/>
      <c r="F671" s="1095"/>
      <c r="G671" s="1085"/>
      <c r="H671" s="1086"/>
      <c r="I671" s="1096"/>
      <c r="J671" s="1417">
        <f t="shared" ref="J671:J677" si="120">G671+H671+I671</f>
        <v>0</v>
      </c>
      <c r="K671" s="1088"/>
      <c r="L671" s="1088"/>
      <c r="M671" s="1165"/>
      <c r="N671" s="1363">
        <f t="shared" si="116"/>
        <v>0</v>
      </c>
      <c r="O671" s="704"/>
      <c r="P671" s="705"/>
      <c r="Q671" s="705"/>
      <c r="R671" s="706"/>
      <c r="S671" s="706"/>
      <c r="T671" s="706"/>
      <c r="U671" s="706"/>
      <c r="V671" s="706"/>
      <c r="W671" s="706"/>
      <c r="X671" s="706"/>
      <c r="Y671" s="706"/>
      <c r="Z671" s="706"/>
      <c r="AA671" s="706"/>
      <c r="AB671" s="706"/>
      <c r="AC671" s="706"/>
      <c r="AF671" s="681"/>
      <c r="AG671" s="681"/>
      <c r="AH671" s="681"/>
      <c r="AI671" s="681"/>
      <c r="AJ671" s="681"/>
      <c r="AK671" s="681"/>
      <c r="AL671" s="681"/>
      <c r="AM671" s="681"/>
      <c r="AN671" s="681"/>
      <c r="AO671" s="681"/>
      <c r="AP671" s="681"/>
    </row>
    <row r="672" spans="1:42">
      <c r="A672" s="2155">
        <v>28</v>
      </c>
      <c r="B672" s="2154" t="s">
        <v>304</v>
      </c>
      <c r="C672" s="2161"/>
      <c r="D672" s="2156">
        <f t="shared" si="114"/>
        <v>1250000</v>
      </c>
      <c r="E672" s="2419"/>
      <c r="F672" s="2419">
        <v>1250000</v>
      </c>
      <c r="G672" s="2420"/>
      <c r="H672" s="2421"/>
      <c r="I672" s="2422"/>
      <c r="J672" s="2158">
        <f t="shared" si="120"/>
        <v>0</v>
      </c>
      <c r="K672" s="2157"/>
      <c r="L672" s="2157"/>
      <c r="M672" s="2159"/>
      <c r="N672" s="2160">
        <f t="shared" si="116"/>
        <v>0</v>
      </c>
      <c r="O672" s="704"/>
      <c r="P672" s="705"/>
      <c r="Q672" s="705"/>
      <c r="R672" s="706"/>
      <c r="S672" s="706"/>
      <c r="T672" s="706"/>
      <c r="U672" s="706"/>
      <c r="V672" s="706"/>
      <c r="W672" s="706"/>
      <c r="X672" s="706"/>
      <c r="Y672" s="706"/>
      <c r="Z672" s="706"/>
      <c r="AA672" s="706"/>
      <c r="AB672" s="706"/>
      <c r="AC672" s="706"/>
      <c r="AF672" s="681"/>
      <c r="AG672" s="681"/>
      <c r="AH672" s="681"/>
      <c r="AI672" s="681"/>
      <c r="AJ672" s="681"/>
      <c r="AK672" s="681"/>
      <c r="AL672" s="681"/>
      <c r="AM672" s="681"/>
      <c r="AN672" s="681"/>
      <c r="AO672" s="681"/>
      <c r="AP672" s="681"/>
    </row>
    <row r="673" spans="1:42">
      <c r="A673" s="2155">
        <v>29</v>
      </c>
      <c r="B673" s="2154" t="s">
        <v>305</v>
      </c>
      <c r="C673" s="2161"/>
      <c r="D673" s="2156">
        <f t="shared" si="114"/>
        <v>26765.94283</v>
      </c>
      <c r="E673" s="2419"/>
      <c r="F673" s="2419">
        <v>26765.94283</v>
      </c>
      <c r="G673" s="2420"/>
      <c r="H673" s="2421"/>
      <c r="I673" s="2422"/>
      <c r="J673" s="2158">
        <f t="shared" si="120"/>
        <v>0</v>
      </c>
      <c r="K673" s="2157"/>
      <c r="L673" s="2157"/>
      <c r="M673" s="2159"/>
      <c r="N673" s="2160">
        <f t="shared" si="116"/>
        <v>0</v>
      </c>
      <c r="O673" s="704"/>
      <c r="P673" s="705"/>
      <c r="Q673" s="705"/>
      <c r="R673" s="706"/>
      <c r="S673" s="706"/>
      <c r="T673" s="706"/>
      <c r="U673" s="706"/>
      <c r="V673" s="706"/>
      <c r="W673" s="706"/>
      <c r="X673" s="706"/>
      <c r="Y673" s="706"/>
      <c r="Z673" s="706"/>
      <c r="AA673" s="706"/>
      <c r="AB673" s="706"/>
      <c r="AC673" s="706"/>
      <c r="AF673" s="681"/>
      <c r="AG673" s="681"/>
      <c r="AH673" s="681"/>
      <c r="AI673" s="681"/>
      <c r="AJ673" s="681"/>
      <c r="AK673" s="681"/>
      <c r="AL673" s="681"/>
      <c r="AM673" s="681"/>
      <c r="AN673" s="681"/>
      <c r="AO673" s="681"/>
      <c r="AP673" s="681"/>
    </row>
    <row r="674" spans="1:42">
      <c r="A674" s="2155">
        <v>30</v>
      </c>
      <c r="B674" s="2173" t="s">
        <v>306</v>
      </c>
      <c r="C674" s="2177"/>
      <c r="D674" s="2156">
        <f t="shared" si="114"/>
        <v>0</v>
      </c>
      <c r="E674" s="2419"/>
      <c r="F674" s="1098"/>
      <c r="G674" s="1099"/>
      <c r="H674" s="2425"/>
      <c r="I674" s="2426"/>
      <c r="J674" s="2158">
        <f t="shared" si="120"/>
        <v>0</v>
      </c>
      <c r="K674" s="2157"/>
      <c r="L674" s="2157"/>
      <c r="M674" s="2159"/>
      <c r="N674" s="2160">
        <f t="shared" si="116"/>
        <v>0</v>
      </c>
      <c r="O674" s="704"/>
      <c r="P674" s="705"/>
      <c r="Q674" s="705"/>
      <c r="R674" s="706"/>
      <c r="S674" s="706"/>
      <c r="T674" s="706"/>
      <c r="U674" s="706"/>
      <c r="V674" s="706"/>
      <c r="W674" s="706"/>
      <c r="X674" s="706"/>
      <c r="Y674" s="706"/>
      <c r="Z674" s="706"/>
      <c r="AA674" s="706"/>
      <c r="AB674" s="706"/>
      <c r="AC674" s="706"/>
      <c r="AF674" s="681"/>
      <c r="AG674" s="681"/>
      <c r="AH674" s="681"/>
      <c r="AI674" s="681"/>
      <c r="AJ674" s="681"/>
      <c r="AK674" s="681"/>
      <c r="AL674" s="681"/>
      <c r="AM674" s="681"/>
      <c r="AN674" s="681"/>
      <c r="AO674" s="681"/>
      <c r="AP674" s="681"/>
    </row>
    <row r="675" spans="1:42">
      <c r="A675" s="2155">
        <v>31</v>
      </c>
      <c r="B675" s="2173" t="s">
        <v>307</v>
      </c>
      <c r="C675" s="2177"/>
      <c r="D675" s="2156">
        <f t="shared" si="114"/>
        <v>256134.38</v>
      </c>
      <c r="E675" s="2419"/>
      <c r="F675" s="1098">
        <v>256134.38</v>
      </c>
      <c r="G675" s="1099"/>
      <c r="H675" s="2425"/>
      <c r="I675" s="2426"/>
      <c r="J675" s="2158">
        <f t="shared" si="120"/>
        <v>0</v>
      </c>
      <c r="K675" s="2157"/>
      <c r="L675" s="2157"/>
      <c r="M675" s="2159"/>
      <c r="N675" s="2160">
        <f t="shared" si="116"/>
        <v>0</v>
      </c>
      <c r="O675" s="704"/>
      <c r="P675" s="705"/>
      <c r="Q675" s="705"/>
      <c r="R675" s="706"/>
      <c r="S675" s="706"/>
      <c r="T675" s="706"/>
      <c r="U675" s="706"/>
      <c r="V675" s="706"/>
      <c r="W675" s="706"/>
      <c r="X675" s="706"/>
      <c r="Y675" s="706"/>
      <c r="Z675" s="706"/>
      <c r="AA675" s="706"/>
      <c r="AB675" s="706"/>
      <c r="AC675" s="706"/>
      <c r="AF675" s="681"/>
      <c r="AG675" s="681"/>
      <c r="AH675" s="681"/>
      <c r="AI675" s="681"/>
      <c r="AJ675" s="681"/>
      <c r="AK675" s="681"/>
      <c r="AL675" s="681"/>
      <c r="AM675" s="681"/>
      <c r="AN675" s="681"/>
      <c r="AO675" s="681"/>
      <c r="AP675" s="681"/>
    </row>
    <row r="676" spans="1:42" ht="13.5" thickBot="1">
      <c r="A676" s="2172">
        <v>32</v>
      </c>
      <c r="B676" s="2173" t="s">
        <v>308</v>
      </c>
      <c r="C676" s="2177"/>
      <c r="D676" s="1361">
        <f t="shared" si="114"/>
        <v>264355.61080000002</v>
      </c>
      <c r="E676" s="1098"/>
      <c r="F676" s="1098">
        <v>264355.61080000002</v>
      </c>
      <c r="G676" s="1099"/>
      <c r="H676" s="2425"/>
      <c r="I676" s="2426"/>
      <c r="J676" s="1364">
        <f t="shared" si="120"/>
        <v>0</v>
      </c>
      <c r="K676" s="1097"/>
      <c r="L676" s="1097"/>
      <c r="M676" s="1235"/>
      <c r="N676" s="2174">
        <f t="shared" si="116"/>
        <v>0</v>
      </c>
      <c r="O676" s="704"/>
      <c r="P676" s="705"/>
      <c r="Q676" s="705"/>
      <c r="R676" s="706"/>
      <c r="S676" s="706"/>
      <c r="T676" s="706"/>
      <c r="U676" s="706"/>
      <c r="V676" s="706"/>
      <c r="W676" s="706"/>
      <c r="X676" s="706"/>
      <c r="Y676" s="706"/>
      <c r="Z676" s="706"/>
      <c r="AA676" s="706"/>
      <c r="AB676" s="706"/>
      <c r="AC676" s="706"/>
      <c r="AF676" s="681"/>
      <c r="AG676" s="681"/>
      <c r="AH676" s="681"/>
      <c r="AI676" s="681"/>
      <c r="AJ676" s="681"/>
      <c r="AK676" s="681"/>
      <c r="AL676" s="681"/>
      <c r="AM676" s="681"/>
      <c r="AN676" s="681"/>
      <c r="AO676" s="681"/>
      <c r="AP676" s="681"/>
    </row>
    <row r="677" spans="1:42" ht="13.5" thickBot="1">
      <c r="A677" s="1348">
        <v>33</v>
      </c>
      <c r="B677" s="1350" t="s">
        <v>309</v>
      </c>
      <c r="C677" s="1348"/>
      <c r="D677" s="1422">
        <f t="shared" si="114"/>
        <v>1797255.9336299999</v>
      </c>
      <c r="E677" s="1105">
        <f>SUM(E672:E676)</f>
        <v>0</v>
      </c>
      <c r="F677" s="1105">
        <f>SUM(F672:F676)</f>
        <v>1797255.9336299999</v>
      </c>
      <c r="G677" s="1105">
        <f>SUM(G672:G676)</f>
        <v>0</v>
      </c>
      <c r="H677" s="1106">
        <f>SUM(H672:H676)</f>
        <v>0</v>
      </c>
      <c r="I677" s="1107">
        <f>SUM(I672:I676)</f>
        <v>0</v>
      </c>
      <c r="J677" s="1430">
        <f t="shared" si="120"/>
        <v>0</v>
      </c>
      <c r="K677" s="1105">
        <f>SUM(K672:K676)</f>
        <v>0</v>
      </c>
      <c r="L677" s="1105">
        <f>SUM(L672:L676)</f>
        <v>0</v>
      </c>
      <c r="M677" s="1106">
        <f>SUM(M672:M676)</f>
        <v>0</v>
      </c>
      <c r="N677" s="1428">
        <f t="shared" si="116"/>
        <v>0</v>
      </c>
      <c r="O677" s="704"/>
      <c r="P677" s="705"/>
      <c r="Q677" s="705"/>
      <c r="R677" s="706"/>
      <c r="S677" s="706"/>
      <c r="T677" s="706"/>
      <c r="U677" s="706"/>
      <c r="V677" s="706"/>
      <c r="W677" s="706"/>
      <c r="X677" s="706"/>
      <c r="Y677" s="706"/>
      <c r="Z677" s="706"/>
      <c r="AA677" s="706"/>
      <c r="AB677" s="706"/>
      <c r="AC677" s="706"/>
      <c r="AF677" s="681"/>
      <c r="AG677" s="681"/>
      <c r="AH677" s="681"/>
      <c r="AI677" s="681"/>
      <c r="AJ677" s="681"/>
      <c r="AK677" s="681"/>
      <c r="AL677" s="681"/>
      <c r="AM677" s="681"/>
      <c r="AN677" s="681"/>
      <c r="AO677" s="681"/>
      <c r="AP677" s="681"/>
    </row>
    <row r="678" spans="1:42" ht="26.25" thickBot="1">
      <c r="A678" s="1351">
        <v>34</v>
      </c>
      <c r="B678" s="1352" t="s">
        <v>310</v>
      </c>
      <c r="C678" s="1351"/>
      <c r="D678" s="1431">
        <f>+E678+F678+J678+N678</f>
        <v>7752074.9136699969</v>
      </c>
      <c r="E678" s="1431">
        <f t="shared" ref="E678:M678" si="121">E677+E670</f>
        <v>-438610.51981999999</v>
      </c>
      <c r="F678" s="1431">
        <f t="shared" si="121"/>
        <v>1801019.95838</v>
      </c>
      <c r="G678" s="1431">
        <f t="shared" si="121"/>
        <v>291198.93781354808</v>
      </c>
      <c r="H678" s="1432">
        <f t="shared" si="121"/>
        <v>3934516.1121548563</v>
      </c>
      <c r="I678" s="1423">
        <f t="shared" si="121"/>
        <v>2262671.0761912493</v>
      </c>
      <c r="J678" s="1381">
        <f t="shared" si="121"/>
        <v>6389665.4751099972</v>
      </c>
      <c r="K678" s="1431">
        <f t="shared" si="121"/>
        <v>0</v>
      </c>
      <c r="L678" s="1431">
        <f t="shared" si="121"/>
        <v>0</v>
      </c>
      <c r="M678" s="1432">
        <f t="shared" si="121"/>
        <v>0</v>
      </c>
      <c r="N678" s="1423">
        <f t="shared" si="116"/>
        <v>0</v>
      </c>
      <c r="O678" s="704"/>
      <c r="P678" s="705"/>
      <c r="R678" s="706"/>
      <c r="S678" s="706"/>
      <c r="T678" s="706"/>
      <c r="U678" s="706"/>
      <c r="V678" s="706"/>
      <c r="W678" s="706"/>
      <c r="X678" s="706"/>
      <c r="Y678" s="706"/>
      <c r="Z678" s="706"/>
      <c r="AA678" s="706"/>
      <c r="AB678" s="706"/>
      <c r="AC678" s="706"/>
      <c r="AF678" s="681"/>
      <c r="AG678" s="681"/>
      <c r="AH678" s="681"/>
      <c r="AI678" s="681"/>
      <c r="AJ678" s="681"/>
      <c r="AK678" s="681"/>
      <c r="AL678" s="681"/>
      <c r="AM678" s="681"/>
      <c r="AN678" s="681"/>
      <c r="AO678" s="681"/>
      <c r="AP678" s="681"/>
    </row>
    <row r="679" spans="1:42">
      <c r="R679" s="706"/>
    </row>
    <row r="680" spans="1:42">
      <c r="B680" s="680"/>
      <c r="D680" s="679"/>
      <c r="E680" s="679"/>
      <c r="F680" s="679"/>
      <c r="G680" s="679"/>
      <c r="H680" s="679"/>
      <c r="I680" s="679"/>
      <c r="J680" s="679"/>
      <c r="K680" s="679"/>
      <c r="L680" s="679"/>
      <c r="M680" s="679"/>
      <c r="N680" s="679">
        <v>42</v>
      </c>
      <c r="O680" s="679"/>
      <c r="R680" s="706"/>
    </row>
    <row r="681" spans="1:42">
      <c r="D681" s="679"/>
      <c r="E681" s="679"/>
      <c r="F681" s="679"/>
      <c r="G681" s="679"/>
      <c r="H681" s="679"/>
      <c r="I681" s="679"/>
      <c r="J681" s="679"/>
      <c r="K681" s="679"/>
      <c r="L681" s="679"/>
      <c r="M681" s="679"/>
      <c r="N681" s="679"/>
      <c r="R681" s="706"/>
    </row>
    <row r="682" spans="1:42" ht="13.5" thickBot="1">
      <c r="D682" s="679"/>
      <c r="E682" s="679"/>
      <c r="F682" s="679"/>
      <c r="G682" s="679"/>
      <c r="H682" s="679"/>
      <c r="I682" s="679"/>
      <c r="J682" s="679"/>
      <c r="K682" s="679"/>
      <c r="L682" s="679"/>
      <c r="M682" s="679"/>
      <c r="N682" s="679"/>
    </row>
    <row r="683" spans="1:42" ht="15.75" customHeight="1" thickBot="1">
      <c r="A683" s="1368" t="s">
        <v>109</v>
      </c>
      <c r="B683" s="3533" t="s">
        <v>109</v>
      </c>
      <c r="C683" s="3534"/>
      <c r="D683" s="679"/>
      <c r="E683" s="679"/>
      <c r="F683" s="679"/>
      <c r="G683" s="679"/>
      <c r="H683" s="679"/>
      <c r="I683" s="679"/>
      <c r="J683" s="679"/>
      <c r="K683" s="679"/>
      <c r="L683" s="679"/>
      <c r="M683" s="3538" t="s">
        <v>251</v>
      </c>
      <c r="N683" s="3538"/>
      <c r="O683" s="701"/>
    </row>
    <row r="684" spans="1:42" ht="12.75" customHeight="1" thickBot="1">
      <c r="A684" s="3555" t="s">
        <v>252</v>
      </c>
      <c r="B684" s="1467"/>
      <c r="C684" s="3523" t="s">
        <v>254</v>
      </c>
      <c r="D684" s="3562" t="s">
        <v>255</v>
      </c>
      <c r="E684" s="3562" t="s">
        <v>256</v>
      </c>
      <c r="F684" s="3562" t="s">
        <v>257</v>
      </c>
      <c r="G684" s="3565" t="s">
        <v>258</v>
      </c>
      <c r="H684" s="3566"/>
      <c r="I684" s="3566"/>
      <c r="J684" s="3566"/>
      <c r="K684" s="3566"/>
      <c r="L684" s="3566"/>
      <c r="M684" s="3566"/>
      <c r="N684" s="3567"/>
      <c r="O684" s="702"/>
    </row>
    <row r="685" spans="1:42" ht="12.75" customHeight="1" thickBot="1">
      <c r="A685" s="3556"/>
      <c r="B685" s="1468"/>
      <c r="C685" s="3524"/>
      <c r="D685" s="3563"/>
      <c r="E685" s="3563"/>
      <c r="F685" s="3563"/>
      <c r="G685" s="3529" t="s">
        <v>259</v>
      </c>
      <c r="H685" s="3530"/>
      <c r="I685" s="3530"/>
      <c r="J685" s="3531"/>
      <c r="K685" s="3568" t="s">
        <v>260</v>
      </c>
      <c r="L685" s="3569"/>
      <c r="M685" s="3569"/>
      <c r="N685" s="3570"/>
      <c r="O685" s="458"/>
    </row>
    <row r="686" spans="1:42" ht="39" thickBot="1">
      <c r="A686" s="3556"/>
      <c r="B686" s="1469"/>
      <c r="C686" s="3524"/>
      <c r="D686" s="3564"/>
      <c r="E686" s="3564"/>
      <c r="F686" s="3564"/>
      <c r="G686" s="1336" t="s">
        <v>261</v>
      </c>
      <c r="H686" s="1336" t="s">
        <v>262</v>
      </c>
      <c r="I686" s="1336" t="s">
        <v>263</v>
      </c>
      <c r="J686" s="1336" t="s">
        <v>158</v>
      </c>
      <c r="K686" s="1337" t="s">
        <v>264</v>
      </c>
      <c r="L686" s="1337" t="s">
        <v>265</v>
      </c>
      <c r="M686" s="1337" t="s">
        <v>266</v>
      </c>
      <c r="N686" s="1404" t="s">
        <v>158</v>
      </c>
      <c r="O686" s="443"/>
    </row>
    <row r="687" spans="1:42" ht="13.5" thickBot="1">
      <c r="A687" s="3556"/>
      <c r="B687" s="1468"/>
      <c r="C687" s="3524"/>
      <c r="D687" s="1470">
        <v>1</v>
      </c>
      <c r="E687" s="1471">
        <v>2</v>
      </c>
      <c r="F687" s="1471">
        <v>3</v>
      </c>
      <c r="G687" s="1472">
        <v>4</v>
      </c>
      <c r="H687" s="1471">
        <v>5</v>
      </c>
      <c r="I687" s="1473">
        <v>6</v>
      </c>
      <c r="J687" s="1474">
        <v>7</v>
      </c>
      <c r="K687" s="1472">
        <v>8</v>
      </c>
      <c r="L687" s="1471">
        <v>9</v>
      </c>
      <c r="M687" s="1496">
        <v>10</v>
      </c>
      <c r="N687" s="1470">
        <v>11</v>
      </c>
      <c r="O687" s="702"/>
    </row>
    <row r="688" spans="1:42" ht="13.5" thickBot="1">
      <c r="A688" s="3561"/>
      <c r="B688" s="1587"/>
      <c r="C688" s="3532"/>
      <c r="D688" s="1476"/>
      <c r="E688" s="1476"/>
      <c r="F688" s="1476"/>
      <c r="G688" s="1477"/>
      <c r="H688" s="1476"/>
      <c r="I688" s="1552"/>
      <c r="J688" s="1478" t="s">
        <v>267</v>
      </c>
      <c r="K688" s="1477"/>
      <c r="L688" s="1476"/>
      <c r="M688" s="1968"/>
      <c r="N688" s="1553" t="s">
        <v>268</v>
      </c>
      <c r="O688" s="703"/>
      <c r="P688" s="703"/>
      <c r="Q688" s="703"/>
    </row>
    <row r="689" spans="1:42">
      <c r="A689" s="2307"/>
      <c r="B689" s="2316" t="s">
        <v>269</v>
      </c>
      <c r="C689" s="2155"/>
      <c r="D689" s="2152"/>
      <c r="E689" s="687"/>
      <c r="F689" s="687"/>
      <c r="G689" s="688"/>
      <c r="H689" s="689"/>
      <c r="I689" s="690"/>
      <c r="J689" s="1491"/>
      <c r="K689" s="996"/>
      <c r="L689" s="994"/>
      <c r="M689" s="997"/>
      <c r="N689" s="2418"/>
      <c r="Q689" s="719"/>
      <c r="R689" s="706"/>
    </row>
    <row r="690" spans="1:42">
      <c r="A690" s="2301">
        <v>1</v>
      </c>
      <c r="B690" s="2302" t="s">
        <v>270</v>
      </c>
      <c r="C690" s="2155"/>
      <c r="D690" s="2303">
        <f t="shared" ref="D690:D730" si="122">+E690+F690+J690+N690</f>
        <v>0</v>
      </c>
      <c r="E690" s="2330"/>
      <c r="F690" s="2330"/>
      <c r="G690" s="2327"/>
      <c r="H690" s="2323"/>
      <c r="I690" s="2329"/>
      <c r="J690" s="2305">
        <f>G690+H690+I690</f>
        <v>0</v>
      </c>
      <c r="K690" s="2304"/>
      <c r="L690" s="2304"/>
      <c r="M690" s="2304"/>
      <c r="N690" s="2305">
        <f>K690+L690+M690</f>
        <v>0</v>
      </c>
      <c r="O690" s="704"/>
      <c r="P690" s="705"/>
      <c r="Q690" s="731"/>
      <c r="R690" s="706"/>
      <c r="S690" s="706"/>
      <c r="T690" s="706"/>
      <c r="U690" s="706"/>
      <c r="V690" s="706"/>
      <c r="W690" s="706"/>
      <c r="X690" s="706"/>
      <c r="Y690" s="706"/>
      <c r="Z690" s="706"/>
      <c r="AA690" s="706"/>
      <c r="AB690" s="706"/>
      <c r="AC690" s="706"/>
    </row>
    <row r="691" spans="1:42">
      <c r="A691" s="2301">
        <v>2</v>
      </c>
      <c r="B691" s="2302" t="s">
        <v>271</v>
      </c>
      <c r="C691" s="2155"/>
      <c r="D691" s="2303">
        <f t="shared" si="122"/>
        <v>0</v>
      </c>
      <c r="E691" s="2330"/>
      <c r="F691" s="2330"/>
      <c r="G691" s="2327"/>
      <c r="H691" s="2323"/>
      <c r="I691" s="2329"/>
      <c r="J691" s="2305">
        <f t="shared" ref="J691:J701" si="123">G691+H691+I691</f>
        <v>0</v>
      </c>
      <c r="K691" s="2304"/>
      <c r="L691" s="2304"/>
      <c r="M691" s="2304"/>
      <c r="N691" s="2305">
        <f t="shared" ref="N691:N730" si="124">K691+L691+M691</f>
        <v>0</v>
      </c>
      <c r="O691" s="704"/>
      <c r="P691" s="705"/>
      <c r="Q691" s="731"/>
      <c r="R691" s="706"/>
      <c r="S691" s="706"/>
      <c r="T691" s="706"/>
      <c r="U691" s="706"/>
      <c r="V691" s="706"/>
      <c r="W691" s="706"/>
      <c r="X691" s="706"/>
      <c r="Y691" s="706"/>
      <c r="Z691" s="706"/>
      <c r="AA691" s="706"/>
      <c r="AB691" s="706"/>
      <c r="AC691" s="706"/>
    </row>
    <row r="692" spans="1:42">
      <c r="A692" s="2301">
        <v>3</v>
      </c>
      <c r="B692" s="2302" t="s">
        <v>272</v>
      </c>
      <c r="C692" s="2155"/>
      <c r="D692" s="2303">
        <f t="shared" si="122"/>
        <v>0</v>
      </c>
      <c r="E692" s="2330"/>
      <c r="F692" s="2330"/>
      <c r="G692" s="2327"/>
      <c r="H692" s="2323"/>
      <c r="I692" s="2329"/>
      <c r="J692" s="2305">
        <f t="shared" si="123"/>
        <v>0</v>
      </c>
      <c r="K692" s="2304"/>
      <c r="L692" s="2304"/>
      <c r="M692" s="2304"/>
      <c r="N692" s="2305">
        <f t="shared" si="124"/>
        <v>0</v>
      </c>
      <c r="O692" s="704"/>
      <c r="P692" s="705"/>
      <c r="Q692" s="731"/>
      <c r="R692" s="706"/>
      <c r="S692" s="706"/>
      <c r="T692" s="706"/>
      <c r="U692" s="706"/>
      <c r="V692" s="706"/>
      <c r="W692" s="706"/>
      <c r="X692" s="706"/>
      <c r="Y692" s="706"/>
      <c r="Z692" s="706"/>
      <c r="AA692" s="706"/>
      <c r="AB692" s="706"/>
      <c r="AC692" s="706"/>
    </row>
    <row r="693" spans="1:42">
      <c r="A693" s="2301">
        <v>4</v>
      </c>
      <c r="B693" s="2302" t="s">
        <v>315</v>
      </c>
      <c r="C693" s="2155"/>
      <c r="D693" s="2303">
        <f t="shared" si="122"/>
        <v>0</v>
      </c>
      <c r="E693" s="2330"/>
      <c r="F693" s="2330"/>
      <c r="G693" s="2327"/>
      <c r="H693" s="2323"/>
      <c r="I693" s="2329"/>
      <c r="J693" s="2305">
        <f t="shared" si="123"/>
        <v>0</v>
      </c>
      <c r="K693" s="2304"/>
      <c r="L693" s="2304"/>
      <c r="M693" s="2304"/>
      <c r="N693" s="2305">
        <f t="shared" si="124"/>
        <v>0</v>
      </c>
      <c r="O693" s="704"/>
      <c r="P693" s="705"/>
      <c r="Q693" s="731"/>
      <c r="R693" s="706"/>
      <c r="S693" s="706"/>
      <c r="T693" s="706"/>
      <c r="U693" s="706"/>
      <c r="V693" s="706"/>
      <c r="W693" s="706"/>
      <c r="X693" s="706"/>
      <c r="Y693" s="706"/>
      <c r="Z693" s="706"/>
      <c r="AA693" s="706"/>
      <c r="AB693" s="706"/>
      <c r="AC693" s="706"/>
    </row>
    <row r="694" spans="1:42">
      <c r="A694" s="2301">
        <v>5</v>
      </c>
      <c r="B694" s="2302" t="s">
        <v>274</v>
      </c>
      <c r="C694" s="2161">
        <v>5</v>
      </c>
      <c r="D694" s="2303">
        <f t="shared" si="122"/>
        <v>220.74988999999985</v>
      </c>
      <c r="E694" s="2330"/>
      <c r="F694" s="2330">
        <v>220.74988999999985</v>
      </c>
      <c r="G694" s="2327"/>
      <c r="H694" s="2323"/>
      <c r="I694" s="2329"/>
      <c r="J694" s="2305">
        <f t="shared" si="123"/>
        <v>0</v>
      </c>
      <c r="K694" s="2304"/>
      <c r="L694" s="2304"/>
      <c r="M694" s="2304"/>
      <c r="N694" s="2305">
        <f t="shared" si="124"/>
        <v>0</v>
      </c>
      <c r="O694" s="704"/>
      <c r="P694" s="705"/>
      <c r="Q694" s="732"/>
      <c r="R694" s="706"/>
      <c r="S694" s="706"/>
      <c r="T694" s="706"/>
      <c r="U694" s="706"/>
      <c r="V694" s="706"/>
      <c r="W694" s="706"/>
      <c r="X694" s="706"/>
      <c r="Y694" s="706"/>
      <c r="Z694" s="706"/>
      <c r="AA694" s="706"/>
      <c r="AB694" s="706"/>
      <c r="AC694" s="706"/>
    </row>
    <row r="695" spans="1:42">
      <c r="A695" s="2301">
        <v>6</v>
      </c>
      <c r="B695" s="2302" t="s">
        <v>275</v>
      </c>
      <c r="C695" s="2155">
        <v>6</v>
      </c>
      <c r="D695" s="2303">
        <f t="shared" si="122"/>
        <v>0</v>
      </c>
      <c r="E695" s="2304"/>
      <c r="F695" s="2304"/>
      <c r="G695" s="2304"/>
      <c r="H695" s="2325"/>
      <c r="I695" s="2353"/>
      <c r="J695" s="2305">
        <f t="shared" si="123"/>
        <v>0</v>
      </c>
      <c r="K695" s="2304"/>
      <c r="L695" s="2304"/>
      <c r="M695" s="2304"/>
      <c r="N695" s="2305">
        <f t="shared" si="124"/>
        <v>0</v>
      </c>
      <c r="O695" s="704"/>
      <c r="P695" s="705"/>
      <c r="Q695" s="731"/>
      <c r="R695" s="706"/>
      <c r="S695" s="706"/>
      <c r="T695" s="706"/>
      <c r="U695" s="706"/>
      <c r="V695" s="706"/>
      <c r="W695" s="706"/>
      <c r="X695" s="706"/>
      <c r="Y695" s="706"/>
      <c r="Z695" s="706"/>
      <c r="AA695" s="706"/>
      <c r="AB695" s="706"/>
      <c r="AC695" s="706"/>
    </row>
    <row r="696" spans="1:42">
      <c r="A696" s="2301">
        <v>7</v>
      </c>
      <c r="B696" s="2302" t="s">
        <v>276</v>
      </c>
      <c r="C696" s="2161">
        <v>7</v>
      </c>
      <c r="D696" s="2303">
        <f t="shared" si="122"/>
        <v>0</v>
      </c>
      <c r="E696" s="2304"/>
      <c r="F696" s="2304">
        <f>F697+F698</f>
        <v>0</v>
      </c>
      <c r="G696" s="2304">
        <f t="shared" ref="G696:M696" si="125">G697+G698</f>
        <v>0</v>
      </c>
      <c r="H696" s="2325">
        <f t="shared" si="125"/>
        <v>0</v>
      </c>
      <c r="I696" s="2353">
        <f t="shared" si="125"/>
        <v>0</v>
      </c>
      <c r="J696" s="2305">
        <f t="shared" si="123"/>
        <v>0</v>
      </c>
      <c r="K696" s="2304">
        <f t="shared" si="125"/>
        <v>0</v>
      </c>
      <c r="L696" s="2304">
        <f t="shared" si="125"/>
        <v>0</v>
      </c>
      <c r="M696" s="2304">
        <f t="shared" si="125"/>
        <v>0</v>
      </c>
      <c r="N696" s="2305">
        <f t="shared" si="124"/>
        <v>0</v>
      </c>
      <c r="O696" s="704"/>
      <c r="P696" s="705"/>
      <c r="Q696" s="732"/>
      <c r="R696" s="706"/>
      <c r="S696" s="706"/>
      <c r="T696" s="706"/>
      <c r="U696" s="706"/>
      <c r="V696" s="706"/>
      <c r="W696" s="706"/>
      <c r="X696" s="706"/>
      <c r="Y696" s="706"/>
      <c r="Z696" s="706"/>
      <c r="AA696" s="706"/>
      <c r="AB696" s="706"/>
      <c r="AC696" s="706"/>
    </row>
    <row r="697" spans="1:42">
      <c r="A697" s="2307"/>
      <c r="B697" s="2162" t="s">
        <v>277</v>
      </c>
      <c r="C697" s="2161"/>
      <c r="D697" s="2303">
        <f t="shared" si="122"/>
        <v>0</v>
      </c>
      <c r="E697" s="2304"/>
      <c r="F697" s="2304"/>
      <c r="G697" s="2304"/>
      <c r="H697" s="2325"/>
      <c r="I697" s="2353"/>
      <c r="J697" s="2305">
        <f t="shared" si="123"/>
        <v>0</v>
      </c>
      <c r="K697" s="2304"/>
      <c r="L697" s="2304"/>
      <c r="M697" s="2304"/>
      <c r="N697" s="2305">
        <f t="shared" si="124"/>
        <v>0</v>
      </c>
      <c r="O697" s="704"/>
      <c r="P697" s="705"/>
      <c r="Q697" s="732"/>
      <c r="R697" s="706"/>
      <c r="S697" s="706"/>
      <c r="T697" s="706"/>
      <c r="U697" s="706"/>
      <c r="V697" s="706"/>
      <c r="W697" s="706"/>
      <c r="X697" s="706"/>
      <c r="Y697" s="706"/>
      <c r="Z697" s="706"/>
      <c r="AA697" s="706"/>
      <c r="AB697" s="706"/>
      <c r="AC697" s="706"/>
    </row>
    <row r="698" spans="1:42">
      <c r="A698" s="2307"/>
      <c r="B698" s="2162" t="s">
        <v>278</v>
      </c>
      <c r="C698" s="2161"/>
      <c r="D698" s="2303">
        <f t="shared" si="122"/>
        <v>0</v>
      </c>
      <c r="E698" s="2304"/>
      <c r="F698" s="2304"/>
      <c r="G698" s="2304"/>
      <c r="H698" s="2325"/>
      <c r="I698" s="2353"/>
      <c r="J698" s="2305">
        <f t="shared" si="123"/>
        <v>0</v>
      </c>
      <c r="K698" s="2304"/>
      <c r="L698" s="2304"/>
      <c r="M698" s="2304"/>
      <c r="N698" s="2305">
        <f t="shared" si="124"/>
        <v>0</v>
      </c>
      <c r="O698" s="704"/>
      <c r="P698" s="705"/>
      <c r="Q698" s="732"/>
      <c r="R698" s="706"/>
      <c r="S698" s="706"/>
      <c r="T698" s="706"/>
      <c r="U698" s="706"/>
      <c r="V698" s="706"/>
      <c r="W698" s="706"/>
      <c r="X698" s="706"/>
      <c r="Y698" s="706"/>
      <c r="Z698" s="706"/>
      <c r="AA698" s="706"/>
      <c r="AB698" s="706"/>
      <c r="AC698" s="706"/>
    </row>
    <row r="699" spans="1:42">
      <c r="A699" s="2301">
        <v>8</v>
      </c>
      <c r="B699" s="2302" t="s">
        <v>279</v>
      </c>
      <c r="C699" s="2155">
        <v>8</v>
      </c>
      <c r="D699" s="2303">
        <f t="shared" si="122"/>
        <v>0</v>
      </c>
      <c r="E699" s="2304"/>
      <c r="F699" s="2304">
        <f>F700+F701</f>
        <v>0</v>
      </c>
      <c r="G699" s="2304">
        <f t="shared" ref="G699:M699" si="126">G700+G701</f>
        <v>0</v>
      </c>
      <c r="H699" s="2325">
        <f t="shared" si="126"/>
        <v>0</v>
      </c>
      <c r="I699" s="2353">
        <f t="shared" si="126"/>
        <v>0</v>
      </c>
      <c r="J699" s="2305">
        <f t="shared" si="123"/>
        <v>0</v>
      </c>
      <c r="K699" s="2304">
        <f t="shared" si="126"/>
        <v>0</v>
      </c>
      <c r="L699" s="2304">
        <f t="shared" si="126"/>
        <v>0</v>
      </c>
      <c r="M699" s="2304">
        <f t="shared" si="126"/>
        <v>0</v>
      </c>
      <c r="N699" s="2305">
        <f t="shared" si="124"/>
        <v>0</v>
      </c>
      <c r="O699" s="704"/>
      <c r="P699" s="705"/>
      <c r="Q699" s="731"/>
      <c r="R699" s="706"/>
      <c r="S699" s="706"/>
      <c r="T699" s="706"/>
      <c r="U699" s="706"/>
      <c r="V699" s="706"/>
      <c r="W699" s="706"/>
      <c r="X699" s="706"/>
      <c r="Y699" s="706"/>
      <c r="Z699" s="706"/>
      <c r="AA699" s="706"/>
      <c r="AB699" s="706"/>
      <c r="AC699" s="706"/>
    </row>
    <row r="700" spans="1:42">
      <c r="A700" s="2301"/>
      <c r="B700" s="2162" t="s">
        <v>280</v>
      </c>
      <c r="C700" s="2155"/>
      <c r="D700" s="2303">
        <f t="shared" si="122"/>
        <v>0</v>
      </c>
      <c r="E700" s="2304"/>
      <c r="F700" s="2304"/>
      <c r="G700" s="2304"/>
      <c r="H700" s="2325"/>
      <c r="I700" s="2353"/>
      <c r="J700" s="2305">
        <f t="shared" si="123"/>
        <v>0</v>
      </c>
      <c r="K700" s="2304"/>
      <c r="L700" s="2304"/>
      <c r="M700" s="2304"/>
      <c r="N700" s="2305">
        <f t="shared" si="124"/>
        <v>0</v>
      </c>
      <c r="O700" s="704"/>
      <c r="P700" s="705"/>
      <c r="Q700" s="731"/>
      <c r="R700" s="706"/>
      <c r="S700" s="706"/>
      <c r="T700" s="706"/>
      <c r="U700" s="706"/>
      <c r="V700" s="706"/>
      <c r="W700" s="706"/>
      <c r="X700" s="706"/>
      <c r="Y700" s="706"/>
      <c r="Z700" s="706"/>
      <c r="AA700" s="706"/>
      <c r="AB700" s="706"/>
      <c r="AC700" s="706"/>
    </row>
    <row r="701" spans="1:42">
      <c r="A701" s="2301"/>
      <c r="B701" s="2162" t="s">
        <v>281</v>
      </c>
      <c r="C701" s="2155"/>
      <c r="D701" s="2303">
        <f t="shared" si="122"/>
        <v>0</v>
      </c>
      <c r="E701" s="2304"/>
      <c r="F701" s="2304"/>
      <c r="G701" s="2304"/>
      <c r="H701" s="2325"/>
      <c r="I701" s="2353"/>
      <c r="J701" s="2305">
        <f t="shared" si="123"/>
        <v>0</v>
      </c>
      <c r="K701" s="2304"/>
      <c r="L701" s="2304"/>
      <c r="M701" s="2304"/>
      <c r="N701" s="2305">
        <f t="shared" si="124"/>
        <v>0</v>
      </c>
      <c r="O701" s="704"/>
      <c r="P701" s="705"/>
      <c r="Q701" s="731"/>
      <c r="R701" s="706"/>
      <c r="S701" s="706"/>
      <c r="T701" s="706"/>
      <c r="U701" s="706"/>
      <c r="V701" s="706"/>
      <c r="W701" s="706"/>
      <c r="X701" s="706"/>
      <c r="Y701" s="706"/>
      <c r="Z701" s="706"/>
      <c r="AA701" s="706"/>
      <c r="AB701" s="706"/>
      <c r="AC701" s="706"/>
    </row>
    <row r="702" spans="1:42" s="913" customFormat="1" ht="25.5">
      <c r="A702" s="2308">
        <v>9</v>
      </c>
      <c r="B702" s="2309" t="s">
        <v>282</v>
      </c>
      <c r="C702" s="2165"/>
      <c r="D702" s="2310">
        <f t="shared" si="122"/>
        <v>1026175.88651</v>
      </c>
      <c r="E702" s="2311">
        <f>SUM(E703:E706)</f>
        <v>0</v>
      </c>
      <c r="F702" s="2311">
        <f>SUM(F703:F706)</f>
        <v>468936.09008999995</v>
      </c>
      <c r="G702" s="2311">
        <f>SUM(G703:G706)</f>
        <v>39877.096130000005</v>
      </c>
      <c r="H702" s="2333">
        <f>SUM(H703:H706)</f>
        <v>517362.70029000001</v>
      </c>
      <c r="I702" s="2334">
        <f>SUM(I703:I706)</f>
        <v>0</v>
      </c>
      <c r="J702" s="2367">
        <f>G702+H702+I702</f>
        <v>557239.79642000003</v>
      </c>
      <c r="K702" s="2311">
        <f>SUM(K703:K706)</f>
        <v>0</v>
      </c>
      <c r="L702" s="2311">
        <f>SUM(L703:L706)</f>
        <v>0</v>
      </c>
      <c r="M702" s="2311">
        <f>SUM(M703:M706)</f>
        <v>0</v>
      </c>
      <c r="N702" s="2312">
        <f t="shared" si="124"/>
        <v>0</v>
      </c>
      <c r="O702" s="1024"/>
      <c r="P702" s="1025"/>
      <c r="Q702" s="1108"/>
      <c r="R702" s="1027"/>
      <c r="S702" s="1027"/>
      <c r="T702" s="1027"/>
      <c r="U702" s="1027"/>
      <c r="V702" s="1027"/>
      <c r="W702" s="1027"/>
      <c r="X702" s="1027"/>
      <c r="Y702" s="1027"/>
      <c r="Z702" s="1027"/>
      <c r="AA702" s="1027"/>
      <c r="AB702" s="1027"/>
      <c r="AC702" s="1027"/>
      <c r="AE702" s="1028"/>
      <c r="AF702" s="1028"/>
      <c r="AG702" s="1028"/>
      <c r="AH702" s="1028"/>
      <c r="AI702" s="1028"/>
      <c r="AJ702" s="1028"/>
      <c r="AK702" s="1028"/>
      <c r="AL702" s="1028"/>
      <c r="AM702" s="1028"/>
      <c r="AN702" s="1028"/>
      <c r="AO702" s="1028"/>
      <c r="AP702" s="1028"/>
    </row>
    <row r="703" spans="1:42">
      <c r="A703" s="2307">
        <v>10</v>
      </c>
      <c r="B703" s="2171" t="s">
        <v>283</v>
      </c>
      <c r="C703" s="2155">
        <v>9</v>
      </c>
      <c r="D703" s="2303">
        <f t="shared" si="122"/>
        <v>0</v>
      </c>
      <c r="E703" s="2330"/>
      <c r="F703" s="2330"/>
      <c r="G703" s="2327"/>
      <c r="H703" s="2323"/>
      <c r="I703" s="2329"/>
      <c r="J703" s="2371">
        <f t="shared" ref="J703:J721" si="127">G703+H703+I703</f>
        <v>0</v>
      </c>
      <c r="K703" s="2304"/>
      <c r="L703" s="2304"/>
      <c r="M703" s="2304"/>
      <c r="N703" s="2305">
        <f t="shared" si="124"/>
        <v>0</v>
      </c>
      <c r="O703" s="704"/>
      <c r="P703" s="705"/>
      <c r="Q703" s="731"/>
      <c r="R703" s="706"/>
      <c r="S703" s="706"/>
      <c r="T703" s="706"/>
      <c r="U703" s="706"/>
      <c r="V703" s="706"/>
      <c r="W703" s="706"/>
      <c r="X703" s="706"/>
      <c r="Y703" s="706"/>
      <c r="Z703" s="706"/>
      <c r="AA703" s="706"/>
      <c r="AB703" s="706"/>
      <c r="AC703" s="706"/>
    </row>
    <row r="704" spans="1:42">
      <c r="A704" s="2307">
        <v>11</v>
      </c>
      <c r="B704" s="2171" t="s">
        <v>284</v>
      </c>
      <c r="C704" s="2155">
        <v>10</v>
      </c>
      <c r="D704" s="2303">
        <f t="shared" si="122"/>
        <v>982529.03865999996</v>
      </c>
      <c r="E704" s="2330"/>
      <c r="F704" s="2330">
        <v>468936.09008999995</v>
      </c>
      <c r="G704" s="2327">
        <v>39877.096130000005</v>
      </c>
      <c r="H704" s="2328">
        <v>473715.85243999999</v>
      </c>
      <c r="I704" s="2322"/>
      <c r="J704" s="2371">
        <f t="shared" si="127"/>
        <v>513592.94857000001</v>
      </c>
      <c r="K704" s="2304"/>
      <c r="L704" s="2304"/>
      <c r="M704" s="2304"/>
      <c r="N704" s="2305">
        <f t="shared" si="124"/>
        <v>0</v>
      </c>
      <c r="O704" s="704"/>
      <c r="P704" s="705"/>
      <c r="Q704" s="731"/>
      <c r="R704" s="706"/>
      <c r="S704" s="706"/>
      <c r="T704" s="706"/>
      <c r="U704" s="706"/>
      <c r="V704" s="706"/>
      <c r="W704" s="706"/>
      <c r="X704" s="706"/>
      <c r="Y704" s="706"/>
      <c r="Z704" s="706"/>
      <c r="AA704" s="706"/>
      <c r="AB704" s="706"/>
      <c r="AC704" s="706"/>
    </row>
    <row r="705" spans="1:42">
      <c r="A705" s="2307">
        <v>12</v>
      </c>
      <c r="B705" s="2171" t="s">
        <v>285</v>
      </c>
      <c r="C705" s="2155">
        <v>11</v>
      </c>
      <c r="D705" s="2303">
        <f t="shared" si="122"/>
        <v>43646.847849999998</v>
      </c>
      <c r="E705" s="2330"/>
      <c r="F705" s="2330">
        <v>0</v>
      </c>
      <c r="G705" s="2327">
        <v>0</v>
      </c>
      <c r="H705" s="2328">
        <v>43646.847849999998</v>
      </c>
      <c r="I705" s="2322"/>
      <c r="J705" s="2371">
        <f t="shared" si="127"/>
        <v>43646.847849999998</v>
      </c>
      <c r="K705" s="2304"/>
      <c r="L705" s="2304"/>
      <c r="M705" s="2304"/>
      <c r="N705" s="2305">
        <f t="shared" si="124"/>
        <v>0</v>
      </c>
      <c r="O705" s="704"/>
      <c r="P705" s="705"/>
      <c r="Q705" s="731"/>
      <c r="R705" s="706"/>
      <c r="S705" s="706"/>
      <c r="T705" s="706"/>
      <c r="U705" s="706"/>
      <c r="V705" s="706"/>
      <c r="W705" s="706"/>
      <c r="X705" s="706"/>
      <c r="Y705" s="706"/>
      <c r="Z705" s="706"/>
      <c r="AA705" s="706"/>
      <c r="AB705" s="706"/>
      <c r="AC705" s="706"/>
    </row>
    <row r="706" spans="1:42" ht="25.5">
      <c r="A706" s="2307">
        <v>13</v>
      </c>
      <c r="B706" s="2171" t="s">
        <v>286</v>
      </c>
      <c r="C706" s="2155">
        <v>12</v>
      </c>
      <c r="D706" s="2303">
        <f t="shared" si="122"/>
        <v>0</v>
      </c>
      <c r="E706" s="2330"/>
      <c r="F706" s="2330"/>
      <c r="G706" s="2327">
        <v>0</v>
      </c>
      <c r="H706" s="2328">
        <v>0</v>
      </c>
      <c r="I706" s="2322"/>
      <c r="J706" s="2371">
        <f t="shared" si="127"/>
        <v>0</v>
      </c>
      <c r="K706" s="2304"/>
      <c r="L706" s="2304"/>
      <c r="M706" s="2304"/>
      <c r="N706" s="2305">
        <f t="shared" si="124"/>
        <v>0</v>
      </c>
      <c r="O706" s="704"/>
      <c r="P706" s="705"/>
      <c r="Q706" s="731"/>
      <c r="R706" s="706"/>
      <c r="S706" s="706"/>
      <c r="T706" s="706"/>
      <c r="U706" s="706"/>
      <c r="V706" s="706"/>
      <c r="W706" s="706"/>
      <c r="X706" s="706"/>
      <c r="Y706" s="706"/>
      <c r="Z706" s="706"/>
      <c r="AA706" s="706"/>
      <c r="AB706" s="706"/>
      <c r="AC706" s="706"/>
    </row>
    <row r="707" spans="1:42">
      <c r="A707" s="2307">
        <v>14</v>
      </c>
      <c r="B707" s="2154" t="s">
        <v>287</v>
      </c>
      <c r="C707" s="2155">
        <v>13</v>
      </c>
      <c r="D707" s="2303">
        <f t="shared" si="122"/>
        <v>3837.0793399999998</v>
      </c>
      <c r="E707" s="2330"/>
      <c r="F707" s="2330"/>
      <c r="G707" s="2327">
        <v>0</v>
      </c>
      <c r="H707" s="2323">
        <v>3837.0793399999998</v>
      </c>
      <c r="I707" s="2329"/>
      <c r="J707" s="2371">
        <f t="shared" si="127"/>
        <v>3837.0793399999998</v>
      </c>
      <c r="K707" s="2304"/>
      <c r="L707" s="2304"/>
      <c r="M707" s="2304"/>
      <c r="N707" s="2305">
        <f t="shared" si="124"/>
        <v>0</v>
      </c>
      <c r="O707" s="704"/>
      <c r="P707" s="705"/>
      <c r="Q707" s="731"/>
      <c r="R707" s="706"/>
      <c r="S707" s="706"/>
      <c r="T707" s="706"/>
      <c r="U707" s="706"/>
      <c r="V707" s="706"/>
      <c r="W707" s="706"/>
      <c r="X707" s="706"/>
      <c r="Y707" s="706"/>
      <c r="Z707" s="706"/>
      <c r="AA707" s="706"/>
      <c r="AB707" s="706"/>
      <c r="AC707" s="706"/>
    </row>
    <row r="708" spans="1:42">
      <c r="A708" s="2307">
        <v>15</v>
      </c>
      <c r="B708" s="2154" t="s">
        <v>288</v>
      </c>
      <c r="C708" s="2161">
        <v>14</v>
      </c>
      <c r="D708" s="2303">
        <f t="shared" si="122"/>
        <v>5451.2467699999997</v>
      </c>
      <c r="E708" s="2330"/>
      <c r="F708" s="2330"/>
      <c r="G708" s="2327">
        <v>0</v>
      </c>
      <c r="H708" s="2323">
        <v>5451.2467699999997</v>
      </c>
      <c r="I708" s="2329"/>
      <c r="J708" s="2371">
        <f t="shared" si="127"/>
        <v>5451.2467699999997</v>
      </c>
      <c r="K708" s="2304"/>
      <c r="L708" s="2304"/>
      <c r="M708" s="2304"/>
      <c r="N708" s="2305">
        <f t="shared" si="124"/>
        <v>0</v>
      </c>
      <c r="O708" s="704"/>
      <c r="P708" s="705"/>
      <c r="Q708" s="732"/>
      <c r="R708" s="706"/>
      <c r="S708" s="706"/>
      <c r="T708" s="706"/>
      <c r="U708" s="706"/>
      <c r="V708" s="706"/>
      <c r="W708" s="706"/>
      <c r="X708" s="706"/>
      <c r="Y708" s="706"/>
      <c r="Z708" s="706"/>
      <c r="AA708" s="706"/>
      <c r="AB708" s="706"/>
      <c r="AC708" s="706"/>
    </row>
    <row r="709" spans="1:42">
      <c r="A709" s="2307">
        <v>16</v>
      </c>
      <c r="B709" s="2154" t="s">
        <v>289</v>
      </c>
      <c r="C709" s="2155">
        <v>15</v>
      </c>
      <c r="D709" s="2303">
        <f t="shared" si="122"/>
        <v>2379.52</v>
      </c>
      <c r="E709" s="2330"/>
      <c r="F709" s="2330"/>
      <c r="G709" s="2327">
        <v>197.81841589778574</v>
      </c>
      <c r="H709" s="2323">
        <v>2181.7015841022144</v>
      </c>
      <c r="I709" s="2329"/>
      <c r="J709" s="2371">
        <f t="shared" si="127"/>
        <v>2379.52</v>
      </c>
      <c r="K709" s="2304"/>
      <c r="L709" s="2304"/>
      <c r="M709" s="2304"/>
      <c r="N709" s="2305">
        <f t="shared" si="124"/>
        <v>0</v>
      </c>
      <c r="O709" s="704"/>
      <c r="P709" s="705"/>
      <c r="Q709" s="731"/>
      <c r="R709" s="706"/>
      <c r="S709" s="706"/>
      <c r="T709" s="706"/>
      <c r="U709" s="706"/>
      <c r="V709" s="706"/>
      <c r="W709" s="706"/>
      <c r="X709" s="706"/>
      <c r="Y709" s="706"/>
      <c r="Z709" s="706"/>
      <c r="AA709" s="706"/>
      <c r="AB709" s="706"/>
      <c r="AC709" s="706"/>
    </row>
    <row r="710" spans="1:42">
      <c r="A710" s="2307">
        <v>17</v>
      </c>
      <c r="B710" s="2154" t="s">
        <v>290</v>
      </c>
      <c r="C710" s="2161">
        <v>16</v>
      </c>
      <c r="D710" s="2303">
        <f t="shared" si="122"/>
        <v>10529.671936625356</v>
      </c>
      <c r="E710" s="2330"/>
      <c r="F710" s="2330">
        <v>1588.590040000043</v>
      </c>
      <c r="G710" s="2327">
        <v>6880.934479359029</v>
      </c>
      <c r="H710" s="2328">
        <v>2060.1474172662856</v>
      </c>
      <c r="I710" s="2322"/>
      <c r="J710" s="2371">
        <f t="shared" si="127"/>
        <v>8941.0818966253137</v>
      </c>
      <c r="K710" s="2304"/>
      <c r="L710" s="2304"/>
      <c r="M710" s="2304"/>
      <c r="N710" s="2305">
        <f t="shared" si="124"/>
        <v>0</v>
      </c>
      <c r="O710" s="704"/>
      <c r="P710" s="705"/>
      <c r="Q710" s="732"/>
      <c r="R710" s="706"/>
      <c r="S710" s="706"/>
      <c r="T710" s="706"/>
      <c r="U710" s="706"/>
      <c r="V710" s="706"/>
      <c r="W710" s="706"/>
      <c r="X710" s="706"/>
      <c r="Y710" s="706"/>
      <c r="Z710" s="706"/>
      <c r="AA710" s="706"/>
      <c r="AB710" s="706"/>
      <c r="AC710" s="706"/>
    </row>
    <row r="711" spans="1:42">
      <c r="A711" s="2307">
        <v>18</v>
      </c>
      <c r="B711" s="2154" t="s">
        <v>291</v>
      </c>
      <c r="C711" s="2155"/>
      <c r="D711" s="2303">
        <f t="shared" si="122"/>
        <v>0</v>
      </c>
      <c r="E711" s="2330"/>
      <c r="F711" s="2330"/>
      <c r="G711" s="2327"/>
      <c r="H711" s="2323"/>
      <c r="I711" s="2329"/>
      <c r="J711" s="2371">
        <f t="shared" si="127"/>
        <v>0</v>
      </c>
      <c r="K711" s="2304"/>
      <c r="L711" s="2304"/>
      <c r="M711" s="2304"/>
      <c r="N711" s="2305">
        <f t="shared" si="124"/>
        <v>0</v>
      </c>
      <c r="O711" s="704"/>
      <c r="P711" s="705"/>
      <c r="Q711" s="731"/>
      <c r="R711" s="706"/>
      <c r="S711" s="706"/>
      <c r="T711" s="706"/>
      <c r="U711" s="706"/>
      <c r="V711" s="706"/>
      <c r="W711" s="706"/>
      <c r="X711" s="706"/>
      <c r="Y711" s="706"/>
      <c r="Z711" s="706"/>
      <c r="AA711" s="706"/>
      <c r="AB711" s="706"/>
      <c r="AC711" s="706"/>
    </row>
    <row r="712" spans="1:42" ht="13.5" thickBot="1">
      <c r="A712" s="2314">
        <v>19</v>
      </c>
      <c r="B712" s="2173" t="s">
        <v>292</v>
      </c>
      <c r="C712" s="2172"/>
      <c r="D712" s="1485">
        <f t="shared" si="122"/>
        <v>15987.722609999999</v>
      </c>
      <c r="E712" s="1033"/>
      <c r="F712" s="1033"/>
      <c r="G712" s="1034">
        <v>1329.1193015916708</v>
      </c>
      <c r="H712" s="2359">
        <v>14658.603308408328</v>
      </c>
      <c r="I712" s="2364"/>
      <c r="J712" s="1538">
        <f t="shared" si="127"/>
        <v>15987.722609999999</v>
      </c>
      <c r="K712" s="998"/>
      <c r="L712" s="998"/>
      <c r="M712" s="998"/>
      <c r="N712" s="1489">
        <f t="shared" si="124"/>
        <v>0</v>
      </c>
      <c r="O712" s="704"/>
      <c r="P712" s="705"/>
      <c r="Q712" s="731"/>
      <c r="R712" s="706"/>
      <c r="S712" s="706"/>
      <c r="T712" s="706"/>
      <c r="U712" s="706"/>
      <c r="V712" s="706"/>
      <c r="W712" s="706"/>
      <c r="X712" s="706"/>
      <c r="Y712" s="706"/>
      <c r="Z712" s="706"/>
      <c r="AA712" s="706"/>
      <c r="AB712" s="706"/>
      <c r="AC712" s="706"/>
    </row>
    <row r="713" spans="1:42" s="913" customFormat="1" ht="26.25" thickBot="1">
      <c r="A713" s="1493">
        <v>20</v>
      </c>
      <c r="B713" s="1352" t="s">
        <v>293</v>
      </c>
      <c r="C713" s="1351"/>
      <c r="D713" s="1494">
        <f t="shared" si="122"/>
        <v>1064581.8770566252</v>
      </c>
      <c r="E713" s="1494">
        <f>SUM(E690:E696)+E699+E702+SUM(E707:E712)</f>
        <v>0</v>
      </c>
      <c r="F713" s="1494">
        <f>SUM(F690:F696)+F699+F702+SUM(F707:F712)</f>
        <v>470745.43001999997</v>
      </c>
      <c r="G713" s="1494">
        <f>SUM(G690:G696)+G699+G702+SUM(G707:G712)</f>
        <v>48284.968326848495</v>
      </c>
      <c r="H713" s="1522">
        <f>SUM(H690:H696)+H699+H702+SUM(H707:H712)</f>
        <v>545551.47870977689</v>
      </c>
      <c r="I713" s="1523">
        <f>SUM(I690:I696)+I699+I702+SUM(I707:I712)</f>
        <v>0</v>
      </c>
      <c r="J713" s="1541">
        <f t="shared" si="127"/>
        <v>593836.44703662535</v>
      </c>
      <c r="K713" s="1494">
        <f>SUM(K690:K696)+K699+K702+SUM(K707:K712)</f>
        <v>0</v>
      </c>
      <c r="L713" s="1494">
        <f>SUM(L690:L696)+L699+L702+SUM(L707:L712)</f>
        <v>0</v>
      </c>
      <c r="M713" s="1494">
        <f>SUM(M690:M696)+M699+M702+SUM(M707:M712)</f>
        <v>0</v>
      </c>
      <c r="N713" s="1494">
        <f t="shared" si="124"/>
        <v>0</v>
      </c>
      <c r="O713" s="1024"/>
      <c r="P713" s="1025"/>
      <c r="Q713" s="1109"/>
      <c r="R713" s="1027"/>
      <c r="S713" s="1027"/>
      <c r="T713" s="1027"/>
      <c r="U713" s="1027"/>
      <c r="V713" s="1027"/>
      <c r="W713" s="1027"/>
      <c r="X713" s="1027"/>
      <c r="Y713" s="1027"/>
      <c r="Z713" s="1027"/>
      <c r="AA713" s="1027"/>
      <c r="AB713" s="1027"/>
      <c r="AC713" s="1027"/>
      <c r="AE713" s="1028"/>
      <c r="AF713" s="1028"/>
      <c r="AG713" s="1028"/>
      <c r="AH713" s="1028"/>
      <c r="AI713" s="1028"/>
      <c r="AJ713" s="1028"/>
      <c r="AK713" s="1028"/>
      <c r="AL713" s="1028"/>
      <c r="AM713" s="1028"/>
      <c r="AN713" s="1028"/>
      <c r="AO713" s="1028"/>
      <c r="AP713" s="1028"/>
    </row>
    <row r="714" spans="1:42">
      <c r="A714" s="2307"/>
      <c r="B714" s="2316" t="s">
        <v>294</v>
      </c>
      <c r="C714" s="2155"/>
      <c r="D714" s="1487">
        <f t="shared" si="122"/>
        <v>0</v>
      </c>
      <c r="E714" s="691"/>
      <c r="F714" s="691"/>
      <c r="G714" s="688"/>
      <c r="H714" s="689"/>
      <c r="I714" s="692"/>
      <c r="J714" s="1503">
        <f t="shared" si="127"/>
        <v>0</v>
      </c>
      <c r="K714" s="996"/>
      <c r="L714" s="996"/>
      <c r="M714" s="996"/>
      <c r="N714" s="1491">
        <f t="shared" si="124"/>
        <v>0</v>
      </c>
      <c r="O714" s="704"/>
      <c r="P714" s="705"/>
      <c r="Q714" s="731"/>
      <c r="R714" s="706"/>
      <c r="S714" s="706"/>
      <c r="T714" s="706"/>
      <c r="U714" s="706"/>
      <c r="V714" s="706"/>
      <c r="W714" s="706"/>
      <c r="X714" s="706"/>
      <c r="Y714" s="706"/>
      <c r="Z714" s="706"/>
      <c r="AA714" s="706"/>
      <c r="AB714" s="706"/>
      <c r="AC714" s="706"/>
    </row>
    <row r="715" spans="1:42">
      <c r="A715" s="2307"/>
      <c r="B715" s="2316" t="s">
        <v>295</v>
      </c>
      <c r="C715" s="2155"/>
      <c r="D715" s="2303">
        <f t="shared" si="122"/>
        <v>0</v>
      </c>
      <c r="E715" s="2330"/>
      <c r="F715" s="2330"/>
      <c r="G715" s="2327"/>
      <c r="H715" s="2323"/>
      <c r="I715" s="2329"/>
      <c r="J715" s="2371">
        <f t="shared" si="127"/>
        <v>0</v>
      </c>
      <c r="K715" s="2304"/>
      <c r="L715" s="2304"/>
      <c r="M715" s="2304"/>
      <c r="N715" s="2305">
        <f t="shared" si="124"/>
        <v>0</v>
      </c>
      <c r="O715" s="704"/>
      <c r="P715" s="705"/>
      <c r="Q715" s="731"/>
      <c r="R715" s="706"/>
      <c r="S715" s="706"/>
      <c r="T715" s="706"/>
      <c r="U715" s="706"/>
      <c r="V715" s="706"/>
      <c r="W715" s="706"/>
      <c r="X715" s="706"/>
      <c r="Y715" s="706"/>
      <c r="Z715" s="706"/>
      <c r="AA715" s="706"/>
      <c r="AB715" s="706"/>
      <c r="AC715" s="706"/>
    </row>
    <row r="716" spans="1:42">
      <c r="A716" s="2307">
        <v>21</v>
      </c>
      <c r="B716" s="2154" t="s">
        <v>296</v>
      </c>
      <c r="C716" s="2161">
        <v>17</v>
      </c>
      <c r="D716" s="2303">
        <f t="shared" si="122"/>
        <v>495043.16108000022</v>
      </c>
      <c r="E716" s="2330"/>
      <c r="F716" s="2330"/>
      <c r="G716" s="2327">
        <v>37710.977204834271</v>
      </c>
      <c r="H716" s="2323">
        <v>457332.18387516594</v>
      </c>
      <c r="I716" s="2329"/>
      <c r="J716" s="2371">
        <f t="shared" si="127"/>
        <v>495043.16108000022</v>
      </c>
      <c r="K716" s="2304"/>
      <c r="L716" s="2304"/>
      <c r="M716" s="2304"/>
      <c r="N716" s="2305">
        <f t="shared" si="124"/>
        <v>0</v>
      </c>
      <c r="O716" s="704"/>
      <c r="P716" s="705"/>
      <c r="Q716" s="732"/>
      <c r="R716" s="706"/>
      <c r="S716" s="706"/>
      <c r="T716" s="706"/>
      <c r="U716" s="706"/>
      <c r="V716" s="706"/>
      <c r="W716" s="706"/>
      <c r="X716" s="706"/>
      <c r="Y716" s="706"/>
      <c r="Z716" s="706"/>
      <c r="AA716" s="706"/>
      <c r="AB716" s="706"/>
      <c r="AC716" s="706"/>
    </row>
    <row r="717" spans="1:42">
      <c r="A717" s="2307">
        <v>22</v>
      </c>
      <c r="B717" s="2154" t="s">
        <v>297</v>
      </c>
      <c r="C717" s="2155"/>
      <c r="D717" s="2303">
        <f t="shared" si="122"/>
        <v>1046.2905600000001</v>
      </c>
      <c r="E717" s="2330"/>
      <c r="F717" s="2330"/>
      <c r="G717" s="2327">
        <v>86.982055686864214</v>
      </c>
      <c r="H717" s="2323">
        <v>959.30850431313593</v>
      </c>
      <c r="I717" s="2329"/>
      <c r="J717" s="2371">
        <f t="shared" si="127"/>
        <v>1046.2905600000001</v>
      </c>
      <c r="K717" s="2304"/>
      <c r="L717" s="2304"/>
      <c r="M717" s="2304"/>
      <c r="N717" s="2305">
        <f t="shared" si="124"/>
        <v>0</v>
      </c>
      <c r="O717" s="704"/>
      <c r="P717" s="705"/>
      <c r="Q717" s="731"/>
      <c r="R717" s="706"/>
      <c r="S717" s="706"/>
      <c r="T717" s="706"/>
      <c r="U717" s="706"/>
      <c r="V717" s="706"/>
      <c r="W717" s="706"/>
      <c r="X717" s="706"/>
      <c r="Y717" s="706"/>
      <c r="Z717" s="706"/>
      <c r="AA717" s="706"/>
      <c r="AB717" s="706"/>
      <c r="AC717" s="706"/>
    </row>
    <row r="718" spans="1:42">
      <c r="A718" s="2307">
        <v>23</v>
      </c>
      <c r="B718" s="2154" t="s">
        <v>298</v>
      </c>
      <c r="C718" s="2155">
        <v>18</v>
      </c>
      <c r="D718" s="2303">
        <f t="shared" si="122"/>
        <v>21538.40814</v>
      </c>
      <c r="E718" s="2330"/>
      <c r="F718" s="2330"/>
      <c r="G718" s="2327">
        <v>404.32314000000002</v>
      </c>
      <c r="H718" s="2323">
        <v>21134.084999999999</v>
      </c>
      <c r="I718" s="2329"/>
      <c r="J718" s="2371">
        <f t="shared" si="127"/>
        <v>21538.40814</v>
      </c>
      <c r="K718" s="2304"/>
      <c r="L718" s="2304"/>
      <c r="M718" s="2304"/>
      <c r="N718" s="2305">
        <f t="shared" si="124"/>
        <v>0</v>
      </c>
      <c r="O718" s="704"/>
      <c r="P718" s="705"/>
      <c r="Q718" s="731"/>
      <c r="R718" s="706"/>
      <c r="S718" s="706"/>
      <c r="T718" s="706"/>
      <c r="U718" s="706"/>
      <c r="V718" s="706"/>
      <c r="W718" s="706"/>
      <c r="X718" s="706"/>
      <c r="Y718" s="706"/>
      <c r="Z718" s="706"/>
      <c r="AA718" s="706"/>
      <c r="AB718" s="706"/>
      <c r="AC718" s="706"/>
    </row>
    <row r="719" spans="1:42">
      <c r="A719" s="2307">
        <v>24</v>
      </c>
      <c r="B719" s="2154" t="s">
        <v>299</v>
      </c>
      <c r="C719" s="2155"/>
      <c r="D719" s="2303">
        <f t="shared" si="122"/>
        <v>0</v>
      </c>
      <c r="E719" s="2330"/>
      <c r="F719" s="2330"/>
      <c r="G719" s="2327"/>
      <c r="H719" s="2323"/>
      <c r="I719" s="2329"/>
      <c r="J719" s="2371">
        <f t="shared" si="127"/>
        <v>0</v>
      </c>
      <c r="K719" s="2304"/>
      <c r="L719" s="2304"/>
      <c r="M719" s="2304"/>
      <c r="N719" s="2305">
        <f t="shared" si="124"/>
        <v>0</v>
      </c>
      <c r="O719" s="704"/>
      <c r="P719" s="705"/>
      <c r="Q719" s="731"/>
      <c r="R719" s="706"/>
      <c r="S719" s="706"/>
      <c r="T719" s="706"/>
      <c r="U719" s="706"/>
      <c r="V719" s="706"/>
      <c r="W719" s="706"/>
      <c r="X719" s="706"/>
      <c r="Y719" s="706"/>
      <c r="Z719" s="706"/>
      <c r="AA719" s="706"/>
      <c r="AB719" s="706"/>
      <c r="AC719" s="706"/>
    </row>
    <row r="720" spans="1:42">
      <c r="A720" s="2307">
        <v>25</v>
      </c>
      <c r="B720" s="2176" t="s">
        <v>300</v>
      </c>
      <c r="C720" s="2155"/>
      <c r="D720" s="2303">
        <f t="shared" si="122"/>
        <v>0</v>
      </c>
      <c r="E720" s="2330"/>
      <c r="F720" s="2330"/>
      <c r="G720" s="2327"/>
      <c r="H720" s="2323"/>
      <c r="I720" s="2329"/>
      <c r="J720" s="2371">
        <f t="shared" si="127"/>
        <v>0</v>
      </c>
      <c r="K720" s="2304"/>
      <c r="L720" s="2304"/>
      <c r="M720" s="2304"/>
      <c r="N720" s="2305">
        <f t="shared" si="124"/>
        <v>0</v>
      </c>
      <c r="O720" s="704"/>
      <c r="P720" s="705"/>
      <c r="Q720" s="731"/>
      <c r="R720" s="706"/>
      <c r="S720" s="706"/>
      <c r="T720" s="706"/>
      <c r="U720" s="706"/>
      <c r="V720" s="706"/>
      <c r="W720" s="706"/>
      <c r="X720" s="706"/>
      <c r="Y720" s="706"/>
      <c r="Z720" s="706"/>
      <c r="AA720" s="706"/>
      <c r="AB720" s="706"/>
      <c r="AC720" s="706"/>
    </row>
    <row r="721" spans="1:42" ht="13.5" thickBot="1">
      <c r="A721" s="2314">
        <v>26</v>
      </c>
      <c r="B721" s="2173" t="s">
        <v>301</v>
      </c>
      <c r="C721" s="2177">
        <v>19</v>
      </c>
      <c r="D721" s="1485">
        <f t="shared" si="122"/>
        <v>78142.524636625356</v>
      </c>
      <c r="E721" s="1033"/>
      <c r="F721" s="1033">
        <v>1933.9373799999998</v>
      </c>
      <c r="G721" s="1034">
        <v>10082.685926327345</v>
      </c>
      <c r="H721" s="1038">
        <v>66125.901330298002</v>
      </c>
      <c r="I721" s="2345"/>
      <c r="J721" s="1538">
        <f t="shared" si="127"/>
        <v>76208.587256625353</v>
      </c>
      <c r="K721" s="998"/>
      <c r="L721" s="998"/>
      <c r="M721" s="998"/>
      <c r="N721" s="1489">
        <f t="shared" si="124"/>
        <v>0</v>
      </c>
      <c r="O721" s="704"/>
      <c r="P721" s="705"/>
      <c r="Q721" s="732"/>
      <c r="R721" s="706"/>
      <c r="S721" s="706"/>
      <c r="T721" s="706"/>
      <c r="U721" s="706"/>
      <c r="V721" s="706"/>
      <c r="W721" s="706"/>
      <c r="X721" s="706"/>
      <c r="Y721" s="706"/>
      <c r="Z721" s="706"/>
      <c r="AA721" s="706"/>
      <c r="AB721" s="706"/>
      <c r="AC721" s="706"/>
    </row>
    <row r="722" spans="1:42" s="913" customFormat="1" ht="26.25" thickBot="1">
      <c r="A722" s="1482">
        <v>27</v>
      </c>
      <c r="B722" s="1349" t="s">
        <v>302</v>
      </c>
      <c r="C722" s="1348"/>
      <c r="D722" s="1499">
        <f t="shared" si="122"/>
        <v>595770.3844166256</v>
      </c>
      <c r="E722" s="1019">
        <f>SUM(E716:E721)</f>
        <v>0</v>
      </c>
      <c r="F722" s="1019">
        <f>SUM(F716:F721)</f>
        <v>1933.9373799999998</v>
      </c>
      <c r="G722" s="1019">
        <f>SUM(G716:G721)</f>
        <v>48284.968326848481</v>
      </c>
      <c r="H722" s="1039">
        <f>SUM(H716:H721)</f>
        <v>545551.47870977712</v>
      </c>
      <c r="I722" s="1023">
        <f>SUM(I716:I721)</f>
        <v>0</v>
      </c>
      <c r="J722" s="1502">
        <f>G722+H722+I722</f>
        <v>593836.44703662558</v>
      </c>
      <c r="K722" s="1019">
        <f>SUM(K716:K721)</f>
        <v>0</v>
      </c>
      <c r="L722" s="1019">
        <f>SUM(L716:L721)</f>
        <v>0</v>
      </c>
      <c r="M722" s="1019">
        <f>SUM(M716:M721)</f>
        <v>0</v>
      </c>
      <c r="N722" s="1519">
        <f t="shared" si="124"/>
        <v>0</v>
      </c>
      <c r="O722" s="1024"/>
      <c r="P722" s="1025"/>
      <c r="Q722" s="1109"/>
      <c r="R722" s="1027"/>
      <c r="S722" s="1027"/>
      <c r="T722" s="1027"/>
      <c r="U722" s="1027"/>
      <c r="V722" s="1027"/>
      <c r="W722" s="1027"/>
      <c r="X722" s="1027"/>
      <c r="Y722" s="1027"/>
      <c r="Z722" s="1027"/>
      <c r="AA722" s="1027"/>
      <c r="AB722" s="1027"/>
      <c r="AC722" s="1027"/>
      <c r="AE722" s="1028"/>
      <c r="AF722" s="1028"/>
      <c r="AG722" s="1028"/>
      <c r="AH722" s="1028"/>
      <c r="AI722" s="1028"/>
      <c r="AJ722" s="1028"/>
      <c r="AK722" s="1028"/>
      <c r="AL722" s="1028"/>
      <c r="AM722" s="1028"/>
      <c r="AN722" s="1028"/>
      <c r="AO722" s="1028"/>
      <c r="AP722" s="1028"/>
    </row>
    <row r="723" spans="1:42">
      <c r="A723" s="1483"/>
      <c r="B723" s="1481" t="s">
        <v>303</v>
      </c>
      <c r="C723" s="1346">
        <v>20</v>
      </c>
      <c r="D723" s="1487">
        <f t="shared" si="122"/>
        <v>0</v>
      </c>
      <c r="E723" s="691"/>
      <c r="F723" s="996"/>
      <c r="G723" s="993"/>
      <c r="H723" s="689"/>
      <c r="I723" s="692"/>
      <c r="J723" s="1503">
        <f t="shared" ref="J723:J729" si="128">G723+H723+I723</f>
        <v>0</v>
      </c>
      <c r="K723" s="996"/>
      <c r="L723" s="996"/>
      <c r="M723" s="996"/>
      <c r="N723" s="1491">
        <f t="shared" si="124"/>
        <v>0</v>
      </c>
      <c r="O723" s="704"/>
      <c r="P723" s="705"/>
      <c r="Q723" s="731"/>
      <c r="R723" s="706"/>
      <c r="S723" s="706"/>
      <c r="T723" s="706"/>
      <c r="U723" s="706"/>
      <c r="V723" s="706"/>
      <c r="W723" s="706"/>
      <c r="X723" s="706"/>
      <c r="Y723" s="706"/>
      <c r="Z723" s="706"/>
      <c r="AA723" s="706"/>
      <c r="AB723" s="706"/>
      <c r="AC723" s="706"/>
    </row>
    <row r="724" spans="1:42">
      <c r="A724" s="2307">
        <v>28</v>
      </c>
      <c r="B724" s="2302" t="s">
        <v>304</v>
      </c>
      <c r="C724" s="2161"/>
      <c r="D724" s="2303">
        <f t="shared" si="122"/>
        <v>400000</v>
      </c>
      <c r="E724" s="2330"/>
      <c r="F724" s="2304">
        <v>400000</v>
      </c>
      <c r="G724" s="2391"/>
      <c r="H724" s="2323"/>
      <c r="I724" s="2329"/>
      <c r="J724" s="2371">
        <f t="shared" si="128"/>
        <v>0</v>
      </c>
      <c r="K724" s="2304"/>
      <c r="L724" s="2304"/>
      <c r="M724" s="2304"/>
      <c r="N724" s="2305">
        <f t="shared" si="124"/>
        <v>0</v>
      </c>
      <c r="O724" s="704"/>
      <c r="P724" s="705"/>
      <c r="Q724" s="732"/>
      <c r="R724" s="706"/>
      <c r="S724" s="706"/>
      <c r="T724" s="706"/>
      <c r="U724" s="706"/>
      <c r="V724" s="706"/>
      <c r="W724" s="706"/>
      <c r="X724" s="706"/>
      <c r="Y724" s="706"/>
      <c r="Z724" s="706"/>
      <c r="AA724" s="706"/>
      <c r="AB724" s="706"/>
      <c r="AC724" s="706"/>
    </row>
    <row r="725" spans="1:42">
      <c r="A725" s="2307">
        <v>29</v>
      </c>
      <c r="B725" s="2302" t="s">
        <v>305</v>
      </c>
      <c r="C725" s="2161"/>
      <c r="D725" s="2303">
        <f t="shared" si="122"/>
        <v>0</v>
      </c>
      <c r="E725" s="2330"/>
      <c r="F725" s="2304"/>
      <c r="G725" s="2391"/>
      <c r="H725" s="2323"/>
      <c r="I725" s="2329"/>
      <c r="J725" s="2371">
        <f t="shared" si="128"/>
        <v>0</v>
      </c>
      <c r="K725" s="2304"/>
      <c r="L725" s="2304"/>
      <c r="M725" s="2304"/>
      <c r="N725" s="2305">
        <f t="shared" si="124"/>
        <v>0</v>
      </c>
      <c r="O725" s="704"/>
      <c r="P725" s="705"/>
      <c r="Q725" s="732"/>
      <c r="R725" s="706"/>
      <c r="S725" s="706"/>
      <c r="T725" s="706"/>
      <c r="U725" s="706"/>
      <c r="V725" s="706"/>
      <c r="W725" s="706"/>
      <c r="X725" s="706"/>
      <c r="Y725" s="706"/>
      <c r="Z725" s="706"/>
      <c r="AA725" s="706"/>
      <c r="AB725" s="706"/>
      <c r="AC725" s="706"/>
    </row>
    <row r="726" spans="1:42">
      <c r="A726" s="2307">
        <v>30</v>
      </c>
      <c r="B726" s="2317" t="s">
        <v>306</v>
      </c>
      <c r="C726" s="2177"/>
      <c r="D726" s="2303">
        <f t="shared" si="122"/>
        <v>0</v>
      </c>
      <c r="E726" s="2330"/>
      <c r="F726" s="998"/>
      <c r="G726" s="1046"/>
      <c r="H726" s="2359"/>
      <c r="I726" s="2364"/>
      <c r="J726" s="2371">
        <f t="shared" si="128"/>
        <v>0</v>
      </c>
      <c r="K726" s="2304"/>
      <c r="L726" s="2304"/>
      <c r="M726" s="2304"/>
      <c r="N726" s="2305">
        <f t="shared" si="124"/>
        <v>0</v>
      </c>
      <c r="O726" s="704"/>
      <c r="P726" s="705"/>
      <c r="Q726" s="732"/>
      <c r="R726" s="706"/>
      <c r="S726" s="706"/>
      <c r="T726" s="706"/>
      <c r="U726" s="706"/>
      <c r="V726" s="706"/>
      <c r="W726" s="706"/>
      <c r="X726" s="706"/>
      <c r="Y726" s="706"/>
      <c r="Z726" s="706"/>
      <c r="AA726" s="706"/>
      <c r="AB726" s="706"/>
      <c r="AC726" s="706"/>
    </row>
    <row r="727" spans="1:42">
      <c r="A727" s="2307">
        <v>31</v>
      </c>
      <c r="B727" s="2317" t="s">
        <v>307</v>
      </c>
      <c r="C727" s="2177"/>
      <c r="D727" s="2303">
        <f t="shared" si="122"/>
        <v>0</v>
      </c>
      <c r="E727" s="2330"/>
      <c r="F727" s="998"/>
      <c r="G727" s="1046"/>
      <c r="H727" s="2359"/>
      <c r="I727" s="2364"/>
      <c r="J727" s="2371">
        <f t="shared" si="128"/>
        <v>0</v>
      </c>
      <c r="K727" s="2304"/>
      <c r="L727" s="2304"/>
      <c r="M727" s="2304"/>
      <c r="N727" s="2305">
        <f t="shared" si="124"/>
        <v>0</v>
      </c>
      <c r="O727" s="704"/>
      <c r="P727" s="705"/>
      <c r="Q727" s="732"/>
      <c r="R727" s="706"/>
      <c r="S727" s="706"/>
      <c r="T727" s="706"/>
      <c r="U727" s="706"/>
      <c r="V727" s="706"/>
      <c r="W727" s="706"/>
      <c r="X727" s="706"/>
      <c r="Y727" s="706"/>
      <c r="Z727" s="706"/>
      <c r="AA727" s="706"/>
      <c r="AB727" s="706"/>
      <c r="AC727" s="706"/>
    </row>
    <row r="728" spans="1:42" ht="13.5" thickBot="1">
      <c r="A728" s="2314">
        <v>32</v>
      </c>
      <c r="B728" s="2317" t="s">
        <v>308</v>
      </c>
      <c r="C728" s="2177"/>
      <c r="D728" s="2303">
        <f t="shared" si="122"/>
        <v>68811.492639999997</v>
      </c>
      <c r="E728" s="2330"/>
      <c r="F728" s="998">
        <v>68811.492639999997</v>
      </c>
      <c r="G728" s="1046"/>
      <c r="H728" s="2359"/>
      <c r="I728" s="2364"/>
      <c r="J728" s="2371">
        <f t="shared" si="128"/>
        <v>0</v>
      </c>
      <c r="K728" s="2304"/>
      <c r="L728" s="2304"/>
      <c r="M728" s="2304"/>
      <c r="N728" s="2305">
        <f t="shared" si="124"/>
        <v>0</v>
      </c>
      <c r="O728" s="704"/>
      <c r="P728" s="705"/>
      <c r="Q728" s="732"/>
      <c r="R728" s="706"/>
      <c r="S728" s="706"/>
      <c r="T728" s="706"/>
      <c r="U728" s="706"/>
      <c r="V728" s="706"/>
      <c r="W728" s="706"/>
      <c r="X728" s="706"/>
      <c r="Y728" s="706"/>
      <c r="Z728" s="706"/>
      <c r="AA728" s="706"/>
      <c r="AB728" s="706"/>
      <c r="AC728" s="706"/>
    </row>
    <row r="729" spans="1:42" s="913" customFormat="1" ht="13.5" thickBot="1">
      <c r="A729" s="1482">
        <v>33</v>
      </c>
      <c r="B729" s="1384" t="s">
        <v>309</v>
      </c>
      <c r="C729" s="1385"/>
      <c r="D729" s="1544">
        <f t="shared" si="122"/>
        <v>468811.49264000001</v>
      </c>
      <c r="E729" s="1060">
        <f>SUM(E724:E728)</f>
        <v>0</v>
      </c>
      <c r="F729" s="1060">
        <f>SUM(F724:F728)</f>
        <v>468811.49264000001</v>
      </c>
      <c r="G729" s="1060">
        <f>SUM(G724:G728)</f>
        <v>0</v>
      </c>
      <c r="H729" s="1061">
        <f>SUM(H724:H728)</f>
        <v>0</v>
      </c>
      <c r="I729" s="1062">
        <f>SUM(I724:I728)</f>
        <v>0</v>
      </c>
      <c r="J729" s="1548">
        <f t="shared" si="128"/>
        <v>0</v>
      </c>
      <c r="K729" s="1060">
        <f>SUM(K724:K728)</f>
        <v>0</v>
      </c>
      <c r="L729" s="1060">
        <f>SUM(L724:L728)</f>
        <v>0</v>
      </c>
      <c r="M729" s="1060">
        <f>SUM(M724:M728)</f>
        <v>0</v>
      </c>
      <c r="N729" s="1543">
        <f t="shared" si="124"/>
        <v>0</v>
      </c>
      <c r="O729" s="1024"/>
      <c r="P729" s="1025"/>
      <c r="Q729" s="1109"/>
      <c r="R729" s="1027"/>
      <c r="S729" s="1027"/>
      <c r="T729" s="1027"/>
      <c r="U729" s="1027"/>
      <c r="V729" s="1027"/>
      <c r="W729" s="1027"/>
      <c r="X729" s="1027"/>
      <c r="Y729" s="1027"/>
      <c r="Z729" s="1027"/>
      <c r="AA729" s="1027"/>
      <c r="AB729" s="1027"/>
      <c r="AC729" s="1027"/>
      <c r="AE729" s="1028"/>
      <c r="AF729" s="1028"/>
      <c r="AG729" s="1028"/>
      <c r="AH729" s="1028"/>
      <c r="AI729" s="1028"/>
      <c r="AJ729" s="1028"/>
      <c r="AK729" s="1028"/>
      <c r="AL729" s="1028"/>
      <c r="AM729" s="1028"/>
      <c r="AN729" s="1028"/>
      <c r="AO729" s="1028"/>
      <c r="AP729" s="1028"/>
    </row>
    <row r="730" spans="1:42" s="913" customFormat="1" ht="26.25" thickBot="1">
      <c r="A730" s="1493">
        <v>34</v>
      </c>
      <c r="B730" s="1352" t="s">
        <v>310</v>
      </c>
      <c r="C730" s="1351"/>
      <c r="D730" s="1526">
        <f t="shared" si="122"/>
        <v>1064581.8770566257</v>
      </c>
      <c r="E730" s="1526">
        <f>E729+E722</f>
        <v>0</v>
      </c>
      <c r="F730" s="1526">
        <f>F729+F722</f>
        <v>470745.43002000003</v>
      </c>
      <c r="G730" s="1526">
        <f>G729+G722</f>
        <v>48284.968326848481</v>
      </c>
      <c r="H730" s="1526">
        <f>H729+H722</f>
        <v>545551.47870977712</v>
      </c>
      <c r="I730" s="1526">
        <f>I729+I722</f>
        <v>0</v>
      </c>
      <c r="J730" s="1535">
        <f>G730+H730+I730</f>
        <v>593836.44703662558</v>
      </c>
      <c r="K730" s="1526">
        <f>K729+K722</f>
        <v>0</v>
      </c>
      <c r="L730" s="1526">
        <f>L729+L722</f>
        <v>0</v>
      </c>
      <c r="M730" s="1526">
        <f>M729+M722</f>
        <v>0</v>
      </c>
      <c r="N730" s="1526">
        <f t="shared" si="124"/>
        <v>0</v>
      </c>
      <c r="O730" s="1024"/>
      <c r="P730" s="1025"/>
      <c r="Q730" s="1109"/>
      <c r="R730" s="1027"/>
      <c r="S730" s="1027"/>
      <c r="T730" s="1027"/>
      <c r="U730" s="1027"/>
      <c r="V730" s="1027"/>
      <c r="W730" s="1027"/>
      <c r="X730" s="1027"/>
      <c r="Y730" s="1027"/>
      <c r="Z730" s="1027"/>
      <c r="AA730" s="1027"/>
      <c r="AB730" s="1027"/>
      <c r="AC730" s="1027"/>
      <c r="AE730" s="1028"/>
      <c r="AF730" s="1028"/>
      <c r="AG730" s="1028"/>
      <c r="AH730" s="1028"/>
      <c r="AI730" s="1028"/>
      <c r="AJ730" s="1028"/>
      <c r="AK730" s="1028"/>
      <c r="AL730" s="1028"/>
      <c r="AM730" s="1028"/>
      <c r="AN730" s="1028"/>
      <c r="AO730" s="1028"/>
      <c r="AP730" s="1028"/>
    </row>
    <row r="732" spans="1:42">
      <c r="B732" s="680"/>
      <c r="D732" s="679"/>
      <c r="E732" s="679"/>
      <c r="F732" s="679"/>
      <c r="G732" s="679"/>
      <c r="H732" s="679"/>
      <c r="I732" s="679"/>
      <c r="J732" s="679"/>
      <c r="K732" s="679"/>
      <c r="L732" s="679"/>
      <c r="M732" s="679"/>
      <c r="N732" s="911">
        <v>43</v>
      </c>
      <c r="O732" s="679"/>
    </row>
    <row r="733" spans="1:42">
      <c r="D733" s="679"/>
      <c r="E733" s="679"/>
      <c r="F733" s="679"/>
      <c r="G733" s="679"/>
      <c r="H733" s="679"/>
      <c r="I733" s="679"/>
      <c r="J733" s="679"/>
      <c r="K733" s="679"/>
    </row>
    <row r="734" spans="1:42" ht="13.5" thickBot="1"/>
    <row r="735" spans="1:42" ht="15.75" customHeight="1" thickBot="1">
      <c r="A735" s="1368" t="s">
        <v>194</v>
      </c>
      <c r="B735" s="3533" t="s">
        <v>134</v>
      </c>
      <c r="C735" s="3534"/>
      <c r="M735" s="3538" t="s">
        <v>251</v>
      </c>
      <c r="N735" s="3538"/>
      <c r="O735" s="701"/>
    </row>
    <row r="736" spans="1:42" ht="12.75" customHeight="1" thickBot="1">
      <c r="A736" s="3555" t="s">
        <v>252</v>
      </c>
      <c r="B736" s="1467"/>
      <c r="C736" s="3523" t="s">
        <v>254</v>
      </c>
      <c r="D736" s="3562" t="s">
        <v>255</v>
      </c>
      <c r="E736" s="3562" t="s">
        <v>256</v>
      </c>
      <c r="F736" s="3562" t="s">
        <v>257</v>
      </c>
      <c r="G736" s="3565" t="s">
        <v>258</v>
      </c>
      <c r="H736" s="3566"/>
      <c r="I736" s="3566"/>
      <c r="J736" s="3566"/>
      <c r="K736" s="3566"/>
      <c r="L736" s="3566"/>
      <c r="M736" s="3566"/>
      <c r="N736" s="3567"/>
      <c r="O736" s="702"/>
    </row>
    <row r="737" spans="1:29" ht="12.75" customHeight="1" thickBot="1">
      <c r="A737" s="3556"/>
      <c r="B737" s="1468"/>
      <c r="C737" s="3524"/>
      <c r="D737" s="3563"/>
      <c r="E737" s="3563"/>
      <c r="F737" s="3563"/>
      <c r="G737" s="3529" t="s">
        <v>259</v>
      </c>
      <c r="H737" s="3530"/>
      <c r="I737" s="3530"/>
      <c r="J737" s="3531"/>
      <c r="K737" s="3568" t="s">
        <v>260</v>
      </c>
      <c r="L737" s="3569"/>
      <c r="M737" s="3569"/>
      <c r="N737" s="3570"/>
      <c r="O737" s="458"/>
    </row>
    <row r="738" spans="1:29" ht="39" thickBot="1">
      <c r="A738" s="3556"/>
      <c r="B738" s="1469"/>
      <c r="C738" s="3524"/>
      <c r="D738" s="3564"/>
      <c r="E738" s="3564"/>
      <c r="F738" s="3564"/>
      <c r="G738" s="1336" t="s">
        <v>261</v>
      </c>
      <c r="H738" s="1336" t="s">
        <v>262</v>
      </c>
      <c r="I738" s="1336" t="s">
        <v>263</v>
      </c>
      <c r="J738" s="1336" t="s">
        <v>158</v>
      </c>
      <c r="K738" s="1337" t="s">
        <v>264</v>
      </c>
      <c r="L738" s="1337" t="s">
        <v>265</v>
      </c>
      <c r="M738" s="1337" t="s">
        <v>266</v>
      </c>
      <c r="N738" s="1404" t="s">
        <v>158</v>
      </c>
      <c r="O738" s="443"/>
    </row>
    <row r="739" spans="1:29" ht="13.5" thickBot="1">
      <c r="A739" s="3556"/>
      <c r="B739" s="1468"/>
      <c r="C739" s="3524"/>
      <c r="D739" s="1470">
        <v>1</v>
      </c>
      <c r="E739" s="1471">
        <v>2</v>
      </c>
      <c r="F739" s="1471">
        <v>3</v>
      </c>
      <c r="G739" s="1472">
        <v>4</v>
      </c>
      <c r="H739" s="1471">
        <v>5</v>
      </c>
      <c r="I739" s="1473">
        <v>6</v>
      </c>
      <c r="J739" s="1474">
        <v>7</v>
      </c>
      <c r="K739" s="1472">
        <v>8</v>
      </c>
      <c r="L739" s="1471">
        <v>9</v>
      </c>
      <c r="M739" s="1496">
        <v>10</v>
      </c>
      <c r="N739" s="1470">
        <v>11</v>
      </c>
      <c r="O739" s="702"/>
    </row>
    <row r="740" spans="1:29" ht="13.5" thickBot="1">
      <c r="A740" s="3561"/>
      <c r="B740" s="1587"/>
      <c r="C740" s="3532"/>
      <c r="D740" s="1476"/>
      <c r="E740" s="1476"/>
      <c r="F740" s="1476"/>
      <c r="G740" s="1477"/>
      <c r="H740" s="1476"/>
      <c r="I740" s="1552"/>
      <c r="J740" s="1478" t="s">
        <v>267</v>
      </c>
      <c r="K740" s="1477"/>
      <c r="L740" s="1476"/>
      <c r="M740" s="1968"/>
      <c r="N740" s="1553" t="s">
        <v>268</v>
      </c>
      <c r="O740" s="703"/>
      <c r="P740" s="703"/>
      <c r="Q740" s="703"/>
    </row>
    <row r="741" spans="1:29">
      <c r="A741" s="2307"/>
      <c r="B741" s="2316" t="s">
        <v>269</v>
      </c>
      <c r="C741" s="2155"/>
      <c r="D741" s="2152"/>
      <c r="E741" s="687"/>
      <c r="F741" s="687"/>
      <c r="G741" s="688"/>
      <c r="H741" s="689"/>
      <c r="I741" s="690"/>
      <c r="J741" s="1503"/>
      <c r="K741" s="996"/>
      <c r="L741" s="994"/>
      <c r="M741" s="997"/>
      <c r="N741" s="1518"/>
      <c r="Q741" s="719"/>
      <c r="R741" s="706"/>
    </row>
    <row r="742" spans="1:29">
      <c r="A742" s="2301">
        <v>1</v>
      </c>
      <c r="B742" s="2302" t="s">
        <v>270</v>
      </c>
      <c r="C742" s="2155"/>
      <c r="D742" s="2303">
        <f>+E742+F742+J742+N742</f>
        <v>0</v>
      </c>
      <c r="E742" s="2330"/>
      <c r="F742" s="2330"/>
      <c r="G742" s="2327"/>
      <c r="H742" s="2323"/>
      <c r="I742" s="2329"/>
      <c r="J742" s="2371">
        <f>G742+H742+I742</f>
        <v>0</v>
      </c>
      <c r="K742" s="2304"/>
      <c r="L742" s="2304"/>
      <c r="M742" s="2325"/>
      <c r="N742" s="2324">
        <f>K742+L742+M742</f>
        <v>0</v>
      </c>
      <c r="O742" s="704"/>
      <c r="P742" s="705"/>
      <c r="Q742" s="719"/>
      <c r="R742" s="706"/>
      <c r="S742" s="706"/>
      <c r="T742" s="706"/>
      <c r="U742" s="706"/>
      <c r="V742" s="706"/>
      <c r="W742" s="706"/>
      <c r="X742" s="706"/>
      <c r="Y742" s="706"/>
      <c r="Z742" s="706"/>
      <c r="AA742" s="706"/>
      <c r="AB742" s="706"/>
      <c r="AC742" s="706"/>
    </row>
    <row r="743" spans="1:29">
      <c r="A743" s="2301">
        <v>2</v>
      </c>
      <c r="B743" s="2302" t="s">
        <v>271</v>
      </c>
      <c r="C743" s="2155"/>
      <c r="D743" s="2303">
        <f t="shared" ref="D743:D781" si="129">+E743+F743+J743+N743</f>
        <v>37722.736369999991</v>
      </c>
      <c r="E743" s="2330"/>
      <c r="F743" s="2330">
        <v>37722.736369999991</v>
      </c>
      <c r="G743" s="2327"/>
      <c r="H743" s="2323"/>
      <c r="I743" s="2329"/>
      <c r="J743" s="2371">
        <f t="shared" ref="J743:J753" si="130">G743+H743+I743</f>
        <v>0</v>
      </c>
      <c r="K743" s="2304"/>
      <c r="L743" s="2304"/>
      <c r="M743" s="2325"/>
      <c r="N743" s="2324">
        <f t="shared" ref="N743:N782" si="131">K743+L743+M743</f>
        <v>0</v>
      </c>
      <c r="O743" s="704"/>
      <c r="P743" s="705"/>
      <c r="Q743" s="719"/>
      <c r="R743" s="706"/>
      <c r="S743" s="706"/>
      <c r="T743" s="706"/>
      <c r="U743" s="706"/>
      <c r="V743" s="706"/>
      <c r="W743" s="706"/>
      <c r="X743" s="706"/>
      <c r="Y743" s="706"/>
      <c r="Z743" s="706"/>
      <c r="AA743" s="706"/>
      <c r="AB743" s="706"/>
      <c r="AC743" s="706"/>
    </row>
    <row r="744" spans="1:29">
      <c r="A744" s="2301">
        <v>3</v>
      </c>
      <c r="B744" s="2302" t="s">
        <v>272</v>
      </c>
      <c r="C744" s="2155"/>
      <c r="D744" s="2303">
        <f t="shared" si="129"/>
        <v>0</v>
      </c>
      <c r="E744" s="2330"/>
      <c r="F744" s="2330"/>
      <c r="G744" s="2327"/>
      <c r="H744" s="2323"/>
      <c r="I744" s="2329"/>
      <c r="J744" s="2371">
        <f t="shared" si="130"/>
        <v>0</v>
      </c>
      <c r="K744" s="2304"/>
      <c r="L744" s="2304"/>
      <c r="M744" s="2325"/>
      <c r="N744" s="2324">
        <f t="shared" si="131"/>
        <v>0</v>
      </c>
      <c r="O744" s="704"/>
      <c r="P744" s="705"/>
      <c r="Q744" s="719"/>
      <c r="R744" s="706"/>
      <c r="S744" s="706"/>
      <c r="T744" s="706"/>
      <c r="U744" s="706"/>
      <c r="V744" s="706"/>
      <c r="W744" s="706"/>
      <c r="X744" s="706"/>
      <c r="Y744" s="706"/>
      <c r="Z744" s="706"/>
      <c r="AA744" s="706"/>
      <c r="AB744" s="706"/>
      <c r="AC744" s="706"/>
    </row>
    <row r="745" spans="1:29">
      <c r="A745" s="2301">
        <v>4</v>
      </c>
      <c r="B745" s="2302" t="s">
        <v>315</v>
      </c>
      <c r="C745" s="2155"/>
      <c r="D745" s="2303">
        <f t="shared" si="129"/>
        <v>76108.911281744295</v>
      </c>
      <c r="E745" s="2330"/>
      <c r="F745" s="2330">
        <v>76108.911281744295</v>
      </c>
      <c r="G745" s="2327"/>
      <c r="H745" s="2323"/>
      <c r="I745" s="2329"/>
      <c r="J745" s="2371">
        <f t="shared" si="130"/>
        <v>0</v>
      </c>
      <c r="K745" s="2304"/>
      <c r="L745" s="2304"/>
      <c r="M745" s="2325"/>
      <c r="N745" s="2324">
        <f t="shared" si="131"/>
        <v>0</v>
      </c>
      <c r="O745" s="704"/>
      <c r="P745" s="705"/>
      <c r="Q745" s="719"/>
      <c r="R745" s="706"/>
      <c r="S745" s="706"/>
      <c r="T745" s="706"/>
      <c r="U745" s="706"/>
      <c r="V745" s="706"/>
      <c r="W745" s="706"/>
      <c r="X745" s="706"/>
      <c r="Y745" s="706"/>
      <c r="Z745" s="706"/>
      <c r="AA745" s="706"/>
      <c r="AB745" s="706"/>
      <c r="AC745" s="706"/>
    </row>
    <row r="746" spans="1:29">
      <c r="A746" s="2301">
        <v>5</v>
      </c>
      <c r="B746" s="2302" t="s">
        <v>274</v>
      </c>
      <c r="C746" s="2161">
        <v>5</v>
      </c>
      <c r="D746" s="2303">
        <f t="shared" si="129"/>
        <v>123070.37007999999</v>
      </c>
      <c r="E746" s="2330"/>
      <c r="F746" s="2330">
        <v>123070.37007999999</v>
      </c>
      <c r="G746" s="2327"/>
      <c r="H746" s="2323"/>
      <c r="I746" s="2329"/>
      <c r="J746" s="2371">
        <f t="shared" si="130"/>
        <v>0</v>
      </c>
      <c r="K746" s="2304"/>
      <c r="L746" s="2304"/>
      <c r="M746" s="2325"/>
      <c r="N746" s="2324">
        <f t="shared" si="131"/>
        <v>0</v>
      </c>
      <c r="O746" s="704"/>
      <c r="P746" s="705"/>
      <c r="Q746" s="722"/>
      <c r="R746" s="706"/>
      <c r="S746" s="706"/>
      <c r="T746" s="706"/>
      <c r="U746" s="706"/>
      <c r="V746" s="706"/>
      <c r="W746" s="706"/>
      <c r="X746" s="706"/>
      <c r="Y746" s="706"/>
      <c r="Z746" s="706"/>
      <c r="AA746" s="706"/>
      <c r="AB746" s="706"/>
      <c r="AC746" s="706"/>
    </row>
    <row r="747" spans="1:29">
      <c r="A747" s="2301">
        <v>6</v>
      </c>
      <c r="B747" s="2302" t="s">
        <v>275</v>
      </c>
      <c r="C747" s="2155">
        <v>6</v>
      </c>
      <c r="D747" s="2303">
        <f t="shared" si="129"/>
        <v>17300</v>
      </c>
      <c r="E747" s="2330"/>
      <c r="F747" s="2330">
        <v>17300</v>
      </c>
      <c r="G747" s="2327"/>
      <c r="H747" s="2323"/>
      <c r="I747" s="2329"/>
      <c r="J747" s="2371">
        <f t="shared" si="130"/>
        <v>0</v>
      </c>
      <c r="K747" s="2304"/>
      <c r="L747" s="2304"/>
      <c r="M747" s="2325"/>
      <c r="N747" s="2324">
        <f t="shared" si="131"/>
        <v>0</v>
      </c>
      <c r="O747" s="704"/>
      <c r="P747" s="705"/>
      <c r="Q747" s="719"/>
      <c r="R747" s="706"/>
      <c r="S747" s="706"/>
      <c r="T747" s="706"/>
      <c r="U747" s="706"/>
      <c r="V747" s="706"/>
      <c r="W747" s="706"/>
      <c r="X747" s="706"/>
      <c r="Y747" s="706"/>
      <c r="Z747" s="706"/>
      <c r="AA747" s="706"/>
      <c r="AB747" s="706"/>
      <c r="AC747" s="706"/>
    </row>
    <row r="748" spans="1:29">
      <c r="A748" s="2301">
        <v>7</v>
      </c>
      <c r="B748" s="2302" t="s">
        <v>276</v>
      </c>
      <c r="C748" s="2161">
        <v>7</v>
      </c>
      <c r="D748" s="2303">
        <f t="shared" si="129"/>
        <v>306140.59064000001</v>
      </c>
      <c r="E748" s="2304"/>
      <c r="F748" s="2304">
        <f>F749+F750</f>
        <v>306140.59064000001</v>
      </c>
      <c r="G748" s="2304">
        <f t="shared" ref="G748:L748" si="132">G749+G750</f>
        <v>0</v>
      </c>
      <c r="H748" s="2325">
        <f t="shared" si="132"/>
        <v>0</v>
      </c>
      <c r="I748" s="2353">
        <f t="shared" si="132"/>
        <v>0</v>
      </c>
      <c r="J748" s="2371">
        <f t="shared" si="130"/>
        <v>0</v>
      </c>
      <c r="K748" s="2304">
        <f t="shared" si="132"/>
        <v>0</v>
      </c>
      <c r="L748" s="2304">
        <f t="shared" si="132"/>
        <v>0</v>
      </c>
      <c r="M748" s="2325">
        <f>M749+M750</f>
        <v>0</v>
      </c>
      <c r="N748" s="2324">
        <f t="shared" si="131"/>
        <v>0</v>
      </c>
      <c r="O748" s="704"/>
      <c r="P748" s="705"/>
      <c r="Q748" s="722"/>
      <c r="R748" s="706"/>
      <c r="S748" s="706"/>
      <c r="T748" s="706"/>
      <c r="U748" s="706"/>
      <c r="V748" s="706"/>
      <c r="W748" s="706"/>
      <c r="X748" s="706"/>
      <c r="Y748" s="706"/>
      <c r="Z748" s="706"/>
      <c r="AA748" s="706"/>
      <c r="AB748" s="706"/>
      <c r="AC748" s="706"/>
    </row>
    <row r="749" spans="1:29">
      <c r="A749" s="2307"/>
      <c r="B749" s="2162" t="s">
        <v>277</v>
      </c>
      <c r="C749" s="2161"/>
      <c r="D749" s="2303">
        <f t="shared" si="129"/>
        <v>306140.59064000001</v>
      </c>
      <c r="E749" s="2330"/>
      <c r="F749" s="2330">
        <v>306140.59064000001</v>
      </c>
      <c r="G749" s="2327"/>
      <c r="H749" s="2323"/>
      <c r="I749" s="2329"/>
      <c r="J749" s="2371">
        <f t="shared" si="130"/>
        <v>0</v>
      </c>
      <c r="K749" s="2304"/>
      <c r="L749" s="2304"/>
      <c r="M749" s="2325"/>
      <c r="N749" s="2324">
        <f t="shared" si="131"/>
        <v>0</v>
      </c>
      <c r="O749" s="704"/>
      <c r="P749" s="705"/>
      <c r="Q749" s="722"/>
      <c r="R749" s="706"/>
      <c r="S749" s="706"/>
      <c r="T749" s="706"/>
      <c r="U749" s="706"/>
      <c r="V749" s="706"/>
      <c r="W749" s="706"/>
      <c r="X749" s="706"/>
      <c r="Y749" s="706"/>
      <c r="Z749" s="706"/>
      <c r="AA749" s="706"/>
      <c r="AB749" s="706"/>
      <c r="AC749" s="706"/>
    </row>
    <row r="750" spans="1:29">
      <c r="A750" s="2307"/>
      <c r="B750" s="2162" t="s">
        <v>278</v>
      </c>
      <c r="C750" s="2161"/>
      <c r="D750" s="2303">
        <f t="shared" si="129"/>
        <v>0</v>
      </c>
      <c r="E750" s="2304"/>
      <c r="F750" s="2304"/>
      <c r="G750" s="2304"/>
      <c r="H750" s="2325"/>
      <c r="I750" s="2353"/>
      <c r="J750" s="2371">
        <f t="shared" si="130"/>
        <v>0</v>
      </c>
      <c r="K750" s="2304"/>
      <c r="L750" s="2304"/>
      <c r="M750" s="2325"/>
      <c r="N750" s="2324">
        <f t="shared" si="131"/>
        <v>0</v>
      </c>
      <c r="O750" s="704"/>
      <c r="P750" s="705"/>
      <c r="Q750" s="722"/>
      <c r="R750" s="706"/>
      <c r="S750" s="706"/>
      <c r="T750" s="706"/>
      <c r="U750" s="706"/>
      <c r="V750" s="706"/>
      <c r="W750" s="706"/>
      <c r="X750" s="706"/>
      <c r="Y750" s="706"/>
      <c r="Z750" s="706"/>
      <c r="AA750" s="706"/>
      <c r="AB750" s="706"/>
      <c r="AC750" s="706"/>
    </row>
    <row r="751" spans="1:29">
      <c r="A751" s="2301">
        <v>8</v>
      </c>
      <c r="B751" s="2302" t="s">
        <v>279</v>
      </c>
      <c r="C751" s="2155">
        <v>8</v>
      </c>
      <c r="D751" s="2303">
        <f t="shared" si="129"/>
        <v>400</v>
      </c>
      <c r="E751" s="2304"/>
      <c r="F751" s="2304">
        <f>F752+F753</f>
        <v>400</v>
      </c>
      <c r="G751" s="2304">
        <f t="shared" ref="G751:L751" si="133">G752+G753</f>
        <v>0</v>
      </c>
      <c r="H751" s="2325">
        <f t="shared" si="133"/>
        <v>0</v>
      </c>
      <c r="I751" s="2353">
        <f t="shared" si="133"/>
        <v>0</v>
      </c>
      <c r="J751" s="2371">
        <f t="shared" si="130"/>
        <v>0</v>
      </c>
      <c r="K751" s="2304">
        <f t="shared" si="133"/>
        <v>0</v>
      </c>
      <c r="L751" s="2304">
        <f t="shared" si="133"/>
        <v>0</v>
      </c>
      <c r="M751" s="2325">
        <f>M752+M753</f>
        <v>0</v>
      </c>
      <c r="N751" s="2324">
        <f t="shared" si="131"/>
        <v>0</v>
      </c>
      <c r="O751" s="704"/>
      <c r="P751" s="705"/>
      <c r="Q751" s="719"/>
      <c r="R751" s="706"/>
      <c r="S751" s="706"/>
      <c r="T751" s="706"/>
      <c r="U751" s="706"/>
      <c r="V751" s="706"/>
      <c r="W751" s="706"/>
      <c r="X751" s="706"/>
      <c r="Y751" s="706"/>
      <c r="Z751" s="706"/>
      <c r="AA751" s="706"/>
      <c r="AB751" s="706"/>
      <c r="AC751" s="706"/>
    </row>
    <row r="752" spans="1:29">
      <c r="A752" s="2301"/>
      <c r="B752" s="2162" t="s">
        <v>280</v>
      </c>
      <c r="C752" s="2155"/>
      <c r="D752" s="2303">
        <f t="shared" si="129"/>
        <v>0</v>
      </c>
      <c r="E752" s="2304"/>
      <c r="F752" s="2304"/>
      <c r="G752" s="2304"/>
      <c r="H752" s="2325"/>
      <c r="I752" s="2353"/>
      <c r="J752" s="2371">
        <f t="shared" si="130"/>
        <v>0</v>
      </c>
      <c r="K752" s="2304"/>
      <c r="L752" s="2304"/>
      <c r="M752" s="2325"/>
      <c r="N752" s="2324">
        <f t="shared" si="131"/>
        <v>0</v>
      </c>
      <c r="O752" s="704"/>
      <c r="P752" s="705"/>
      <c r="Q752" s="719"/>
      <c r="R752" s="706"/>
      <c r="S752" s="706"/>
      <c r="T752" s="706"/>
      <c r="U752" s="706"/>
      <c r="V752" s="706"/>
      <c r="W752" s="706"/>
      <c r="X752" s="706"/>
      <c r="Y752" s="706"/>
      <c r="Z752" s="706"/>
      <c r="AA752" s="706"/>
      <c r="AB752" s="706"/>
      <c r="AC752" s="706"/>
    </row>
    <row r="753" spans="1:42">
      <c r="A753" s="2301"/>
      <c r="B753" s="2162" t="s">
        <v>281</v>
      </c>
      <c r="C753" s="2155"/>
      <c r="D753" s="2303">
        <f t="shared" si="129"/>
        <v>400</v>
      </c>
      <c r="E753" s="2330"/>
      <c r="F753" s="2330">
        <v>400</v>
      </c>
      <c r="G753" s="2327"/>
      <c r="H753" s="2323"/>
      <c r="I753" s="2329"/>
      <c r="J753" s="2371">
        <f t="shared" si="130"/>
        <v>0</v>
      </c>
      <c r="K753" s="2304"/>
      <c r="L753" s="2304"/>
      <c r="M753" s="2325"/>
      <c r="N753" s="2324">
        <f t="shared" si="131"/>
        <v>0</v>
      </c>
      <c r="O753" s="704"/>
      <c r="P753" s="705"/>
      <c r="Q753" s="719"/>
      <c r="R753" s="706"/>
      <c r="S753" s="706"/>
      <c r="T753" s="706"/>
      <c r="U753" s="706"/>
      <c r="V753" s="706"/>
      <c r="W753" s="706"/>
      <c r="X753" s="706"/>
      <c r="Y753" s="706"/>
      <c r="Z753" s="706"/>
      <c r="AA753" s="706"/>
      <c r="AB753" s="706"/>
      <c r="AC753" s="706"/>
    </row>
    <row r="754" spans="1:42" s="1113" customFormat="1" ht="25.5">
      <c r="A754" s="2308">
        <v>9</v>
      </c>
      <c r="B754" s="2309" t="s">
        <v>282</v>
      </c>
      <c r="C754" s="2165"/>
      <c r="D754" s="2310">
        <f t="shared" si="129"/>
        <v>1483532.5637080409</v>
      </c>
      <c r="E754" s="2311">
        <f>SUM(E755:E758)</f>
        <v>0</v>
      </c>
      <c r="F754" s="2311">
        <f>SUM(F755:F758)</f>
        <v>470623.70722439524</v>
      </c>
      <c r="G754" s="2311">
        <f>SUM(G755:G758)</f>
        <v>159370.66157040611</v>
      </c>
      <c r="H754" s="2333">
        <f>SUM(H755:H758)</f>
        <v>744534.45434362406</v>
      </c>
      <c r="I754" s="2334">
        <f>SUM(I755:I758)</f>
        <v>109003.74056961526</v>
      </c>
      <c r="J754" s="2367">
        <f>G754+H754+I754</f>
        <v>1012908.8564836455</v>
      </c>
      <c r="K754" s="2311">
        <f>SUM(K755:K758)</f>
        <v>0</v>
      </c>
      <c r="L754" s="2311">
        <f>SUM(L755:L758)</f>
        <v>0</v>
      </c>
      <c r="M754" s="2333">
        <f>SUM(M755:M758)</f>
        <v>0</v>
      </c>
      <c r="N754" s="2336">
        <f t="shared" si="131"/>
        <v>0</v>
      </c>
      <c r="O754" s="1110"/>
      <c r="P754" s="1111"/>
      <c r="Q754" s="1068"/>
      <c r="R754" s="1112"/>
      <c r="S754" s="1112"/>
      <c r="T754" s="1112"/>
      <c r="U754" s="1112"/>
      <c r="V754" s="1112"/>
      <c r="W754" s="1112"/>
      <c r="X754" s="1112"/>
      <c r="Y754" s="1112"/>
      <c r="Z754" s="1112"/>
      <c r="AA754" s="1112"/>
      <c r="AB754" s="1112"/>
      <c r="AC754" s="1112"/>
      <c r="AE754" s="1114"/>
      <c r="AF754" s="1114"/>
      <c r="AG754" s="1114"/>
      <c r="AH754" s="1114"/>
      <c r="AI754" s="1114"/>
      <c r="AJ754" s="1114"/>
      <c r="AK754" s="1114"/>
      <c r="AL754" s="1114"/>
      <c r="AM754" s="1114"/>
      <c r="AN754" s="1114"/>
      <c r="AO754" s="1114"/>
      <c r="AP754" s="1114"/>
    </row>
    <row r="755" spans="1:42">
      <c r="A755" s="2307">
        <v>10</v>
      </c>
      <c r="B755" s="2171" t="s">
        <v>283</v>
      </c>
      <c r="C755" s="2155">
        <v>9</v>
      </c>
      <c r="D755" s="2303">
        <f t="shared" si="129"/>
        <v>0</v>
      </c>
      <c r="E755" s="2330"/>
      <c r="F755" s="2330"/>
      <c r="G755" s="2327"/>
      <c r="H755" s="2323"/>
      <c r="I755" s="2329"/>
      <c r="J755" s="2371">
        <f t="shared" ref="J755:J773" si="134">G755+H755+I755</f>
        <v>0</v>
      </c>
      <c r="K755" s="2304"/>
      <c r="L755" s="2304"/>
      <c r="M755" s="2325"/>
      <c r="N755" s="2324">
        <f t="shared" si="131"/>
        <v>0</v>
      </c>
      <c r="O755" s="704"/>
      <c r="P755" s="705"/>
      <c r="Q755" s="719"/>
      <c r="R755" s="706"/>
      <c r="S755" s="706"/>
      <c r="T755" s="706"/>
      <c r="U755" s="706"/>
      <c r="V755" s="706"/>
      <c r="W755" s="706"/>
      <c r="X755" s="706"/>
      <c r="Y755" s="706"/>
      <c r="Z755" s="706"/>
      <c r="AA755" s="706"/>
      <c r="AB755" s="706"/>
      <c r="AC755" s="706"/>
    </row>
    <row r="756" spans="1:42">
      <c r="A756" s="2307">
        <v>11</v>
      </c>
      <c r="B756" s="2171" t="s">
        <v>284</v>
      </c>
      <c r="C756" s="2155">
        <v>10</v>
      </c>
      <c r="D756" s="2303">
        <f t="shared" si="129"/>
        <v>1268437.6166780409</v>
      </c>
      <c r="E756" s="2330"/>
      <c r="F756" s="2330">
        <v>256679.76019439532</v>
      </c>
      <c r="G756" s="2327">
        <v>158219.66157040611</v>
      </c>
      <c r="H756" s="2328">
        <v>744534.45434362406</v>
      </c>
      <c r="I756" s="2322">
        <v>109003.74056961526</v>
      </c>
      <c r="J756" s="2371">
        <f t="shared" si="134"/>
        <v>1011757.8564836455</v>
      </c>
      <c r="K756" s="2304"/>
      <c r="L756" s="2304"/>
      <c r="M756" s="2325"/>
      <c r="N756" s="2324">
        <f t="shared" si="131"/>
        <v>0</v>
      </c>
      <c r="O756" s="704"/>
      <c r="P756" s="705"/>
      <c r="Q756" s="719"/>
      <c r="R756" s="706"/>
      <c r="S756" s="706"/>
      <c r="T756" s="706"/>
      <c r="U756" s="706"/>
      <c r="V756" s="706"/>
      <c r="W756" s="706"/>
      <c r="X756" s="706"/>
      <c r="Y756" s="706"/>
      <c r="Z756" s="706"/>
      <c r="AA756" s="706"/>
      <c r="AB756" s="706"/>
      <c r="AC756" s="706"/>
    </row>
    <row r="757" spans="1:42">
      <c r="A757" s="2307">
        <v>12</v>
      </c>
      <c r="B757" s="2171" t="s">
        <v>285</v>
      </c>
      <c r="C757" s="2155">
        <v>11</v>
      </c>
      <c r="D757" s="2303">
        <f t="shared" si="129"/>
        <v>6381.1810000000005</v>
      </c>
      <c r="E757" s="2330"/>
      <c r="F757" s="2330">
        <v>6381.1810000000005</v>
      </c>
      <c r="G757" s="2327"/>
      <c r="H757" s="2328"/>
      <c r="I757" s="2322"/>
      <c r="J757" s="2371">
        <f t="shared" si="134"/>
        <v>0</v>
      </c>
      <c r="K757" s="2304"/>
      <c r="L757" s="2304"/>
      <c r="M757" s="2325"/>
      <c r="N757" s="2324">
        <f t="shared" si="131"/>
        <v>0</v>
      </c>
      <c r="O757" s="704"/>
      <c r="P757" s="705"/>
      <c r="Q757" s="719"/>
      <c r="R757" s="706"/>
      <c r="S757" s="706"/>
      <c r="T757" s="706"/>
      <c r="U757" s="706"/>
      <c r="V757" s="706"/>
      <c r="W757" s="706"/>
      <c r="X757" s="706"/>
      <c r="Y757" s="706"/>
      <c r="Z757" s="706"/>
      <c r="AA757" s="706"/>
      <c r="AB757" s="706"/>
      <c r="AC757" s="706"/>
    </row>
    <row r="758" spans="1:42" ht="25.5">
      <c r="A758" s="2307">
        <v>13</v>
      </c>
      <c r="B758" s="2171" t="s">
        <v>286</v>
      </c>
      <c r="C758" s="2155">
        <v>12</v>
      </c>
      <c r="D758" s="2303">
        <f t="shared" si="129"/>
        <v>208713.76602999997</v>
      </c>
      <c r="E758" s="2330"/>
      <c r="F758" s="2330">
        <v>207562.76602999997</v>
      </c>
      <c r="G758" s="2327">
        <v>1151</v>
      </c>
      <c r="H758" s="2328">
        <v>0</v>
      </c>
      <c r="I758" s="2322">
        <v>0</v>
      </c>
      <c r="J758" s="2371">
        <f t="shared" si="134"/>
        <v>1151</v>
      </c>
      <c r="K758" s="2304"/>
      <c r="L758" s="2304"/>
      <c r="M758" s="2325"/>
      <c r="N758" s="2324">
        <f t="shared" si="131"/>
        <v>0</v>
      </c>
      <c r="O758" s="704"/>
      <c r="P758" s="705"/>
      <c r="Q758" s="719"/>
      <c r="R758" s="706"/>
      <c r="S758" s="706"/>
      <c r="T758" s="706"/>
      <c r="U758" s="706"/>
      <c r="V758" s="706"/>
      <c r="W758" s="706"/>
      <c r="X758" s="706"/>
      <c r="Y758" s="706"/>
      <c r="Z758" s="706"/>
      <c r="AA758" s="706"/>
      <c r="AB758" s="706"/>
      <c r="AC758" s="706"/>
    </row>
    <row r="759" spans="1:42">
      <c r="A759" s="2307">
        <v>14</v>
      </c>
      <c r="B759" s="2154" t="s">
        <v>287</v>
      </c>
      <c r="C759" s="2155">
        <v>13</v>
      </c>
      <c r="D759" s="2303">
        <f t="shared" si="129"/>
        <v>40833.224945550071</v>
      </c>
      <c r="E759" s="2330"/>
      <c r="F759" s="2330"/>
      <c r="G759" s="2330">
        <v>668.21490179118223</v>
      </c>
      <c r="H759" s="2321">
        <v>29674.972800839358</v>
      </c>
      <c r="I759" s="2329">
        <v>10490.037242919534</v>
      </c>
      <c r="J759" s="2371">
        <f t="shared" si="134"/>
        <v>40833.224945550071</v>
      </c>
      <c r="K759" s="2304"/>
      <c r="L759" s="2304"/>
      <c r="M759" s="2325"/>
      <c r="N759" s="2324">
        <f t="shared" si="131"/>
        <v>0</v>
      </c>
      <c r="O759" s="704"/>
      <c r="P759" s="705"/>
      <c r="Q759" s="719"/>
      <c r="R759" s="706"/>
      <c r="S759" s="706"/>
      <c r="T759" s="706"/>
      <c r="U759" s="706"/>
      <c r="V759" s="706"/>
      <c r="W759" s="706"/>
      <c r="X759" s="706"/>
      <c r="Y759" s="706"/>
      <c r="Z759" s="706"/>
      <c r="AA759" s="706"/>
      <c r="AB759" s="706"/>
      <c r="AC759" s="706"/>
    </row>
    <row r="760" spans="1:42">
      <c r="A760" s="2307">
        <v>15</v>
      </c>
      <c r="B760" s="2154" t="s">
        <v>288</v>
      </c>
      <c r="C760" s="2161">
        <v>14</v>
      </c>
      <c r="D760" s="2303">
        <f t="shared" si="129"/>
        <v>17203.463760000002</v>
      </c>
      <c r="E760" s="2330"/>
      <c r="F760" s="2330"/>
      <c r="G760" s="2327">
        <v>40.25</v>
      </c>
      <c r="H760" s="2328">
        <v>14098.175540000002</v>
      </c>
      <c r="I760" s="2322">
        <v>3065.0382199999999</v>
      </c>
      <c r="J760" s="2371">
        <f t="shared" si="134"/>
        <v>17203.463760000002</v>
      </c>
      <c r="K760" s="2304"/>
      <c r="L760" s="2304"/>
      <c r="M760" s="2325"/>
      <c r="N760" s="2324">
        <f t="shared" si="131"/>
        <v>0</v>
      </c>
      <c r="O760" s="704"/>
      <c r="P760" s="705"/>
      <c r="Q760" s="722"/>
      <c r="R760" s="706"/>
      <c r="S760" s="706"/>
      <c r="T760" s="706"/>
      <c r="U760" s="706"/>
      <c r="V760" s="706"/>
      <c r="W760" s="706"/>
      <c r="X760" s="706"/>
      <c r="Y760" s="706"/>
      <c r="Z760" s="706"/>
      <c r="AA760" s="706"/>
      <c r="AB760" s="706"/>
      <c r="AC760" s="706"/>
    </row>
    <row r="761" spans="1:42">
      <c r="A761" s="2307">
        <v>16</v>
      </c>
      <c r="B761" s="2154" t="s">
        <v>289</v>
      </c>
      <c r="C761" s="2155">
        <v>15</v>
      </c>
      <c r="D761" s="2303">
        <f t="shared" si="129"/>
        <v>25313.259211999895</v>
      </c>
      <c r="E761" s="2330"/>
      <c r="F761" s="2330"/>
      <c r="G761" s="2330">
        <v>678.69761199999994</v>
      </c>
      <c r="H761" s="2321">
        <v>169.196</v>
      </c>
      <c r="I761" s="2329">
        <v>24465.365599999895</v>
      </c>
      <c r="J761" s="2371">
        <f t="shared" si="134"/>
        <v>25313.259211999895</v>
      </c>
      <c r="K761" s="2304"/>
      <c r="L761" s="2304"/>
      <c r="M761" s="2325"/>
      <c r="N761" s="2324">
        <f t="shared" si="131"/>
        <v>0</v>
      </c>
      <c r="O761" s="704"/>
      <c r="P761" s="705"/>
      <c r="Q761" s="719"/>
      <c r="R761" s="706"/>
      <c r="S761" s="706"/>
      <c r="T761" s="706"/>
      <c r="U761" s="706"/>
      <c r="V761" s="706"/>
      <c r="W761" s="706"/>
      <c r="X761" s="706"/>
      <c r="Y761" s="706"/>
      <c r="Z761" s="706"/>
      <c r="AA761" s="706"/>
      <c r="AB761" s="706"/>
      <c r="AC761" s="706"/>
    </row>
    <row r="762" spans="1:42">
      <c r="A762" s="2307">
        <v>17</v>
      </c>
      <c r="B762" s="2154" t="s">
        <v>290</v>
      </c>
      <c r="C762" s="2161">
        <v>16</v>
      </c>
      <c r="D762" s="2303">
        <f t="shared" si="129"/>
        <v>140568.58515838571</v>
      </c>
      <c r="E762" s="2330"/>
      <c r="F762" s="2330">
        <v>136425.39598838572</v>
      </c>
      <c r="G762" s="2327">
        <v>0</v>
      </c>
      <c r="H762" s="2328">
        <v>4143.1891699999996</v>
      </c>
      <c r="I762" s="2322">
        <v>0</v>
      </c>
      <c r="J762" s="2371">
        <f t="shared" si="134"/>
        <v>4143.1891699999996</v>
      </c>
      <c r="K762" s="2304"/>
      <c r="L762" s="2304"/>
      <c r="M762" s="2325"/>
      <c r="N762" s="2324">
        <f t="shared" si="131"/>
        <v>0</v>
      </c>
      <c r="O762" s="704"/>
      <c r="P762" s="705"/>
      <c r="Q762" s="722"/>
      <c r="R762" s="706"/>
      <c r="S762" s="706"/>
      <c r="T762" s="706"/>
      <c r="U762" s="706"/>
      <c r="V762" s="706"/>
      <c r="W762" s="706"/>
      <c r="X762" s="706"/>
      <c r="Y762" s="706"/>
      <c r="Z762" s="706"/>
      <c r="AA762" s="706"/>
      <c r="AB762" s="706"/>
      <c r="AC762" s="706"/>
    </row>
    <row r="763" spans="1:42">
      <c r="A763" s="2307">
        <v>18</v>
      </c>
      <c r="B763" s="2154" t="s">
        <v>291</v>
      </c>
      <c r="C763" s="2155"/>
      <c r="D763" s="2303">
        <f t="shared" si="129"/>
        <v>0</v>
      </c>
      <c r="E763" s="2330"/>
      <c r="F763" s="2330"/>
      <c r="G763" s="2327"/>
      <c r="H763" s="2323"/>
      <c r="I763" s="2329"/>
      <c r="J763" s="2371">
        <f t="shared" si="134"/>
        <v>0</v>
      </c>
      <c r="K763" s="2304"/>
      <c r="L763" s="2304"/>
      <c r="M763" s="2325"/>
      <c r="N763" s="2324">
        <f t="shared" si="131"/>
        <v>0</v>
      </c>
      <c r="O763" s="704"/>
      <c r="P763" s="705"/>
      <c r="Q763" s="719"/>
      <c r="R763" s="706"/>
      <c r="S763" s="706"/>
      <c r="T763" s="706"/>
      <c r="U763" s="706"/>
      <c r="V763" s="706"/>
      <c r="W763" s="706"/>
      <c r="X763" s="706"/>
      <c r="Y763" s="706"/>
      <c r="Z763" s="706"/>
      <c r="AA763" s="706"/>
      <c r="AB763" s="706"/>
      <c r="AC763" s="706"/>
    </row>
    <row r="764" spans="1:42" ht="13.5" thickBot="1">
      <c r="A764" s="2314">
        <v>19</v>
      </c>
      <c r="B764" s="2173" t="s">
        <v>292</v>
      </c>
      <c r="C764" s="2172"/>
      <c r="D764" s="1485">
        <f t="shared" si="129"/>
        <v>39151</v>
      </c>
      <c r="E764" s="1033"/>
      <c r="F764" s="1033">
        <v>39151</v>
      </c>
      <c r="G764" s="1033"/>
      <c r="H764" s="1069"/>
      <c r="I764" s="2364"/>
      <c r="J764" s="1538">
        <f t="shared" si="134"/>
        <v>0</v>
      </c>
      <c r="K764" s="998"/>
      <c r="L764" s="998"/>
      <c r="M764" s="1070"/>
      <c r="N764" s="2376">
        <f t="shared" si="131"/>
        <v>0</v>
      </c>
      <c r="O764" s="704"/>
      <c r="P764" s="705"/>
      <c r="Q764" s="719"/>
      <c r="R764" s="706"/>
      <c r="S764" s="706"/>
      <c r="T764" s="706"/>
      <c r="U764" s="706"/>
      <c r="V764" s="706"/>
      <c r="W764" s="706"/>
      <c r="X764" s="706"/>
      <c r="Y764" s="706"/>
      <c r="Z764" s="706"/>
      <c r="AA764" s="706"/>
      <c r="AB764" s="706"/>
      <c r="AC764" s="706"/>
    </row>
    <row r="765" spans="1:42" s="1113" customFormat="1" ht="26.25" thickBot="1">
      <c r="A765" s="1493">
        <v>20</v>
      </c>
      <c r="B765" s="1352" t="s">
        <v>293</v>
      </c>
      <c r="C765" s="1351"/>
      <c r="D765" s="1494">
        <f t="shared" si="129"/>
        <v>2307344.7051557205</v>
      </c>
      <c r="E765" s="1494">
        <f>SUM(E742:E748)+E751+E754+SUM(E759:E764)</f>
        <v>0</v>
      </c>
      <c r="F765" s="1494">
        <f>SUM(F742:F748)+F751+F754+SUM(F759:F764)</f>
        <v>1206942.7115845252</v>
      </c>
      <c r="G765" s="1494">
        <f>SUM(G742:G748)+G751+G754+SUM(G759:G764)</f>
        <v>160757.82408419729</v>
      </c>
      <c r="H765" s="1522">
        <f>SUM(H742:H748)+H751+H754+SUM(H759:H764)</f>
        <v>792619.9878544634</v>
      </c>
      <c r="I765" s="1523">
        <f>SUM(I742:I748)+I751+I754+SUM(I759:I764)</f>
        <v>147024.18163253469</v>
      </c>
      <c r="J765" s="1541">
        <f t="shared" si="134"/>
        <v>1100401.9935711953</v>
      </c>
      <c r="K765" s="1494">
        <f>SUM(K742:K748)+K751+K754+SUM(K759:K764)</f>
        <v>0</v>
      </c>
      <c r="L765" s="1494">
        <f>SUM(L742:L748)+L751+L754+SUM(L759:L764)</f>
        <v>0</v>
      </c>
      <c r="M765" s="1522">
        <f>SUM(M742:M748)+M751+M754+SUM(M759:M764)</f>
        <v>0</v>
      </c>
      <c r="N765" s="1495">
        <f t="shared" si="131"/>
        <v>0</v>
      </c>
      <c r="O765" s="1110"/>
      <c r="P765" s="1111"/>
      <c r="Q765" s="728"/>
      <c r="R765" s="1112"/>
      <c r="S765" s="1112"/>
      <c r="T765" s="1112"/>
      <c r="U765" s="1112"/>
      <c r="V765" s="1112"/>
      <c r="W765" s="1112"/>
      <c r="X765" s="1112"/>
      <c r="Y765" s="1112"/>
      <c r="Z765" s="1112"/>
      <c r="AA765" s="1112"/>
      <c r="AB765" s="1112"/>
      <c r="AC765" s="1112"/>
      <c r="AE765" s="1114"/>
      <c r="AF765" s="1114"/>
      <c r="AG765" s="1114"/>
      <c r="AH765" s="1114"/>
      <c r="AI765" s="1114"/>
      <c r="AJ765" s="1114"/>
      <c r="AK765" s="1114"/>
      <c r="AL765" s="1114"/>
      <c r="AM765" s="1114"/>
      <c r="AN765" s="1114"/>
      <c r="AO765" s="1114"/>
      <c r="AP765" s="1114"/>
    </row>
    <row r="766" spans="1:42">
      <c r="A766" s="1483"/>
      <c r="B766" s="1481" t="s">
        <v>294</v>
      </c>
      <c r="C766" s="1346"/>
      <c r="D766" s="1487">
        <f t="shared" si="129"/>
        <v>0</v>
      </c>
      <c r="E766" s="691"/>
      <c r="F766" s="691"/>
      <c r="G766" s="688"/>
      <c r="H766" s="689"/>
      <c r="I766" s="692"/>
      <c r="J766" s="1503">
        <f t="shared" si="134"/>
        <v>0</v>
      </c>
      <c r="K766" s="996"/>
      <c r="L766" s="996"/>
      <c r="M766" s="1067"/>
      <c r="N766" s="1488">
        <f t="shared" si="131"/>
        <v>0</v>
      </c>
      <c r="O766" s="704"/>
      <c r="P766" s="705"/>
      <c r="Q766" s="719"/>
      <c r="R766" s="706"/>
      <c r="S766" s="706"/>
      <c r="T766" s="706"/>
      <c r="U766" s="706"/>
      <c r="V766" s="706"/>
      <c r="W766" s="706"/>
      <c r="X766" s="706"/>
      <c r="Y766" s="706"/>
      <c r="Z766" s="706"/>
      <c r="AA766" s="706"/>
      <c r="AB766" s="706"/>
      <c r="AC766" s="706"/>
    </row>
    <row r="767" spans="1:42">
      <c r="A767" s="2307"/>
      <c r="B767" s="2316" t="s">
        <v>295</v>
      </c>
      <c r="C767" s="2155"/>
      <c r="D767" s="2303">
        <f t="shared" si="129"/>
        <v>0</v>
      </c>
      <c r="E767" s="2330"/>
      <c r="F767" s="2330"/>
      <c r="G767" s="2327"/>
      <c r="H767" s="2323"/>
      <c r="I767" s="2329"/>
      <c r="J767" s="2371">
        <f t="shared" si="134"/>
        <v>0</v>
      </c>
      <c r="K767" s="2304"/>
      <c r="L767" s="2304"/>
      <c r="M767" s="2325"/>
      <c r="N767" s="2324">
        <f t="shared" si="131"/>
        <v>0</v>
      </c>
      <c r="O767" s="704"/>
      <c r="P767" s="705"/>
      <c r="Q767" s="719"/>
      <c r="R767" s="706"/>
      <c r="S767" s="706"/>
      <c r="T767" s="706"/>
      <c r="U767" s="706"/>
      <c r="V767" s="706"/>
      <c r="W767" s="706"/>
      <c r="X767" s="706"/>
      <c r="Y767" s="706"/>
      <c r="Z767" s="706"/>
      <c r="AA767" s="706"/>
      <c r="AB767" s="706"/>
      <c r="AC767" s="706"/>
    </row>
    <row r="768" spans="1:42">
      <c r="A768" s="2307">
        <v>21</v>
      </c>
      <c r="B768" s="2154" t="s">
        <v>296</v>
      </c>
      <c r="C768" s="2161">
        <v>17</v>
      </c>
      <c r="D768" s="2303">
        <f t="shared" si="129"/>
        <v>935071.06372303097</v>
      </c>
      <c r="E768" s="2330"/>
      <c r="F768" s="2330"/>
      <c r="G768" s="2327">
        <v>152066.17889835703</v>
      </c>
      <c r="H768" s="2328">
        <v>657073.99244424037</v>
      </c>
      <c r="I768" s="2322">
        <v>125930.89238043362</v>
      </c>
      <c r="J768" s="2371">
        <f t="shared" si="134"/>
        <v>935071.06372303097</v>
      </c>
      <c r="K768" s="2304"/>
      <c r="L768" s="2304"/>
      <c r="M768" s="2325"/>
      <c r="N768" s="2324">
        <f t="shared" si="131"/>
        <v>0</v>
      </c>
      <c r="O768" s="704"/>
      <c r="P768" s="705"/>
      <c r="Q768" s="722"/>
      <c r="R768" s="706"/>
      <c r="S768" s="706"/>
      <c r="T768" s="706"/>
      <c r="U768" s="706"/>
      <c r="V768" s="706"/>
      <c r="W768" s="706"/>
      <c r="X768" s="706"/>
      <c r="Y768" s="706"/>
      <c r="Z768" s="706"/>
      <c r="AA768" s="706"/>
      <c r="AB768" s="706"/>
      <c r="AC768" s="706"/>
    </row>
    <row r="769" spans="1:42">
      <c r="A769" s="2307">
        <v>22</v>
      </c>
      <c r="B769" s="2154" t="s">
        <v>297</v>
      </c>
      <c r="C769" s="2155"/>
      <c r="D769" s="2303">
        <f t="shared" si="129"/>
        <v>8354.4586999999974</v>
      </c>
      <c r="E769" s="2330"/>
      <c r="F769" s="2330"/>
      <c r="G769" s="2327">
        <v>628.47514114623289</v>
      </c>
      <c r="H769" s="2328">
        <v>6708.6866253403496</v>
      </c>
      <c r="I769" s="2322">
        <v>1017.2969335134155</v>
      </c>
      <c r="J769" s="2371">
        <f t="shared" si="134"/>
        <v>8354.4586999999974</v>
      </c>
      <c r="K769" s="2304"/>
      <c r="L769" s="2304"/>
      <c r="M769" s="2325"/>
      <c r="N769" s="2324">
        <f t="shared" si="131"/>
        <v>0</v>
      </c>
      <c r="O769" s="704"/>
      <c r="P769" s="705"/>
      <c r="Q769" s="719"/>
      <c r="R769" s="706"/>
      <c r="S769" s="706"/>
      <c r="T769" s="706"/>
      <c r="U769" s="706"/>
      <c r="V769" s="706"/>
      <c r="W769" s="706"/>
      <c r="X769" s="706"/>
      <c r="Y769" s="706"/>
      <c r="Z769" s="706"/>
      <c r="AA769" s="706"/>
      <c r="AB769" s="706"/>
      <c r="AC769" s="706"/>
    </row>
    <row r="770" spans="1:42">
      <c r="A770" s="2307">
        <v>23</v>
      </c>
      <c r="B770" s="2154" t="s">
        <v>298</v>
      </c>
      <c r="C770" s="2155">
        <v>18</v>
      </c>
      <c r="D770" s="2303">
        <f t="shared" si="129"/>
        <v>11632.95199</v>
      </c>
      <c r="E770" s="2330"/>
      <c r="F770" s="2330"/>
      <c r="G770" s="2327">
        <v>212.50239000000002</v>
      </c>
      <c r="H770" s="2328">
        <v>4693.5344999999998</v>
      </c>
      <c r="I770" s="2322">
        <v>6726.9151000000002</v>
      </c>
      <c r="J770" s="2371">
        <f t="shared" si="134"/>
        <v>11632.95199</v>
      </c>
      <c r="K770" s="2304"/>
      <c r="L770" s="2304"/>
      <c r="M770" s="2325"/>
      <c r="N770" s="2324">
        <f t="shared" si="131"/>
        <v>0</v>
      </c>
      <c r="O770" s="704"/>
      <c r="P770" s="705"/>
      <c r="Q770" s="719"/>
      <c r="R770" s="706"/>
      <c r="S770" s="706"/>
      <c r="T770" s="706"/>
      <c r="U770" s="706"/>
      <c r="V770" s="706"/>
      <c r="W770" s="706"/>
      <c r="X770" s="706"/>
      <c r="Y770" s="706"/>
      <c r="Z770" s="706"/>
      <c r="AA770" s="706"/>
      <c r="AB770" s="706"/>
      <c r="AC770" s="706"/>
    </row>
    <row r="771" spans="1:42">
      <c r="A771" s="2307">
        <v>24</v>
      </c>
      <c r="B771" s="2154" t="s">
        <v>299</v>
      </c>
      <c r="C771" s="2155"/>
      <c r="D771" s="2303">
        <f t="shared" si="129"/>
        <v>0</v>
      </c>
      <c r="E771" s="2330"/>
      <c r="F771" s="2431"/>
      <c r="G771" s="2432"/>
      <c r="H771" s="2433"/>
      <c r="I771" s="2434"/>
      <c r="J771" s="2371">
        <f t="shared" si="134"/>
        <v>0</v>
      </c>
      <c r="K771" s="2304"/>
      <c r="L771" s="2304"/>
      <c r="M771" s="2325"/>
      <c r="N771" s="2324">
        <f t="shared" si="131"/>
        <v>0</v>
      </c>
      <c r="O771" s="704"/>
      <c r="P771" s="705"/>
      <c r="Q771" s="719"/>
      <c r="R771" s="706"/>
      <c r="S771" s="706"/>
      <c r="T771" s="706"/>
      <c r="U771" s="706"/>
      <c r="V771" s="706"/>
      <c r="W771" s="706"/>
      <c r="X771" s="706"/>
      <c r="Y771" s="706"/>
      <c r="Z771" s="706"/>
      <c r="AA771" s="706"/>
      <c r="AB771" s="706"/>
      <c r="AC771" s="706"/>
    </row>
    <row r="772" spans="1:42">
      <c r="A772" s="2307">
        <v>25</v>
      </c>
      <c r="B772" s="2176" t="s">
        <v>300</v>
      </c>
      <c r="C772" s="2155"/>
      <c r="D772" s="2303">
        <f t="shared" si="129"/>
        <v>0</v>
      </c>
      <c r="E772" s="2330"/>
      <c r="F772" s="2330"/>
      <c r="G772" s="2327"/>
      <c r="H772" s="2323"/>
      <c r="I772" s="2329"/>
      <c r="J772" s="2371">
        <f t="shared" si="134"/>
        <v>0</v>
      </c>
      <c r="K772" s="2304"/>
      <c r="L772" s="2304"/>
      <c r="M772" s="2325"/>
      <c r="N772" s="2324">
        <f t="shared" si="131"/>
        <v>0</v>
      </c>
      <c r="O772" s="704"/>
      <c r="P772" s="705"/>
      <c r="Q772" s="719"/>
      <c r="R772" s="706"/>
      <c r="S772" s="706"/>
      <c r="T772" s="706"/>
      <c r="U772" s="706"/>
      <c r="V772" s="706"/>
      <c r="W772" s="706"/>
      <c r="X772" s="706"/>
      <c r="Y772" s="706"/>
      <c r="Z772" s="706"/>
      <c r="AA772" s="706"/>
      <c r="AB772" s="706"/>
      <c r="AC772" s="706"/>
    </row>
    <row r="773" spans="1:42" ht="13.5" thickBot="1">
      <c r="A773" s="2314">
        <v>26</v>
      </c>
      <c r="B773" s="2173" t="s">
        <v>301</v>
      </c>
      <c r="C773" s="2177">
        <v>19</v>
      </c>
      <c r="D773" s="2303">
        <f t="shared" si="129"/>
        <v>259831.71609200002</v>
      </c>
      <c r="E773" s="2330"/>
      <c r="F773" s="1033">
        <v>183310.586017244</v>
      </c>
      <c r="G773" s="2327">
        <v>6119.4726423906031</v>
      </c>
      <c r="H773" s="2328">
        <v>49880.706340774675</v>
      </c>
      <c r="I773" s="2322">
        <v>20520.951091590749</v>
      </c>
      <c r="J773" s="2371">
        <f t="shared" si="134"/>
        <v>76521.130074756031</v>
      </c>
      <c r="K773" s="2304"/>
      <c r="L773" s="2304"/>
      <c r="M773" s="2325"/>
      <c r="N773" s="2324">
        <f t="shared" si="131"/>
        <v>0</v>
      </c>
      <c r="O773" s="704"/>
      <c r="P773" s="705"/>
      <c r="Q773" s="722"/>
      <c r="R773" s="706"/>
      <c r="S773" s="706"/>
      <c r="T773" s="706"/>
      <c r="U773" s="706"/>
      <c r="V773" s="706"/>
      <c r="W773" s="706"/>
      <c r="X773" s="706"/>
      <c r="Y773" s="706"/>
      <c r="Z773" s="706"/>
      <c r="AA773" s="706"/>
      <c r="AB773" s="706"/>
      <c r="AC773" s="706"/>
    </row>
    <row r="774" spans="1:42" s="1113" customFormat="1" ht="26.25" thickBot="1">
      <c r="A774" s="1482">
        <v>27</v>
      </c>
      <c r="B774" s="1349" t="s">
        <v>302</v>
      </c>
      <c r="C774" s="1348"/>
      <c r="D774" s="1499">
        <f t="shared" si="129"/>
        <v>1214890.190505031</v>
      </c>
      <c r="E774" s="1019">
        <f>SUM(E768:E773)</f>
        <v>0</v>
      </c>
      <c r="F774" s="1019">
        <f>SUM(F768:F773)</f>
        <v>183310.586017244</v>
      </c>
      <c r="G774" s="1019">
        <f>SUM(G768:G773)</f>
        <v>159026.62907189387</v>
      </c>
      <c r="H774" s="1039">
        <f>SUM(H768:H773)</f>
        <v>718356.91991035535</v>
      </c>
      <c r="I774" s="1023">
        <f>SUM(I768:I773)</f>
        <v>154196.05550553778</v>
      </c>
      <c r="J774" s="1502">
        <f>G774+H774+I774</f>
        <v>1031579.604487787</v>
      </c>
      <c r="K774" s="1019">
        <f>SUM(K768:K773)</f>
        <v>0</v>
      </c>
      <c r="L774" s="1019">
        <f>SUM(L768:L773)</f>
        <v>0</v>
      </c>
      <c r="M774" s="1039">
        <f>SUM(M768:M773)</f>
        <v>0</v>
      </c>
      <c r="N774" s="1519">
        <f t="shared" si="131"/>
        <v>0</v>
      </c>
      <c r="O774" s="1110"/>
      <c r="P774" s="1111"/>
      <c r="Q774" s="728"/>
      <c r="R774" s="1112"/>
      <c r="S774" s="1112"/>
      <c r="T774" s="1112"/>
      <c r="U774" s="1112"/>
      <c r="V774" s="1112"/>
      <c r="W774" s="1112"/>
      <c r="X774" s="1112"/>
      <c r="Y774" s="1112"/>
      <c r="Z774" s="1112"/>
      <c r="AA774" s="1112"/>
      <c r="AB774" s="1112"/>
      <c r="AC774" s="1112"/>
      <c r="AE774" s="1114"/>
      <c r="AF774" s="1114"/>
      <c r="AG774" s="1114"/>
      <c r="AH774" s="1114"/>
      <c r="AI774" s="1114"/>
      <c r="AJ774" s="1114"/>
      <c r="AK774" s="1114"/>
      <c r="AL774" s="1114"/>
      <c r="AM774" s="1114"/>
      <c r="AN774" s="1114"/>
      <c r="AO774" s="1114"/>
      <c r="AP774" s="1114"/>
    </row>
    <row r="775" spans="1:42">
      <c r="A775" s="1483"/>
      <c r="B775" s="1481" t="s">
        <v>303</v>
      </c>
      <c r="C775" s="1346">
        <v>20</v>
      </c>
      <c r="D775" s="1487">
        <f t="shared" si="129"/>
        <v>0</v>
      </c>
      <c r="E775" s="2435"/>
      <c r="F775" s="2330"/>
      <c r="G775" s="2330"/>
      <c r="H775" s="2328"/>
      <c r="I775" s="2329"/>
      <c r="J775" s="1503">
        <f t="shared" ref="J775:J781" si="135">G775+H775+I775</f>
        <v>0</v>
      </c>
      <c r="K775" s="996"/>
      <c r="L775" s="996"/>
      <c r="M775" s="1067"/>
      <c r="N775" s="1488">
        <f t="shared" si="131"/>
        <v>0</v>
      </c>
      <c r="O775" s="704"/>
      <c r="P775" s="705"/>
      <c r="Q775" s="719"/>
      <c r="R775" s="706"/>
      <c r="S775" s="706"/>
      <c r="T775" s="706"/>
      <c r="U775" s="706"/>
      <c r="V775" s="706"/>
      <c r="W775" s="706"/>
      <c r="X775" s="706"/>
      <c r="Y775" s="706"/>
      <c r="Z775" s="706"/>
      <c r="AA775" s="706"/>
      <c r="AB775" s="706"/>
      <c r="AC775" s="706"/>
    </row>
    <row r="776" spans="1:42">
      <c r="A776" s="2307">
        <v>28</v>
      </c>
      <c r="B776" s="2302" t="s">
        <v>304</v>
      </c>
      <c r="C776" s="2161"/>
      <c r="D776" s="2303">
        <f t="shared" si="129"/>
        <v>1044845.56</v>
      </c>
      <c r="E776" s="2435"/>
      <c r="F776" s="2330">
        <v>1044845.56</v>
      </c>
      <c r="G776" s="2330"/>
      <c r="H776" s="2328"/>
      <c r="I776" s="2329"/>
      <c r="J776" s="2371">
        <f t="shared" si="135"/>
        <v>0</v>
      </c>
      <c r="K776" s="2304"/>
      <c r="L776" s="2304"/>
      <c r="M776" s="2325"/>
      <c r="N776" s="2324">
        <f t="shared" si="131"/>
        <v>0</v>
      </c>
      <c r="O776" s="704"/>
      <c r="P776" s="705"/>
      <c r="Q776" s="722"/>
      <c r="R776" s="706"/>
      <c r="S776" s="706"/>
      <c r="T776" s="706"/>
      <c r="U776" s="706"/>
      <c r="V776" s="706"/>
      <c r="W776" s="706"/>
      <c r="X776" s="706"/>
      <c r="Y776" s="706"/>
      <c r="Z776" s="706"/>
      <c r="AA776" s="706"/>
      <c r="AB776" s="706"/>
      <c r="AC776" s="706"/>
    </row>
    <row r="777" spans="1:42">
      <c r="A777" s="2307">
        <v>29</v>
      </c>
      <c r="B777" s="2302" t="s">
        <v>305</v>
      </c>
      <c r="C777" s="2161"/>
      <c r="D777" s="2303">
        <f t="shared" si="129"/>
        <v>0</v>
      </c>
      <c r="E777" s="2330"/>
      <c r="F777" s="2330"/>
      <c r="G777" s="2327"/>
      <c r="H777" s="2323"/>
      <c r="I777" s="2329"/>
      <c r="J777" s="2371">
        <f t="shared" si="135"/>
        <v>0</v>
      </c>
      <c r="K777" s="2304"/>
      <c r="L777" s="2304"/>
      <c r="M777" s="2325"/>
      <c r="N777" s="2324">
        <f t="shared" si="131"/>
        <v>0</v>
      </c>
      <c r="O777" s="704"/>
      <c r="P777" s="705"/>
      <c r="Q777" s="722"/>
      <c r="R777" s="706"/>
      <c r="S777" s="706"/>
      <c r="T777" s="706"/>
      <c r="U777" s="706"/>
      <c r="V777" s="706"/>
      <c r="W777" s="706"/>
      <c r="X777" s="706"/>
      <c r="Y777" s="706"/>
      <c r="Z777" s="706"/>
      <c r="AA777" s="706"/>
      <c r="AB777" s="706"/>
      <c r="AC777" s="706"/>
    </row>
    <row r="778" spans="1:42">
      <c r="A778" s="2307">
        <v>30</v>
      </c>
      <c r="B778" s="2317" t="s">
        <v>306</v>
      </c>
      <c r="C778" s="2177"/>
      <c r="D778" s="2303">
        <f t="shared" si="129"/>
        <v>0</v>
      </c>
      <c r="E778" s="2330"/>
      <c r="F778" s="2330"/>
      <c r="G778" s="1034"/>
      <c r="H778" s="2359"/>
      <c r="I778" s="2364"/>
      <c r="J778" s="2371">
        <f t="shared" si="135"/>
        <v>0</v>
      </c>
      <c r="K778" s="2304"/>
      <c r="L778" s="2304"/>
      <c r="M778" s="2325"/>
      <c r="N778" s="2324">
        <f t="shared" si="131"/>
        <v>0</v>
      </c>
      <c r="O778" s="704"/>
      <c r="P778" s="705"/>
      <c r="Q778" s="722"/>
      <c r="R778" s="706"/>
      <c r="S778" s="706"/>
      <c r="T778" s="706"/>
      <c r="U778" s="706"/>
      <c r="V778" s="706"/>
      <c r="W778" s="706"/>
      <c r="X778" s="706"/>
      <c r="Y778" s="706"/>
      <c r="Z778" s="706"/>
      <c r="AA778" s="706"/>
      <c r="AB778" s="706"/>
      <c r="AC778" s="706"/>
    </row>
    <row r="779" spans="1:42">
      <c r="A779" s="2307">
        <v>31</v>
      </c>
      <c r="B779" s="2302" t="s">
        <v>307</v>
      </c>
      <c r="C779" s="2161"/>
      <c r="D779" s="2303">
        <f t="shared" si="129"/>
        <v>0</v>
      </c>
      <c r="E779" s="2330"/>
      <c r="F779" s="1033"/>
      <c r="G779" s="1034"/>
      <c r="H779" s="2359"/>
      <c r="I779" s="2364"/>
      <c r="J779" s="2371">
        <f t="shared" si="135"/>
        <v>0</v>
      </c>
      <c r="K779" s="2304"/>
      <c r="L779" s="2304"/>
      <c r="M779" s="2325"/>
      <c r="N779" s="2324">
        <f t="shared" si="131"/>
        <v>0</v>
      </c>
      <c r="O779" s="704"/>
      <c r="P779" s="705"/>
      <c r="Q779" s="722"/>
      <c r="R779" s="706"/>
      <c r="S779" s="706"/>
      <c r="T779" s="706"/>
      <c r="U779" s="706"/>
      <c r="V779" s="706"/>
      <c r="W779" s="706"/>
      <c r="X779" s="706"/>
      <c r="Y779" s="706"/>
      <c r="Z779" s="706"/>
      <c r="AA779" s="706"/>
      <c r="AB779" s="706"/>
      <c r="AC779" s="706"/>
    </row>
    <row r="780" spans="1:42" ht="13.5" thickBot="1">
      <c r="A780" s="2314">
        <v>32</v>
      </c>
      <c r="B780" s="2302" t="s">
        <v>308</v>
      </c>
      <c r="C780" s="2161"/>
      <c r="D780" s="2303">
        <f t="shared" si="129"/>
        <v>47609.716204404525</v>
      </c>
      <c r="E780" s="2330"/>
      <c r="F780" s="2330">
        <v>-21212.699929999999</v>
      </c>
      <c r="G780" s="1034">
        <v>1731.222831089884</v>
      </c>
      <c r="H780" s="2359">
        <v>74263.067484966989</v>
      </c>
      <c r="I780" s="695">
        <v>-7171.874181652337</v>
      </c>
      <c r="J780" s="2371">
        <f t="shared" si="135"/>
        <v>68822.416134404528</v>
      </c>
      <c r="K780" s="2304"/>
      <c r="L780" s="2304"/>
      <c r="M780" s="2325"/>
      <c r="N780" s="2324">
        <f t="shared" si="131"/>
        <v>0</v>
      </c>
      <c r="O780" s="704"/>
      <c r="P780" s="705"/>
      <c r="Q780" s="722"/>
      <c r="R780" s="706"/>
      <c r="S780" s="706"/>
      <c r="T780" s="706"/>
      <c r="U780" s="706"/>
      <c r="V780" s="706"/>
      <c r="W780" s="706"/>
      <c r="X780" s="706"/>
      <c r="Y780" s="706"/>
      <c r="Z780" s="706"/>
      <c r="AA780" s="706"/>
      <c r="AB780" s="706"/>
      <c r="AC780" s="706"/>
    </row>
    <row r="781" spans="1:42" s="913" customFormat="1" ht="13.5" thickBot="1">
      <c r="A781" s="1482">
        <v>33</v>
      </c>
      <c r="B781" s="1384" t="s">
        <v>309</v>
      </c>
      <c r="C781" s="1385"/>
      <c r="D781" s="1544">
        <f t="shared" si="129"/>
        <v>1092455.2762044047</v>
      </c>
      <c r="E781" s="1060">
        <f>SUM(E776:E780)</f>
        <v>0</v>
      </c>
      <c r="F781" s="1060">
        <f>SUM(F776:F780)</f>
        <v>1023632.8600700001</v>
      </c>
      <c r="G781" s="1060">
        <f>SUM(G776:G780)</f>
        <v>1731.222831089884</v>
      </c>
      <c r="H781" s="1060">
        <f>SUM(H776:H780)</f>
        <v>74263.067484966989</v>
      </c>
      <c r="I781" s="1071">
        <f>SUM(I776:I780)</f>
        <v>-7171.874181652337</v>
      </c>
      <c r="J781" s="1548">
        <f t="shared" si="135"/>
        <v>68822.416134404528</v>
      </c>
      <c r="K781" s="1060">
        <f>SUM(K776:K780)</f>
        <v>0</v>
      </c>
      <c r="L781" s="1060">
        <f>SUM(L776:L780)</f>
        <v>0</v>
      </c>
      <c r="M781" s="1061">
        <f>SUM(M776:M780)</f>
        <v>0</v>
      </c>
      <c r="N781" s="1549">
        <f t="shared" si="131"/>
        <v>0</v>
      </c>
      <c r="O781" s="1024"/>
      <c r="P781" s="1025"/>
      <c r="Q781" s="724"/>
      <c r="R781" s="1027"/>
      <c r="S781" s="1027"/>
      <c r="T781" s="1027"/>
      <c r="U781" s="1027"/>
      <c r="V781" s="1027"/>
      <c r="W781" s="1027"/>
      <c r="X781" s="1027"/>
      <c r="Y781" s="1027"/>
      <c r="Z781" s="1027"/>
      <c r="AA781" s="1027"/>
      <c r="AB781" s="1027"/>
      <c r="AC781" s="1027"/>
      <c r="AE781" s="1028"/>
      <c r="AF781" s="1028"/>
      <c r="AG781" s="1028"/>
      <c r="AH781" s="1028"/>
      <c r="AI781" s="1028"/>
      <c r="AJ781" s="1028"/>
      <c r="AK781" s="1028"/>
      <c r="AL781" s="1028"/>
      <c r="AM781" s="1028"/>
      <c r="AN781" s="1028"/>
      <c r="AO781" s="1028"/>
      <c r="AP781" s="1028"/>
    </row>
    <row r="782" spans="1:42" s="913" customFormat="1" ht="26.25" thickBot="1">
      <c r="A782" s="1493">
        <v>34</v>
      </c>
      <c r="B782" s="1352" t="s">
        <v>310</v>
      </c>
      <c r="C782" s="1351"/>
      <c r="D782" s="1526">
        <f>+E782+F782+J782+N782</f>
        <v>2307345.4667094355</v>
      </c>
      <c r="E782" s="1526">
        <f>E781+E774</f>
        <v>0</v>
      </c>
      <c r="F782" s="1526">
        <f>F781+F774</f>
        <v>1206943.446087244</v>
      </c>
      <c r="G782" s="1526">
        <f>G781+G774</f>
        <v>160757.85190298376</v>
      </c>
      <c r="H782" s="1526">
        <f>H781+H774</f>
        <v>792619.9873953223</v>
      </c>
      <c r="I782" s="1526">
        <f>I781+I774</f>
        <v>147024.18132388545</v>
      </c>
      <c r="J782" s="1535">
        <f>G782+H782+I782</f>
        <v>1100402.0206221915</v>
      </c>
      <c r="K782" s="1526">
        <f>K781+K774</f>
        <v>0</v>
      </c>
      <c r="L782" s="1526">
        <f>L781+L774</f>
        <v>0</v>
      </c>
      <c r="M782" s="1527">
        <f>M781+M774</f>
        <v>0</v>
      </c>
      <c r="N782" s="1529">
        <f t="shared" si="131"/>
        <v>0</v>
      </c>
      <c r="O782" s="1024"/>
      <c r="P782" s="1025"/>
      <c r="Q782" s="724"/>
      <c r="R782" s="1027"/>
      <c r="S782" s="1027"/>
      <c r="T782" s="1027"/>
      <c r="U782" s="1027"/>
      <c r="V782" s="1027"/>
      <c r="W782" s="1027"/>
      <c r="X782" s="1027"/>
      <c r="Y782" s="1027"/>
      <c r="Z782" s="1027"/>
      <c r="AA782" s="1027"/>
      <c r="AB782" s="1027"/>
      <c r="AC782" s="1027"/>
      <c r="AE782" s="1028"/>
      <c r="AF782" s="1028"/>
      <c r="AG782" s="1028"/>
      <c r="AH782" s="1028"/>
      <c r="AI782" s="1028"/>
      <c r="AJ782" s="1028"/>
      <c r="AK782" s="1028"/>
      <c r="AL782" s="1028"/>
      <c r="AM782" s="1028"/>
      <c r="AN782" s="1028"/>
      <c r="AO782" s="1028"/>
      <c r="AP782" s="1028"/>
    </row>
    <row r="784" spans="1:42">
      <c r="B784" s="680"/>
      <c r="D784" s="679"/>
      <c r="E784" s="679"/>
      <c r="F784" s="679"/>
      <c r="G784" s="679"/>
      <c r="H784" s="679"/>
      <c r="I784" s="679"/>
      <c r="J784" s="679"/>
      <c r="K784" s="679"/>
      <c r="L784" s="679"/>
      <c r="M784" s="679"/>
      <c r="N784" s="911">
        <v>44</v>
      </c>
      <c r="O784" s="679"/>
    </row>
    <row r="785" spans="1:29">
      <c r="D785" s="679"/>
      <c r="E785" s="679"/>
      <c r="F785" s="679"/>
      <c r="G785" s="679"/>
      <c r="H785" s="679"/>
      <c r="I785" s="679"/>
      <c r="J785" s="679"/>
    </row>
    <row r="786" spans="1:29" ht="13.5" thickBot="1"/>
    <row r="787" spans="1:29" ht="15.75" customHeight="1" thickBot="1">
      <c r="A787" s="1368" t="s">
        <v>115</v>
      </c>
      <c r="B787" s="3533" t="s">
        <v>318</v>
      </c>
      <c r="C787" s="3534"/>
      <c r="M787" s="3538" t="s">
        <v>251</v>
      </c>
      <c r="N787" s="3538"/>
      <c r="O787" s="701"/>
    </row>
    <row r="788" spans="1:29" ht="12.75" customHeight="1" thickBot="1">
      <c r="A788" s="3555" t="s">
        <v>252</v>
      </c>
      <c r="B788" s="1467"/>
      <c r="C788" s="3523" t="s">
        <v>254</v>
      </c>
      <c r="D788" s="3562" t="s">
        <v>255</v>
      </c>
      <c r="E788" s="3562" t="s">
        <v>256</v>
      </c>
      <c r="F788" s="3562" t="s">
        <v>257</v>
      </c>
      <c r="G788" s="3565" t="s">
        <v>258</v>
      </c>
      <c r="H788" s="3566"/>
      <c r="I788" s="3566"/>
      <c r="J788" s="3566"/>
      <c r="K788" s="3566"/>
      <c r="L788" s="3566"/>
      <c r="M788" s="3566"/>
      <c r="N788" s="3567"/>
      <c r="O788" s="702"/>
    </row>
    <row r="789" spans="1:29" ht="12.75" customHeight="1" thickBot="1">
      <c r="A789" s="3556"/>
      <c r="B789" s="1468"/>
      <c r="C789" s="3524"/>
      <c r="D789" s="3563"/>
      <c r="E789" s="3563"/>
      <c r="F789" s="3563"/>
      <c r="G789" s="3529" t="s">
        <v>259</v>
      </c>
      <c r="H789" s="3530"/>
      <c r="I789" s="3530"/>
      <c r="J789" s="3531"/>
      <c r="K789" s="3568" t="s">
        <v>260</v>
      </c>
      <c r="L789" s="3569"/>
      <c r="M789" s="3569"/>
      <c r="N789" s="3570"/>
      <c r="O789" s="458"/>
    </row>
    <row r="790" spans="1:29" ht="39" thickBot="1">
      <c r="A790" s="3556"/>
      <c r="B790" s="1469"/>
      <c r="C790" s="3524"/>
      <c r="D790" s="3564"/>
      <c r="E790" s="3564"/>
      <c r="F790" s="3564"/>
      <c r="G790" s="1336" t="s">
        <v>261</v>
      </c>
      <c r="H790" s="1336" t="s">
        <v>262</v>
      </c>
      <c r="I790" s="1336" t="s">
        <v>263</v>
      </c>
      <c r="J790" s="1336" t="s">
        <v>158</v>
      </c>
      <c r="K790" s="1337" t="s">
        <v>264</v>
      </c>
      <c r="L790" s="1337" t="s">
        <v>265</v>
      </c>
      <c r="M790" s="1337" t="s">
        <v>266</v>
      </c>
      <c r="N790" s="1404" t="s">
        <v>158</v>
      </c>
      <c r="O790" s="443"/>
    </row>
    <row r="791" spans="1:29" ht="13.5" thickBot="1">
      <c r="A791" s="3556"/>
      <c r="B791" s="1468"/>
      <c r="C791" s="3524"/>
      <c r="D791" s="1470">
        <v>1</v>
      </c>
      <c r="E791" s="1471">
        <v>2</v>
      </c>
      <c r="F791" s="1471">
        <v>3</v>
      </c>
      <c r="G791" s="1472">
        <v>4</v>
      </c>
      <c r="H791" s="1471">
        <v>5</v>
      </c>
      <c r="I791" s="1473">
        <v>6</v>
      </c>
      <c r="J791" s="1474">
        <v>7</v>
      </c>
      <c r="K791" s="1472">
        <v>8</v>
      </c>
      <c r="L791" s="1471">
        <v>9</v>
      </c>
      <c r="M791" s="1496">
        <v>10</v>
      </c>
      <c r="N791" s="1470">
        <v>11</v>
      </c>
      <c r="O791" s="702"/>
    </row>
    <row r="792" spans="1:29" ht="13.5" thickBot="1">
      <c r="A792" s="3557"/>
      <c r="B792" s="1475"/>
      <c r="C792" s="3525"/>
      <c r="D792" s="1476"/>
      <c r="E792" s="1476"/>
      <c r="F792" s="1476"/>
      <c r="G792" s="1477"/>
      <c r="H792" s="1476"/>
      <c r="I792" s="1968"/>
      <c r="J792" s="1470" t="s">
        <v>267</v>
      </c>
      <c r="K792" s="1968"/>
      <c r="L792" s="1476"/>
      <c r="M792" s="1968"/>
      <c r="N792" s="1553" t="s">
        <v>268</v>
      </c>
      <c r="O792" s="703"/>
      <c r="P792" s="703"/>
      <c r="Q792" s="721"/>
    </row>
    <row r="793" spans="1:29">
      <c r="A793" s="1483"/>
      <c r="B793" s="1481" t="s">
        <v>269</v>
      </c>
      <c r="C793" s="1346"/>
      <c r="D793" s="2152"/>
      <c r="E793" s="1084"/>
      <c r="F793" s="1084"/>
      <c r="G793" s="1115"/>
      <c r="H793" s="1096"/>
      <c r="I793" s="1116"/>
      <c r="J793" s="1488"/>
      <c r="K793" s="996"/>
      <c r="L793" s="994"/>
      <c r="M793" s="997"/>
      <c r="N793" s="1518"/>
      <c r="Q793" s="731"/>
    </row>
    <row r="794" spans="1:29">
      <c r="A794" s="2301">
        <v>1</v>
      </c>
      <c r="B794" s="2302" t="s">
        <v>270</v>
      </c>
      <c r="C794" s="2155"/>
      <c r="D794" s="2303">
        <f>+E794+F794+J794+N794</f>
        <v>0</v>
      </c>
      <c r="E794" s="2419"/>
      <c r="F794" s="2419"/>
      <c r="G794" s="2423"/>
      <c r="H794" s="2422"/>
      <c r="I794" s="1117"/>
      <c r="J794" s="2324">
        <f>G794+H794+I794</f>
        <v>0</v>
      </c>
      <c r="K794" s="2304"/>
      <c r="L794" s="2304"/>
      <c r="M794" s="2325"/>
      <c r="N794" s="2324">
        <f>K794+L794+M794</f>
        <v>0</v>
      </c>
      <c r="O794" s="704"/>
      <c r="P794" s="705"/>
      <c r="Q794" s="731"/>
      <c r="R794" s="706"/>
      <c r="S794" s="706"/>
      <c r="T794" s="706"/>
      <c r="U794" s="706"/>
      <c r="V794" s="706"/>
      <c r="W794" s="706"/>
      <c r="X794" s="706"/>
      <c r="Y794" s="706"/>
      <c r="Z794" s="706"/>
      <c r="AA794" s="706"/>
      <c r="AB794" s="706"/>
      <c r="AC794" s="706"/>
    </row>
    <row r="795" spans="1:29">
      <c r="A795" s="2301">
        <v>2</v>
      </c>
      <c r="B795" s="2302" t="s">
        <v>271</v>
      </c>
      <c r="C795" s="2155"/>
      <c r="D795" s="2303">
        <f t="shared" ref="D795:D833" si="136">+E795+F795+J795+N795</f>
        <v>0</v>
      </c>
      <c r="E795" s="2419"/>
      <c r="F795" s="2419"/>
      <c r="G795" s="2423"/>
      <c r="H795" s="2422"/>
      <c r="I795" s="1117"/>
      <c r="J795" s="2324">
        <f t="shared" ref="J795:J805" si="137">G795+H795+I795</f>
        <v>0</v>
      </c>
      <c r="K795" s="2304"/>
      <c r="L795" s="2304"/>
      <c r="M795" s="2325"/>
      <c r="N795" s="2324">
        <f t="shared" ref="N795:N834" si="138">K795+L795+M795</f>
        <v>0</v>
      </c>
      <c r="O795" s="704"/>
      <c r="P795" s="705"/>
      <c r="Q795" s="731"/>
      <c r="R795" s="706"/>
      <c r="S795" s="706"/>
      <c r="T795" s="706"/>
      <c r="U795" s="706"/>
      <c r="V795" s="706"/>
      <c r="W795" s="706"/>
      <c r="X795" s="706"/>
      <c r="Y795" s="706"/>
      <c r="Z795" s="706"/>
      <c r="AA795" s="706"/>
      <c r="AB795" s="706"/>
      <c r="AC795" s="706"/>
    </row>
    <row r="796" spans="1:29">
      <c r="A796" s="2301">
        <v>3</v>
      </c>
      <c r="B796" s="2302" t="s">
        <v>272</v>
      </c>
      <c r="C796" s="2155"/>
      <c r="D796" s="2303">
        <f t="shared" si="136"/>
        <v>0</v>
      </c>
      <c r="E796" s="2419"/>
      <c r="F796" s="2419"/>
      <c r="G796" s="2423"/>
      <c r="H796" s="2422"/>
      <c r="I796" s="1117"/>
      <c r="J796" s="2324">
        <f t="shared" si="137"/>
        <v>0</v>
      </c>
      <c r="K796" s="2304"/>
      <c r="L796" s="2304"/>
      <c r="M796" s="2325"/>
      <c r="N796" s="2324">
        <f t="shared" si="138"/>
        <v>0</v>
      </c>
      <c r="O796" s="704"/>
      <c r="P796" s="705"/>
      <c r="Q796" s="731"/>
      <c r="R796" s="706"/>
      <c r="S796" s="706"/>
      <c r="T796" s="706"/>
      <c r="U796" s="706"/>
      <c r="V796" s="706"/>
      <c r="W796" s="706"/>
      <c r="X796" s="706"/>
      <c r="Y796" s="706"/>
      <c r="Z796" s="706"/>
      <c r="AA796" s="706"/>
      <c r="AB796" s="706"/>
      <c r="AC796" s="706"/>
    </row>
    <row r="797" spans="1:29" ht="15">
      <c r="A797" s="2301">
        <v>4</v>
      </c>
      <c r="B797" s="2302" t="s">
        <v>315</v>
      </c>
      <c r="C797" s="2155"/>
      <c r="D797" s="2303">
        <f t="shared" si="136"/>
        <v>458819.35668999999</v>
      </c>
      <c r="E797" s="2419"/>
      <c r="F797" s="2419">
        <v>0</v>
      </c>
      <c r="G797" s="2436">
        <v>406490.17508717097</v>
      </c>
      <c r="H797" s="2437">
        <v>52329.181602829034</v>
      </c>
      <c r="I797" s="1117"/>
      <c r="J797" s="2324">
        <f t="shared" si="137"/>
        <v>458819.35668999999</v>
      </c>
      <c r="K797" s="2304"/>
      <c r="L797" s="2304"/>
      <c r="M797" s="2325"/>
      <c r="N797" s="2324">
        <f t="shared" si="138"/>
        <v>0</v>
      </c>
      <c r="O797" s="704"/>
      <c r="P797" s="705"/>
      <c r="Q797" s="733"/>
      <c r="R797" s="706"/>
      <c r="S797" s="706"/>
      <c r="T797" s="706"/>
      <c r="U797" s="706"/>
      <c r="V797" s="706"/>
      <c r="W797" s="706"/>
      <c r="X797" s="706"/>
      <c r="Y797" s="706"/>
      <c r="Z797" s="706"/>
      <c r="AA797" s="706"/>
      <c r="AB797" s="706"/>
      <c r="AC797" s="706"/>
    </row>
    <row r="798" spans="1:29">
      <c r="A798" s="2301">
        <v>5</v>
      </c>
      <c r="B798" s="2302" t="s">
        <v>274</v>
      </c>
      <c r="C798" s="2161">
        <v>5</v>
      </c>
      <c r="D798" s="2303">
        <f t="shared" si="136"/>
        <v>86004.15</v>
      </c>
      <c r="E798" s="2419"/>
      <c r="F798" s="2419">
        <v>86004.15</v>
      </c>
      <c r="G798" s="2423">
        <v>0</v>
      </c>
      <c r="H798" s="2422"/>
      <c r="I798" s="1117"/>
      <c r="J798" s="2324">
        <f t="shared" si="137"/>
        <v>0</v>
      </c>
      <c r="K798" s="2304"/>
      <c r="L798" s="2304"/>
      <c r="M798" s="2325"/>
      <c r="N798" s="2324">
        <f t="shared" si="138"/>
        <v>0</v>
      </c>
      <c r="O798" s="704"/>
      <c r="P798" s="705"/>
      <c r="Q798" s="732"/>
      <c r="R798" s="706"/>
      <c r="S798" s="706"/>
      <c r="T798" s="706"/>
      <c r="U798" s="706"/>
      <c r="V798" s="706"/>
      <c r="W798" s="706"/>
      <c r="X798" s="706"/>
      <c r="Y798" s="706"/>
      <c r="Z798" s="706"/>
      <c r="AA798" s="706"/>
      <c r="AB798" s="706"/>
      <c r="AC798" s="706"/>
    </row>
    <row r="799" spans="1:29">
      <c r="A799" s="2301">
        <v>6</v>
      </c>
      <c r="B799" s="2302" t="s">
        <v>275</v>
      </c>
      <c r="C799" s="2155">
        <v>6</v>
      </c>
      <c r="D799" s="2303">
        <f t="shared" si="136"/>
        <v>0</v>
      </c>
      <c r="E799" s="2419"/>
      <c r="F799" s="2419"/>
      <c r="G799" s="2423"/>
      <c r="H799" s="2422"/>
      <c r="I799" s="1117"/>
      <c r="J799" s="2324">
        <f t="shared" si="137"/>
        <v>0</v>
      </c>
      <c r="K799" s="2304"/>
      <c r="L799" s="2304"/>
      <c r="M799" s="2325"/>
      <c r="N799" s="2324">
        <f t="shared" si="138"/>
        <v>0</v>
      </c>
      <c r="O799" s="704"/>
      <c r="P799" s="705"/>
      <c r="Q799" s="731"/>
      <c r="R799" s="706"/>
      <c r="S799" s="706"/>
      <c r="T799" s="706"/>
      <c r="U799" s="706"/>
      <c r="V799" s="706"/>
      <c r="W799" s="706"/>
      <c r="X799" s="706"/>
      <c r="Y799" s="706"/>
      <c r="Z799" s="706"/>
      <c r="AA799" s="706"/>
      <c r="AB799" s="706"/>
      <c r="AC799" s="706"/>
    </row>
    <row r="800" spans="1:29">
      <c r="A800" s="2301">
        <v>7</v>
      </c>
      <c r="B800" s="2302" t="s">
        <v>276</v>
      </c>
      <c r="C800" s="2161">
        <v>7</v>
      </c>
      <c r="D800" s="2303">
        <f t="shared" si="136"/>
        <v>1296543.3744999999</v>
      </c>
      <c r="E800" s="2304"/>
      <c r="F800" s="2304">
        <f>F801+F802</f>
        <v>1296543.3744999999</v>
      </c>
      <c r="G800" s="2325">
        <f t="shared" ref="G800:M800" si="139">G801+G802</f>
        <v>0</v>
      </c>
      <c r="H800" s="2306">
        <f t="shared" si="139"/>
        <v>0</v>
      </c>
      <c r="I800" s="1118">
        <f t="shared" si="139"/>
        <v>0</v>
      </c>
      <c r="J800" s="2324">
        <f t="shared" si="137"/>
        <v>0</v>
      </c>
      <c r="K800" s="2304">
        <f t="shared" si="139"/>
        <v>0</v>
      </c>
      <c r="L800" s="2304">
        <f t="shared" si="139"/>
        <v>0</v>
      </c>
      <c r="M800" s="2325">
        <f t="shared" si="139"/>
        <v>0</v>
      </c>
      <c r="N800" s="2324">
        <f t="shared" si="138"/>
        <v>0</v>
      </c>
      <c r="O800" s="704"/>
      <c r="P800" s="705"/>
      <c r="Q800" s="732"/>
      <c r="R800" s="706"/>
      <c r="S800" s="706"/>
      <c r="T800" s="706"/>
      <c r="U800" s="706"/>
      <c r="V800" s="706"/>
      <c r="W800" s="706"/>
      <c r="X800" s="706"/>
      <c r="Y800" s="706"/>
      <c r="Z800" s="706"/>
      <c r="AA800" s="706"/>
      <c r="AB800" s="706"/>
      <c r="AC800" s="706"/>
    </row>
    <row r="801" spans="1:42">
      <c r="A801" s="2307"/>
      <c r="B801" s="2162" t="s">
        <v>277</v>
      </c>
      <c r="C801" s="2161"/>
      <c r="D801" s="2303">
        <f t="shared" si="136"/>
        <v>0</v>
      </c>
      <c r="E801" s="2304"/>
      <c r="F801" s="2304"/>
      <c r="G801" s="2325"/>
      <c r="H801" s="2306"/>
      <c r="I801" s="1067"/>
      <c r="J801" s="2324">
        <f t="shared" si="137"/>
        <v>0</v>
      </c>
      <c r="K801" s="2304"/>
      <c r="L801" s="2304"/>
      <c r="M801" s="2325"/>
      <c r="N801" s="2324">
        <f t="shared" si="138"/>
        <v>0</v>
      </c>
      <c r="O801" s="704"/>
      <c r="P801" s="705"/>
      <c r="Q801" s="732"/>
      <c r="R801" s="706"/>
      <c r="S801" s="706"/>
      <c r="T801" s="706"/>
      <c r="U801" s="706"/>
      <c r="V801" s="706"/>
      <c r="W801" s="706"/>
      <c r="X801" s="706"/>
      <c r="Y801" s="706"/>
      <c r="Z801" s="706"/>
      <c r="AA801" s="706"/>
      <c r="AB801" s="706"/>
      <c r="AC801" s="706"/>
    </row>
    <row r="802" spans="1:42">
      <c r="A802" s="2307"/>
      <c r="B802" s="2162" t="s">
        <v>278</v>
      </c>
      <c r="C802" s="2161"/>
      <c r="D802" s="2303">
        <f t="shared" si="136"/>
        <v>1296543.3744999999</v>
      </c>
      <c r="E802" s="2416"/>
      <c r="F802" s="2438">
        <v>1296543.3744999999</v>
      </c>
      <c r="G802" s="2423"/>
      <c r="H802" s="2422"/>
      <c r="I802" s="2439"/>
      <c r="J802" s="2324">
        <f t="shared" si="137"/>
        <v>0</v>
      </c>
      <c r="K802" s="2304"/>
      <c r="L802" s="2304"/>
      <c r="M802" s="2325"/>
      <c r="N802" s="2324">
        <f t="shared" si="138"/>
        <v>0</v>
      </c>
      <c r="O802" s="704"/>
      <c r="P802" s="705"/>
      <c r="Q802" s="732"/>
      <c r="R802" s="706"/>
      <c r="S802" s="706"/>
      <c r="T802" s="706"/>
      <c r="U802" s="706"/>
      <c r="V802" s="706"/>
      <c r="W802" s="706"/>
      <c r="X802" s="706"/>
      <c r="Y802" s="706"/>
      <c r="Z802" s="706"/>
      <c r="AA802" s="706"/>
      <c r="AB802" s="706"/>
      <c r="AC802" s="706"/>
    </row>
    <row r="803" spans="1:42">
      <c r="A803" s="2301">
        <v>8</v>
      </c>
      <c r="B803" s="2302" t="s">
        <v>279</v>
      </c>
      <c r="C803" s="2155">
        <v>8</v>
      </c>
      <c r="D803" s="2303">
        <f t="shared" si="136"/>
        <v>0</v>
      </c>
      <c r="E803" s="2304"/>
      <c r="F803" s="2304">
        <f>F804+F805</f>
        <v>0</v>
      </c>
      <c r="G803" s="2325">
        <f t="shared" ref="G803:M803" si="140">G804+G805</f>
        <v>0</v>
      </c>
      <c r="H803" s="2306">
        <f t="shared" si="140"/>
        <v>0</v>
      </c>
      <c r="I803" s="2325">
        <f t="shared" si="140"/>
        <v>0</v>
      </c>
      <c r="J803" s="2324">
        <f t="shared" si="137"/>
        <v>0</v>
      </c>
      <c r="K803" s="2304">
        <f t="shared" si="140"/>
        <v>0</v>
      </c>
      <c r="L803" s="2304">
        <f t="shared" si="140"/>
        <v>0</v>
      </c>
      <c r="M803" s="2325">
        <f t="shared" si="140"/>
        <v>0</v>
      </c>
      <c r="N803" s="2324">
        <f t="shared" si="138"/>
        <v>0</v>
      </c>
      <c r="O803" s="704"/>
      <c r="P803" s="705"/>
      <c r="Q803" s="731"/>
      <c r="R803" s="706"/>
      <c r="S803" s="706"/>
      <c r="T803" s="706"/>
      <c r="U803" s="706"/>
      <c r="V803" s="706"/>
      <c r="W803" s="706"/>
      <c r="X803" s="706"/>
      <c r="Y803" s="706"/>
      <c r="Z803" s="706"/>
      <c r="AA803" s="706"/>
      <c r="AB803" s="706"/>
      <c r="AC803" s="706"/>
    </row>
    <row r="804" spans="1:42">
      <c r="A804" s="2301"/>
      <c r="B804" s="2162" t="s">
        <v>280</v>
      </c>
      <c r="C804" s="2155"/>
      <c r="D804" s="2303">
        <f t="shared" si="136"/>
        <v>0</v>
      </c>
      <c r="E804" s="2304"/>
      <c r="F804" s="2304"/>
      <c r="G804" s="2325"/>
      <c r="H804" s="2306"/>
      <c r="I804" s="2325"/>
      <c r="J804" s="2324">
        <f t="shared" si="137"/>
        <v>0</v>
      </c>
      <c r="K804" s="2304"/>
      <c r="L804" s="2304"/>
      <c r="M804" s="2325"/>
      <c r="N804" s="2324">
        <f t="shared" si="138"/>
        <v>0</v>
      </c>
      <c r="O804" s="704"/>
      <c r="P804" s="705"/>
      <c r="Q804" s="731"/>
      <c r="R804" s="706"/>
      <c r="S804" s="706"/>
      <c r="T804" s="706"/>
      <c r="U804" s="706"/>
      <c r="V804" s="706"/>
      <c r="W804" s="706"/>
      <c r="X804" s="706"/>
      <c r="Y804" s="706"/>
      <c r="Z804" s="706"/>
      <c r="AA804" s="706"/>
      <c r="AB804" s="706"/>
      <c r="AC804" s="706"/>
    </row>
    <row r="805" spans="1:42">
      <c r="A805" s="2301"/>
      <c r="B805" s="2162" t="s">
        <v>281</v>
      </c>
      <c r="C805" s="2155"/>
      <c r="D805" s="2303">
        <f t="shared" si="136"/>
        <v>0</v>
      </c>
      <c r="E805" s="2304"/>
      <c r="F805" s="2304"/>
      <c r="G805" s="2325"/>
      <c r="H805" s="2306"/>
      <c r="I805" s="2325"/>
      <c r="J805" s="2324">
        <f t="shared" si="137"/>
        <v>0</v>
      </c>
      <c r="K805" s="2304"/>
      <c r="L805" s="2304"/>
      <c r="M805" s="2325"/>
      <c r="N805" s="2324">
        <f t="shared" si="138"/>
        <v>0</v>
      </c>
      <c r="O805" s="704"/>
      <c r="P805" s="705"/>
      <c r="Q805" s="732"/>
      <c r="R805" s="706"/>
      <c r="S805" s="706"/>
      <c r="T805" s="706"/>
      <c r="U805" s="706"/>
      <c r="V805" s="706"/>
      <c r="W805" s="706"/>
      <c r="X805" s="706"/>
      <c r="Y805" s="706"/>
      <c r="Z805" s="706"/>
      <c r="AA805" s="706"/>
      <c r="AB805" s="706"/>
      <c r="AC805" s="706"/>
    </row>
    <row r="806" spans="1:42" s="913" customFormat="1" ht="25.5">
      <c r="A806" s="2163">
        <v>9</v>
      </c>
      <c r="B806" s="2164" t="s">
        <v>282</v>
      </c>
      <c r="C806" s="2165"/>
      <c r="D806" s="2166">
        <f t="shared" si="136"/>
        <v>138614217.36723444</v>
      </c>
      <c r="E806" s="2167">
        <f>SUM(E807:E810)</f>
        <v>0</v>
      </c>
      <c r="F806" s="2167">
        <f>SUM(F807:F810)</f>
        <v>13388961.71315</v>
      </c>
      <c r="G806" s="2169">
        <f>SUM(G807:G810)</f>
        <v>116767030.73678276</v>
      </c>
      <c r="H806" s="2253">
        <f>SUM(H807:H810)</f>
        <v>8458224.9173016772</v>
      </c>
      <c r="I806" s="2169">
        <f>SUM(I807:I810)</f>
        <v>0</v>
      </c>
      <c r="J806" s="2170">
        <f>G806+H806+I806</f>
        <v>125225255.65408444</v>
      </c>
      <c r="K806" s="2167">
        <f>SUM(K807:K810)</f>
        <v>0</v>
      </c>
      <c r="L806" s="2167">
        <f>SUM(L807:L810)</f>
        <v>0</v>
      </c>
      <c r="M806" s="2169">
        <f>SUM(M807:M810)</f>
        <v>0</v>
      </c>
      <c r="N806" s="2336">
        <f t="shared" si="138"/>
        <v>0</v>
      </c>
      <c r="O806" s="1024"/>
      <c r="P806" s="1025"/>
      <c r="Q806" s="1109"/>
      <c r="R806" s="1027"/>
      <c r="S806" s="1027"/>
      <c r="T806" s="1027"/>
      <c r="U806" s="1027"/>
      <c r="V806" s="1027"/>
      <c r="W806" s="1027"/>
      <c r="X806" s="1027"/>
      <c r="Y806" s="1027"/>
      <c r="Z806" s="1027"/>
      <c r="AA806" s="1027"/>
      <c r="AB806" s="1027"/>
      <c r="AC806" s="1027"/>
      <c r="AE806" s="1028"/>
      <c r="AF806" s="1028"/>
      <c r="AG806" s="1028"/>
      <c r="AH806" s="1028"/>
      <c r="AI806" s="1028"/>
      <c r="AJ806" s="1028"/>
      <c r="AK806" s="1028"/>
      <c r="AL806" s="1028"/>
      <c r="AM806" s="1028"/>
      <c r="AN806" s="1028"/>
      <c r="AO806" s="1028"/>
      <c r="AP806" s="1028"/>
    </row>
    <row r="807" spans="1:42">
      <c r="A807" s="2155">
        <v>10</v>
      </c>
      <c r="B807" s="2171" t="s">
        <v>283</v>
      </c>
      <c r="C807" s="2155">
        <v>9</v>
      </c>
      <c r="D807" s="2156">
        <f t="shared" si="136"/>
        <v>51319075.261520006</v>
      </c>
      <c r="E807" s="2419"/>
      <c r="F807" s="2419">
        <v>593668.51568999991</v>
      </c>
      <c r="G807" s="2423">
        <v>48239522.130799226</v>
      </c>
      <c r="H807" s="2422">
        <v>2485884.6150307804</v>
      </c>
      <c r="I807" s="2439"/>
      <c r="J807" s="2160">
        <f t="shared" ref="J807:J825" si="141">G807+H807+I807</f>
        <v>50725406.745830007</v>
      </c>
      <c r="K807" s="2157"/>
      <c r="L807" s="2157"/>
      <c r="M807" s="2159"/>
      <c r="N807" s="2324">
        <f t="shared" si="138"/>
        <v>0</v>
      </c>
      <c r="O807" s="704"/>
      <c r="P807" s="705"/>
      <c r="Q807" s="731"/>
      <c r="R807" s="706"/>
      <c r="S807" s="706"/>
      <c r="T807" s="706"/>
      <c r="U807" s="706"/>
      <c r="V807" s="706"/>
      <c r="W807" s="706"/>
      <c r="X807" s="706"/>
      <c r="Y807" s="706"/>
      <c r="Z807" s="706"/>
      <c r="AA807" s="706"/>
      <c r="AB807" s="706"/>
      <c r="AC807" s="706"/>
    </row>
    <row r="808" spans="1:42">
      <c r="A808" s="2155">
        <v>11</v>
      </c>
      <c r="B808" s="2171" t="s">
        <v>284</v>
      </c>
      <c r="C808" s="2155">
        <v>10</v>
      </c>
      <c r="D808" s="2156">
        <f t="shared" si="136"/>
        <v>32654201.996364422</v>
      </c>
      <c r="E808" s="2419"/>
      <c r="F808" s="2419">
        <v>4082414.4879000001</v>
      </c>
      <c r="G808" s="2423">
        <v>23740249.752044421</v>
      </c>
      <c r="H808" s="2424">
        <v>4831537.7564200005</v>
      </c>
      <c r="I808" s="2423"/>
      <c r="J808" s="2160">
        <f t="shared" si="141"/>
        <v>28571787.508464422</v>
      </c>
      <c r="K808" s="2157"/>
      <c r="L808" s="2157"/>
      <c r="M808" s="2159"/>
      <c r="N808" s="2324">
        <f t="shared" si="138"/>
        <v>0</v>
      </c>
      <c r="O808" s="704"/>
      <c r="P808" s="705"/>
      <c r="Q808" s="731"/>
      <c r="R808" s="706"/>
      <c r="S808" s="706"/>
      <c r="T808" s="706"/>
      <c r="U808" s="706"/>
      <c r="V808" s="706"/>
      <c r="W808" s="706"/>
      <c r="X808" s="706"/>
      <c r="Y808" s="706"/>
      <c r="Z808" s="706"/>
      <c r="AA808" s="706"/>
      <c r="AB808" s="706"/>
      <c r="AC808" s="706"/>
    </row>
    <row r="809" spans="1:42">
      <c r="A809" s="2155">
        <v>12</v>
      </c>
      <c r="B809" s="2171" t="s">
        <v>285</v>
      </c>
      <c r="C809" s="2155">
        <v>11</v>
      </c>
      <c r="D809" s="2156">
        <f t="shared" si="136"/>
        <v>43263215.865630001</v>
      </c>
      <c r="E809" s="2419"/>
      <c r="F809" s="2419">
        <v>5844053.2386299996</v>
      </c>
      <c r="G809" s="2423">
        <v>36903791.020924956</v>
      </c>
      <c r="H809" s="2424">
        <v>515371.60607505008</v>
      </c>
      <c r="I809" s="2423"/>
      <c r="J809" s="2160">
        <f t="shared" si="141"/>
        <v>37419162.627000004</v>
      </c>
      <c r="K809" s="2157"/>
      <c r="L809" s="2157"/>
      <c r="M809" s="2159"/>
      <c r="N809" s="2324">
        <f t="shared" si="138"/>
        <v>0</v>
      </c>
      <c r="O809" s="704"/>
      <c r="P809" s="705"/>
      <c r="Q809" s="731"/>
      <c r="R809" s="706"/>
      <c r="S809" s="706"/>
      <c r="T809" s="706"/>
      <c r="U809" s="706"/>
      <c r="V809" s="706"/>
      <c r="W809" s="706"/>
      <c r="X809" s="706"/>
      <c r="Y809" s="706"/>
      <c r="Z809" s="706"/>
      <c r="AA809" s="706"/>
      <c r="AB809" s="706"/>
      <c r="AC809" s="706"/>
    </row>
    <row r="810" spans="1:42" ht="25.5">
      <c r="A810" s="2155">
        <v>13</v>
      </c>
      <c r="B810" s="2171" t="s">
        <v>286</v>
      </c>
      <c r="C810" s="2155">
        <v>12</v>
      </c>
      <c r="D810" s="2156">
        <f t="shared" si="136"/>
        <v>11377724.243720004</v>
      </c>
      <c r="E810" s="2419"/>
      <c r="F810" s="2419">
        <v>2868825.4709300003</v>
      </c>
      <c r="G810" s="2423">
        <v>7883467.8330141567</v>
      </c>
      <c r="H810" s="2424">
        <v>625430.93977584608</v>
      </c>
      <c r="I810" s="2423"/>
      <c r="J810" s="2160">
        <f t="shared" si="141"/>
        <v>8508898.7727900036</v>
      </c>
      <c r="K810" s="2157"/>
      <c r="L810" s="2157"/>
      <c r="M810" s="2159"/>
      <c r="N810" s="2324">
        <f t="shared" si="138"/>
        <v>0</v>
      </c>
      <c r="O810" s="704"/>
      <c r="P810" s="705"/>
      <c r="Q810" s="731"/>
      <c r="R810" s="706"/>
      <c r="S810" s="706"/>
      <c r="T810" s="706"/>
      <c r="U810" s="706"/>
      <c r="V810" s="706"/>
      <c r="W810" s="706"/>
      <c r="X810" s="706"/>
      <c r="Y810" s="706"/>
      <c r="Z810" s="706"/>
      <c r="AA810" s="706"/>
      <c r="AB810" s="706"/>
      <c r="AC810" s="706"/>
    </row>
    <row r="811" spans="1:42">
      <c r="A811" s="2155">
        <v>14</v>
      </c>
      <c r="B811" s="2154" t="s">
        <v>287</v>
      </c>
      <c r="C811" s="2155">
        <v>13</v>
      </c>
      <c r="D811" s="2156">
        <f t="shared" si="136"/>
        <v>1728552.6731099999</v>
      </c>
      <c r="E811" s="2419"/>
      <c r="F811" s="2419">
        <v>0</v>
      </c>
      <c r="G811" s="2439">
        <v>1727229.6900883783</v>
      </c>
      <c r="H811" s="2424">
        <v>1322.9830216216492</v>
      </c>
      <c r="I811" s="2439"/>
      <c r="J811" s="2160">
        <f t="shared" si="141"/>
        <v>1728552.6731099999</v>
      </c>
      <c r="K811" s="2157"/>
      <c r="L811" s="2157"/>
      <c r="M811" s="2159"/>
      <c r="N811" s="2324">
        <f t="shared" si="138"/>
        <v>0</v>
      </c>
      <c r="O811" s="704"/>
      <c r="P811" s="705"/>
      <c r="Q811" s="732"/>
      <c r="R811" s="706"/>
      <c r="S811" s="706"/>
      <c r="T811" s="706"/>
      <c r="U811" s="706"/>
      <c r="V811" s="706"/>
      <c r="W811" s="706"/>
      <c r="X811" s="706"/>
      <c r="Y811" s="706"/>
      <c r="Z811" s="706"/>
      <c r="AA811" s="706"/>
      <c r="AB811" s="706"/>
      <c r="AC811" s="706"/>
    </row>
    <row r="812" spans="1:42">
      <c r="A812" s="2155">
        <v>15</v>
      </c>
      <c r="B812" s="2154" t="s">
        <v>288</v>
      </c>
      <c r="C812" s="2161">
        <v>14</v>
      </c>
      <c r="D812" s="2156">
        <f t="shared" si="136"/>
        <v>488858.56994000002</v>
      </c>
      <c r="E812" s="2419"/>
      <c r="F812" s="2419">
        <v>0</v>
      </c>
      <c r="G812" s="2439">
        <v>433105.49240662745</v>
      </c>
      <c r="H812" s="2424">
        <v>55753.07753337254</v>
      </c>
      <c r="I812" s="2439"/>
      <c r="J812" s="2160">
        <f t="shared" si="141"/>
        <v>488858.56994000002</v>
      </c>
      <c r="K812" s="2157"/>
      <c r="L812" s="2157"/>
      <c r="M812" s="2159"/>
      <c r="N812" s="2324">
        <f t="shared" si="138"/>
        <v>0</v>
      </c>
      <c r="O812" s="704"/>
      <c r="P812" s="705"/>
      <c r="Q812" s="731"/>
      <c r="R812" s="706"/>
      <c r="S812" s="706"/>
      <c r="T812" s="706"/>
      <c r="U812" s="706"/>
      <c r="V812" s="706"/>
      <c r="W812" s="706"/>
      <c r="X812" s="706"/>
      <c r="Y812" s="706"/>
      <c r="Z812" s="706"/>
      <c r="AA812" s="706"/>
      <c r="AB812" s="706"/>
      <c r="AC812" s="706"/>
    </row>
    <row r="813" spans="1:42">
      <c r="A813" s="2155">
        <v>16</v>
      </c>
      <c r="B813" s="2154" t="s">
        <v>289</v>
      </c>
      <c r="C813" s="2155">
        <v>15</v>
      </c>
      <c r="D813" s="2156">
        <f t="shared" si="136"/>
        <v>531494.60484000004</v>
      </c>
      <c r="E813" s="2419"/>
      <c r="F813" s="2419">
        <v>0</v>
      </c>
      <c r="G813" s="2439">
        <v>470878.99588002893</v>
      </c>
      <c r="H813" s="2424">
        <v>60615.60895997109</v>
      </c>
      <c r="I813" s="2439"/>
      <c r="J813" s="2160">
        <f t="shared" si="141"/>
        <v>531494.60484000004</v>
      </c>
      <c r="K813" s="2157"/>
      <c r="L813" s="2157"/>
      <c r="M813" s="2159"/>
      <c r="N813" s="2324">
        <f t="shared" si="138"/>
        <v>0</v>
      </c>
      <c r="O813" s="704"/>
      <c r="P813" s="705"/>
      <c r="Q813" s="732"/>
      <c r="R813" s="706"/>
      <c r="S813" s="706"/>
      <c r="T813" s="706"/>
      <c r="U813" s="706"/>
      <c r="V813" s="706"/>
      <c r="W813" s="706"/>
      <c r="X813" s="706"/>
      <c r="Y813" s="706"/>
      <c r="Z813" s="706"/>
      <c r="AA813" s="706"/>
      <c r="AB813" s="706"/>
      <c r="AC813" s="706"/>
    </row>
    <row r="814" spans="1:42">
      <c r="A814" s="2155">
        <v>17</v>
      </c>
      <c r="B814" s="2154" t="s">
        <v>290</v>
      </c>
      <c r="C814" s="2161">
        <v>16</v>
      </c>
      <c r="D814" s="2156">
        <f t="shared" si="136"/>
        <v>3883948.872570002</v>
      </c>
      <c r="E814" s="2419"/>
      <c r="F814" s="2419">
        <v>714187.6457900001</v>
      </c>
      <c r="G814" s="2423">
        <f>2807776.47526049</f>
        <v>2807776.4752604901</v>
      </c>
      <c r="H814" s="2424">
        <f>361984.751519512</f>
        <v>361984.75151951198</v>
      </c>
      <c r="I814" s="2423"/>
      <c r="J814" s="2160">
        <f t="shared" si="141"/>
        <v>3169761.226780002</v>
      </c>
      <c r="K814" s="2157"/>
      <c r="L814" s="2157"/>
      <c r="M814" s="2159"/>
      <c r="N814" s="2324">
        <f t="shared" si="138"/>
        <v>0</v>
      </c>
      <c r="O814" s="704"/>
      <c r="P814" s="705"/>
      <c r="Q814" s="734"/>
      <c r="R814" s="706"/>
      <c r="S814" s="706"/>
      <c r="T814" s="706"/>
      <c r="U814" s="706"/>
      <c r="V814" s="706"/>
      <c r="W814" s="706"/>
      <c r="X814" s="706"/>
      <c r="Y814" s="706"/>
      <c r="Z814" s="706"/>
      <c r="AA814" s="706"/>
      <c r="AB814" s="706"/>
      <c r="AC814" s="706"/>
    </row>
    <row r="815" spans="1:42">
      <c r="A815" s="2155">
        <v>18</v>
      </c>
      <c r="B815" s="2154" t="s">
        <v>291</v>
      </c>
      <c r="C815" s="2155"/>
      <c r="D815" s="2156">
        <f t="shared" si="136"/>
        <v>0</v>
      </c>
      <c r="E815" s="2427"/>
      <c r="F815" s="2427">
        <v>0</v>
      </c>
      <c r="G815" s="2428"/>
      <c r="H815" s="2429"/>
      <c r="I815" s="2428"/>
      <c r="J815" s="2160">
        <f t="shared" si="141"/>
        <v>0</v>
      </c>
      <c r="K815" s="2157"/>
      <c r="L815" s="2157"/>
      <c r="M815" s="2159"/>
      <c r="N815" s="2324">
        <f t="shared" si="138"/>
        <v>0</v>
      </c>
      <c r="O815" s="704"/>
      <c r="P815" s="705"/>
      <c r="Q815" s="731"/>
      <c r="R815" s="706"/>
      <c r="S815" s="706"/>
      <c r="T815" s="706"/>
      <c r="U815" s="706"/>
      <c r="V815" s="706"/>
      <c r="W815" s="706"/>
      <c r="X815" s="706"/>
      <c r="Y815" s="706"/>
      <c r="Z815" s="706"/>
      <c r="AA815" s="706"/>
      <c r="AB815" s="706"/>
      <c r="AC815" s="706"/>
    </row>
    <row r="816" spans="1:42" ht="13.5" thickBot="1">
      <c r="A816" s="2172">
        <v>19</v>
      </c>
      <c r="B816" s="2173" t="s">
        <v>292</v>
      </c>
      <c r="C816" s="2172"/>
      <c r="D816" s="1361">
        <f t="shared" si="136"/>
        <v>12963071.07756</v>
      </c>
      <c r="E816" s="1098"/>
      <c r="F816" s="1098">
        <v>2170556.2972959722</v>
      </c>
      <c r="G816" s="1094">
        <v>5176740.4581655711</v>
      </c>
      <c r="H816" s="2426">
        <v>5615774.3220984573</v>
      </c>
      <c r="I816" s="1122"/>
      <c r="J816" s="2174">
        <f t="shared" si="141"/>
        <v>10792514.780264027</v>
      </c>
      <c r="K816" s="1097"/>
      <c r="L816" s="1097"/>
      <c r="M816" s="1235"/>
      <c r="N816" s="2376">
        <f t="shared" si="138"/>
        <v>0</v>
      </c>
      <c r="O816" s="704"/>
      <c r="P816" s="705"/>
      <c r="Q816" s="731"/>
      <c r="R816" s="706"/>
      <c r="S816" s="706"/>
      <c r="T816" s="706"/>
      <c r="U816" s="706"/>
      <c r="V816" s="706"/>
      <c r="W816" s="706"/>
      <c r="X816" s="706"/>
      <c r="Y816" s="706"/>
      <c r="Z816" s="706"/>
      <c r="AA816" s="706"/>
      <c r="AB816" s="706"/>
      <c r="AC816" s="706"/>
    </row>
    <row r="817" spans="1:42" s="913" customFormat="1" ht="26.25" thickBot="1">
      <c r="A817" s="1351">
        <v>20</v>
      </c>
      <c r="B817" s="1352" t="s">
        <v>293</v>
      </c>
      <c r="C817" s="1351"/>
      <c r="D817" s="1353">
        <f>+E817+F817+J817+N817</f>
        <v>160051510.04644445</v>
      </c>
      <c r="E817" s="1353">
        <f>SUM(E794:E800)+E803+E806+SUM(E811:E816)</f>
        <v>0</v>
      </c>
      <c r="F817" s="1353">
        <f>SUM(F794:F800)+F803+F806+SUM(F811:F816)</f>
        <v>17656253.180735972</v>
      </c>
      <c r="G817" s="1354">
        <f>SUM(G794:G800)+G803+G806+SUM(G811:G816)</f>
        <v>127789252.02367103</v>
      </c>
      <c r="H817" s="1355">
        <f>SUM(H794:H800)+H803+H806+SUM(H811:H816)</f>
        <v>14606004.842037439</v>
      </c>
      <c r="I817" s="1354">
        <f>SUM(I794:I800)+I803+I806+SUM(I811:I816)</f>
        <v>0</v>
      </c>
      <c r="J817" s="1355">
        <f>G817+H817+I817</f>
        <v>142395256.86570847</v>
      </c>
      <c r="K817" s="1353">
        <f>SUM(K794:K800)+K803+K806+SUM(K811:K816)</f>
        <v>0</v>
      </c>
      <c r="L817" s="1353">
        <f>SUM(L794:L800)+L803+L806+SUM(L811:L816)</f>
        <v>0</v>
      </c>
      <c r="M817" s="1354">
        <f>SUM(M794:M800)+M803+M806+SUM(M811:M816)</f>
        <v>0</v>
      </c>
      <c r="N817" s="1495">
        <f>K817+L817+M817</f>
        <v>0</v>
      </c>
      <c r="O817" s="1024"/>
      <c r="P817" s="1025"/>
      <c r="Q817" s="1109"/>
      <c r="R817" s="1027"/>
      <c r="S817" s="1027"/>
      <c r="T817" s="1027"/>
      <c r="U817" s="1027"/>
      <c r="V817" s="1027"/>
      <c r="W817" s="1027"/>
      <c r="X817" s="1027"/>
      <c r="Y817" s="1027"/>
      <c r="Z817" s="1027"/>
      <c r="AA817" s="1027"/>
      <c r="AB817" s="1027"/>
      <c r="AC817" s="1027"/>
      <c r="AE817" s="1028"/>
      <c r="AF817" s="1028"/>
      <c r="AG817" s="1028"/>
      <c r="AH817" s="1028"/>
      <c r="AI817" s="1028"/>
      <c r="AJ817" s="1028"/>
      <c r="AK817" s="1028"/>
      <c r="AL817" s="1028"/>
      <c r="AM817" s="1028"/>
      <c r="AN817" s="1028"/>
      <c r="AO817" s="1028"/>
      <c r="AP817" s="1028"/>
    </row>
    <row r="818" spans="1:42">
      <c r="A818" s="1346"/>
      <c r="B818" s="1347" t="s">
        <v>294</v>
      </c>
      <c r="C818" s="1346"/>
      <c r="D818" s="1416">
        <f t="shared" si="136"/>
        <v>0</v>
      </c>
      <c r="E818" s="1095"/>
      <c r="F818" s="1095"/>
      <c r="G818" s="1115"/>
      <c r="H818" s="1096"/>
      <c r="I818" s="1119"/>
      <c r="J818" s="1363">
        <f t="shared" si="141"/>
        <v>0</v>
      </c>
      <c r="K818" s="1088"/>
      <c r="L818" s="1088"/>
      <c r="M818" s="1165"/>
      <c r="N818" s="1488">
        <f t="shared" si="138"/>
        <v>0</v>
      </c>
      <c r="O818" s="704"/>
      <c r="P818" s="705"/>
      <c r="Q818" s="731"/>
      <c r="R818" s="706"/>
      <c r="S818" s="706"/>
      <c r="T818" s="706"/>
      <c r="U818" s="706"/>
      <c r="V818" s="706"/>
      <c r="W818" s="706"/>
      <c r="X818" s="706"/>
      <c r="Y818" s="706"/>
      <c r="Z818" s="706"/>
      <c r="AA818" s="706"/>
      <c r="AB818" s="706"/>
      <c r="AC818" s="706"/>
    </row>
    <row r="819" spans="1:42">
      <c r="A819" s="2155"/>
      <c r="B819" s="2175" t="s">
        <v>295</v>
      </c>
      <c r="C819" s="2155"/>
      <c r="D819" s="2156">
        <f t="shared" si="136"/>
        <v>0</v>
      </c>
      <c r="E819" s="2419"/>
      <c r="F819" s="2419"/>
      <c r="G819" s="2423"/>
      <c r="H819" s="2422"/>
      <c r="I819" s="2439"/>
      <c r="J819" s="2160">
        <f t="shared" si="141"/>
        <v>0</v>
      </c>
      <c r="K819" s="2157"/>
      <c r="L819" s="2157"/>
      <c r="M819" s="2159"/>
      <c r="N819" s="2324">
        <f t="shared" si="138"/>
        <v>0</v>
      </c>
      <c r="O819" s="704"/>
      <c r="P819" s="705"/>
      <c r="Q819" s="732"/>
      <c r="R819" s="706"/>
      <c r="S819" s="706"/>
      <c r="T819" s="706"/>
      <c r="U819" s="706"/>
      <c r="V819" s="706"/>
      <c r="W819" s="706"/>
      <c r="X819" s="706"/>
      <c r="Y819" s="706"/>
      <c r="Z819" s="706"/>
      <c r="AA819" s="706"/>
      <c r="AB819" s="706"/>
      <c r="AC819" s="706"/>
    </row>
    <row r="820" spans="1:42">
      <c r="A820" s="2155">
        <v>21</v>
      </c>
      <c r="B820" s="2154" t="s">
        <v>296</v>
      </c>
      <c r="C820" s="2161">
        <v>17</v>
      </c>
      <c r="D820" s="2156">
        <f t="shared" si="136"/>
        <v>134013541.7283134</v>
      </c>
      <c r="E820" s="2419"/>
      <c r="F820" s="2419">
        <v>0</v>
      </c>
      <c r="G820" s="2423">
        <v>120363449.86202189</v>
      </c>
      <c r="H820" s="2422">
        <v>13650091.866291512</v>
      </c>
      <c r="I820" s="2439"/>
      <c r="J820" s="2160">
        <f t="shared" si="141"/>
        <v>134013541.7283134</v>
      </c>
      <c r="K820" s="2157"/>
      <c r="L820" s="2157"/>
      <c r="M820" s="2159"/>
      <c r="N820" s="2324">
        <f t="shared" si="138"/>
        <v>0</v>
      </c>
      <c r="O820" s="704"/>
      <c r="P820" s="705"/>
      <c r="Q820" s="731"/>
      <c r="R820" s="706"/>
      <c r="S820" s="706"/>
      <c r="T820" s="706"/>
      <c r="U820" s="706"/>
      <c r="V820" s="706"/>
      <c r="W820" s="706"/>
      <c r="X820" s="706"/>
      <c r="Y820" s="706"/>
      <c r="Z820" s="706"/>
      <c r="AA820" s="706"/>
      <c r="AB820" s="706"/>
      <c r="AC820" s="706"/>
    </row>
    <row r="821" spans="1:42">
      <c r="A821" s="2155">
        <v>22</v>
      </c>
      <c r="B821" s="2154" t="s">
        <v>297</v>
      </c>
      <c r="C821" s="2155"/>
      <c r="D821" s="2156">
        <f t="shared" si="136"/>
        <v>1221234.1559599999</v>
      </c>
      <c r="E821" s="2419"/>
      <c r="F821" s="2419">
        <v>0</v>
      </c>
      <c r="G821" s="2423">
        <v>1081955.5040750643</v>
      </c>
      <c r="H821" s="2422">
        <v>139278.65188493548</v>
      </c>
      <c r="I821" s="2439"/>
      <c r="J821" s="2160">
        <f t="shared" si="141"/>
        <v>1221234.1559599999</v>
      </c>
      <c r="K821" s="2157"/>
      <c r="L821" s="2157"/>
      <c r="M821" s="2159"/>
      <c r="N821" s="2324">
        <f t="shared" si="138"/>
        <v>0</v>
      </c>
      <c r="O821" s="704"/>
      <c r="P821" s="705"/>
      <c r="Q821" s="731"/>
      <c r="R821" s="706"/>
      <c r="S821" s="706"/>
      <c r="T821" s="706"/>
      <c r="U821" s="706"/>
      <c r="V821" s="706"/>
      <c r="W821" s="706"/>
      <c r="X821" s="706"/>
      <c r="Y821" s="706"/>
      <c r="Z821" s="706"/>
      <c r="AA821" s="706"/>
      <c r="AB821" s="706"/>
      <c r="AC821" s="706"/>
    </row>
    <row r="822" spans="1:42">
      <c r="A822" s="2155">
        <v>23</v>
      </c>
      <c r="B822" s="2154" t="s">
        <v>298</v>
      </c>
      <c r="C822" s="2155">
        <v>18</v>
      </c>
      <c r="D822" s="2156">
        <f t="shared" si="136"/>
        <v>615341.38137519569</v>
      </c>
      <c r="E822" s="2419"/>
      <c r="F822" s="2419">
        <v>0</v>
      </c>
      <c r="G822" s="2423">
        <v>545163.2606366874</v>
      </c>
      <c r="H822" s="2422">
        <v>70178.12073850834</v>
      </c>
      <c r="I822" s="2439"/>
      <c r="J822" s="2160">
        <f t="shared" si="141"/>
        <v>615341.38137519569</v>
      </c>
      <c r="K822" s="2157"/>
      <c r="L822" s="2157"/>
      <c r="M822" s="2159"/>
      <c r="N822" s="2324">
        <f t="shared" si="138"/>
        <v>0</v>
      </c>
      <c r="O822" s="704"/>
      <c r="P822" s="705"/>
      <c r="Q822" s="731"/>
      <c r="R822" s="706"/>
      <c r="S822" s="706"/>
      <c r="T822" s="706"/>
      <c r="U822" s="706"/>
      <c r="V822" s="706"/>
      <c r="W822" s="706"/>
      <c r="X822" s="706"/>
      <c r="Y822" s="706"/>
      <c r="Z822" s="706"/>
      <c r="AA822" s="706"/>
      <c r="AB822" s="706"/>
      <c r="AC822" s="706"/>
    </row>
    <row r="823" spans="1:42">
      <c r="A823" s="2155">
        <v>24</v>
      </c>
      <c r="B823" s="2154" t="s">
        <v>299</v>
      </c>
      <c r="C823" s="2155"/>
      <c r="D823" s="2156">
        <f t="shared" si="136"/>
        <v>0</v>
      </c>
      <c r="E823" s="2419"/>
      <c r="F823" s="2419"/>
      <c r="G823" s="2423"/>
      <c r="H823" s="2422"/>
      <c r="I823" s="2439"/>
      <c r="J823" s="2160">
        <f t="shared" si="141"/>
        <v>0</v>
      </c>
      <c r="K823" s="2157"/>
      <c r="L823" s="2157"/>
      <c r="M823" s="2159"/>
      <c r="N823" s="2324">
        <f t="shared" si="138"/>
        <v>0</v>
      </c>
      <c r="O823" s="704"/>
      <c r="P823" s="705"/>
      <c r="Q823" s="731"/>
      <c r="R823" s="706"/>
      <c r="S823" s="706"/>
      <c r="T823" s="706"/>
      <c r="U823" s="706"/>
      <c r="V823" s="706"/>
      <c r="W823" s="706"/>
      <c r="X823" s="706"/>
      <c r="Y823" s="706"/>
      <c r="Z823" s="706"/>
      <c r="AA823" s="706"/>
      <c r="AB823" s="706"/>
      <c r="AC823" s="706"/>
    </row>
    <row r="824" spans="1:42">
      <c r="A824" s="2155">
        <v>25</v>
      </c>
      <c r="B824" s="2176" t="s">
        <v>300</v>
      </c>
      <c r="C824" s="2155"/>
      <c r="D824" s="2156">
        <f t="shared" si="136"/>
        <v>0</v>
      </c>
      <c r="E824" s="2419"/>
      <c r="F824" s="2419"/>
      <c r="G824" s="2423"/>
      <c r="H824" s="2422"/>
      <c r="I824" s="2439"/>
      <c r="J824" s="2160">
        <f t="shared" si="141"/>
        <v>0</v>
      </c>
      <c r="K824" s="2157"/>
      <c r="L824" s="2157"/>
      <c r="M824" s="2159"/>
      <c r="N824" s="2324">
        <f t="shared" si="138"/>
        <v>0</v>
      </c>
      <c r="O824" s="704"/>
      <c r="P824" s="705"/>
      <c r="Q824" s="732"/>
      <c r="R824" s="706"/>
      <c r="S824" s="706"/>
      <c r="T824" s="706"/>
      <c r="U824" s="706"/>
      <c r="V824" s="706"/>
      <c r="W824" s="706"/>
      <c r="X824" s="706"/>
      <c r="Y824" s="706"/>
      <c r="Z824" s="706"/>
      <c r="AA824" s="706"/>
      <c r="AB824" s="706"/>
      <c r="AC824" s="706"/>
    </row>
    <row r="825" spans="1:42" ht="13.5" thickBot="1">
      <c r="A825" s="2172">
        <v>26</v>
      </c>
      <c r="B825" s="2173" t="s">
        <v>301</v>
      </c>
      <c r="C825" s="2177">
        <v>19</v>
      </c>
      <c r="D825" s="1361">
        <f t="shared" si="136"/>
        <v>8173628.5174748087</v>
      </c>
      <c r="E825" s="1098"/>
      <c r="F825" s="1098">
        <v>1279832.5346100002</v>
      </c>
      <c r="G825" s="1094">
        <f>5654876.68105096+452699.389623116</f>
        <v>6107576.0706740757</v>
      </c>
      <c r="H825" s="2430">
        <f>727944.539073848+58275.3731168841</f>
        <v>786219.9121907322</v>
      </c>
      <c r="I825" s="1094"/>
      <c r="J825" s="2174">
        <f t="shared" si="141"/>
        <v>6893795.9828648083</v>
      </c>
      <c r="K825" s="1097"/>
      <c r="L825" s="1097"/>
      <c r="M825" s="1235"/>
      <c r="N825" s="2376">
        <f t="shared" si="138"/>
        <v>0</v>
      </c>
      <c r="O825" s="704"/>
      <c r="P825" s="705"/>
      <c r="Q825" s="732"/>
      <c r="R825" s="706"/>
      <c r="S825" s="706"/>
      <c r="T825" s="706"/>
      <c r="U825" s="706"/>
      <c r="V825" s="706"/>
      <c r="W825" s="706"/>
      <c r="X825" s="706"/>
      <c r="Y825" s="706"/>
      <c r="Z825" s="706"/>
      <c r="AA825" s="706"/>
      <c r="AB825" s="706"/>
      <c r="AC825" s="706"/>
    </row>
    <row r="826" spans="1:42" s="913" customFormat="1" ht="26.25" thickBot="1">
      <c r="A826" s="1348">
        <v>27</v>
      </c>
      <c r="B826" s="1349" t="s">
        <v>302</v>
      </c>
      <c r="C826" s="1348"/>
      <c r="D826" s="1420">
        <f t="shared" si="136"/>
        <v>144023745.7831234</v>
      </c>
      <c r="E826" s="1103">
        <f>SUM(E820:E825)</f>
        <v>0</v>
      </c>
      <c r="F826" s="1103">
        <f>SUM(F820:F825)</f>
        <v>1279832.5346100002</v>
      </c>
      <c r="G826" s="1104">
        <f>SUM(G820:G825)</f>
        <v>128098144.69740772</v>
      </c>
      <c r="H826" s="1103">
        <f>SUM(H820:H825)</f>
        <v>14645768.551105687</v>
      </c>
      <c r="I826" s="1123">
        <f>SUM(I820:I825)</f>
        <v>0</v>
      </c>
      <c r="J826" s="1367">
        <f>G826+H826+I826</f>
        <v>142743913.2485134</v>
      </c>
      <c r="K826" s="1100">
        <f>SUM(K820:K825)</f>
        <v>0</v>
      </c>
      <c r="L826" s="1102">
        <f>SUM(L820:L825)</f>
        <v>0</v>
      </c>
      <c r="M826" s="1163">
        <f>SUM(M820:M825)</f>
        <v>0</v>
      </c>
      <c r="N826" s="1519">
        <f t="shared" si="138"/>
        <v>0</v>
      </c>
      <c r="O826" s="1024"/>
      <c r="P826" s="1025"/>
      <c r="Q826" s="1109"/>
      <c r="R826" s="1027"/>
      <c r="S826" s="1027"/>
      <c r="T826" s="1027"/>
      <c r="U826" s="1027"/>
      <c r="V826" s="1027"/>
      <c r="W826" s="1027"/>
      <c r="X826" s="1027"/>
      <c r="Y826" s="1027"/>
      <c r="Z826" s="1027"/>
      <c r="AA826" s="1027"/>
      <c r="AB826" s="1027"/>
      <c r="AC826" s="1027"/>
      <c r="AE826" s="1028"/>
      <c r="AF826" s="1028"/>
      <c r="AG826" s="1028"/>
      <c r="AH826" s="1028"/>
      <c r="AI826" s="1028"/>
      <c r="AJ826" s="1028"/>
      <c r="AK826" s="1028"/>
      <c r="AL826" s="1028"/>
      <c r="AM826" s="1028"/>
      <c r="AN826" s="1028"/>
      <c r="AO826" s="1028"/>
      <c r="AP826" s="1028"/>
    </row>
    <row r="827" spans="1:42">
      <c r="A827" s="1346"/>
      <c r="B827" s="1347" t="s">
        <v>303</v>
      </c>
      <c r="C827" s="1346">
        <v>20</v>
      </c>
      <c r="D827" s="1416">
        <f t="shared" si="136"/>
        <v>0</v>
      </c>
      <c r="E827" s="1095"/>
      <c r="F827" s="1095"/>
      <c r="G827" s="1115"/>
      <c r="H827" s="1096"/>
      <c r="I827" s="1119"/>
      <c r="J827" s="1363">
        <f t="shared" ref="J827:J833" si="142">G827+H827+I827</f>
        <v>0</v>
      </c>
      <c r="K827" s="1088"/>
      <c r="L827" s="1088"/>
      <c r="M827" s="1165"/>
      <c r="N827" s="1488">
        <f t="shared" si="138"/>
        <v>0</v>
      </c>
      <c r="O827" s="704"/>
      <c r="P827" s="705"/>
      <c r="Q827" s="731"/>
      <c r="R827" s="706"/>
      <c r="S827" s="706"/>
      <c r="T827" s="706"/>
      <c r="U827" s="706"/>
      <c r="V827" s="706"/>
      <c r="W827" s="706"/>
      <c r="X827" s="706"/>
      <c r="Y827" s="706"/>
      <c r="Z827" s="706"/>
      <c r="AA827" s="706"/>
      <c r="AB827" s="706"/>
      <c r="AC827" s="706"/>
    </row>
    <row r="828" spans="1:42">
      <c r="A828" s="2155">
        <v>28</v>
      </c>
      <c r="B828" s="2154" t="s">
        <v>304</v>
      </c>
      <c r="C828" s="2161"/>
      <c r="D828" s="2156">
        <f t="shared" si="136"/>
        <v>0</v>
      </c>
      <c r="E828" s="2419"/>
      <c r="F828" s="2419"/>
      <c r="G828" s="2423"/>
      <c r="H828" s="2422"/>
      <c r="I828" s="2439"/>
      <c r="J828" s="2160">
        <f t="shared" si="142"/>
        <v>0</v>
      </c>
      <c r="K828" s="2157"/>
      <c r="L828" s="2157"/>
      <c r="M828" s="2159"/>
      <c r="N828" s="2324">
        <f t="shared" si="138"/>
        <v>0</v>
      </c>
      <c r="O828" s="704"/>
      <c r="P828" s="705"/>
      <c r="Q828" s="732"/>
      <c r="R828" s="706"/>
      <c r="S828" s="706"/>
      <c r="T828" s="706"/>
      <c r="U828" s="706"/>
      <c r="V828" s="706"/>
      <c r="W828" s="706"/>
      <c r="X828" s="706"/>
      <c r="Y828" s="706"/>
      <c r="Z828" s="706"/>
      <c r="AA828" s="706"/>
      <c r="AB828" s="706"/>
      <c r="AC828" s="706"/>
    </row>
    <row r="829" spans="1:42">
      <c r="A829" s="2155">
        <v>29</v>
      </c>
      <c r="B829" s="2154" t="s">
        <v>305</v>
      </c>
      <c r="C829" s="2161"/>
      <c r="D829" s="2156">
        <f t="shared" si="136"/>
        <v>2884888.1566900001</v>
      </c>
      <c r="E829" s="2419"/>
      <c r="F829" s="2419">
        <v>2776040.2204900002</v>
      </c>
      <c r="G829" s="2423">
        <v>96434.105698775456</v>
      </c>
      <c r="H829" s="2422">
        <v>12413.830501224551</v>
      </c>
      <c r="I829" s="2439"/>
      <c r="J829" s="2160">
        <f t="shared" si="142"/>
        <v>108847.93620000001</v>
      </c>
      <c r="K829" s="2157"/>
      <c r="L829" s="2157"/>
      <c r="M829" s="2159"/>
      <c r="N829" s="2324">
        <f t="shared" si="138"/>
        <v>0</v>
      </c>
      <c r="O829" s="704"/>
      <c r="P829" s="705"/>
      <c r="Q829" s="732"/>
      <c r="R829" s="706"/>
      <c r="S829" s="706"/>
      <c r="T829" s="706"/>
      <c r="U829" s="706"/>
      <c r="V829" s="706"/>
      <c r="W829" s="706"/>
      <c r="X829" s="706"/>
      <c r="Y829" s="706"/>
      <c r="Z829" s="706"/>
      <c r="AA829" s="706"/>
      <c r="AB829" s="706"/>
      <c r="AC829" s="706"/>
    </row>
    <row r="830" spans="1:42">
      <c r="A830" s="2155">
        <v>30</v>
      </c>
      <c r="B830" s="2173" t="s">
        <v>306</v>
      </c>
      <c r="C830" s="2177"/>
      <c r="D830" s="2156">
        <f t="shared" si="136"/>
        <v>57377.730080000001</v>
      </c>
      <c r="E830" s="2419"/>
      <c r="F830" s="1098">
        <v>57377.730080000001</v>
      </c>
      <c r="G830" s="1094">
        <v>0</v>
      </c>
      <c r="H830" s="2426">
        <v>0</v>
      </c>
      <c r="I830" s="1120"/>
      <c r="J830" s="2160">
        <f t="shared" si="142"/>
        <v>0</v>
      </c>
      <c r="K830" s="2157"/>
      <c r="L830" s="2157"/>
      <c r="M830" s="2159"/>
      <c r="N830" s="2324">
        <f t="shared" si="138"/>
        <v>0</v>
      </c>
      <c r="O830" s="704"/>
      <c r="P830" s="705"/>
      <c r="Q830" s="732"/>
      <c r="R830" s="706"/>
      <c r="S830" s="706"/>
      <c r="T830" s="706"/>
      <c r="U830" s="706"/>
      <c r="V830" s="706"/>
      <c r="W830" s="706"/>
      <c r="X830" s="706"/>
      <c r="Y830" s="706"/>
      <c r="Z830" s="706"/>
      <c r="AA830" s="706"/>
      <c r="AB830" s="706"/>
      <c r="AC830" s="706"/>
    </row>
    <row r="831" spans="1:42">
      <c r="A831" s="2155">
        <v>31</v>
      </c>
      <c r="B831" s="2173" t="s">
        <v>307</v>
      </c>
      <c r="C831" s="2177"/>
      <c r="D831" s="2156">
        <f t="shared" si="136"/>
        <v>98236.6300562916</v>
      </c>
      <c r="E831" s="2419"/>
      <c r="F831" s="1098">
        <v>98236.6300562916</v>
      </c>
      <c r="G831" s="1094">
        <v>0</v>
      </c>
      <c r="H831" s="2426">
        <v>0</v>
      </c>
      <c r="I831" s="1120"/>
      <c r="J831" s="2160">
        <f t="shared" si="142"/>
        <v>0</v>
      </c>
      <c r="K831" s="2157"/>
      <c r="L831" s="2157"/>
      <c r="M831" s="2159"/>
      <c r="N831" s="2324">
        <f t="shared" si="138"/>
        <v>0</v>
      </c>
      <c r="O831" s="704"/>
      <c r="P831" s="705"/>
      <c r="Q831" s="732"/>
      <c r="R831" s="706"/>
      <c r="S831" s="706"/>
      <c r="T831" s="706"/>
      <c r="U831" s="706"/>
      <c r="V831" s="706"/>
      <c r="W831" s="706"/>
      <c r="X831" s="706"/>
      <c r="Y831" s="706"/>
      <c r="Z831" s="706"/>
      <c r="AA831" s="706"/>
      <c r="AB831" s="706"/>
      <c r="AC831" s="706"/>
    </row>
    <row r="832" spans="1:42" ht="13.5" thickBot="1">
      <c r="A832" s="2172">
        <v>32</v>
      </c>
      <c r="B832" s="2173" t="s">
        <v>308</v>
      </c>
      <c r="C832" s="2177"/>
      <c r="D832" s="2156">
        <f t="shared" si="136"/>
        <v>12987262.134490255</v>
      </c>
      <c r="E832" s="2419"/>
      <c r="F832" s="1098">
        <v>13444766.064970255</v>
      </c>
      <c r="G832" s="1094">
        <v>-405326.76989344275</v>
      </c>
      <c r="H832" s="2426">
        <v>-52177.160586557278</v>
      </c>
      <c r="I832" s="1121"/>
      <c r="J832" s="2160">
        <f t="shared" si="142"/>
        <v>-457503.93048000004</v>
      </c>
      <c r="K832" s="2157"/>
      <c r="L832" s="2157"/>
      <c r="M832" s="2159"/>
      <c r="N832" s="2324">
        <f t="shared" si="138"/>
        <v>0</v>
      </c>
      <c r="O832" s="704"/>
      <c r="P832" s="705"/>
      <c r="Q832" s="732"/>
      <c r="R832" s="706"/>
      <c r="S832" s="706"/>
      <c r="T832" s="706"/>
      <c r="U832" s="706"/>
      <c r="V832" s="706"/>
      <c r="W832" s="706"/>
      <c r="X832" s="706"/>
      <c r="Y832" s="706"/>
      <c r="Z832" s="706"/>
      <c r="AA832" s="706"/>
      <c r="AB832" s="706"/>
      <c r="AC832" s="706"/>
    </row>
    <row r="833" spans="1:42" s="913" customFormat="1" ht="13.5" thickBot="1">
      <c r="A833" s="1348">
        <v>33</v>
      </c>
      <c r="B833" s="1384" t="s">
        <v>309</v>
      </c>
      <c r="C833" s="1385"/>
      <c r="D833" s="1421">
        <f t="shared" si="136"/>
        <v>16027764.651316548</v>
      </c>
      <c r="E833" s="1125">
        <f>SUM(E828:E832)</f>
        <v>0</v>
      </c>
      <c r="F833" s="1125">
        <f>SUM(F828:F832)</f>
        <v>16376420.645596547</v>
      </c>
      <c r="G833" s="1126">
        <f>SUM(G828:G832)</f>
        <v>-308892.6641946673</v>
      </c>
      <c r="H833" s="1127">
        <f>SUM(H828:H832)</f>
        <v>-39763.330085332724</v>
      </c>
      <c r="I833" s="420">
        <f>SUM(I828:I832)</f>
        <v>0</v>
      </c>
      <c r="J833" s="1427">
        <f t="shared" si="142"/>
        <v>-348655.99428000004</v>
      </c>
      <c r="K833" s="1125">
        <f>SUM(K828:K832)</f>
        <v>0</v>
      </c>
      <c r="L833" s="1125">
        <f>SUM(L828:L832)</f>
        <v>0</v>
      </c>
      <c r="M833" s="1126">
        <f>SUM(M828:M832)</f>
        <v>0</v>
      </c>
      <c r="N833" s="1549">
        <f t="shared" si="138"/>
        <v>0</v>
      </c>
      <c r="O833" s="1024"/>
      <c r="P833" s="1025"/>
      <c r="Q833" s="1109"/>
      <c r="R833" s="1027"/>
      <c r="S833" s="1027"/>
      <c r="T833" s="1027"/>
      <c r="U833" s="1027"/>
      <c r="V833" s="1027"/>
      <c r="W833" s="1027"/>
      <c r="X833" s="1027"/>
      <c r="Y833" s="1027"/>
      <c r="Z833" s="1027"/>
      <c r="AA833" s="1027"/>
      <c r="AB833" s="1027"/>
      <c r="AC833" s="1027"/>
      <c r="AE833" s="1028"/>
      <c r="AF833" s="1028"/>
      <c r="AG833" s="1028"/>
      <c r="AH833" s="1028"/>
      <c r="AI833" s="1028"/>
      <c r="AJ833" s="1028"/>
      <c r="AK833" s="1028"/>
      <c r="AL833" s="1028"/>
      <c r="AM833" s="1028"/>
      <c r="AN833" s="1028"/>
      <c r="AO833" s="1028"/>
      <c r="AP833" s="1028"/>
    </row>
    <row r="834" spans="1:42" s="913" customFormat="1" ht="26.25" thickBot="1">
      <c r="A834" s="1351">
        <v>34</v>
      </c>
      <c r="B834" s="1352" t="s">
        <v>310</v>
      </c>
      <c r="C834" s="1351"/>
      <c r="D834" s="1431">
        <f>+E834+F834+J834+N834</f>
        <v>160051510.43443993</v>
      </c>
      <c r="E834" s="1431">
        <f>E833+E826</f>
        <v>0</v>
      </c>
      <c r="F834" s="1431">
        <f>F833+F826</f>
        <v>17656253.180206548</v>
      </c>
      <c r="G834" s="1432">
        <f>G833+G826</f>
        <v>127789252.03321305</v>
      </c>
      <c r="H834" s="1423">
        <f>H833+H826</f>
        <v>14606005.221020354</v>
      </c>
      <c r="I834" s="1432">
        <f>I833+I826</f>
        <v>0</v>
      </c>
      <c r="J834" s="1423">
        <f>G834+H834+I834</f>
        <v>142395257.25423339</v>
      </c>
      <c r="K834" s="1431">
        <f>K833+K826</f>
        <v>0</v>
      </c>
      <c r="L834" s="1431">
        <f>L833+L826</f>
        <v>0</v>
      </c>
      <c r="M834" s="1432">
        <f>M833+M826</f>
        <v>0</v>
      </c>
      <c r="N834" s="1529">
        <f t="shared" si="138"/>
        <v>0</v>
      </c>
      <c r="O834" s="1024"/>
      <c r="P834" s="1025"/>
      <c r="Q834" s="1109"/>
      <c r="R834" s="1027"/>
      <c r="S834" s="1027"/>
      <c r="T834" s="1027"/>
      <c r="U834" s="1027"/>
      <c r="V834" s="1027"/>
      <c r="W834" s="1027"/>
      <c r="X834" s="1027"/>
      <c r="Y834" s="1027"/>
      <c r="Z834" s="1027"/>
      <c r="AA834" s="1027"/>
      <c r="AB834" s="1027"/>
      <c r="AC834" s="1027"/>
      <c r="AE834" s="1028"/>
      <c r="AF834" s="1028"/>
      <c r="AG834" s="1028"/>
      <c r="AH834" s="1028"/>
      <c r="AI834" s="1028"/>
      <c r="AJ834" s="1028"/>
      <c r="AK834" s="1028"/>
      <c r="AL834" s="1028"/>
      <c r="AM834" s="1028"/>
      <c r="AN834" s="1028"/>
      <c r="AO834" s="1028"/>
      <c r="AP834" s="1028"/>
    </row>
    <row r="835" spans="1:42">
      <c r="F835" s="715"/>
      <c r="G835" s="715"/>
      <c r="H835" s="715"/>
      <c r="I835" s="715"/>
      <c r="J835" s="715"/>
    </row>
    <row r="836" spans="1:42">
      <c r="B836" s="680"/>
      <c r="D836" s="679"/>
      <c r="E836" s="679"/>
      <c r="F836" s="679"/>
      <c r="G836" s="679"/>
      <c r="H836" s="679"/>
      <c r="I836" s="679"/>
      <c r="J836" s="679"/>
      <c r="K836" s="679"/>
      <c r="L836" s="679"/>
      <c r="M836" s="679"/>
      <c r="N836" s="679">
        <v>45</v>
      </c>
      <c r="O836" s="679"/>
    </row>
    <row r="837" spans="1:42">
      <c r="D837" s="679"/>
      <c r="E837" s="679"/>
      <c r="F837" s="679"/>
      <c r="G837" s="679"/>
      <c r="H837" s="679"/>
      <c r="I837" s="679"/>
      <c r="J837" s="679"/>
      <c r="K837" s="679"/>
    </row>
    <row r="838" spans="1:42" ht="13.5" thickBot="1"/>
    <row r="839" spans="1:42" ht="13.5" thickBot="1">
      <c r="A839" s="1368" t="s">
        <v>195</v>
      </c>
      <c r="B839" s="3533" t="s">
        <v>117</v>
      </c>
      <c r="C839" s="3534"/>
      <c r="M839" s="3538" t="s">
        <v>251</v>
      </c>
      <c r="N839" s="3538"/>
    </row>
    <row r="840" spans="1:42" ht="12.75" customHeight="1" thickBot="1">
      <c r="A840" s="3555" t="s">
        <v>252</v>
      </c>
      <c r="B840" s="1467"/>
      <c r="C840" s="3523" t="s">
        <v>254</v>
      </c>
      <c r="D840" s="3562" t="s">
        <v>255</v>
      </c>
      <c r="E840" s="3562" t="s">
        <v>256</v>
      </c>
      <c r="F840" s="3562" t="s">
        <v>257</v>
      </c>
      <c r="G840" s="3565" t="s">
        <v>258</v>
      </c>
      <c r="H840" s="3566"/>
      <c r="I840" s="3566"/>
      <c r="J840" s="3566"/>
      <c r="K840" s="3566"/>
      <c r="L840" s="3566"/>
      <c r="M840" s="3566"/>
      <c r="N840" s="3567"/>
      <c r="O840" s="702"/>
    </row>
    <row r="841" spans="1:42" ht="12.75" customHeight="1" thickBot="1">
      <c r="A841" s="3556"/>
      <c r="B841" s="1468"/>
      <c r="C841" s="3524"/>
      <c r="D841" s="3563"/>
      <c r="E841" s="3563"/>
      <c r="F841" s="3563"/>
      <c r="G841" s="3529" t="s">
        <v>259</v>
      </c>
      <c r="H841" s="3530"/>
      <c r="I841" s="3530"/>
      <c r="J841" s="3531"/>
      <c r="K841" s="3568" t="s">
        <v>260</v>
      </c>
      <c r="L841" s="3569"/>
      <c r="M841" s="3569"/>
      <c r="N841" s="3570"/>
      <c r="O841" s="458"/>
    </row>
    <row r="842" spans="1:42" ht="39" thickBot="1">
      <c r="A842" s="3556"/>
      <c r="B842" s="1469"/>
      <c r="C842" s="3524"/>
      <c r="D842" s="3564"/>
      <c r="E842" s="3564"/>
      <c r="F842" s="3564"/>
      <c r="G842" s="1336" t="s">
        <v>261</v>
      </c>
      <c r="H842" s="1336" t="s">
        <v>262</v>
      </c>
      <c r="I842" s="1336" t="s">
        <v>263</v>
      </c>
      <c r="J842" s="1336" t="s">
        <v>158</v>
      </c>
      <c r="K842" s="1337" t="s">
        <v>264</v>
      </c>
      <c r="L842" s="1337" t="s">
        <v>265</v>
      </c>
      <c r="M842" s="1337" t="s">
        <v>266</v>
      </c>
      <c r="N842" s="1404" t="s">
        <v>158</v>
      </c>
      <c r="O842" s="443"/>
    </row>
    <row r="843" spans="1:42" ht="13.5" thickBot="1">
      <c r="A843" s="3556"/>
      <c r="B843" s="1468"/>
      <c r="C843" s="3524"/>
      <c r="D843" s="1470">
        <v>1</v>
      </c>
      <c r="E843" s="1471">
        <v>2</v>
      </c>
      <c r="F843" s="1471">
        <v>3</v>
      </c>
      <c r="G843" s="1472">
        <v>4</v>
      </c>
      <c r="H843" s="1471">
        <v>5</v>
      </c>
      <c r="I843" s="1473">
        <v>6</v>
      </c>
      <c r="J843" s="1474">
        <v>7</v>
      </c>
      <c r="K843" s="1472">
        <v>8</v>
      </c>
      <c r="L843" s="1471">
        <v>9</v>
      </c>
      <c r="M843" s="1496">
        <v>10</v>
      </c>
      <c r="N843" s="1470">
        <v>11</v>
      </c>
      <c r="O843" s="702"/>
    </row>
    <row r="844" spans="1:42" ht="13.5" thickBot="1">
      <c r="A844" s="3557"/>
      <c r="B844" s="1475"/>
      <c r="C844" s="3525"/>
      <c r="D844" s="1476"/>
      <c r="E844" s="1476"/>
      <c r="F844" s="1476"/>
      <c r="G844" s="1477"/>
      <c r="H844" s="1476"/>
      <c r="I844" s="1552"/>
      <c r="J844" s="1478" t="s">
        <v>267</v>
      </c>
      <c r="K844" s="1477"/>
      <c r="L844" s="1476"/>
      <c r="M844" s="1563"/>
      <c r="N844" s="1553" t="s">
        <v>268</v>
      </c>
      <c r="O844" s="703"/>
      <c r="P844" s="703"/>
      <c r="Q844" s="703"/>
    </row>
    <row r="845" spans="1:42">
      <c r="A845" s="1483"/>
      <c r="B845" s="1481" t="s">
        <v>269</v>
      </c>
      <c r="C845" s="1346"/>
      <c r="D845" s="2152"/>
      <c r="E845" s="687"/>
      <c r="F845" s="687"/>
      <c r="G845" s="688"/>
      <c r="H845" s="689"/>
      <c r="I845" s="690"/>
      <c r="J845" s="1491"/>
      <c r="K845" s="996"/>
      <c r="L845" s="994"/>
      <c r="M845" s="1583"/>
      <c r="N845" s="2440"/>
      <c r="Q845" s="721"/>
      <c r="R845" s="706"/>
    </row>
    <row r="846" spans="1:42">
      <c r="A846" s="2301">
        <v>1</v>
      </c>
      <c r="B846" s="2302" t="s">
        <v>270</v>
      </c>
      <c r="C846" s="2155"/>
      <c r="D846" s="2303">
        <f>+E846+F846+J846+N846</f>
        <v>0</v>
      </c>
      <c r="E846" s="2441"/>
      <c r="F846" s="2441"/>
      <c r="G846" s="2441"/>
      <c r="H846" s="2442"/>
      <c r="I846" s="2443"/>
      <c r="J846" s="2305">
        <f>G846+H846+I846</f>
        <v>0</v>
      </c>
      <c r="K846" s="2304"/>
      <c r="L846" s="2325"/>
      <c r="M846" s="2352"/>
      <c r="N846" s="2305">
        <f>K846+L846+M846</f>
        <v>0</v>
      </c>
      <c r="O846" s="704"/>
      <c r="P846" s="705"/>
      <c r="Q846" s="735"/>
      <c r="R846" s="706"/>
      <c r="S846" s="706"/>
      <c r="T846" s="706"/>
      <c r="U846" s="706"/>
      <c r="V846" s="706"/>
      <c r="W846" s="706"/>
      <c r="X846" s="706"/>
      <c r="Y846" s="706"/>
      <c r="Z846" s="706"/>
      <c r="AA846" s="706"/>
      <c r="AB846" s="706"/>
      <c r="AC846" s="706"/>
    </row>
    <row r="847" spans="1:42">
      <c r="A847" s="2301">
        <v>2</v>
      </c>
      <c r="B847" s="2302" t="s">
        <v>271</v>
      </c>
      <c r="C847" s="2155"/>
      <c r="D847" s="2303">
        <f t="shared" ref="D847:D885" si="143">+E847+F847+J847+N847</f>
        <v>1247057</v>
      </c>
      <c r="E847" s="2441"/>
      <c r="F847" s="2441">
        <v>642840</v>
      </c>
      <c r="G847" s="2441">
        <v>0</v>
      </c>
      <c r="H847" s="2442">
        <v>0</v>
      </c>
      <c r="I847" s="2443">
        <v>604217</v>
      </c>
      <c r="J847" s="2305">
        <f t="shared" ref="J847:J857" si="144">G847+H847+I847</f>
        <v>604217</v>
      </c>
      <c r="K847" s="2304"/>
      <c r="L847" s="2325"/>
      <c r="M847" s="2352"/>
      <c r="N847" s="2305">
        <f t="shared" ref="N847:N886" si="145">K847+L847+M847</f>
        <v>0</v>
      </c>
      <c r="O847" s="704"/>
      <c r="P847" s="705"/>
      <c r="Q847" s="735"/>
      <c r="R847" s="706"/>
      <c r="S847" s="706"/>
      <c r="T847" s="706"/>
      <c r="U847" s="706"/>
      <c r="V847" s="706"/>
      <c r="W847" s="706"/>
      <c r="X847" s="706"/>
      <c r="Y847" s="706"/>
      <c r="Z847" s="706"/>
      <c r="AA847" s="706"/>
      <c r="AB847" s="706"/>
      <c r="AC847" s="706"/>
    </row>
    <row r="848" spans="1:42">
      <c r="A848" s="2301">
        <v>3</v>
      </c>
      <c r="B848" s="2302" t="s">
        <v>272</v>
      </c>
      <c r="C848" s="2155"/>
      <c r="D848" s="2303">
        <f t="shared" si="143"/>
        <v>0</v>
      </c>
      <c r="E848" s="2441"/>
      <c r="F848" s="2441">
        <v>0</v>
      </c>
      <c r="G848" s="2441">
        <v>0</v>
      </c>
      <c r="H848" s="2442">
        <v>0</v>
      </c>
      <c r="I848" s="2443">
        <v>0</v>
      </c>
      <c r="J848" s="2305">
        <f t="shared" si="144"/>
        <v>0</v>
      </c>
      <c r="K848" s="2304"/>
      <c r="L848" s="2325"/>
      <c r="M848" s="2352"/>
      <c r="N848" s="2305">
        <f t="shared" si="145"/>
        <v>0</v>
      </c>
      <c r="O848" s="704"/>
      <c r="P848" s="705"/>
      <c r="Q848" s="735"/>
      <c r="R848" s="706"/>
      <c r="S848" s="706"/>
      <c r="T848" s="706"/>
      <c r="U848" s="706"/>
      <c r="V848" s="706"/>
      <c r="W848" s="706"/>
      <c r="X848" s="706"/>
      <c r="Y848" s="706"/>
      <c r="Z848" s="706"/>
      <c r="AA848" s="706"/>
      <c r="AB848" s="706"/>
      <c r="AC848" s="706"/>
    </row>
    <row r="849" spans="1:42">
      <c r="A849" s="2301">
        <v>4</v>
      </c>
      <c r="B849" s="2302" t="s">
        <v>315</v>
      </c>
      <c r="C849" s="2155"/>
      <c r="D849" s="2303">
        <f t="shared" si="143"/>
        <v>218312</v>
      </c>
      <c r="E849" s="2441"/>
      <c r="F849" s="2441">
        <v>0</v>
      </c>
      <c r="G849" s="2441">
        <v>0</v>
      </c>
      <c r="H849" s="2442">
        <v>0</v>
      </c>
      <c r="I849" s="2443">
        <v>218312</v>
      </c>
      <c r="J849" s="2305">
        <f t="shared" si="144"/>
        <v>218312</v>
      </c>
      <c r="K849" s="2304"/>
      <c r="L849" s="2325"/>
      <c r="M849" s="2352"/>
      <c r="N849" s="2305">
        <f t="shared" si="145"/>
        <v>0</v>
      </c>
      <c r="O849" s="704"/>
      <c r="P849" s="705"/>
      <c r="Q849" s="735"/>
      <c r="R849" s="706"/>
      <c r="S849" s="706"/>
      <c r="T849" s="706"/>
      <c r="U849" s="706"/>
      <c r="V849" s="706"/>
      <c r="W849" s="706"/>
      <c r="X849" s="706"/>
      <c r="Y849" s="706"/>
      <c r="Z849" s="706"/>
      <c r="AA849" s="706"/>
      <c r="AB849" s="706"/>
      <c r="AC849" s="706"/>
    </row>
    <row r="850" spans="1:42">
      <c r="A850" s="2301">
        <v>5</v>
      </c>
      <c r="B850" s="2302" t="s">
        <v>274</v>
      </c>
      <c r="C850" s="2161">
        <v>5</v>
      </c>
      <c r="D850" s="2303">
        <f t="shared" si="143"/>
        <v>2468821</v>
      </c>
      <c r="E850" s="2441"/>
      <c r="F850" s="2441">
        <v>0</v>
      </c>
      <c r="G850" s="2441">
        <v>0</v>
      </c>
      <c r="H850" s="2442">
        <v>2265818</v>
      </c>
      <c r="I850" s="2443">
        <v>203003</v>
      </c>
      <c r="J850" s="2305">
        <f t="shared" si="144"/>
        <v>2468821</v>
      </c>
      <c r="K850" s="2304"/>
      <c r="L850" s="2325"/>
      <c r="M850" s="2352"/>
      <c r="N850" s="2305">
        <f t="shared" si="145"/>
        <v>0</v>
      </c>
      <c r="O850" s="704"/>
      <c r="P850" s="705"/>
      <c r="Q850" s="734"/>
      <c r="R850" s="706"/>
      <c r="S850" s="706"/>
      <c r="T850" s="706"/>
      <c r="U850" s="706"/>
      <c r="V850" s="706"/>
      <c r="W850" s="706"/>
      <c r="X850" s="706"/>
      <c r="Y850" s="706"/>
      <c r="Z850" s="706"/>
      <c r="AA850" s="706"/>
      <c r="AB850" s="706"/>
      <c r="AC850" s="706"/>
    </row>
    <row r="851" spans="1:42">
      <c r="A851" s="2301">
        <v>6</v>
      </c>
      <c r="B851" s="2302" t="s">
        <v>275</v>
      </c>
      <c r="C851" s="2155">
        <v>6</v>
      </c>
      <c r="D851" s="2303">
        <f t="shared" si="143"/>
        <v>0</v>
      </c>
      <c r="E851" s="2441"/>
      <c r="F851" s="2441">
        <v>0</v>
      </c>
      <c r="G851" s="2441">
        <v>0</v>
      </c>
      <c r="H851" s="2442">
        <v>0</v>
      </c>
      <c r="I851" s="2443">
        <v>0</v>
      </c>
      <c r="J851" s="2305">
        <f t="shared" si="144"/>
        <v>0</v>
      </c>
      <c r="K851" s="2304"/>
      <c r="L851" s="2325"/>
      <c r="M851" s="2352"/>
      <c r="N851" s="2305">
        <f t="shared" si="145"/>
        <v>0</v>
      </c>
      <c r="O851" s="704"/>
      <c r="P851" s="705"/>
      <c r="Q851" s="735"/>
      <c r="R851" s="706"/>
      <c r="S851" s="706"/>
      <c r="T851" s="706"/>
      <c r="U851" s="706"/>
      <c r="V851" s="706"/>
      <c r="W851" s="706"/>
      <c r="X851" s="706"/>
      <c r="Y851" s="706"/>
      <c r="Z851" s="706"/>
      <c r="AA851" s="706"/>
      <c r="AB851" s="706"/>
      <c r="AC851" s="706"/>
    </row>
    <row r="852" spans="1:42">
      <c r="A852" s="2301">
        <v>7</v>
      </c>
      <c r="B852" s="2302" t="s">
        <v>276</v>
      </c>
      <c r="C852" s="2161">
        <v>7</v>
      </c>
      <c r="D852" s="2303">
        <f t="shared" si="143"/>
        <v>0</v>
      </c>
      <c r="E852" s="2441">
        <f>SUM(E853:E854)</f>
        <v>0</v>
      </c>
      <c r="F852" s="2441">
        <f>F853+F854</f>
        <v>0</v>
      </c>
      <c r="G852" s="2441">
        <f>G853+G854</f>
        <v>0</v>
      </c>
      <c r="H852" s="2442">
        <f>H853+H854</f>
        <v>0</v>
      </c>
      <c r="I852" s="2443">
        <f>I853+I854</f>
        <v>0</v>
      </c>
      <c r="J852" s="2305">
        <f t="shared" si="144"/>
        <v>0</v>
      </c>
      <c r="K852" s="2441">
        <f>K853+K854</f>
        <v>0</v>
      </c>
      <c r="L852" s="2442">
        <f>L853+L854</f>
        <v>0</v>
      </c>
      <c r="M852" s="2444">
        <f>M853+M854</f>
        <v>0</v>
      </c>
      <c r="N852" s="2305">
        <f t="shared" si="145"/>
        <v>0</v>
      </c>
      <c r="O852" s="704"/>
      <c r="P852" s="705"/>
      <c r="Q852" s="734"/>
      <c r="R852" s="706"/>
      <c r="S852" s="706"/>
      <c r="T852" s="706"/>
      <c r="U852" s="706"/>
      <c r="V852" s="706"/>
      <c r="W852" s="706"/>
      <c r="X852" s="706"/>
      <c r="Y852" s="706"/>
      <c r="Z852" s="706"/>
      <c r="AA852" s="706"/>
      <c r="AB852" s="706"/>
      <c r="AC852" s="706"/>
    </row>
    <row r="853" spans="1:42">
      <c r="A853" s="2307"/>
      <c r="B853" s="2162" t="s">
        <v>277</v>
      </c>
      <c r="C853" s="2161"/>
      <c r="D853" s="2303">
        <f t="shared" si="143"/>
        <v>0</v>
      </c>
      <c r="E853" s="2441"/>
      <c r="F853" s="2441">
        <v>0</v>
      </c>
      <c r="G853" s="2441">
        <v>0</v>
      </c>
      <c r="H853" s="2442">
        <v>0</v>
      </c>
      <c r="I853" s="2443">
        <v>0</v>
      </c>
      <c r="J853" s="2305">
        <f t="shared" si="144"/>
        <v>0</v>
      </c>
      <c r="K853" s="2304"/>
      <c r="L853" s="2325"/>
      <c r="M853" s="2352"/>
      <c r="N853" s="2305">
        <f t="shared" si="145"/>
        <v>0</v>
      </c>
      <c r="O853" s="704"/>
      <c r="P853" s="705"/>
      <c r="Q853" s="734"/>
      <c r="R853" s="706"/>
      <c r="S853" s="706"/>
      <c r="T853" s="706"/>
      <c r="U853" s="706"/>
      <c r="V853" s="706"/>
      <c r="W853" s="706"/>
      <c r="X853" s="706"/>
      <c r="Y853" s="706"/>
      <c r="Z853" s="706"/>
      <c r="AA853" s="706"/>
      <c r="AB853" s="706"/>
      <c r="AC853" s="706"/>
    </row>
    <row r="854" spans="1:42">
      <c r="A854" s="2307"/>
      <c r="B854" s="2162" t="s">
        <v>278</v>
      </c>
      <c r="C854" s="2161"/>
      <c r="D854" s="2303">
        <f t="shared" si="143"/>
        <v>0</v>
      </c>
      <c r="E854" s="2441"/>
      <c r="F854" s="2441">
        <v>0</v>
      </c>
      <c r="G854" s="2441">
        <v>0</v>
      </c>
      <c r="H854" s="2442">
        <v>0</v>
      </c>
      <c r="I854" s="2443">
        <v>0</v>
      </c>
      <c r="J854" s="2305">
        <f t="shared" si="144"/>
        <v>0</v>
      </c>
      <c r="K854" s="2304"/>
      <c r="L854" s="2325"/>
      <c r="M854" s="2352"/>
      <c r="N854" s="2305">
        <f t="shared" si="145"/>
        <v>0</v>
      </c>
      <c r="O854" s="704"/>
      <c r="P854" s="705"/>
      <c r="Q854" s="734"/>
      <c r="R854" s="706"/>
      <c r="S854" s="706"/>
      <c r="T854" s="706"/>
      <c r="U854" s="706"/>
      <c r="V854" s="706"/>
      <c r="W854" s="706"/>
      <c r="X854" s="706"/>
      <c r="Y854" s="706"/>
      <c r="Z854" s="706"/>
      <c r="AA854" s="706"/>
      <c r="AB854" s="706"/>
      <c r="AC854" s="706"/>
    </row>
    <row r="855" spans="1:42">
      <c r="A855" s="2301">
        <v>8</v>
      </c>
      <c r="B855" s="2302" t="s">
        <v>279</v>
      </c>
      <c r="C855" s="2155">
        <v>8</v>
      </c>
      <c r="D855" s="2303">
        <f t="shared" si="143"/>
        <v>1386991</v>
      </c>
      <c r="E855" s="2441"/>
      <c r="F855" s="2441">
        <f>SUM(F856:F857)</f>
        <v>1386991</v>
      </c>
      <c r="G855" s="2441">
        <f t="shared" ref="G855:M855" si="146">G856+G857</f>
        <v>0</v>
      </c>
      <c r="H855" s="2442">
        <f t="shared" si="146"/>
        <v>0</v>
      </c>
      <c r="I855" s="2443">
        <f t="shared" si="146"/>
        <v>0</v>
      </c>
      <c r="J855" s="2305">
        <f t="shared" si="144"/>
        <v>0</v>
      </c>
      <c r="K855" s="2441">
        <f t="shared" si="146"/>
        <v>0</v>
      </c>
      <c r="L855" s="2442">
        <f t="shared" si="146"/>
        <v>0</v>
      </c>
      <c r="M855" s="2444">
        <f t="shared" si="146"/>
        <v>0</v>
      </c>
      <c r="N855" s="2305">
        <f t="shared" si="145"/>
        <v>0</v>
      </c>
      <c r="O855" s="704"/>
      <c r="P855" s="705"/>
      <c r="Q855" s="735"/>
      <c r="R855" s="706"/>
      <c r="S855" s="706"/>
      <c r="T855" s="706"/>
      <c r="U855" s="706"/>
      <c r="V855" s="706"/>
      <c r="W855" s="706"/>
      <c r="X855" s="706"/>
      <c r="Y855" s="706"/>
      <c r="Z855" s="706"/>
      <c r="AA855" s="706"/>
      <c r="AB855" s="706"/>
      <c r="AC855" s="706"/>
    </row>
    <row r="856" spans="1:42">
      <c r="A856" s="2301"/>
      <c r="B856" s="2162" t="s">
        <v>280</v>
      </c>
      <c r="C856" s="2155"/>
      <c r="D856" s="2303">
        <f t="shared" si="143"/>
        <v>1386991</v>
      </c>
      <c r="E856" s="2441"/>
      <c r="F856" s="2441">
        <v>1386991</v>
      </c>
      <c r="G856" s="2441">
        <v>0</v>
      </c>
      <c r="H856" s="2442">
        <v>0</v>
      </c>
      <c r="I856" s="2443">
        <v>0</v>
      </c>
      <c r="J856" s="2371">
        <f t="shared" si="144"/>
        <v>0</v>
      </c>
      <c r="K856" s="2304"/>
      <c r="L856" s="2325"/>
      <c r="M856" s="2352"/>
      <c r="N856" s="2305">
        <f t="shared" si="145"/>
        <v>0</v>
      </c>
      <c r="O856" s="704"/>
      <c r="P856" s="705"/>
      <c r="Q856" s="735"/>
      <c r="R856" s="706"/>
      <c r="S856" s="706"/>
      <c r="T856" s="706"/>
      <c r="U856" s="706"/>
      <c r="V856" s="706"/>
      <c r="W856" s="706"/>
      <c r="X856" s="706"/>
      <c r="Y856" s="706"/>
      <c r="Z856" s="706"/>
      <c r="AA856" s="706"/>
      <c r="AB856" s="706"/>
      <c r="AC856" s="706"/>
    </row>
    <row r="857" spans="1:42">
      <c r="A857" s="2301"/>
      <c r="B857" s="2162" t="s">
        <v>281</v>
      </c>
      <c r="C857" s="2155"/>
      <c r="D857" s="2303">
        <f t="shared" si="143"/>
        <v>0</v>
      </c>
      <c r="E857" s="2441"/>
      <c r="F857" s="2441">
        <v>0</v>
      </c>
      <c r="G857" s="2441">
        <v>0</v>
      </c>
      <c r="H857" s="2442">
        <v>0</v>
      </c>
      <c r="I857" s="2443">
        <v>0</v>
      </c>
      <c r="J857" s="2371">
        <f t="shared" si="144"/>
        <v>0</v>
      </c>
      <c r="K857" s="2304"/>
      <c r="L857" s="2325"/>
      <c r="M857" s="2352"/>
      <c r="N857" s="2305">
        <f t="shared" si="145"/>
        <v>0</v>
      </c>
      <c r="O857" s="704"/>
      <c r="P857" s="705"/>
      <c r="Q857" s="735"/>
      <c r="R857" s="706"/>
      <c r="S857" s="706"/>
      <c r="T857" s="706"/>
      <c r="U857" s="706"/>
      <c r="V857" s="706"/>
      <c r="W857" s="706"/>
      <c r="X857" s="706"/>
      <c r="Y857" s="706"/>
      <c r="Z857" s="706"/>
      <c r="AA857" s="706"/>
      <c r="AB857" s="706"/>
      <c r="AC857" s="706"/>
    </row>
    <row r="858" spans="1:42" s="913" customFormat="1" ht="25.5">
      <c r="A858" s="2308">
        <v>9</v>
      </c>
      <c r="B858" s="2309" t="s">
        <v>282</v>
      </c>
      <c r="C858" s="2165"/>
      <c r="D858" s="2310">
        <f t="shared" si="143"/>
        <v>52356208</v>
      </c>
      <c r="E858" s="2311">
        <f>SUM(E859:E862)</f>
        <v>0</v>
      </c>
      <c r="F858" s="2311">
        <f>SUM(F859:F862)</f>
        <v>10002057</v>
      </c>
      <c r="G858" s="2311">
        <f>SUM(G859:G862)</f>
        <v>9372763</v>
      </c>
      <c r="H858" s="2333">
        <f>SUM(H859:H862)</f>
        <v>6260732</v>
      </c>
      <c r="I858" s="2334">
        <f>SUM(I859:I862)</f>
        <v>25333180</v>
      </c>
      <c r="J858" s="2367">
        <f>G858+H858+I858</f>
        <v>40966675</v>
      </c>
      <c r="K858" s="2311">
        <f>SUM(K859:K862)</f>
        <v>334120</v>
      </c>
      <c r="L858" s="2333">
        <f>SUM(L859:L862)</f>
        <v>0</v>
      </c>
      <c r="M858" s="2445">
        <f>SUM(M859:M862)</f>
        <v>1053356</v>
      </c>
      <c r="N858" s="2312">
        <f t="shared" si="145"/>
        <v>1387476</v>
      </c>
      <c r="O858" s="1024"/>
      <c r="P858" s="1025"/>
      <c r="Q858" s="1128"/>
      <c r="R858" s="1027"/>
      <c r="S858" s="1027"/>
      <c r="T858" s="1027"/>
      <c r="U858" s="1027"/>
      <c r="V858" s="1027"/>
      <c r="W858" s="1027"/>
      <c r="X858" s="1027"/>
      <c r="Y858" s="1027"/>
      <c r="Z858" s="1027"/>
      <c r="AA858" s="1027"/>
      <c r="AB858" s="1027"/>
      <c r="AC858" s="1027"/>
      <c r="AE858" s="1028"/>
      <c r="AF858" s="1028"/>
      <c r="AG858" s="1028"/>
      <c r="AH858" s="1028"/>
      <c r="AI858" s="1028"/>
      <c r="AJ858" s="1028"/>
      <c r="AK858" s="1028"/>
      <c r="AL858" s="1028"/>
      <c r="AM858" s="1028"/>
      <c r="AN858" s="1028"/>
      <c r="AO858" s="1028"/>
      <c r="AP858" s="1028"/>
    </row>
    <row r="859" spans="1:42">
      <c r="A859" s="2307">
        <v>10</v>
      </c>
      <c r="B859" s="2171" t="s">
        <v>283</v>
      </c>
      <c r="C859" s="2155">
        <v>9</v>
      </c>
      <c r="D859" s="2303">
        <f t="shared" si="143"/>
        <v>22160419</v>
      </c>
      <c r="E859" s="2441"/>
      <c r="F859" s="2441">
        <v>3449527</v>
      </c>
      <c r="G859" s="2441">
        <v>4136664</v>
      </c>
      <c r="H859" s="2442">
        <v>1723886</v>
      </c>
      <c r="I859" s="2443">
        <v>12850342</v>
      </c>
      <c r="J859" s="2371">
        <f t="shared" ref="J859:J877" si="147">G859+H859+I859</f>
        <v>18710892</v>
      </c>
      <c r="K859" s="2441">
        <v>0</v>
      </c>
      <c r="L859" s="2442"/>
      <c r="M859" s="2444">
        <v>0</v>
      </c>
      <c r="N859" s="2305">
        <f t="shared" si="145"/>
        <v>0</v>
      </c>
      <c r="O859" s="704"/>
      <c r="P859" s="705"/>
      <c r="Q859" s="735"/>
      <c r="R859" s="706"/>
      <c r="S859" s="706"/>
      <c r="T859" s="706"/>
      <c r="U859" s="706"/>
      <c r="V859" s="706"/>
      <c r="W859" s="706"/>
      <c r="X859" s="706"/>
      <c r="Y859" s="706"/>
      <c r="Z859" s="706"/>
      <c r="AA859" s="706"/>
      <c r="AB859" s="706"/>
      <c r="AC859" s="706"/>
    </row>
    <row r="860" spans="1:42">
      <c r="A860" s="2307">
        <v>11</v>
      </c>
      <c r="B860" s="2171" t="s">
        <v>284</v>
      </c>
      <c r="C860" s="2155">
        <v>10</v>
      </c>
      <c r="D860" s="2303">
        <f t="shared" si="143"/>
        <v>17084129</v>
      </c>
      <c r="E860" s="2441"/>
      <c r="F860" s="2441">
        <v>1571100</v>
      </c>
      <c r="G860" s="2441">
        <v>2864491</v>
      </c>
      <c r="H860" s="2442">
        <v>3828918</v>
      </c>
      <c r="I860" s="2443">
        <v>8797651</v>
      </c>
      <c r="J860" s="2371">
        <f t="shared" si="147"/>
        <v>15491060</v>
      </c>
      <c r="K860" s="2441">
        <v>21969</v>
      </c>
      <c r="L860" s="2442"/>
      <c r="M860" s="2444">
        <v>0</v>
      </c>
      <c r="N860" s="2305">
        <f t="shared" si="145"/>
        <v>21969</v>
      </c>
      <c r="O860" s="704"/>
      <c r="P860" s="705"/>
      <c r="Q860" s="735"/>
      <c r="R860" s="706"/>
      <c r="S860" s="706"/>
      <c r="T860" s="706"/>
      <c r="U860" s="706"/>
      <c r="V860" s="706"/>
      <c r="W860" s="706"/>
      <c r="X860" s="706"/>
      <c r="Y860" s="706"/>
      <c r="Z860" s="706"/>
      <c r="AA860" s="706"/>
      <c r="AB860" s="706"/>
      <c r="AC860" s="706"/>
    </row>
    <row r="861" spans="1:42">
      <c r="A861" s="2307">
        <v>12</v>
      </c>
      <c r="B861" s="2171" t="s">
        <v>285</v>
      </c>
      <c r="C861" s="2155">
        <v>11</v>
      </c>
      <c r="D861" s="2303">
        <f t="shared" si="143"/>
        <v>7954413</v>
      </c>
      <c r="E861" s="2441"/>
      <c r="F861" s="2441">
        <v>4429888</v>
      </c>
      <c r="G861" s="2441">
        <v>1592172</v>
      </c>
      <c r="H861" s="2442">
        <v>123684</v>
      </c>
      <c r="I861" s="2443">
        <v>1572047</v>
      </c>
      <c r="J861" s="2371">
        <f t="shared" si="147"/>
        <v>3287903</v>
      </c>
      <c r="K861" s="2441">
        <v>236622</v>
      </c>
      <c r="L861" s="2442"/>
      <c r="M861" s="2444">
        <v>0</v>
      </c>
      <c r="N861" s="2305">
        <f t="shared" si="145"/>
        <v>236622</v>
      </c>
      <c r="O861" s="704"/>
      <c r="P861" s="705"/>
      <c r="Q861" s="735"/>
      <c r="R861" s="706"/>
      <c r="S861" s="706"/>
      <c r="T861" s="706"/>
      <c r="U861" s="706"/>
      <c r="V861" s="706"/>
      <c r="W861" s="706"/>
      <c r="X861" s="706"/>
      <c r="Y861" s="706"/>
      <c r="Z861" s="706"/>
      <c r="AA861" s="706"/>
      <c r="AB861" s="706"/>
      <c r="AC861" s="706"/>
    </row>
    <row r="862" spans="1:42" ht="25.5">
      <c r="A862" s="2307">
        <v>13</v>
      </c>
      <c r="B862" s="2171" t="s">
        <v>286</v>
      </c>
      <c r="C862" s="2155">
        <v>12</v>
      </c>
      <c r="D862" s="2303">
        <f t="shared" si="143"/>
        <v>5157247</v>
      </c>
      <c r="E862" s="2441"/>
      <c r="F862" s="2441">
        <v>551542</v>
      </c>
      <c r="G862" s="2441">
        <v>779436</v>
      </c>
      <c r="H862" s="2442">
        <v>584244</v>
      </c>
      <c r="I862" s="2443">
        <v>2113140</v>
      </c>
      <c r="J862" s="2371">
        <f t="shared" si="147"/>
        <v>3476820</v>
      </c>
      <c r="K862" s="2441">
        <v>75529</v>
      </c>
      <c r="L862" s="2442"/>
      <c r="M862" s="2444">
        <v>1053356</v>
      </c>
      <c r="N862" s="2305">
        <f t="shared" si="145"/>
        <v>1128885</v>
      </c>
      <c r="O862" s="704"/>
      <c r="P862" s="705"/>
      <c r="Q862" s="735"/>
      <c r="R862" s="706"/>
      <c r="S862" s="706"/>
      <c r="T862" s="706"/>
      <c r="U862" s="706"/>
      <c r="V862" s="706"/>
      <c r="W862" s="706"/>
      <c r="X862" s="706"/>
      <c r="Y862" s="706"/>
      <c r="Z862" s="706"/>
      <c r="AA862" s="706"/>
      <c r="AB862" s="706"/>
      <c r="AC862" s="706"/>
    </row>
    <row r="863" spans="1:42">
      <c r="A863" s="2307">
        <v>14</v>
      </c>
      <c r="B863" s="2154" t="s">
        <v>287</v>
      </c>
      <c r="C863" s="2155">
        <v>13</v>
      </c>
      <c r="D863" s="2303">
        <f t="shared" si="143"/>
        <v>1793470</v>
      </c>
      <c r="E863" s="2441"/>
      <c r="F863" s="2441">
        <v>0</v>
      </c>
      <c r="G863" s="2441">
        <v>177248</v>
      </c>
      <c r="H863" s="2442">
        <v>55829</v>
      </c>
      <c r="I863" s="2443">
        <v>1560393</v>
      </c>
      <c r="J863" s="2371">
        <f t="shared" si="147"/>
        <v>1793470</v>
      </c>
      <c r="K863" s="2441"/>
      <c r="L863" s="2442"/>
      <c r="M863" s="2444"/>
      <c r="N863" s="2305">
        <f t="shared" si="145"/>
        <v>0</v>
      </c>
      <c r="O863" s="704"/>
      <c r="P863" s="705"/>
      <c r="Q863" s="735"/>
      <c r="R863" s="706"/>
      <c r="S863" s="706"/>
      <c r="T863" s="706"/>
      <c r="U863" s="706"/>
      <c r="V863" s="706"/>
      <c r="W863" s="706"/>
      <c r="X863" s="706"/>
      <c r="Y863" s="706"/>
      <c r="Z863" s="706"/>
      <c r="AA863" s="706"/>
      <c r="AB863" s="706"/>
      <c r="AC863" s="706"/>
    </row>
    <row r="864" spans="1:42">
      <c r="A864" s="2307">
        <v>15</v>
      </c>
      <c r="B864" s="2154" t="s">
        <v>288</v>
      </c>
      <c r="C864" s="2161">
        <v>14</v>
      </c>
      <c r="D864" s="2303">
        <f t="shared" si="143"/>
        <v>492011</v>
      </c>
      <c r="E864" s="2441"/>
      <c r="F864" s="2441">
        <v>0</v>
      </c>
      <c r="G864" s="2441">
        <v>32510</v>
      </c>
      <c r="H864" s="2442">
        <v>287952</v>
      </c>
      <c r="I864" s="2443">
        <v>171341</v>
      </c>
      <c r="J864" s="2371">
        <f t="shared" si="147"/>
        <v>491803</v>
      </c>
      <c r="K864" s="2441">
        <v>208</v>
      </c>
      <c r="L864" s="2442"/>
      <c r="M864" s="2444"/>
      <c r="N864" s="2305">
        <f t="shared" si="145"/>
        <v>208</v>
      </c>
      <c r="O864" s="704"/>
      <c r="P864" s="705"/>
      <c r="Q864" s="734"/>
      <c r="R864" s="706"/>
      <c r="S864" s="706"/>
      <c r="T864" s="706"/>
      <c r="U864" s="706"/>
      <c r="V864" s="706"/>
      <c r="W864" s="706"/>
      <c r="X864" s="706"/>
      <c r="Y864" s="706"/>
      <c r="Z864" s="706"/>
      <c r="AA864" s="706"/>
      <c r="AB864" s="706"/>
      <c r="AC864" s="706"/>
    </row>
    <row r="865" spans="1:42">
      <c r="A865" s="2307">
        <v>16</v>
      </c>
      <c r="B865" s="2154" t="s">
        <v>289</v>
      </c>
      <c r="C865" s="2155">
        <v>15</v>
      </c>
      <c r="D865" s="2303">
        <f t="shared" si="143"/>
        <v>487959</v>
      </c>
      <c r="E865" s="2441"/>
      <c r="F865" s="2441">
        <v>0</v>
      </c>
      <c r="G865" s="2441">
        <v>8902</v>
      </c>
      <c r="H865" s="2442">
        <v>197283</v>
      </c>
      <c r="I865" s="2443">
        <v>281741</v>
      </c>
      <c r="J865" s="2371">
        <f t="shared" si="147"/>
        <v>487926</v>
      </c>
      <c r="K865" s="2441">
        <v>33</v>
      </c>
      <c r="L865" s="2442"/>
      <c r="M865" s="2444"/>
      <c r="N865" s="2305">
        <f t="shared" si="145"/>
        <v>33</v>
      </c>
      <c r="O865" s="704"/>
      <c r="P865" s="705"/>
      <c r="Q865" s="735"/>
      <c r="R865" s="706"/>
      <c r="S865" s="706"/>
      <c r="T865" s="706"/>
      <c r="U865" s="706"/>
      <c r="V865" s="706"/>
      <c r="W865" s="706"/>
      <c r="X865" s="706"/>
      <c r="Y865" s="706"/>
      <c r="Z865" s="706"/>
      <c r="AA865" s="706"/>
      <c r="AB865" s="706"/>
      <c r="AC865" s="706"/>
    </row>
    <row r="866" spans="1:42">
      <c r="A866" s="2307">
        <v>17</v>
      </c>
      <c r="B866" s="2154" t="s">
        <v>290</v>
      </c>
      <c r="C866" s="2161">
        <v>16</v>
      </c>
      <c r="D866" s="2303">
        <f t="shared" si="143"/>
        <v>1189309</v>
      </c>
      <c r="E866" s="2441">
        <v>-1543681</v>
      </c>
      <c r="F866" s="2441">
        <v>1395227</v>
      </c>
      <c r="G866" s="2441">
        <v>34944</v>
      </c>
      <c r="H866" s="2442">
        <v>1196297</v>
      </c>
      <c r="I866" s="2443">
        <v>90481</v>
      </c>
      <c r="J866" s="2371">
        <f t="shared" si="147"/>
        <v>1321722</v>
      </c>
      <c r="K866" s="2441">
        <v>3907</v>
      </c>
      <c r="L866" s="2442"/>
      <c r="M866" s="2444">
        <v>12134</v>
      </c>
      <c r="N866" s="2305">
        <f t="shared" si="145"/>
        <v>16041</v>
      </c>
      <c r="O866" s="704"/>
      <c r="P866" s="705"/>
      <c r="Q866" s="734"/>
      <c r="R866" s="706"/>
      <c r="S866" s="706"/>
      <c r="T866" s="706"/>
      <c r="U866" s="706"/>
      <c r="V866" s="706"/>
      <c r="W866" s="706"/>
      <c r="X866" s="706"/>
      <c r="Y866" s="706"/>
      <c r="Z866" s="706"/>
      <c r="AA866" s="706"/>
      <c r="AB866" s="706"/>
      <c r="AC866" s="706"/>
    </row>
    <row r="867" spans="1:42">
      <c r="A867" s="2307">
        <v>18</v>
      </c>
      <c r="B867" s="2154" t="s">
        <v>291</v>
      </c>
      <c r="C867" s="2155"/>
      <c r="D867" s="2303">
        <f t="shared" si="143"/>
        <v>0</v>
      </c>
      <c r="E867" s="2441"/>
      <c r="F867" s="2441"/>
      <c r="G867" s="2441"/>
      <c r="H867" s="2442"/>
      <c r="I867" s="2443"/>
      <c r="J867" s="2371">
        <f t="shared" si="147"/>
        <v>0</v>
      </c>
      <c r="K867" s="2441"/>
      <c r="L867" s="2442"/>
      <c r="M867" s="2444"/>
      <c r="N867" s="2305">
        <f t="shared" si="145"/>
        <v>0</v>
      </c>
      <c r="O867" s="704"/>
      <c r="P867" s="705"/>
      <c r="Q867" s="735"/>
      <c r="R867" s="706"/>
      <c r="S867" s="706"/>
      <c r="T867" s="706"/>
      <c r="U867" s="706"/>
      <c r="V867" s="706"/>
      <c r="W867" s="706"/>
      <c r="X867" s="706"/>
      <c r="Y867" s="706"/>
      <c r="Z867" s="706"/>
      <c r="AA867" s="706"/>
      <c r="AB867" s="706"/>
      <c r="AC867" s="706"/>
    </row>
    <row r="868" spans="1:42" ht="13.5" thickBot="1">
      <c r="A868" s="2314">
        <v>19</v>
      </c>
      <c r="B868" s="2173" t="s">
        <v>292</v>
      </c>
      <c r="C868" s="2172"/>
      <c r="D868" s="1485">
        <f t="shared" si="143"/>
        <v>960270</v>
      </c>
      <c r="E868" s="1033"/>
      <c r="F868" s="1033">
        <v>9131</v>
      </c>
      <c r="G868" s="1034">
        <v>68</v>
      </c>
      <c r="H868" s="2359">
        <v>950091</v>
      </c>
      <c r="I868" s="2364">
        <v>47</v>
      </c>
      <c r="J868" s="1538">
        <f t="shared" si="147"/>
        <v>950206</v>
      </c>
      <c r="K868" s="1034">
        <v>878</v>
      </c>
      <c r="L868" s="2362"/>
      <c r="M868" s="2446">
        <v>55</v>
      </c>
      <c r="N868" s="1489">
        <f t="shared" si="145"/>
        <v>933</v>
      </c>
      <c r="O868" s="704"/>
      <c r="P868" s="705"/>
      <c r="Q868" s="735"/>
      <c r="R868" s="706"/>
      <c r="S868" s="706"/>
      <c r="T868" s="706"/>
      <c r="U868" s="706"/>
      <c r="V868" s="706"/>
      <c r="W868" s="706"/>
      <c r="X868" s="706"/>
      <c r="Y868" s="706"/>
      <c r="Z868" s="706"/>
      <c r="AA868" s="706"/>
      <c r="AB868" s="706"/>
      <c r="AC868" s="706"/>
    </row>
    <row r="869" spans="1:42" s="913" customFormat="1" ht="26.25" thickBot="1">
      <c r="A869" s="1482">
        <v>20</v>
      </c>
      <c r="B869" s="1349" t="s">
        <v>293</v>
      </c>
      <c r="C869" s="1348"/>
      <c r="D869" s="1486">
        <f t="shared" si="143"/>
        <v>62600408</v>
      </c>
      <c r="E869" s="999">
        <f>SUM(E846:E852)+E855+E858+SUM(E863:E868)</f>
        <v>-1543681</v>
      </c>
      <c r="F869" s="999">
        <f>SUM(F846:F852)+F855+F858+SUM(F863:F868)</f>
        <v>13436246</v>
      </c>
      <c r="G869" s="999">
        <f>SUM(G846:G852)+G855+G858+SUM(G863:G868)</f>
        <v>9626435</v>
      </c>
      <c r="H869" s="1022">
        <f>SUM(H846:H852)+H855+H858+SUM(H863:H868)</f>
        <v>11214002</v>
      </c>
      <c r="I869" s="1023">
        <f>SUM(I846:I852)+I855+I858+SUM(I863:I868)</f>
        <v>28462715</v>
      </c>
      <c r="J869" s="1502">
        <f t="shared" si="147"/>
        <v>49303152</v>
      </c>
      <c r="K869" s="999">
        <f>SUM(K846:K852)+K855+K858+SUM(K863:K868)</f>
        <v>339146</v>
      </c>
      <c r="L869" s="1022">
        <f>SUM(L846:L852)+L855+L858+SUM(L863:L868)</f>
        <v>0</v>
      </c>
      <c r="M869" s="1532">
        <f>SUM(M846:M852)+M855+M858+SUM(M863:M868)</f>
        <v>1065545</v>
      </c>
      <c r="N869" s="1490">
        <f t="shared" si="145"/>
        <v>1404691</v>
      </c>
      <c r="O869" s="1024"/>
      <c r="P869" s="1025"/>
      <c r="Q869" s="1129"/>
      <c r="R869" s="1027"/>
      <c r="S869" s="1027"/>
      <c r="T869" s="1027"/>
      <c r="U869" s="1027"/>
      <c r="V869" s="1027"/>
      <c r="W869" s="1027"/>
      <c r="X869" s="1027"/>
      <c r="Y869" s="1027"/>
      <c r="Z869" s="1027"/>
      <c r="AA869" s="1027"/>
      <c r="AB869" s="1027"/>
      <c r="AC869" s="1027"/>
      <c r="AE869" s="1028"/>
      <c r="AF869" s="1028"/>
      <c r="AG869" s="1028"/>
      <c r="AH869" s="1028"/>
      <c r="AI869" s="1028"/>
      <c r="AJ869" s="1028"/>
      <c r="AK869" s="1028"/>
      <c r="AL869" s="1028"/>
      <c r="AM869" s="1028"/>
      <c r="AN869" s="1028"/>
      <c r="AO869" s="1028"/>
      <c r="AP869" s="1028"/>
    </row>
    <row r="870" spans="1:42">
      <c r="A870" s="1483"/>
      <c r="B870" s="1481" t="s">
        <v>294</v>
      </c>
      <c r="C870" s="1346"/>
      <c r="D870" s="1487">
        <f t="shared" si="143"/>
        <v>0</v>
      </c>
      <c r="E870" s="691"/>
      <c r="F870" s="691"/>
      <c r="G870" s="688"/>
      <c r="H870" s="689"/>
      <c r="I870" s="692"/>
      <c r="J870" s="1503">
        <f t="shared" si="147"/>
        <v>0</v>
      </c>
      <c r="K870" s="688"/>
      <c r="L870" s="693"/>
      <c r="M870" s="1584"/>
      <c r="N870" s="1491">
        <f t="shared" si="145"/>
        <v>0</v>
      </c>
      <c r="O870" s="704"/>
      <c r="P870" s="705"/>
      <c r="Q870" s="735"/>
      <c r="R870" s="706"/>
      <c r="S870" s="706"/>
      <c r="T870" s="706"/>
      <c r="U870" s="706"/>
      <c r="V870" s="706"/>
      <c r="W870" s="706"/>
      <c r="X870" s="706"/>
      <c r="Y870" s="706"/>
      <c r="Z870" s="706"/>
      <c r="AA870" s="706"/>
      <c r="AB870" s="706"/>
      <c r="AC870" s="706"/>
    </row>
    <row r="871" spans="1:42">
      <c r="A871" s="2307"/>
      <c r="B871" s="2316" t="s">
        <v>295</v>
      </c>
      <c r="C871" s="2155"/>
      <c r="D871" s="2303">
        <f t="shared" si="143"/>
        <v>0</v>
      </c>
      <c r="E871" s="2330"/>
      <c r="F871" s="2330"/>
      <c r="G871" s="2327"/>
      <c r="H871" s="2323"/>
      <c r="I871" s="2329"/>
      <c r="J871" s="2371">
        <f t="shared" si="147"/>
        <v>0</v>
      </c>
      <c r="K871" s="2327"/>
      <c r="L871" s="2342"/>
      <c r="M871" s="2447"/>
      <c r="N871" s="2305">
        <f t="shared" si="145"/>
        <v>0</v>
      </c>
      <c r="O871" s="704"/>
      <c r="P871" s="705"/>
      <c r="Q871" s="735"/>
      <c r="R871" s="706"/>
      <c r="S871" s="706"/>
      <c r="T871" s="706"/>
      <c r="U871" s="706"/>
      <c r="V871" s="706"/>
      <c r="W871" s="706"/>
      <c r="X871" s="706"/>
      <c r="Y871" s="706"/>
      <c r="Z871" s="706"/>
      <c r="AA871" s="706"/>
      <c r="AB871" s="706"/>
      <c r="AC871" s="706"/>
    </row>
    <row r="872" spans="1:42">
      <c r="A872" s="2307">
        <v>21</v>
      </c>
      <c r="B872" s="2154" t="s">
        <v>296</v>
      </c>
      <c r="C872" s="2161">
        <v>17</v>
      </c>
      <c r="D872" s="2303">
        <f t="shared" si="143"/>
        <v>42562956</v>
      </c>
      <c r="E872" s="2448"/>
      <c r="F872" s="2448">
        <v>0</v>
      </c>
      <c r="G872" s="2449">
        <v>8714268</v>
      </c>
      <c r="H872" s="2450">
        <v>5186526</v>
      </c>
      <c r="I872" s="2451">
        <v>27563014</v>
      </c>
      <c r="J872" s="2371">
        <f t="shared" si="147"/>
        <v>41463808</v>
      </c>
      <c r="K872" s="2449">
        <v>37447</v>
      </c>
      <c r="L872" s="2452"/>
      <c r="M872" s="2453">
        <v>1061701</v>
      </c>
      <c r="N872" s="2305">
        <f t="shared" si="145"/>
        <v>1099148</v>
      </c>
      <c r="O872" s="704"/>
      <c r="P872" s="705"/>
      <c r="Q872" s="734"/>
      <c r="R872" s="706"/>
      <c r="S872" s="706"/>
      <c r="T872" s="706"/>
      <c r="U872" s="706"/>
      <c r="V872" s="706"/>
      <c r="W872" s="706"/>
      <c r="X872" s="706"/>
      <c r="Y872" s="706"/>
      <c r="Z872" s="706"/>
      <c r="AA872" s="706"/>
      <c r="AB872" s="706"/>
      <c r="AC872" s="706"/>
    </row>
    <row r="873" spans="1:42">
      <c r="A873" s="2307">
        <v>22</v>
      </c>
      <c r="B873" s="2154" t="s">
        <v>297</v>
      </c>
      <c r="C873" s="2155"/>
      <c r="D873" s="2303">
        <f t="shared" si="143"/>
        <v>194753</v>
      </c>
      <c r="E873" s="2448"/>
      <c r="F873" s="2448">
        <v>0</v>
      </c>
      <c r="G873" s="2449">
        <v>0</v>
      </c>
      <c r="H873" s="2450">
        <v>194753</v>
      </c>
      <c r="I873" s="2451">
        <v>0</v>
      </c>
      <c r="J873" s="2371">
        <f t="shared" si="147"/>
        <v>194753</v>
      </c>
      <c r="K873" s="2449"/>
      <c r="L873" s="2452"/>
      <c r="M873" s="2453"/>
      <c r="N873" s="2305">
        <f t="shared" si="145"/>
        <v>0</v>
      </c>
      <c r="O873" s="704"/>
      <c r="P873" s="705"/>
      <c r="Q873" s="735"/>
      <c r="R873" s="706"/>
      <c r="S873" s="706"/>
      <c r="T873" s="706"/>
      <c r="U873" s="706"/>
      <c r="V873" s="706"/>
      <c r="W873" s="706"/>
      <c r="X873" s="706"/>
      <c r="Y873" s="706"/>
      <c r="Z873" s="706"/>
      <c r="AA873" s="706"/>
      <c r="AB873" s="706"/>
      <c r="AC873" s="706"/>
    </row>
    <row r="874" spans="1:42">
      <c r="A874" s="2307">
        <v>23</v>
      </c>
      <c r="B874" s="2154" t="s">
        <v>298</v>
      </c>
      <c r="C874" s="2155">
        <v>18</v>
      </c>
      <c r="D874" s="2303">
        <f t="shared" si="143"/>
        <v>533023</v>
      </c>
      <c r="E874" s="2448"/>
      <c r="F874" s="2448">
        <v>0</v>
      </c>
      <c r="G874" s="2449">
        <v>22974</v>
      </c>
      <c r="H874" s="2450">
        <v>641430</v>
      </c>
      <c r="I874" s="2451">
        <v>-131876</v>
      </c>
      <c r="J874" s="2371">
        <f t="shared" si="147"/>
        <v>532528</v>
      </c>
      <c r="K874" s="2449">
        <v>495</v>
      </c>
      <c r="L874" s="2452"/>
      <c r="M874" s="2453">
        <v>0</v>
      </c>
      <c r="N874" s="2305">
        <f t="shared" si="145"/>
        <v>495</v>
      </c>
      <c r="O874" s="704"/>
      <c r="P874" s="705"/>
      <c r="Q874" s="735"/>
      <c r="R874" s="706"/>
      <c r="S874" s="706"/>
      <c r="T874" s="706"/>
      <c r="U874" s="706"/>
      <c r="V874" s="706"/>
      <c r="W874" s="706"/>
      <c r="X874" s="706"/>
      <c r="Y874" s="706"/>
      <c r="Z874" s="706"/>
      <c r="AA874" s="706"/>
      <c r="AB874" s="706"/>
      <c r="AC874" s="706"/>
    </row>
    <row r="875" spans="1:42">
      <c r="A875" s="2307">
        <v>24</v>
      </c>
      <c r="B875" s="2154" t="s">
        <v>299</v>
      </c>
      <c r="C875" s="2155"/>
      <c r="D875" s="2303">
        <f t="shared" si="143"/>
        <v>0</v>
      </c>
      <c r="E875" s="2448"/>
      <c r="F875" s="2448"/>
      <c r="G875" s="2449"/>
      <c r="H875" s="2450"/>
      <c r="I875" s="2451"/>
      <c r="J875" s="2371">
        <f t="shared" si="147"/>
        <v>0</v>
      </c>
      <c r="K875" s="2449"/>
      <c r="L875" s="2452"/>
      <c r="M875" s="2453"/>
      <c r="N875" s="2305">
        <f t="shared" si="145"/>
        <v>0</v>
      </c>
      <c r="O875" s="704"/>
      <c r="P875" s="705"/>
      <c r="Q875" s="735"/>
      <c r="R875" s="706"/>
      <c r="S875" s="706"/>
      <c r="T875" s="706"/>
      <c r="U875" s="706"/>
      <c r="V875" s="706"/>
      <c r="W875" s="706"/>
      <c r="X875" s="706"/>
      <c r="Y875" s="706"/>
      <c r="Z875" s="706"/>
      <c r="AA875" s="706"/>
      <c r="AB875" s="706"/>
      <c r="AC875" s="706"/>
    </row>
    <row r="876" spans="1:42">
      <c r="A876" s="2307">
        <v>25</v>
      </c>
      <c r="B876" s="2176" t="s">
        <v>300</v>
      </c>
      <c r="C876" s="2155"/>
      <c r="D876" s="2303">
        <f t="shared" si="143"/>
        <v>0</v>
      </c>
      <c r="E876" s="2448"/>
      <c r="F876" s="2448"/>
      <c r="G876" s="2449"/>
      <c r="H876" s="2450"/>
      <c r="I876" s="2451"/>
      <c r="J876" s="2371">
        <f t="shared" si="147"/>
        <v>0</v>
      </c>
      <c r="K876" s="2449"/>
      <c r="L876" s="2452"/>
      <c r="M876" s="2453"/>
      <c r="N876" s="2305">
        <f t="shared" si="145"/>
        <v>0</v>
      </c>
      <c r="O876" s="704"/>
      <c r="P876" s="705"/>
      <c r="Q876" s="735"/>
      <c r="R876" s="706"/>
      <c r="S876" s="706"/>
      <c r="T876" s="706"/>
      <c r="U876" s="706"/>
      <c r="V876" s="706"/>
      <c r="W876" s="706"/>
      <c r="X876" s="706"/>
      <c r="Y876" s="706"/>
      <c r="Z876" s="706"/>
      <c r="AA876" s="706"/>
      <c r="AB876" s="706"/>
      <c r="AC876" s="706"/>
    </row>
    <row r="877" spans="1:42" ht="13.5" thickBot="1">
      <c r="A877" s="2314">
        <v>26</v>
      </c>
      <c r="B877" s="2173" t="s">
        <v>301</v>
      </c>
      <c r="C877" s="2177">
        <v>19</v>
      </c>
      <c r="D877" s="1485">
        <f t="shared" si="143"/>
        <v>4201187</v>
      </c>
      <c r="E877" s="1135">
        <v>-1543681</v>
      </c>
      <c r="F877" s="1135">
        <v>496958</v>
      </c>
      <c r="G877" s="1135">
        <v>675186</v>
      </c>
      <c r="H877" s="1136">
        <v>3603300</v>
      </c>
      <c r="I877" s="2454">
        <v>698951</v>
      </c>
      <c r="J877" s="1538">
        <f t="shared" si="147"/>
        <v>4977437</v>
      </c>
      <c r="K877" s="1137">
        <v>266629</v>
      </c>
      <c r="L877" s="1138"/>
      <c r="M877" s="2455">
        <v>3844</v>
      </c>
      <c r="N877" s="1489">
        <f t="shared" si="145"/>
        <v>270473</v>
      </c>
      <c r="O877" s="704"/>
      <c r="P877" s="705"/>
      <c r="Q877" s="734"/>
      <c r="R877" s="706"/>
      <c r="S877" s="706"/>
      <c r="T877" s="706"/>
      <c r="U877" s="706"/>
      <c r="V877" s="706"/>
      <c r="W877" s="706"/>
      <c r="X877" s="706"/>
      <c r="Y877" s="706"/>
      <c r="Z877" s="706"/>
      <c r="AA877" s="706"/>
      <c r="AB877" s="706"/>
      <c r="AC877" s="706"/>
    </row>
    <row r="878" spans="1:42" s="913" customFormat="1" ht="26.25" thickBot="1">
      <c r="A878" s="1482">
        <v>27</v>
      </c>
      <c r="B878" s="1349" t="s">
        <v>302</v>
      </c>
      <c r="C878" s="1348"/>
      <c r="D878" s="1499">
        <f t="shared" si="143"/>
        <v>47491919</v>
      </c>
      <c r="E878" s="1019">
        <f>SUM(E872:E877)</f>
        <v>-1543681</v>
      </c>
      <c r="F878" s="1019">
        <f>SUM(F872:F877)</f>
        <v>496958</v>
      </c>
      <c r="G878" s="1019">
        <f>SUM(G872:G877)</f>
        <v>9412428</v>
      </c>
      <c r="H878" s="1039">
        <f>SUM(H872:H877)</f>
        <v>9626009</v>
      </c>
      <c r="I878" s="1023">
        <f>SUM(I872:I877)</f>
        <v>28130089</v>
      </c>
      <c r="J878" s="1502">
        <f>G878+H878+I878</f>
        <v>47168526</v>
      </c>
      <c r="K878" s="1019">
        <f>SUM(K872:K877)</f>
        <v>304571</v>
      </c>
      <c r="L878" s="1039">
        <f>SUM(L872:L877)</f>
        <v>0</v>
      </c>
      <c r="M878" s="1532">
        <f>SUM(M872:M877)</f>
        <v>1065545</v>
      </c>
      <c r="N878" s="1490">
        <f t="shared" si="145"/>
        <v>1370116</v>
      </c>
      <c r="O878" s="1024"/>
      <c r="P878" s="1025"/>
      <c r="Q878" s="1129"/>
      <c r="R878" s="1027"/>
      <c r="S878" s="1027"/>
      <c r="T878" s="1027"/>
      <c r="U878" s="1027"/>
      <c r="V878" s="1027"/>
      <c r="W878" s="1027"/>
      <c r="X878" s="1027"/>
      <c r="Y878" s="1027"/>
      <c r="Z878" s="1027"/>
      <c r="AA878" s="1027"/>
      <c r="AB878" s="1027"/>
      <c r="AC878" s="1027"/>
      <c r="AE878" s="1028"/>
      <c r="AF878" s="1028"/>
      <c r="AG878" s="1028"/>
      <c r="AH878" s="1028"/>
      <c r="AI878" s="1028"/>
      <c r="AJ878" s="1028"/>
      <c r="AK878" s="1028"/>
      <c r="AL878" s="1028"/>
      <c r="AM878" s="1028"/>
      <c r="AN878" s="1028"/>
      <c r="AO878" s="1028"/>
      <c r="AP878" s="1028"/>
    </row>
    <row r="879" spans="1:42">
      <c r="A879" s="1483"/>
      <c r="B879" s="1481" t="s">
        <v>303</v>
      </c>
      <c r="C879" s="1346">
        <v>20</v>
      </c>
      <c r="D879" s="1487">
        <f t="shared" si="143"/>
        <v>0</v>
      </c>
      <c r="E879" s="1130"/>
      <c r="F879" s="1130"/>
      <c r="G879" s="1131"/>
      <c r="H879" s="1132"/>
      <c r="I879" s="1133"/>
      <c r="J879" s="1503">
        <f t="shared" ref="J879:J885" si="148">G879+H879+I879</f>
        <v>0</v>
      </c>
      <c r="K879" s="1131"/>
      <c r="L879" s="1134"/>
      <c r="M879" s="1585"/>
      <c r="N879" s="1491">
        <f t="shared" si="145"/>
        <v>0</v>
      </c>
      <c r="O879" s="704"/>
      <c r="P879" s="705"/>
      <c r="Q879" s="735"/>
      <c r="R879" s="706"/>
      <c r="S879" s="706"/>
      <c r="T879" s="706"/>
      <c r="U879" s="706"/>
      <c r="V879" s="706"/>
      <c r="W879" s="706"/>
      <c r="X879" s="706"/>
      <c r="Y879" s="706"/>
      <c r="Z879" s="706"/>
      <c r="AA879" s="706"/>
      <c r="AB879" s="706"/>
      <c r="AC879" s="706"/>
    </row>
    <row r="880" spans="1:42">
      <c r="A880" s="2307">
        <v>28</v>
      </c>
      <c r="B880" s="2302" t="s">
        <v>304</v>
      </c>
      <c r="C880" s="2161"/>
      <c r="D880" s="2303">
        <f t="shared" si="143"/>
        <v>1000000</v>
      </c>
      <c r="E880" s="2448"/>
      <c r="F880" s="2448">
        <v>1000000</v>
      </c>
      <c r="G880" s="2449">
        <v>0</v>
      </c>
      <c r="H880" s="2450">
        <v>0</v>
      </c>
      <c r="I880" s="2451">
        <v>0</v>
      </c>
      <c r="J880" s="2371">
        <f t="shared" si="148"/>
        <v>0</v>
      </c>
      <c r="K880" s="2449"/>
      <c r="L880" s="2452"/>
      <c r="M880" s="2453">
        <v>0</v>
      </c>
      <c r="N880" s="2305">
        <f t="shared" si="145"/>
        <v>0</v>
      </c>
      <c r="O880" s="704"/>
      <c r="P880" s="705"/>
      <c r="Q880" s="734"/>
      <c r="R880" s="706"/>
      <c r="S880" s="706"/>
      <c r="T880" s="706"/>
      <c r="U880" s="706"/>
      <c r="V880" s="706"/>
      <c r="W880" s="706"/>
      <c r="X880" s="706"/>
      <c r="Y880" s="706"/>
      <c r="Z880" s="706"/>
      <c r="AA880" s="706"/>
      <c r="AB880" s="706"/>
      <c r="AC880" s="706"/>
    </row>
    <row r="881" spans="1:42">
      <c r="A881" s="2307">
        <v>29</v>
      </c>
      <c r="B881" s="2302" t="s">
        <v>305</v>
      </c>
      <c r="C881" s="2161"/>
      <c r="D881" s="2303">
        <f t="shared" si="143"/>
        <v>1285258</v>
      </c>
      <c r="E881" s="2448"/>
      <c r="F881" s="2448">
        <v>725884</v>
      </c>
      <c r="G881" s="2448">
        <v>214007</v>
      </c>
      <c r="H881" s="2456">
        <v>-21834</v>
      </c>
      <c r="I881" s="2451">
        <v>332626</v>
      </c>
      <c r="J881" s="2371">
        <f t="shared" si="148"/>
        <v>524799</v>
      </c>
      <c r="K881" s="2449">
        <v>34575</v>
      </c>
      <c r="L881" s="2452"/>
      <c r="M881" s="2453">
        <v>0</v>
      </c>
      <c r="N881" s="2305">
        <f t="shared" si="145"/>
        <v>34575</v>
      </c>
      <c r="O881" s="704"/>
      <c r="P881" s="705"/>
      <c r="Q881" s="735"/>
      <c r="R881" s="706"/>
      <c r="S881" s="706"/>
      <c r="T881" s="706"/>
      <c r="U881" s="706"/>
      <c r="V881" s="706"/>
      <c r="W881" s="706"/>
      <c r="X881" s="706"/>
      <c r="Y881" s="706"/>
      <c r="Z881" s="706"/>
      <c r="AA881" s="706"/>
      <c r="AB881" s="706"/>
      <c r="AC881" s="706"/>
    </row>
    <row r="882" spans="1:42">
      <c r="A882" s="2307">
        <v>30</v>
      </c>
      <c r="B882" s="2317" t="s">
        <v>306</v>
      </c>
      <c r="C882" s="2177"/>
      <c r="D882" s="2303">
        <f t="shared" si="143"/>
        <v>2085688</v>
      </c>
      <c r="E882" s="2448"/>
      <c r="F882" s="1135">
        <v>475861</v>
      </c>
      <c r="G882" s="1137">
        <v>0</v>
      </c>
      <c r="H882" s="2457">
        <v>1609827</v>
      </c>
      <c r="I882" s="2454">
        <v>0</v>
      </c>
      <c r="J882" s="2371">
        <f t="shared" si="148"/>
        <v>1609827</v>
      </c>
      <c r="K882" s="2449"/>
      <c r="L882" s="2458"/>
      <c r="M882" s="2455">
        <v>0</v>
      </c>
      <c r="N882" s="2305">
        <f t="shared" si="145"/>
        <v>0</v>
      </c>
      <c r="O882" s="704"/>
      <c r="P882" s="705"/>
      <c r="Q882" s="735"/>
      <c r="R882" s="706"/>
      <c r="S882" s="706"/>
      <c r="T882" s="706"/>
      <c r="U882" s="706"/>
      <c r="V882" s="706"/>
      <c r="W882" s="706"/>
      <c r="X882" s="706"/>
      <c r="Y882" s="706"/>
      <c r="Z882" s="706"/>
      <c r="AA882" s="706"/>
      <c r="AB882" s="706"/>
      <c r="AC882" s="706"/>
    </row>
    <row r="883" spans="1:42">
      <c r="A883" s="2307">
        <v>31</v>
      </c>
      <c r="B883" s="2317" t="s">
        <v>307</v>
      </c>
      <c r="C883" s="2177"/>
      <c r="D883" s="2303">
        <f t="shared" si="143"/>
        <v>3381934</v>
      </c>
      <c r="E883" s="2448"/>
      <c r="F883" s="1135">
        <v>3381934</v>
      </c>
      <c r="G883" s="1137">
        <v>0</v>
      </c>
      <c r="H883" s="2457">
        <v>0</v>
      </c>
      <c r="I883" s="2454">
        <v>0</v>
      </c>
      <c r="J883" s="2371">
        <f t="shared" si="148"/>
        <v>0</v>
      </c>
      <c r="K883" s="2449"/>
      <c r="L883" s="2458"/>
      <c r="M883" s="2455">
        <v>0</v>
      </c>
      <c r="N883" s="2305">
        <f t="shared" si="145"/>
        <v>0</v>
      </c>
      <c r="O883" s="704"/>
      <c r="P883" s="705"/>
      <c r="Q883" s="734"/>
      <c r="R883" s="706"/>
      <c r="S883" s="706"/>
      <c r="T883" s="706"/>
      <c r="U883" s="706"/>
      <c r="V883" s="706"/>
      <c r="W883" s="706"/>
      <c r="X883" s="706"/>
      <c r="Y883" s="706"/>
      <c r="Z883" s="706"/>
      <c r="AA883" s="706"/>
      <c r="AB883" s="706"/>
      <c r="AC883" s="706"/>
    </row>
    <row r="884" spans="1:42" ht="13.5" thickBot="1">
      <c r="A884" s="2314">
        <v>32</v>
      </c>
      <c r="B884" s="2317" t="s">
        <v>308</v>
      </c>
      <c r="C884" s="2177"/>
      <c r="D884" s="2303">
        <f t="shared" si="143"/>
        <v>7355609</v>
      </c>
      <c r="E884" s="2448"/>
      <c r="F884" s="1135">
        <v>7355609</v>
      </c>
      <c r="G884" s="1137">
        <v>0</v>
      </c>
      <c r="H884" s="2457">
        <v>0</v>
      </c>
      <c r="I884" s="2454">
        <v>0</v>
      </c>
      <c r="J884" s="2371">
        <f t="shared" si="148"/>
        <v>0</v>
      </c>
      <c r="K884" s="2449"/>
      <c r="L884" s="2457"/>
      <c r="M884" s="2459">
        <v>0</v>
      </c>
      <c r="N884" s="2305">
        <f t="shared" si="145"/>
        <v>0</v>
      </c>
      <c r="O884" s="704"/>
      <c r="P884" s="705"/>
      <c r="Q884" s="735"/>
      <c r="R884" s="706"/>
      <c r="S884" s="706"/>
      <c r="T884" s="706"/>
      <c r="U884" s="706"/>
      <c r="V884" s="706"/>
      <c r="W884" s="706"/>
      <c r="X884" s="706"/>
      <c r="Y884" s="706"/>
      <c r="Z884" s="706"/>
      <c r="AA884" s="706"/>
      <c r="AB884" s="706"/>
      <c r="AC884" s="706"/>
    </row>
    <row r="885" spans="1:42" s="913" customFormat="1" ht="13.5" thickBot="1">
      <c r="A885" s="1482">
        <v>33</v>
      </c>
      <c r="B885" s="1384" t="s">
        <v>309</v>
      </c>
      <c r="C885" s="1385"/>
      <c r="D885" s="1544">
        <f t="shared" si="143"/>
        <v>15108489</v>
      </c>
      <c r="E885" s="1060">
        <f>SUM(E880:E884)</f>
        <v>0</v>
      </c>
      <c r="F885" s="1060">
        <f>SUM(F880:F884)</f>
        <v>12939288</v>
      </c>
      <c r="G885" s="1060">
        <f>SUM(G880:G884)</f>
        <v>214007</v>
      </c>
      <c r="H885" s="1061">
        <f>SUM(H880:H884)</f>
        <v>1587993</v>
      </c>
      <c r="I885" s="1062">
        <f>SUM(I880:I884)</f>
        <v>332626</v>
      </c>
      <c r="J885" s="1548">
        <f t="shared" si="148"/>
        <v>2134626</v>
      </c>
      <c r="K885" s="1139">
        <f>SUM(K880:K884)</f>
        <v>34575</v>
      </c>
      <c r="L885" s="1139">
        <f>SUM(L880:L884)</f>
        <v>0</v>
      </c>
      <c r="M885" s="1586">
        <f>SUM(M880:M884)</f>
        <v>0</v>
      </c>
      <c r="N885" s="1543">
        <f t="shared" si="145"/>
        <v>34575</v>
      </c>
      <c r="O885" s="1024"/>
      <c r="P885" s="1025"/>
      <c r="Q885" s="1129"/>
      <c r="R885" s="1027"/>
      <c r="S885" s="1027"/>
      <c r="T885" s="1027"/>
      <c r="U885" s="1027"/>
      <c r="V885" s="1027"/>
      <c r="W885" s="1027"/>
      <c r="X885" s="1027"/>
      <c r="Y885" s="1027"/>
      <c r="Z885" s="1027"/>
      <c r="AA885" s="1027"/>
      <c r="AB885" s="1027"/>
      <c r="AC885" s="1027"/>
      <c r="AE885" s="1028"/>
      <c r="AF885" s="1028"/>
      <c r="AG885" s="1028"/>
      <c r="AH885" s="1028"/>
      <c r="AI885" s="1028"/>
      <c r="AJ885" s="1028"/>
      <c r="AK885" s="1028"/>
      <c r="AL885" s="1028"/>
      <c r="AM885" s="1028"/>
      <c r="AN885" s="1028"/>
      <c r="AO885" s="1028"/>
      <c r="AP885" s="1028"/>
    </row>
    <row r="886" spans="1:42" s="913" customFormat="1" ht="26.25" thickBot="1">
      <c r="A886" s="1482">
        <v>34</v>
      </c>
      <c r="B886" s="1352" t="s">
        <v>310</v>
      </c>
      <c r="C886" s="1351"/>
      <c r="D886" s="1526">
        <f>+E886+F886+J886+N886</f>
        <v>62600408</v>
      </c>
      <c r="E886" s="1526">
        <f>E885+E878</f>
        <v>-1543681</v>
      </c>
      <c r="F886" s="1526">
        <f>F885+F878</f>
        <v>13436246</v>
      </c>
      <c r="G886" s="1526">
        <f>G885+G878</f>
        <v>9626435</v>
      </c>
      <c r="H886" s="1526">
        <f>H885+H878</f>
        <v>11214002</v>
      </c>
      <c r="I886" s="1526">
        <f>I885+I878</f>
        <v>28462715</v>
      </c>
      <c r="J886" s="1535">
        <f>G886+H886+I886</f>
        <v>49303152</v>
      </c>
      <c r="K886" s="1526">
        <f>K885+K878</f>
        <v>339146</v>
      </c>
      <c r="L886" s="1556">
        <f>L885+L878</f>
        <v>0</v>
      </c>
      <c r="M886" s="1430">
        <f>M885+M878</f>
        <v>1065545</v>
      </c>
      <c r="N886" s="1430">
        <f t="shared" si="145"/>
        <v>1404691</v>
      </c>
      <c r="O886" s="1024"/>
      <c r="P886" s="1025"/>
      <c r="Q886" s="1129"/>
      <c r="R886" s="1027"/>
      <c r="S886" s="1027"/>
      <c r="T886" s="1027"/>
      <c r="U886" s="1027"/>
      <c r="V886" s="1027"/>
      <c r="W886" s="1027"/>
      <c r="X886" s="1027"/>
      <c r="Y886" s="1027"/>
      <c r="Z886" s="1027"/>
      <c r="AA886" s="1027"/>
      <c r="AB886" s="1027"/>
      <c r="AC886" s="1027"/>
      <c r="AE886" s="1028"/>
      <c r="AF886" s="1028"/>
      <c r="AG886" s="1028"/>
      <c r="AH886" s="1028"/>
      <c r="AI886" s="1028"/>
      <c r="AJ886" s="1028"/>
      <c r="AK886" s="1028"/>
      <c r="AL886" s="1028"/>
      <c r="AM886" s="1028"/>
      <c r="AN886" s="1028"/>
      <c r="AO886" s="1028"/>
      <c r="AP886" s="1028"/>
    </row>
    <row r="888" spans="1:42">
      <c r="B888" s="680"/>
      <c r="D888" s="679"/>
      <c r="E888" s="679"/>
      <c r="F888" s="679"/>
      <c r="G888" s="679"/>
      <c r="H888" s="679"/>
      <c r="I888" s="679"/>
      <c r="J888" s="679"/>
      <c r="K888" s="679"/>
      <c r="L888" s="679"/>
      <c r="M888" s="679"/>
      <c r="N888" s="679">
        <v>46</v>
      </c>
      <c r="O888" s="679"/>
    </row>
    <row r="889" spans="1:42">
      <c r="D889" s="679"/>
      <c r="E889" s="679"/>
      <c r="F889" s="679"/>
      <c r="G889" s="679"/>
      <c r="H889" s="679"/>
      <c r="I889" s="679"/>
      <c r="J889" s="679"/>
      <c r="K889" s="679"/>
      <c r="L889" s="679"/>
      <c r="M889" s="679"/>
      <c r="N889" s="679"/>
    </row>
    <row r="892" spans="1:42">
      <c r="F892" s="679"/>
    </row>
    <row r="902" spans="2:2">
      <c r="B902" s="1140"/>
    </row>
    <row r="903" spans="2:2">
      <c r="B903" s="1140"/>
    </row>
  </sheetData>
  <mergeCells count="169">
    <mergeCell ref="A8:A12"/>
    <mergeCell ref="A60:A64"/>
    <mergeCell ref="A164:A168"/>
    <mergeCell ref="A216:A220"/>
    <mergeCell ref="C788:C792"/>
    <mergeCell ref="D788:D790"/>
    <mergeCell ref="E788:E790"/>
    <mergeCell ref="F788:F790"/>
    <mergeCell ref="B735:C735"/>
    <mergeCell ref="C736:C740"/>
    <mergeCell ref="D736:D738"/>
    <mergeCell ref="E736:E738"/>
    <mergeCell ref="F736:F738"/>
    <mergeCell ref="B579:C579"/>
    <mergeCell ref="C580:C584"/>
    <mergeCell ref="D580:D582"/>
    <mergeCell ref="E580:E582"/>
    <mergeCell ref="F580:F582"/>
    <mergeCell ref="B371:C371"/>
    <mergeCell ref="C372:C376"/>
    <mergeCell ref="D372:D374"/>
    <mergeCell ref="E372:E374"/>
    <mergeCell ref="F372:F374"/>
    <mergeCell ref="E476:E478"/>
    <mergeCell ref="G788:N788"/>
    <mergeCell ref="G789:J789"/>
    <mergeCell ref="K789:N789"/>
    <mergeCell ref="B839:C839"/>
    <mergeCell ref="C840:C844"/>
    <mergeCell ref="D840:D842"/>
    <mergeCell ref="E840:E842"/>
    <mergeCell ref="F840:F842"/>
    <mergeCell ref="G840:N840"/>
    <mergeCell ref="G841:J841"/>
    <mergeCell ref="K841:N841"/>
    <mergeCell ref="M839:N839"/>
    <mergeCell ref="G736:N736"/>
    <mergeCell ref="G737:J737"/>
    <mergeCell ref="K737:N737"/>
    <mergeCell ref="B787:C787"/>
    <mergeCell ref="M735:N735"/>
    <mergeCell ref="M787:N787"/>
    <mergeCell ref="C632:C636"/>
    <mergeCell ref="D632:D634"/>
    <mergeCell ref="E632:E634"/>
    <mergeCell ref="F632:F634"/>
    <mergeCell ref="G632:N632"/>
    <mergeCell ref="G633:J633"/>
    <mergeCell ref="K633:N633"/>
    <mergeCell ref="B683:C683"/>
    <mergeCell ref="C684:C688"/>
    <mergeCell ref="D684:D686"/>
    <mergeCell ref="E684:E686"/>
    <mergeCell ref="F684:F686"/>
    <mergeCell ref="G684:N684"/>
    <mergeCell ref="G685:J685"/>
    <mergeCell ref="K685:N685"/>
    <mergeCell ref="M683:N683"/>
    <mergeCell ref="G580:N580"/>
    <mergeCell ref="G581:J581"/>
    <mergeCell ref="K581:N581"/>
    <mergeCell ref="B631:C631"/>
    <mergeCell ref="M579:N579"/>
    <mergeCell ref="M631:N631"/>
    <mergeCell ref="B527:C527"/>
    <mergeCell ref="C528:C532"/>
    <mergeCell ref="D528:D530"/>
    <mergeCell ref="E528:E530"/>
    <mergeCell ref="F528:F530"/>
    <mergeCell ref="G528:N528"/>
    <mergeCell ref="G529:J529"/>
    <mergeCell ref="K529:N529"/>
    <mergeCell ref="M527:N527"/>
    <mergeCell ref="F476:F478"/>
    <mergeCell ref="G476:N476"/>
    <mergeCell ref="G477:J477"/>
    <mergeCell ref="K477:N477"/>
    <mergeCell ref="B475:C475"/>
    <mergeCell ref="B423:C423"/>
    <mergeCell ref="C424:C428"/>
    <mergeCell ref="D424:D426"/>
    <mergeCell ref="E424:E426"/>
    <mergeCell ref="F424:F426"/>
    <mergeCell ref="G424:N424"/>
    <mergeCell ref="G425:J425"/>
    <mergeCell ref="K425:N425"/>
    <mergeCell ref="M475:N475"/>
    <mergeCell ref="E60:E62"/>
    <mergeCell ref="F60:F62"/>
    <mergeCell ref="G60:N60"/>
    <mergeCell ref="G61:J61"/>
    <mergeCell ref="K61:N61"/>
    <mergeCell ref="G112:N112"/>
    <mergeCell ref="B319:C319"/>
    <mergeCell ref="C320:C324"/>
    <mergeCell ref="D320:D322"/>
    <mergeCell ref="E320:E322"/>
    <mergeCell ref="B267:C267"/>
    <mergeCell ref="C268:C272"/>
    <mergeCell ref="D268:D270"/>
    <mergeCell ref="E268:E270"/>
    <mergeCell ref="F268:F270"/>
    <mergeCell ref="F320:F322"/>
    <mergeCell ref="G113:J113"/>
    <mergeCell ref="K113:N113"/>
    <mergeCell ref="B163:C163"/>
    <mergeCell ref="C164:C168"/>
    <mergeCell ref="D164:D166"/>
    <mergeCell ref="E164:E166"/>
    <mergeCell ref="F164:F166"/>
    <mergeCell ref="G164:N164"/>
    <mergeCell ref="E112:E114"/>
    <mergeCell ref="C8:C12"/>
    <mergeCell ref="D8:D10"/>
    <mergeCell ref="E8:E10"/>
    <mergeCell ref="F8:F10"/>
    <mergeCell ref="F112:F114"/>
    <mergeCell ref="A7:D7"/>
    <mergeCell ref="G268:N268"/>
    <mergeCell ref="G269:J269"/>
    <mergeCell ref="K269:N269"/>
    <mergeCell ref="B215:C215"/>
    <mergeCell ref="C216:C220"/>
    <mergeCell ref="D216:D218"/>
    <mergeCell ref="E216:E218"/>
    <mergeCell ref="F216:F218"/>
    <mergeCell ref="G216:N216"/>
    <mergeCell ref="G217:J217"/>
    <mergeCell ref="K217:N217"/>
    <mergeCell ref="G8:N8"/>
    <mergeCell ref="G9:J9"/>
    <mergeCell ref="K9:N9"/>
    <mergeCell ref="B59:C59"/>
    <mergeCell ref="C60:C64"/>
    <mergeCell ref="D60:D62"/>
    <mergeCell ref="M7:N7"/>
    <mergeCell ref="M59:N59"/>
    <mergeCell ref="M111:N111"/>
    <mergeCell ref="M163:N163"/>
    <mergeCell ref="M215:N215"/>
    <mergeCell ref="M267:N267"/>
    <mergeCell ref="M319:N319"/>
    <mergeCell ref="M371:N371"/>
    <mergeCell ref="M423:N423"/>
    <mergeCell ref="G320:N320"/>
    <mergeCell ref="G321:J321"/>
    <mergeCell ref="K321:N321"/>
    <mergeCell ref="G165:J165"/>
    <mergeCell ref="K165:N165"/>
    <mergeCell ref="G372:N372"/>
    <mergeCell ref="G373:J373"/>
    <mergeCell ref="K373:N373"/>
    <mergeCell ref="A788:A792"/>
    <mergeCell ref="A840:A844"/>
    <mergeCell ref="B111:D111"/>
    <mergeCell ref="A268:A272"/>
    <mergeCell ref="A372:A376"/>
    <mergeCell ref="A424:A428"/>
    <mergeCell ref="A476:A480"/>
    <mergeCell ref="A528:A532"/>
    <mergeCell ref="A580:A584"/>
    <mergeCell ref="A632:A636"/>
    <mergeCell ref="A736:A740"/>
    <mergeCell ref="A684:A688"/>
    <mergeCell ref="C112:C116"/>
    <mergeCell ref="D112:D114"/>
    <mergeCell ref="C476:C480"/>
    <mergeCell ref="D476:D478"/>
    <mergeCell ref="A112:A116"/>
  </mergeCells>
  <conditionalFormatting sqref="R919:R1048576">
    <cfRule type="containsText" dxfId="14" priority="106" operator="containsText" text="TRUE">
      <formula>NOT(ISERROR(SEARCH("TRUE",R919)))</formula>
    </cfRule>
    <cfRule type="containsText" dxfId="13" priority="107" operator="containsText" text="FALSE">
      <formula>NOT(ISERROR(SEARCH("FALSE",R919)))</formula>
    </cfRule>
  </conditionalFormatting>
  <conditionalFormatting sqref="S919:AC1048576">
    <cfRule type="cellIs" dxfId="12" priority="103" operator="equal">
      <formula>0</formula>
    </cfRule>
    <cfRule type="cellIs" dxfId="11" priority="104" operator="lessThan">
      <formula>0</formula>
    </cfRule>
    <cfRule type="cellIs" dxfId="10" priority="105" operator="greaterThan">
      <formula>0</formula>
    </cfRule>
  </conditionalFormatting>
  <pageMargins left="0.36" right="0.34" top="0.6" bottom="0.75" header="0.3" footer="0.3"/>
  <pageSetup paperSize="9" scale="59" orientation="landscape" r:id="rId1"/>
  <rowBreaks count="16" manualBreakCount="16">
    <brk id="56" min="5" max="13" man="1"/>
    <brk id="108" min="5" max="13" man="1"/>
    <brk id="160" min="5" max="13" man="1"/>
    <brk id="212" min="5" max="13" man="1"/>
    <brk id="264" min="5" max="13" man="1"/>
    <brk id="316" min="5" max="13" man="1"/>
    <brk id="368" min="5" max="13" man="1"/>
    <brk id="420" min="5" max="13" man="1"/>
    <brk id="472" min="5" max="13" man="1"/>
    <brk id="524" min="5" max="13" man="1"/>
    <brk id="576" min="5" max="13" man="1"/>
    <brk id="628" min="5" max="13" man="1"/>
    <brk id="680" min="5" max="13" man="1"/>
    <brk id="732" min="5" max="13" man="1"/>
    <brk id="784" min="5" max="13" man="1"/>
    <brk id="836" min="5" max="13" man="1"/>
  </row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AL824"/>
  <sheetViews>
    <sheetView showGridLines="0" view="pageBreakPreview" topLeftCell="A783" zoomScale="55" zoomScaleNormal="80" zoomScaleSheetLayoutView="55" workbookViewId="0">
      <selection activeCell="P822" sqref="P822"/>
    </sheetView>
  </sheetViews>
  <sheetFormatPr defaultColWidth="16.5703125" defaultRowHeight="12.75"/>
  <cols>
    <col min="1" max="13" width="16.5703125" style="673"/>
    <col min="14" max="15" width="16.5703125" style="680"/>
    <col min="16" max="16" width="16.5703125" style="673"/>
    <col min="17" max="27" width="16.5703125" style="699"/>
    <col min="28" max="38" width="16.5703125" style="918"/>
    <col min="39" max="16384" width="16.5703125" style="673"/>
  </cols>
  <sheetData>
    <row r="2" spans="2:23">
      <c r="B2" s="913" t="s">
        <v>323</v>
      </c>
    </row>
    <row r="4" spans="2:23">
      <c r="B4" s="913" t="s">
        <v>324</v>
      </c>
      <c r="P4" s="679"/>
    </row>
    <row r="5" spans="2:23" ht="17.25" customHeight="1" thickBot="1">
      <c r="L5" s="3538" t="s">
        <v>251</v>
      </c>
      <c r="M5" s="3538"/>
    </row>
    <row r="6" spans="2:23" ht="23.25" customHeight="1" thickBot="1">
      <c r="B6" s="3523" t="s">
        <v>253</v>
      </c>
      <c r="C6" s="3523" t="s">
        <v>325</v>
      </c>
      <c r="D6" s="3518" t="s">
        <v>255</v>
      </c>
      <c r="E6" s="3518" t="s">
        <v>326</v>
      </c>
      <c r="F6" s="3574" t="s">
        <v>258</v>
      </c>
      <c r="G6" s="3574"/>
      <c r="H6" s="3574"/>
      <c r="I6" s="3574"/>
      <c r="J6" s="3574"/>
      <c r="K6" s="3574"/>
      <c r="L6" s="3574"/>
      <c r="M6" s="3574"/>
    </row>
    <row r="7" spans="2:23" ht="27.75" customHeight="1">
      <c r="B7" s="3524"/>
      <c r="C7" s="3524"/>
      <c r="D7" s="3520"/>
      <c r="E7" s="3520"/>
      <c r="F7" s="3575" t="s">
        <v>259</v>
      </c>
      <c r="G7" s="3576"/>
      <c r="H7" s="3576"/>
      <c r="I7" s="3577"/>
      <c r="J7" s="3574" t="s">
        <v>327</v>
      </c>
      <c r="K7" s="3574"/>
      <c r="L7" s="3574"/>
      <c r="M7" s="3574"/>
    </row>
    <row r="8" spans="2:23" ht="47.25" customHeight="1" thickBot="1">
      <c r="B8" s="3524"/>
      <c r="C8" s="3524"/>
      <c r="D8" s="3519"/>
      <c r="E8" s="3519"/>
      <c r="F8" s="1339" t="s">
        <v>261</v>
      </c>
      <c r="G8" s="1339" t="s">
        <v>262</v>
      </c>
      <c r="H8" s="1339" t="s">
        <v>263</v>
      </c>
      <c r="I8" s="1339" t="s">
        <v>158</v>
      </c>
      <c r="J8" s="1588" t="s">
        <v>328</v>
      </c>
      <c r="K8" s="1588" t="s">
        <v>265</v>
      </c>
      <c r="L8" s="1588" t="s">
        <v>329</v>
      </c>
      <c r="M8" s="1588" t="s">
        <v>158</v>
      </c>
    </row>
    <row r="9" spans="2:23" ht="19.5" customHeight="1" thickBot="1">
      <c r="B9" s="3524"/>
      <c r="C9" s="3524"/>
      <c r="D9" s="1589">
        <v>1</v>
      </c>
      <c r="E9" s="3518">
        <v>2</v>
      </c>
      <c r="F9" s="3518">
        <v>3</v>
      </c>
      <c r="G9" s="3518">
        <v>4</v>
      </c>
      <c r="H9" s="3518">
        <v>5</v>
      </c>
      <c r="I9" s="1589">
        <v>6</v>
      </c>
      <c r="J9" s="3518">
        <v>7</v>
      </c>
      <c r="K9" s="3518">
        <v>8</v>
      </c>
      <c r="L9" s="3518">
        <v>9</v>
      </c>
      <c r="M9" s="1589">
        <v>10</v>
      </c>
    </row>
    <row r="10" spans="2:23" ht="12.75" customHeight="1" thickBot="1">
      <c r="B10" s="3525"/>
      <c r="C10" s="3525"/>
      <c r="D10" s="1590" t="s">
        <v>330</v>
      </c>
      <c r="E10" s="3519"/>
      <c r="F10" s="3519"/>
      <c r="G10" s="3519"/>
      <c r="H10" s="3519"/>
      <c r="I10" s="1590" t="s">
        <v>331</v>
      </c>
      <c r="J10" s="3519"/>
      <c r="K10" s="3519"/>
      <c r="L10" s="3519"/>
      <c r="M10" s="1590" t="s">
        <v>332</v>
      </c>
      <c r="N10" s="703"/>
      <c r="O10" s="703"/>
      <c r="R10" s="3579"/>
      <c r="S10" s="3579"/>
      <c r="W10" s="706"/>
    </row>
    <row r="11" spans="2:23">
      <c r="B11" s="1591" t="s">
        <v>333</v>
      </c>
      <c r="C11" s="962"/>
      <c r="D11" s="1592">
        <f t="shared" ref="D11:M11" si="0">+D59+D107+D155+D203+D253+D301+D349+D400+D448+D496+D544+D592+D641+D689+D737+D785</f>
        <v>124752003.4289626</v>
      </c>
      <c r="E11" s="964">
        <f t="shared" si="0"/>
        <v>0</v>
      </c>
      <c r="F11" s="963">
        <f t="shared" si="0"/>
        <v>24355960.128949739</v>
      </c>
      <c r="G11" s="964">
        <f t="shared" si="0"/>
        <v>52374037.752061501</v>
      </c>
      <c r="H11" s="963">
        <f t="shared" si="0"/>
        <v>46234646.056081362</v>
      </c>
      <c r="I11" s="1595">
        <f t="shared" si="0"/>
        <v>122964643.9370926</v>
      </c>
      <c r="J11" s="963">
        <f t="shared" si="0"/>
        <v>922852.9633099999</v>
      </c>
      <c r="K11" s="964">
        <f t="shared" si="0"/>
        <v>0</v>
      </c>
      <c r="L11" s="963">
        <f t="shared" si="0"/>
        <v>864506.52856000001</v>
      </c>
      <c r="M11" s="1598">
        <f t="shared" si="0"/>
        <v>1787359.4918699998</v>
      </c>
      <c r="N11" s="922"/>
      <c r="O11" s="922"/>
      <c r="P11" s="179"/>
      <c r="Q11" s="706"/>
      <c r="R11" s="411"/>
      <c r="S11" s="706"/>
      <c r="T11" s="708"/>
      <c r="U11" s="706"/>
      <c r="V11" s="706"/>
      <c r="W11" s="706"/>
    </row>
    <row r="12" spans="2:23">
      <c r="B12" s="2460"/>
      <c r="C12" s="2461"/>
      <c r="D12" s="1593">
        <f t="shared" ref="D12:M12" si="1">+D60+D108+D156+D204+D254+D302+D350+D401+D449+D497+D545+D593+D642+D690+D738+D786</f>
        <v>0</v>
      </c>
      <c r="E12" s="974">
        <f t="shared" si="1"/>
        <v>0</v>
      </c>
      <c r="F12" s="931">
        <f t="shared" si="1"/>
        <v>0</v>
      </c>
      <c r="G12" s="974">
        <f t="shared" si="1"/>
        <v>0</v>
      </c>
      <c r="H12" s="931">
        <f t="shared" si="1"/>
        <v>0</v>
      </c>
      <c r="I12" s="1596">
        <f t="shared" si="1"/>
        <v>0</v>
      </c>
      <c r="J12" s="931">
        <f t="shared" si="1"/>
        <v>0</v>
      </c>
      <c r="K12" s="974">
        <f t="shared" si="1"/>
        <v>0</v>
      </c>
      <c r="L12" s="931">
        <f t="shared" si="1"/>
        <v>0</v>
      </c>
      <c r="M12" s="1599">
        <f t="shared" si="1"/>
        <v>0</v>
      </c>
      <c r="P12" s="179"/>
      <c r="Q12" s="706"/>
      <c r="R12" s="411"/>
      <c r="S12" s="706"/>
      <c r="T12" s="708"/>
      <c r="U12" s="706"/>
      <c r="V12" s="706"/>
      <c r="W12" s="706"/>
    </row>
    <row r="13" spans="2:23">
      <c r="B13" s="2462" t="s">
        <v>334</v>
      </c>
      <c r="C13" s="2461"/>
      <c r="D13" s="1593">
        <f t="shared" ref="D13:M13" si="2">+D61+D109+D157+D205+D255+D303+D351+D402+D450+D498+D546+D594+D643+D691+D739+D787</f>
        <v>5024787.594651971</v>
      </c>
      <c r="E13" s="974">
        <f t="shared" si="2"/>
        <v>0</v>
      </c>
      <c r="F13" s="931">
        <f t="shared" si="2"/>
        <v>151309.91899209135</v>
      </c>
      <c r="G13" s="974">
        <f t="shared" si="2"/>
        <v>4107456.8995031039</v>
      </c>
      <c r="H13" s="931">
        <f t="shared" si="2"/>
        <v>673178.26404677588</v>
      </c>
      <c r="I13" s="1596">
        <f t="shared" si="2"/>
        <v>4931945.0825419715</v>
      </c>
      <c r="J13" s="931">
        <f t="shared" si="2"/>
        <v>78046.838510000001</v>
      </c>
      <c r="K13" s="974">
        <f t="shared" si="2"/>
        <v>0</v>
      </c>
      <c r="L13" s="931">
        <f t="shared" si="2"/>
        <v>14795.673600000011</v>
      </c>
      <c r="M13" s="1599">
        <f t="shared" si="2"/>
        <v>92842.512110000011</v>
      </c>
      <c r="N13" s="922"/>
      <c r="O13" s="922"/>
      <c r="P13" s="179"/>
      <c r="Q13" s="706"/>
      <c r="R13" s="411"/>
      <c r="S13" s="706"/>
      <c r="T13" s="708"/>
      <c r="U13" s="706"/>
      <c r="V13" s="706"/>
      <c r="W13" s="706"/>
    </row>
    <row r="14" spans="2:23">
      <c r="B14" s="2462"/>
      <c r="C14" s="2461"/>
      <c r="D14" s="1593">
        <f t="shared" ref="D14:M14" si="3">+D62+D110+D158+D206+D256+D304+D352+D403+D451+D499+D547+D595+D644+D692+D740+D788</f>
        <v>0</v>
      </c>
      <c r="E14" s="974">
        <f t="shared" si="3"/>
        <v>0</v>
      </c>
      <c r="F14" s="931">
        <f t="shared" si="3"/>
        <v>0</v>
      </c>
      <c r="G14" s="974">
        <f t="shared" si="3"/>
        <v>0</v>
      </c>
      <c r="H14" s="931">
        <f t="shared" si="3"/>
        <v>0</v>
      </c>
      <c r="I14" s="1596">
        <f t="shared" si="3"/>
        <v>0</v>
      </c>
      <c r="J14" s="931">
        <f t="shared" si="3"/>
        <v>0</v>
      </c>
      <c r="K14" s="974">
        <f t="shared" si="3"/>
        <v>0</v>
      </c>
      <c r="L14" s="931">
        <f t="shared" si="3"/>
        <v>0</v>
      </c>
      <c r="M14" s="1599">
        <f t="shared" si="3"/>
        <v>0</v>
      </c>
      <c r="P14" s="179"/>
      <c r="Q14" s="706"/>
      <c r="R14" s="411"/>
      <c r="S14" s="706"/>
      <c r="T14" s="708"/>
      <c r="U14" s="706"/>
      <c r="V14" s="706"/>
      <c r="W14" s="706"/>
    </row>
    <row r="15" spans="2:23" ht="12.75" customHeight="1">
      <c r="B15" s="2463" t="s">
        <v>335</v>
      </c>
      <c r="C15" s="2461"/>
      <c r="D15" s="1593">
        <f t="shared" ref="D15:M15" si="4">+D63+D111+D159+D207+D257+D305+D353+D404+D452+D500+D548+D596+D645+D693+D741+D789</f>
        <v>-2836.0859999999998</v>
      </c>
      <c r="E15" s="974">
        <f t="shared" si="4"/>
        <v>0</v>
      </c>
      <c r="F15" s="931">
        <f t="shared" si="4"/>
        <v>0</v>
      </c>
      <c r="G15" s="974">
        <f t="shared" si="4"/>
        <v>-2836.0859999999998</v>
      </c>
      <c r="H15" s="931">
        <f t="shared" si="4"/>
        <v>0</v>
      </c>
      <c r="I15" s="1596">
        <f t="shared" si="4"/>
        <v>-2836.0859999999998</v>
      </c>
      <c r="J15" s="931">
        <f t="shared" si="4"/>
        <v>0</v>
      </c>
      <c r="K15" s="974">
        <f t="shared" si="4"/>
        <v>0</v>
      </c>
      <c r="L15" s="931">
        <f t="shared" si="4"/>
        <v>0</v>
      </c>
      <c r="M15" s="1599">
        <f t="shared" si="4"/>
        <v>0</v>
      </c>
      <c r="N15" s="922"/>
      <c r="O15" s="922"/>
      <c r="P15" s="179"/>
      <c r="Q15" s="706"/>
      <c r="R15" s="411"/>
      <c r="S15" s="706"/>
      <c r="T15" s="708"/>
      <c r="U15" s="706"/>
      <c r="V15" s="706"/>
      <c r="W15" s="706"/>
    </row>
    <row r="16" spans="2:23">
      <c r="B16" s="2460"/>
      <c r="C16" s="2461"/>
      <c r="D16" s="1593">
        <f t="shared" ref="D16:M16" si="5">+D64+D112+D160+D208+D258+D306+D354+D405+D453+D501+D549+D597+D646+D694+D742+D790</f>
        <v>0</v>
      </c>
      <c r="E16" s="974">
        <f t="shared" si="5"/>
        <v>0</v>
      </c>
      <c r="F16" s="931">
        <f t="shared" si="5"/>
        <v>0</v>
      </c>
      <c r="G16" s="974">
        <f t="shared" si="5"/>
        <v>0</v>
      </c>
      <c r="H16" s="931">
        <f t="shared" si="5"/>
        <v>0</v>
      </c>
      <c r="I16" s="1596">
        <f t="shared" si="5"/>
        <v>0</v>
      </c>
      <c r="J16" s="931">
        <f t="shared" si="5"/>
        <v>0</v>
      </c>
      <c r="K16" s="974">
        <f t="shared" si="5"/>
        <v>0</v>
      </c>
      <c r="L16" s="931">
        <f t="shared" si="5"/>
        <v>0</v>
      </c>
      <c r="M16" s="1599">
        <f t="shared" si="5"/>
        <v>0</v>
      </c>
      <c r="P16" s="179"/>
      <c r="Q16" s="706"/>
      <c r="R16" s="411"/>
      <c r="S16" s="706"/>
      <c r="T16" s="708"/>
      <c r="U16" s="706"/>
      <c r="V16" s="706"/>
      <c r="W16" s="706"/>
    </row>
    <row r="17" spans="2:23">
      <c r="B17" s="2464" t="s">
        <v>336</v>
      </c>
      <c r="C17" s="2465"/>
      <c r="D17" s="1593">
        <f t="shared" ref="D17:M17" si="6">+D65+D113+D161+D209+D259+D307+D355+D406+D454+D502+D550+D598+D647+D695+D743+D791</f>
        <v>119724379.74831061</v>
      </c>
      <c r="E17" s="974">
        <f t="shared" si="6"/>
        <v>0</v>
      </c>
      <c r="F17" s="931">
        <f t="shared" si="6"/>
        <v>24204650.209957656</v>
      </c>
      <c r="G17" s="974">
        <f t="shared" si="6"/>
        <v>48263744.766558386</v>
      </c>
      <c r="H17" s="931">
        <f t="shared" si="6"/>
        <v>45561467.792034581</v>
      </c>
      <c r="I17" s="1596">
        <f t="shared" si="6"/>
        <v>118029862.76855062</v>
      </c>
      <c r="J17" s="931">
        <f t="shared" si="6"/>
        <v>844806.12479999987</v>
      </c>
      <c r="K17" s="974">
        <f t="shared" si="6"/>
        <v>0</v>
      </c>
      <c r="L17" s="931">
        <f t="shared" si="6"/>
        <v>849710.85495999991</v>
      </c>
      <c r="M17" s="1599">
        <f t="shared" si="6"/>
        <v>1694516.97976</v>
      </c>
      <c r="N17" s="927"/>
      <c r="O17" s="922"/>
      <c r="P17" s="179"/>
      <c r="Q17" s="706"/>
      <c r="R17" s="411"/>
      <c r="S17" s="706"/>
      <c r="T17" s="708"/>
      <c r="U17" s="706"/>
      <c r="V17" s="706"/>
      <c r="W17" s="706"/>
    </row>
    <row r="18" spans="2:23">
      <c r="B18" s="2464"/>
      <c r="C18" s="2465"/>
      <c r="D18" s="1593">
        <f t="shared" ref="D18:M18" si="7">+D66+D114+D162+D210+D260+D308+D356+D407+D455+D503+D551+D599+D648+D696+D744+D792</f>
        <v>0</v>
      </c>
      <c r="E18" s="974">
        <f t="shared" si="7"/>
        <v>0</v>
      </c>
      <c r="F18" s="931">
        <f t="shared" si="7"/>
        <v>0</v>
      </c>
      <c r="G18" s="974">
        <f t="shared" si="7"/>
        <v>0</v>
      </c>
      <c r="H18" s="931">
        <f t="shared" si="7"/>
        <v>0</v>
      </c>
      <c r="I18" s="1596">
        <f t="shared" si="7"/>
        <v>0</v>
      </c>
      <c r="J18" s="931">
        <f t="shared" si="7"/>
        <v>0</v>
      </c>
      <c r="K18" s="974">
        <f t="shared" si="7"/>
        <v>0</v>
      </c>
      <c r="L18" s="931">
        <f t="shared" si="7"/>
        <v>0</v>
      </c>
      <c r="M18" s="1599">
        <f t="shared" si="7"/>
        <v>0</v>
      </c>
      <c r="P18" s="179"/>
      <c r="Q18" s="706"/>
      <c r="R18" s="411"/>
      <c r="S18" s="706"/>
      <c r="T18" s="708"/>
      <c r="U18" s="706"/>
      <c r="V18" s="706"/>
      <c r="W18" s="706"/>
    </row>
    <row r="19" spans="2:23">
      <c r="B19" s="2464" t="s">
        <v>337</v>
      </c>
      <c r="C19" s="2465"/>
      <c r="D19" s="1593">
        <f t="shared" ref="D19:M19" si="8">+D67+D115+D163+D211+D261+D309+D357+D408+D456+D504+D552+D600+D649+D697+D745+D793</f>
        <v>59891958.402136013</v>
      </c>
      <c r="E19" s="974">
        <f t="shared" si="8"/>
        <v>10712629.502782805</v>
      </c>
      <c r="F19" s="931">
        <f t="shared" si="8"/>
        <v>26367479.254716918</v>
      </c>
      <c r="G19" s="974">
        <f t="shared" si="8"/>
        <v>8532315.2984340824</v>
      </c>
      <c r="H19" s="931">
        <f t="shared" si="8"/>
        <v>13606937.639772207</v>
      </c>
      <c r="I19" s="1596">
        <f t="shared" si="8"/>
        <v>48506732.192923203</v>
      </c>
      <c r="J19" s="931">
        <f t="shared" si="8"/>
        <v>64486.256150000001</v>
      </c>
      <c r="K19" s="974">
        <f t="shared" si="8"/>
        <v>4743.3999999999996</v>
      </c>
      <c r="L19" s="931">
        <f t="shared" si="8"/>
        <v>639020.19973999995</v>
      </c>
      <c r="M19" s="1599">
        <f t="shared" si="8"/>
        <v>708249.85589000001</v>
      </c>
      <c r="N19" s="927"/>
      <c r="O19" s="922"/>
      <c r="P19" s="179"/>
      <c r="Q19" s="706"/>
      <c r="R19" s="411"/>
      <c r="S19" s="706"/>
      <c r="T19" s="708"/>
      <c r="U19" s="706"/>
      <c r="V19" s="706"/>
      <c r="W19" s="706"/>
    </row>
    <row r="20" spans="2:23">
      <c r="B20" s="2460" t="s">
        <v>338</v>
      </c>
      <c r="C20" s="2461"/>
      <c r="D20" s="1593">
        <f t="shared" ref="D20:M20" si="9">+D68+D116+D164+D212+D262+D310+D358+D409+D457+D505+D553+D601+D650+D698+D746+D794</f>
        <v>54249794.945280708</v>
      </c>
      <c r="E20" s="974">
        <f t="shared" si="9"/>
        <v>9295333.6018635649</v>
      </c>
      <c r="F20" s="931">
        <f t="shared" si="9"/>
        <v>24923110.784030363</v>
      </c>
      <c r="G20" s="974">
        <f t="shared" si="9"/>
        <v>7644541.3056803327</v>
      </c>
      <c r="H20" s="931">
        <f t="shared" si="9"/>
        <v>11875736.721606443</v>
      </c>
      <c r="I20" s="1596">
        <f t="shared" si="9"/>
        <v>44443388.811317146</v>
      </c>
      <c r="J20" s="931">
        <f t="shared" si="9"/>
        <v>33289.749100000001</v>
      </c>
      <c r="K20" s="974">
        <f t="shared" si="9"/>
        <v>4743.3999999999996</v>
      </c>
      <c r="L20" s="931">
        <f t="shared" si="9"/>
        <v>473039.38300000003</v>
      </c>
      <c r="M20" s="1599">
        <f t="shared" si="9"/>
        <v>511072.53210000001</v>
      </c>
      <c r="N20" s="922"/>
      <c r="O20" s="922"/>
      <c r="P20" s="179"/>
      <c r="Q20" s="706"/>
      <c r="R20" s="411"/>
      <c r="S20" s="706"/>
      <c r="T20" s="708"/>
      <c r="U20" s="706"/>
      <c r="V20" s="706"/>
      <c r="W20" s="706"/>
    </row>
    <row r="21" spans="2:23">
      <c r="B21" s="2460" t="s">
        <v>339</v>
      </c>
      <c r="C21" s="2461"/>
      <c r="D21" s="1593">
        <f t="shared" ref="D21:M21" si="10">+D69+D117+D165+D213+D263+D311+D359+D410+D458+D506+D554+D602+D651+D699+D747+D795</f>
        <v>1623110.9056199999</v>
      </c>
      <c r="E21" s="974">
        <f t="shared" si="10"/>
        <v>446485.16324000002</v>
      </c>
      <c r="F21" s="931">
        <f t="shared" si="10"/>
        <v>66744.814902495666</v>
      </c>
      <c r="G21" s="974">
        <f t="shared" si="10"/>
        <v>360269.6384278693</v>
      </c>
      <c r="H21" s="931">
        <f t="shared" si="10"/>
        <v>1090750.0629696348</v>
      </c>
      <c r="I21" s="1596">
        <f t="shared" si="10"/>
        <v>1517764.5162999998</v>
      </c>
      <c r="J21" s="931">
        <f t="shared" si="10"/>
        <v>-28553.740680000003</v>
      </c>
      <c r="K21" s="974">
        <f t="shared" si="10"/>
        <v>0</v>
      </c>
      <c r="L21" s="931">
        <f t="shared" si="10"/>
        <v>-278945.14799999999</v>
      </c>
      <c r="M21" s="1599">
        <f t="shared" si="10"/>
        <v>-307498.88867999997</v>
      </c>
      <c r="N21" s="922"/>
      <c r="O21" s="922"/>
      <c r="P21" s="179"/>
      <c r="Q21" s="706"/>
      <c r="R21" s="411"/>
      <c r="S21" s="706"/>
      <c r="T21" s="708"/>
      <c r="U21" s="706"/>
      <c r="V21" s="706"/>
      <c r="W21" s="706"/>
    </row>
    <row r="22" spans="2:23">
      <c r="B22" s="2460" t="s">
        <v>340</v>
      </c>
      <c r="C22" s="2461"/>
      <c r="D22" s="1593">
        <f t="shared" ref="D22:M22" si="11">+D70+D118+D166+D214+D264+D312+D360+D411+D459+D507+D555+D603+D652+D700+D748+D796</f>
        <v>1409615.9712166893</v>
      </c>
      <c r="E22" s="974">
        <f t="shared" si="11"/>
        <v>406660.53389924159</v>
      </c>
      <c r="F22" s="931">
        <f t="shared" si="11"/>
        <v>277827.06851497531</v>
      </c>
      <c r="G22" s="974">
        <f t="shared" si="11"/>
        <v>315587.9354424724</v>
      </c>
      <c r="H22" s="931">
        <f t="shared" si="11"/>
        <v>294701.43336000002</v>
      </c>
      <c r="I22" s="1596">
        <f t="shared" si="11"/>
        <v>888116.43731744774</v>
      </c>
      <c r="J22" s="931">
        <f t="shared" si="11"/>
        <v>26154</v>
      </c>
      <c r="K22" s="974">
        <f t="shared" si="11"/>
        <v>0</v>
      </c>
      <c r="L22" s="931">
        <f t="shared" si="11"/>
        <v>88685</v>
      </c>
      <c r="M22" s="1599">
        <f t="shared" si="11"/>
        <v>114839</v>
      </c>
      <c r="N22" s="922"/>
      <c r="O22" s="922"/>
      <c r="P22" s="179"/>
      <c r="Q22" s="706"/>
      <c r="R22" s="411"/>
      <c r="S22" s="706"/>
      <c r="T22" s="708"/>
      <c r="U22" s="706"/>
      <c r="V22" s="706"/>
      <c r="W22" s="706"/>
    </row>
    <row r="23" spans="2:23">
      <c r="B23" s="2460" t="s">
        <v>341</v>
      </c>
      <c r="C23" s="2461"/>
      <c r="D23" s="1593">
        <f t="shared" ref="D23:M23" si="12">+D71+D119+D167+D215+D265+D313+D361+D412+D460+D508+D556+D604+D653+D701+D749+D797</f>
        <v>349999.44344000006</v>
      </c>
      <c r="E23" s="974">
        <f t="shared" si="12"/>
        <v>15948.31195000001</v>
      </c>
      <c r="F23" s="931">
        <f t="shared" si="12"/>
        <v>-150235.80440999998</v>
      </c>
      <c r="G23" s="974">
        <f t="shared" si="12"/>
        <v>79994.402080000029</v>
      </c>
      <c r="H23" s="931">
        <f t="shared" si="12"/>
        <v>50434.533820000011</v>
      </c>
      <c r="I23" s="1596">
        <f t="shared" si="12"/>
        <v>-19806.86850999992</v>
      </c>
      <c r="J23" s="931">
        <f t="shared" si="12"/>
        <v>-529</v>
      </c>
      <c r="K23" s="974">
        <f t="shared" si="12"/>
        <v>0</v>
      </c>
      <c r="L23" s="931">
        <f t="shared" si="12"/>
        <v>354387</v>
      </c>
      <c r="M23" s="1599">
        <f t="shared" si="12"/>
        <v>353858</v>
      </c>
      <c r="N23" s="922"/>
      <c r="O23" s="922"/>
      <c r="P23" s="179"/>
      <c r="Q23" s="706"/>
      <c r="R23" s="411"/>
      <c r="S23" s="706"/>
      <c r="T23" s="708"/>
      <c r="U23" s="706"/>
      <c r="V23" s="706"/>
      <c r="W23" s="706"/>
    </row>
    <row r="24" spans="2:23">
      <c r="B24" s="2460" t="s">
        <v>342</v>
      </c>
      <c r="C24" s="2461"/>
      <c r="D24" s="1593">
        <f>+D72+D120+D168+D216+D266+D314+D362+D413+D461+D509+D557+D605+D654+D702+D750+D798</f>
        <v>2259437.1365786218</v>
      </c>
      <c r="E24" s="974"/>
      <c r="F24" s="931">
        <f t="shared" ref="F24:M24" si="13">+F72+F120+F168+F216+F266+F314+F362+F413+F461+F509+F557+F605+F654+F702+F750+F798</f>
        <v>1250032.3916790837</v>
      </c>
      <c r="G24" s="974">
        <f t="shared" si="13"/>
        <v>131922.01680340819</v>
      </c>
      <c r="H24" s="931">
        <f t="shared" si="13"/>
        <v>295314.88801612961</v>
      </c>
      <c r="I24" s="1596">
        <f t="shared" si="13"/>
        <v>1677269.2964986216</v>
      </c>
      <c r="J24" s="931">
        <f t="shared" si="13"/>
        <v>34125.247730000003</v>
      </c>
      <c r="K24" s="974">
        <f t="shared" si="13"/>
        <v>0</v>
      </c>
      <c r="L24" s="931">
        <f t="shared" si="13"/>
        <v>1853.9647399999999</v>
      </c>
      <c r="M24" s="1599">
        <f t="shared" si="13"/>
        <v>35979.212469999999</v>
      </c>
      <c r="N24" s="922"/>
      <c r="O24" s="922"/>
      <c r="P24" s="179"/>
      <c r="Q24" s="706"/>
      <c r="R24" s="411"/>
      <c r="S24" s="706"/>
      <c r="T24" s="708"/>
      <c r="U24" s="706"/>
      <c r="V24" s="706"/>
      <c r="W24" s="706"/>
    </row>
    <row r="25" spans="2:23">
      <c r="B25" s="2460" t="s">
        <v>343</v>
      </c>
      <c r="C25" s="2461"/>
      <c r="D25" s="1593">
        <f t="shared" ref="D25:M25" si="14">+D73+D121+D169+D219+D267+D315+D365+D414+D462+D510+D558+D606+D655+D703+D751+D799</f>
        <v>-58048.813620000008</v>
      </c>
      <c r="E25" s="974">
        <f t="shared" si="14"/>
        <v>-8505.3472300000012</v>
      </c>
      <c r="F25" s="931">
        <f t="shared" si="14"/>
        <v>0</v>
      </c>
      <c r="G25" s="974">
        <f t="shared" si="14"/>
        <v>14270.749170000001</v>
      </c>
      <c r="H25" s="931">
        <f t="shared" si="14"/>
        <v>-63814.215560000004</v>
      </c>
      <c r="I25" s="1596">
        <f t="shared" si="14"/>
        <v>-49543.466390000001</v>
      </c>
      <c r="J25" s="931">
        <f t="shared" si="14"/>
        <v>0</v>
      </c>
      <c r="K25" s="974">
        <f t="shared" si="14"/>
        <v>0</v>
      </c>
      <c r="L25" s="931">
        <f t="shared" si="14"/>
        <v>0</v>
      </c>
      <c r="M25" s="1599">
        <f t="shared" si="14"/>
        <v>0</v>
      </c>
      <c r="P25" s="179"/>
      <c r="Q25" s="706"/>
      <c r="R25" s="411"/>
      <c r="S25" s="706"/>
      <c r="T25" s="708"/>
      <c r="U25" s="706"/>
      <c r="V25" s="706"/>
      <c r="W25" s="706"/>
    </row>
    <row r="26" spans="2:23">
      <c r="B26" s="2460" t="s">
        <v>343</v>
      </c>
      <c r="C26" s="2461"/>
      <c r="D26" s="1593">
        <f t="shared" ref="D26:M26" si="15">+D74+D122+D170+D220+D268+D316+D366+D415+D463+D511+D559+D607+D656+D704+D752+D800</f>
        <v>915.34514000000001</v>
      </c>
      <c r="E26" s="974">
        <f t="shared" si="15"/>
        <v>0</v>
      </c>
      <c r="F26" s="931">
        <f t="shared" si="15"/>
        <v>0</v>
      </c>
      <c r="G26" s="974">
        <f t="shared" si="15"/>
        <v>0</v>
      </c>
      <c r="H26" s="931">
        <f t="shared" si="15"/>
        <v>915.34514000000001</v>
      </c>
      <c r="I26" s="1596">
        <f t="shared" si="15"/>
        <v>915.34514000000001</v>
      </c>
      <c r="J26" s="931">
        <f t="shared" si="15"/>
        <v>0</v>
      </c>
      <c r="K26" s="974">
        <f t="shared" si="15"/>
        <v>0</v>
      </c>
      <c r="L26" s="931">
        <f t="shared" si="15"/>
        <v>0</v>
      </c>
      <c r="M26" s="1599">
        <f t="shared" si="15"/>
        <v>0</v>
      </c>
      <c r="P26" s="179"/>
      <c r="Q26" s="706"/>
      <c r="R26" s="411"/>
      <c r="S26" s="706"/>
      <c r="T26" s="708"/>
      <c r="U26" s="706"/>
      <c r="V26" s="706"/>
      <c r="W26" s="706"/>
    </row>
    <row r="27" spans="2:23">
      <c r="B27" s="2460"/>
      <c r="C27" s="2461"/>
      <c r="D27" s="1593">
        <f t="shared" ref="D27:M27" si="16">+D75+D123+D171+D221+D269+D317+D367+D416+D464+D512+D560+D608+D657+D705+D753+D801</f>
        <v>0</v>
      </c>
      <c r="E27" s="974">
        <f t="shared" si="16"/>
        <v>0</v>
      </c>
      <c r="F27" s="931">
        <f t="shared" si="16"/>
        <v>0</v>
      </c>
      <c r="G27" s="974">
        <f t="shared" si="16"/>
        <v>0</v>
      </c>
      <c r="H27" s="931">
        <f t="shared" si="16"/>
        <v>0</v>
      </c>
      <c r="I27" s="1596">
        <f t="shared" si="16"/>
        <v>0</v>
      </c>
      <c r="J27" s="931">
        <f t="shared" si="16"/>
        <v>0</v>
      </c>
      <c r="K27" s="974">
        <f t="shared" si="16"/>
        <v>0</v>
      </c>
      <c r="L27" s="931">
        <f t="shared" si="16"/>
        <v>0</v>
      </c>
      <c r="M27" s="1599">
        <f t="shared" si="16"/>
        <v>0</v>
      </c>
      <c r="P27" s="179"/>
      <c r="Q27" s="706"/>
      <c r="R27" s="411"/>
      <c r="S27" s="706"/>
      <c r="T27" s="708"/>
      <c r="U27" s="706"/>
      <c r="V27" s="706"/>
      <c r="W27" s="706"/>
    </row>
    <row r="28" spans="2:23">
      <c r="B28" s="2466" t="s">
        <v>344</v>
      </c>
      <c r="C28" s="2465"/>
      <c r="D28" s="1593">
        <f t="shared" ref="D28:M28" si="17">+D76+D124+D172+D222+D270+D318+D368+D417+D465+D513+D561+D609+D658+D706+D754+D802</f>
        <v>179616338.15044665</v>
      </c>
      <c r="E28" s="974">
        <f t="shared" si="17"/>
        <v>10712629.502782805</v>
      </c>
      <c r="F28" s="931">
        <f t="shared" si="17"/>
        <v>50572129.464674562</v>
      </c>
      <c r="G28" s="974">
        <f t="shared" si="17"/>
        <v>56796060.064992487</v>
      </c>
      <c r="H28" s="931">
        <f t="shared" si="17"/>
        <v>59168405.431806795</v>
      </c>
      <c r="I28" s="1596">
        <f t="shared" si="17"/>
        <v>166536594.96147385</v>
      </c>
      <c r="J28" s="931">
        <f t="shared" si="17"/>
        <v>909292.3809499999</v>
      </c>
      <c r="K28" s="974">
        <f t="shared" si="17"/>
        <v>4743.3999999999996</v>
      </c>
      <c r="L28" s="931">
        <f t="shared" si="17"/>
        <v>1488731.0547</v>
      </c>
      <c r="M28" s="1599">
        <f t="shared" si="17"/>
        <v>2402766.8356499998</v>
      </c>
      <c r="N28" s="927"/>
      <c r="O28" s="922"/>
      <c r="P28" s="179"/>
      <c r="Q28" s="706"/>
      <c r="R28" s="411"/>
      <c r="S28" s="706"/>
      <c r="T28" s="708"/>
      <c r="U28" s="706"/>
      <c r="V28" s="706"/>
      <c r="W28" s="706"/>
    </row>
    <row r="29" spans="2:23">
      <c r="B29" s="2466"/>
      <c r="C29" s="2465"/>
      <c r="D29" s="1593">
        <f t="shared" ref="D29:M29" si="18">+D77+D125+D173+D223+D271+D319+D369+D418+D466+D514+D562+D610+D659+D707+D755+D803</f>
        <v>0</v>
      </c>
      <c r="E29" s="974">
        <f t="shared" si="18"/>
        <v>0</v>
      </c>
      <c r="F29" s="931">
        <f t="shared" si="18"/>
        <v>0</v>
      </c>
      <c r="G29" s="974">
        <f t="shared" si="18"/>
        <v>0</v>
      </c>
      <c r="H29" s="931">
        <f t="shared" si="18"/>
        <v>0</v>
      </c>
      <c r="I29" s="1596">
        <f t="shared" si="18"/>
        <v>0</v>
      </c>
      <c r="J29" s="931">
        <f t="shared" si="18"/>
        <v>0</v>
      </c>
      <c r="K29" s="974">
        <f t="shared" si="18"/>
        <v>0</v>
      </c>
      <c r="L29" s="931">
        <f t="shared" si="18"/>
        <v>0</v>
      </c>
      <c r="M29" s="1599">
        <f t="shared" si="18"/>
        <v>0</v>
      </c>
      <c r="P29" s="179"/>
      <c r="Q29" s="706"/>
      <c r="R29" s="411"/>
      <c r="S29" s="706"/>
      <c r="T29" s="708"/>
      <c r="U29" s="706"/>
      <c r="V29" s="706"/>
      <c r="W29" s="706"/>
    </row>
    <row r="30" spans="2:23">
      <c r="B30" s="2460" t="s">
        <v>345</v>
      </c>
      <c r="C30" s="2461"/>
      <c r="D30" s="1593">
        <f t="shared" ref="D30:M30" si="19">+D78+D126+D174+D224+D272+D320+D370+D419+D467+D515+D563+D611+D660+D708+D756+D804</f>
        <v>48060375.686159998</v>
      </c>
      <c r="E30" s="974">
        <f t="shared" si="19"/>
        <v>0</v>
      </c>
      <c r="F30" s="931">
        <f t="shared" si="19"/>
        <v>17565238.12063678</v>
      </c>
      <c r="G30" s="974">
        <f t="shared" si="19"/>
        <v>18201403.896993719</v>
      </c>
      <c r="H30" s="931">
        <f t="shared" si="19"/>
        <v>11023043.7482695</v>
      </c>
      <c r="I30" s="1596">
        <f t="shared" si="19"/>
        <v>46789685.765899993</v>
      </c>
      <c r="J30" s="931">
        <f t="shared" si="19"/>
        <v>920172.95900000003</v>
      </c>
      <c r="K30" s="974">
        <f t="shared" si="19"/>
        <v>0</v>
      </c>
      <c r="L30" s="931">
        <f t="shared" si="19"/>
        <v>350516.96126000001</v>
      </c>
      <c r="M30" s="1599">
        <f t="shared" si="19"/>
        <v>1270689.92026</v>
      </c>
      <c r="N30" s="922"/>
      <c r="O30" s="922"/>
      <c r="P30" s="179"/>
      <c r="Q30" s="706"/>
      <c r="R30" s="411"/>
      <c r="S30" s="706"/>
      <c r="T30" s="708"/>
      <c r="U30" s="706"/>
      <c r="V30" s="706"/>
      <c r="W30" s="706"/>
    </row>
    <row r="31" spans="2:23">
      <c r="B31" s="2460" t="s">
        <v>346</v>
      </c>
      <c r="C31" s="2461"/>
      <c r="D31" s="1593">
        <f t="shared" ref="D31:M31" si="20">+D79+D127+D175+D225+D273+D321+D371+D420+D468+D516+D564+D612+D661+D709+D757+D805</f>
        <v>-1947584.2689024999</v>
      </c>
      <c r="E31" s="974">
        <f t="shared" si="20"/>
        <v>0</v>
      </c>
      <c r="F31" s="931">
        <f t="shared" si="20"/>
        <v>-88940.054624393015</v>
      </c>
      <c r="G31" s="974">
        <f t="shared" si="20"/>
        <v>-1375194.7520519558</v>
      </c>
      <c r="H31" s="931">
        <f t="shared" si="20"/>
        <v>-410729.27212615119</v>
      </c>
      <c r="I31" s="1596">
        <f t="shared" si="20"/>
        <v>-1874864.0788024999</v>
      </c>
      <c r="J31" s="931">
        <f t="shared" si="20"/>
        <v>-47980.875</v>
      </c>
      <c r="K31" s="974">
        <f t="shared" si="20"/>
        <v>0</v>
      </c>
      <c r="L31" s="931">
        <f t="shared" si="20"/>
        <v>-24739.3151</v>
      </c>
      <c r="M31" s="1599">
        <f t="shared" si="20"/>
        <v>-72720.190100000007</v>
      </c>
      <c r="N31" s="922"/>
      <c r="O31" s="922"/>
      <c r="P31" s="179"/>
      <c r="Q31" s="706"/>
      <c r="R31" s="411"/>
      <c r="S31" s="706"/>
      <c r="T31" s="708"/>
      <c r="U31" s="706"/>
      <c r="V31" s="706"/>
      <c r="W31" s="706"/>
    </row>
    <row r="32" spans="2:23">
      <c r="B32" s="2460" t="s">
        <v>347</v>
      </c>
      <c r="C32" s="2461"/>
      <c r="D32" s="1593">
        <f t="shared" ref="D32:M32" si="21">+D80+D128+D176+D226+D274+D322+D372+D421+D469+D517+D565+D613+D662+D710+D758+D806</f>
        <v>6866519.477907788</v>
      </c>
      <c r="E32" s="974">
        <f t="shared" si="21"/>
        <v>0</v>
      </c>
      <c r="F32" s="931">
        <f t="shared" si="21"/>
        <v>17321.221270000005</v>
      </c>
      <c r="G32" s="974">
        <f t="shared" si="21"/>
        <v>534248.35225146869</v>
      </c>
      <c r="H32" s="931">
        <f t="shared" si="21"/>
        <v>6614567.9043863202</v>
      </c>
      <c r="I32" s="1596">
        <f t="shared" si="21"/>
        <v>7166137.477907788</v>
      </c>
      <c r="J32" s="931">
        <f t="shared" si="21"/>
        <v>-299618</v>
      </c>
      <c r="K32" s="974">
        <f t="shared" si="21"/>
        <v>0</v>
      </c>
      <c r="L32" s="931">
        <f t="shared" si="21"/>
        <v>0</v>
      </c>
      <c r="M32" s="1599">
        <f t="shared" si="21"/>
        <v>-299618</v>
      </c>
      <c r="N32" s="922"/>
      <c r="O32" s="922"/>
      <c r="P32" s="179"/>
      <c r="Q32" s="706"/>
      <c r="R32" s="411"/>
      <c r="S32" s="706"/>
      <c r="T32" s="708"/>
      <c r="U32" s="706"/>
      <c r="V32" s="706"/>
      <c r="W32" s="706"/>
    </row>
    <row r="33" spans="2:23" ht="12.75" customHeight="1">
      <c r="B33" s="2467" t="s">
        <v>348</v>
      </c>
      <c r="C33" s="2461"/>
      <c r="D33" s="1593">
        <f t="shared" ref="D33:M33" si="22">+D81+D129+D177+D227+D275+D323+D373+D422+D470+D518+D566+D614+D663+D711+D759+D807</f>
        <v>-523116.34025999997</v>
      </c>
      <c r="E33" s="974">
        <f t="shared" si="22"/>
        <v>0</v>
      </c>
      <c r="F33" s="931">
        <f t="shared" si="22"/>
        <v>-2556.7799</v>
      </c>
      <c r="G33" s="974">
        <f t="shared" si="22"/>
        <v>-508884.3667616318</v>
      </c>
      <c r="H33" s="931">
        <f t="shared" si="22"/>
        <v>-11292.193598368231</v>
      </c>
      <c r="I33" s="1596">
        <f t="shared" si="22"/>
        <v>-522733.34025999997</v>
      </c>
      <c r="J33" s="931">
        <f t="shared" si="22"/>
        <v>-383</v>
      </c>
      <c r="K33" s="974">
        <f t="shared" si="22"/>
        <v>0</v>
      </c>
      <c r="L33" s="931">
        <f t="shared" si="22"/>
        <v>0</v>
      </c>
      <c r="M33" s="1599">
        <f t="shared" si="22"/>
        <v>-383</v>
      </c>
      <c r="N33" s="922"/>
      <c r="O33" s="922"/>
      <c r="P33" s="179"/>
      <c r="Q33" s="706"/>
      <c r="R33" s="411"/>
      <c r="S33" s="706"/>
      <c r="T33" s="708"/>
      <c r="U33" s="706"/>
      <c r="V33" s="706"/>
      <c r="W33" s="706"/>
    </row>
    <row r="34" spans="2:23">
      <c r="B34" s="2460" t="s">
        <v>349</v>
      </c>
      <c r="C34" s="2461"/>
      <c r="D34" s="1593">
        <f t="shared" ref="D34:M34" si="23">+D82+D130+D178+D228+D276+D324+D374+D423+D471+D519+D567+D615+D664+D712+D760+D808</f>
        <v>53035883.600210436</v>
      </c>
      <c r="E34" s="974">
        <f t="shared" si="23"/>
        <v>-1397254.3251568109</v>
      </c>
      <c r="F34" s="931">
        <f t="shared" si="23"/>
        <v>19579983.619130086</v>
      </c>
      <c r="G34" s="974">
        <f t="shared" si="23"/>
        <v>16421956.786633542</v>
      </c>
      <c r="H34" s="931">
        <f t="shared" si="23"/>
        <v>17898079.659603626</v>
      </c>
      <c r="I34" s="1596">
        <f t="shared" si="23"/>
        <v>53900020.065367252</v>
      </c>
      <c r="J34" s="931">
        <f t="shared" si="23"/>
        <v>182842.78899999999</v>
      </c>
      <c r="K34" s="974">
        <f t="shared" si="23"/>
        <v>0</v>
      </c>
      <c r="L34" s="931">
        <f t="shared" si="23"/>
        <v>350275.071</v>
      </c>
      <c r="M34" s="1599">
        <f t="shared" si="23"/>
        <v>533117.86</v>
      </c>
      <c r="N34" s="922"/>
      <c r="O34" s="922"/>
      <c r="P34" s="179"/>
      <c r="Q34" s="706"/>
      <c r="R34" s="411"/>
      <c r="S34" s="706"/>
      <c r="T34" s="708"/>
      <c r="U34" s="706"/>
      <c r="V34" s="706"/>
      <c r="W34" s="706"/>
    </row>
    <row r="35" spans="2:23">
      <c r="B35" s="2460" t="s">
        <v>350</v>
      </c>
      <c r="C35" s="2461"/>
      <c r="D35" s="1593">
        <f t="shared" ref="D35:M35" si="24">+D83+D131+D179+D229+D277+D325+D375+D424+D472+D520+D568+D616+D665+D713+D761+D809</f>
        <v>0</v>
      </c>
      <c r="E35" s="974">
        <f t="shared" si="24"/>
        <v>0</v>
      </c>
      <c r="F35" s="931">
        <f t="shared" si="24"/>
        <v>0</v>
      </c>
      <c r="G35" s="974">
        <f t="shared" si="24"/>
        <v>0</v>
      </c>
      <c r="H35" s="931">
        <f t="shared" si="24"/>
        <v>0</v>
      </c>
      <c r="I35" s="1596">
        <f t="shared" si="24"/>
        <v>0</v>
      </c>
      <c r="J35" s="931">
        <f t="shared" si="24"/>
        <v>0</v>
      </c>
      <c r="K35" s="974">
        <f t="shared" si="24"/>
        <v>0</v>
      </c>
      <c r="L35" s="931">
        <f t="shared" si="24"/>
        <v>0</v>
      </c>
      <c r="M35" s="1599">
        <f t="shared" si="24"/>
        <v>0</v>
      </c>
      <c r="N35" s="922"/>
      <c r="O35" s="922"/>
      <c r="P35" s="179"/>
      <c r="Q35" s="706"/>
      <c r="R35" s="411"/>
      <c r="S35" s="706"/>
      <c r="T35" s="708"/>
      <c r="U35" s="706"/>
      <c r="V35" s="706"/>
      <c r="W35" s="706"/>
    </row>
    <row r="36" spans="2:23">
      <c r="B36" s="2466" t="s">
        <v>351</v>
      </c>
      <c r="C36" s="2465"/>
      <c r="D36" s="1593">
        <f t="shared" ref="D36:M36" si="25">+D84+D132+D180+D230+D278+D326+D376+D425+D473+D521+D569+D617+D666+D714+D762+D810</f>
        <v>105492078.15511571</v>
      </c>
      <c r="E36" s="974">
        <f t="shared" si="25"/>
        <v>-1397254.3251568109</v>
      </c>
      <c r="F36" s="931">
        <f t="shared" si="25"/>
        <v>37071046.126512475</v>
      </c>
      <c r="G36" s="974">
        <f t="shared" si="25"/>
        <v>33273529.917065144</v>
      </c>
      <c r="H36" s="931">
        <f t="shared" si="25"/>
        <v>35113669.846534923</v>
      </c>
      <c r="I36" s="1596">
        <f t="shared" si="25"/>
        <v>105458245.89011253</v>
      </c>
      <c r="J36" s="931">
        <f t="shared" si="25"/>
        <v>755033.87300000002</v>
      </c>
      <c r="K36" s="974">
        <f t="shared" si="25"/>
        <v>0</v>
      </c>
      <c r="L36" s="931">
        <f t="shared" si="25"/>
        <v>676052.71716</v>
      </c>
      <c r="M36" s="1599">
        <f t="shared" si="25"/>
        <v>1431086.5901600001</v>
      </c>
      <c r="N36" s="927"/>
      <c r="O36" s="922"/>
      <c r="P36" s="179"/>
      <c r="Q36" s="706"/>
      <c r="R36" s="411"/>
      <c r="S36" s="706"/>
      <c r="T36" s="708"/>
      <c r="U36" s="706"/>
      <c r="V36" s="706"/>
      <c r="W36" s="706"/>
    </row>
    <row r="37" spans="2:23">
      <c r="B37" s="2460"/>
      <c r="C37" s="2461"/>
      <c r="D37" s="1593">
        <f t="shared" ref="D37:M37" si="26">+D85+D133+D181+D231+D279+D327+D377+D426+D474+D522+D570+D618+D667+D715+D763+D811</f>
        <v>0</v>
      </c>
      <c r="E37" s="974">
        <f t="shared" si="26"/>
        <v>0</v>
      </c>
      <c r="F37" s="931">
        <f t="shared" si="26"/>
        <v>0</v>
      </c>
      <c r="G37" s="974">
        <f t="shared" si="26"/>
        <v>0</v>
      </c>
      <c r="H37" s="931">
        <f t="shared" si="26"/>
        <v>0</v>
      </c>
      <c r="I37" s="1596">
        <f t="shared" si="26"/>
        <v>0</v>
      </c>
      <c r="J37" s="931">
        <f t="shared" si="26"/>
        <v>0</v>
      </c>
      <c r="K37" s="974">
        <f t="shared" si="26"/>
        <v>0</v>
      </c>
      <c r="L37" s="931">
        <f t="shared" si="26"/>
        <v>0</v>
      </c>
      <c r="M37" s="1599">
        <f t="shared" si="26"/>
        <v>0</v>
      </c>
      <c r="O37" s="922"/>
      <c r="P37" s="179"/>
      <c r="Q37" s="706"/>
      <c r="R37" s="411"/>
      <c r="S37" s="706"/>
      <c r="T37" s="708"/>
      <c r="U37" s="706"/>
      <c r="V37" s="706"/>
      <c r="W37" s="706"/>
    </row>
    <row r="38" spans="2:23" ht="51">
      <c r="B38" s="2467" t="s">
        <v>352</v>
      </c>
      <c r="C38" s="2461"/>
      <c r="D38" s="1593">
        <f t="shared" ref="D38:M38" si="27">+D86+D134+D182+D232+D280+D328+D378+D427+D475+D523+D571+D619+D668+D716+D764+D812</f>
        <v>19150012.901160002</v>
      </c>
      <c r="E38" s="974">
        <f t="shared" si="27"/>
        <v>131446.97600000002</v>
      </c>
      <c r="F38" s="931">
        <f t="shared" si="27"/>
        <v>3788145.4107112801</v>
      </c>
      <c r="G38" s="974">
        <f t="shared" si="27"/>
        <v>7189424.3445776515</v>
      </c>
      <c r="H38" s="931">
        <f t="shared" si="27"/>
        <v>7992919.4910810692</v>
      </c>
      <c r="I38" s="1596">
        <f t="shared" si="27"/>
        <v>18970489.246369999</v>
      </c>
      <c r="J38" s="931">
        <f t="shared" si="27"/>
        <v>24129.20579</v>
      </c>
      <c r="K38" s="974">
        <f t="shared" si="27"/>
        <v>0</v>
      </c>
      <c r="L38" s="931">
        <f t="shared" si="27"/>
        <v>23947.472999999998</v>
      </c>
      <c r="M38" s="1599">
        <f t="shared" si="27"/>
        <v>48076.678789999998</v>
      </c>
      <c r="N38" s="922"/>
      <c r="O38" s="922"/>
      <c r="P38" s="179"/>
      <c r="Q38" s="706"/>
      <c r="R38" s="411"/>
      <c r="S38" s="706"/>
      <c r="T38" s="708"/>
      <c r="U38" s="706"/>
      <c r="V38" s="706"/>
      <c r="W38" s="706"/>
    </row>
    <row r="39" spans="2:23">
      <c r="B39" s="2460"/>
      <c r="C39" s="2461"/>
      <c r="D39" s="1593">
        <f t="shared" ref="D39:M39" si="28">+D87+D135+D183+D233+D281+D329+D379+D428+D476+D524+D572+D620+D669+D717+D765+D813</f>
        <v>0</v>
      </c>
      <c r="E39" s="974">
        <f t="shared" si="28"/>
        <v>0</v>
      </c>
      <c r="F39" s="931">
        <f t="shared" si="28"/>
        <v>0</v>
      </c>
      <c r="G39" s="974">
        <f t="shared" si="28"/>
        <v>0</v>
      </c>
      <c r="H39" s="931">
        <f t="shared" si="28"/>
        <v>0</v>
      </c>
      <c r="I39" s="1596">
        <f t="shared" si="28"/>
        <v>0</v>
      </c>
      <c r="J39" s="931">
        <f t="shared" si="28"/>
        <v>0</v>
      </c>
      <c r="K39" s="974">
        <f t="shared" si="28"/>
        <v>0</v>
      </c>
      <c r="L39" s="931">
        <f t="shared" si="28"/>
        <v>0</v>
      </c>
      <c r="M39" s="1599">
        <f t="shared" si="28"/>
        <v>0</v>
      </c>
      <c r="N39" s="922"/>
      <c r="O39" s="922"/>
      <c r="P39" s="179"/>
      <c r="Q39" s="706"/>
      <c r="R39" s="411"/>
      <c r="S39" s="706"/>
      <c r="T39" s="708"/>
      <c r="U39" s="706"/>
      <c r="V39" s="706"/>
      <c r="W39" s="706"/>
    </row>
    <row r="40" spans="2:23" ht="12.75" customHeight="1">
      <c r="B40" s="2467" t="s">
        <v>353</v>
      </c>
      <c r="C40" s="2461"/>
      <c r="D40" s="1593">
        <f t="shared" ref="D40:M40" si="29">+D88+D136+D184+D234+D282+D330+D380+D429+D477+D525+D573+D621+D670+D718+D766+D814</f>
        <v>30623267.645531964</v>
      </c>
      <c r="E40" s="974">
        <f t="shared" si="29"/>
        <v>1202185.75202</v>
      </c>
      <c r="F40" s="931">
        <f t="shared" si="29"/>
        <v>8360630.4089074936</v>
      </c>
      <c r="G40" s="974">
        <f t="shared" si="29"/>
        <v>7402404.8993110992</v>
      </c>
      <c r="H40" s="931">
        <f t="shared" si="29"/>
        <v>13400477.127740631</v>
      </c>
      <c r="I40" s="1596">
        <f t="shared" si="29"/>
        <v>29163512.435959227</v>
      </c>
      <c r="J40" s="931">
        <f t="shared" si="29"/>
        <v>130129.03200000001</v>
      </c>
      <c r="K40" s="974">
        <f t="shared" si="29"/>
        <v>1101</v>
      </c>
      <c r="L40" s="931">
        <f t="shared" si="29"/>
        <v>161992.57501273821</v>
      </c>
      <c r="M40" s="1599">
        <f t="shared" si="29"/>
        <v>293222.60701273818</v>
      </c>
      <c r="N40" s="922"/>
      <c r="O40" s="922"/>
      <c r="P40" s="179"/>
      <c r="Q40" s="706"/>
      <c r="R40" s="411"/>
      <c r="S40" s="706"/>
      <c r="T40" s="708"/>
      <c r="U40" s="706"/>
      <c r="V40" s="706"/>
      <c r="W40" s="706"/>
    </row>
    <row r="41" spans="2:23">
      <c r="B41" s="2460" t="s">
        <v>354</v>
      </c>
      <c r="C41" s="2461"/>
      <c r="D41" s="1593">
        <f t="shared" ref="D41:M41" si="30">+D89+D137+D185+D235+D283+D331+D381+D430+D478+D526+D574+D622+D671+D719+D767+D815</f>
        <v>627193</v>
      </c>
      <c r="E41" s="974">
        <f t="shared" si="30"/>
        <v>0</v>
      </c>
      <c r="F41" s="931">
        <f t="shared" si="30"/>
        <v>0</v>
      </c>
      <c r="G41" s="974">
        <f t="shared" si="30"/>
        <v>0</v>
      </c>
      <c r="H41" s="931">
        <f t="shared" si="30"/>
        <v>0</v>
      </c>
      <c r="I41" s="1596">
        <f t="shared" si="30"/>
        <v>0</v>
      </c>
      <c r="J41" s="931">
        <f t="shared" si="30"/>
        <v>0</v>
      </c>
      <c r="K41" s="974">
        <f t="shared" si="30"/>
        <v>3642</v>
      </c>
      <c r="L41" s="931">
        <f t="shared" si="30"/>
        <v>623551</v>
      </c>
      <c r="M41" s="1599">
        <f t="shared" si="30"/>
        <v>627193</v>
      </c>
      <c r="N41" s="922"/>
      <c r="O41" s="922"/>
      <c r="P41" s="179"/>
      <c r="Q41" s="706"/>
      <c r="R41" s="411"/>
      <c r="S41" s="706"/>
      <c r="T41" s="708"/>
      <c r="U41" s="706"/>
      <c r="V41" s="706"/>
      <c r="W41" s="706"/>
    </row>
    <row r="42" spans="2:23">
      <c r="B42" s="2460" t="s">
        <v>355</v>
      </c>
      <c r="C42" s="2461"/>
      <c r="D42" s="1593">
        <f t="shared" ref="D42:M42" si="31">+D90+D138+D186+D236+D284+D332+D382+D431+D479+D527+D575+D623+D672+D720+D768+D816</f>
        <v>594161.29790100001</v>
      </c>
      <c r="E42" s="974">
        <f t="shared" si="31"/>
        <v>260288.50992000001</v>
      </c>
      <c r="F42" s="931">
        <f t="shared" si="31"/>
        <v>157506.87967071193</v>
      </c>
      <c r="G42" s="974">
        <f t="shared" si="31"/>
        <v>4041.3270556332154</v>
      </c>
      <c r="H42" s="931">
        <f t="shared" si="31"/>
        <v>172324.5812546548</v>
      </c>
      <c r="I42" s="1596">
        <f t="shared" si="31"/>
        <v>333872.78798099997</v>
      </c>
      <c r="J42" s="931">
        <f t="shared" si="31"/>
        <v>0</v>
      </c>
      <c r="K42" s="974">
        <f t="shared" si="31"/>
        <v>0</v>
      </c>
      <c r="L42" s="931">
        <f t="shared" si="31"/>
        <v>0</v>
      </c>
      <c r="M42" s="1599">
        <f t="shared" si="31"/>
        <v>0</v>
      </c>
      <c r="N42" s="922"/>
      <c r="O42" s="922"/>
      <c r="P42" s="179"/>
      <c r="Q42" s="706"/>
      <c r="R42" s="411"/>
      <c r="S42" s="706"/>
      <c r="T42" s="708"/>
      <c r="U42" s="706"/>
      <c r="V42" s="706"/>
      <c r="W42" s="706"/>
    </row>
    <row r="43" spans="2:23">
      <c r="B43" s="2466" t="s">
        <v>356</v>
      </c>
      <c r="C43" s="2465"/>
      <c r="D43" s="1593">
        <f t="shared" ref="D43:M43" si="32">+D91+D139+D187+D237+D285+D333+D383+D432+D480+D528+D576+D624+D673+D721+D769+D817</f>
        <v>31812868.53721296</v>
      </c>
      <c r="E43" s="974">
        <f t="shared" si="32"/>
        <v>1462474.2619399999</v>
      </c>
      <c r="F43" s="931">
        <f t="shared" si="32"/>
        <v>8518137.2885782048</v>
      </c>
      <c r="G43" s="974">
        <f t="shared" si="32"/>
        <v>7406446.2263667323</v>
      </c>
      <c r="H43" s="931">
        <f t="shared" si="32"/>
        <v>13572801.708995286</v>
      </c>
      <c r="I43" s="1596">
        <f t="shared" si="32"/>
        <v>29497385.22394022</v>
      </c>
      <c r="J43" s="931">
        <f t="shared" si="32"/>
        <v>130129.03200000001</v>
      </c>
      <c r="K43" s="974">
        <f t="shared" si="32"/>
        <v>4743</v>
      </c>
      <c r="L43" s="931">
        <f t="shared" si="32"/>
        <v>785543.57501273812</v>
      </c>
      <c r="M43" s="1599">
        <f t="shared" si="32"/>
        <v>920415.60701273812</v>
      </c>
      <c r="N43" s="927"/>
      <c r="O43" s="922"/>
      <c r="P43" s="179"/>
      <c r="Q43" s="706"/>
      <c r="R43" s="411"/>
      <c r="S43" s="706"/>
      <c r="T43" s="708"/>
      <c r="U43" s="706"/>
      <c r="V43" s="706"/>
      <c r="W43" s="706"/>
    </row>
    <row r="44" spans="2:23">
      <c r="B44" s="2466"/>
      <c r="C44" s="2465"/>
      <c r="D44" s="1593">
        <f t="shared" ref="D44:M44" si="33">+D92+D140+D188+D238+D286+D334+D384+D433+D481+D529+D577+D625+D674+D722+D770+D818</f>
        <v>0</v>
      </c>
      <c r="E44" s="974">
        <f t="shared" si="33"/>
        <v>0</v>
      </c>
      <c r="F44" s="931">
        <f t="shared" si="33"/>
        <v>0</v>
      </c>
      <c r="G44" s="974">
        <f t="shared" si="33"/>
        <v>0</v>
      </c>
      <c r="H44" s="931">
        <f t="shared" si="33"/>
        <v>0</v>
      </c>
      <c r="I44" s="1596">
        <f t="shared" si="33"/>
        <v>0</v>
      </c>
      <c r="J44" s="931">
        <f t="shared" si="33"/>
        <v>0</v>
      </c>
      <c r="K44" s="974">
        <f t="shared" si="33"/>
        <v>0</v>
      </c>
      <c r="L44" s="931">
        <f t="shared" si="33"/>
        <v>0</v>
      </c>
      <c r="M44" s="1599">
        <f t="shared" si="33"/>
        <v>0</v>
      </c>
      <c r="P44" s="179"/>
      <c r="Q44" s="706"/>
      <c r="R44" s="411"/>
      <c r="S44" s="706"/>
      <c r="T44" s="708"/>
      <c r="U44" s="706"/>
      <c r="V44" s="706"/>
      <c r="W44" s="706"/>
    </row>
    <row r="45" spans="2:23">
      <c r="B45" s="2466" t="s">
        <v>357</v>
      </c>
      <c r="C45" s="2465"/>
      <c r="D45" s="1594">
        <f t="shared" ref="D45:M45" si="34">+D93+D141+D189+D239+D287+D335+D385+D434+D482+D530+D578+D626+D675+D723+D771+D819</f>
        <v>23129625.150737949</v>
      </c>
      <c r="E45" s="975">
        <f t="shared" si="34"/>
        <v>10515962.589999618</v>
      </c>
      <c r="F45" s="928">
        <f t="shared" si="34"/>
        <v>1194800.638872613</v>
      </c>
      <c r="G45" s="975">
        <f t="shared" si="34"/>
        <v>8926659.5769829527</v>
      </c>
      <c r="H45" s="928">
        <f t="shared" si="34"/>
        <v>2489014.3851955095</v>
      </c>
      <c r="I45" s="1597">
        <f t="shared" si="34"/>
        <v>12610474.601051074</v>
      </c>
      <c r="J45" s="928">
        <f t="shared" si="34"/>
        <v>0.27015999986906536</v>
      </c>
      <c r="K45" s="975">
        <f t="shared" si="34"/>
        <v>0.3999999999996362</v>
      </c>
      <c r="L45" s="928">
        <f t="shared" si="34"/>
        <v>3187.2895272617752</v>
      </c>
      <c r="M45" s="1600">
        <f t="shared" si="34"/>
        <v>3187.9596872616439</v>
      </c>
      <c r="N45" s="927"/>
      <c r="O45" s="922"/>
      <c r="P45" s="935"/>
      <c r="Q45" s="706"/>
      <c r="R45" s="411"/>
      <c r="S45" s="706"/>
      <c r="T45" s="708"/>
      <c r="U45" s="706"/>
      <c r="V45" s="706"/>
      <c r="W45" s="706"/>
    </row>
    <row r="46" spans="2:23">
      <c r="B46" s="2460" t="s">
        <v>358</v>
      </c>
      <c r="C46" s="2461"/>
      <c r="D46" s="1593">
        <f t="shared" ref="D46:M46" si="35">+D94+D142+D190+D240+D288+D336+D386+D435+D483+D531+D579+D627+D676+D724+D772+D820</f>
        <v>6372869.8671541922</v>
      </c>
      <c r="E46" s="974">
        <f t="shared" si="35"/>
        <v>3945097.7912313631</v>
      </c>
      <c r="F46" s="931">
        <f t="shared" si="35"/>
        <v>760597.93432598701</v>
      </c>
      <c r="G46" s="974">
        <f t="shared" si="35"/>
        <v>1412779.4706968421</v>
      </c>
      <c r="H46" s="931">
        <f t="shared" si="35"/>
        <v>254394.6709</v>
      </c>
      <c r="I46" s="1596">
        <f t="shared" si="35"/>
        <v>2427772.0759228291</v>
      </c>
      <c r="J46" s="931">
        <f t="shared" si="35"/>
        <v>0</v>
      </c>
      <c r="K46" s="974">
        <f t="shared" si="35"/>
        <v>0</v>
      </c>
      <c r="L46" s="931">
        <f t="shared" si="35"/>
        <v>0</v>
      </c>
      <c r="M46" s="1599">
        <f t="shared" si="35"/>
        <v>0</v>
      </c>
      <c r="N46" s="922"/>
      <c r="O46" s="922"/>
      <c r="Q46" s="706"/>
      <c r="R46" s="411"/>
      <c r="S46" s="706"/>
      <c r="T46" s="708"/>
      <c r="U46" s="706"/>
      <c r="V46" s="706"/>
      <c r="W46" s="706"/>
    </row>
    <row r="47" spans="2:23">
      <c r="B47" s="2460"/>
      <c r="C47" s="2461"/>
      <c r="D47" s="1593">
        <f t="shared" ref="D47:M47" si="36">+D95+D143+D191+D241+D289+D337+D387+D436+D484+D532+D580+D628+D677+D725+D773+D821</f>
        <v>0</v>
      </c>
      <c r="E47" s="974">
        <f t="shared" si="36"/>
        <v>0</v>
      </c>
      <c r="F47" s="931">
        <f t="shared" si="36"/>
        <v>0</v>
      </c>
      <c r="G47" s="974">
        <f t="shared" si="36"/>
        <v>0</v>
      </c>
      <c r="H47" s="931">
        <f t="shared" si="36"/>
        <v>0</v>
      </c>
      <c r="I47" s="1596">
        <f t="shared" si="36"/>
        <v>0</v>
      </c>
      <c r="J47" s="931">
        <f t="shared" si="36"/>
        <v>0</v>
      </c>
      <c r="K47" s="974">
        <f t="shared" si="36"/>
        <v>0</v>
      </c>
      <c r="L47" s="931">
        <f t="shared" si="36"/>
        <v>0</v>
      </c>
      <c r="M47" s="1599">
        <f t="shared" si="36"/>
        <v>0</v>
      </c>
      <c r="Q47" s="706"/>
      <c r="R47" s="411"/>
      <c r="S47" s="706"/>
      <c r="T47" s="708"/>
      <c r="U47" s="706"/>
      <c r="V47" s="706"/>
      <c r="W47" s="706"/>
    </row>
    <row r="48" spans="2:23" ht="13.5" thickBot="1">
      <c r="B48" s="1602" t="s">
        <v>359</v>
      </c>
      <c r="C48" s="1603"/>
      <c r="D48" s="1604">
        <f t="shared" ref="D48:M48" si="37">+D96+D144+D192+D242+D290+D338+D388+D437+D485+D533+D581+D629+D678+D726+D774+D822</f>
        <v>16756755.28358376</v>
      </c>
      <c r="E48" s="1605">
        <f t="shared" si="37"/>
        <v>6570864.798768254</v>
      </c>
      <c r="F48" s="1604">
        <f t="shared" si="37"/>
        <v>434202.70454662608</v>
      </c>
      <c r="G48" s="1605">
        <f t="shared" si="37"/>
        <v>7513880.1062861094</v>
      </c>
      <c r="H48" s="1604">
        <f t="shared" si="37"/>
        <v>2234619.7142955093</v>
      </c>
      <c r="I48" s="1605">
        <f t="shared" si="37"/>
        <v>10182702.525128243</v>
      </c>
      <c r="J48" s="1604">
        <f t="shared" si="37"/>
        <v>0.27015999986906536</v>
      </c>
      <c r="K48" s="1605">
        <f t="shared" si="37"/>
        <v>0.3999999999996362</v>
      </c>
      <c r="L48" s="1604">
        <f t="shared" si="37"/>
        <v>3187.2895272617752</v>
      </c>
      <c r="M48" s="1606">
        <f t="shared" si="37"/>
        <v>3187.9596872616439</v>
      </c>
      <c r="N48" s="927"/>
      <c r="O48" s="922"/>
      <c r="Q48" s="706"/>
      <c r="R48" s="411"/>
      <c r="S48" s="706"/>
      <c r="T48" s="708"/>
      <c r="U48" s="706"/>
      <c r="V48" s="706"/>
      <c r="W48" s="706"/>
    </row>
    <row r="49" spans="1:27">
      <c r="B49" s="933"/>
      <c r="C49" s="934"/>
      <c r="D49" s="935"/>
      <c r="E49" s="935"/>
      <c r="F49" s="935"/>
      <c r="G49" s="935"/>
      <c r="H49" s="935"/>
      <c r="I49" s="935"/>
      <c r="J49" s="935"/>
      <c r="K49" s="935"/>
      <c r="L49" s="935"/>
      <c r="M49" s="935"/>
      <c r="N49" s="927"/>
      <c r="O49" s="922"/>
      <c r="R49" s="411"/>
      <c r="S49" s="706"/>
      <c r="T49" s="708"/>
      <c r="U49" s="706"/>
      <c r="V49" s="706"/>
      <c r="W49" s="706"/>
    </row>
    <row r="50" spans="1:27">
      <c r="M50" s="912">
        <v>47</v>
      </c>
      <c r="N50" s="927"/>
      <c r="O50" s="922"/>
      <c r="R50" s="411"/>
    </row>
    <row r="52" spans="1:27" ht="13.5" thickBot="1"/>
    <row r="53" spans="1:27" ht="12.75" customHeight="1" thickBot="1">
      <c r="A53" s="1607" t="s">
        <v>360</v>
      </c>
      <c r="B53" s="1608" t="s">
        <v>116</v>
      </c>
      <c r="C53" s="912"/>
      <c r="L53" s="3538" t="s">
        <v>251</v>
      </c>
      <c r="M53" s="3538"/>
    </row>
    <row r="54" spans="1:27" ht="21" customHeight="1" thickBot="1">
      <c r="B54" s="3578" t="s">
        <v>116</v>
      </c>
      <c r="C54" s="3523" t="s">
        <v>325</v>
      </c>
      <c r="D54" s="3518" t="s">
        <v>255</v>
      </c>
      <c r="E54" s="3518" t="s">
        <v>326</v>
      </c>
      <c r="F54" s="3574" t="s">
        <v>258</v>
      </c>
      <c r="G54" s="3574"/>
      <c r="H54" s="3574"/>
      <c r="I54" s="3574"/>
      <c r="J54" s="3574"/>
      <c r="K54" s="3574"/>
      <c r="L54" s="3574"/>
      <c r="M54" s="3574"/>
    </row>
    <row r="55" spans="1:27" ht="17.25" customHeight="1">
      <c r="B55" s="3571"/>
      <c r="C55" s="3524"/>
      <c r="D55" s="3520"/>
      <c r="E55" s="3520"/>
      <c r="F55" s="3575" t="s">
        <v>259</v>
      </c>
      <c r="G55" s="3576"/>
      <c r="H55" s="3576"/>
      <c r="I55" s="3577"/>
      <c r="J55" s="3574" t="s">
        <v>327</v>
      </c>
      <c r="K55" s="3574"/>
      <c r="L55" s="3574"/>
      <c r="M55" s="3574"/>
    </row>
    <row r="56" spans="1:27" ht="42" customHeight="1">
      <c r="B56" s="3571"/>
      <c r="C56" s="3524"/>
      <c r="D56" s="3519"/>
      <c r="E56" s="3519"/>
      <c r="F56" s="1339" t="s">
        <v>261</v>
      </c>
      <c r="G56" s="1339" t="s">
        <v>262</v>
      </c>
      <c r="H56" s="1339" t="s">
        <v>263</v>
      </c>
      <c r="I56" s="1339" t="s">
        <v>158</v>
      </c>
      <c r="J56" s="1588" t="s">
        <v>328</v>
      </c>
      <c r="K56" s="1588" t="s">
        <v>265</v>
      </c>
      <c r="L56" s="1588" t="s">
        <v>329</v>
      </c>
      <c r="M56" s="1588" t="s">
        <v>158</v>
      </c>
    </row>
    <row r="57" spans="1:27" ht="45" customHeight="1">
      <c r="B57" s="3571"/>
      <c r="C57" s="3524"/>
      <c r="D57" s="1589">
        <v>1</v>
      </c>
      <c r="E57" s="3518">
        <v>2</v>
      </c>
      <c r="F57" s="3518">
        <v>3</v>
      </c>
      <c r="G57" s="3518">
        <v>4</v>
      </c>
      <c r="H57" s="1339"/>
      <c r="I57" s="1589">
        <v>6</v>
      </c>
      <c r="J57" s="3518">
        <v>7</v>
      </c>
      <c r="K57" s="3518">
        <v>8</v>
      </c>
      <c r="L57" s="3518">
        <v>9</v>
      </c>
      <c r="M57" s="1589">
        <v>10</v>
      </c>
    </row>
    <row r="58" spans="1:27" ht="13.5" thickBot="1">
      <c r="B58" s="3572"/>
      <c r="C58" s="3525"/>
      <c r="D58" s="1590" t="s">
        <v>330</v>
      </c>
      <c r="E58" s="3519"/>
      <c r="F58" s="3519"/>
      <c r="G58" s="3519"/>
      <c r="H58" s="1590">
        <v>5</v>
      </c>
      <c r="I58" s="1590" t="s">
        <v>331</v>
      </c>
      <c r="J58" s="3519"/>
      <c r="K58" s="3519"/>
      <c r="L58" s="3519"/>
      <c r="M58" s="1590" t="s">
        <v>332</v>
      </c>
      <c r="N58" s="703"/>
      <c r="O58" s="703"/>
      <c r="R58" s="706"/>
      <c r="S58" s="706"/>
      <c r="T58" s="706"/>
      <c r="U58" s="706"/>
      <c r="V58" s="706"/>
      <c r="W58" s="706"/>
      <c r="X58" s="706"/>
      <c r="Y58" s="706"/>
      <c r="Z58" s="706"/>
      <c r="AA58" s="706"/>
    </row>
    <row r="59" spans="1:27">
      <c r="B59" s="1609" t="s">
        <v>333</v>
      </c>
      <c r="C59" s="977"/>
      <c r="D59" s="1610">
        <f t="shared" ref="D59:D96" si="38">E59+I59+M59</f>
        <v>20053301.699699998</v>
      </c>
      <c r="E59" s="963">
        <v>0</v>
      </c>
      <c r="F59" s="978">
        <v>4411793.4383300003</v>
      </c>
      <c r="G59" s="963">
        <v>14526894.261369999</v>
      </c>
      <c r="H59" s="978">
        <v>1114614</v>
      </c>
      <c r="I59" s="1441">
        <f t="shared" ref="I59:I96" si="39">F59+G59+H59</f>
        <v>20053301.699699998</v>
      </c>
      <c r="J59" s="978"/>
      <c r="K59" s="963"/>
      <c r="L59" s="978"/>
      <c r="M59" s="1441">
        <f t="shared" ref="M59:M76" si="40">L59+K59+J59</f>
        <v>0</v>
      </c>
      <c r="N59" s="922"/>
      <c r="O59" s="922"/>
      <c r="P59" s="679"/>
      <c r="Q59" s="706"/>
      <c r="R59" s="179"/>
      <c r="S59" s="706"/>
      <c r="T59" s="708"/>
      <c r="U59" s="706"/>
      <c r="V59" s="706"/>
      <c r="W59" s="706"/>
      <c r="X59" s="706"/>
      <c r="Y59" s="706"/>
      <c r="Z59" s="706"/>
      <c r="AA59" s="706"/>
    </row>
    <row r="60" spans="1:27">
      <c r="B60" s="2468"/>
      <c r="C60" s="2469"/>
      <c r="D60" s="2470">
        <f t="shared" si="38"/>
        <v>0</v>
      </c>
      <c r="E60" s="2471"/>
      <c r="F60" s="2472"/>
      <c r="G60" s="2471"/>
      <c r="H60" s="2472"/>
      <c r="I60" s="2249">
        <f t="shared" si="39"/>
        <v>0</v>
      </c>
      <c r="J60" s="2472"/>
      <c r="K60" s="2471"/>
      <c r="L60" s="2472"/>
      <c r="M60" s="2249">
        <f t="shared" si="40"/>
        <v>0</v>
      </c>
      <c r="O60" s="922"/>
      <c r="P60" s="679"/>
      <c r="Q60" s="706"/>
      <c r="R60" s="389"/>
      <c r="S60" s="706"/>
      <c r="T60" s="708"/>
      <c r="U60" s="706"/>
      <c r="V60" s="706"/>
      <c r="W60" s="706"/>
      <c r="X60" s="706"/>
      <c r="Y60" s="706"/>
      <c r="Z60" s="706"/>
      <c r="AA60" s="706"/>
    </row>
    <row r="61" spans="1:27">
      <c r="B61" s="2473" t="s">
        <v>334</v>
      </c>
      <c r="C61" s="2469"/>
      <c r="D61" s="2470">
        <f t="shared" si="38"/>
        <v>1857795.0552600001</v>
      </c>
      <c r="E61" s="2471">
        <v>0</v>
      </c>
      <c r="F61" s="2472">
        <v>43794.297219999993</v>
      </c>
      <c r="G61" s="2471">
        <v>1809532.75804</v>
      </c>
      <c r="H61" s="2472">
        <v>4468</v>
      </c>
      <c r="I61" s="2249">
        <f t="shared" si="39"/>
        <v>1857795.0552600001</v>
      </c>
      <c r="J61" s="2472"/>
      <c r="K61" s="2471"/>
      <c r="L61" s="2472"/>
      <c r="M61" s="2249">
        <f t="shared" si="40"/>
        <v>0</v>
      </c>
      <c r="N61" s="922"/>
      <c r="O61" s="922"/>
      <c r="P61" s="679"/>
      <c r="Q61" s="706"/>
      <c r="R61" s="179"/>
      <c r="S61" s="706"/>
      <c r="T61" s="708"/>
      <c r="U61" s="706"/>
      <c r="V61" s="706"/>
      <c r="W61" s="706"/>
      <c r="X61" s="706"/>
      <c r="Y61" s="706"/>
      <c r="Z61" s="706"/>
      <c r="AA61" s="706"/>
    </row>
    <row r="62" spans="1:27">
      <c r="B62" s="2473"/>
      <c r="C62" s="2469"/>
      <c r="D62" s="2470">
        <f t="shared" si="38"/>
        <v>0</v>
      </c>
      <c r="E62" s="2471"/>
      <c r="F62" s="2472"/>
      <c r="G62" s="2471"/>
      <c r="H62" s="2472"/>
      <c r="I62" s="2249">
        <f t="shared" si="39"/>
        <v>0</v>
      </c>
      <c r="J62" s="2472"/>
      <c r="K62" s="2471"/>
      <c r="L62" s="2472"/>
      <c r="M62" s="2249">
        <f t="shared" si="40"/>
        <v>0</v>
      </c>
      <c r="O62" s="922"/>
      <c r="P62" s="679"/>
      <c r="Q62" s="706"/>
      <c r="R62" s="389"/>
      <c r="S62" s="706"/>
      <c r="T62" s="708"/>
      <c r="U62" s="706"/>
      <c r="V62" s="706"/>
      <c r="W62" s="706"/>
      <c r="X62" s="706"/>
      <c r="Y62" s="706"/>
      <c r="Z62" s="706"/>
      <c r="AA62" s="706"/>
    </row>
    <row r="63" spans="1:27" ht="12.75" customHeight="1">
      <c r="B63" s="2474" t="s">
        <v>335</v>
      </c>
      <c r="C63" s="2469"/>
      <c r="D63" s="2470">
        <f t="shared" si="38"/>
        <v>0</v>
      </c>
      <c r="E63" s="2471">
        <v>0</v>
      </c>
      <c r="F63" s="2472">
        <v>0</v>
      </c>
      <c r="G63" s="2471">
        <v>0</v>
      </c>
      <c r="H63" s="2472"/>
      <c r="I63" s="2249">
        <f t="shared" si="39"/>
        <v>0</v>
      </c>
      <c r="J63" s="2472"/>
      <c r="K63" s="2471"/>
      <c r="L63" s="2472"/>
      <c r="M63" s="2249">
        <f t="shared" si="40"/>
        <v>0</v>
      </c>
      <c r="N63" s="922"/>
      <c r="O63" s="922"/>
      <c r="P63" s="679"/>
      <c r="Q63" s="706"/>
      <c r="R63" s="389"/>
      <c r="S63" s="706"/>
      <c r="T63" s="708"/>
      <c r="U63" s="706"/>
      <c r="V63" s="706"/>
      <c r="W63" s="706"/>
      <c r="X63" s="706"/>
      <c r="Y63" s="706"/>
      <c r="Z63" s="706"/>
      <c r="AA63" s="706"/>
    </row>
    <row r="64" spans="1:27">
      <c r="B64" s="2468"/>
      <c r="C64" s="2469"/>
      <c r="D64" s="2470">
        <f t="shared" si="38"/>
        <v>0</v>
      </c>
      <c r="E64" s="2471"/>
      <c r="F64" s="2472"/>
      <c r="G64" s="2471"/>
      <c r="H64" s="2472"/>
      <c r="I64" s="2249">
        <f t="shared" si="39"/>
        <v>0</v>
      </c>
      <c r="J64" s="2472"/>
      <c r="K64" s="2471"/>
      <c r="L64" s="2472"/>
      <c r="M64" s="2249">
        <f t="shared" si="40"/>
        <v>0</v>
      </c>
      <c r="O64" s="922"/>
      <c r="P64" s="679"/>
      <c r="Q64" s="706"/>
      <c r="R64" s="389"/>
      <c r="S64" s="706"/>
      <c r="T64" s="708"/>
      <c r="U64" s="706"/>
      <c r="V64" s="706"/>
      <c r="W64" s="706"/>
      <c r="X64" s="706"/>
      <c r="Y64" s="706"/>
      <c r="Z64" s="706"/>
      <c r="AA64" s="706"/>
    </row>
    <row r="65" spans="2:27">
      <c r="B65" s="2475" t="s">
        <v>336</v>
      </c>
      <c r="C65" s="2476"/>
      <c r="D65" s="2470">
        <f t="shared" si="38"/>
        <v>18195506.644439999</v>
      </c>
      <c r="E65" s="2471">
        <f>E59-E61+E63</f>
        <v>0</v>
      </c>
      <c r="F65" s="2472">
        <f>F59-F61+F63</f>
        <v>4367999.1411100002</v>
      </c>
      <c r="G65" s="2471">
        <f>G59-G61+G63</f>
        <v>12717361.50333</v>
      </c>
      <c r="H65" s="2472">
        <f>H59-H61+H63</f>
        <v>1110146</v>
      </c>
      <c r="I65" s="2249">
        <f t="shared" si="39"/>
        <v>18195506.644439999</v>
      </c>
      <c r="J65" s="2472">
        <f>J59-J61+J63</f>
        <v>0</v>
      </c>
      <c r="K65" s="2471">
        <f>K59-K61+K63</f>
        <v>0</v>
      </c>
      <c r="L65" s="2472">
        <f>L59-L61+L63</f>
        <v>0</v>
      </c>
      <c r="M65" s="2249">
        <f t="shared" si="40"/>
        <v>0</v>
      </c>
      <c r="N65" s="927"/>
      <c r="O65" s="922"/>
      <c r="P65" s="679"/>
      <c r="Q65" s="706"/>
      <c r="R65" s="935"/>
      <c r="S65" s="706"/>
      <c r="T65" s="708"/>
      <c r="U65" s="706"/>
      <c r="V65" s="706"/>
      <c r="W65" s="706"/>
      <c r="X65" s="706"/>
      <c r="Y65" s="706"/>
      <c r="Z65" s="706"/>
      <c r="AA65" s="706"/>
    </row>
    <row r="66" spans="2:27">
      <c r="B66" s="2475"/>
      <c r="C66" s="2476"/>
      <c r="D66" s="2470">
        <f t="shared" si="38"/>
        <v>0</v>
      </c>
      <c r="E66" s="2471"/>
      <c r="F66" s="2472"/>
      <c r="G66" s="2471"/>
      <c r="H66" s="2472"/>
      <c r="I66" s="2249">
        <f t="shared" si="39"/>
        <v>0</v>
      </c>
      <c r="J66" s="2472"/>
      <c r="K66" s="2471"/>
      <c r="L66" s="2472"/>
      <c r="M66" s="2249">
        <f t="shared" si="40"/>
        <v>0</v>
      </c>
      <c r="O66" s="922"/>
      <c r="P66" s="679"/>
      <c r="Q66" s="706"/>
      <c r="R66" s="389"/>
      <c r="S66" s="706"/>
      <c r="T66" s="708"/>
      <c r="U66" s="706"/>
      <c r="V66" s="706"/>
      <c r="W66" s="706"/>
      <c r="X66" s="706"/>
      <c r="Y66" s="706"/>
      <c r="Z66" s="706"/>
      <c r="AA66" s="706"/>
    </row>
    <row r="67" spans="2:27">
      <c r="B67" s="2475" t="s">
        <v>337</v>
      </c>
      <c r="C67" s="2476"/>
      <c r="D67" s="2470">
        <f t="shared" si="38"/>
        <v>2775629.2473500003</v>
      </c>
      <c r="E67" s="2471">
        <f>SUM(E68:E72)</f>
        <v>903875.7246800001</v>
      </c>
      <c r="F67" s="2472">
        <f>SUM(F68:F72)</f>
        <v>698595.01693000004</v>
      </c>
      <c r="G67" s="2471">
        <f>SUM(G68:G72)</f>
        <v>1113924.5057400002</v>
      </c>
      <c r="H67" s="2472">
        <f>SUM(H68:H72)</f>
        <v>59234</v>
      </c>
      <c r="I67" s="2249">
        <f t="shared" si="39"/>
        <v>1871753.5226700003</v>
      </c>
      <c r="J67" s="2472">
        <f>SUM(J68:J72)</f>
        <v>0</v>
      </c>
      <c r="K67" s="2471">
        <f>SUM(K68:K72)</f>
        <v>0</v>
      </c>
      <c r="L67" s="2472">
        <f>SUM(L68:L72)</f>
        <v>0</v>
      </c>
      <c r="M67" s="2249">
        <f t="shared" si="40"/>
        <v>0</v>
      </c>
      <c r="N67" s="927"/>
      <c r="O67" s="922"/>
      <c r="P67" s="679"/>
      <c r="Q67" s="706"/>
      <c r="R67" s="179"/>
      <c r="S67" s="706"/>
      <c r="T67" s="708"/>
      <c r="U67" s="706"/>
      <c r="V67" s="706"/>
      <c r="W67" s="706"/>
      <c r="X67" s="706"/>
      <c r="Y67" s="706"/>
      <c r="Z67" s="706"/>
      <c r="AA67" s="706"/>
    </row>
    <row r="68" spans="2:27">
      <c r="B68" s="2468" t="s">
        <v>338</v>
      </c>
      <c r="C68" s="2469">
        <v>1</v>
      </c>
      <c r="D68" s="2470">
        <f t="shared" si="38"/>
        <v>2355097.4156300002</v>
      </c>
      <c r="E68" s="2471">
        <v>864481.52372000006</v>
      </c>
      <c r="F68" s="2472">
        <v>630772.73216999997</v>
      </c>
      <c r="G68" s="2471">
        <v>806334.15974000003</v>
      </c>
      <c r="H68" s="2472">
        <v>53509</v>
      </c>
      <c r="I68" s="2249">
        <f t="shared" si="39"/>
        <v>1490615.89191</v>
      </c>
      <c r="J68" s="2472"/>
      <c r="K68" s="2471"/>
      <c r="L68" s="2472"/>
      <c r="M68" s="2249">
        <f t="shared" si="40"/>
        <v>0</v>
      </c>
      <c r="N68" s="922"/>
      <c r="O68" s="922"/>
      <c r="P68" s="679"/>
      <c r="Q68" s="706"/>
      <c r="R68" s="179"/>
      <c r="S68" s="706"/>
      <c r="T68" s="708"/>
      <c r="U68" s="706"/>
      <c r="V68" s="706"/>
      <c r="W68" s="706"/>
      <c r="X68" s="706"/>
      <c r="Y68" s="706"/>
      <c r="Z68" s="706"/>
      <c r="AA68" s="706"/>
    </row>
    <row r="69" spans="2:27">
      <c r="B69" s="2468" t="s">
        <v>339</v>
      </c>
      <c r="C69" s="2469">
        <v>2</v>
      </c>
      <c r="D69" s="2470">
        <f t="shared" si="38"/>
        <v>0</v>
      </c>
      <c r="E69" s="2471">
        <v>0</v>
      </c>
      <c r="F69" s="2472">
        <v>0</v>
      </c>
      <c r="G69" s="2471">
        <v>0</v>
      </c>
      <c r="H69" s="2472"/>
      <c r="I69" s="2249">
        <f t="shared" si="39"/>
        <v>0</v>
      </c>
      <c r="J69" s="2472"/>
      <c r="K69" s="2471"/>
      <c r="L69" s="2472"/>
      <c r="M69" s="2249">
        <f t="shared" si="40"/>
        <v>0</v>
      </c>
      <c r="N69" s="922"/>
      <c r="O69" s="922"/>
      <c r="P69" s="679"/>
      <c r="Q69" s="706"/>
      <c r="R69" s="389"/>
      <c r="S69" s="706"/>
      <c r="T69" s="708"/>
      <c r="U69" s="706"/>
      <c r="V69" s="706"/>
      <c r="W69" s="706"/>
      <c r="X69" s="706"/>
      <c r="Y69" s="706"/>
      <c r="Z69" s="706"/>
      <c r="AA69" s="706"/>
    </row>
    <row r="70" spans="2:27">
      <c r="B70" s="2468" t="s">
        <v>340</v>
      </c>
      <c r="C70" s="2469"/>
      <c r="D70" s="2470">
        <f t="shared" si="38"/>
        <v>392205.94519</v>
      </c>
      <c r="E70" s="2471">
        <v>192125.67963</v>
      </c>
      <c r="F70" s="2472">
        <v>77344.676510000005</v>
      </c>
      <c r="G70" s="2471">
        <v>122735.58905000001</v>
      </c>
      <c r="H70" s="2472"/>
      <c r="I70" s="2249">
        <f t="shared" si="39"/>
        <v>200080.26556000003</v>
      </c>
      <c r="J70" s="2472"/>
      <c r="K70" s="2471"/>
      <c r="L70" s="2472"/>
      <c r="M70" s="2249">
        <f t="shared" si="40"/>
        <v>0</v>
      </c>
      <c r="N70" s="922"/>
      <c r="O70" s="922"/>
      <c r="P70" s="679"/>
      <c r="Q70" s="706"/>
      <c r="R70" s="179"/>
      <c r="S70" s="706"/>
      <c r="T70" s="708"/>
      <c r="U70" s="706"/>
      <c r="V70" s="706"/>
      <c r="W70" s="706"/>
      <c r="X70" s="706"/>
      <c r="Y70" s="706"/>
      <c r="Z70" s="706"/>
      <c r="AA70" s="706"/>
    </row>
    <row r="71" spans="2:27">
      <c r="B71" s="2468" t="s">
        <v>341</v>
      </c>
      <c r="C71" s="2469"/>
      <c r="D71" s="2470">
        <f t="shared" si="38"/>
        <v>7560.1550299999944</v>
      </c>
      <c r="E71" s="2471">
        <v>-159433.46100000001</v>
      </c>
      <c r="F71" s="2472">
        <v>-9522.3917499999989</v>
      </c>
      <c r="G71" s="2471">
        <v>170791.00778000001</v>
      </c>
      <c r="H71" s="2472">
        <v>5725</v>
      </c>
      <c r="I71" s="2249">
        <f t="shared" si="39"/>
        <v>166993.61603</v>
      </c>
      <c r="J71" s="2472"/>
      <c r="K71" s="2471"/>
      <c r="L71" s="2472"/>
      <c r="M71" s="2249">
        <f t="shared" si="40"/>
        <v>0</v>
      </c>
      <c r="N71" s="922"/>
      <c r="O71" s="922"/>
      <c r="P71" s="679"/>
      <c r="Q71" s="706"/>
      <c r="R71" s="179"/>
      <c r="S71" s="706"/>
      <c r="T71" s="708"/>
      <c r="U71" s="706"/>
      <c r="V71" s="706"/>
      <c r="W71" s="706"/>
      <c r="X71" s="706"/>
      <c r="Y71" s="706"/>
      <c r="Z71" s="706"/>
      <c r="AA71" s="706"/>
    </row>
    <row r="72" spans="2:27">
      <c r="B72" s="2468" t="s">
        <v>342</v>
      </c>
      <c r="C72" s="2469">
        <v>3</v>
      </c>
      <c r="D72" s="2470">
        <f t="shared" si="38"/>
        <v>20765.731500000002</v>
      </c>
      <c r="E72" s="2471">
        <v>6701.9823299999989</v>
      </c>
      <c r="F72" s="2472">
        <v>0</v>
      </c>
      <c r="G72" s="2471">
        <v>14063.749170000001</v>
      </c>
      <c r="H72" s="2472">
        <v>0</v>
      </c>
      <c r="I72" s="2249">
        <f t="shared" si="39"/>
        <v>14063.749170000001</v>
      </c>
      <c r="J72" s="2472"/>
      <c r="K72" s="2471"/>
      <c r="L72" s="2472"/>
      <c r="M72" s="2249">
        <f t="shared" si="40"/>
        <v>0</v>
      </c>
      <c r="N72" s="922"/>
      <c r="O72" s="922"/>
      <c r="P72" s="679"/>
      <c r="Q72" s="706"/>
      <c r="R72" s="179"/>
      <c r="S72" s="706"/>
      <c r="T72" s="708"/>
      <c r="U72" s="706"/>
      <c r="V72" s="706"/>
      <c r="W72" s="706"/>
      <c r="X72" s="706"/>
      <c r="Y72" s="706"/>
      <c r="Z72" s="706"/>
      <c r="AA72" s="706"/>
    </row>
    <row r="73" spans="2:27">
      <c r="B73" s="2477" t="s">
        <v>361</v>
      </c>
      <c r="C73" s="2469"/>
      <c r="D73" s="2470">
        <f t="shared" si="38"/>
        <v>20765.731500000002</v>
      </c>
      <c r="E73" s="2471">
        <v>6701.9823299999989</v>
      </c>
      <c r="F73" s="2472">
        <v>0</v>
      </c>
      <c r="G73" s="2471">
        <v>14063.749170000001</v>
      </c>
      <c r="H73" s="2472">
        <v>0</v>
      </c>
      <c r="I73" s="2249">
        <f t="shared" si="39"/>
        <v>14063.749170000001</v>
      </c>
      <c r="J73" s="2472"/>
      <c r="K73" s="2471"/>
      <c r="L73" s="2472"/>
      <c r="M73" s="2249">
        <f t="shared" si="40"/>
        <v>0</v>
      </c>
      <c r="O73" s="922"/>
      <c r="P73" s="679"/>
      <c r="Q73" s="706"/>
      <c r="R73" s="179"/>
      <c r="S73" s="706"/>
      <c r="T73" s="708"/>
      <c r="U73" s="706"/>
      <c r="V73" s="706"/>
      <c r="W73" s="706"/>
      <c r="X73" s="706"/>
      <c r="Y73" s="706"/>
      <c r="Z73" s="706"/>
      <c r="AA73" s="706"/>
    </row>
    <row r="74" spans="2:27">
      <c r="B74" s="2468" t="s">
        <v>343</v>
      </c>
      <c r="C74" s="2469"/>
      <c r="D74" s="2470">
        <f t="shared" si="38"/>
        <v>0</v>
      </c>
      <c r="E74" s="2471"/>
      <c r="F74" s="2472"/>
      <c r="G74" s="2471"/>
      <c r="H74" s="2472"/>
      <c r="I74" s="2249">
        <f t="shared" si="39"/>
        <v>0</v>
      </c>
      <c r="J74" s="2472"/>
      <c r="K74" s="2471"/>
      <c r="L74" s="2472"/>
      <c r="M74" s="2249">
        <f t="shared" si="40"/>
        <v>0</v>
      </c>
      <c r="O74" s="922"/>
      <c r="P74" s="679"/>
      <c r="Q74" s="706"/>
      <c r="R74" s="389"/>
      <c r="S74" s="706"/>
      <c r="T74" s="708"/>
      <c r="U74" s="706"/>
      <c r="V74" s="706"/>
      <c r="W74" s="706"/>
      <c r="X74" s="706"/>
      <c r="Y74" s="706"/>
      <c r="Z74" s="706"/>
      <c r="AA74" s="706"/>
    </row>
    <row r="75" spans="2:27">
      <c r="B75" s="2468"/>
      <c r="C75" s="2469"/>
      <c r="D75" s="2470">
        <f t="shared" si="38"/>
        <v>0</v>
      </c>
      <c r="E75" s="2471"/>
      <c r="F75" s="2472"/>
      <c r="G75" s="2471"/>
      <c r="H75" s="2472"/>
      <c r="I75" s="2249">
        <f t="shared" si="39"/>
        <v>0</v>
      </c>
      <c r="J75" s="2472"/>
      <c r="K75" s="2471"/>
      <c r="L75" s="2472"/>
      <c r="M75" s="2249">
        <f t="shared" si="40"/>
        <v>0</v>
      </c>
      <c r="O75" s="922"/>
      <c r="P75" s="679"/>
      <c r="Q75" s="706"/>
      <c r="R75" s="389"/>
      <c r="S75" s="706"/>
      <c r="T75" s="708"/>
      <c r="U75" s="706"/>
      <c r="V75" s="706"/>
      <c r="W75" s="706"/>
      <c r="X75" s="706"/>
      <c r="Y75" s="706"/>
      <c r="Z75" s="706"/>
      <c r="AA75" s="706"/>
    </row>
    <row r="76" spans="2:27">
      <c r="B76" s="2478" t="s">
        <v>344</v>
      </c>
      <c r="C76" s="2476"/>
      <c r="D76" s="2470">
        <f t="shared" si="38"/>
        <v>20971135.891789999</v>
      </c>
      <c r="E76" s="2471">
        <f>E65+E67</f>
        <v>903875.7246800001</v>
      </c>
      <c r="F76" s="2472">
        <f>F65+F67</f>
        <v>5066594.1580400001</v>
      </c>
      <c r="G76" s="2471">
        <f>G65+G67</f>
        <v>13831286.00907</v>
      </c>
      <c r="H76" s="2472">
        <f>H65+H67</f>
        <v>1169380</v>
      </c>
      <c r="I76" s="2249">
        <f t="shared" si="39"/>
        <v>20067260.16711</v>
      </c>
      <c r="J76" s="2472">
        <f>J65+J67</f>
        <v>0</v>
      </c>
      <c r="K76" s="2471">
        <f>K65+K67</f>
        <v>0</v>
      </c>
      <c r="L76" s="2472">
        <f>L65+L67</f>
        <v>0</v>
      </c>
      <c r="M76" s="2249">
        <f t="shared" si="40"/>
        <v>0</v>
      </c>
      <c r="N76" s="927"/>
      <c r="O76" s="922"/>
      <c r="P76" s="679"/>
      <c r="Q76" s="706"/>
      <c r="R76" s="935"/>
      <c r="S76" s="706"/>
      <c r="T76" s="708"/>
      <c r="U76" s="706"/>
      <c r="V76" s="706"/>
      <c r="W76" s="706"/>
      <c r="X76" s="706"/>
      <c r="Y76" s="706"/>
      <c r="Z76" s="706"/>
      <c r="AA76" s="706"/>
    </row>
    <row r="77" spans="2:27">
      <c r="B77" s="2478"/>
      <c r="C77" s="2476"/>
      <c r="D77" s="2470">
        <f t="shared" si="38"/>
        <v>0</v>
      </c>
      <c r="E77" s="2471"/>
      <c r="F77" s="2472"/>
      <c r="G77" s="2471"/>
      <c r="H77" s="2472"/>
      <c r="I77" s="2249">
        <f t="shared" si="39"/>
        <v>0</v>
      </c>
      <c r="J77" s="2472"/>
      <c r="K77" s="2471"/>
      <c r="L77" s="2472"/>
      <c r="M77" s="2249"/>
      <c r="O77" s="922"/>
      <c r="P77" s="679"/>
      <c r="Q77" s="706"/>
      <c r="R77" s="389"/>
      <c r="S77" s="706"/>
      <c r="T77" s="708"/>
      <c r="U77" s="706"/>
      <c r="V77" s="706"/>
      <c r="W77" s="706"/>
      <c r="X77" s="706"/>
      <c r="Y77" s="706"/>
      <c r="Z77" s="706"/>
      <c r="AA77" s="706"/>
    </row>
    <row r="78" spans="2:27">
      <c r="B78" s="2468" t="s">
        <v>345</v>
      </c>
      <c r="C78" s="2469"/>
      <c r="D78" s="2470">
        <f t="shared" si="38"/>
        <v>6519061.3832300007</v>
      </c>
      <c r="E78" s="2471">
        <v>0</v>
      </c>
      <c r="F78" s="2472">
        <v>733819.83996000001</v>
      </c>
      <c r="G78" s="2471">
        <v>5778936.5432700003</v>
      </c>
      <c r="H78" s="2472">
        <v>6305</v>
      </c>
      <c r="I78" s="2249">
        <f t="shared" si="39"/>
        <v>6519061.3832300007</v>
      </c>
      <c r="J78" s="2472"/>
      <c r="K78" s="2471"/>
      <c r="L78" s="2472"/>
      <c r="M78" s="2249">
        <f t="shared" ref="M78:M96" si="41">L78+K78+J78</f>
        <v>0</v>
      </c>
      <c r="N78" s="922"/>
      <c r="O78" s="922"/>
      <c r="P78" s="679"/>
      <c r="Q78" s="706"/>
      <c r="R78" s="179"/>
      <c r="S78" s="706"/>
      <c r="T78" s="708"/>
      <c r="U78" s="706"/>
      <c r="V78" s="706"/>
      <c r="W78" s="706"/>
      <c r="X78" s="706"/>
      <c r="Y78" s="706"/>
      <c r="Z78" s="706"/>
      <c r="AA78" s="706"/>
    </row>
    <row r="79" spans="2:27">
      <c r="B79" s="2468" t="s">
        <v>346</v>
      </c>
      <c r="C79" s="2469"/>
      <c r="D79" s="2470">
        <f t="shared" si="38"/>
        <v>-553897.47765999998</v>
      </c>
      <c r="E79" s="2471">
        <v>0</v>
      </c>
      <c r="F79" s="2472">
        <v>-30476.45651</v>
      </c>
      <c r="G79" s="2471">
        <v>-515860.02114999999</v>
      </c>
      <c r="H79" s="2472">
        <v>-7561</v>
      </c>
      <c r="I79" s="2249">
        <f t="shared" si="39"/>
        <v>-553897.47765999998</v>
      </c>
      <c r="J79" s="2472"/>
      <c r="K79" s="2471"/>
      <c r="L79" s="2472"/>
      <c r="M79" s="2249">
        <f t="shared" si="41"/>
        <v>0</v>
      </c>
      <c r="N79" s="922"/>
      <c r="O79" s="922"/>
      <c r="P79" s="679"/>
      <c r="Q79" s="706"/>
      <c r="R79" s="179"/>
      <c r="S79" s="706"/>
      <c r="T79" s="708"/>
      <c r="U79" s="706"/>
      <c r="V79" s="706"/>
      <c r="W79" s="706"/>
      <c r="X79" s="706"/>
      <c r="Y79" s="706"/>
      <c r="Z79" s="706"/>
      <c r="AA79" s="706"/>
    </row>
    <row r="80" spans="2:27">
      <c r="B80" s="2468" t="s">
        <v>347</v>
      </c>
      <c r="C80" s="2469"/>
      <c r="D80" s="2470">
        <f t="shared" si="38"/>
        <v>-65955.291839999991</v>
      </c>
      <c r="E80" s="2471">
        <v>0</v>
      </c>
      <c r="F80" s="2472">
        <v>1268.0177699999999</v>
      </c>
      <c r="G80" s="2471">
        <v>-68755.694609999991</v>
      </c>
      <c r="H80" s="2472">
        <v>1532.385</v>
      </c>
      <c r="I80" s="2249">
        <f t="shared" si="39"/>
        <v>-65955.291839999991</v>
      </c>
      <c r="J80" s="2472"/>
      <c r="K80" s="2471"/>
      <c r="L80" s="2472"/>
      <c r="M80" s="2249">
        <f t="shared" si="41"/>
        <v>0</v>
      </c>
      <c r="N80" s="922"/>
      <c r="O80" s="922"/>
      <c r="P80" s="679"/>
      <c r="Q80" s="706"/>
      <c r="R80" s="179"/>
      <c r="S80" s="706"/>
      <c r="T80" s="708"/>
      <c r="U80" s="706"/>
      <c r="V80" s="706"/>
      <c r="W80" s="706"/>
      <c r="X80" s="706"/>
      <c r="Y80" s="706"/>
      <c r="Z80" s="706"/>
      <c r="AA80" s="706"/>
    </row>
    <row r="81" spans="2:27" ht="12.75" customHeight="1">
      <c r="B81" s="2479" t="s">
        <v>348</v>
      </c>
      <c r="C81" s="2469"/>
      <c r="D81" s="2470">
        <f t="shared" si="38"/>
        <v>2859.0759000000003</v>
      </c>
      <c r="E81" s="2471">
        <v>0</v>
      </c>
      <c r="F81" s="2472">
        <v>3275.6201000000001</v>
      </c>
      <c r="G81" s="2471">
        <v>-416.54419999999999</v>
      </c>
      <c r="H81" s="2472">
        <v>0</v>
      </c>
      <c r="I81" s="2249">
        <f t="shared" si="39"/>
        <v>2859.0759000000003</v>
      </c>
      <c r="J81" s="2472"/>
      <c r="K81" s="2471"/>
      <c r="L81" s="2472"/>
      <c r="M81" s="2249">
        <f t="shared" si="41"/>
        <v>0</v>
      </c>
      <c r="N81" s="922"/>
      <c r="O81" s="922"/>
      <c r="P81" s="679"/>
      <c r="Q81" s="706"/>
      <c r="R81" s="179"/>
      <c r="S81" s="706"/>
      <c r="T81" s="708"/>
      <c r="U81" s="706"/>
      <c r="V81" s="706"/>
      <c r="W81" s="706"/>
      <c r="X81" s="706"/>
      <c r="Y81" s="706"/>
      <c r="Z81" s="706"/>
      <c r="AA81" s="706"/>
    </row>
    <row r="82" spans="2:27">
      <c r="B82" s="2468" t="s">
        <v>349</v>
      </c>
      <c r="C82" s="2469"/>
      <c r="D82" s="2470">
        <f t="shared" si="38"/>
        <v>4143425.8727400019</v>
      </c>
      <c r="E82" s="2471">
        <v>0</v>
      </c>
      <c r="F82" s="2472">
        <v>1136967.9571900018</v>
      </c>
      <c r="G82" s="2471">
        <v>2740528.91555</v>
      </c>
      <c r="H82" s="2472">
        <v>265929</v>
      </c>
      <c r="I82" s="2249">
        <f t="shared" si="39"/>
        <v>4143425.8727400019</v>
      </c>
      <c r="J82" s="2472"/>
      <c r="K82" s="2471"/>
      <c r="L82" s="2472"/>
      <c r="M82" s="2249">
        <f t="shared" si="41"/>
        <v>0</v>
      </c>
      <c r="N82" s="922"/>
      <c r="O82" s="922"/>
      <c r="P82" s="679"/>
      <c r="Q82" s="706"/>
      <c r="R82" s="179"/>
      <c r="S82" s="706"/>
      <c r="T82" s="708"/>
      <c r="U82" s="706"/>
      <c r="V82" s="706"/>
      <c r="W82" s="706"/>
      <c r="X82" s="706"/>
      <c r="Y82" s="706"/>
      <c r="Z82" s="706"/>
      <c r="AA82" s="706"/>
    </row>
    <row r="83" spans="2:27" ht="51">
      <c r="B83" s="2479" t="s">
        <v>350</v>
      </c>
      <c r="C83" s="2469"/>
      <c r="D83" s="2470">
        <f t="shared" si="38"/>
        <v>0</v>
      </c>
      <c r="E83" s="2471">
        <v>0</v>
      </c>
      <c r="F83" s="2472">
        <v>0</v>
      </c>
      <c r="G83" s="2471">
        <v>0</v>
      </c>
      <c r="H83" s="2472"/>
      <c r="I83" s="2249">
        <f t="shared" si="39"/>
        <v>0</v>
      </c>
      <c r="J83" s="2472"/>
      <c r="K83" s="2471"/>
      <c r="L83" s="2472"/>
      <c r="M83" s="2249">
        <f t="shared" si="41"/>
        <v>0</v>
      </c>
      <c r="N83" s="922"/>
      <c r="O83" s="922"/>
      <c r="P83" s="679"/>
      <c r="Q83" s="706"/>
      <c r="R83" s="389"/>
      <c r="S83" s="706"/>
      <c r="T83" s="708"/>
      <c r="U83" s="706"/>
      <c r="V83" s="706"/>
      <c r="W83" s="706"/>
      <c r="X83" s="706"/>
      <c r="Y83" s="706"/>
      <c r="Z83" s="706"/>
      <c r="AA83" s="706"/>
    </row>
    <row r="84" spans="2:27">
      <c r="B84" s="2478" t="s">
        <v>351</v>
      </c>
      <c r="C84" s="2476"/>
      <c r="D84" s="2470">
        <f t="shared" si="38"/>
        <v>10045493.562370002</v>
      </c>
      <c r="E84" s="2471">
        <f>SUM(E78:E83)</f>
        <v>0</v>
      </c>
      <c r="F84" s="2472">
        <f>SUM(F78:F83)</f>
        <v>1844854.9785100019</v>
      </c>
      <c r="G84" s="2471">
        <f>SUM(G78:G83)</f>
        <v>7934433.1988599999</v>
      </c>
      <c r="H84" s="2472">
        <f>SUM(H78:H83)</f>
        <v>266205.38500000001</v>
      </c>
      <c r="I84" s="2249">
        <f t="shared" si="39"/>
        <v>10045493.562370002</v>
      </c>
      <c r="J84" s="2472">
        <f>SUM(J78:J83)</f>
        <v>0</v>
      </c>
      <c r="K84" s="2471">
        <f>SUM(K78:K83)</f>
        <v>0</v>
      </c>
      <c r="L84" s="2472">
        <f>SUM(L78:L83)</f>
        <v>0</v>
      </c>
      <c r="M84" s="2249">
        <f t="shared" si="41"/>
        <v>0</v>
      </c>
      <c r="N84" s="927"/>
      <c r="O84" s="922"/>
      <c r="P84" s="679"/>
      <c r="Q84" s="706"/>
      <c r="R84" s="935"/>
      <c r="S84" s="706"/>
      <c r="T84" s="708"/>
      <c r="U84" s="706"/>
      <c r="V84" s="706"/>
      <c r="W84" s="706"/>
      <c r="X84" s="706"/>
      <c r="Y84" s="706"/>
      <c r="Z84" s="706"/>
      <c r="AA84" s="706"/>
    </row>
    <row r="85" spans="2:27">
      <c r="B85" s="2468"/>
      <c r="C85" s="2469"/>
      <c r="D85" s="2470">
        <f t="shared" si="38"/>
        <v>0</v>
      </c>
      <c r="E85" s="2471"/>
      <c r="F85" s="2472"/>
      <c r="G85" s="2471"/>
      <c r="H85" s="2472"/>
      <c r="I85" s="2249">
        <f t="shared" si="39"/>
        <v>0</v>
      </c>
      <c r="J85" s="2472"/>
      <c r="K85" s="2471"/>
      <c r="L85" s="2472"/>
      <c r="M85" s="2249">
        <f t="shared" si="41"/>
        <v>0</v>
      </c>
      <c r="O85" s="922"/>
      <c r="P85" s="679"/>
      <c r="Q85" s="706"/>
      <c r="R85" s="389"/>
      <c r="S85" s="706"/>
      <c r="T85" s="708"/>
      <c r="U85" s="706"/>
      <c r="V85" s="706"/>
      <c r="W85" s="706"/>
      <c r="X85" s="706"/>
      <c r="Y85" s="706"/>
      <c r="Z85" s="706"/>
      <c r="AA85" s="706"/>
    </row>
    <row r="86" spans="2:27" ht="51">
      <c r="B86" s="2479" t="s">
        <v>352</v>
      </c>
      <c r="C86" s="2469"/>
      <c r="D86" s="2470">
        <f t="shared" si="38"/>
        <v>4050033.4570799996</v>
      </c>
      <c r="E86" s="2471"/>
      <c r="F86" s="2472">
        <v>1219796.3140299995</v>
      </c>
      <c r="G86" s="2471">
        <v>2636275.1430500001</v>
      </c>
      <c r="H86" s="2472">
        <v>193962</v>
      </c>
      <c r="I86" s="2249">
        <f t="shared" si="39"/>
        <v>4050033.4570799996</v>
      </c>
      <c r="J86" s="2472"/>
      <c r="K86" s="2471"/>
      <c r="L86" s="2472"/>
      <c r="M86" s="2249">
        <f t="shared" si="41"/>
        <v>0</v>
      </c>
      <c r="N86" s="922"/>
      <c r="O86" s="922"/>
      <c r="P86" s="679"/>
      <c r="Q86" s="706"/>
      <c r="R86" s="179"/>
      <c r="S86" s="706"/>
      <c r="T86" s="708"/>
      <c r="U86" s="706"/>
      <c r="V86" s="706"/>
      <c r="W86" s="706"/>
      <c r="X86" s="706"/>
      <c r="Y86" s="706"/>
      <c r="Z86" s="706"/>
      <c r="AA86" s="706"/>
    </row>
    <row r="87" spans="2:27">
      <c r="B87" s="2468"/>
      <c r="C87" s="2469"/>
      <c r="D87" s="2470">
        <f t="shared" si="38"/>
        <v>0</v>
      </c>
      <c r="E87" s="2471"/>
      <c r="F87" s="2472"/>
      <c r="G87" s="2471"/>
      <c r="H87" s="2472"/>
      <c r="I87" s="2249">
        <f t="shared" si="39"/>
        <v>0</v>
      </c>
      <c r="J87" s="2472"/>
      <c r="K87" s="2471"/>
      <c r="L87" s="2472"/>
      <c r="M87" s="2249">
        <f t="shared" si="41"/>
        <v>0</v>
      </c>
      <c r="N87" s="922"/>
      <c r="O87" s="922"/>
      <c r="P87" s="679"/>
      <c r="Q87" s="706"/>
      <c r="R87" s="389"/>
      <c r="S87" s="706"/>
      <c r="T87" s="708"/>
      <c r="U87" s="706"/>
      <c r="V87" s="706"/>
      <c r="W87" s="706"/>
      <c r="X87" s="706"/>
      <c r="Y87" s="706"/>
      <c r="Z87" s="706"/>
      <c r="AA87" s="706"/>
    </row>
    <row r="88" spans="2:27" ht="12.75" customHeight="1">
      <c r="B88" s="2479" t="s">
        <v>353</v>
      </c>
      <c r="C88" s="2469">
        <v>4</v>
      </c>
      <c r="D88" s="2470">
        <f t="shared" si="38"/>
        <v>3726365.6640999997</v>
      </c>
      <c r="E88" s="2471">
        <v>11747.687029999999</v>
      </c>
      <c r="F88" s="2472">
        <v>1905249.3721399996</v>
      </c>
      <c r="G88" s="2471">
        <v>1100155.6049299999</v>
      </c>
      <c r="H88" s="2472">
        <v>709213</v>
      </c>
      <c r="I88" s="2249">
        <f t="shared" si="39"/>
        <v>3714617.9770699996</v>
      </c>
      <c r="J88" s="2472"/>
      <c r="K88" s="2471"/>
      <c r="L88" s="2472"/>
      <c r="M88" s="2249">
        <f t="shared" si="41"/>
        <v>0</v>
      </c>
      <c r="N88" s="922"/>
      <c r="O88" s="922"/>
      <c r="P88" s="679"/>
      <c r="Q88" s="706"/>
      <c r="R88" s="179"/>
      <c r="S88" s="706"/>
      <c r="T88" s="708"/>
      <c r="U88" s="706"/>
      <c r="V88" s="706"/>
      <c r="W88" s="706"/>
      <c r="X88" s="706"/>
      <c r="Y88" s="706"/>
      <c r="Z88" s="706"/>
      <c r="AA88" s="706"/>
    </row>
    <row r="89" spans="2:27">
      <c r="B89" s="2468" t="s">
        <v>354</v>
      </c>
      <c r="C89" s="2469"/>
      <c r="D89" s="2470">
        <f t="shared" si="38"/>
        <v>0</v>
      </c>
      <c r="E89" s="2471"/>
      <c r="F89" s="2472"/>
      <c r="G89" s="2471"/>
      <c r="H89" s="2472"/>
      <c r="I89" s="2249">
        <f t="shared" si="39"/>
        <v>0</v>
      </c>
      <c r="J89" s="2472"/>
      <c r="K89" s="2471"/>
      <c r="L89" s="2472"/>
      <c r="M89" s="2249">
        <f t="shared" si="41"/>
        <v>0</v>
      </c>
      <c r="N89" s="922"/>
      <c r="O89" s="922"/>
      <c r="P89" s="679"/>
      <c r="Q89" s="706"/>
      <c r="R89" s="389"/>
      <c r="S89" s="706"/>
      <c r="T89" s="708"/>
      <c r="U89" s="706"/>
      <c r="V89" s="706"/>
      <c r="W89" s="706"/>
      <c r="X89" s="706"/>
      <c r="Y89" s="706"/>
      <c r="Z89" s="706"/>
      <c r="AA89" s="706"/>
    </row>
    <row r="90" spans="2:27">
      <c r="B90" s="2468" t="s">
        <v>355</v>
      </c>
      <c r="C90" s="2469"/>
      <c r="D90" s="2470">
        <f t="shared" si="38"/>
        <v>183568.73181000003</v>
      </c>
      <c r="E90" s="2471">
        <v>221453.56122</v>
      </c>
      <c r="F90" s="2472">
        <v>96693.493359999993</v>
      </c>
      <c r="G90" s="2471">
        <v>-134578.32276999997</v>
      </c>
      <c r="H90" s="2472"/>
      <c r="I90" s="2249">
        <f t="shared" si="39"/>
        <v>-37884.829409999977</v>
      </c>
      <c r="J90" s="2472"/>
      <c r="K90" s="2471"/>
      <c r="L90" s="2472"/>
      <c r="M90" s="2249">
        <f t="shared" si="41"/>
        <v>0</v>
      </c>
      <c r="N90" s="922"/>
      <c r="O90" s="922"/>
      <c r="P90" s="679"/>
      <c r="Q90" s="706"/>
      <c r="R90" s="179"/>
      <c r="S90" s="706"/>
      <c r="T90" s="708"/>
      <c r="U90" s="706"/>
      <c r="V90" s="706"/>
      <c r="W90" s="706"/>
      <c r="X90" s="706"/>
      <c r="Y90" s="706"/>
      <c r="Z90" s="706"/>
      <c r="AA90" s="706"/>
    </row>
    <row r="91" spans="2:27">
      <c r="B91" s="2478" t="s">
        <v>356</v>
      </c>
      <c r="C91" s="2476"/>
      <c r="D91" s="2470">
        <f t="shared" si="38"/>
        <v>3909934.3959099995</v>
      </c>
      <c r="E91" s="2471">
        <f>SUM(E88:E90)</f>
        <v>233201.24825</v>
      </c>
      <c r="F91" s="2472">
        <f>SUM(F88:F90)</f>
        <v>2001942.8654999996</v>
      </c>
      <c r="G91" s="2471">
        <f>SUM(G88:G90)</f>
        <v>965577.28215999994</v>
      </c>
      <c r="H91" s="2472">
        <f>SUM(H88:H90)</f>
        <v>709213</v>
      </c>
      <c r="I91" s="2249">
        <f t="shared" si="39"/>
        <v>3676733.1476599993</v>
      </c>
      <c r="J91" s="2472">
        <f>SUM(J88:J90)</f>
        <v>0</v>
      </c>
      <c r="K91" s="2471">
        <f>SUM(K88:K90)</f>
        <v>0</v>
      </c>
      <c r="L91" s="2472">
        <f>SUM(L88:L90)</f>
        <v>0</v>
      </c>
      <c r="M91" s="2249">
        <f t="shared" si="41"/>
        <v>0</v>
      </c>
      <c r="N91" s="927"/>
      <c r="O91" s="922"/>
      <c r="P91" s="679"/>
      <c r="Q91" s="706"/>
      <c r="R91" s="935"/>
      <c r="S91" s="706"/>
      <c r="T91" s="708"/>
      <c r="U91" s="706"/>
      <c r="V91" s="706"/>
      <c r="W91" s="706"/>
      <c r="X91" s="706"/>
      <c r="Y91" s="706"/>
      <c r="Z91" s="706"/>
      <c r="AA91" s="706"/>
    </row>
    <row r="92" spans="2:27">
      <c r="B92" s="2478"/>
      <c r="C92" s="2476"/>
      <c r="D92" s="2470">
        <f t="shared" si="38"/>
        <v>0</v>
      </c>
      <c r="E92" s="2471"/>
      <c r="F92" s="2472"/>
      <c r="G92" s="2471"/>
      <c r="H92" s="2472"/>
      <c r="I92" s="2249">
        <f t="shared" si="39"/>
        <v>0</v>
      </c>
      <c r="J92" s="2472"/>
      <c r="K92" s="2471"/>
      <c r="L92" s="2472"/>
      <c r="M92" s="2249">
        <f t="shared" si="41"/>
        <v>0</v>
      </c>
      <c r="O92" s="922"/>
      <c r="P92" s="679"/>
      <c r="Q92" s="706"/>
      <c r="R92" s="389"/>
      <c r="S92" s="706"/>
      <c r="T92" s="708"/>
      <c r="U92" s="706"/>
      <c r="V92" s="706"/>
      <c r="W92" s="706"/>
      <c r="X92" s="706"/>
      <c r="Y92" s="706"/>
      <c r="Z92" s="706"/>
      <c r="AA92" s="706"/>
    </row>
    <row r="93" spans="2:27">
      <c r="B93" s="2478" t="s">
        <v>357</v>
      </c>
      <c r="C93" s="2476"/>
      <c r="D93" s="2470">
        <f t="shared" si="38"/>
        <v>2965674.4764299998</v>
      </c>
      <c r="E93" s="2471">
        <f>E76-E84-E86-E91</f>
        <v>670674.47643000004</v>
      </c>
      <c r="F93" s="2472">
        <f>F76-F84-F86-F91</f>
        <v>0</v>
      </c>
      <c r="G93" s="2471">
        <f>G76-G84-G86-G91</f>
        <v>2295000.3849999998</v>
      </c>
      <c r="H93" s="2472">
        <f>H76-H84-H86-H91</f>
        <v>-0.38500000000931323</v>
      </c>
      <c r="I93" s="2249">
        <f t="shared" si="39"/>
        <v>2295000</v>
      </c>
      <c r="J93" s="2472">
        <f>J76-J84-J86-J91</f>
        <v>0</v>
      </c>
      <c r="K93" s="2471">
        <f>K76-K84-K86-K91</f>
        <v>0</v>
      </c>
      <c r="L93" s="2472">
        <f>L76-L84-L86-L91</f>
        <v>0</v>
      </c>
      <c r="M93" s="2249">
        <f t="shared" si="41"/>
        <v>0</v>
      </c>
      <c r="N93" s="927"/>
      <c r="O93" s="922"/>
      <c r="P93" s="679"/>
      <c r="Q93" s="706"/>
      <c r="R93" s="935"/>
      <c r="S93" s="706"/>
      <c r="T93" s="708"/>
      <c r="U93" s="706"/>
      <c r="V93" s="706"/>
      <c r="W93" s="706"/>
      <c r="X93" s="706"/>
      <c r="Y93" s="706"/>
      <c r="Z93" s="706"/>
      <c r="AA93" s="706"/>
    </row>
    <row r="94" spans="2:27">
      <c r="B94" s="2468" t="s">
        <v>358</v>
      </c>
      <c r="C94" s="2469"/>
      <c r="D94" s="2470">
        <f t="shared" si="38"/>
        <v>860806</v>
      </c>
      <c r="E94" s="2471">
        <v>860806</v>
      </c>
      <c r="F94" s="2472"/>
      <c r="G94" s="2471"/>
      <c r="H94" s="2472"/>
      <c r="I94" s="2249">
        <f t="shared" si="39"/>
        <v>0</v>
      </c>
      <c r="J94" s="2472"/>
      <c r="K94" s="2471"/>
      <c r="L94" s="2472"/>
      <c r="M94" s="2249">
        <f t="shared" si="41"/>
        <v>0</v>
      </c>
      <c r="N94" s="922"/>
      <c r="O94" s="922"/>
      <c r="P94" s="679"/>
      <c r="Q94" s="706"/>
      <c r="R94" s="179"/>
      <c r="S94" s="706"/>
      <c r="T94" s="708"/>
      <c r="U94" s="706"/>
      <c r="V94" s="706"/>
      <c r="W94" s="706"/>
      <c r="X94" s="706"/>
      <c r="Y94" s="706"/>
      <c r="Z94" s="706"/>
      <c r="AA94" s="706"/>
    </row>
    <row r="95" spans="2:27">
      <c r="B95" s="2480"/>
      <c r="C95" s="2469"/>
      <c r="D95" s="2470">
        <f t="shared" si="38"/>
        <v>0</v>
      </c>
      <c r="E95" s="2471"/>
      <c r="F95" s="2472"/>
      <c r="G95" s="2471"/>
      <c r="H95" s="2472"/>
      <c r="I95" s="2249">
        <f t="shared" si="39"/>
        <v>0</v>
      </c>
      <c r="J95" s="2472"/>
      <c r="K95" s="2471"/>
      <c r="L95" s="2472"/>
      <c r="M95" s="2249">
        <f t="shared" si="41"/>
        <v>0</v>
      </c>
      <c r="O95" s="922"/>
      <c r="P95" s="679"/>
      <c r="Q95" s="706"/>
      <c r="R95" s="389"/>
      <c r="S95" s="706"/>
      <c r="T95" s="708"/>
      <c r="U95" s="706"/>
      <c r="V95" s="706"/>
      <c r="W95" s="706"/>
      <c r="X95" s="706"/>
      <c r="Y95" s="706"/>
      <c r="Z95" s="706"/>
      <c r="AA95" s="706"/>
    </row>
    <row r="96" spans="2:27" ht="13.5" thickBot="1">
      <c r="B96" s="1611" t="s">
        <v>359</v>
      </c>
      <c r="C96" s="1612"/>
      <c r="D96" s="1613">
        <f t="shared" si="38"/>
        <v>2104868.4764299998</v>
      </c>
      <c r="E96" s="1614">
        <f>E93-E94</f>
        <v>-190131.52356999996</v>
      </c>
      <c r="F96" s="1615">
        <f>F93-F94</f>
        <v>0</v>
      </c>
      <c r="G96" s="1614">
        <f>G93-G94</f>
        <v>2295000.3849999998</v>
      </c>
      <c r="H96" s="1615">
        <f>H93-H94</f>
        <v>-0.38500000000931323</v>
      </c>
      <c r="I96" s="1614">
        <f t="shared" si="39"/>
        <v>2295000</v>
      </c>
      <c r="J96" s="1615">
        <f>J93-J94</f>
        <v>0</v>
      </c>
      <c r="K96" s="1614">
        <f>K93-K94</f>
        <v>0</v>
      </c>
      <c r="L96" s="1615">
        <f>L93-L94</f>
        <v>0</v>
      </c>
      <c r="M96" s="1614">
        <f t="shared" si="41"/>
        <v>0</v>
      </c>
      <c r="N96" s="927"/>
      <c r="O96" s="922"/>
      <c r="P96" s="679"/>
      <c r="Q96" s="706"/>
      <c r="R96" s="935"/>
      <c r="S96" s="706"/>
      <c r="T96" s="708"/>
      <c r="U96" s="706"/>
      <c r="V96" s="706"/>
      <c r="W96" s="706"/>
      <c r="X96" s="706"/>
      <c r="Y96" s="706"/>
      <c r="Z96" s="706"/>
      <c r="AA96" s="706"/>
    </row>
    <row r="97" spans="1:27">
      <c r="D97" s="684"/>
      <c r="E97" s="684"/>
      <c r="F97" s="684"/>
      <c r="G97" s="684"/>
      <c r="H97" s="684"/>
      <c r="I97" s="684"/>
      <c r="J97" s="684"/>
      <c r="K97" s="684"/>
      <c r="L97" s="684"/>
      <c r="M97" s="684"/>
      <c r="S97" s="706"/>
      <c r="T97" s="708"/>
    </row>
    <row r="98" spans="1:27">
      <c r="M98" s="673">
        <v>48</v>
      </c>
      <c r="T98" s="708"/>
    </row>
    <row r="99" spans="1:27">
      <c r="T99" s="708"/>
    </row>
    <row r="100" spans="1:27" ht="13.5" thickBot="1">
      <c r="T100" s="708"/>
    </row>
    <row r="101" spans="1:27" ht="12.75" customHeight="1" thickBot="1">
      <c r="A101" s="1607" t="s">
        <v>176</v>
      </c>
      <c r="B101" s="1608" t="s">
        <v>314</v>
      </c>
      <c r="C101" s="912"/>
      <c r="F101" s="972"/>
      <c r="G101" s="972"/>
      <c r="H101" s="972"/>
      <c r="I101" s="972"/>
      <c r="J101" s="972"/>
      <c r="K101" s="972"/>
      <c r="L101" s="3538" t="s">
        <v>251</v>
      </c>
      <c r="M101" s="3538"/>
      <c r="T101" s="708"/>
    </row>
    <row r="102" spans="1:27" ht="12.75" customHeight="1" thickBot="1">
      <c r="B102" s="3578" t="s">
        <v>314</v>
      </c>
      <c r="C102" s="3523" t="s">
        <v>325</v>
      </c>
      <c r="D102" s="3518" t="s">
        <v>255</v>
      </c>
      <c r="E102" s="3518" t="s">
        <v>326</v>
      </c>
      <c r="F102" s="3529" t="s">
        <v>258</v>
      </c>
      <c r="G102" s="3530"/>
      <c r="H102" s="3530"/>
      <c r="I102" s="3530"/>
      <c r="J102" s="3530"/>
      <c r="K102" s="3530"/>
      <c r="L102" s="3530"/>
      <c r="M102" s="3531"/>
      <c r="T102" s="708"/>
    </row>
    <row r="103" spans="1:27" ht="17.25" customHeight="1" thickBot="1">
      <c r="B103" s="3571"/>
      <c r="C103" s="3524"/>
      <c r="D103" s="3520"/>
      <c r="E103" s="3520"/>
      <c r="F103" s="3575" t="s">
        <v>259</v>
      </c>
      <c r="G103" s="3576"/>
      <c r="H103" s="3576"/>
      <c r="I103" s="3577"/>
      <c r="J103" s="3574" t="s">
        <v>327</v>
      </c>
      <c r="K103" s="3574"/>
      <c r="L103" s="3574"/>
      <c r="M103" s="3574"/>
      <c r="T103" s="708"/>
    </row>
    <row r="104" spans="1:27" ht="46.5" customHeight="1">
      <c r="B104" s="3571"/>
      <c r="C104" s="3524"/>
      <c r="D104" s="3519"/>
      <c r="E104" s="3519"/>
      <c r="F104" s="1339" t="s">
        <v>261</v>
      </c>
      <c r="G104" s="1339" t="s">
        <v>262</v>
      </c>
      <c r="H104" s="1339" t="s">
        <v>263</v>
      </c>
      <c r="I104" s="1339" t="s">
        <v>158</v>
      </c>
      <c r="J104" s="1588" t="s">
        <v>328</v>
      </c>
      <c r="K104" s="1588" t="s">
        <v>265</v>
      </c>
      <c r="L104" s="1588" t="s">
        <v>329</v>
      </c>
      <c r="M104" s="1588" t="s">
        <v>158</v>
      </c>
      <c r="T104" s="708"/>
    </row>
    <row r="105" spans="1:27" ht="17.25" customHeight="1">
      <c r="B105" s="3571"/>
      <c r="C105" s="3524"/>
      <c r="D105" s="1589">
        <v>1</v>
      </c>
      <c r="E105" s="3518">
        <v>2</v>
      </c>
      <c r="F105" s="3518">
        <v>3</v>
      </c>
      <c r="G105" s="3518">
        <v>4</v>
      </c>
      <c r="H105" s="1339"/>
      <c r="I105" s="1589">
        <v>6</v>
      </c>
      <c r="J105" s="3518">
        <v>7</v>
      </c>
      <c r="K105" s="3518">
        <v>8</v>
      </c>
      <c r="L105" s="3518">
        <v>9</v>
      </c>
      <c r="M105" s="1589">
        <v>10</v>
      </c>
      <c r="T105" s="708"/>
    </row>
    <row r="106" spans="1:27" ht="13.5" thickBot="1">
      <c r="B106" s="3572"/>
      <c r="C106" s="3525"/>
      <c r="D106" s="1590" t="s">
        <v>330</v>
      </c>
      <c r="E106" s="3519"/>
      <c r="F106" s="3519"/>
      <c r="G106" s="3519"/>
      <c r="H106" s="1590">
        <v>5</v>
      </c>
      <c r="I106" s="1590" t="s">
        <v>331</v>
      </c>
      <c r="J106" s="3519"/>
      <c r="K106" s="3519"/>
      <c r="L106" s="3519"/>
      <c r="M106" s="1590" t="s">
        <v>332</v>
      </c>
      <c r="N106" s="703"/>
      <c r="O106" s="703"/>
      <c r="T106" s="708"/>
    </row>
    <row r="107" spans="1:27">
      <c r="B107" s="1591" t="s">
        <v>333</v>
      </c>
      <c r="C107" s="962"/>
      <c r="D107" s="1592">
        <f t="shared" ref="D107:D144" si="42">E107+I107+M107</f>
        <v>2311632.9299545996</v>
      </c>
      <c r="E107" s="979"/>
      <c r="F107" s="485"/>
      <c r="G107" s="979">
        <v>1616987.2345032424</v>
      </c>
      <c r="H107" s="485">
        <v>694645.69545135717</v>
      </c>
      <c r="I107" s="1595">
        <f t="shared" ref="I107:I144" si="43">F107+G107+H107</f>
        <v>2311632.9299545996</v>
      </c>
      <c r="J107" s="963"/>
      <c r="K107" s="964"/>
      <c r="L107" s="963"/>
      <c r="M107" s="1598">
        <f t="shared" ref="M107:M124" si="44">L107+K107+J107</f>
        <v>0</v>
      </c>
      <c r="N107" s="922"/>
      <c r="O107" s="922"/>
      <c r="P107" s="109"/>
      <c r="Q107" s="706"/>
      <c r="R107" s="109"/>
      <c r="S107" s="109"/>
      <c r="T107" s="109"/>
      <c r="U107" s="109"/>
      <c r="V107" s="109"/>
      <c r="W107" s="109"/>
      <c r="X107" s="706"/>
      <c r="Y107" s="706"/>
      <c r="Z107" s="706"/>
      <c r="AA107" s="706"/>
    </row>
    <row r="108" spans="1:27">
      <c r="B108" s="2460"/>
      <c r="C108" s="2461"/>
      <c r="D108" s="2481">
        <f t="shared" si="42"/>
        <v>0</v>
      </c>
      <c r="E108" s="1981"/>
      <c r="F108" s="2191"/>
      <c r="G108" s="1981"/>
      <c r="H108" s="2191"/>
      <c r="I108" s="2482">
        <f t="shared" si="43"/>
        <v>0</v>
      </c>
      <c r="J108" s="2471"/>
      <c r="K108" s="2483"/>
      <c r="L108" s="2471"/>
      <c r="M108" s="2484">
        <f t="shared" si="44"/>
        <v>0</v>
      </c>
      <c r="P108" s="109"/>
      <c r="Q108" s="706"/>
      <c r="R108" s="109"/>
      <c r="S108" s="109"/>
      <c r="T108" s="109"/>
      <c r="U108" s="109"/>
      <c r="V108" s="109"/>
      <c r="W108" s="109"/>
      <c r="X108" s="706"/>
      <c r="Y108" s="706"/>
      <c r="Z108" s="706"/>
      <c r="AA108" s="706"/>
    </row>
    <row r="109" spans="1:27">
      <c r="B109" s="2462" t="s">
        <v>334</v>
      </c>
      <c r="C109" s="2461"/>
      <c r="D109" s="2481">
        <f t="shared" si="42"/>
        <v>103292.31508999999</v>
      </c>
      <c r="E109" s="1981"/>
      <c r="F109" s="2191"/>
      <c r="G109" s="1981">
        <v>102259.39193909999</v>
      </c>
      <c r="H109" s="2191">
        <v>1032.9231509000001</v>
      </c>
      <c r="I109" s="2482">
        <f t="shared" si="43"/>
        <v>103292.31508999999</v>
      </c>
      <c r="J109" s="2471"/>
      <c r="K109" s="2483"/>
      <c r="L109" s="2471"/>
      <c r="M109" s="2484">
        <f t="shared" si="44"/>
        <v>0</v>
      </c>
      <c r="N109" s="922"/>
      <c r="O109" s="922"/>
      <c r="P109" s="109"/>
      <c r="Q109" s="706"/>
      <c r="R109" s="109"/>
      <c r="S109" s="109"/>
      <c r="T109" s="109"/>
      <c r="U109" s="109"/>
      <c r="V109" s="109"/>
      <c r="W109" s="109"/>
      <c r="X109" s="706"/>
      <c r="Y109" s="706"/>
      <c r="Z109" s="706"/>
      <c r="AA109" s="706"/>
    </row>
    <row r="110" spans="1:27">
      <c r="B110" s="2462"/>
      <c r="C110" s="2461"/>
      <c r="D110" s="2481">
        <f t="shared" si="42"/>
        <v>0</v>
      </c>
      <c r="E110" s="1981"/>
      <c r="F110" s="2191"/>
      <c r="G110" s="1981"/>
      <c r="H110" s="2191"/>
      <c r="I110" s="2482">
        <f t="shared" si="43"/>
        <v>0</v>
      </c>
      <c r="J110" s="2471"/>
      <c r="K110" s="2483"/>
      <c r="L110" s="2471"/>
      <c r="M110" s="2484">
        <f t="shared" si="44"/>
        <v>0</v>
      </c>
      <c r="P110" s="109"/>
      <c r="Q110" s="706"/>
      <c r="R110" s="109"/>
      <c r="S110" s="109"/>
      <c r="T110" s="109"/>
      <c r="U110" s="109"/>
      <c r="V110" s="109"/>
      <c r="W110" s="109"/>
      <c r="X110" s="706"/>
      <c r="Y110" s="706"/>
      <c r="Z110" s="706"/>
      <c r="AA110" s="706"/>
    </row>
    <row r="111" spans="1:27" ht="12.75" customHeight="1">
      <c r="B111" s="2463" t="s">
        <v>335</v>
      </c>
      <c r="C111" s="2461"/>
      <c r="D111" s="2481">
        <f t="shared" si="42"/>
        <v>0</v>
      </c>
      <c r="E111" s="1981"/>
      <c r="F111" s="2191"/>
      <c r="G111" s="1981"/>
      <c r="H111" s="2191"/>
      <c r="I111" s="2482">
        <f t="shared" si="43"/>
        <v>0</v>
      </c>
      <c r="J111" s="2471"/>
      <c r="K111" s="2483"/>
      <c r="L111" s="2471"/>
      <c r="M111" s="2484">
        <f t="shared" si="44"/>
        <v>0</v>
      </c>
      <c r="N111" s="922"/>
      <c r="O111" s="922"/>
      <c r="P111" s="109"/>
      <c r="Q111" s="706"/>
      <c r="R111" s="109"/>
      <c r="S111" s="109"/>
      <c r="T111" s="109"/>
      <c r="U111" s="109"/>
      <c r="V111" s="109"/>
      <c r="W111" s="109"/>
      <c r="X111" s="706"/>
      <c r="Y111" s="706"/>
      <c r="Z111" s="706"/>
      <c r="AA111" s="706"/>
    </row>
    <row r="112" spans="1:27">
      <c r="B112" s="2460"/>
      <c r="C112" s="2461"/>
      <c r="D112" s="2481">
        <f t="shared" si="42"/>
        <v>0</v>
      </c>
      <c r="E112" s="2483"/>
      <c r="F112" s="2471"/>
      <c r="G112" s="2483"/>
      <c r="H112" s="2471"/>
      <c r="I112" s="2482">
        <f t="shared" si="43"/>
        <v>0</v>
      </c>
      <c r="J112" s="2471"/>
      <c r="K112" s="2483"/>
      <c r="L112" s="2471"/>
      <c r="M112" s="2484">
        <f t="shared" si="44"/>
        <v>0</v>
      </c>
      <c r="P112" s="109"/>
      <c r="Q112" s="706"/>
      <c r="R112" s="109"/>
      <c r="S112" s="109"/>
      <c r="T112" s="109"/>
      <c r="U112" s="109"/>
      <c r="V112" s="109"/>
      <c r="W112" s="109"/>
      <c r="X112" s="706"/>
      <c r="Y112" s="706"/>
      <c r="Z112" s="706"/>
      <c r="AA112" s="706"/>
    </row>
    <row r="113" spans="2:27">
      <c r="B113" s="2464" t="s">
        <v>336</v>
      </c>
      <c r="C113" s="2465"/>
      <c r="D113" s="2481">
        <f t="shared" si="42"/>
        <v>2208340.6148645994</v>
      </c>
      <c r="E113" s="2483">
        <f>E107-E109+E111</f>
        <v>0</v>
      </c>
      <c r="F113" s="2471">
        <f>F107-F109+F111</f>
        <v>0</v>
      </c>
      <c r="G113" s="2483">
        <f>G107-G109+G111</f>
        <v>1514727.8425641423</v>
      </c>
      <c r="H113" s="2471">
        <f>H107-H109+H111</f>
        <v>693612.77230045712</v>
      </c>
      <c r="I113" s="2482">
        <f t="shared" si="43"/>
        <v>2208340.6148645994</v>
      </c>
      <c r="J113" s="2471">
        <f>J107-J109+J111</f>
        <v>0</v>
      </c>
      <c r="K113" s="2483">
        <f>K107-K109+K111</f>
        <v>0</v>
      </c>
      <c r="L113" s="2471">
        <f>L107-L109+L111</f>
        <v>0</v>
      </c>
      <c r="M113" s="2484">
        <f t="shared" si="44"/>
        <v>0</v>
      </c>
      <c r="N113" s="927"/>
      <c r="O113" s="922"/>
      <c r="P113" s="109"/>
      <c r="Q113" s="706"/>
      <c r="R113" s="109"/>
      <c r="S113" s="109"/>
      <c r="T113" s="109"/>
      <c r="U113" s="109"/>
      <c r="V113" s="109"/>
      <c r="W113" s="109"/>
      <c r="X113" s="706"/>
      <c r="Y113" s="706"/>
      <c r="Z113" s="706"/>
      <c r="AA113" s="706"/>
    </row>
    <row r="114" spans="2:27">
      <c r="B114" s="2464"/>
      <c r="C114" s="2465"/>
      <c r="D114" s="2481">
        <f t="shared" si="42"/>
        <v>0</v>
      </c>
      <c r="E114" s="2483"/>
      <c r="F114" s="2471"/>
      <c r="G114" s="2483"/>
      <c r="H114" s="2471"/>
      <c r="I114" s="2482">
        <f t="shared" si="43"/>
        <v>0</v>
      </c>
      <c r="J114" s="2471"/>
      <c r="K114" s="2483"/>
      <c r="L114" s="2471"/>
      <c r="M114" s="2484">
        <f t="shared" si="44"/>
        <v>0</v>
      </c>
      <c r="P114" s="109"/>
      <c r="Q114" s="706"/>
      <c r="R114" s="109"/>
      <c r="S114" s="109"/>
      <c r="T114" s="109"/>
      <c r="U114" s="109"/>
      <c r="V114" s="109"/>
      <c r="W114" s="109"/>
      <c r="X114" s="706"/>
      <c r="Y114" s="706"/>
      <c r="Z114" s="706"/>
      <c r="AA114" s="706"/>
    </row>
    <row r="115" spans="2:27">
      <c r="B115" s="2464" t="s">
        <v>337</v>
      </c>
      <c r="C115" s="2465"/>
      <c r="D115" s="2481">
        <f t="shared" si="42"/>
        <v>309772.45772999997</v>
      </c>
      <c r="E115" s="2483">
        <f>SUM(E116:E120)</f>
        <v>70422.196039999995</v>
      </c>
      <c r="F115" s="2471">
        <f>SUM(F116:F120)</f>
        <v>0</v>
      </c>
      <c r="G115" s="2483">
        <f>SUM(G116:G120)</f>
        <v>167425.508052155</v>
      </c>
      <c r="H115" s="2471">
        <f>SUM(H116:H120)</f>
        <v>71924.753637844988</v>
      </c>
      <c r="I115" s="2482">
        <f t="shared" si="43"/>
        <v>239350.26168999998</v>
      </c>
      <c r="J115" s="2471">
        <f>SUM(J116:J120)</f>
        <v>0</v>
      </c>
      <c r="K115" s="2483">
        <f>SUM(K116:K120)</f>
        <v>0</v>
      </c>
      <c r="L115" s="2471">
        <f>SUM(L116:L120)</f>
        <v>0</v>
      </c>
      <c r="M115" s="2484">
        <f t="shared" si="44"/>
        <v>0</v>
      </c>
      <c r="N115" s="927"/>
      <c r="O115" s="922"/>
      <c r="P115" s="109"/>
      <c r="Q115" s="706"/>
      <c r="R115" s="109"/>
      <c r="S115" s="109"/>
      <c r="T115" s="109"/>
      <c r="U115" s="109"/>
      <c r="V115" s="109"/>
      <c r="W115" s="109"/>
      <c r="X115" s="706"/>
      <c r="Y115" s="706"/>
      <c r="Z115" s="706"/>
      <c r="AA115" s="706"/>
    </row>
    <row r="116" spans="2:27">
      <c r="B116" s="2460" t="s">
        <v>338</v>
      </c>
      <c r="C116" s="2461">
        <v>1</v>
      </c>
      <c r="D116" s="2481">
        <f t="shared" si="42"/>
        <v>257076.31628999999</v>
      </c>
      <c r="E116" s="1981">
        <v>70422.196039999995</v>
      </c>
      <c r="F116" s="2191"/>
      <c r="G116" s="1981">
        <v>130564.557114875</v>
      </c>
      <c r="H116" s="2191">
        <v>56089.56313512499</v>
      </c>
      <c r="I116" s="2482">
        <f t="shared" si="43"/>
        <v>186654.12024999998</v>
      </c>
      <c r="J116" s="2471"/>
      <c r="K116" s="2483"/>
      <c r="L116" s="2471"/>
      <c r="M116" s="2484">
        <f t="shared" si="44"/>
        <v>0</v>
      </c>
      <c r="N116" s="922"/>
      <c r="O116" s="922"/>
      <c r="P116" s="109"/>
      <c r="Q116" s="706"/>
      <c r="R116" s="109"/>
      <c r="S116" s="109"/>
      <c r="T116" s="109"/>
      <c r="U116" s="109"/>
      <c r="V116" s="109"/>
      <c r="W116" s="109"/>
      <c r="X116" s="706"/>
      <c r="Y116" s="706"/>
      <c r="Z116" s="706"/>
      <c r="AA116" s="706"/>
    </row>
    <row r="117" spans="2:27">
      <c r="B117" s="2460" t="s">
        <v>339</v>
      </c>
      <c r="C117" s="2461">
        <v>2</v>
      </c>
      <c r="D117" s="2481">
        <f t="shared" si="42"/>
        <v>45547.057269999998</v>
      </c>
      <c r="E117" s="1981">
        <v>0</v>
      </c>
      <c r="F117" s="2191"/>
      <c r="G117" s="1981">
        <v>31860.166560364996</v>
      </c>
      <c r="H117" s="2191">
        <v>13686.890709634999</v>
      </c>
      <c r="I117" s="2482">
        <f t="shared" si="43"/>
        <v>45547.057269999998</v>
      </c>
      <c r="J117" s="2471"/>
      <c r="K117" s="2483"/>
      <c r="L117" s="2471"/>
      <c r="M117" s="2484">
        <f t="shared" si="44"/>
        <v>0</v>
      </c>
      <c r="N117" s="922"/>
      <c r="O117" s="922"/>
      <c r="P117" s="109"/>
      <c r="Q117" s="706"/>
      <c r="R117" s="109"/>
      <c r="S117" s="109"/>
      <c r="T117" s="109"/>
      <c r="U117" s="109"/>
      <c r="V117" s="109"/>
      <c r="W117" s="109"/>
      <c r="X117" s="706"/>
      <c r="Y117" s="706"/>
      <c r="Z117" s="706"/>
      <c r="AA117" s="706"/>
    </row>
    <row r="118" spans="2:27">
      <c r="B118" s="2460" t="s">
        <v>340</v>
      </c>
      <c r="C118" s="2461"/>
      <c r="D118" s="2481">
        <f t="shared" si="42"/>
        <v>0</v>
      </c>
      <c r="E118" s="1981"/>
      <c r="F118" s="2191"/>
      <c r="G118" s="1981"/>
      <c r="H118" s="2191"/>
      <c r="I118" s="2482">
        <f t="shared" si="43"/>
        <v>0</v>
      </c>
      <c r="J118" s="2471"/>
      <c r="K118" s="2483"/>
      <c r="L118" s="2471"/>
      <c r="M118" s="2484">
        <f t="shared" si="44"/>
        <v>0</v>
      </c>
      <c r="N118" s="922"/>
      <c r="O118" s="922"/>
      <c r="P118" s="109"/>
      <c r="Q118" s="706"/>
      <c r="R118" s="109"/>
      <c r="S118" s="109"/>
      <c r="T118" s="109"/>
      <c r="U118" s="109"/>
      <c r="V118" s="109"/>
      <c r="W118" s="109"/>
      <c r="X118" s="706"/>
      <c r="Y118" s="706"/>
      <c r="Z118" s="706"/>
      <c r="AA118" s="706"/>
    </row>
    <row r="119" spans="2:27">
      <c r="B119" s="2460" t="s">
        <v>341</v>
      </c>
      <c r="C119" s="2461"/>
      <c r="D119" s="2481">
        <f t="shared" si="42"/>
        <v>0</v>
      </c>
      <c r="E119" s="1981"/>
      <c r="F119" s="2191"/>
      <c r="G119" s="1981"/>
      <c r="H119" s="2191"/>
      <c r="I119" s="2482">
        <f t="shared" si="43"/>
        <v>0</v>
      </c>
      <c r="J119" s="2471"/>
      <c r="K119" s="2483"/>
      <c r="L119" s="2471"/>
      <c r="M119" s="2484">
        <f t="shared" si="44"/>
        <v>0</v>
      </c>
      <c r="N119" s="922"/>
      <c r="O119" s="922"/>
      <c r="P119" s="109"/>
      <c r="Q119" s="706"/>
      <c r="R119" s="109"/>
      <c r="S119" s="109"/>
      <c r="T119" s="109"/>
      <c r="U119" s="109"/>
      <c r="V119" s="109"/>
      <c r="W119" s="109"/>
      <c r="X119" s="706"/>
      <c r="Y119" s="706"/>
      <c r="Z119" s="706"/>
      <c r="AA119" s="706"/>
    </row>
    <row r="120" spans="2:27">
      <c r="B120" s="2460" t="s">
        <v>342</v>
      </c>
      <c r="C120" s="2461">
        <v>3</v>
      </c>
      <c r="D120" s="2481">
        <f t="shared" si="42"/>
        <v>7149.0841700000001</v>
      </c>
      <c r="E120" s="1981"/>
      <c r="F120" s="2191"/>
      <c r="G120" s="1981">
        <v>5000.7843769150004</v>
      </c>
      <c r="H120" s="2191">
        <v>2148.2997930850001</v>
      </c>
      <c r="I120" s="2482">
        <f t="shared" si="43"/>
        <v>7149.0841700000001</v>
      </c>
      <c r="J120" s="2471"/>
      <c r="K120" s="2483"/>
      <c r="L120" s="2471"/>
      <c r="M120" s="2484">
        <f t="shared" si="44"/>
        <v>0</v>
      </c>
      <c r="N120" s="922"/>
      <c r="O120" s="922"/>
      <c r="P120" s="109"/>
      <c r="Q120" s="706"/>
      <c r="R120" s="109"/>
      <c r="S120" s="109"/>
      <c r="T120" s="109"/>
      <c r="U120" s="109"/>
      <c r="V120" s="109"/>
      <c r="W120" s="109"/>
      <c r="X120" s="706"/>
      <c r="Y120" s="706"/>
      <c r="Z120" s="706"/>
      <c r="AA120" s="706"/>
    </row>
    <row r="121" spans="2:27">
      <c r="B121" s="2460" t="s">
        <v>343</v>
      </c>
      <c r="C121" s="2461"/>
      <c r="D121" s="2481">
        <f t="shared" si="42"/>
        <v>0</v>
      </c>
      <c r="E121" s="1981"/>
      <c r="F121" s="2191"/>
      <c r="G121" s="1981"/>
      <c r="H121" s="2191"/>
      <c r="I121" s="2482">
        <f t="shared" si="43"/>
        <v>0</v>
      </c>
      <c r="J121" s="2471"/>
      <c r="K121" s="2483"/>
      <c r="L121" s="2471"/>
      <c r="M121" s="2484">
        <f t="shared" si="44"/>
        <v>0</v>
      </c>
      <c r="P121" s="109"/>
      <c r="Q121" s="706"/>
      <c r="R121" s="109"/>
      <c r="S121" s="109"/>
      <c r="T121" s="109"/>
      <c r="U121" s="109"/>
      <c r="V121" s="109"/>
      <c r="W121" s="109"/>
      <c r="X121" s="706"/>
      <c r="Y121" s="706"/>
      <c r="Z121" s="706"/>
      <c r="AA121" s="706"/>
    </row>
    <row r="122" spans="2:27">
      <c r="B122" s="2460" t="s">
        <v>343</v>
      </c>
      <c r="C122" s="2461"/>
      <c r="D122" s="2481">
        <f t="shared" si="42"/>
        <v>0</v>
      </c>
      <c r="E122" s="1981"/>
      <c r="F122" s="2191"/>
      <c r="G122" s="1981"/>
      <c r="H122" s="2191"/>
      <c r="I122" s="2482">
        <f t="shared" si="43"/>
        <v>0</v>
      </c>
      <c r="J122" s="2471"/>
      <c r="K122" s="2483"/>
      <c r="L122" s="2471"/>
      <c r="M122" s="2484">
        <f t="shared" si="44"/>
        <v>0</v>
      </c>
      <c r="P122" s="109"/>
      <c r="Q122" s="706"/>
      <c r="R122" s="109"/>
      <c r="S122" s="109"/>
      <c r="T122" s="109"/>
      <c r="U122" s="109"/>
      <c r="V122" s="109"/>
      <c r="W122" s="109"/>
      <c r="X122" s="706"/>
      <c r="Y122" s="706"/>
      <c r="Z122" s="706"/>
      <c r="AA122" s="706"/>
    </row>
    <row r="123" spans="2:27">
      <c r="B123" s="2460"/>
      <c r="C123" s="2461"/>
      <c r="D123" s="2481">
        <f t="shared" si="42"/>
        <v>0</v>
      </c>
      <c r="E123" s="2483"/>
      <c r="F123" s="2471"/>
      <c r="G123" s="2483"/>
      <c r="H123" s="2471"/>
      <c r="I123" s="2482">
        <f t="shared" si="43"/>
        <v>0</v>
      </c>
      <c r="J123" s="2471"/>
      <c r="K123" s="2483"/>
      <c r="L123" s="2471"/>
      <c r="M123" s="2484">
        <f t="shared" si="44"/>
        <v>0</v>
      </c>
      <c r="P123" s="109"/>
      <c r="Q123" s="706"/>
      <c r="R123" s="109"/>
      <c r="S123" s="109"/>
      <c r="T123" s="109"/>
      <c r="U123" s="109"/>
      <c r="V123" s="109"/>
      <c r="W123" s="109"/>
      <c r="X123" s="706"/>
      <c r="Y123" s="706"/>
      <c r="Z123" s="706"/>
      <c r="AA123" s="706"/>
    </row>
    <row r="124" spans="2:27">
      <c r="B124" s="2466" t="s">
        <v>344</v>
      </c>
      <c r="C124" s="2465"/>
      <c r="D124" s="2481">
        <f t="shared" si="42"/>
        <v>2518113.0725945989</v>
      </c>
      <c r="E124" s="2483">
        <f>E113+E115</f>
        <v>70422.196039999995</v>
      </c>
      <c r="F124" s="2471">
        <f>F113+F115</f>
        <v>0</v>
      </c>
      <c r="G124" s="2483">
        <f>G113+G115</f>
        <v>1682153.3506162972</v>
      </c>
      <c r="H124" s="2471">
        <f>H113+H115</f>
        <v>765537.52593830205</v>
      </c>
      <c r="I124" s="2482">
        <f t="shared" si="43"/>
        <v>2447690.876554599</v>
      </c>
      <c r="J124" s="2471">
        <f>J113+J115</f>
        <v>0</v>
      </c>
      <c r="K124" s="2483">
        <f>K113+K115</f>
        <v>0</v>
      </c>
      <c r="L124" s="2471">
        <f>L113+L115</f>
        <v>0</v>
      </c>
      <c r="M124" s="2484">
        <f t="shared" si="44"/>
        <v>0</v>
      </c>
      <c r="N124" s="927"/>
      <c r="O124" s="922"/>
      <c r="P124" s="109"/>
      <c r="Q124" s="706"/>
      <c r="R124" s="109"/>
      <c r="S124" s="109"/>
      <c r="T124" s="109"/>
      <c r="U124" s="109"/>
      <c r="V124" s="109"/>
      <c r="W124" s="109"/>
      <c r="X124" s="706"/>
      <c r="Y124" s="706"/>
      <c r="Z124" s="706"/>
      <c r="AA124" s="706"/>
    </row>
    <row r="125" spans="2:27">
      <c r="B125" s="2466"/>
      <c r="C125" s="2465"/>
      <c r="D125" s="2481">
        <f t="shared" si="42"/>
        <v>0</v>
      </c>
      <c r="E125" s="2483"/>
      <c r="F125" s="2471"/>
      <c r="G125" s="2483"/>
      <c r="H125" s="2471"/>
      <c r="I125" s="2482">
        <f t="shared" si="43"/>
        <v>0</v>
      </c>
      <c r="J125" s="2471"/>
      <c r="K125" s="2483"/>
      <c r="L125" s="2471"/>
      <c r="M125" s="2484"/>
      <c r="P125" s="109"/>
      <c r="Q125" s="706"/>
      <c r="R125" s="109"/>
      <c r="S125" s="109"/>
      <c r="T125" s="109"/>
      <c r="U125" s="109"/>
      <c r="V125" s="109"/>
      <c r="W125" s="109"/>
      <c r="X125" s="706"/>
      <c r="Y125" s="706"/>
      <c r="Z125" s="706"/>
      <c r="AA125" s="706"/>
    </row>
    <row r="126" spans="2:27">
      <c r="B126" s="2460" t="s">
        <v>345</v>
      </c>
      <c r="C126" s="2461"/>
      <c r="D126" s="2481">
        <f t="shared" si="42"/>
        <v>627709.81119000004</v>
      </c>
      <c r="E126" s="1981"/>
      <c r="F126" s="2191"/>
      <c r="G126" s="1981">
        <v>148477.20302049999</v>
      </c>
      <c r="H126" s="2191">
        <v>479232.60816950002</v>
      </c>
      <c r="I126" s="2482">
        <f t="shared" si="43"/>
        <v>627709.81119000004</v>
      </c>
      <c r="J126" s="2471"/>
      <c r="K126" s="2483"/>
      <c r="L126" s="2471"/>
      <c r="M126" s="2484">
        <f t="shared" ref="M126:M144" si="45">L126+K126+J126</f>
        <v>0</v>
      </c>
      <c r="N126" s="922"/>
      <c r="O126" s="922"/>
      <c r="P126" s="109"/>
      <c r="Q126" s="706"/>
      <c r="R126" s="109"/>
      <c r="S126" s="109"/>
      <c r="T126" s="109"/>
      <c r="U126" s="109"/>
      <c r="V126" s="109"/>
      <c r="W126" s="109"/>
      <c r="X126" s="706"/>
      <c r="Y126" s="706"/>
      <c r="Z126" s="706"/>
      <c r="AA126" s="706"/>
    </row>
    <row r="127" spans="2:27">
      <c r="B127" s="2460" t="s">
        <v>346</v>
      </c>
      <c r="C127" s="2461"/>
      <c r="D127" s="2481">
        <f t="shared" si="42"/>
        <v>-54571.469820000006</v>
      </c>
      <c r="E127" s="1981"/>
      <c r="F127" s="2191"/>
      <c r="G127" s="1981">
        <v>-40358.071126468203</v>
      </c>
      <c r="H127" s="2191">
        <v>-14213.398693531801</v>
      </c>
      <c r="I127" s="2482">
        <f t="shared" si="43"/>
        <v>-54571.469820000006</v>
      </c>
      <c r="J127" s="2471"/>
      <c r="K127" s="2483"/>
      <c r="L127" s="2471"/>
      <c r="M127" s="2484">
        <f t="shared" si="45"/>
        <v>0</v>
      </c>
      <c r="N127" s="922"/>
      <c r="O127" s="922"/>
      <c r="P127" s="109"/>
      <c r="Q127" s="706"/>
      <c r="R127" s="109"/>
      <c r="S127" s="109"/>
      <c r="T127" s="109"/>
      <c r="U127" s="109"/>
      <c r="V127" s="109"/>
      <c r="W127" s="109"/>
      <c r="X127" s="706"/>
      <c r="Y127" s="706"/>
      <c r="Z127" s="706"/>
      <c r="AA127" s="706"/>
    </row>
    <row r="128" spans="2:27">
      <c r="B128" s="2460" t="s">
        <v>347</v>
      </c>
      <c r="C128" s="2461"/>
      <c r="D128" s="2481">
        <f t="shared" si="42"/>
        <v>39541.527757788332</v>
      </c>
      <c r="E128" s="1981"/>
      <c r="F128" s="2191"/>
      <c r="G128" s="1981">
        <v>8517.5055714686296</v>
      </c>
      <c r="H128" s="2191">
        <v>31024.0221863197</v>
      </c>
      <c r="I128" s="2482">
        <f t="shared" si="43"/>
        <v>39541.527757788332</v>
      </c>
      <c r="J128" s="2471"/>
      <c r="K128" s="2483"/>
      <c r="L128" s="2471"/>
      <c r="M128" s="2484">
        <f t="shared" si="45"/>
        <v>0</v>
      </c>
      <c r="N128" s="922"/>
      <c r="O128" s="922"/>
      <c r="P128" s="109"/>
      <c r="Q128" s="706"/>
      <c r="R128" s="109"/>
      <c r="S128" s="109"/>
      <c r="T128" s="109"/>
      <c r="U128" s="109"/>
      <c r="V128" s="109"/>
      <c r="W128" s="109"/>
      <c r="X128" s="706"/>
      <c r="Y128" s="706"/>
      <c r="Z128" s="706"/>
      <c r="AA128" s="706"/>
    </row>
    <row r="129" spans="2:27" ht="12.75" customHeight="1">
      <c r="B129" s="2467" t="s">
        <v>348</v>
      </c>
      <c r="C129" s="2461"/>
      <c r="D129" s="2481">
        <f t="shared" si="42"/>
        <v>-8373.8950599999989</v>
      </c>
      <c r="E129" s="1981"/>
      <c r="F129" s="2191"/>
      <c r="G129" s="1981">
        <v>-1803.7921616317699</v>
      </c>
      <c r="H129" s="2191">
        <v>-6570.1028983682299</v>
      </c>
      <c r="I129" s="2482">
        <f t="shared" si="43"/>
        <v>-8373.8950599999989</v>
      </c>
      <c r="J129" s="2471"/>
      <c r="K129" s="2483"/>
      <c r="L129" s="2471"/>
      <c r="M129" s="2484">
        <f t="shared" si="45"/>
        <v>0</v>
      </c>
      <c r="N129" s="922"/>
      <c r="O129" s="922"/>
      <c r="P129" s="109"/>
      <c r="Q129" s="706"/>
      <c r="R129" s="109"/>
      <c r="S129" s="109"/>
      <c r="T129" s="109"/>
      <c r="U129" s="109"/>
      <c r="V129" s="109"/>
      <c r="W129" s="109"/>
      <c r="X129" s="706"/>
      <c r="Y129" s="706"/>
      <c r="Z129" s="706"/>
      <c r="AA129" s="706"/>
    </row>
    <row r="130" spans="2:27">
      <c r="B130" s="2460" t="s">
        <v>349</v>
      </c>
      <c r="C130" s="2461"/>
      <c r="D130" s="2481">
        <f t="shared" si="42"/>
        <v>58943.674843189016</v>
      </c>
      <c r="E130" s="1981">
        <v>-267503.32515681098</v>
      </c>
      <c r="F130" s="2191"/>
      <c r="G130" s="1981">
        <v>427061</v>
      </c>
      <c r="H130" s="2191">
        <v>-100614</v>
      </c>
      <c r="I130" s="2482">
        <f t="shared" si="43"/>
        <v>326447</v>
      </c>
      <c r="J130" s="2471"/>
      <c r="K130" s="2483"/>
      <c r="L130" s="2471"/>
      <c r="M130" s="2484">
        <f t="shared" si="45"/>
        <v>0</v>
      </c>
      <c r="N130" s="922"/>
      <c r="O130" s="922"/>
      <c r="P130" s="109"/>
      <c r="Q130" s="706"/>
      <c r="R130" s="109"/>
      <c r="S130" s="109"/>
      <c r="T130" s="109"/>
      <c r="U130" s="109"/>
      <c r="V130" s="109"/>
      <c r="W130" s="109"/>
      <c r="X130" s="706"/>
      <c r="Y130" s="706"/>
      <c r="Z130" s="706"/>
      <c r="AA130" s="706"/>
    </row>
    <row r="131" spans="2:27" ht="51">
      <c r="B131" s="2467" t="s">
        <v>350</v>
      </c>
      <c r="C131" s="2461"/>
      <c r="D131" s="2481">
        <f t="shared" si="42"/>
        <v>0</v>
      </c>
      <c r="E131" s="1981"/>
      <c r="F131" s="2191"/>
      <c r="G131" s="1981"/>
      <c r="H131" s="2191"/>
      <c r="I131" s="2482">
        <f t="shared" si="43"/>
        <v>0</v>
      </c>
      <c r="J131" s="2471"/>
      <c r="K131" s="2483"/>
      <c r="L131" s="2471"/>
      <c r="M131" s="2484">
        <f t="shared" si="45"/>
        <v>0</v>
      </c>
      <c r="N131" s="922"/>
      <c r="O131" s="922"/>
      <c r="P131" s="109"/>
      <c r="Q131" s="706"/>
      <c r="R131" s="109"/>
      <c r="S131" s="109"/>
      <c r="T131" s="109"/>
      <c r="U131" s="109"/>
      <c r="V131" s="109"/>
      <c r="W131" s="109"/>
      <c r="X131" s="706"/>
      <c r="Y131" s="706"/>
      <c r="Z131" s="706"/>
      <c r="AA131" s="706"/>
    </row>
    <row r="132" spans="2:27">
      <c r="B132" s="2466" t="s">
        <v>351</v>
      </c>
      <c r="C132" s="2465"/>
      <c r="D132" s="2481">
        <f t="shared" si="42"/>
        <v>663249.64891097741</v>
      </c>
      <c r="E132" s="2483">
        <f>SUM(E126:E131)</f>
        <v>-267503.32515681098</v>
      </c>
      <c r="F132" s="2471">
        <f>SUM(F126:F131)</f>
        <v>0</v>
      </c>
      <c r="G132" s="2483">
        <f>SUM(G126:G131)</f>
        <v>541893.84530386864</v>
      </c>
      <c r="H132" s="2471">
        <f>SUM(H126:H131)</f>
        <v>388859.1287639197</v>
      </c>
      <c r="I132" s="2482">
        <f t="shared" si="43"/>
        <v>930752.97406778834</v>
      </c>
      <c r="J132" s="2471">
        <f>SUM(J126:J131)</f>
        <v>0</v>
      </c>
      <c r="K132" s="2483">
        <f>SUM(K126:K131)</f>
        <v>0</v>
      </c>
      <c r="L132" s="2471">
        <f>SUM(L126:L131)</f>
        <v>0</v>
      </c>
      <c r="M132" s="2484">
        <f t="shared" si="45"/>
        <v>0</v>
      </c>
      <c r="N132" s="927"/>
      <c r="O132" s="922"/>
      <c r="P132" s="109"/>
      <c r="Q132" s="706"/>
      <c r="R132" s="109"/>
      <c r="S132" s="109"/>
      <c r="T132" s="109"/>
      <c r="U132" s="109"/>
      <c r="V132" s="109"/>
      <c r="W132" s="109"/>
      <c r="X132" s="706"/>
      <c r="Y132" s="706"/>
      <c r="Z132" s="706"/>
      <c r="AA132" s="706"/>
    </row>
    <row r="133" spans="2:27">
      <c r="B133" s="2460"/>
      <c r="C133" s="2461"/>
      <c r="D133" s="2481">
        <f t="shared" si="42"/>
        <v>0</v>
      </c>
      <c r="E133" s="2483"/>
      <c r="F133" s="2471"/>
      <c r="G133" s="2483"/>
      <c r="H133" s="2471"/>
      <c r="I133" s="2482">
        <f t="shared" si="43"/>
        <v>0</v>
      </c>
      <c r="J133" s="2471"/>
      <c r="K133" s="2483"/>
      <c r="L133" s="2471"/>
      <c r="M133" s="2484">
        <f t="shared" si="45"/>
        <v>0</v>
      </c>
      <c r="O133" s="922"/>
      <c r="P133" s="109"/>
      <c r="Q133" s="706"/>
      <c r="R133" s="109"/>
      <c r="S133" s="109"/>
      <c r="T133" s="109"/>
      <c r="U133" s="109"/>
      <c r="V133" s="109"/>
      <c r="W133" s="109"/>
      <c r="X133" s="706"/>
      <c r="Y133" s="706"/>
      <c r="Z133" s="706"/>
      <c r="AA133" s="706"/>
    </row>
    <row r="134" spans="2:27" ht="51">
      <c r="B134" s="2467" t="s">
        <v>352</v>
      </c>
      <c r="C134" s="2461"/>
      <c r="D134" s="2481">
        <f t="shared" si="42"/>
        <v>1141854.2975999999</v>
      </c>
      <c r="E134" s="1981"/>
      <c r="F134" s="2191"/>
      <c r="G134" s="1981">
        <v>877888.40183495998</v>
      </c>
      <c r="H134" s="2191">
        <v>263965.89576504001</v>
      </c>
      <c r="I134" s="2482">
        <f t="shared" si="43"/>
        <v>1141854.2975999999</v>
      </c>
      <c r="J134" s="2471"/>
      <c r="K134" s="2483"/>
      <c r="L134" s="2471"/>
      <c r="M134" s="2484">
        <f t="shared" si="45"/>
        <v>0</v>
      </c>
      <c r="N134" s="922"/>
      <c r="O134" s="922"/>
      <c r="P134" s="109"/>
      <c r="Q134" s="706"/>
      <c r="R134" s="109"/>
      <c r="S134" s="109"/>
      <c r="T134" s="109"/>
      <c r="U134" s="109"/>
      <c r="V134" s="109"/>
      <c r="W134" s="109"/>
      <c r="X134" s="706"/>
      <c r="Y134" s="706"/>
      <c r="Z134" s="706"/>
      <c r="AA134" s="706"/>
    </row>
    <row r="135" spans="2:27">
      <c r="B135" s="2460"/>
      <c r="C135" s="2461"/>
      <c r="D135" s="2481">
        <f t="shared" si="42"/>
        <v>0</v>
      </c>
      <c r="E135" s="1981"/>
      <c r="F135" s="2191"/>
      <c r="G135" s="1981"/>
      <c r="H135" s="2191"/>
      <c r="I135" s="2482">
        <f t="shared" si="43"/>
        <v>0</v>
      </c>
      <c r="J135" s="2471"/>
      <c r="K135" s="2483"/>
      <c r="L135" s="2471"/>
      <c r="M135" s="2484">
        <f t="shared" si="45"/>
        <v>0</v>
      </c>
      <c r="N135" s="922"/>
      <c r="O135" s="922"/>
      <c r="P135" s="109"/>
      <c r="Q135" s="706"/>
      <c r="R135" s="109"/>
      <c r="S135" s="109"/>
      <c r="T135" s="109"/>
      <c r="U135" s="109"/>
      <c r="V135" s="109"/>
      <c r="W135" s="109"/>
      <c r="X135" s="706"/>
      <c r="Y135" s="706"/>
      <c r="Z135" s="706"/>
      <c r="AA135" s="706"/>
    </row>
    <row r="136" spans="2:27" ht="12.75" customHeight="1">
      <c r="B136" s="2467" t="s">
        <v>353</v>
      </c>
      <c r="C136" s="2461">
        <v>4</v>
      </c>
      <c r="D136" s="2481">
        <f t="shared" si="42"/>
        <v>375446.39032999997</v>
      </c>
      <c r="E136" s="1981">
        <v>362.58792999999997</v>
      </c>
      <c r="F136" s="2191"/>
      <c r="G136" s="1981">
        <v>262371.1197788</v>
      </c>
      <c r="H136" s="2191">
        <v>112712.6826212</v>
      </c>
      <c r="I136" s="2482">
        <f t="shared" si="43"/>
        <v>375083.80239999999</v>
      </c>
      <c r="J136" s="2471"/>
      <c r="K136" s="2483"/>
      <c r="L136" s="2471"/>
      <c r="M136" s="2484">
        <f t="shared" si="45"/>
        <v>0</v>
      </c>
      <c r="N136" s="922"/>
      <c r="O136" s="922"/>
      <c r="P136" s="109"/>
      <c r="Q136" s="706"/>
      <c r="R136" s="109"/>
      <c r="S136" s="109"/>
      <c r="T136" s="109"/>
      <c r="U136" s="109"/>
      <c r="V136" s="109"/>
      <c r="W136" s="109"/>
      <c r="X136" s="706"/>
      <c r="Y136" s="706"/>
      <c r="Z136" s="706"/>
      <c r="AA136" s="706"/>
    </row>
    <row r="137" spans="2:27">
      <c r="B137" s="2460" t="s">
        <v>354</v>
      </c>
      <c r="C137" s="2461"/>
      <c r="D137" s="2481">
        <f t="shared" si="42"/>
        <v>0</v>
      </c>
      <c r="E137" s="1981"/>
      <c r="F137" s="2191"/>
      <c r="G137" s="1981"/>
      <c r="H137" s="2191"/>
      <c r="I137" s="2482">
        <f t="shared" si="43"/>
        <v>0</v>
      </c>
      <c r="J137" s="2471"/>
      <c r="K137" s="2483"/>
      <c r="L137" s="2471"/>
      <c r="M137" s="2484">
        <f t="shared" si="45"/>
        <v>0</v>
      </c>
      <c r="N137" s="922"/>
      <c r="O137" s="922"/>
      <c r="P137" s="109"/>
      <c r="Q137" s="706"/>
      <c r="R137" s="109"/>
      <c r="S137" s="109"/>
      <c r="T137" s="109"/>
      <c r="U137" s="109"/>
      <c r="V137" s="109"/>
      <c r="W137" s="109"/>
      <c r="X137" s="706"/>
      <c r="Y137" s="706"/>
      <c r="Z137" s="706"/>
      <c r="AA137" s="706"/>
    </row>
    <row r="138" spans="2:27">
      <c r="B138" s="2460" t="s">
        <v>355</v>
      </c>
      <c r="C138" s="2461"/>
      <c r="D138" s="2481">
        <f t="shared" si="42"/>
        <v>0</v>
      </c>
      <c r="E138" s="1981"/>
      <c r="F138" s="2191"/>
      <c r="G138" s="1981"/>
      <c r="H138" s="2191"/>
      <c r="I138" s="2482">
        <f t="shared" si="43"/>
        <v>0</v>
      </c>
      <c r="J138" s="2471"/>
      <c r="K138" s="2483"/>
      <c r="L138" s="2471"/>
      <c r="M138" s="2484">
        <f t="shared" si="45"/>
        <v>0</v>
      </c>
      <c r="N138" s="922"/>
      <c r="O138" s="922"/>
      <c r="P138" s="109"/>
      <c r="Q138" s="706"/>
      <c r="R138" s="109"/>
      <c r="S138" s="109"/>
      <c r="T138" s="109"/>
      <c r="U138" s="109"/>
      <c r="V138" s="109"/>
      <c r="W138" s="109"/>
      <c r="X138" s="706"/>
      <c r="Y138" s="706"/>
      <c r="Z138" s="706"/>
      <c r="AA138" s="706"/>
    </row>
    <row r="139" spans="2:27">
      <c r="B139" s="2466" t="s">
        <v>356</v>
      </c>
      <c r="C139" s="2465"/>
      <c r="D139" s="2481">
        <f t="shared" si="42"/>
        <v>375446.39032999997</v>
      </c>
      <c r="E139" s="2483">
        <f>SUM(E136:E138)</f>
        <v>362.58792999999997</v>
      </c>
      <c r="F139" s="2471">
        <f>SUM(F136:F138)</f>
        <v>0</v>
      </c>
      <c r="G139" s="2483">
        <f>SUM(G136:G138)</f>
        <v>262371.1197788</v>
      </c>
      <c r="H139" s="2471">
        <f>SUM(H136:H138)</f>
        <v>112712.6826212</v>
      </c>
      <c r="I139" s="2482">
        <f t="shared" si="43"/>
        <v>375083.80239999999</v>
      </c>
      <c r="J139" s="2471">
        <f>SUM(J136:J138)</f>
        <v>0</v>
      </c>
      <c r="K139" s="2483">
        <f>SUM(K136:K138)</f>
        <v>0</v>
      </c>
      <c r="L139" s="2471">
        <f>SUM(L136:L138)</f>
        <v>0</v>
      </c>
      <c r="M139" s="2484">
        <f t="shared" si="45"/>
        <v>0</v>
      </c>
      <c r="N139" s="927"/>
      <c r="O139" s="922"/>
      <c r="P139" s="109"/>
      <c r="Q139" s="706"/>
      <c r="R139" s="109"/>
      <c r="S139" s="109"/>
      <c r="T139" s="109"/>
      <c r="U139" s="109"/>
      <c r="V139" s="109"/>
      <c r="W139" s="109"/>
      <c r="X139" s="706"/>
      <c r="Y139" s="706"/>
      <c r="Z139" s="706"/>
      <c r="AA139" s="706"/>
    </row>
    <row r="140" spans="2:27">
      <c r="B140" s="2466"/>
      <c r="C140" s="2465"/>
      <c r="D140" s="2481">
        <f t="shared" si="42"/>
        <v>0</v>
      </c>
      <c r="E140" s="2483"/>
      <c r="F140" s="2471"/>
      <c r="G140" s="2483"/>
      <c r="H140" s="2471"/>
      <c r="I140" s="2482">
        <f t="shared" si="43"/>
        <v>0</v>
      </c>
      <c r="J140" s="2471"/>
      <c r="K140" s="2483"/>
      <c r="L140" s="2471"/>
      <c r="M140" s="2484">
        <f t="shared" si="45"/>
        <v>0</v>
      </c>
      <c r="P140" s="109"/>
      <c r="Q140" s="706"/>
      <c r="R140" s="109"/>
      <c r="S140" s="109"/>
      <c r="T140" s="109"/>
      <c r="U140" s="109"/>
      <c r="V140" s="109"/>
      <c r="W140" s="109"/>
      <c r="X140" s="706"/>
      <c r="Y140" s="706"/>
      <c r="Z140" s="706"/>
      <c r="AA140" s="706"/>
    </row>
    <row r="141" spans="2:27">
      <c r="B141" s="2466" t="s">
        <v>357</v>
      </c>
      <c r="C141" s="2465"/>
      <c r="D141" s="2481">
        <f t="shared" si="42"/>
        <v>337562.73575362196</v>
      </c>
      <c r="E141" s="2483">
        <f>E124-E132-E134-E139</f>
        <v>337562.93326681101</v>
      </c>
      <c r="F141" s="2471">
        <f>F124-F132-F134-F139</f>
        <v>0</v>
      </c>
      <c r="G141" s="2483">
        <f>G124-G132-G134-G139</f>
        <v>-1.6301331401336938E-2</v>
      </c>
      <c r="H141" s="2471">
        <f>H124-H132-H134-H139</f>
        <v>-0.18121185766358394</v>
      </c>
      <c r="I141" s="2482">
        <f t="shared" si="43"/>
        <v>-0.19751318906492088</v>
      </c>
      <c r="J141" s="2471">
        <f>J124-J132-J134-J139</f>
        <v>0</v>
      </c>
      <c r="K141" s="2483">
        <f>K124-K132-K134-K139</f>
        <v>0</v>
      </c>
      <c r="L141" s="2471">
        <f>L124-L132-L134-L139</f>
        <v>0</v>
      </c>
      <c r="M141" s="2484">
        <f t="shared" si="45"/>
        <v>0</v>
      </c>
      <c r="N141" s="927"/>
      <c r="O141" s="922"/>
      <c r="P141" s="109"/>
      <c r="Q141" s="706"/>
      <c r="R141" s="109"/>
      <c r="S141" s="109"/>
      <c r="T141" s="109"/>
      <c r="U141" s="109"/>
      <c r="V141" s="109"/>
      <c r="W141" s="109"/>
      <c r="X141" s="706"/>
      <c r="Y141" s="706"/>
      <c r="Z141" s="706"/>
      <c r="AA141" s="706"/>
    </row>
    <row r="142" spans="2:27">
      <c r="B142" s="2460" t="s">
        <v>358</v>
      </c>
      <c r="C142" s="2461"/>
      <c r="D142" s="2481">
        <f t="shared" si="42"/>
        <v>100680.80543763471</v>
      </c>
      <c r="E142" s="1981">
        <v>100680.80543763471</v>
      </c>
      <c r="F142" s="2471"/>
      <c r="G142" s="2483"/>
      <c r="H142" s="2471"/>
      <c r="I142" s="2482">
        <f t="shared" si="43"/>
        <v>0</v>
      </c>
      <c r="J142" s="2471"/>
      <c r="K142" s="2483"/>
      <c r="L142" s="2471"/>
      <c r="M142" s="2484">
        <f t="shared" si="45"/>
        <v>0</v>
      </c>
      <c r="N142" s="922"/>
      <c r="O142" s="922"/>
      <c r="P142" s="109"/>
      <c r="Q142" s="706"/>
      <c r="R142" s="109"/>
      <c r="S142" s="109"/>
      <c r="T142" s="109"/>
      <c r="U142" s="109"/>
      <c r="V142" s="109"/>
      <c r="W142" s="109"/>
      <c r="X142" s="706"/>
      <c r="Y142" s="706"/>
      <c r="Z142" s="706"/>
      <c r="AA142" s="706"/>
    </row>
    <row r="143" spans="2:27">
      <c r="B143" s="2485"/>
      <c r="C143" s="2486"/>
      <c r="D143" s="2487">
        <f t="shared" si="42"/>
        <v>0</v>
      </c>
      <c r="E143" s="2488"/>
      <c r="F143" s="2489"/>
      <c r="G143" s="2488"/>
      <c r="H143" s="2489"/>
      <c r="I143" s="2490">
        <f t="shared" si="43"/>
        <v>0</v>
      </c>
      <c r="J143" s="2489"/>
      <c r="K143" s="2488"/>
      <c r="L143" s="2489"/>
      <c r="M143" s="2491">
        <f t="shared" si="45"/>
        <v>0</v>
      </c>
      <c r="P143" s="109"/>
      <c r="Q143" s="706"/>
      <c r="R143" s="109"/>
      <c r="S143" s="109"/>
      <c r="T143" s="109"/>
      <c r="U143" s="109"/>
      <c r="V143" s="109"/>
      <c r="W143" s="109"/>
      <c r="X143" s="706"/>
      <c r="Y143" s="706"/>
      <c r="Z143" s="706"/>
      <c r="AA143" s="706"/>
    </row>
    <row r="144" spans="2:27" ht="13.5" thickBot="1">
      <c r="B144" s="1616" t="s">
        <v>359</v>
      </c>
      <c r="C144" s="1617"/>
      <c r="D144" s="1618">
        <f t="shared" si="42"/>
        <v>236881.93031598727</v>
      </c>
      <c r="E144" s="1619">
        <f>E141-E142</f>
        <v>236882.12782917632</v>
      </c>
      <c r="F144" s="1618">
        <f>F141-F142</f>
        <v>0</v>
      </c>
      <c r="G144" s="1619">
        <f>G141-G142</f>
        <v>-1.6301331401336938E-2</v>
      </c>
      <c r="H144" s="1618">
        <f>H141-H142</f>
        <v>-0.18121185766358394</v>
      </c>
      <c r="I144" s="1619">
        <f t="shared" si="43"/>
        <v>-0.19751318906492088</v>
      </c>
      <c r="J144" s="1618">
        <f>J141-J142</f>
        <v>0</v>
      </c>
      <c r="K144" s="1619">
        <f>K141-K142</f>
        <v>0</v>
      </c>
      <c r="L144" s="1618">
        <f>L141-L142</f>
        <v>0</v>
      </c>
      <c r="M144" s="1620">
        <f t="shared" si="45"/>
        <v>0</v>
      </c>
      <c r="N144" s="927"/>
      <c r="O144" s="922"/>
      <c r="P144" s="109"/>
      <c r="Q144" s="706"/>
      <c r="R144" s="109"/>
      <c r="S144" s="109"/>
      <c r="T144" s="109"/>
      <c r="U144" s="109"/>
      <c r="V144" s="109"/>
      <c r="W144" s="109"/>
      <c r="X144" s="706"/>
      <c r="Y144" s="706"/>
      <c r="Z144" s="706"/>
      <c r="AA144" s="706"/>
    </row>
    <row r="145" spans="1:27">
      <c r="R145" s="109"/>
    </row>
    <row r="146" spans="1:27">
      <c r="M146" s="673">
        <v>49</v>
      </c>
      <c r="R146" s="109"/>
    </row>
    <row r="147" spans="1:27">
      <c r="R147" s="109"/>
    </row>
    <row r="148" spans="1:27" ht="13.5" thickBot="1">
      <c r="R148" s="109"/>
    </row>
    <row r="149" spans="1:27" ht="12.75" customHeight="1" thickBot="1">
      <c r="A149" s="936" t="s">
        <v>93</v>
      </c>
      <c r="B149" s="1608" t="s">
        <v>93</v>
      </c>
      <c r="C149" s="912"/>
      <c r="L149" s="3538" t="s">
        <v>251</v>
      </c>
      <c r="M149" s="3538"/>
      <c r="R149" s="109"/>
    </row>
    <row r="150" spans="1:27" ht="12.75" customHeight="1" thickBot="1">
      <c r="B150" s="3578" t="s">
        <v>93</v>
      </c>
      <c r="C150" s="3523" t="s">
        <v>325</v>
      </c>
      <c r="D150" s="3518" t="s">
        <v>255</v>
      </c>
      <c r="E150" s="3518" t="s">
        <v>326</v>
      </c>
      <c r="F150" s="3574" t="s">
        <v>258</v>
      </c>
      <c r="G150" s="3574"/>
      <c r="H150" s="3574"/>
      <c r="I150" s="3574"/>
      <c r="J150" s="3574"/>
      <c r="K150" s="3574"/>
      <c r="L150" s="3574"/>
      <c r="M150" s="3574"/>
      <c r="R150" s="109"/>
    </row>
    <row r="151" spans="1:27" ht="17.25" customHeight="1">
      <c r="B151" s="3571"/>
      <c r="C151" s="3524"/>
      <c r="D151" s="3520"/>
      <c r="E151" s="3520"/>
      <c r="F151" s="3575" t="s">
        <v>259</v>
      </c>
      <c r="G151" s="3576"/>
      <c r="H151" s="3576"/>
      <c r="I151" s="3577"/>
      <c r="J151" s="3574" t="s">
        <v>327</v>
      </c>
      <c r="K151" s="3574"/>
      <c r="L151" s="3574"/>
      <c r="M151" s="3574"/>
      <c r="R151" s="109"/>
    </row>
    <row r="152" spans="1:27" ht="46.5" customHeight="1">
      <c r="B152" s="3571"/>
      <c r="C152" s="3524"/>
      <c r="D152" s="3519"/>
      <c r="E152" s="3519"/>
      <c r="F152" s="1339" t="s">
        <v>261</v>
      </c>
      <c r="G152" s="1339" t="s">
        <v>262</v>
      </c>
      <c r="H152" s="1339" t="s">
        <v>263</v>
      </c>
      <c r="I152" s="1339" t="s">
        <v>158</v>
      </c>
      <c r="J152" s="1588" t="s">
        <v>328</v>
      </c>
      <c r="K152" s="1588" t="s">
        <v>265</v>
      </c>
      <c r="L152" s="1588" t="s">
        <v>329</v>
      </c>
      <c r="M152" s="1588" t="s">
        <v>158</v>
      </c>
      <c r="R152" s="109"/>
    </row>
    <row r="153" spans="1:27" ht="17.25" customHeight="1">
      <c r="B153" s="3571"/>
      <c r="C153" s="3524"/>
      <c r="D153" s="1589">
        <v>1</v>
      </c>
      <c r="E153" s="3518">
        <v>2</v>
      </c>
      <c r="F153" s="3518">
        <v>3</v>
      </c>
      <c r="G153" s="3518">
        <v>4</v>
      </c>
      <c r="H153" s="1339"/>
      <c r="I153" s="1589">
        <v>6</v>
      </c>
      <c r="J153" s="3518">
        <v>7</v>
      </c>
      <c r="K153" s="3518">
        <v>8</v>
      </c>
      <c r="L153" s="3518">
        <v>9</v>
      </c>
      <c r="M153" s="1589">
        <v>10</v>
      </c>
    </row>
    <row r="154" spans="1:27" ht="13.5" thickBot="1">
      <c r="B154" s="3572"/>
      <c r="C154" s="3525"/>
      <c r="D154" s="1590" t="s">
        <v>330</v>
      </c>
      <c r="E154" s="3519"/>
      <c r="F154" s="3519"/>
      <c r="G154" s="3519"/>
      <c r="H154" s="1590">
        <v>5</v>
      </c>
      <c r="I154" s="1590" t="s">
        <v>331</v>
      </c>
      <c r="J154" s="3519"/>
      <c r="K154" s="3519"/>
      <c r="L154" s="3519"/>
      <c r="M154" s="1590" t="s">
        <v>332</v>
      </c>
      <c r="N154" s="703"/>
      <c r="O154" s="703"/>
    </row>
    <row r="155" spans="1:27">
      <c r="B155" s="1609" t="s">
        <v>333</v>
      </c>
      <c r="C155" s="980"/>
      <c r="D155" s="1621">
        <f t="shared" ref="D155:D192" si="46">E155+I155+M155</f>
        <v>1886702.56736</v>
      </c>
      <c r="E155" s="963"/>
      <c r="F155" s="982"/>
      <c r="G155" s="963">
        <v>191157.51074</v>
      </c>
      <c r="H155" s="982">
        <v>1500727.89644</v>
      </c>
      <c r="I155" s="1441">
        <f t="shared" ref="I155:I192" si="47">F155+G155+H155</f>
        <v>1691885.4071800001</v>
      </c>
      <c r="J155" s="982"/>
      <c r="K155" s="963"/>
      <c r="L155" s="982">
        <v>194817.16017999989</v>
      </c>
      <c r="M155" s="1441">
        <f t="shared" ref="M155:M172" si="48">L155+K155+J155</f>
        <v>194817.16017999989</v>
      </c>
      <c r="N155" s="922"/>
      <c r="O155" s="922"/>
      <c r="P155" s="179"/>
      <c r="Q155" s="706"/>
      <c r="R155" s="179"/>
      <c r="S155" s="706"/>
      <c r="T155" s="708"/>
      <c r="U155" s="706"/>
      <c r="V155" s="706"/>
      <c r="W155" s="706"/>
      <c r="X155" s="706"/>
      <c r="Y155" s="706"/>
      <c r="Z155" s="706"/>
      <c r="AA155" s="706"/>
    </row>
    <row r="156" spans="1:27">
      <c r="B156" s="2468"/>
      <c r="C156" s="2492"/>
      <c r="D156" s="2493">
        <f t="shared" si="46"/>
        <v>0</v>
      </c>
      <c r="E156" s="2471"/>
      <c r="F156" s="2252"/>
      <c r="G156" s="2471"/>
      <c r="H156" s="2252"/>
      <c r="I156" s="2249">
        <f t="shared" si="47"/>
        <v>0</v>
      </c>
      <c r="J156" s="2252"/>
      <c r="K156" s="2471"/>
      <c r="L156" s="2252"/>
      <c r="M156" s="2249">
        <f t="shared" si="48"/>
        <v>0</v>
      </c>
      <c r="P156" s="179"/>
      <c r="Q156" s="706"/>
      <c r="R156" s="179"/>
      <c r="S156" s="706"/>
      <c r="T156" s="708"/>
      <c r="U156" s="706"/>
      <c r="V156" s="706"/>
      <c r="W156" s="706"/>
      <c r="X156" s="706"/>
      <c r="Y156" s="706"/>
      <c r="Z156" s="706"/>
      <c r="AA156" s="706"/>
    </row>
    <row r="157" spans="1:27">
      <c r="B157" s="2473" t="s">
        <v>334</v>
      </c>
      <c r="C157" s="2492"/>
      <c r="D157" s="2493">
        <f t="shared" si="46"/>
        <v>111970.91299000001</v>
      </c>
      <c r="E157" s="2471"/>
      <c r="F157" s="2252"/>
      <c r="G157" s="2471">
        <v>47284.846509999901</v>
      </c>
      <c r="H157" s="2252">
        <v>50148.139770000096</v>
      </c>
      <c r="I157" s="2249">
        <f t="shared" si="47"/>
        <v>97432.986279999997</v>
      </c>
      <c r="J157" s="2252"/>
      <c r="K157" s="2471"/>
      <c r="L157" s="2252">
        <v>14537.926710000011</v>
      </c>
      <c r="M157" s="2249">
        <f t="shared" si="48"/>
        <v>14537.926710000011</v>
      </c>
      <c r="N157" s="922"/>
      <c r="O157" s="922"/>
      <c r="P157" s="179"/>
      <c r="Q157" s="706"/>
      <c r="R157" s="179"/>
      <c r="S157" s="706"/>
      <c r="T157" s="708"/>
      <c r="U157" s="706"/>
      <c r="V157" s="706"/>
      <c r="W157" s="706"/>
      <c r="X157" s="706"/>
      <c r="Y157" s="706"/>
      <c r="Z157" s="706"/>
      <c r="AA157" s="706"/>
    </row>
    <row r="158" spans="1:27">
      <c r="B158" s="2473"/>
      <c r="C158" s="2492"/>
      <c r="D158" s="2493">
        <f t="shared" si="46"/>
        <v>0</v>
      </c>
      <c r="E158" s="2471"/>
      <c r="F158" s="2252"/>
      <c r="G158" s="2471"/>
      <c r="H158" s="2252"/>
      <c r="I158" s="2249">
        <f t="shared" si="47"/>
        <v>0</v>
      </c>
      <c r="J158" s="2252"/>
      <c r="K158" s="2471"/>
      <c r="L158" s="2252"/>
      <c r="M158" s="2249">
        <f t="shared" si="48"/>
        <v>0</v>
      </c>
      <c r="P158" s="179"/>
      <c r="Q158" s="706"/>
      <c r="R158" s="179"/>
      <c r="S158" s="706"/>
      <c r="T158" s="708"/>
      <c r="U158" s="706"/>
      <c r="V158" s="706"/>
      <c r="W158" s="706"/>
      <c r="X158" s="706"/>
      <c r="Y158" s="706"/>
      <c r="Z158" s="706"/>
      <c r="AA158" s="706"/>
    </row>
    <row r="159" spans="1:27" ht="12.75" customHeight="1">
      <c r="B159" s="2474" t="s">
        <v>335</v>
      </c>
      <c r="C159" s="2492"/>
      <c r="D159" s="2493">
        <f t="shared" si="46"/>
        <v>0</v>
      </c>
      <c r="E159" s="2471"/>
      <c r="F159" s="2252"/>
      <c r="G159" s="2471"/>
      <c r="H159" s="2252"/>
      <c r="I159" s="2249">
        <f t="shared" si="47"/>
        <v>0</v>
      </c>
      <c r="J159" s="2252"/>
      <c r="K159" s="2471"/>
      <c r="L159" s="2252"/>
      <c r="M159" s="2249">
        <f t="shared" si="48"/>
        <v>0</v>
      </c>
      <c r="N159" s="922"/>
      <c r="O159" s="922"/>
      <c r="P159" s="179"/>
      <c r="Q159" s="706"/>
      <c r="R159" s="179"/>
      <c r="S159" s="706"/>
      <c r="T159" s="708"/>
      <c r="U159" s="706"/>
      <c r="V159" s="706"/>
      <c r="W159" s="706"/>
      <c r="X159" s="706"/>
      <c r="Y159" s="706"/>
      <c r="Z159" s="706"/>
      <c r="AA159" s="706"/>
    </row>
    <row r="160" spans="1:27">
      <c r="B160" s="2468"/>
      <c r="C160" s="2492"/>
      <c r="D160" s="2493">
        <f t="shared" si="46"/>
        <v>0</v>
      </c>
      <c r="E160" s="2471"/>
      <c r="F160" s="2252"/>
      <c r="G160" s="2471"/>
      <c r="H160" s="2252"/>
      <c r="I160" s="2249">
        <f t="shared" si="47"/>
        <v>0</v>
      </c>
      <c r="J160" s="2252"/>
      <c r="K160" s="2471"/>
      <c r="L160" s="2252"/>
      <c r="M160" s="2249">
        <f t="shared" si="48"/>
        <v>0</v>
      </c>
      <c r="P160" s="179"/>
      <c r="Q160" s="706"/>
      <c r="R160" s="179"/>
      <c r="S160" s="706"/>
      <c r="T160" s="708"/>
      <c r="U160" s="706"/>
      <c r="V160" s="706"/>
      <c r="W160" s="706"/>
      <c r="X160" s="706"/>
      <c r="Y160" s="706"/>
      <c r="Z160" s="706"/>
      <c r="AA160" s="706"/>
    </row>
    <row r="161" spans="2:27">
      <c r="B161" s="2475" t="s">
        <v>336</v>
      </c>
      <c r="C161" s="2494"/>
      <c r="D161" s="2493">
        <f t="shared" si="46"/>
        <v>1774731.6543700001</v>
      </c>
      <c r="E161" s="2471">
        <f>E155-E157+E159</f>
        <v>0</v>
      </c>
      <c r="F161" s="2252">
        <f>F155-F157+F159</f>
        <v>0</v>
      </c>
      <c r="G161" s="2471">
        <f>G155-G157+G159</f>
        <v>143872.66423000011</v>
      </c>
      <c r="H161" s="2252">
        <f>H155-H157+H159</f>
        <v>1450579.75667</v>
      </c>
      <c r="I161" s="2249">
        <f t="shared" si="47"/>
        <v>1594452.4209000003</v>
      </c>
      <c r="J161" s="2252">
        <f>J155-J157+J159</f>
        <v>0</v>
      </c>
      <c r="K161" s="2471">
        <f>K155-K157+K159</f>
        <v>0</v>
      </c>
      <c r="L161" s="2252">
        <f>L155-L157+L159</f>
        <v>180279.23346999989</v>
      </c>
      <c r="M161" s="2249">
        <f t="shared" si="48"/>
        <v>180279.23346999989</v>
      </c>
      <c r="N161" s="927"/>
      <c r="O161" s="922"/>
      <c r="P161" s="179"/>
      <c r="Q161" s="706"/>
      <c r="R161" s="179"/>
      <c r="S161" s="706"/>
      <c r="T161" s="708"/>
      <c r="U161" s="706"/>
      <c r="V161" s="706"/>
      <c r="W161" s="706"/>
      <c r="X161" s="706"/>
      <c r="Y161" s="706"/>
      <c r="Z161" s="706"/>
      <c r="AA161" s="706"/>
    </row>
    <row r="162" spans="2:27">
      <c r="B162" s="2475"/>
      <c r="C162" s="2494"/>
      <c r="D162" s="2493">
        <f t="shared" si="46"/>
        <v>0</v>
      </c>
      <c r="E162" s="2471"/>
      <c r="F162" s="2252"/>
      <c r="G162" s="2471"/>
      <c r="H162" s="2252"/>
      <c r="I162" s="2249">
        <f t="shared" si="47"/>
        <v>0</v>
      </c>
      <c r="J162" s="2252"/>
      <c r="K162" s="2471"/>
      <c r="L162" s="2252"/>
      <c r="M162" s="2249">
        <f t="shared" si="48"/>
        <v>0</v>
      </c>
      <c r="P162" s="179"/>
      <c r="Q162" s="706"/>
      <c r="R162" s="179"/>
      <c r="S162" s="706"/>
      <c r="T162" s="708"/>
      <c r="U162" s="706"/>
      <c r="V162" s="706"/>
      <c r="W162" s="706"/>
      <c r="X162" s="706"/>
      <c r="Y162" s="706"/>
      <c r="Z162" s="706"/>
      <c r="AA162" s="706"/>
    </row>
    <row r="163" spans="2:27">
      <c r="B163" s="2475" t="s">
        <v>337</v>
      </c>
      <c r="C163" s="2494"/>
      <c r="D163" s="2493">
        <f t="shared" si="46"/>
        <v>474793.225290698</v>
      </c>
      <c r="E163" s="2471">
        <f>SUM(E164:E168)</f>
        <v>0</v>
      </c>
      <c r="F163" s="2252">
        <f>SUM(F164:F168)</f>
        <v>0</v>
      </c>
      <c r="G163" s="2471">
        <f>SUM(G164:G168)</f>
        <v>18305.73622572812</v>
      </c>
      <c r="H163" s="2252">
        <f>SUM(H164:H168)</f>
        <v>454726.52432496985</v>
      </c>
      <c r="I163" s="2249">
        <f t="shared" si="47"/>
        <v>473032.26055069797</v>
      </c>
      <c r="J163" s="2252">
        <f>SUM(J164:J168)</f>
        <v>0</v>
      </c>
      <c r="K163" s="2471">
        <f>SUM(K164:K168)</f>
        <v>0</v>
      </c>
      <c r="L163" s="2252">
        <f>SUM(L164:L168)</f>
        <v>1760.9647399999999</v>
      </c>
      <c r="M163" s="2249">
        <f t="shared" si="48"/>
        <v>1760.9647399999999</v>
      </c>
      <c r="N163" s="927"/>
      <c r="O163" s="922"/>
      <c r="P163" s="179"/>
      <c r="Q163" s="706"/>
      <c r="R163" s="179"/>
      <c r="S163" s="706"/>
      <c r="T163" s="708"/>
      <c r="U163" s="706"/>
      <c r="V163" s="706"/>
      <c r="W163" s="706"/>
      <c r="X163" s="706"/>
      <c r="Y163" s="706"/>
      <c r="Z163" s="706"/>
      <c r="AA163" s="706"/>
    </row>
    <row r="164" spans="2:27">
      <c r="B164" s="2468" t="s">
        <v>338</v>
      </c>
      <c r="C164" s="2492">
        <v>1</v>
      </c>
      <c r="D164" s="2493">
        <f t="shared" si="46"/>
        <v>465010.285290698</v>
      </c>
      <c r="E164" s="2471"/>
      <c r="F164" s="2252"/>
      <c r="G164" s="2471">
        <v>18305.73622572812</v>
      </c>
      <c r="H164" s="2252">
        <v>446704.54906496988</v>
      </c>
      <c r="I164" s="2249">
        <f t="shared" si="47"/>
        <v>465010.285290698</v>
      </c>
      <c r="J164" s="2252"/>
      <c r="K164" s="2471"/>
      <c r="L164" s="2252"/>
      <c r="M164" s="2249">
        <f t="shared" si="48"/>
        <v>0</v>
      </c>
      <c r="N164" s="922"/>
      <c r="O164" s="922"/>
      <c r="P164" s="179"/>
      <c r="Q164" s="706"/>
      <c r="R164" s="179"/>
      <c r="S164" s="706"/>
      <c r="T164" s="708"/>
      <c r="U164" s="706"/>
      <c r="V164" s="706"/>
      <c r="W164" s="706"/>
      <c r="X164" s="706"/>
      <c r="Y164" s="706"/>
      <c r="Z164" s="706"/>
      <c r="AA164" s="706"/>
    </row>
    <row r="165" spans="2:27">
      <c r="B165" s="2468" t="s">
        <v>339</v>
      </c>
      <c r="C165" s="2492">
        <v>2</v>
      </c>
      <c r="D165" s="2493">
        <f t="shared" si="46"/>
        <v>0</v>
      </c>
      <c r="E165" s="2471"/>
      <c r="F165" s="2252"/>
      <c r="G165" s="2471"/>
      <c r="H165" s="2252"/>
      <c r="I165" s="2249">
        <f t="shared" si="47"/>
        <v>0</v>
      </c>
      <c r="J165" s="2252"/>
      <c r="K165" s="2471"/>
      <c r="L165" s="2252"/>
      <c r="M165" s="2249">
        <f t="shared" si="48"/>
        <v>0</v>
      </c>
      <c r="N165" s="922"/>
      <c r="O165" s="922"/>
      <c r="P165" s="179"/>
      <c r="Q165" s="706"/>
      <c r="R165" s="179"/>
      <c r="S165" s="706"/>
      <c r="T165" s="708"/>
      <c r="U165" s="706"/>
      <c r="V165" s="706"/>
      <c r="W165" s="706"/>
      <c r="X165" s="706"/>
      <c r="Y165" s="706"/>
      <c r="Z165" s="706"/>
      <c r="AA165" s="706"/>
    </row>
    <row r="166" spans="2:27">
      <c r="B166" s="2468" t="s">
        <v>340</v>
      </c>
      <c r="C166" s="2492"/>
      <c r="D166" s="2493">
        <f t="shared" si="46"/>
        <v>0</v>
      </c>
      <c r="E166" s="2471"/>
      <c r="F166" s="2252"/>
      <c r="G166" s="2471"/>
      <c r="H166" s="2252"/>
      <c r="I166" s="2249">
        <f t="shared" si="47"/>
        <v>0</v>
      </c>
      <c r="J166" s="2252"/>
      <c r="K166" s="2471"/>
      <c r="L166" s="2252"/>
      <c r="M166" s="2249">
        <f t="shared" si="48"/>
        <v>0</v>
      </c>
      <c r="N166" s="922"/>
      <c r="O166" s="922"/>
      <c r="P166" s="179"/>
      <c r="Q166" s="706"/>
      <c r="R166" s="179"/>
      <c r="S166" s="706"/>
      <c r="T166" s="708"/>
      <c r="U166" s="706"/>
      <c r="V166" s="706"/>
      <c r="W166" s="706"/>
      <c r="X166" s="706"/>
      <c r="Y166" s="706"/>
      <c r="Z166" s="706"/>
      <c r="AA166" s="706"/>
    </row>
    <row r="167" spans="2:27">
      <c r="B167" s="2468" t="s">
        <v>341</v>
      </c>
      <c r="C167" s="2492"/>
      <c r="D167" s="2493">
        <f t="shared" si="46"/>
        <v>0</v>
      </c>
      <c r="E167" s="2471"/>
      <c r="F167" s="2252"/>
      <c r="G167" s="2471"/>
      <c r="H167" s="2252"/>
      <c r="I167" s="2249">
        <f t="shared" si="47"/>
        <v>0</v>
      </c>
      <c r="J167" s="2252"/>
      <c r="K167" s="2471"/>
      <c r="L167" s="2252"/>
      <c r="M167" s="2249">
        <f t="shared" si="48"/>
        <v>0</v>
      </c>
      <c r="N167" s="922"/>
      <c r="O167" s="922"/>
      <c r="P167" s="179"/>
      <c r="Q167" s="706"/>
      <c r="R167" s="179"/>
      <c r="S167" s="706"/>
      <c r="T167" s="708"/>
      <c r="U167" s="706"/>
      <c r="V167" s="706"/>
      <c r="W167" s="706"/>
      <c r="X167" s="706"/>
      <c r="Y167" s="706"/>
      <c r="Z167" s="706"/>
      <c r="AA167" s="706"/>
    </row>
    <row r="168" spans="2:27">
      <c r="B168" s="2468" t="s">
        <v>342</v>
      </c>
      <c r="C168" s="2492">
        <v>3</v>
      </c>
      <c r="D168" s="2493">
        <f t="shared" si="46"/>
        <v>9782.9399999999987</v>
      </c>
      <c r="E168" s="2471"/>
      <c r="F168" s="2252"/>
      <c r="G168" s="2471">
        <v>0</v>
      </c>
      <c r="H168" s="2252">
        <v>8021.9752599999993</v>
      </c>
      <c r="I168" s="2249">
        <f t="shared" si="47"/>
        <v>8021.9752599999993</v>
      </c>
      <c r="J168" s="2252"/>
      <c r="K168" s="2471"/>
      <c r="L168" s="2252">
        <v>1760.9647399999999</v>
      </c>
      <c r="M168" s="2249">
        <f t="shared" si="48"/>
        <v>1760.9647399999999</v>
      </c>
      <c r="N168" s="922"/>
      <c r="O168" s="922"/>
      <c r="P168" s="179"/>
      <c r="Q168" s="706"/>
      <c r="R168" s="179"/>
      <c r="S168" s="706"/>
      <c r="T168" s="708"/>
      <c r="U168" s="706"/>
      <c r="V168" s="706"/>
      <c r="W168" s="706"/>
      <c r="X168" s="706"/>
      <c r="Y168" s="706"/>
      <c r="Z168" s="706"/>
      <c r="AA168" s="706"/>
    </row>
    <row r="169" spans="2:27">
      <c r="B169" s="2468" t="s">
        <v>343</v>
      </c>
      <c r="C169" s="2492"/>
      <c r="D169" s="2493">
        <f t="shared" si="46"/>
        <v>0</v>
      </c>
      <c r="E169" s="2471"/>
      <c r="F169" s="2252"/>
      <c r="G169" s="2471"/>
      <c r="H169" s="2252"/>
      <c r="I169" s="2249">
        <f t="shared" si="47"/>
        <v>0</v>
      </c>
      <c r="J169" s="2252"/>
      <c r="K169" s="2471"/>
      <c r="L169" s="2252"/>
      <c r="M169" s="2249">
        <f t="shared" si="48"/>
        <v>0</v>
      </c>
      <c r="P169" s="179"/>
      <c r="Q169" s="706"/>
      <c r="R169" s="179"/>
      <c r="S169" s="706"/>
      <c r="T169" s="708"/>
      <c r="U169" s="706"/>
      <c r="V169" s="706"/>
      <c r="W169" s="706"/>
      <c r="X169" s="706"/>
      <c r="Y169" s="706"/>
      <c r="Z169" s="706"/>
      <c r="AA169" s="706"/>
    </row>
    <row r="170" spans="2:27">
      <c r="B170" s="2468" t="s">
        <v>343</v>
      </c>
      <c r="C170" s="2492"/>
      <c r="D170" s="2493">
        <f t="shared" si="46"/>
        <v>0</v>
      </c>
      <c r="E170" s="2471"/>
      <c r="F170" s="2252"/>
      <c r="G170" s="2471"/>
      <c r="H170" s="2252"/>
      <c r="I170" s="2249">
        <f t="shared" si="47"/>
        <v>0</v>
      </c>
      <c r="J170" s="2252"/>
      <c r="K170" s="2471"/>
      <c r="L170" s="2252"/>
      <c r="M170" s="2249">
        <f t="shared" si="48"/>
        <v>0</v>
      </c>
      <c r="P170" s="179"/>
      <c r="Q170" s="706"/>
      <c r="R170" s="179"/>
      <c r="S170" s="706"/>
      <c r="T170" s="708"/>
      <c r="U170" s="706"/>
      <c r="V170" s="706"/>
      <c r="W170" s="706"/>
      <c r="X170" s="706"/>
      <c r="Y170" s="706"/>
      <c r="Z170" s="706"/>
      <c r="AA170" s="706"/>
    </row>
    <row r="171" spans="2:27">
      <c r="B171" s="2468"/>
      <c r="C171" s="2492"/>
      <c r="D171" s="2493">
        <f t="shared" si="46"/>
        <v>0</v>
      </c>
      <c r="E171" s="2471"/>
      <c r="F171" s="2252"/>
      <c r="G171" s="2471"/>
      <c r="H171" s="2252"/>
      <c r="I171" s="2249">
        <f t="shared" si="47"/>
        <v>0</v>
      </c>
      <c r="J171" s="2252"/>
      <c r="K171" s="2471"/>
      <c r="L171" s="2252"/>
      <c r="M171" s="2249">
        <f t="shared" si="48"/>
        <v>0</v>
      </c>
      <c r="P171" s="179"/>
      <c r="Q171" s="706"/>
      <c r="R171" s="179"/>
      <c r="S171" s="706"/>
      <c r="T171" s="708"/>
      <c r="U171" s="706"/>
      <c r="V171" s="706"/>
      <c r="W171" s="706"/>
      <c r="X171" s="706"/>
      <c r="Y171" s="706"/>
      <c r="Z171" s="706"/>
      <c r="AA171" s="706"/>
    </row>
    <row r="172" spans="2:27">
      <c r="B172" s="2478" t="s">
        <v>344</v>
      </c>
      <c r="C172" s="2494"/>
      <c r="D172" s="2493">
        <f t="shared" si="46"/>
        <v>2249524.8796606981</v>
      </c>
      <c r="E172" s="2471">
        <f>E161+E163</f>
        <v>0</v>
      </c>
      <c r="F172" s="2252">
        <f>F161+F163</f>
        <v>0</v>
      </c>
      <c r="G172" s="2471">
        <f>G161+G163</f>
        <v>162178.40045572823</v>
      </c>
      <c r="H172" s="2252">
        <f>H161+H163</f>
        <v>1905306.2809949699</v>
      </c>
      <c r="I172" s="2249">
        <f t="shared" si="47"/>
        <v>2067484.6814506981</v>
      </c>
      <c r="J172" s="2252">
        <f>J161+J163</f>
        <v>0</v>
      </c>
      <c r="K172" s="2471">
        <f>K161+K163</f>
        <v>0</v>
      </c>
      <c r="L172" s="2252">
        <f>L161+L163</f>
        <v>182040.19820999989</v>
      </c>
      <c r="M172" s="2249">
        <f t="shared" si="48"/>
        <v>182040.19820999989</v>
      </c>
      <c r="N172" s="927"/>
      <c r="O172" s="922"/>
      <c r="P172" s="179"/>
      <c r="Q172" s="706"/>
      <c r="R172" s="179"/>
      <c r="S172" s="706"/>
      <c r="T172" s="708"/>
      <c r="U172" s="706"/>
      <c r="V172" s="706"/>
      <c r="W172" s="706"/>
      <c r="X172" s="706"/>
      <c r="Y172" s="706"/>
      <c r="Z172" s="706"/>
      <c r="AA172" s="706"/>
    </row>
    <row r="173" spans="2:27">
      <c r="B173" s="2478"/>
      <c r="C173" s="2494"/>
      <c r="D173" s="2493">
        <f t="shared" si="46"/>
        <v>0</v>
      </c>
      <c r="E173" s="2471"/>
      <c r="F173" s="2252"/>
      <c r="G173" s="2471"/>
      <c r="H173" s="2252"/>
      <c r="I173" s="2249">
        <f t="shared" si="47"/>
        <v>0</v>
      </c>
      <c r="J173" s="2252"/>
      <c r="K173" s="2471"/>
      <c r="L173" s="2252"/>
      <c r="M173" s="2249"/>
      <c r="P173" s="179"/>
      <c r="Q173" s="706"/>
      <c r="R173" s="179"/>
      <c r="S173" s="706"/>
      <c r="T173" s="708"/>
      <c r="U173" s="706"/>
      <c r="V173" s="706"/>
      <c r="W173" s="706"/>
      <c r="X173" s="706"/>
      <c r="Y173" s="706"/>
      <c r="Z173" s="706"/>
      <c r="AA173" s="706"/>
    </row>
    <row r="174" spans="2:27">
      <c r="B174" s="2468" t="s">
        <v>345</v>
      </c>
      <c r="C174" s="2492"/>
      <c r="D174" s="2493">
        <f t="shared" si="46"/>
        <v>528035.21000000008</v>
      </c>
      <c r="E174" s="2471"/>
      <c r="F174" s="2252"/>
      <c r="G174" s="2471">
        <v>142508.67775</v>
      </c>
      <c r="H174" s="2252">
        <v>298843.30099000002</v>
      </c>
      <c r="I174" s="2249">
        <f t="shared" si="47"/>
        <v>441351.97874000005</v>
      </c>
      <c r="J174" s="2252"/>
      <c r="K174" s="2471"/>
      <c r="L174" s="2252">
        <v>86683.23126</v>
      </c>
      <c r="M174" s="2249">
        <f t="shared" ref="M174:M192" si="49">L174+K174+J174</f>
        <v>86683.23126</v>
      </c>
      <c r="N174" s="922"/>
      <c r="O174" s="922"/>
      <c r="P174" s="179"/>
      <c r="Q174" s="706"/>
      <c r="R174" s="179"/>
      <c r="S174" s="706"/>
      <c r="T174" s="708"/>
      <c r="U174" s="706"/>
      <c r="V174" s="706"/>
      <c r="W174" s="706"/>
      <c r="X174" s="706"/>
      <c r="Y174" s="706"/>
      <c r="Z174" s="706"/>
      <c r="AA174" s="706"/>
    </row>
    <row r="175" spans="2:27">
      <c r="B175" s="2468" t="s">
        <v>346</v>
      </c>
      <c r="C175" s="2492"/>
      <c r="D175" s="2493">
        <f t="shared" si="46"/>
        <v>-113920.07999999999</v>
      </c>
      <c r="E175" s="2471"/>
      <c r="F175" s="2252"/>
      <c r="G175" s="2471">
        <v>-46553.398999999998</v>
      </c>
      <c r="H175" s="2252">
        <v>-42627.365899999997</v>
      </c>
      <c r="I175" s="2249">
        <f t="shared" si="47"/>
        <v>-89180.764899999995</v>
      </c>
      <c r="J175" s="2252"/>
      <c r="K175" s="2471"/>
      <c r="L175" s="2252">
        <v>-24739.3151</v>
      </c>
      <c r="M175" s="2249">
        <f t="shared" si="49"/>
        <v>-24739.3151</v>
      </c>
      <c r="N175" s="922"/>
      <c r="O175" s="922"/>
      <c r="P175" s="179"/>
      <c r="Q175" s="706"/>
      <c r="R175" s="179"/>
      <c r="S175" s="706"/>
      <c r="T175" s="708"/>
      <c r="U175" s="706"/>
      <c r="V175" s="706"/>
      <c r="W175" s="706"/>
      <c r="X175" s="706"/>
      <c r="Y175" s="706"/>
      <c r="Z175" s="706"/>
      <c r="AA175" s="706"/>
    </row>
    <row r="176" spans="2:27">
      <c r="B176" s="2468" t="s">
        <v>347</v>
      </c>
      <c r="C176" s="2492"/>
      <c r="D176" s="2493">
        <f t="shared" si="46"/>
        <v>0</v>
      </c>
      <c r="E176" s="2471"/>
      <c r="F176" s="2252"/>
      <c r="G176" s="2471"/>
      <c r="H176" s="2252"/>
      <c r="I176" s="2249">
        <f t="shared" si="47"/>
        <v>0</v>
      </c>
      <c r="J176" s="2252"/>
      <c r="K176" s="2471"/>
      <c r="L176" s="2252"/>
      <c r="M176" s="2249">
        <f t="shared" si="49"/>
        <v>0</v>
      </c>
      <c r="N176" s="922"/>
      <c r="O176" s="922"/>
      <c r="P176" s="179"/>
      <c r="Q176" s="706"/>
      <c r="R176" s="179"/>
      <c r="S176" s="706"/>
      <c r="T176" s="708"/>
      <c r="U176" s="706"/>
      <c r="V176" s="706"/>
      <c r="W176" s="706"/>
      <c r="X176" s="706"/>
      <c r="Y176" s="706"/>
      <c r="Z176" s="706"/>
      <c r="AA176" s="706"/>
    </row>
    <row r="177" spans="2:27" ht="12.75" customHeight="1">
      <c r="B177" s="2479" t="s">
        <v>348</v>
      </c>
      <c r="C177" s="2492"/>
      <c r="D177" s="2493">
        <f t="shared" si="46"/>
        <v>0</v>
      </c>
      <c r="E177" s="2471"/>
      <c r="F177" s="2252"/>
      <c r="G177" s="2471"/>
      <c r="H177" s="2252"/>
      <c r="I177" s="2249">
        <f t="shared" si="47"/>
        <v>0</v>
      </c>
      <c r="J177" s="2252"/>
      <c r="K177" s="2471"/>
      <c r="L177" s="2252"/>
      <c r="M177" s="2249">
        <f t="shared" si="49"/>
        <v>0</v>
      </c>
      <c r="N177" s="922"/>
      <c r="O177" s="922"/>
      <c r="P177" s="179"/>
      <c r="Q177" s="706"/>
      <c r="R177" s="179"/>
      <c r="S177" s="706"/>
      <c r="T177" s="708"/>
      <c r="U177" s="706"/>
      <c r="V177" s="706"/>
      <c r="W177" s="706"/>
      <c r="X177" s="706"/>
      <c r="Y177" s="706"/>
      <c r="Z177" s="706"/>
      <c r="AA177" s="706"/>
    </row>
    <row r="178" spans="2:27">
      <c r="B178" s="2468" t="s">
        <v>349</v>
      </c>
      <c r="C178" s="2492"/>
      <c r="D178" s="2493">
        <f t="shared" si="46"/>
        <v>1092082.25</v>
      </c>
      <c r="E178" s="2471"/>
      <c r="F178" s="2252"/>
      <c r="G178" s="2471">
        <v>437.57545552045099</v>
      </c>
      <c r="H178" s="2252">
        <v>1056218.5445444796</v>
      </c>
      <c r="I178" s="2249">
        <f t="shared" si="47"/>
        <v>1056656.1200000001</v>
      </c>
      <c r="J178" s="2252"/>
      <c r="K178" s="2471"/>
      <c r="L178" s="2252">
        <v>35426.130000000005</v>
      </c>
      <c r="M178" s="2249">
        <f t="shared" si="49"/>
        <v>35426.130000000005</v>
      </c>
      <c r="N178" s="922"/>
      <c r="O178" s="922"/>
      <c r="P178" s="179"/>
      <c r="Q178" s="706"/>
      <c r="R178" s="179"/>
      <c r="S178" s="706"/>
      <c r="T178" s="708"/>
      <c r="U178" s="706"/>
      <c r="V178" s="706"/>
      <c r="W178" s="706"/>
      <c r="X178" s="706"/>
      <c r="Y178" s="706"/>
      <c r="Z178" s="706"/>
      <c r="AA178" s="706"/>
    </row>
    <row r="179" spans="2:27" ht="51">
      <c r="B179" s="2479" t="s">
        <v>350</v>
      </c>
      <c r="C179" s="2492"/>
      <c r="D179" s="2493">
        <f t="shared" si="46"/>
        <v>0</v>
      </c>
      <c r="E179" s="2471"/>
      <c r="F179" s="2252"/>
      <c r="G179" s="2471"/>
      <c r="H179" s="2252"/>
      <c r="I179" s="2249">
        <f t="shared" si="47"/>
        <v>0</v>
      </c>
      <c r="J179" s="2252"/>
      <c r="K179" s="2471"/>
      <c r="L179" s="2252"/>
      <c r="M179" s="2249">
        <f t="shared" si="49"/>
        <v>0</v>
      </c>
      <c r="N179" s="922"/>
      <c r="O179" s="922"/>
      <c r="P179" s="179"/>
      <c r="Q179" s="706"/>
      <c r="R179" s="179"/>
      <c r="S179" s="706"/>
      <c r="T179" s="708"/>
      <c r="U179" s="706"/>
      <c r="V179" s="706"/>
      <c r="W179" s="706"/>
      <c r="X179" s="706"/>
      <c r="Y179" s="706"/>
      <c r="Z179" s="706"/>
      <c r="AA179" s="706"/>
    </row>
    <row r="180" spans="2:27">
      <c r="B180" s="2478" t="s">
        <v>351</v>
      </c>
      <c r="C180" s="2494"/>
      <c r="D180" s="2493">
        <f t="shared" si="46"/>
        <v>1506197.38</v>
      </c>
      <c r="E180" s="2471">
        <f>SUM(E174:E179)</f>
        <v>0</v>
      </c>
      <c r="F180" s="2252">
        <f>SUM(F174:F179)</f>
        <v>0</v>
      </c>
      <c r="G180" s="2471">
        <f>SUM(G174:G179)</f>
        <v>96392.854205520445</v>
      </c>
      <c r="H180" s="2252">
        <f>SUM(H174:H179)</f>
        <v>1312434.4796344796</v>
      </c>
      <c r="I180" s="2249">
        <f t="shared" si="47"/>
        <v>1408827.33384</v>
      </c>
      <c r="J180" s="2252">
        <f>SUM(J174:J179)</f>
        <v>0</v>
      </c>
      <c r="K180" s="2471">
        <f>SUM(K174:K179)</f>
        <v>0</v>
      </c>
      <c r="L180" s="2252">
        <f>SUM(L174:L179)</f>
        <v>97370.046159999998</v>
      </c>
      <c r="M180" s="2249">
        <f t="shared" si="49"/>
        <v>97370.046159999998</v>
      </c>
      <c r="N180" s="927"/>
      <c r="O180" s="922"/>
      <c r="P180" s="179"/>
      <c r="Q180" s="706"/>
      <c r="R180" s="179"/>
      <c r="S180" s="706"/>
      <c r="T180" s="708"/>
      <c r="U180" s="706"/>
      <c r="V180" s="706"/>
      <c r="W180" s="706"/>
      <c r="X180" s="706"/>
      <c r="Y180" s="706"/>
      <c r="Z180" s="706"/>
      <c r="AA180" s="706"/>
    </row>
    <row r="181" spans="2:27">
      <c r="B181" s="2468"/>
      <c r="C181" s="2492"/>
      <c r="D181" s="2493">
        <f t="shared" si="46"/>
        <v>0</v>
      </c>
      <c r="E181" s="2471"/>
      <c r="F181" s="2252"/>
      <c r="G181" s="2471"/>
      <c r="H181" s="2252"/>
      <c r="I181" s="2249">
        <f t="shared" si="47"/>
        <v>0</v>
      </c>
      <c r="J181" s="2252"/>
      <c r="K181" s="2471"/>
      <c r="L181" s="2252"/>
      <c r="M181" s="2249">
        <f t="shared" si="49"/>
        <v>0</v>
      </c>
      <c r="O181" s="922"/>
      <c r="P181" s="179"/>
      <c r="Q181" s="706"/>
      <c r="R181" s="179"/>
      <c r="S181" s="706"/>
      <c r="T181" s="708"/>
      <c r="U181" s="706"/>
      <c r="V181" s="706"/>
      <c r="W181" s="706"/>
      <c r="X181" s="706"/>
      <c r="Y181" s="706"/>
      <c r="Z181" s="706"/>
      <c r="AA181" s="706"/>
    </row>
    <row r="182" spans="2:27" ht="51">
      <c r="B182" s="2479" t="s">
        <v>352</v>
      </c>
      <c r="C182" s="2492"/>
      <c r="D182" s="2493">
        <f t="shared" si="46"/>
        <v>335322.3</v>
      </c>
      <c r="E182" s="2471"/>
      <c r="F182" s="2252"/>
      <c r="G182" s="2471">
        <v>29017.848617214499</v>
      </c>
      <c r="H182" s="2252">
        <v>282356.97838278551</v>
      </c>
      <c r="I182" s="2249">
        <f t="shared" si="47"/>
        <v>311374.82699999999</v>
      </c>
      <c r="J182" s="2252"/>
      <c r="K182" s="2471"/>
      <c r="L182" s="2252">
        <v>23947.472999999998</v>
      </c>
      <c r="M182" s="2249">
        <f t="shared" si="49"/>
        <v>23947.472999999998</v>
      </c>
      <c r="N182" s="922"/>
      <c r="O182" s="922"/>
      <c r="P182" s="179"/>
      <c r="Q182" s="706"/>
      <c r="R182" s="179"/>
      <c r="S182" s="706"/>
      <c r="T182" s="708"/>
      <c r="U182" s="706"/>
      <c r="V182" s="706"/>
      <c r="W182" s="706"/>
      <c r="X182" s="706"/>
      <c r="Y182" s="706"/>
      <c r="Z182" s="706"/>
      <c r="AA182" s="706"/>
    </row>
    <row r="183" spans="2:27">
      <c r="B183" s="2468"/>
      <c r="C183" s="2492"/>
      <c r="D183" s="2493">
        <f t="shared" si="46"/>
        <v>0</v>
      </c>
      <c r="E183" s="2471"/>
      <c r="F183" s="2252"/>
      <c r="G183" s="2471"/>
      <c r="H183" s="2252"/>
      <c r="I183" s="2249">
        <f t="shared" si="47"/>
        <v>0</v>
      </c>
      <c r="J183" s="2252"/>
      <c r="K183" s="2471"/>
      <c r="L183" s="2252"/>
      <c r="M183" s="2249">
        <f t="shared" si="49"/>
        <v>0</v>
      </c>
      <c r="N183" s="922"/>
      <c r="O183" s="922"/>
      <c r="P183" s="179"/>
      <c r="Q183" s="706"/>
      <c r="R183" s="179"/>
      <c r="S183" s="706"/>
      <c r="T183" s="708"/>
      <c r="U183" s="706"/>
      <c r="V183" s="706"/>
      <c r="W183" s="706"/>
      <c r="X183" s="706"/>
      <c r="Y183" s="706"/>
      <c r="Z183" s="706"/>
      <c r="AA183" s="706"/>
    </row>
    <row r="184" spans="2:27" ht="12.75" customHeight="1">
      <c r="B184" s="2479" t="s">
        <v>353</v>
      </c>
      <c r="C184" s="2492">
        <v>4</v>
      </c>
      <c r="D184" s="2493">
        <f t="shared" si="46"/>
        <v>330517.81000000017</v>
      </c>
      <c r="E184" s="2471">
        <v>16096.099999999999</v>
      </c>
      <c r="F184" s="2252"/>
      <c r="G184" s="2471">
        <v>57617.120807527899</v>
      </c>
      <c r="H184" s="2252">
        <v>199270.19966973411</v>
      </c>
      <c r="I184" s="2249">
        <f t="shared" si="47"/>
        <v>256887.32047726202</v>
      </c>
      <c r="J184" s="2252"/>
      <c r="K184" s="2471"/>
      <c r="L184" s="2252">
        <v>57534.389522738202</v>
      </c>
      <c r="M184" s="2249">
        <f t="shared" si="49"/>
        <v>57534.389522738202</v>
      </c>
      <c r="N184" s="922"/>
      <c r="O184" s="922"/>
      <c r="P184" s="179"/>
      <c r="Q184" s="706"/>
      <c r="R184" s="179"/>
      <c r="S184" s="706"/>
      <c r="T184" s="708"/>
      <c r="U184" s="706"/>
      <c r="V184" s="706"/>
      <c r="W184" s="706"/>
      <c r="X184" s="706"/>
      <c r="Y184" s="706"/>
      <c r="Z184" s="706"/>
      <c r="AA184" s="706"/>
    </row>
    <row r="185" spans="2:27">
      <c r="B185" s="2468" t="s">
        <v>354</v>
      </c>
      <c r="C185" s="2492"/>
      <c r="D185" s="2493">
        <f t="shared" si="46"/>
        <v>0</v>
      </c>
      <c r="E185" s="2471"/>
      <c r="F185" s="2252"/>
      <c r="G185" s="2471"/>
      <c r="H185" s="2252"/>
      <c r="I185" s="2249">
        <f t="shared" si="47"/>
        <v>0</v>
      </c>
      <c r="J185" s="2252"/>
      <c r="K185" s="2471"/>
      <c r="L185" s="2252"/>
      <c r="M185" s="2249">
        <f t="shared" si="49"/>
        <v>0</v>
      </c>
      <c r="N185" s="922"/>
      <c r="O185" s="922"/>
      <c r="P185" s="179"/>
      <c r="Q185" s="706"/>
      <c r="R185" s="179"/>
      <c r="S185" s="706"/>
      <c r="T185" s="708"/>
      <c r="U185" s="706"/>
      <c r="V185" s="706"/>
      <c r="W185" s="706"/>
      <c r="X185" s="706"/>
      <c r="Y185" s="706"/>
      <c r="Z185" s="706"/>
      <c r="AA185" s="706"/>
    </row>
    <row r="186" spans="2:27">
      <c r="B186" s="2468" t="s">
        <v>355</v>
      </c>
      <c r="C186" s="2492"/>
      <c r="D186" s="2493">
        <f t="shared" si="46"/>
        <v>0</v>
      </c>
      <c r="E186" s="2471"/>
      <c r="F186" s="2252"/>
      <c r="G186" s="2471"/>
      <c r="H186" s="2252"/>
      <c r="I186" s="2249">
        <f t="shared" si="47"/>
        <v>0</v>
      </c>
      <c r="J186" s="2252"/>
      <c r="K186" s="2471"/>
      <c r="L186" s="2252"/>
      <c r="M186" s="2249">
        <f t="shared" si="49"/>
        <v>0</v>
      </c>
      <c r="N186" s="922"/>
      <c r="O186" s="922"/>
      <c r="P186" s="179"/>
      <c r="Q186" s="706"/>
      <c r="R186" s="179"/>
      <c r="S186" s="706"/>
      <c r="T186" s="708"/>
      <c r="U186" s="706"/>
      <c r="V186" s="706"/>
      <c r="W186" s="706"/>
      <c r="X186" s="706"/>
      <c r="Y186" s="706"/>
      <c r="Z186" s="706"/>
      <c r="AA186" s="706"/>
    </row>
    <row r="187" spans="2:27">
      <c r="B187" s="2478" t="s">
        <v>356</v>
      </c>
      <c r="C187" s="2494"/>
      <c r="D187" s="2493">
        <f t="shared" si="46"/>
        <v>330517.81000000017</v>
      </c>
      <c r="E187" s="2471">
        <f>SUM(E184:E186)</f>
        <v>16096.099999999999</v>
      </c>
      <c r="F187" s="2252">
        <f>SUM(F184:F186)</f>
        <v>0</v>
      </c>
      <c r="G187" s="2471">
        <f>SUM(G184:G186)</f>
        <v>57617.120807527899</v>
      </c>
      <c r="H187" s="2252">
        <f>SUM(H184:H186)</f>
        <v>199270.19966973411</v>
      </c>
      <c r="I187" s="2249">
        <f t="shared" si="47"/>
        <v>256887.32047726202</v>
      </c>
      <c r="J187" s="2252">
        <f>SUM(J184:J186)</f>
        <v>0</v>
      </c>
      <c r="K187" s="2471">
        <f>SUM(K184:K186)</f>
        <v>0</v>
      </c>
      <c r="L187" s="2252">
        <f>SUM(L184:L186)</f>
        <v>57534.389522738202</v>
      </c>
      <c r="M187" s="2249">
        <f t="shared" si="49"/>
        <v>57534.389522738202</v>
      </c>
      <c r="N187" s="927"/>
      <c r="O187" s="922"/>
      <c r="P187" s="179"/>
      <c r="Q187" s="706"/>
      <c r="R187" s="179"/>
      <c r="S187" s="706"/>
      <c r="T187" s="708"/>
      <c r="U187" s="706"/>
      <c r="V187" s="706"/>
      <c r="W187" s="706"/>
      <c r="X187" s="706"/>
      <c r="Y187" s="706"/>
      <c r="Z187" s="706"/>
      <c r="AA187" s="706"/>
    </row>
    <row r="188" spans="2:27">
      <c r="B188" s="2478"/>
      <c r="C188" s="2494"/>
      <c r="D188" s="2493">
        <f t="shared" si="46"/>
        <v>0</v>
      </c>
      <c r="E188" s="2471"/>
      <c r="F188" s="2252"/>
      <c r="G188" s="2471"/>
      <c r="H188" s="2252"/>
      <c r="I188" s="2249">
        <f t="shared" si="47"/>
        <v>0</v>
      </c>
      <c r="J188" s="2252"/>
      <c r="K188" s="2471"/>
      <c r="L188" s="2252"/>
      <c r="M188" s="2249">
        <f t="shared" si="49"/>
        <v>0</v>
      </c>
      <c r="P188" s="179"/>
      <c r="Q188" s="706"/>
      <c r="R188" s="179"/>
      <c r="S188" s="706"/>
      <c r="T188" s="708"/>
      <c r="U188" s="706"/>
      <c r="V188" s="706"/>
      <c r="W188" s="706"/>
      <c r="X188" s="706"/>
      <c r="Y188" s="706"/>
      <c r="Z188" s="706"/>
      <c r="AA188" s="706"/>
    </row>
    <row r="189" spans="2:27">
      <c r="B189" s="2478" t="s">
        <v>357</v>
      </c>
      <c r="C189" s="2494"/>
      <c r="D189" s="2493">
        <f t="shared" si="46"/>
        <v>77487.389660697721</v>
      </c>
      <c r="E189" s="2471">
        <f>E172-E180-E182-E187</f>
        <v>-16096.099999999999</v>
      </c>
      <c r="F189" s="2252">
        <f>F172-F180-F182-F187</f>
        <v>0</v>
      </c>
      <c r="G189" s="2471">
        <f>G172-G180-G182-G187</f>
        <v>-20849.423174534611</v>
      </c>
      <c r="H189" s="2252">
        <f>H172-H180-H182-H187</f>
        <v>111244.62330797064</v>
      </c>
      <c r="I189" s="2249">
        <f t="shared" si="47"/>
        <v>90395.200133436039</v>
      </c>
      <c r="J189" s="2252">
        <f>J172-J180-J182-J187</f>
        <v>0</v>
      </c>
      <c r="K189" s="2471">
        <f>K172-K180-K182-K187</f>
        <v>0</v>
      </c>
      <c r="L189" s="2252">
        <f>L172-L180-L182-L187</f>
        <v>3188.2895272616879</v>
      </c>
      <c r="M189" s="2249">
        <f t="shared" si="49"/>
        <v>3188.2895272616879</v>
      </c>
      <c r="N189" s="927"/>
      <c r="O189" s="922"/>
      <c r="P189" s="179"/>
      <c r="Q189" s="706"/>
      <c r="R189" s="179"/>
      <c r="S189" s="706"/>
      <c r="T189" s="708"/>
      <c r="U189" s="706"/>
      <c r="V189" s="706"/>
      <c r="W189" s="706"/>
      <c r="X189" s="706"/>
      <c r="Y189" s="706"/>
      <c r="Z189" s="706"/>
      <c r="AA189" s="706"/>
    </row>
    <row r="190" spans="2:27">
      <c r="B190" s="2468" t="s">
        <v>358</v>
      </c>
      <c r="C190" s="2492"/>
      <c r="D190" s="2493">
        <f t="shared" si="46"/>
        <v>141033.28999999998</v>
      </c>
      <c r="E190" s="2471">
        <v>141033.28999999998</v>
      </c>
      <c r="F190" s="2252"/>
      <c r="G190" s="2471"/>
      <c r="H190" s="2252"/>
      <c r="I190" s="2249">
        <f t="shared" si="47"/>
        <v>0</v>
      </c>
      <c r="J190" s="2252"/>
      <c r="K190" s="2471"/>
      <c r="L190" s="2252"/>
      <c r="M190" s="2249">
        <f t="shared" si="49"/>
        <v>0</v>
      </c>
      <c r="N190" s="922"/>
      <c r="O190" s="922"/>
      <c r="P190" s="179"/>
      <c r="Q190" s="706"/>
      <c r="R190" s="179"/>
      <c r="S190" s="706"/>
      <c r="T190" s="708"/>
      <c r="U190" s="706"/>
      <c r="V190" s="706"/>
      <c r="W190" s="706"/>
      <c r="X190" s="706"/>
      <c r="Y190" s="706"/>
      <c r="Z190" s="706"/>
      <c r="AA190" s="706"/>
    </row>
    <row r="191" spans="2:27">
      <c r="B191" s="2468"/>
      <c r="C191" s="2492"/>
      <c r="D191" s="2493">
        <f t="shared" si="46"/>
        <v>0</v>
      </c>
      <c r="E191" s="2471"/>
      <c r="F191" s="2252"/>
      <c r="G191" s="2471"/>
      <c r="H191" s="2252"/>
      <c r="I191" s="2249">
        <f t="shared" si="47"/>
        <v>0</v>
      </c>
      <c r="J191" s="2252"/>
      <c r="K191" s="2471"/>
      <c r="L191" s="2252"/>
      <c r="M191" s="2249">
        <f t="shared" si="49"/>
        <v>0</v>
      </c>
      <c r="P191" s="179"/>
      <c r="Q191" s="706"/>
      <c r="R191" s="179"/>
      <c r="S191" s="706"/>
      <c r="T191" s="708"/>
      <c r="U191" s="706"/>
      <c r="V191" s="706"/>
      <c r="W191" s="706"/>
      <c r="X191" s="706"/>
      <c r="Y191" s="706"/>
      <c r="Z191" s="706"/>
      <c r="AA191" s="706"/>
    </row>
    <row r="192" spans="2:27" ht="13.5" thickBot="1">
      <c r="B192" s="1611" t="s">
        <v>359</v>
      </c>
      <c r="C192" s="1622"/>
      <c r="D192" s="1623">
        <f t="shared" si="46"/>
        <v>-63545.900339302258</v>
      </c>
      <c r="E192" s="1614">
        <f>E189-E190</f>
        <v>-157129.38999999998</v>
      </c>
      <c r="F192" s="1624">
        <f>F189-F190</f>
        <v>0</v>
      </c>
      <c r="G192" s="1614">
        <f>G189-G190</f>
        <v>-20849.423174534611</v>
      </c>
      <c r="H192" s="1624">
        <f>H189-H190</f>
        <v>111244.62330797064</v>
      </c>
      <c r="I192" s="1614">
        <f t="shared" si="47"/>
        <v>90395.200133436039</v>
      </c>
      <c r="J192" s="1624">
        <f>J189-J190</f>
        <v>0</v>
      </c>
      <c r="K192" s="1614">
        <f>K189-K190</f>
        <v>0</v>
      </c>
      <c r="L192" s="1624">
        <f>L189-L190</f>
        <v>3188.2895272616879</v>
      </c>
      <c r="M192" s="1614">
        <f t="shared" si="49"/>
        <v>3188.2895272616879</v>
      </c>
      <c r="N192" s="927"/>
      <c r="O192" s="922"/>
      <c r="P192" s="179"/>
      <c r="Q192" s="706"/>
      <c r="R192" s="179"/>
      <c r="S192" s="706"/>
      <c r="T192" s="708"/>
      <c r="U192" s="706"/>
      <c r="V192" s="706"/>
      <c r="W192" s="706"/>
      <c r="X192" s="706"/>
      <c r="Y192" s="706"/>
      <c r="Z192" s="706"/>
      <c r="AA192" s="706"/>
    </row>
    <row r="193" spans="1:38">
      <c r="D193" s="684"/>
      <c r="E193" s="684"/>
      <c r="F193" s="684"/>
      <c r="G193" s="684"/>
      <c r="H193" s="684"/>
      <c r="I193" s="684"/>
      <c r="J193" s="684"/>
      <c r="K193" s="684"/>
      <c r="L193" s="684"/>
      <c r="M193" s="684"/>
      <c r="O193" s="927"/>
      <c r="P193" s="179"/>
      <c r="Q193" s="706"/>
      <c r="R193" s="179"/>
    </row>
    <row r="194" spans="1:38">
      <c r="M194" s="673">
        <v>50</v>
      </c>
      <c r="R194" s="179"/>
    </row>
    <row r="195" spans="1:38" ht="12.75" customHeight="1">
      <c r="C195" s="934"/>
      <c r="R195" s="179"/>
    </row>
    <row r="196" spans="1:38" ht="12.75" customHeight="1" thickBot="1">
      <c r="A196" s="67"/>
      <c r="B196" s="67"/>
      <c r="C196" s="934"/>
      <c r="R196" s="179"/>
    </row>
    <row r="197" spans="1:38" ht="12.75" customHeight="1" thickBot="1">
      <c r="A197" s="1626" t="s">
        <v>125</v>
      </c>
      <c r="B197" s="1368" t="s">
        <v>312</v>
      </c>
      <c r="C197" s="934"/>
      <c r="L197" s="3538" t="s">
        <v>251</v>
      </c>
      <c r="M197" s="3538"/>
      <c r="R197" s="179"/>
    </row>
    <row r="198" spans="1:38" ht="12.75" customHeight="1" thickBot="1">
      <c r="B198" s="3578" t="s">
        <v>312</v>
      </c>
      <c r="C198" s="3523" t="s">
        <v>325</v>
      </c>
      <c r="D198" s="3518" t="s">
        <v>255</v>
      </c>
      <c r="E198" s="3518" t="s">
        <v>326</v>
      </c>
      <c r="F198" s="3574" t="s">
        <v>258</v>
      </c>
      <c r="G198" s="3574"/>
      <c r="H198" s="3574"/>
      <c r="I198" s="3574"/>
      <c r="J198" s="3574"/>
      <c r="K198" s="3574"/>
      <c r="L198" s="3574"/>
      <c r="M198" s="3574"/>
      <c r="R198" s="179"/>
    </row>
    <row r="199" spans="1:38" ht="12.75" customHeight="1">
      <c r="B199" s="3571"/>
      <c r="C199" s="3524"/>
      <c r="D199" s="3520"/>
      <c r="E199" s="3520"/>
      <c r="F199" s="3575" t="s">
        <v>259</v>
      </c>
      <c r="G199" s="3576"/>
      <c r="H199" s="3576"/>
      <c r="I199" s="3577"/>
      <c r="J199" s="3574" t="s">
        <v>327</v>
      </c>
      <c r="K199" s="3574"/>
      <c r="L199" s="3574"/>
      <c r="M199" s="3574"/>
      <c r="R199" s="179"/>
    </row>
    <row r="200" spans="1:38" ht="48" customHeight="1" thickBot="1">
      <c r="B200" s="3571"/>
      <c r="C200" s="3524"/>
      <c r="D200" s="3519"/>
      <c r="E200" s="3519"/>
      <c r="F200" s="1339" t="s">
        <v>261</v>
      </c>
      <c r="G200" s="1339" t="s">
        <v>262</v>
      </c>
      <c r="H200" s="1339" t="s">
        <v>263</v>
      </c>
      <c r="I200" s="1339" t="s">
        <v>158</v>
      </c>
      <c r="J200" s="1588" t="s">
        <v>328</v>
      </c>
      <c r="K200" s="1588" t="s">
        <v>265</v>
      </c>
      <c r="L200" s="1588" t="s">
        <v>329</v>
      </c>
      <c r="M200" s="1588" t="s">
        <v>158</v>
      </c>
      <c r="R200" s="179"/>
    </row>
    <row r="201" spans="1:38" ht="17.25" customHeight="1" thickBot="1">
      <c r="B201" s="3571"/>
      <c r="C201" s="3524"/>
      <c r="D201" s="1589">
        <v>1</v>
      </c>
      <c r="E201" s="3518">
        <v>2</v>
      </c>
      <c r="F201" s="3536">
        <v>3</v>
      </c>
      <c r="G201" s="3518">
        <v>4</v>
      </c>
      <c r="H201" s="1627"/>
      <c r="I201" s="1589">
        <v>6</v>
      </c>
      <c r="J201" s="3518">
        <v>7</v>
      </c>
      <c r="K201" s="3518">
        <v>8</v>
      </c>
      <c r="L201" s="3518">
        <v>9</v>
      </c>
      <c r="M201" s="1589">
        <v>10</v>
      </c>
      <c r="R201" s="179"/>
    </row>
    <row r="202" spans="1:38" ht="13.5" thickBot="1">
      <c r="B202" s="3572"/>
      <c r="C202" s="3525"/>
      <c r="D202" s="1590" t="s">
        <v>330</v>
      </c>
      <c r="E202" s="3519"/>
      <c r="F202" s="3545"/>
      <c r="G202" s="3519"/>
      <c r="H202" s="1628">
        <v>5</v>
      </c>
      <c r="I202" s="1590" t="s">
        <v>331</v>
      </c>
      <c r="J202" s="3519"/>
      <c r="K202" s="3519"/>
      <c r="L202" s="3519"/>
      <c r="M202" s="1590" t="s">
        <v>332</v>
      </c>
      <c r="N202" s="703"/>
      <c r="O202" s="703"/>
      <c r="R202" s="179"/>
    </row>
    <row r="203" spans="1:38">
      <c r="B203" s="1609" t="s">
        <v>333</v>
      </c>
      <c r="C203" s="980"/>
      <c r="D203" s="1621">
        <f t="shared" ref="D203:D242" si="50">E203+I203+M203</f>
        <v>16517327.69294</v>
      </c>
      <c r="E203" s="963">
        <v>0</v>
      </c>
      <c r="F203" s="982">
        <v>0</v>
      </c>
      <c r="G203" s="963">
        <f>133652657.28/1000</f>
        <v>133652.65728000001</v>
      </c>
      <c r="H203" s="982">
        <f>15661417832.35/1000</f>
        <v>15661417.832350001</v>
      </c>
      <c r="I203" s="1441">
        <f t="shared" ref="I203:I210" si="51">F203+G203+H203</f>
        <v>15795070.489630001</v>
      </c>
      <c r="J203" s="982">
        <f>722257203.31/1000</f>
        <v>722257.2033099999</v>
      </c>
      <c r="K203" s="963">
        <v>0</v>
      </c>
      <c r="L203" s="982">
        <v>0</v>
      </c>
      <c r="M203" s="1441">
        <f t="shared" ref="M203:M222" si="52">L203+K203+J203</f>
        <v>722257.2033099999</v>
      </c>
      <c r="N203" s="922"/>
      <c r="O203" s="922"/>
      <c r="P203" s="179"/>
      <c r="Q203" s="706"/>
      <c r="R203" s="179"/>
      <c r="S203" s="706"/>
      <c r="T203" s="708"/>
      <c r="U203" s="706"/>
      <c r="V203" s="706"/>
      <c r="W203" s="706"/>
      <c r="X203" s="706"/>
      <c r="Y203" s="706"/>
      <c r="Z203" s="706"/>
      <c r="AA203" s="706"/>
      <c r="AC203" s="705"/>
      <c r="AD203" s="705"/>
      <c r="AE203" s="705"/>
      <c r="AF203" s="705"/>
      <c r="AG203" s="705"/>
      <c r="AH203" s="705"/>
      <c r="AI203" s="705"/>
      <c r="AJ203" s="705"/>
      <c r="AK203" s="705"/>
      <c r="AL203" s="705"/>
    </row>
    <row r="204" spans="1:38">
      <c r="B204" s="2468"/>
      <c r="C204" s="2492"/>
      <c r="D204" s="2493">
        <f t="shared" si="50"/>
        <v>0</v>
      </c>
      <c r="E204" s="2471"/>
      <c r="F204" s="2252"/>
      <c r="G204" s="2471"/>
      <c r="H204" s="2252"/>
      <c r="I204" s="2249">
        <f t="shared" si="51"/>
        <v>0</v>
      </c>
      <c r="J204" s="2252"/>
      <c r="K204" s="2471"/>
      <c r="L204" s="2252"/>
      <c r="M204" s="2249">
        <f t="shared" si="52"/>
        <v>0</v>
      </c>
      <c r="P204" s="179"/>
      <c r="Q204" s="706"/>
      <c r="R204" s="179"/>
      <c r="S204" s="706"/>
      <c r="T204" s="708"/>
      <c r="U204" s="706"/>
      <c r="V204" s="706"/>
      <c r="W204" s="706"/>
      <c r="X204" s="706"/>
      <c r="Y204" s="706"/>
      <c r="Z204" s="706"/>
      <c r="AA204" s="706"/>
      <c r="AC204" s="705"/>
      <c r="AD204" s="705"/>
      <c r="AE204" s="705"/>
      <c r="AF204" s="705"/>
      <c r="AG204" s="705"/>
      <c r="AH204" s="705"/>
      <c r="AI204" s="705"/>
      <c r="AJ204" s="705"/>
      <c r="AK204" s="705"/>
      <c r="AL204" s="705"/>
    </row>
    <row r="205" spans="1:38">
      <c r="B205" s="2473" t="s">
        <v>334</v>
      </c>
      <c r="C205" s="2492"/>
      <c r="D205" s="2493">
        <f t="shared" si="50"/>
        <v>466809.94163999998</v>
      </c>
      <c r="E205" s="2471">
        <v>0</v>
      </c>
      <c r="F205" s="2252">
        <v>0</v>
      </c>
      <c r="G205" s="2471">
        <f>29947290.71/1000</f>
        <v>29947.290710000001</v>
      </c>
      <c r="H205" s="2252">
        <f>392448881.42/1000</f>
        <v>392448.88141999999</v>
      </c>
      <c r="I205" s="2249">
        <f t="shared" si="51"/>
        <v>422396.17212999996</v>
      </c>
      <c r="J205" s="2252">
        <f>44413769.51/1000</f>
        <v>44413.769509999998</v>
      </c>
      <c r="K205" s="2471">
        <v>0</v>
      </c>
      <c r="L205" s="2252">
        <v>0</v>
      </c>
      <c r="M205" s="2249">
        <f t="shared" si="52"/>
        <v>44413.769509999998</v>
      </c>
      <c r="N205" s="922"/>
      <c r="O205" s="922"/>
      <c r="P205" s="179"/>
      <c r="Q205" s="706"/>
      <c r="R205" s="179"/>
      <c r="S205" s="706"/>
      <c r="T205" s="708"/>
      <c r="U205" s="706"/>
      <c r="V205" s="706"/>
      <c r="W205" s="706"/>
      <c r="X205" s="706"/>
      <c r="Y205" s="706"/>
      <c r="Z205" s="706"/>
      <c r="AA205" s="706"/>
      <c r="AC205" s="705"/>
      <c r="AD205" s="705"/>
      <c r="AE205" s="705"/>
      <c r="AF205" s="705"/>
      <c r="AG205" s="705"/>
      <c r="AH205" s="705"/>
      <c r="AI205" s="705"/>
      <c r="AJ205" s="705"/>
      <c r="AK205" s="705"/>
      <c r="AL205" s="705"/>
    </row>
    <row r="206" spans="1:38">
      <c r="B206" s="2473"/>
      <c r="C206" s="2492"/>
      <c r="D206" s="2493">
        <f t="shared" si="50"/>
        <v>0</v>
      </c>
      <c r="E206" s="2471"/>
      <c r="F206" s="2252"/>
      <c r="G206" s="2471"/>
      <c r="H206" s="2252"/>
      <c r="I206" s="2249">
        <f t="shared" si="51"/>
        <v>0</v>
      </c>
      <c r="J206" s="2252"/>
      <c r="K206" s="2471"/>
      <c r="L206" s="2252"/>
      <c r="M206" s="2249">
        <f t="shared" si="52"/>
        <v>0</v>
      </c>
      <c r="P206" s="179"/>
      <c r="Q206" s="706"/>
      <c r="R206" s="179"/>
      <c r="S206" s="706"/>
      <c r="T206" s="708"/>
      <c r="U206" s="706"/>
      <c r="V206" s="706"/>
      <c r="W206" s="706"/>
      <c r="X206" s="706"/>
      <c r="Y206" s="706"/>
      <c r="Z206" s="706"/>
      <c r="AA206" s="706"/>
      <c r="AC206" s="705"/>
      <c r="AD206" s="705"/>
      <c r="AE206" s="705"/>
      <c r="AF206" s="705"/>
      <c r="AG206" s="705"/>
      <c r="AH206" s="705"/>
      <c r="AI206" s="705"/>
      <c r="AJ206" s="705"/>
      <c r="AK206" s="705"/>
      <c r="AL206" s="705"/>
    </row>
    <row r="207" spans="1:38" ht="12.75" customHeight="1">
      <c r="B207" s="2474" t="s">
        <v>335</v>
      </c>
      <c r="C207" s="2492"/>
      <c r="D207" s="2493">
        <f t="shared" si="50"/>
        <v>0</v>
      </c>
      <c r="E207" s="2471">
        <v>0</v>
      </c>
      <c r="F207" s="2252">
        <v>0</v>
      </c>
      <c r="G207" s="2471">
        <v>0</v>
      </c>
      <c r="H207" s="2252">
        <v>0</v>
      </c>
      <c r="I207" s="2249">
        <f t="shared" si="51"/>
        <v>0</v>
      </c>
      <c r="J207" s="2252">
        <v>0</v>
      </c>
      <c r="K207" s="2471">
        <v>0</v>
      </c>
      <c r="L207" s="2252">
        <v>0</v>
      </c>
      <c r="M207" s="2249">
        <f t="shared" si="52"/>
        <v>0</v>
      </c>
      <c r="N207" s="922"/>
      <c r="O207" s="922"/>
      <c r="P207" s="179"/>
      <c r="Q207" s="706"/>
      <c r="R207" s="179"/>
      <c r="S207" s="706"/>
      <c r="T207" s="708"/>
      <c r="U207" s="706"/>
      <c r="V207" s="706"/>
      <c r="W207" s="706"/>
      <c r="X207" s="706"/>
      <c r="Y207" s="706"/>
      <c r="Z207" s="706"/>
      <c r="AA207" s="706"/>
      <c r="AC207" s="705"/>
      <c r="AD207" s="705"/>
      <c r="AE207" s="705"/>
      <c r="AF207" s="705"/>
      <c r="AG207" s="705"/>
      <c r="AH207" s="705"/>
      <c r="AI207" s="705"/>
      <c r="AJ207" s="705"/>
      <c r="AK207" s="705"/>
      <c r="AL207" s="705"/>
    </row>
    <row r="208" spans="1:38">
      <c r="B208" s="2468"/>
      <c r="C208" s="2492"/>
      <c r="D208" s="2493">
        <f t="shared" si="50"/>
        <v>0</v>
      </c>
      <c r="E208" s="2471"/>
      <c r="F208" s="2252"/>
      <c r="G208" s="2471"/>
      <c r="H208" s="2252"/>
      <c r="I208" s="2249">
        <f t="shared" si="51"/>
        <v>0</v>
      </c>
      <c r="J208" s="2252"/>
      <c r="K208" s="2471"/>
      <c r="L208" s="2252"/>
      <c r="M208" s="2249">
        <f t="shared" si="52"/>
        <v>0</v>
      </c>
      <c r="P208" s="179"/>
      <c r="Q208" s="706"/>
      <c r="R208" s="179"/>
      <c r="S208" s="706"/>
      <c r="T208" s="708"/>
      <c r="U208" s="706"/>
      <c r="V208" s="706"/>
      <c r="W208" s="706"/>
      <c r="X208" s="706"/>
      <c r="Y208" s="706"/>
      <c r="Z208" s="706"/>
      <c r="AA208" s="706"/>
      <c r="AC208" s="705"/>
      <c r="AD208" s="705"/>
      <c r="AE208" s="705"/>
      <c r="AF208" s="705"/>
      <c r="AG208" s="705"/>
      <c r="AH208" s="705"/>
      <c r="AI208" s="705"/>
      <c r="AJ208" s="705"/>
      <c r="AK208" s="705"/>
      <c r="AL208" s="705"/>
    </row>
    <row r="209" spans="2:38">
      <c r="B209" s="2475" t="s">
        <v>336</v>
      </c>
      <c r="C209" s="2494"/>
      <c r="D209" s="2493">
        <f t="shared" si="50"/>
        <v>16050517.751300002</v>
      </c>
      <c r="E209" s="2471">
        <f>E203-E205+E207</f>
        <v>0</v>
      </c>
      <c r="F209" s="2252">
        <f>F203-F205+F207</f>
        <v>0</v>
      </c>
      <c r="G209" s="2471">
        <f>G203-G205+G207</f>
        <v>103705.36657000001</v>
      </c>
      <c r="H209" s="2252">
        <f>H203-H205+H207</f>
        <v>15268968.950930001</v>
      </c>
      <c r="I209" s="2249">
        <f t="shared" si="51"/>
        <v>15372674.317500001</v>
      </c>
      <c r="J209" s="2252">
        <f>J203-J205+J207</f>
        <v>677843.43379999988</v>
      </c>
      <c r="K209" s="2471">
        <f>K203-K205+K207</f>
        <v>0</v>
      </c>
      <c r="L209" s="2252">
        <f>L203-L205+L207</f>
        <v>0</v>
      </c>
      <c r="M209" s="2249">
        <f t="shared" si="52"/>
        <v>677843.43379999988</v>
      </c>
      <c r="N209" s="927"/>
      <c r="O209" s="922"/>
      <c r="P209" s="179"/>
      <c r="Q209" s="706"/>
      <c r="R209" s="179"/>
      <c r="S209" s="706"/>
      <c r="T209" s="708"/>
      <c r="U209" s="706"/>
      <c r="V209" s="706"/>
      <c r="W209" s="706"/>
      <c r="X209" s="706"/>
      <c r="Y209" s="706"/>
      <c r="Z209" s="706"/>
      <c r="AA209" s="706"/>
      <c r="AC209" s="705"/>
      <c r="AD209" s="705"/>
      <c r="AE209" s="705"/>
      <c r="AF209" s="705"/>
      <c r="AG209" s="705"/>
      <c r="AH209" s="705"/>
      <c r="AI209" s="705"/>
      <c r="AJ209" s="705"/>
      <c r="AK209" s="705"/>
      <c r="AL209" s="705"/>
    </row>
    <row r="210" spans="2:38">
      <c r="B210" s="2475"/>
      <c r="C210" s="2494"/>
      <c r="D210" s="2493">
        <f t="shared" si="50"/>
        <v>0</v>
      </c>
      <c r="E210" s="2471"/>
      <c r="F210" s="2252"/>
      <c r="G210" s="2471"/>
      <c r="H210" s="2252"/>
      <c r="I210" s="2249">
        <f t="shared" si="51"/>
        <v>0</v>
      </c>
      <c r="J210" s="2252"/>
      <c r="K210" s="2471"/>
      <c r="L210" s="2252"/>
      <c r="M210" s="2249">
        <f t="shared" si="52"/>
        <v>0</v>
      </c>
      <c r="P210" s="179"/>
      <c r="Q210" s="706"/>
      <c r="R210" s="179"/>
      <c r="S210" s="706"/>
      <c r="T210" s="708"/>
      <c r="U210" s="706"/>
      <c r="V210" s="706"/>
      <c r="W210" s="706"/>
      <c r="X210" s="706"/>
      <c r="Y210" s="706"/>
      <c r="Z210" s="706"/>
      <c r="AA210" s="706"/>
      <c r="AC210" s="705"/>
      <c r="AD210" s="705"/>
      <c r="AE210" s="705"/>
      <c r="AF210" s="705"/>
      <c r="AG210" s="705"/>
      <c r="AH210" s="705"/>
      <c r="AI210" s="705"/>
      <c r="AJ210" s="705"/>
      <c r="AK210" s="705"/>
      <c r="AL210" s="705"/>
    </row>
    <row r="211" spans="2:38">
      <c r="B211" s="2475" t="s">
        <v>337</v>
      </c>
      <c r="C211" s="2494"/>
      <c r="D211" s="2493">
        <f t="shared" si="50"/>
        <v>7421311.8330300003</v>
      </c>
      <c r="E211" s="2471">
        <f t="shared" ref="E211:L211" si="53">SUM(E212:E216)</f>
        <v>1567303.6059099999</v>
      </c>
      <c r="F211" s="2252">
        <f t="shared" si="53"/>
        <v>0</v>
      </c>
      <c r="G211" s="2471">
        <f t="shared" si="53"/>
        <v>41971.533739999992</v>
      </c>
      <c r="H211" s="2252">
        <f t="shared" si="53"/>
        <v>5074214.2512300005</v>
      </c>
      <c r="I211" s="2249">
        <f t="shared" si="53"/>
        <v>5116185.7849700004</v>
      </c>
      <c r="J211" s="2252">
        <f t="shared" si="53"/>
        <v>53246.042150000001</v>
      </c>
      <c r="K211" s="2471">
        <f t="shared" si="53"/>
        <v>4743.3999999999996</v>
      </c>
      <c r="L211" s="2252">
        <f t="shared" si="53"/>
        <v>679833</v>
      </c>
      <c r="M211" s="2249">
        <f t="shared" si="52"/>
        <v>737822.44215000002</v>
      </c>
      <c r="N211" s="927"/>
      <c r="O211" s="922"/>
      <c r="P211" s="179"/>
      <c r="Q211" s="706"/>
      <c r="R211" s="179"/>
      <c r="S211" s="706"/>
      <c r="T211" s="708"/>
      <c r="U211" s="706"/>
      <c r="V211" s="706"/>
      <c r="W211" s="706"/>
      <c r="X211" s="706"/>
      <c r="Y211" s="706"/>
      <c r="Z211" s="706"/>
      <c r="AA211" s="706"/>
      <c r="AC211" s="705"/>
      <c r="AD211" s="705"/>
      <c r="AE211" s="705"/>
      <c r="AF211" s="705"/>
      <c r="AG211" s="705"/>
      <c r="AH211" s="705"/>
      <c r="AI211" s="705"/>
      <c r="AJ211" s="705"/>
      <c r="AK211" s="705"/>
      <c r="AL211" s="705"/>
    </row>
    <row r="212" spans="2:38">
      <c r="B212" s="2468" t="s">
        <v>338</v>
      </c>
      <c r="C212" s="2492">
        <v>1</v>
      </c>
      <c r="D212" s="2493">
        <f t="shared" si="50"/>
        <v>5925756.8370900005</v>
      </c>
      <c r="E212" s="2471">
        <f>(1559612984.32/1000)</f>
        <v>1559612.98432</v>
      </c>
      <c r="F212" s="2252">
        <v>0</v>
      </c>
      <c r="G212" s="2471">
        <v>42113</v>
      </c>
      <c r="H212" s="2252">
        <v>4013957.3416700005</v>
      </c>
      <c r="I212" s="2249">
        <f t="shared" ref="I212:I242" si="54">F212+G212+H212</f>
        <v>4056070.3416700005</v>
      </c>
      <c r="J212" s="2252">
        <f>18221111.1/1000</f>
        <v>18221.111100000002</v>
      </c>
      <c r="K212" s="2471">
        <v>4743.3999999999996</v>
      </c>
      <c r="L212" s="2252">
        <v>287109</v>
      </c>
      <c r="M212" s="2249">
        <f t="shared" si="52"/>
        <v>310073.5111</v>
      </c>
      <c r="N212" s="922"/>
      <c r="O212" s="922"/>
      <c r="P212" s="179"/>
      <c r="Q212" s="706"/>
      <c r="R212" s="179"/>
      <c r="S212" s="706"/>
      <c r="T212" s="708"/>
      <c r="U212" s="706"/>
      <c r="V212" s="706"/>
      <c r="W212" s="706"/>
      <c r="X212" s="706"/>
      <c r="Y212" s="706"/>
      <c r="Z212" s="706"/>
      <c r="AA212" s="706"/>
      <c r="AC212" s="705"/>
      <c r="AD212" s="705"/>
      <c r="AE212" s="705"/>
      <c r="AF212" s="705"/>
      <c r="AG212" s="705"/>
      <c r="AH212" s="705"/>
      <c r="AI212" s="705"/>
      <c r="AJ212" s="705"/>
      <c r="AK212" s="705"/>
      <c r="AL212" s="705"/>
    </row>
    <row r="213" spans="2:38">
      <c r="B213" s="2468" t="s">
        <v>339</v>
      </c>
      <c r="C213" s="2492">
        <v>2</v>
      </c>
      <c r="D213" s="2493">
        <f t="shared" si="50"/>
        <v>1065288.11008</v>
      </c>
      <c r="E213" s="2471">
        <v>0</v>
      </c>
      <c r="F213" s="2252">
        <v>0</v>
      </c>
      <c r="G213" s="2471">
        <f>200834.5/1000</f>
        <v>200.83449999999999</v>
      </c>
      <c r="H213" s="2252">
        <v>1030116.2582599999</v>
      </c>
      <c r="I213" s="2249">
        <f t="shared" si="54"/>
        <v>1030317.0927599999</v>
      </c>
      <c r="J213" s="2252">
        <f>34971017.32/1000</f>
        <v>34971.017319999999</v>
      </c>
      <c r="K213" s="2471">
        <v>0</v>
      </c>
      <c r="L213" s="2252">
        <v>0</v>
      </c>
      <c r="M213" s="2249">
        <f t="shared" si="52"/>
        <v>34971.017319999999</v>
      </c>
      <c r="N213" s="922"/>
      <c r="O213" s="922"/>
      <c r="P213" s="179"/>
      <c r="Q213" s="706"/>
      <c r="R213" s="179"/>
      <c r="S213" s="706"/>
      <c r="T213" s="708"/>
      <c r="U213" s="706"/>
      <c r="V213" s="706"/>
      <c r="W213" s="706"/>
      <c r="X213" s="706"/>
      <c r="Y213" s="706"/>
      <c r="Z213" s="706"/>
      <c r="AA213" s="706"/>
      <c r="AC213" s="705"/>
      <c r="AD213" s="705"/>
      <c r="AE213" s="705"/>
      <c r="AF213" s="705"/>
      <c r="AG213" s="705"/>
      <c r="AH213" s="705"/>
      <c r="AI213" s="705"/>
      <c r="AJ213" s="705"/>
      <c r="AK213" s="705"/>
      <c r="AL213" s="705"/>
    </row>
    <row r="214" spans="2:38">
      <c r="B214" s="2468" t="s">
        <v>340</v>
      </c>
      <c r="C214" s="2492"/>
      <c r="D214" s="2493">
        <f t="shared" si="50"/>
        <v>54996.65425</v>
      </c>
      <c r="E214" s="2471">
        <v>8521.6395499999999</v>
      </c>
      <c r="F214" s="2252">
        <v>0</v>
      </c>
      <c r="G214" s="2471">
        <f>-343380.81/1000</f>
        <v>-343.38081</v>
      </c>
      <c r="H214" s="2252">
        <v>-5530.6044899999997</v>
      </c>
      <c r="I214" s="2249">
        <f t="shared" si="54"/>
        <v>-5873.9852999999994</v>
      </c>
      <c r="J214" s="2252"/>
      <c r="K214" s="2471">
        <v>0</v>
      </c>
      <c r="L214" s="2252">
        <v>52349</v>
      </c>
      <c r="M214" s="2249">
        <f t="shared" si="52"/>
        <v>52349</v>
      </c>
      <c r="N214" s="922"/>
      <c r="O214" s="922"/>
      <c r="P214" s="179"/>
      <c r="Q214" s="706"/>
      <c r="R214" s="179"/>
      <c r="S214" s="706"/>
      <c r="T214" s="708"/>
      <c r="U214" s="706"/>
      <c r="V214" s="706"/>
      <c r="W214" s="706"/>
      <c r="X214" s="706"/>
      <c r="Y214" s="706"/>
      <c r="Z214" s="706"/>
      <c r="AA214" s="706"/>
      <c r="AC214" s="705"/>
      <c r="AD214" s="705"/>
      <c r="AE214" s="705"/>
      <c r="AF214" s="705"/>
      <c r="AG214" s="705"/>
      <c r="AH214" s="705"/>
      <c r="AI214" s="705"/>
      <c r="AJ214" s="705"/>
      <c r="AK214" s="705"/>
      <c r="AL214" s="705"/>
    </row>
    <row r="215" spans="2:38">
      <c r="B215" s="2468" t="s">
        <v>341</v>
      </c>
      <c r="C215" s="2492"/>
      <c r="D215" s="2493">
        <f t="shared" si="50"/>
        <v>340282</v>
      </c>
      <c r="E215" s="2471">
        <v>0</v>
      </c>
      <c r="F215" s="2252">
        <v>0</v>
      </c>
      <c r="G215" s="2471">
        <v>0</v>
      </c>
      <c r="H215" s="2252">
        <v>0</v>
      </c>
      <c r="I215" s="2249">
        <f t="shared" si="54"/>
        <v>0</v>
      </c>
      <c r="J215" s="2252"/>
      <c r="K215" s="2471"/>
      <c r="L215" s="2252">
        <v>340282</v>
      </c>
      <c r="M215" s="2249">
        <f t="shared" si="52"/>
        <v>340282</v>
      </c>
      <c r="N215" s="922"/>
      <c r="O215" s="922"/>
      <c r="P215" s="179"/>
      <c r="Q215" s="706"/>
      <c r="R215" s="179"/>
      <c r="S215" s="706"/>
      <c r="T215" s="708"/>
      <c r="U215" s="706"/>
      <c r="V215" s="706"/>
      <c r="W215" s="706"/>
      <c r="X215" s="706"/>
      <c r="Y215" s="706"/>
      <c r="Z215" s="706"/>
      <c r="AA215" s="706"/>
      <c r="AC215" s="705"/>
      <c r="AD215" s="705"/>
      <c r="AE215" s="705"/>
      <c r="AF215" s="705"/>
      <c r="AG215" s="705"/>
      <c r="AH215" s="705"/>
      <c r="AI215" s="705"/>
      <c r="AJ215" s="705"/>
      <c r="AK215" s="705"/>
      <c r="AL215" s="705"/>
    </row>
    <row r="216" spans="2:38">
      <c r="B216" s="2468" t="s">
        <v>342</v>
      </c>
      <c r="C216" s="2492">
        <v>3</v>
      </c>
      <c r="D216" s="2493">
        <f t="shared" si="50"/>
        <v>34988.231609999988</v>
      </c>
      <c r="E216" s="2471">
        <f>SUM(E217:E220)</f>
        <v>-831.01796000000104</v>
      </c>
      <c r="F216" s="2252">
        <v>0</v>
      </c>
      <c r="G216" s="2471">
        <f>SUM(G217:G220)</f>
        <v>1.08005</v>
      </c>
      <c r="H216" s="2252">
        <f>SUM(H217:H220)</f>
        <v>35671.255789999996</v>
      </c>
      <c r="I216" s="2249">
        <f t="shared" si="54"/>
        <v>35672.335839999992</v>
      </c>
      <c r="J216" s="2252">
        <f>SUM(J217:J220)</f>
        <v>53.913730000000001</v>
      </c>
      <c r="K216" s="2471">
        <f>SUM(K217:K220)</f>
        <v>0</v>
      </c>
      <c r="L216" s="2252">
        <f>SUM(L217:L220)</f>
        <v>93</v>
      </c>
      <c r="M216" s="2249">
        <f t="shared" si="52"/>
        <v>146.91372999999999</v>
      </c>
      <c r="N216" s="922"/>
      <c r="O216" s="922"/>
      <c r="P216" s="179"/>
      <c r="Q216" s="706"/>
      <c r="R216" s="179"/>
      <c r="S216" s="706"/>
      <c r="T216" s="708"/>
      <c r="U216" s="706"/>
      <c r="V216" s="706"/>
      <c r="W216" s="706"/>
      <c r="X216" s="706"/>
      <c r="Y216" s="706"/>
      <c r="Z216" s="706"/>
      <c r="AA216" s="706"/>
      <c r="AC216" s="705"/>
      <c r="AD216" s="705"/>
      <c r="AE216" s="705"/>
      <c r="AF216" s="705"/>
      <c r="AG216" s="705"/>
      <c r="AH216" s="705"/>
      <c r="AI216" s="705"/>
      <c r="AJ216" s="705"/>
      <c r="AK216" s="705"/>
      <c r="AL216" s="705"/>
    </row>
    <row r="217" spans="2:38">
      <c r="B217" s="2468"/>
      <c r="C217" s="2492"/>
      <c r="D217" s="2493">
        <f t="shared" si="50"/>
        <v>95556.320080000005</v>
      </c>
      <c r="E217" s="2471">
        <f>(12967837.86/1000)</f>
        <v>12967.83786</v>
      </c>
      <c r="F217" s="2252">
        <v>0</v>
      </c>
      <c r="G217" s="2471">
        <v>0</v>
      </c>
      <c r="H217" s="2252">
        <f>82588482.22/1000</f>
        <v>82588.482220000005</v>
      </c>
      <c r="I217" s="2249">
        <f t="shared" si="54"/>
        <v>82588.482220000005</v>
      </c>
      <c r="J217" s="2252"/>
      <c r="K217" s="2471"/>
      <c r="L217" s="2252"/>
      <c r="M217" s="2249">
        <f t="shared" si="52"/>
        <v>0</v>
      </c>
      <c r="N217" s="922"/>
      <c r="O217" s="922"/>
      <c r="P217" s="179"/>
      <c r="Q217" s="706"/>
      <c r="R217" s="179"/>
      <c r="S217" s="706"/>
      <c r="T217" s="708"/>
      <c r="U217" s="706"/>
      <c r="V217" s="706"/>
      <c r="W217" s="706"/>
      <c r="X217" s="706"/>
      <c r="Y217" s="706"/>
      <c r="Z217" s="706"/>
      <c r="AA217" s="706"/>
      <c r="AC217" s="705"/>
      <c r="AD217" s="705"/>
      <c r="AE217" s="705"/>
      <c r="AF217" s="705"/>
      <c r="AG217" s="705"/>
      <c r="AH217" s="705"/>
      <c r="AI217" s="705"/>
      <c r="AJ217" s="705"/>
      <c r="AK217" s="705"/>
      <c r="AL217" s="705"/>
    </row>
    <row r="218" spans="2:38">
      <c r="B218" s="2468"/>
      <c r="C218" s="2492"/>
      <c r="D218" s="2493">
        <f t="shared" si="50"/>
        <v>17538.111510000002</v>
      </c>
      <c r="E218" s="2471">
        <f>(1408473.74/1000)</f>
        <v>1408.4737399999999</v>
      </c>
      <c r="F218" s="2252">
        <v>0</v>
      </c>
      <c r="G218" s="2471">
        <f>1080.05/1000</f>
        <v>1.08005</v>
      </c>
      <c r="H218" s="2252">
        <f>15981643.99/1000</f>
        <v>15981.64399</v>
      </c>
      <c r="I218" s="2249">
        <f t="shared" si="54"/>
        <v>15982.724040000001</v>
      </c>
      <c r="J218" s="2252">
        <f>53913.73/1000</f>
        <v>53.913730000000001</v>
      </c>
      <c r="K218" s="2471"/>
      <c r="L218" s="2252">
        <v>93</v>
      </c>
      <c r="M218" s="2249">
        <f t="shared" si="52"/>
        <v>146.91372999999999</v>
      </c>
      <c r="N218" s="922"/>
      <c r="O218" s="922"/>
      <c r="P218" s="179"/>
      <c r="Q218" s="706"/>
      <c r="R218" s="179"/>
      <c r="S218" s="706"/>
      <c r="T218" s="708"/>
      <c r="U218" s="706"/>
      <c r="V218" s="706"/>
      <c r="W218" s="706"/>
      <c r="X218" s="706"/>
      <c r="Y218" s="706"/>
      <c r="Z218" s="706"/>
      <c r="AA218" s="706"/>
      <c r="AC218" s="705"/>
      <c r="AD218" s="705"/>
      <c r="AE218" s="705"/>
      <c r="AF218" s="705"/>
      <c r="AG218" s="705"/>
      <c r="AH218" s="705"/>
      <c r="AI218" s="705"/>
      <c r="AJ218" s="705"/>
      <c r="AK218" s="705"/>
      <c r="AL218" s="705"/>
    </row>
    <row r="219" spans="2:38">
      <c r="B219" s="2468" t="s">
        <v>343</v>
      </c>
      <c r="C219" s="2492"/>
      <c r="D219" s="2493">
        <f t="shared" si="50"/>
        <v>-79021.54512000001</v>
      </c>
      <c r="E219" s="2471">
        <f>(-15207329.56/1000)</f>
        <v>-15207.32956</v>
      </c>
      <c r="F219" s="2252">
        <v>0</v>
      </c>
      <c r="G219" s="2471">
        <v>0</v>
      </c>
      <c r="H219" s="2252">
        <v>-63814.215560000004</v>
      </c>
      <c r="I219" s="2249">
        <f t="shared" si="54"/>
        <v>-63814.215560000004</v>
      </c>
      <c r="J219" s="2252"/>
      <c r="K219" s="2471"/>
      <c r="L219" s="2252"/>
      <c r="M219" s="2249">
        <f t="shared" si="52"/>
        <v>0</v>
      </c>
      <c r="P219" s="179"/>
      <c r="Q219" s="706"/>
      <c r="R219" s="179"/>
      <c r="S219" s="706"/>
      <c r="T219" s="708"/>
      <c r="U219" s="706"/>
      <c r="V219" s="706"/>
      <c r="W219" s="706"/>
      <c r="X219" s="706"/>
      <c r="Y219" s="706"/>
      <c r="Z219" s="706"/>
      <c r="AA219" s="706"/>
      <c r="AC219" s="705"/>
      <c r="AD219" s="705"/>
      <c r="AE219" s="705"/>
      <c r="AF219" s="705"/>
      <c r="AG219" s="705"/>
      <c r="AH219" s="705"/>
      <c r="AI219" s="705"/>
      <c r="AJ219" s="705"/>
      <c r="AK219" s="705"/>
      <c r="AL219" s="705"/>
    </row>
    <row r="220" spans="2:38">
      <c r="B220" s="2468" t="s">
        <v>343</v>
      </c>
      <c r="C220" s="2492"/>
      <c r="D220" s="2493">
        <f t="shared" si="50"/>
        <v>915.34514000000001</v>
      </c>
      <c r="E220" s="2471">
        <v>0</v>
      </c>
      <c r="F220" s="2252">
        <v>0</v>
      </c>
      <c r="G220" s="2471">
        <v>0</v>
      </c>
      <c r="H220" s="2252">
        <f>915345.14/1000</f>
        <v>915.34514000000001</v>
      </c>
      <c r="I220" s="2249">
        <f t="shared" si="54"/>
        <v>915.34514000000001</v>
      </c>
      <c r="J220" s="2252"/>
      <c r="K220" s="2471"/>
      <c r="L220" s="2252"/>
      <c r="M220" s="2249">
        <f t="shared" si="52"/>
        <v>0</v>
      </c>
      <c r="P220" s="179"/>
      <c r="Q220" s="706"/>
      <c r="R220" s="179"/>
      <c r="S220" s="706"/>
      <c r="T220" s="708"/>
      <c r="U220" s="706"/>
      <c r="V220" s="706"/>
      <c r="W220" s="706"/>
      <c r="X220" s="706"/>
      <c r="Y220" s="706"/>
      <c r="Z220" s="706"/>
      <c r="AA220" s="706"/>
      <c r="AC220" s="705"/>
      <c r="AD220" s="705"/>
      <c r="AE220" s="705"/>
      <c r="AF220" s="705"/>
      <c r="AG220" s="705"/>
      <c r="AH220" s="705"/>
      <c r="AI220" s="705"/>
      <c r="AJ220" s="705"/>
      <c r="AK220" s="705"/>
      <c r="AL220" s="705"/>
    </row>
    <row r="221" spans="2:38">
      <c r="B221" s="2468"/>
      <c r="C221" s="2492"/>
      <c r="D221" s="2493">
        <f t="shared" si="50"/>
        <v>0</v>
      </c>
      <c r="E221" s="2471"/>
      <c r="F221" s="2252"/>
      <c r="G221" s="2471"/>
      <c r="H221" s="2252"/>
      <c r="I221" s="2249">
        <f t="shared" si="54"/>
        <v>0</v>
      </c>
      <c r="J221" s="2252"/>
      <c r="K221" s="2471"/>
      <c r="L221" s="2252"/>
      <c r="M221" s="2249">
        <f t="shared" si="52"/>
        <v>0</v>
      </c>
      <c r="P221" s="179"/>
      <c r="Q221" s="706"/>
      <c r="R221" s="179"/>
      <c r="S221" s="706"/>
      <c r="T221" s="708"/>
      <c r="U221" s="706"/>
      <c r="V221" s="706"/>
      <c r="W221" s="706"/>
      <c r="X221" s="706"/>
      <c r="Y221" s="706"/>
      <c r="Z221" s="706"/>
      <c r="AA221" s="706"/>
      <c r="AC221" s="705"/>
      <c r="AD221" s="705"/>
      <c r="AE221" s="705"/>
      <c r="AF221" s="705"/>
      <c r="AG221" s="705"/>
      <c r="AH221" s="705"/>
      <c r="AI221" s="705"/>
      <c r="AJ221" s="705"/>
      <c r="AK221" s="705"/>
      <c r="AL221" s="705"/>
    </row>
    <row r="222" spans="2:38">
      <c r="B222" s="2478" t="s">
        <v>344</v>
      </c>
      <c r="C222" s="2494"/>
      <c r="D222" s="2493">
        <f t="shared" si="50"/>
        <v>23471829.58433</v>
      </c>
      <c r="E222" s="2471">
        <f>E209+E211</f>
        <v>1567303.6059099999</v>
      </c>
      <c r="F222" s="2252">
        <f>F209+F211</f>
        <v>0</v>
      </c>
      <c r="G222" s="2471">
        <f>G209+G211</f>
        <v>145676.90031</v>
      </c>
      <c r="H222" s="2252">
        <f>H209+H211</f>
        <v>20343183.202160001</v>
      </c>
      <c r="I222" s="2249">
        <f t="shared" si="54"/>
        <v>20488860.102469999</v>
      </c>
      <c r="J222" s="2252">
        <f>J209+J211</f>
        <v>731089.47594999988</v>
      </c>
      <c r="K222" s="2471">
        <f>K209+K211</f>
        <v>4743.3999999999996</v>
      </c>
      <c r="L222" s="2252">
        <f>L209+L211</f>
        <v>679833</v>
      </c>
      <c r="M222" s="2249">
        <f t="shared" si="52"/>
        <v>1415665.8759499998</v>
      </c>
      <c r="N222" s="927"/>
      <c r="O222" s="922"/>
      <c r="P222" s="179"/>
      <c r="Q222" s="706"/>
      <c r="R222" s="179"/>
      <c r="S222" s="706"/>
      <c r="T222" s="708"/>
      <c r="U222" s="706"/>
      <c r="V222" s="706"/>
      <c r="W222" s="706"/>
      <c r="X222" s="706"/>
      <c r="Y222" s="706"/>
      <c r="Z222" s="706"/>
      <c r="AA222" s="706"/>
      <c r="AC222" s="705"/>
      <c r="AD222" s="705"/>
      <c r="AE222" s="705"/>
      <c r="AF222" s="705"/>
      <c r="AG222" s="705"/>
      <c r="AH222" s="705"/>
      <c r="AI222" s="705"/>
      <c r="AJ222" s="705"/>
      <c r="AK222" s="705"/>
      <c r="AL222" s="705"/>
    </row>
    <row r="223" spans="2:38">
      <c r="B223" s="2478"/>
      <c r="C223" s="2494"/>
      <c r="D223" s="2493">
        <f t="shared" si="50"/>
        <v>0</v>
      </c>
      <c r="E223" s="2471"/>
      <c r="F223" s="2252"/>
      <c r="G223" s="2471"/>
      <c r="H223" s="2252"/>
      <c r="I223" s="2249">
        <f t="shared" si="54"/>
        <v>0</v>
      </c>
      <c r="J223" s="2252"/>
      <c r="K223" s="2471"/>
      <c r="L223" s="2252"/>
      <c r="M223" s="2249"/>
      <c r="P223" s="179"/>
      <c r="Q223" s="706"/>
      <c r="R223" s="179"/>
      <c r="S223" s="706"/>
      <c r="T223" s="708"/>
      <c r="U223" s="706"/>
      <c r="V223" s="706"/>
      <c r="W223" s="706"/>
      <c r="X223" s="706"/>
      <c r="Y223" s="706"/>
      <c r="Z223" s="706"/>
      <c r="AA223" s="706"/>
      <c r="AC223" s="705"/>
      <c r="AD223" s="705"/>
      <c r="AE223" s="705"/>
      <c r="AF223" s="705"/>
      <c r="AG223" s="705"/>
      <c r="AH223" s="705"/>
      <c r="AI223" s="705"/>
      <c r="AJ223" s="705"/>
      <c r="AK223" s="705"/>
      <c r="AL223" s="705"/>
    </row>
    <row r="224" spans="2:38">
      <c r="B224" s="2468" t="s">
        <v>345</v>
      </c>
      <c r="C224" s="2492"/>
      <c r="D224" s="2493">
        <f t="shared" si="50"/>
        <v>5100583.8926100004</v>
      </c>
      <c r="E224" s="2471">
        <v>0</v>
      </c>
      <c r="F224" s="2252">
        <v>0</v>
      </c>
      <c r="G224" s="2471">
        <f>64183</f>
        <v>64183</v>
      </c>
      <c r="H224" s="2252">
        <f>4135751892.61/1000</f>
        <v>4135751.89261</v>
      </c>
      <c r="I224" s="2249">
        <f t="shared" si="54"/>
        <v>4199934.8926100004</v>
      </c>
      <c r="J224" s="2252">
        <f>900649</f>
        <v>900649</v>
      </c>
      <c r="K224" s="2471">
        <v>0</v>
      </c>
      <c r="L224" s="2252">
        <v>0</v>
      </c>
      <c r="M224" s="2249">
        <f t="shared" ref="M224:M242" si="55">L224+K224+J224</f>
        <v>900649</v>
      </c>
      <c r="N224" s="922"/>
      <c r="O224" s="922"/>
      <c r="P224" s="179"/>
      <c r="Q224" s="706"/>
      <c r="R224" s="179"/>
      <c r="S224" s="706"/>
      <c r="T224" s="708"/>
      <c r="U224" s="706"/>
      <c r="V224" s="706"/>
      <c r="W224" s="706"/>
      <c r="X224" s="706"/>
      <c r="Y224" s="706"/>
      <c r="Z224" s="706"/>
      <c r="AA224" s="706"/>
      <c r="AC224" s="705"/>
      <c r="AD224" s="705"/>
      <c r="AE224" s="705"/>
      <c r="AF224" s="705"/>
      <c r="AG224" s="705"/>
      <c r="AH224" s="705"/>
      <c r="AI224" s="705"/>
      <c r="AJ224" s="705"/>
      <c r="AK224" s="705"/>
      <c r="AL224" s="705"/>
    </row>
    <row r="225" spans="2:38">
      <c r="B225" s="2468" t="s">
        <v>346</v>
      </c>
      <c r="C225" s="2492"/>
      <c r="D225" s="2493">
        <f t="shared" si="50"/>
        <v>-328774.39660000004</v>
      </c>
      <c r="E225" s="2471">
        <v>0</v>
      </c>
      <c r="F225" s="2252">
        <v>0</v>
      </c>
      <c r="G225" s="2471">
        <v>-3441</v>
      </c>
      <c r="H225" s="2252">
        <f>-291383396.6/1000</f>
        <v>-291383.39660000004</v>
      </c>
      <c r="I225" s="2249">
        <f t="shared" si="54"/>
        <v>-294824.39660000004</v>
      </c>
      <c r="J225" s="2252">
        <v>-33950</v>
      </c>
      <c r="K225" s="2471">
        <v>0</v>
      </c>
      <c r="L225" s="2252">
        <v>0</v>
      </c>
      <c r="M225" s="2249">
        <f t="shared" si="55"/>
        <v>-33950</v>
      </c>
      <c r="N225" s="922"/>
      <c r="O225" s="922"/>
      <c r="P225" s="179"/>
      <c r="Q225" s="706"/>
      <c r="R225" s="179"/>
      <c r="S225" s="706"/>
      <c r="T225" s="708"/>
      <c r="U225" s="706"/>
      <c r="V225" s="706"/>
      <c r="W225" s="706"/>
      <c r="X225" s="706"/>
      <c r="Y225" s="706"/>
      <c r="Z225" s="706"/>
      <c r="AA225" s="706"/>
      <c r="AC225" s="705"/>
      <c r="AD225" s="705"/>
      <c r="AE225" s="705"/>
      <c r="AF225" s="705"/>
      <c r="AG225" s="705"/>
      <c r="AH225" s="705"/>
      <c r="AI225" s="705"/>
      <c r="AJ225" s="705"/>
      <c r="AK225" s="705"/>
      <c r="AL225" s="705"/>
    </row>
    <row r="226" spans="2:38">
      <c r="B226" s="2468" t="s">
        <v>347</v>
      </c>
      <c r="C226" s="2492"/>
      <c r="D226" s="2493">
        <f t="shared" si="50"/>
        <v>6766302</v>
      </c>
      <c r="E226" s="2471">
        <v>0</v>
      </c>
      <c r="F226" s="2252">
        <v>0</v>
      </c>
      <c r="G226" s="2471">
        <v>11807</v>
      </c>
      <c r="H226" s="2252">
        <v>7115406</v>
      </c>
      <c r="I226" s="2249">
        <f t="shared" si="54"/>
        <v>7127213</v>
      </c>
      <c r="J226" s="2252">
        <v>-360911</v>
      </c>
      <c r="K226" s="2471">
        <v>0</v>
      </c>
      <c r="L226" s="2252">
        <v>0</v>
      </c>
      <c r="M226" s="2249">
        <f t="shared" si="55"/>
        <v>-360911</v>
      </c>
      <c r="N226" s="922"/>
      <c r="O226" s="922"/>
      <c r="P226" s="179"/>
      <c r="Q226" s="706"/>
      <c r="R226" s="179"/>
      <c r="S226" s="706"/>
      <c r="T226" s="708"/>
      <c r="U226" s="706"/>
      <c r="V226" s="706"/>
      <c r="W226" s="706"/>
      <c r="X226" s="706"/>
      <c r="Y226" s="706"/>
      <c r="Z226" s="706"/>
      <c r="AA226" s="706"/>
      <c r="AC226" s="705"/>
      <c r="AD226" s="705"/>
      <c r="AE226" s="705"/>
      <c r="AF226" s="705"/>
      <c r="AG226" s="705"/>
      <c r="AH226" s="705"/>
      <c r="AI226" s="705"/>
      <c r="AJ226" s="705"/>
      <c r="AK226" s="705"/>
      <c r="AL226" s="705"/>
    </row>
    <row r="227" spans="2:38" ht="12.75" customHeight="1">
      <c r="B227" s="2479" t="s">
        <v>348</v>
      </c>
      <c r="C227" s="2492"/>
      <c r="D227" s="2493">
        <f t="shared" si="50"/>
        <v>0</v>
      </c>
      <c r="E227" s="2471"/>
      <c r="F227" s="2252"/>
      <c r="G227" s="2471"/>
      <c r="H227" s="2252"/>
      <c r="I227" s="2249">
        <f t="shared" si="54"/>
        <v>0</v>
      </c>
      <c r="J227" s="2252"/>
      <c r="K227" s="2471"/>
      <c r="L227" s="2252"/>
      <c r="M227" s="2249">
        <f t="shared" si="55"/>
        <v>0</v>
      </c>
      <c r="N227" s="922"/>
      <c r="O227" s="922"/>
      <c r="P227" s="179"/>
      <c r="Q227" s="706"/>
      <c r="R227" s="179"/>
      <c r="S227" s="706"/>
      <c r="T227" s="708"/>
      <c r="U227" s="706"/>
      <c r="V227" s="706"/>
      <c r="W227" s="706"/>
      <c r="X227" s="706"/>
      <c r="Y227" s="706"/>
      <c r="Z227" s="706"/>
      <c r="AA227" s="706"/>
      <c r="AC227" s="705"/>
      <c r="AD227" s="705"/>
      <c r="AE227" s="705"/>
      <c r="AF227" s="705"/>
      <c r="AG227" s="705"/>
      <c r="AH227" s="705"/>
      <c r="AI227" s="705"/>
      <c r="AJ227" s="705"/>
      <c r="AK227" s="705"/>
      <c r="AL227" s="705"/>
    </row>
    <row r="228" spans="2:38">
      <c r="B228" s="2468" t="s">
        <v>349</v>
      </c>
      <c r="C228" s="2492"/>
      <c r="D228" s="2493">
        <f t="shared" si="50"/>
        <v>0</v>
      </c>
      <c r="E228" s="2471">
        <v>-1129751</v>
      </c>
      <c r="F228" s="2252">
        <v>0</v>
      </c>
      <c r="G228" s="2471">
        <v>0</v>
      </c>
      <c r="H228" s="2252">
        <f>1008905</f>
        <v>1008905</v>
      </c>
      <c r="I228" s="2249">
        <f t="shared" si="54"/>
        <v>1008905</v>
      </c>
      <c r="J228" s="2252">
        <f>120846</f>
        <v>120846</v>
      </c>
      <c r="K228" s="2471">
        <v>0</v>
      </c>
      <c r="L228" s="2252">
        <v>0</v>
      </c>
      <c r="M228" s="2249">
        <f t="shared" si="55"/>
        <v>120846</v>
      </c>
      <c r="N228" s="922"/>
      <c r="O228" s="922"/>
      <c r="P228" s="179"/>
      <c r="Q228" s="706"/>
      <c r="R228" s="179"/>
      <c r="S228" s="706"/>
      <c r="T228" s="708"/>
      <c r="U228" s="706"/>
      <c r="V228" s="706"/>
      <c r="W228" s="706"/>
      <c r="X228" s="706"/>
      <c r="Y228" s="706"/>
      <c r="Z228" s="706"/>
      <c r="AA228" s="706"/>
      <c r="AC228" s="705"/>
      <c r="AD228" s="705"/>
      <c r="AE228" s="705"/>
      <c r="AF228" s="705"/>
      <c r="AG228" s="705"/>
      <c r="AH228" s="705"/>
      <c r="AI228" s="705"/>
      <c r="AJ228" s="705"/>
      <c r="AK228" s="705"/>
      <c r="AL228" s="705"/>
    </row>
    <row r="229" spans="2:38">
      <c r="B229" s="2468" t="s">
        <v>350</v>
      </c>
      <c r="C229" s="2492"/>
      <c r="D229" s="2493">
        <f t="shared" si="50"/>
        <v>0</v>
      </c>
      <c r="E229" s="2471"/>
      <c r="F229" s="2252"/>
      <c r="G229" s="2471"/>
      <c r="H229" s="2252"/>
      <c r="I229" s="2249">
        <f t="shared" si="54"/>
        <v>0</v>
      </c>
      <c r="J229" s="2252"/>
      <c r="K229" s="2471"/>
      <c r="L229" s="2252"/>
      <c r="M229" s="2249">
        <f t="shared" si="55"/>
        <v>0</v>
      </c>
      <c r="N229" s="922"/>
      <c r="O229" s="922"/>
      <c r="P229" s="179"/>
      <c r="Q229" s="706"/>
      <c r="R229" s="179"/>
      <c r="S229" s="706"/>
      <c r="T229" s="708"/>
      <c r="U229" s="706"/>
      <c r="V229" s="706"/>
      <c r="W229" s="706"/>
      <c r="X229" s="706"/>
      <c r="Y229" s="706"/>
      <c r="Z229" s="706"/>
      <c r="AA229" s="706"/>
      <c r="AC229" s="705"/>
      <c r="AD229" s="705"/>
      <c r="AE229" s="705"/>
      <c r="AF229" s="705"/>
      <c r="AG229" s="705"/>
      <c r="AH229" s="705"/>
      <c r="AI229" s="705"/>
      <c r="AJ229" s="705"/>
      <c r="AK229" s="705"/>
      <c r="AL229" s="705"/>
    </row>
    <row r="230" spans="2:38">
      <c r="B230" s="2478" t="s">
        <v>351</v>
      </c>
      <c r="C230" s="2494"/>
      <c r="D230" s="2493">
        <f t="shared" si="50"/>
        <v>11538111.49601</v>
      </c>
      <c r="E230" s="2471">
        <f>SUM(E224:E229)</f>
        <v>-1129751</v>
      </c>
      <c r="F230" s="2252">
        <f>SUM(F224:F229)</f>
        <v>0</v>
      </c>
      <c r="G230" s="2471">
        <f>SUM(G224:G229)</f>
        <v>72549</v>
      </c>
      <c r="H230" s="2252">
        <f>SUM(H224:H229)</f>
        <v>11968679.49601</v>
      </c>
      <c r="I230" s="2249">
        <f t="shared" si="54"/>
        <v>12041228.49601</v>
      </c>
      <c r="J230" s="2252">
        <f>SUM(J224:J229)</f>
        <v>626634</v>
      </c>
      <c r="K230" s="2471">
        <f>SUM(K224:K229)</f>
        <v>0</v>
      </c>
      <c r="L230" s="2252">
        <f>SUM(L224:L229)</f>
        <v>0</v>
      </c>
      <c r="M230" s="2249">
        <f t="shared" si="55"/>
        <v>626634</v>
      </c>
      <c r="N230" s="927"/>
      <c r="O230" s="922"/>
      <c r="P230" s="179"/>
      <c r="Q230" s="706"/>
      <c r="R230" s="179"/>
      <c r="S230" s="706"/>
      <c r="T230" s="708"/>
      <c r="U230" s="706"/>
      <c r="V230" s="706"/>
      <c r="W230" s="706"/>
      <c r="X230" s="706"/>
      <c r="Y230" s="706"/>
      <c r="Z230" s="706"/>
      <c r="AA230" s="706"/>
      <c r="AC230" s="705"/>
      <c r="AD230" s="705"/>
      <c r="AE230" s="705"/>
      <c r="AF230" s="705"/>
      <c r="AG230" s="705"/>
      <c r="AH230" s="705"/>
      <c r="AI230" s="705"/>
      <c r="AJ230" s="705"/>
      <c r="AK230" s="705"/>
      <c r="AL230" s="705"/>
    </row>
    <row r="231" spans="2:38">
      <c r="B231" s="2468"/>
      <c r="C231" s="2492"/>
      <c r="D231" s="2493">
        <f t="shared" si="50"/>
        <v>0</v>
      </c>
      <c r="E231" s="2471"/>
      <c r="F231" s="2252"/>
      <c r="G231" s="2471"/>
      <c r="H231" s="2252"/>
      <c r="I231" s="2249">
        <f t="shared" si="54"/>
        <v>0</v>
      </c>
      <c r="J231" s="2252"/>
      <c r="K231" s="2471"/>
      <c r="L231" s="2252"/>
      <c r="M231" s="2249">
        <f t="shared" si="55"/>
        <v>0</v>
      </c>
      <c r="O231" s="922"/>
      <c r="P231" s="179"/>
      <c r="Q231" s="706"/>
      <c r="R231" s="179"/>
      <c r="S231" s="706"/>
      <c r="T231" s="708"/>
      <c r="U231" s="706"/>
      <c r="V231" s="706"/>
      <c r="W231" s="706"/>
      <c r="X231" s="706"/>
      <c r="Y231" s="706"/>
      <c r="Z231" s="706"/>
      <c r="AA231" s="706"/>
      <c r="AC231" s="705"/>
      <c r="AD231" s="705"/>
      <c r="AE231" s="705"/>
      <c r="AF231" s="705"/>
      <c r="AG231" s="705"/>
      <c r="AH231" s="705"/>
      <c r="AI231" s="705"/>
      <c r="AJ231" s="705"/>
      <c r="AK231" s="705"/>
      <c r="AL231" s="705"/>
    </row>
    <row r="232" spans="2:38" ht="51">
      <c r="B232" s="2479" t="s">
        <v>352</v>
      </c>
      <c r="C232" s="2492"/>
      <c r="D232" s="2493">
        <f t="shared" si="50"/>
        <v>2088962.65751</v>
      </c>
      <c r="E232" s="2471">
        <v>0</v>
      </c>
      <c r="F232" s="2252">
        <v>0</v>
      </c>
      <c r="G232" s="2471">
        <v>18496.900310000001</v>
      </c>
      <c r="H232" s="2252">
        <f>2046509551.41/1000</f>
        <v>2046509.5514100001</v>
      </c>
      <c r="I232" s="2249">
        <f t="shared" si="54"/>
        <v>2065006.45172</v>
      </c>
      <c r="J232" s="2252">
        <f>23956205.79/1000</f>
        <v>23956.20579</v>
      </c>
      <c r="K232" s="2471"/>
      <c r="L232" s="2252"/>
      <c r="M232" s="2249">
        <f t="shared" si="55"/>
        <v>23956.20579</v>
      </c>
      <c r="N232" s="922"/>
      <c r="O232" s="922"/>
      <c r="P232" s="179"/>
      <c r="Q232" s="706"/>
      <c r="R232" s="179"/>
      <c r="S232" s="706"/>
      <c r="T232" s="708"/>
      <c r="U232" s="706"/>
      <c r="V232" s="706"/>
      <c r="W232" s="706"/>
      <c r="X232" s="706"/>
      <c r="Y232" s="706"/>
      <c r="Z232" s="706"/>
      <c r="AA232" s="706"/>
      <c r="AC232" s="705"/>
      <c r="AD232" s="705"/>
      <c r="AE232" s="705"/>
      <c r="AF232" s="705"/>
      <c r="AG232" s="705"/>
      <c r="AH232" s="705"/>
      <c r="AI232" s="705"/>
      <c r="AJ232" s="705"/>
      <c r="AK232" s="705"/>
      <c r="AL232" s="705"/>
    </row>
    <row r="233" spans="2:38">
      <c r="B233" s="2468"/>
      <c r="C233" s="2492"/>
      <c r="D233" s="2493">
        <f t="shared" si="50"/>
        <v>0</v>
      </c>
      <c r="E233" s="2471"/>
      <c r="F233" s="2252"/>
      <c r="G233" s="2471"/>
      <c r="H233" s="2252"/>
      <c r="I233" s="2249">
        <f t="shared" si="54"/>
        <v>0</v>
      </c>
      <c r="J233" s="2252"/>
      <c r="K233" s="2471"/>
      <c r="L233" s="2252"/>
      <c r="M233" s="2249">
        <f t="shared" si="55"/>
        <v>0</v>
      </c>
      <c r="N233" s="922"/>
      <c r="O233" s="922"/>
      <c r="P233" s="179"/>
      <c r="Q233" s="706"/>
      <c r="R233" s="179"/>
      <c r="S233" s="706"/>
      <c r="T233" s="708"/>
      <c r="U233" s="706"/>
      <c r="V233" s="706"/>
      <c r="W233" s="706"/>
      <c r="X233" s="706"/>
      <c r="Y233" s="706"/>
      <c r="Z233" s="706"/>
      <c r="AA233" s="706"/>
      <c r="AC233" s="705"/>
      <c r="AD233" s="705"/>
      <c r="AE233" s="705"/>
      <c r="AF233" s="705"/>
      <c r="AG233" s="705"/>
      <c r="AH233" s="705"/>
      <c r="AI233" s="705"/>
      <c r="AJ233" s="705"/>
      <c r="AK233" s="705"/>
      <c r="AL233" s="705"/>
    </row>
    <row r="234" spans="2:38" ht="12.75" customHeight="1">
      <c r="B234" s="2479" t="s">
        <v>353</v>
      </c>
      <c r="C234" s="2492">
        <v>4</v>
      </c>
      <c r="D234" s="2493">
        <f t="shared" si="50"/>
        <v>6545042.5</v>
      </c>
      <c r="E234" s="2471">
        <v>129928.5</v>
      </c>
      <c r="F234" s="2252">
        <v>0</v>
      </c>
      <c r="G234" s="2471">
        <v>54631</v>
      </c>
      <c r="H234" s="2252">
        <v>6222600</v>
      </c>
      <c r="I234" s="2249">
        <f t="shared" si="54"/>
        <v>6277231</v>
      </c>
      <c r="J234" s="2252">
        <v>80499</v>
      </c>
      <c r="K234" s="2471">
        <v>1101</v>
      </c>
      <c r="L234" s="2252">
        <v>56283</v>
      </c>
      <c r="M234" s="2249">
        <f t="shared" si="55"/>
        <v>137883</v>
      </c>
      <c r="N234" s="922"/>
      <c r="O234" s="922"/>
      <c r="P234" s="179"/>
      <c r="Q234" s="706"/>
      <c r="R234" s="179"/>
      <c r="S234" s="706"/>
      <c r="T234" s="708"/>
      <c r="U234" s="706"/>
      <c r="V234" s="706"/>
      <c r="W234" s="706"/>
      <c r="X234" s="706"/>
      <c r="Y234" s="706"/>
      <c r="Z234" s="706"/>
      <c r="AA234" s="706"/>
      <c r="AC234" s="705"/>
      <c r="AD234" s="705"/>
      <c r="AE234" s="705"/>
      <c r="AF234" s="705"/>
      <c r="AG234" s="705"/>
      <c r="AH234" s="705"/>
      <c r="AI234" s="705"/>
      <c r="AJ234" s="705"/>
      <c r="AK234" s="705"/>
      <c r="AL234" s="705"/>
    </row>
    <row r="235" spans="2:38">
      <c r="B235" s="2468" t="s">
        <v>354</v>
      </c>
      <c r="C235" s="2492"/>
      <c r="D235" s="2493">
        <f t="shared" si="50"/>
        <v>627193</v>
      </c>
      <c r="E235" s="2471">
        <v>0</v>
      </c>
      <c r="F235" s="2252">
        <v>0</v>
      </c>
      <c r="G235" s="2471">
        <v>0</v>
      </c>
      <c r="H235" s="2252">
        <v>0</v>
      </c>
      <c r="I235" s="2249">
        <f t="shared" si="54"/>
        <v>0</v>
      </c>
      <c r="J235" s="2252">
        <v>0</v>
      </c>
      <c r="K235" s="2471">
        <v>3642</v>
      </c>
      <c r="L235" s="2252">
        <v>623551</v>
      </c>
      <c r="M235" s="2249">
        <f t="shared" si="55"/>
        <v>627193</v>
      </c>
      <c r="N235" s="922"/>
      <c r="O235" s="922"/>
      <c r="P235" s="179"/>
      <c r="Q235" s="706"/>
      <c r="R235" s="179"/>
      <c r="S235" s="706"/>
      <c r="T235" s="708"/>
      <c r="U235" s="706"/>
      <c r="V235" s="706"/>
      <c r="W235" s="706"/>
      <c r="X235" s="706"/>
      <c r="Y235" s="706"/>
      <c r="Z235" s="706"/>
      <c r="AA235" s="706"/>
      <c r="AC235" s="705"/>
      <c r="AD235" s="705"/>
      <c r="AE235" s="705"/>
      <c r="AF235" s="705"/>
      <c r="AG235" s="705"/>
      <c r="AH235" s="705"/>
      <c r="AI235" s="705"/>
      <c r="AJ235" s="705"/>
      <c r="AK235" s="705"/>
      <c r="AL235" s="705"/>
    </row>
    <row r="236" spans="2:38">
      <c r="B236" s="2468" t="s">
        <v>355</v>
      </c>
      <c r="C236" s="2492"/>
      <c r="D236" s="2493">
        <f t="shared" si="50"/>
        <v>105393.3</v>
      </c>
      <c r="E236" s="2471">
        <v>0</v>
      </c>
      <c r="F236" s="2252">
        <v>0</v>
      </c>
      <c r="G236" s="2471">
        <v>0</v>
      </c>
      <c r="H236" s="2252">
        <v>105393.3</v>
      </c>
      <c r="I236" s="2249">
        <f t="shared" si="54"/>
        <v>105393.3</v>
      </c>
      <c r="J236" s="2190"/>
      <c r="K236" s="2191"/>
      <c r="L236" s="2190"/>
      <c r="M236" s="2249">
        <f t="shared" si="55"/>
        <v>0</v>
      </c>
      <c r="N236" s="922"/>
      <c r="O236" s="922"/>
      <c r="P236" s="179"/>
      <c r="Q236" s="706"/>
      <c r="R236" s="179"/>
      <c r="S236" s="706"/>
      <c r="T236" s="708"/>
      <c r="U236" s="706"/>
      <c r="V236" s="706"/>
      <c r="W236" s="706"/>
      <c r="X236" s="706"/>
      <c r="Y236" s="706"/>
      <c r="Z236" s="706"/>
      <c r="AA236" s="706"/>
      <c r="AC236" s="705"/>
      <c r="AD236" s="705"/>
      <c r="AE236" s="705"/>
      <c r="AF236" s="705"/>
      <c r="AG236" s="705"/>
      <c r="AH236" s="705"/>
      <c r="AI236" s="705"/>
      <c r="AJ236" s="705"/>
      <c r="AK236" s="705"/>
      <c r="AL236" s="705"/>
    </row>
    <row r="237" spans="2:38">
      <c r="B237" s="2478" t="s">
        <v>356</v>
      </c>
      <c r="C237" s="2494"/>
      <c r="D237" s="2493">
        <f t="shared" si="50"/>
        <v>7277628.7999999998</v>
      </c>
      <c r="E237" s="2471">
        <f>SUM(E234:E236)</f>
        <v>129928.5</v>
      </c>
      <c r="F237" s="2252">
        <f>SUM(F234:F236)</f>
        <v>0</v>
      </c>
      <c r="G237" s="2471">
        <f>SUM(G234:G236)</f>
        <v>54631</v>
      </c>
      <c r="H237" s="2252">
        <f>SUM(H234:H236)</f>
        <v>6327993.2999999998</v>
      </c>
      <c r="I237" s="2249">
        <f t="shared" si="54"/>
        <v>6382624.2999999998</v>
      </c>
      <c r="J237" s="2252">
        <f>SUM(J234:J236)</f>
        <v>80499</v>
      </c>
      <c r="K237" s="2471">
        <f>SUM(K234:K236)</f>
        <v>4743</v>
      </c>
      <c r="L237" s="2252">
        <f>SUM(L234:L236)</f>
        <v>679834</v>
      </c>
      <c r="M237" s="2249">
        <f t="shared" si="55"/>
        <v>765076</v>
      </c>
      <c r="N237" s="927"/>
      <c r="O237" s="922"/>
      <c r="P237" s="179"/>
      <c r="Q237" s="706"/>
      <c r="R237" s="179"/>
      <c r="S237" s="706"/>
      <c r="T237" s="708"/>
      <c r="U237" s="706"/>
      <c r="V237" s="706"/>
      <c r="W237" s="706"/>
      <c r="X237" s="706"/>
      <c r="Y237" s="706"/>
      <c r="Z237" s="706"/>
      <c r="AA237" s="706"/>
      <c r="AC237" s="705"/>
      <c r="AD237" s="705"/>
      <c r="AE237" s="705"/>
      <c r="AF237" s="705"/>
      <c r="AG237" s="705"/>
      <c r="AH237" s="705"/>
      <c r="AI237" s="705"/>
      <c r="AJ237" s="705"/>
      <c r="AK237" s="705"/>
      <c r="AL237" s="705"/>
    </row>
    <row r="238" spans="2:38">
      <c r="B238" s="2478"/>
      <c r="C238" s="2494"/>
      <c r="D238" s="2493">
        <f t="shared" si="50"/>
        <v>0</v>
      </c>
      <c r="E238" s="2471"/>
      <c r="F238" s="2252"/>
      <c r="G238" s="2471"/>
      <c r="H238" s="2252"/>
      <c r="I238" s="2249">
        <f t="shared" si="54"/>
        <v>0</v>
      </c>
      <c r="J238" s="2252"/>
      <c r="K238" s="2471"/>
      <c r="L238" s="2252"/>
      <c r="M238" s="2249">
        <f t="shared" si="55"/>
        <v>0</v>
      </c>
      <c r="P238" s="179"/>
      <c r="Q238" s="706"/>
      <c r="R238" s="179"/>
      <c r="S238" s="706"/>
      <c r="T238" s="708"/>
      <c r="U238" s="706"/>
      <c r="V238" s="706"/>
      <c r="W238" s="706"/>
      <c r="X238" s="706"/>
      <c r="Y238" s="706"/>
      <c r="Z238" s="706"/>
      <c r="AA238" s="706"/>
      <c r="AC238" s="705"/>
      <c r="AD238" s="705"/>
      <c r="AE238" s="705"/>
      <c r="AF238" s="705"/>
      <c r="AG238" s="705"/>
      <c r="AH238" s="705"/>
      <c r="AI238" s="705"/>
      <c r="AJ238" s="705"/>
      <c r="AK238" s="705"/>
      <c r="AL238" s="705"/>
    </row>
    <row r="239" spans="2:38">
      <c r="B239" s="2478" t="s">
        <v>357</v>
      </c>
      <c r="C239" s="2494"/>
      <c r="D239" s="2493">
        <f t="shared" si="50"/>
        <v>2567126.6308100009</v>
      </c>
      <c r="E239" s="2471">
        <f>E222-E230-E232-E237</f>
        <v>2567126.1059099999</v>
      </c>
      <c r="F239" s="2252">
        <f>F222-F230-F232-F237</f>
        <v>0</v>
      </c>
      <c r="G239" s="2471">
        <f>G222-G230-G232-G237</f>
        <v>0</v>
      </c>
      <c r="H239" s="2252">
        <f>H222-H230-H232-H237</f>
        <v>0.85474000126123428</v>
      </c>
      <c r="I239" s="2249">
        <f t="shared" si="54"/>
        <v>0.85474000126123428</v>
      </c>
      <c r="J239" s="2190">
        <f>J222-J230-J232-J237</f>
        <v>0.27015999986906536</v>
      </c>
      <c r="K239" s="2191">
        <f>K222-K230-K232-K237</f>
        <v>0.3999999999996362</v>
      </c>
      <c r="L239" s="2190">
        <f>L222-L230-L232-L237</f>
        <v>-1</v>
      </c>
      <c r="M239" s="2206">
        <f t="shared" si="55"/>
        <v>-0.32984000013129844</v>
      </c>
      <c r="N239" s="927"/>
      <c r="O239" s="922"/>
      <c r="P239" s="179"/>
      <c r="Q239" s="706"/>
      <c r="R239" s="179"/>
      <c r="S239" s="706"/>
      <c r="T239" s="708"/>
      <c r="U239" s="706"/>
      <c r="V239" s="706"/>
      <c r="W239" s="706"/>
      <c r="X239" s="706"/>
      <c r="Y239" s="706"/>
      <c r="Z239" s="706"/>
      <c r="AA239" s="706"/>
      <c r="AC239" s="705"/>
      <c r="AD239" s="705"/>
      <c r="AE239" s="705"/>
      <c r="AF239" s="705"/>
      <c r="AG239" s="705"/>
      <c r="AH239" s="705"/>
      <c r="AI239" s="705"/>
      <c r="AJ239" s="705"/>
      <c r="AK239" s="705"/>
      <c r="AL239" s="705"/>
    </row>
    <row r="240" spans="2:38">
      <c r="B240" s="2468" t="s">
        <v>358</v>
      </c>
      <c r="C240" s="2492"/>
      <c r="D240" s="2493">
        <f t="shared" si="50"/>
        <v>796416</v>
      </c>
      <c r="E240" s="2471">
        <v>796416</v>
      </c>
      <c r="F240" s="2190"/>
      <c r="G240" s="2191"/>
      <c r="H240" s="2190"/>
      <c r="I240" s="2249">
        <f t="shared" si="54"/>
        <v>0</v>
      </c>
      <c r="J240" s="2190"/>
      <c r="K240" s="2191"/>
      <c r="L240" s="2190"/>
      <c r="M240" s="2206">
        <f t="shared" si="55"/>
        <v>0</v>
      </c>
      <c r="N240" s="922"/>
      <c r="O240" s="922"/>
      <c r="P240" s="179"/>
      <c r="Q240" s="706"/>
      <c r="R240" s="179"/>
      <c r="S240" s="706"/>
      <c r="T240" s="708"/>
      <c r="U240" s="706"/>
      <c r="V240" s="706"/>
      <c r="W240" s="706"/>
      <c r="X240" s="706"/>
      <c r="Y240" s="706"/>
      <c r="Z240" s="706"/>
      <c r="AA240" s="706"/>
      <c r="AC240" s="705"/>
      <c r="AD240" s="705"/>
      <c r="AE240" s="705"/>
      <c r="AF240" s="705"/>
      <c r="AG240" s="705"/>
      <c r="AH240" s="705"/>
      <c r="AI240" s="705"/>
      <c r="AJ240" s="705"/>
      <c r="AK240" s="705"/>
      <c r="AL240" s="705"/>
    </row>
    <row r="241" spans="1:38">
      <c r="B241" s="2468"/>
      <c r="C241" s="2492"/>
      <c r="D241" s="2495">
        <f t="shared" si="50"/>
        <v>0</v>
      </c>
      <c r="E241" s="2489"/>
      <c r="F241" s="983"/>
      <c r="G241" s="2489"/>
      <c r="H241" s="983"/>
      <c r="I241" s="2496">
        <f t="shared" si="54"/>
        <v>0</v>
      </c>
      <c r="J241" s="1209"/>
      <c r="K241" s="2266"/>
      <c r="L241" s="1209"/>
      <c r="M241" s="2212">
        <f t="shared" si="55"/>
        <v>0</v>
      </c>
      <c r="P241" s="179"/>
      <c r="Q241" s="706"/>
      <c r="R241" s="179"/>
      <c r="S241" s="706"/>
      <c r="T241" s="708"/>
      <c r="U241" s="706"/>
      <c r="V241" s="706"/>
      <c r="W241" s="706"/>
      <c r="X241" s="706"/>
      <c r="Y241" s="706"/>
      <c r="Z241" s="706"/>
      <c r="AA241" s="706"/>
      <c r="AC241" s="705"/>
      <c r="AD241" s="705"/>
      <c r="AE241" s="705"/>
      <c r="AF241" s="705"/>
      <c r="AG241" s="705"/>
      <c r="AH241" s="705"/>
      <c r="AI241" s="705"/>
      <c r="AJ241" s="705"/>
      <c r="AK241" s="705"/>
      <c r="AL241" s="705"/>
    </row>
    <row r="242" spans="1:38" ht="13.5" thickBot="1">
      <c r="B242" s="1611" t="s">
        <v>359</v>
      </c>
      <c r="C242" s="2497"/>
      <c r="D242" s="1629">
        <f t="shared" si="50"/>
        <v>1770710.6308100012</v>
      </c>
      <c r="E242" s="1618">
        <f>E239-E240</f>
        <v>1770710.1059099999</v>
      </c>
      <c r="F242" s="1630">
        <f>F239-F240</f>
        <v>0</v>
      </c>
      <c r="G242" s="1618">
        <f>G239-G240</f>
        <v>0</v>
      </c>
      <c r="H242" s="1630">
        <f>H239-H240</f>
        <v>0.85474000126123428</v>
      </c>
      <c r="I242" s="1618">
        <f t="shared" si="54"/>
        <v>0.85474000126123428</v>
      </c>
      <c r="J242" s="1631">
        <f>J239-J240</f>
        <v>0.27015999986906536</v>
      </c>
      <c r="K242" s="1632">
        <f>K239-K240</f>
        <v>0.3999999999996362</v>
      </c>
      <c r="L242" s="1631">
        <f>L239-L240</f>
        <v>-1</v>
      </c>
      <c r="M242" s="1632">
        <f t="shared" si="55"/>
        <v>-0.32984000013129844</v>
      </c>
      <c r="N242" s="927"/>
      <c r="O242" s="922"/>
      <c r="P242" s="179"/>
      <c r="Q242" s="706"/>
      <c r="R242" s="179"/>
      <c r="S242" s="706"/>
      <c r="T242" s="708"/>
      <c r="U242" s="706"/>
      <c r="V242" s="706"/>
      <c r="W242" s="706"/>
      <c r="X242" s="706"/>
      <c r="Y242" s="706"/>
      <c r="Z242" s="706"/>
      <c r="AA242" s="706"/>
      <c r="AC242" s="705"/>
      <c r="AD242" s="705"/>
      <c r="AE242" s="705"/>
      <c r="AF242" s="705"/>
      <c r="AG242" s="705"/>
      <c r="AH242" s="705"/>
      <c r="AI242" s="705"/>
      <c r="AJ242" s="705"/>
      <c r="AK242" s="705"/>
      <c r="AL242" s="705"/>
    </row>
    <row r="243" spans="1:38">
      <c r="R243" s="179"/>
    </row>
    <row r="244" spans="1:38">
      <c r="M244" s="673">
        <v>51</v>
      </c>
      <c r="R244" s="179"/>
    </row>
    <row r="245" spans="1:38">
      <c r="R245" s="179"/>
    </row>
    <row r="246" spans="1:38" ht="13.5" thickBot="1">
      <c r="R246" s="179"/>
    </row>
    <row r="247" spans="1:38" ht="12.75" customHeight="1" thickBot="1">
      <c r="A247" s="1368" t="s">
        <v>180</v>
      </c>
      <c r="B247" s="1633" t="s">
        <v>321</v>
      </c>
      <c r="C247" s="912"/>
      <c r="F247" s="912"/>
      <c r="G247" s="912"/>
      <c r="H247" s="912"/>
      <c r="I247" s="912"/>
      <c r="J247" s="912"/>
      <c r="K247" s="912"/>
      <c r="L247" s="3538" t="s">
        <v>251</v>
      </c>
      <c r="M247" s="3538" t="s">
        <v>251</v>
      </c>
      <c r="R247" s="179"/>
    </row>
    <row r="248" spans="1:38" ht="12.75" customHeight="1" thickBot="1">
      <c r="B248" s="3578" t="s">
        <v>321</v>
      </c>
      <c r="C248" s="3523" t="s">
        <v>325</v>
      </c>
      <c r="D248" s="3518" t="s">
        <v>255</v>
      </c>
      <c r="E248" s="3518" t="s">
        <v>326</v>
      </c>
      <c r="F248" s="3574" t="s">
        <v>258</v>
      </c>
      <c r="G248" s="3574"/>
      <c r="H248" s="3574"/>
      <c r="I248" s="3574"/>
      <c r="J248" s="3574"/>
      <c r="K248" s="3574"/>
      <c r="L248" s="3574"/>
      <c r="M248" s="3574"/>
      <c r="R248" s="179"/>
    </row>
    <row r="249" spans="1:38" ht="17.25" customHeight="1" thickBot="1">
      <c r="B249" s="3571"/>
      <c r="C249" s="3524"/>
      <c r="D249" s="3520"/>
      <c r="E249" s="3520"/>
      <c r="F249" s="3575" t="s">
        <v>259</v>
      </c>
      <c r="G249" s="3576"/>
      <c r="H249" s="3576"/>
      <c r="I249" s="3577"/>
      <c r="J249" s="3574" t="s">
        <v>327</v>
      </c>
      <c r="K249" s="3574"/>
      <c r="L249" s="3574"/>
      <c r="M249" s="3574"/>
      <c r="R249" s="179"/>
    </row>
    <row r="250" spans="1:38" ht="43.5" customHeight="1" thickBot="1">
      <c r="B250" s="3571"/>
      <c r="C250" s="3524"/>
      <c r="D250" s="3519"/>
      <c r="E250" s="3519"/>
      <c r="F250" s="1339" t="s">
        <v>261</v>
      </c>
      <c r="G250" s="1339" t="s">
        <v>262</v>
      </c>
      <c r="H250" s="1339" t="s">
        <v>263</v>
      </c>
      <c r="I250" s="1339" t="s">
        <v>158</v>
      </c>
      <c r="J250" s="1588" t="s">
        <v>328</v>
      </c>
      <c r="K250" s="1588" t="s">
        <v>265</v>
      </c>
      <c r="L250" s="1588" t="s">
        <v>329</v>
      </c>
      <c r="M250" s="1588" t="s">
        <v>158</v>
      </c>
      <c r="R250" s="179"/>
    </row>
    <row r="251" spans="1:38" ht="17.25" customHeight="1" thickBot="1">
      <c r="B251" s="3571"/>
      <c r="C251" s="3524"/>
      <c r="D251" s="1589">
        <v>1</v>
      </c>
      <c r="E251" s="3518">
        <v>2</v>
      </c>
      <c r="F251" s="3518">
        <v>3</v>
      </c>
      <c r="G251" s="3518">
        <v>4</v>
      </c>
      <c r="H251" s="1339"/>
      <c r="I251" s="1589">
        <v>6</v>
      </c>
      <c r="J251" s="3518">
        <v>7</v>
      </c>
      <c r="K251" s="3536">
        <v>8</v>
      </c>
      <c r="L251" s="3518">
        <v>9</v>
      </c>
      <c r="M251" s="1634">
        <v>10</v>
      </c>
      <c r="P251" s="679"/>
      <c r="R251" s="179"/>
    </row>
    <row r="252" spans="1:38" ht="13.5" thickBot="1">
      <c r="B252" s="3572"/>
      <c r="C252" s="3525"/>
      <c r="D252" s="1590" t="s">
        <v>330</v>
      </c>
      <c r="E252" s="3519"/>
      <c r="F252" s="3519"/>
      <c r="G252" s="3519"/>
      <c r="H252" s="1590">
        <v>5</v>
      </c>
      <c r="I252" s="1590" t="s">
        <v>331</v>
      </c>
      <c r="J252" s="3519"/>
      <c r="K252" s="3545"/>
      <c r="L252" s="3519"/>
      <c r="M252" s="1628" t="s">
        <v>332</v>
      </c>
      <c r="N252" s="703"/>
      <c r="O252" s="703"/>
      <c r="P252" s="679"/>
      <c r="R252" s="179"/>
    </row>
    <row r="253" spans="1:38">
      <c r="B253" s="1635" t="s">
        <v>333</v>
      </c>
      <c r="C253" s="984"/>
      <c r="D253" s="1592">
        <f t="shared" ref="D253:D290" si="56">E253+I253+M253</f>
        <v>929830.47700000007</v>
      </c>
      <c r="E253" s="526">
        <v>0</v>
      </c>
      <c r="F253" s="485">
        <v>0</v>
      </c>
      <c r="G253" s="526">
        <v>80069.391999999978</v>
      </c>
      <c r="H253" s="485"/>
      <c r="I253" s="1636">
        <f t="shared" ref="I253:I290" si="57">F253+G253+H253</f>
        <v>80069.391999999978</v>
      </c>
      <c r="J253" s="963">
        <v>189355.76</v>
      </c>
      <c r="K253" s="982"/>
      <c r="L253" s="963">
        <v>660405.32500000007</v>
      </c>
      <c r="M253" s="1637">
        <f t="shared" ref="M253:M270" si="58">L253+K253+J253</f>
        <v>849761.08500000008</v>
      </c>
      <c r="N253" s="922"/>
      <c r="O253" s="922"/>
      <c r="P253" s="109"/>
      <c r="Q253" s="706"/>
      <c r="R253" s="109"/>
      <c r="S253" s="706"/>
      <c r="T253" s="708"/>
      <c r="U253" s="706"/>
      <c r="V253" s="706"/>
      <c r="W253" s="706"/>
      <c r="X253" s="706"/>
      <c r="Y253" s="706"/>
      <c r="Z253" s="706"/>
      <c r="AA253" s="706"/>
    </row>
    <row r="254" spans="1:38">
      <c r="B254" s="2460"/>
      <c r="C254" s="2498"/>
      <c r="D254" s="2481">
        <f t="shared" si="56"/>
        <v>0</v>
      </c>
      <c r="E254" s="2190">
        <v>0</v>
      </c>
      <c r="F254" s="2191">
        <v>0</v>
      </c>
      <c r="G254" s="2190">
        <v>0</v>
      </c>
      <c r="H254" s="2191"/>
      <c r="I254" s="2499">
        <f t="shared" si="57"/>
        <v>0</v>
      </c>
      <c r="J254" s="2471">
        <v>0</v>
      </c>
      <c r="K254" s="2252"/>
      <c r="L254" s="2471">
        <v>0</v>
      </c>
      <c r="M254" s="2500">
        <f t="shared" si="58"/>
        <v>0</v>
      </c>
      <c r="P254" s="109"/>
      <c r="Q254" s="706"/>
      <c r="R254" s="109"/>
      <c r="S254" s="706"/>
      <c r="T254" s="708"/>
      <c r="U254" s="706"/>
      <c r="V254" s="706"/>
      <c r="W254" s="706"/>
      <c r="X254" s="706"/>
      <c r="Y254" s="706"/>
      <c r="Z254" s="706"/>
      <c r="AA254" s="706"/>
    </row>
    <row r="255" spans="1:38">
      <c r="B255" s="2462" t="s">
        <v>334</v>
      </c>
      <c r="C255" s="2498"/>
      <c r="D255" s="2481">
        <f t="shared" si="56"/>
        <v>45275.120999999999</v>
      </c>
      <c r="E255" s="2190">
        <v>0</v>
      </c>
      <c r="F255" s="2191">
        <v>0</v>
      </c>
      <c r="G255" s="2190">
        <v>12468.052</v>
      </c>
      <c r="H255" s="2191"/>
      <c r="I255" s="2499">
        <f t="shared" si="57"/>
        <v>12468.052</v>
      </c>
      <c r="J255" s="2471">
        <v>32807.069000000003</v>
      </c>
      <c r="K255" s="2252"/>
      <c r="L255" s="2471">
        <v>0</v>
      </c>
      <c r="M255" s="2500">
        <f t="shared" si="58"/>
        <v>32807.069000000003</v>
      </c>
      <c r="N255" s="922"/>
      <c r="O255" s="922"/>
      <c r="P255" s="109"/>
      <c r="Q255" s="706"/>
      <c r="R255" s="109"/>
      <c r="S255" s="706"/>
      <c r="T255" s="708"/>
      <c r="U255" s="706"/>
      <c r="V255" s="706"/>
      <c r="W255" s="706"/>
      <c r="X255" s="706"/>
      <c r="Y255" s="706"/>
      <c r="Z255" s="706"/>
      <c r="AA255" s="706"/>
    </row>
    <row r="256" spans="1:38">
      <c r="B256" s="2462"/>
      <c r="C256" s="2498"/>
      <c r="D256" s="2481">
        <f t="shared" si="56"/>
        <v>0</v>
      </c>
      <c r="E256" s="2190">
        <v>0</v>
      </c>
      <c r="F256" s="2191">
        <v>0</v>
      </c>
      <c r="G256" s="2190">
        <v>0</v>
      </c>
      <c r="H256" s="2191"/>
      <c r="I256" s="2499">
        <f t="shared" si="57"/>
        <v>0</v>
      </c>
      <c r="J256" s="2471">
        <v>0</v>
      </c>
      <c r="K256" s="2252"/>
      <c r="L256" s="2471">
        <v>0</v>
      </c>
      <c r="M256" s="2500">
        <f t="shared" si="58"/>
        <v>0</v>
      </c>
      <c r="P256" s="109"/>
      <c r="Q256" s="706"/>
      <c r="R256" s="109"/>
      <c r="S256" s="706"/>
      <c r="T256" s="708"/>
      <c r="U256" s="706"/>
      <c r="V256" s="706"/>
      <c r="W256" s="706"/>
      <c r="X256" s="706"/>
      <c r="Y256" s="706"/>
      <c r="Z256" s="706"/>
      <c r="AA256" s="706"/>
    </row>
    <row r="257" spans="2:27" ht="12.75" customHeight="1">
      <c r="B257" s="2463" t="s">
        <v>335</v>
      </c>
      <c r="C257" s="2498"/>
      <c r="D257" s="2481">
        <f t="shared" si="56"/>
        <v>-2836.0859999999998</v>
      </c>
      <c r="E257" s="2190">
        <v>0</v>
      </c>
      <c r="F257" s="2191">
        <v>0</v>
      </c>
      <c r="G257" s="2190">
        <v>-2836.0859999999998</v>
      </c>
      <c r="H257" s="2191"/>
      <c r="I257" s="2499">
        <f t="shared" si="57"/>
        <v>-2836.0859999999998</v>
      </c>
      <c r="J257" s="2471">
        <v>0</v>
      </c>
      <c r="K257" s="2252"/>
      <c r="L257" s="2471">
        <v>0</v>
      </c>
      <c r="M257" s="2500">
        <f t="shared" si="58"/>
        <v>0</v>
      </c>
      <c r="N257" s="922"/>
      <c r="O257" s="922"/>
      <c r="P257" s="109"/>
      <c r="Q257" s="706"/>
      <c r="R257" s="109"/>
      <c r="S257" s="706"/>
      <c r="T257" s="708"/>
      <c r="U257" s="706"/>
      <c r="V257" s="706"/>
      <c r="W257" s="706"/>
      <c r="X257" s="706"/>
      <c r="Y257" s="706"/>
      <c r="Z257" s="706"/>
      <c r="AA257" s="706"/>
    </row>
    <row r="258" spans="2:27">
      <c r="B258" s="2460"/>
      <c r="C258" s="2498"/>
      <c r="D258" s="2481">
        <f t="shared" si="56"/>
        <v>0</v>
      </c>
      <c r="E258" s="2190">
        <v>0</v>
      </c>
      <c r="F258" s="2191">
        <v>0</v>
      </c>
      <c r="G258" s="2190">
        <v>0</v>
      </c>
      <c r="H258" s="2191"/>
      <c r="I258" s="2499">
        <f t="shared" si="57"/>
        <v>0</v>
      </c>
      <c r="J258" s="2471">
        <v>0</v>
      </c>
      <c r="K258" s="2252"/>
      <c r="L258" s="2471">
        <v>0</v>
      </c>
      <c r="M258" s="2500">
        <f t="shared" si="58"/>
        <v>0</v>
      </c>
      <c r="P258" s="109"/>
      <c r="Q258" s="706"/>
      <c r="R258" s="109"/>
      <c r="S258" s="706"/>
      <c r="T258" s="708"/>
      <c r="U258" s="706"/>
      <c r="V258" s="706"/>
      <c r="W258" s="706"/>
      <c r="X258" s="706"/>
      <c r="Y258" s="706"/>
      <c r="Z258" s="706"/>
      <c r="AA258" s="706"/>
    </row>
    <row r="259" spans="2:27">
      <c r="B259" s="2464" t="s">
        <v>336</v>
      </c>
      <c r="C259" s="2501"/>
      <c r="D259" s="2481">
        <f t="shared" si="56"/>
        <v>881719.27</v>
      </c>
      <c r="E259" s="2252">
        <f>E253-E255+E257</f>
        <v>0</v>
      </c>
      <c r="F259" s="2471">
        <f>F253-F255+F257</f>
        <v>0</v>
      </c>
      <c r="G259" s="2252">
        <f>G253-G255+G257</f>
        <v>64765.253999999979</v>
      </c>
      <c r="H259" s="2471">
        <f>H253-H255+H257</f>
        <v>0</v>
      </c>
      <c r="I259" s="2499">
        <f t="shared" si="57"/>
        <v>64765.253999999979</v>
      </c>
      <c r="J259" s="2471">
        <f>J253-J255+J257</f>
        <v>156548.69099999999</v>
      </c>
      <c r="K259" s="2252">
        <f>K253-K255+K257</f>
        <v>0</v>
      </c>
      <c r="L259" s="2471">
        <f>L253-L255+L257</f>
        <v>660405.32500000007</v>
      </c>
      <c r="M259" s="2500">
        <f t="shared" si="58"/>
        <v>816954.01600000006</v>
      </c>
      <c r="N259" s="927"/>
      <c r="O259" s="922"/>
      <c r="P259" s="109"/>
      <c r="Q259" s="706"/>
      <c r="R259" s="109"/>
      <c r="S259" s="706"/>
      <c r="T259" s="708"/>
      <c r="U259" s="706"/>
      <c r="V259" s="706"/>
      <c r="W259" s="706"/>
      <c r="X259" s="706"/>
      <c r="Y259" s="706"/>
      <c r="Z259" s="706"/>
      <c r="AA259" s="706"/>
    </row>
    <row r="260" spans="2:27">
      <c r="B260" s="2464"/>
      <c r="C260" s="2501"/>
      <c r="D260" s="2481">
        <f t="shared" si="56"/>
        <v>0</v>
      </c>
      <c r="E260" s="2252"/>
      <c r="F260" s="2471"/>
      <c r="G260" s="2252"/>
      <c r="H260" s="2471"/>
      <c r="I260" s="2499">
        <f t="shared" si="57"/>
        <v>0</v>
      </c>
      <c r="J260" s="2471"/>
      <c r="K260" s="2252"/>
      <c r="L260" s="2471"/>
      <c r="M260" s="2500">
        <f t="shared" si="58"/>
        <v>0</v>
      </c>
      <c r="P260" s="109"/>
      <c r="Q260" s="706"/>
      <c r="R260" s="109"/>
      <c r="S260" s="706"/>
      <c r="T260" s="708"/>
      <c r="U260" s="706"/>
      <c r="V260" s="706"/>
      <c r="W260" s="706"/>
      <c r="X260" s="706"/>
      <c r="Y260" s="706"/>
      <c r="Z260" s="706"/>
      <c r="AA260" s="706"/>
    </row>
    <row r="261" spans="2:27">
      <c r="B261" s="2464" t="s">
        <v>337</v>
      </c>
      <c r="C261" s="2501"/>
      <c r="D261" s="2481">
        <f t="shared" si="56"/>
        <v>286743.14</v>
      </c>
      <c r="E261" s="2252">
        <f>SUM(E262:E266)</f>
        <v>475877.55499999999</v>
      </c>
      <c r="F261" s="2471">
        <f>SUM(F262:F266)</f>
        <v>0</v>
      </c>
      <c r="G261" s="2252">
        <f>SUM(G262:G266)</f>
        <v>603.13599999999769</v>
      </c>
      <c r="H261" s="2471">
        <f>SUM(H262:H266)</f>
        <v>0</v>
      </c>
      <c r="I261" s="2499">
        <f t="shared" si="57"/>
        <v>603.13599999999769</v>
      </c>
      <c r="J261" s="2471">
        <f>SUM(J262:J266)</f>
        <v>-59751.786</v>
      </c>
      <c r="K261" s="2252">
        <f>SUM(K262:K266)</f>
        <v>0</v>
      </c>
      <c r="L261" s="2471">
        <f>SUM(L262:L266)</f>
        <v>-129985.76499999998</v>
      </c>
      <c r="M261" s="2500">
        <f t="shared" si="58"/>
        <v>-189737.55099999998</v>
      </c>
      <c r="N261" s="927"/>
      <c r="O261" s="922"/>
      <c r="P261" s="109"/>
      <c r="Q261" s="706"/>
      <c r="R261" s="109"/>
      <c r="S261" s="706"/>
      <c r="T261" s="708"/>
      <c r="U261" s="706"/>
      <c r="V261" s="706"/>
      <c r="W261" s="706"/>
      <c r="X261" s="706"/>
      <c r="Y261" s="706"/>
      <c r="Z261" s="706"/>
      <c r="AA261" s="706"/>
    </row>
    <row r="262" spans="2:27">
      <c r="B262" s="2460" t="s">
        <v>338</v>
      </c>
      <c r="C262" s="2498">
        <v>1</v>
      </c>
      <c r="D262" s="2481">
        <f t="shared" si="56"/>
        <v>206542.42600000001</v>
      </c>
      <c r="E262" s="2190">
        <v>25792.115999999998</v>
      </c>
      <c r="F262" s="2191">
        <v>0</v>
      </c>
      <c r="G262" s="2190">
        <v>31003.289000000001</v>
      </c>
      <c r="H262" s="2191"/>
      <c r="I262" s="2499">
        <f t="shared" si="57"/>
        <v>31003.289000000001</v>
      </c>
      <c r="J262" s="2191">
        <v>787.63800000000003</v>
      </c>
      <c r="K262" s="2190"/>
      <c r="L262" s="2191">
        <v>148959.383</v>
      </c>
      <c r="M262" s="2500">
        <f t="shared" si="58"/>
        <v>149747.02100000001</v>
      </c>
      <c r="N262" s="922"/>
      <c r="O262" s="922"/>
      <c r="P262" s="109"/>
      <c r="Q262" s="706"/>
      <c r="R262" s="109"/>
      <c r="S262" s="706"/>
      <c r="T262" s="708"/>
      <c r="U262" s="706"/>
      <c r="V262" s="706"/>
      <c r="W262" s="706"/>
      <c r="X262" s="706"/>
      <c r="Y262" s="706"/>
      <c r="Z262" s="706"/>
      <c r="AA262" s="706"/>
    </row>
    <row r="263" spans="2:27">
      <c r="B263" s="2460" t="s">
        <v>339</v>
      </c>
      <c r="C263" s="2498">
        <v>2</v>
      </c>
      <c r="D263" s="2481">
        <f t="shared" si="56"/>
        <v>0</v>
      </c>
      <c r="E263" s="2190">
        <v>373611.27799999999</v>
      </c>
      <c r="F263" s="2191">
        <v>0</v>
      </c>
      <c r="G263" s="2190">
        <v>-31141.372000000003</v>
      </c>
      <c r="H263" s="2191"/>
      <c r="I263" s="2499">
        <f t="shared" si="57"/>
        <v>-31141.372000000003</v>
      </c>
      <c r="J263" s="2191">
        <v>-63524.758000000002</v>
      </c>
      <c r="K263" s="2190"/>
      <c r="L263" s="2191">
        <v>-278945.14799999999</v>
      </c>
      <c r="M263" s="2500">
        <f t="shared" si="58"/>
        <v>-342469.90599999996</v>
      </c>
      <c r="N263" s="922"/>
      <c r="O263" s="922"/>
      <c r="P263" s="109"/>
      <c r="Q263" s="706"/>
      <c r="R263" s="109"/>
      <c r="S263" s="706"/>
      <c r="T263" s="708"/>
      <c r="U263" s="706"/>
      <c r="V263" s="706"/>
      <c r="W263" s="706"/>
      <c r="X263" s="706"/>
      <c r="Y263" s="706"/>
      <c r="Z263" s="706"/>
      <c r="AA263" s="706"/>
    </row>
    <row r="264" spans="2:27">
      <c r="B264" s="2460" t="s">
        <v>340</v>
      </c>
      <c r="C264" s="2498"/>
      <c r="D264" s="2481">
        <f t="shared" si="56"/>
        <v>0</v>
      </c>
      <c r="E264" s="2190">
        <v>0</v>
      </c>
      <c r="F264" s="2191">
        <v>0</v>
      </c>
      <c r="G264" s="2190">
        <v>0</v>
      </c>
      <c r="H264" s="2191"/>
      <c r="I264" s="2499">
        <f t="shared" si="57"/>
        <v>0</v>
      </c>
      <c r="J264" s="2191">
        <v>0</v>
      </c>
      <c r="K264" s="2190"/>
      <c r="L264" s="2191">
        <v>0</v>
      </c>
      <c r="M264" s="2500">
        <f t="shared" si="58"/>
        <v>0</v>
      </c>
      <c r="N264" s="922"/>
      <c r="O264" s="922"/>
      <c r="P264" s="109"/>
      <c r="Q264" s="706"/>
      <c r="R264" s="109"/>
      <c r="S264" s="706"/>
      <c r="T264" s="708"/>
      <c r="U264" s="706"/>
      <c r="V264" s="706"/>
      <c r="W264" s="706"/>
      <c r="X264" s="706"/>
      <c r="Y264" s="706"/>
      <c r="Z264" s="706"/>
      <c r="AA264" s="706"/>
    </row>
    <row r="265" spans="2:27">
      <c r="B265" s="2460" t="s">
        <v>341</v>
      </c>
      <c r="C265" s="2498"/>
      <c r="D265" s="2481">
        <f t="shared" si="56"/>
        <v>0</v>
      </c>
      <c r="E265" s="2190">
        <v>0</v>
      </c>
      <c r="F265" s="2191">
        <v>0</v>
      </c>
      <c r="G265" s="2190">
        <v>0</v>
      </c>
      <c r="H265" s="2191"/>
      <c r="I265" s="2499">
        <f t="shared" si="57"/>
        <v>0</v>
      </c>
      <c r="J265" s="2191">
        <v>0</v>
      </c>
      <c r="K265" s="2190"/>
      <c r="L265" s="2191">
        <v>0</v>
      </c>
      <c r="M265" s="2500">
        <f t="shared" si="58"/>
        <v>0</v>
      </c>
      <c r="N265" s="922"/>
      <c r="O265" s="922"/>
      <c r="P265" s="109"/>
      <c r="Q265" s="706"/>
      <c r="R265" s="109"/>
      <c r="S265" s="706"/>
      <c r="T265" s="708"/>
      <c r="U265" s="706"/>
      <c r="V265" s="706"/>
      <c r="W265" s="706"/>
      <c r="X265" s="706"/>
      <c r="Y265" s="706"/>
      <c r="Z265" s="706"/>
      <c r="AA265" s="706"/>
    </row>
    <row r="266" spans="2:27">
      <c r="B266" s="2460" t="s">
        <v>342</v>
      </c>
      <c r="C266" s="2498">
        <v>3</v>
      </c>
      <c r="D266" s="2481">
        <f t="shared" si="56"/>
        <v>80200.714000000007</v>
      </c>
      <c r="E266" s="2190">
        <v>76474.161000000007</v>
      </c>
      <c r="F266" s="2191">
        <v>0</v>
      </c>
      <c r="G266" s="2190">
        <v>741.21900000000005</v>
      </c>
      <c r="H266" s="2191"/>
      <c r="I266" s="2499">
        <f t="shared" si="57"/>
        <v>741.21900000000005</v>
      </c>
      <c r="J266" s="2191">
        <v>2985.3339999999998</v>
      </c>
      <c r="K266" s="2190"/>
      <c r="L266" s="2191">
        <v>0</v>
      </c>
      <c r="M266" s="2500">
        <f t="shared" si="58"/>
        <v>2985.3339999999998</v>
      </c>
      <c r="N266" s="922"/>
      <c r="O266" s="922"/>
      <c r="P266" s="109"/>
      <c r="Q266" s="706"/>
      <c r="R266" s="109"/>
      <c r="S266" s="706"/>
      <c r="T266" s="708"/>
      <c r="U266" s="706"/>
      <c r="V266" s="706"/>
      <c r="W266" s="706"/>
      <c r="X266" s="706"/>
      <c r="Y266" s="706"/>
      <c r="Z266" s="706"/>
      <c r="AA266" s="706"/>
    </row>
    <row r="267" spans="2:27">
      <c r="B267" s="2460" t="s">
        <v>343</v>
      </c>
      <c r="C267" s="2498"/>
      <c r="D267" s="2481">
        <f t="shared" si="56"/>
        <v>0</v>
      </c>
      <c r="E267" s="2190">
        <v>0</v>
      </c>
      <c r="F267" s="2191">
        <v>0</v>
      </c>
      <c r="G267" s="2190">
        <v>0</v>
      </c>
      <c r="H267" s="2191"/>
      <c r="I267" s="2499">
        <f t="shared" si="57"/>
        <v>0</v>
      </c>
      <c r="J267" s="2191">
        <v>0</v>
      </c>
      <c r="K267" s="2190"/>
      <c r="L267" s="2191">
        <v>0</v>
      </c>
      <c r="M267" s="2500">
        <f t="shared" si="58"/>
        <v>0</v>
      </c>
      <c r="P267" s="109"/>
      <c r="Q267" s="706"/>
      <c r="R267" s="109"/>
      <c r="S267" s="706"/>
      <c r="T267" s="708"/>
      <c r="U267" s="706"/>
      <c r="V267" s="706"/>
      <c r="W267" s="706"/>
      <c r="X267" s="706"/>
      <c r="Y267" s="706"/>
      <c r="Z267" s="706"/>
      <c r="AA267" s="706"/>
    </row>
    <row r="268" spans="2:27">
      <c r="B268" s="2460" t="s">
        <v>343</v>
      </c>
      <c r="C268" s="2498"/>
      <c r="D268" s="2481">
        <f t="shared" si="56"/>
        <v>0</v>
      </c>
      <c r="E268" s="2190">
        <v>0</v>
      </c>
      <c r="F268" s="2191">
        <v>0</v>
      </c>
      <c r="G268" s="2190">
        <v>0</v>
      </c>
      <c r="H268" s="2191"/>
      <c r="I268" s="2499">
        <f t="shared" si="57"/>
        <v>0</v>
      </c>
      <c r="J268" s="2191">
        <v>0</v>
      </c>
      <c r="K268" s="2190"/>
      <c r="L268" s="2191">
        <v>0</v>
      </c>
      <c r="M268" s="2500">
        <f t="shared" si="58"/>
        <v>0</v>
      </c>
      <c r="P268" s="109"/>
      <c r="Q268" s="706"/>
      <c r="R268" s="109"/>
      <c r="S268" s="706"/>
      <c r="T268" s="708"/>
      <c r="U268" s="706"/>
      <c r="V268" s="706"/>
      <c r="W268" s="706"/>
      <c r="X268" s="706"/>
      <c r="Y268" s="706"/>
      <c r="Z268" s="706"/>
      <c r="AA268" s="706"/>
    </row>
    <row r="269" spans="2:27">
      <c r="B269" s="2460"/>
      <c r="C269" s="2498"/>
      <c r="D269" s="2481">
        <f t="shared" si="56"/>
        <v>0</v>
      </c>
      <c r="E269" s="2252"/>
      <c r="F269" s="2471"/>
      <c r="G269" s="2252"/>
      <c r="H269" s="2471"/>
      <c r="I269" s="2499">
        <f t="shared" si="57"/>
        <v>0</v>
      </c>
      <c r="J269" s="2471"/>
      <c r="K269" s="2252"/>
      <c r="L269" s="2471"/>
      <c r="M269" s="2500">
        <f t="shared" si="58"/>
        <v>0</v>
      </c>
      <c r="P269" s="109"/>
      <c r="Q269" s="706"/>
      <c r="R269" s="109"/>
      <c r="S269" s="706"/>
      <c r="T269" s="708"/>
      <c r="U269" s="706"/>
      <c r="V269" s="706"/>
      <c r="W269" s="706"/>
      <c r="X269" s="706"/>
      <c r="Y269" s="706"/>
      <c r="Z269" s="706"/>
      <c r="AA269" s="706"/>
    </row>
    <row r="270" spans="2:27">
      <c r="B270" s="2466" t="s">
        <v>344</v>
      </c>
      <c r="C270" s="2501"/>
      <c r="D270" s="2481">
        <f t="shared" si="56"/>
        <v>1168462.4100000001</v>
      </c>
      <c r="E270" s="2252">
        <f>E259+E261</f>
        <v>475877.55499999999</v>
      </c>
      <c r="F270" s="2471">
        <f>F259+F261</f>
        <v>0</v>
      </c>
      <c r="G270" s="2252">
        <f>G259+G261</f>
        <v>65368.389999999978</v>
      </c>
      <c r="H270" s="2471">
        <f>H259+H261</f>
        <v>0</v>
      </c>
      <c r="I270" s="2499">
        <f t="shared" si="57"/>
        <v>65368.389999999978</v>
      </c>
      <c r="J270" s="2471">
        <f>J259+J261</f>
        <v>96796.904999999999</v>
      </c>
      <c r="K270" s="2252">
        <f>K259+K261</f>
        <v>0</v>
      </c>
      <c r="L270" s="2471">
        <f>L259+L261</f>
        <v>530419.56000000006</v>
      </c>
      <c r="M270" s="2500">
        <f t="shared" si="58"/>
        <v>627216.46500000008</v>
      </c>
      <c r="N270" s="927"/>
      <c r="O270" s="922"/>
      <c r="P270" s="109"/>
      <c r="Q270" s="706"/>
      <c r="R270" s="109"/>
      <c r="S270" s="706"/>
      <c r="T270" s="708"/>
      <c r="U270" s="706"/>
      <c r="V270" s="706"/>
      <c r="W270" s="706"/>
      <c r="X270" s="706"/>
      <c r="Y270" s="706"/>
      <c r="Z270" s="706"/>
      <c r="AA270" s="706"/>
    </row>
    <row r="271" spans="2:27">
      <c r="B271" s="2466"/>
      <c r="C271" s="2501"/>
      <c r="D271" s="2481">
        <f t="shared" si="56"/>
        <v>0</v>
      </c>
      <c r="E271" s="2252"/>
      <c r="F271" s="2471"/>
      <c r="G271" s="2252"/>
      <c r="H271" s="2471"/>
      <c r="I271" s="2499">
        <f t="shared" si="57"/>
        <v>0</v>
      </c>
      <c r="J271" s="2471"/>
      <c r="K271" s="2252"/>
      <c r="L271" s="2471"/>
      <c r="M271" s="2500"/>
      <c r="P271" s="109"/>
      <c r="Q271" s="706"/>
      <c r="R271" s="109"/>
      <c r="S271" s="706"/>
      <c r="T271" s="708"/>
      <c r="U271" s="706"/>
      <c r="V271" s="706"/>
      <c r="W271" s="706"/>
      <c r="X271" s="706"/>
      <c r="Y271" s="706"/>
      <c r="Z271" s="706"/>
      <c r="AA271" s="706"/>
    </row>
    <row r="272" spans="2:27">
      <c r="B272" s="2460" t="s">
        <v>345</v>
      </c>
      <c r="C272" s="2498"/>
      <c r="D272" s="2481">
        <f t="shared" si="56"/>
        <v>453652.33800000005</v>
      </c>
      <c r="E272" s="2252">
        <v>0</v>
      </c>
      <c r="F272" s="2471">
        <v>0</v>
      </c>
      <c r="G272" s="2252">
        <v>112178.64900000003</v>
      </c>
      <c r="H272" s="2471"/>
      <c r="I272" s="2499">
        <f t="shared" si="57"/>
        <v>112178.64900000003</v>
      </c>
      <c r="J272" s="2471">
        <v>77639.959000000003</v>
      </c>
      <c r="K272" s="2252"/>
      <c r="L272" s="2471">
        <v>263833.73</v>
      </c>
      <c r="M272" s="2500">
        <f t="shared" ref="M272:M290" si="59">L272+K272+J272</f>
        <v>341473.68900000001</v>
      </c>
      <c r="N272" s="922"/>
      <c r="O272" s="922"/>
      <c r="P272" s="109"/>
      <c r="Q272" s="706"/>
      <c r="R272" s="109"/>
      <c r="S272" s="706"/>
      <c r="T272" s="708"/>
      <c r="U272" s="706"/>
      <c r="V272" s="706"/>
      <c r="W272" s="706"/>
      <c r="X272" s="706"/>
      <c r="Y272" s="706"/>
      <c r="Z272" s="706"/>
      <c r="AA272" s="706"/>
    </row>
    <row r="273" spans="2:27">
      <c r="B273" s="2460" t="s">
        <v>346</v>
      </c>
      <c r="C273" s="2498"/>
      <c r="D273" s="2481">
        <f t="shared" si="56"/>
        <v>-15789.174999999999</v>
      </c>
      <c r="E273" s="2252">
        <v>0</v>
      </c>
      <c r="F273" s="2471">
        <v>0</v>
      </c>
      <c r="G273" s="2252">
        <v>-1758.3</v>
      </c>
      <c r="H273" s="2471"/>
      <c r="I273" s="2499">
        <f t="shared" si="57"/>
        <v>-1758.3</v>
      </c>
      <c r="J273" s="2471">
        <v>-14030.875</v>
      </c>
      <c r="K273" s="2252"/>
      <c r="L273" s="2471">
        <v>0</v>
      </c>
      <c r="M273" s="2500">
        <f t="shared" si="59"/>
        <v>-14030.875</v>
      </c>
      <c r="N273" s="922"/>
      <c r="O273" s="922"/>
      <c r="P273" s="109"/>
      <c r="Q273" s="706"/>
      <c r="R273" s="109"/>
      <c r="S273" s="706"/>
      <c r="T273" s="708"/>
      <c r="U273" s="706"/>
      <c r="V273" s="706"/>
      <c r="W273" s="706"/>
      <c r="X273" s="706"/>
      <c r="Y273" s="706"/>
      <c r="Z273" s="706"/>
      <c r="AA273" s="706"/>
    </row>
    <row r="274" spans="2:27">
      <c r="B274" s="2460" t="s">
        <v>347</v>
      </c>
      <c r="C274" s="2498"/>
      <c r="D274" s="2481">
        <f t="shared" si="56"/>
        <v>0</v>
      </c>
      <c r="E274" s="2252">
        <v>0</v>
      </c>
      <c r="F274" s="2471">
        <v>0</v>
      </c>
      <c r="G274" s="2252">
        <v>0</v>
      </c>
      <c r="H274" s="2471"/>
      <c r="I274" s="2499">
        <f t="shared" si="57"/>
        <v>0</v>
      </c>
      <c r="J274" s="2471">
        <v>0</v>
      </c>
      <c r="K274" s="2252"/>
      <c r="L274" s="2471">
        <v>0</v>
      </c>
      <c r="M274" s="2500">
        <f t="shared" si="59"/>
        <v>0</v>
      </c>
      <c r="N274" s="922"/>
      <c r="O274" s="922"/>
      <c r="P274" s="109"/>
      <c r="Q274" s="706"/>
      <c r="R274" s="109"/>
      <c r="S274" s="706"/>
      <c r="T274" s="708"/>
      <c r="U274" s="706"/>
      <c r="V274" s="706"/>
      <c r="W274" s="706"/>
      <c r="X274" s="706"/>
      <c r="Y274" s="706"/>
      <c r="Z274" s="706"/>
      <c r="AA274" s="706"/>
    </row>
    <row r="275" spans="2:27" ht="12.75" customHeight="1">
      <c r="B275" s="2467" t="s">
        <v>348</v>
      </c>
      <c r="C275" s="2498"/>
      <c r="D275" s="2481">
        <f t="shared" si="56"/>
        <v>0</v>
      </c>
      <c r="E275" s="2252">
        <v>0</v>
      </c>
      <c r="F275" s="2471">
        <v>0</v>
      </c>
      <c r="G275" s="2252">
        <v>0</v>
      </c>
      <c r="H275" s="2471"/>
      <c r="I275" s="2499">
        <f t="shared" si="57"/>
        <v>0</v>
      </c>
      <c r="J275" s="2471">
        <v>0</v>
      </c>
      <c r="K275" s="2252"/>
      <c r="L275" s="2471">
        <v>0</v>
      </c>
      <c r="M275" s="2500">
        <f t="shared" si="59"/>
        <v>0</v>
      </c>
      <c r="N275" s="922"/>
      <c r="O275" s="922"/>
      <c r="P275" s="109"/>
      <c r="Q275" s="706"/>
      <c r="R275" s="109"/>
      <c r="S275" s="706"/>
      <c r="T275" s="708"/>
      <c r="U275" s="706"/>
      <c r="V275" s="706"/>
      <c r="W275" s="706"/>
      <c r="X275" s="706"/>
      <c r="Y275" s="706"/>
      <c r="Z275" s="706"/>
      <c r="AA275" s="706"/>
    </row>
    <row r="276" spans="2:27">
      <c r="B276" s="2460" t="s">
        <v>349</v>
      </c>
      <c r="C276" s="2498"/>
      <c r="D276" s="2481">
        <f t="shared" si="56"/>
        <v>173686.83300000001</v>
      </c>
      <c r="E276" s="2252">
        <v>0</v>
      </c>
      <c r="F276" s="2471">
        <v>0</v>
      </c>
      <c r="G276" s="2252">
        <v>-52112.896999999975</v>
      </c>
      <c r="H276" s="2471"/>
      <c r="I276" s="2499">
        <f t="shared" si="57"/>
        <v>-52112.896999999975</v>
      </c>
      <c r="J276" s="2471">
        <v>-1637.2109999999998</v>
      </c>
      <c r="K276" s="2252"/>
      <c r="L276" s="2471">
        <v>227436.94099999999</v>
      </c>
      <c r="M276" s="2500">
        <f t="shared" si="59"/>
        <v>225799.72999999998</v>
      </c>
      <c r="N276" s="922"/>
      <c r="O276" s="922"/>
      <c r="P276" s="109"/>
      <c r="Q276" s="706"/>
      <c r="R276" s="109"/>
      <c r="S276" s="706"/>
      <c r="T276" s="708"/>
      <c r="U276" s="706"/>
      <c r="V276" s="706"/>
      <c r="W276" s="706"/>
      <c r="X276" s="706"/>
      <c r="Y276" s="706"/>
      <c r="Z276" s="706"/>
      <c r="AA276" s="706"/>
    </row>
    <row r="277" spans="2:27">
      <c r="B277" s="2460" t="s">
        <v>350</v>
      </c>
      <c r="C277" s="2498"/>
      <c r="D277" s="2481">
        <f t="shared" si="56"/>
        <v>0</v>
      </c>
      <c r="E277" s="2252"/>
      <c r="F277" s="2471"/>
      <c r="G277" s="2252"/>
      <c r="H277" s="2471"/>
      <c r="I277" s="2499">
        <f t="shared" si="57"/>
        <v>0</v>
      </c>
      <c r="J277" s="2471"/>
      <c r="K277" s="2252"/>
      <c r="L277" s="2471"/>
      <c r="M277" s="2500">
        <f t="shared" si="59"/>
        <v>0</v>
      </c>
      <c r="N277" s="922"/>
      <c r="O277" s="922"/>
      <c r="P277" s="109"/>
      <c r="Q277" s="706"/>
      <c r="R277" s="109"/>
      <c r="S277" s="706"/>
      <c r="T277" s="708"/>
      <c r="U277" s="706"/>
      <c r="V277" s="706"/>
      <c r="W277" s="706"/>
      <c r="X277" s="706"/>
      <c r="Y277" s="706"/>
      <c r="Z277" s="706"/>
      <c r="AA277" s="706"/>
    </row>
    <row r="278" spans="2:27">
      <c r="B278" s="2466" t="s">
        <v>351</v>
      </c>
      <c r="C278" s="2501"/>
      <c r="D278" s="2481">
        <f t="shared" si="56"/>
        <v>611549.99600000004</v>
      </c>
      <c r="E278" s="2252">
        <f>SUM(E272:E277)</f>
        <v>0</v>
      </c>
      <c r="F278" s="2471">
        <f>SUM(F272:F277)</f>
        <v>0</v>
      </c>
      <c r="G278" s="2252">
        <f>SUM(G272:G277)</f>
        <v>58307.452000000056</v>
      </c>
      <c r="H278" s="2471">
        <f>SUM(H272:H277)</f>
        <v>0</v>
      </c>
      <c r="I278" s="2499">
        <f t="shared" si="57"/>
        <v>58307.452000000056</v>
      </c>
      <c r="J278" s="2471">
        <f>SUM(J272:J277)</f>
        <v>61971.873</v>
      </c>
      <c r="K278" s="2252">
        <f>SUM(K272:K277)</f>
        <v>0</v>
      </c>
      <c r="L278" s="2471">
        <f>SUM(L272:L277)</f>
        <v>491270.67099999997</v>
      </c>
      <c r="M278" s="2500">
        <f t="shared" si="59"/>
        <v>553242.54399999999</v>
      </c>
      <c r="N278" s="927"/>
      <c r="O278" s="922"/>
      <c r="P278" s="109"/>
      <c r="Q278" s="706"/>
      <c r="R278" s="109"/>
      <c r="S278" s="706"/>
      <c r="T278" s="708"/>
      <c r="U278" s="706"/>
      <c r="V278" s="706"/>
      <c r="W278" s="706"/>
      <c r="X278" s="706"/>
      <c r="Y278" s="706"/>
      <c r="Z278" s="706"/>
      <c r="AA278" s="706"/>
    </row>
    <row r="279" spans="2:27">
      <c r="B279" s="2460"/>
      <c r="C279" s="2498"/>
      <c r="D279" s="2481">
        <f t="shared" si="56"/>
        <v>0</v>
      </c>
      <c r="E279" s="2252"/>
      <c r="F279" s="2471"/>
      <c r="G279" s="2252"/>
      <c r="H279" s="2471"/>
      <c r="I279" s="2499">
        <f t="shared" si="57"/>
        <v>0</v>
      </c>
      <c r="J279" s="2471"/>
      <c r="K279" s="2252"/>
      <c r="L279" s="2471"/>
      <c r="M279" s="2500">
        <f t="shared" si="59"/>
        <v>0</v>
      </c>
      <c r="O279" s="922"/>
      <c r="P279" s="109"/>
      <c r="Q279" s="706"/>
      <c r="R279" s="109"/>
      <c r="S279" s="706"/>
      <c r="T279" s="708"/>
      <c r="U279" s="706"/>
      <c r="V279" s="706"/>
      <c r="W279" s="706"/>
      <c r="X279" s="706"/>
      <c r="Y279" s="706"/>
      <c r="Z279" s="706"/>
      <c r="AA279" s="706"/>
    </row>
    <row r="280" spans="2:27" ht="51">
      <c r="B280" s="2467" t="s">
        <v>352</v>
      </c>
      <c r="C280" s="2498"/>
      <c r="D280" s="2481">
        <f t="shared" si="56"/>
        <v>134834.45600000003</v>
      </c>
      <c r="E280" s="2190">
        <v>131446.97600000002</v>
      </c>
      <c r="F280" s="2191">
        <v>0</v>
      </c>
      <c r="G280" s="2190">
        <v>3387.48</v>
      </c>
      <c r="H280" s="2191"/>
      <c r="I280" s="2499">
        <f t="shared" si="57"/>
        <v>3387.48</v>
      </c>
      <c r="J280" s="2471"/>
      <c r="K280" s="2252"/>
      <c r="L280" s="2471"/>
      <c r="M280" s="2500">
        <f t="shared" si="59"/>
        <v>0</v>
      </c>
      <c r="N280" s="922"/>
      <c r="O280" s="922"/>
      <c r="P280" s="109"/>
      <c r="Q280" s="706"/>
      <c r="R280" s="109"/>
      <c r="S280" s="706"/>
      <c r="T280" s="708"/>
      <c r="U280" s="706"/>
      <c r="V280" s="706"/>
      <c r="W280" s="706"/>
      <c r="X280" s="706"/>
      <c r="Y280" s="706"/>
      <c r="Z280" s="706"/>
      <c r="AA280" s="706"/>
    </row>
    <row r="281" spans="2:27">
      <c r="B281" s="2460"/>
      <c r="C281" s="2498"/>
      <c r="D281" s="2481">
        <f t="shared" si="56"/>
        <v>0</v>
      </c>
      <c r="E281" s="2252"/>
      <c r="F281" s="2471"/>
      <c r="G281" s="2252"/>
      <c r="H281" s="2471"/>
      <c r="I281" s="2499">
        <f t="shared" si="57"/>
        <v>0</v>
      </c>
      <c r="J281" s="2471"/>
      <c r="K281" s="2252"/>
      <c r="L281" s="2471"/>
      <c r="M281" s="2500">
        <f t="shared" si="59"/>
        <v>0</v>
      </c>
      <c r="N281" s="922"/>
      <c r="O281" s="922"/>
      <c r="P281" s="109"/>
      <c r="Q281" s="706"/>
      <c r="R281" s="109"/>
      <c r="S281" s="706"/>
      <c r="T281" s="708"/>
      <c r="U281" s="706"/>
      <c r="V281" s="706"/>
      <c r="W281" s="706"/>
      <c r="X281" s="706"/>
      <c r="Y281" s="706"/>
      <c r="Z281" s="706"/>
      <c r="AA281" s="706"/>
    </row>
    <row r="282" spans="2:27" ht="12.75" customHeight="1">
      <c r="B282" s="2467" t="s">
        <v>353</v>
      </c>
      <c r="C282" s="2498">
        <v>4</v>
      </c>
      <c r="D282" s="2481">
        <f t="shared" si="56"/>
        <v>406902.03899999999</v>
      </c>
      <c r="E282" s="2190">
        <v>329254.65999999997</v>
      </c>
      <c r="F282" s="2191">
        <v>0</v>
      </c>
      <c r="G282" s="2190">
        <v>3673.4580000000001</v>
      </c>
      <c r="H282" s="2191"/>
      <c r="I282" s="2499">
        <f t="shared" si="57"/>
        <v>3673.4580000000001</v>
      </c>
      <c r="J282" s="2191">
        <v>34825.031999999999</v>
      </c>
      <c r="K282" s="2190"/>
      <c r="L282" s="2191">
        <v>39148.888999999996</v>
      </c>
      <c r="M282" s="2500">
        <f t="shared" si="59"/>
        <v>73973.921000000002</v>
      </c>
      <c r="N282" s="922"/>
      <c r="O282" s="922"/>
      <c r="P282" s="109"/>
      <c r="Q282" s="706"/>
      <c r="R282" s="109"/>
      <c r="S282" s="706"/>
      <c r="T282" s="708"/>
      <c r="U282" s="706"/>
      <c r="V282" s="706"/>
      <c r="W282" s="706"/>
      <c r="X282" s="706"/>
      <c r="Y282" s="706"/>
      <c r="Z282" s="706"/>
      <c r="AA282" s="706"/>
    </row>
    <row r="283" spans="2:27">
      <c r="B283" s="2460" t="s">
        <v>354</v>
      </c>
      <c r="C283" s="2498"/>
      <c r="D283" s="2481">
        <f t="shared" si="56"/>
        <v>0</v>
      </c>
      <c r="E283" s="2190">
        <v>0</v>
      </c>
      <c r="F283" s="2191">
        <v>0</v>
      </c>
      <c r="G283" s="2190">
        <v>0</v>
      </c>
      <c r="H283" s="2191"/>
      <c r="I283" s="2499">
        <f t="shared" si="57"/>
        <v>0</v>
      </c>
      <c r="J283" s="2191">
        <v>0</v>
      </c>
      <c r="K283" s="2190"/>
      <c r="L283" s="2191">
        <v>0</v>
      </c>
      <c r="M283" s="2500">
        <f t="shared" si="59"/>
        <v>0</v>
      </c>
      <c r="N283" s="922"/>
      <c r="O283" s="922"/>
      <c r="P283" s="109"/>
      <c r="Q283" s="706"/>
      <c r="R283" s="109"/>
      <c r="S283" s="706"/>
      <c r="T283" s="708"/>
      <c r="U283" s="706"/>
      <c r="V283" s="706"/>
      <c r="W283" s="706"/>
      <c r="X283" s="706"/>
      <c r="Y283" s="706"/>
      <c r="Z283" s="706"/>
      <c r="AA283" s="706"/>
    </row>
    <row r="284" spans="2:27">
      <c r="B284" s="2460" t="s">
        <v>355</v>
      </c>
      <c r="C284" s="2498"/>
      <c r="D284" s="2481">
        <f t="shared" si="56"/>
        <v>6733.192</v>
      </c>
      <c r="E284" s="2190">
        <v>6733.192</v>
      </c>
      <c r="F284" s="2191">
        <v>0</v>
      </c>
      <c r="G284" s="2190">
        <v>0</v>
      </c>
      <c r="H284" s="2191"/>
      <c r="I284" s="2499">
        <f t="shared" si="57"/>
        <v>0</v>
      </c>
      <c r="J284" s="2191">
        <v>0</v>
      </c>
      <c r="K284" s="2190"/>
      <c r="L284" s="2191">
        <v>0</v>
      </c>
      <c r="M284" s="2500">
        <f t="shared" si="59"/>
        <v>0</v>
      </c>
      <c r="N284" s="922"/>
      <c r="O284" s="922"/>
      <c r="P284" s="109"/>
      <c r="Q284" s="706"/>
      <c r="R284" s="109"/>
      <c r="S284" s="706"/>
      <c r="T284" s="708"/>
      <c r="U284" s="706"/>
      <c r="V284" s="706"/>
      <c r="W284" s="706"/>
      <c r="X284" s="706"/>
      <c r="Y284" s="706"/>
      <c r="Z284" s="706"/>
      <c r="AA284" s="706"/>
    </row>
    <row r="285" spans="2:27">
      <c r="B285" s="2466" t="s">
        <v>356</v>
      </c>
      <c r="C285" s="2501"/>
      <c r="D285" s="2481">
        <f t="shared" si="56"/>
        <v>413635.23099999991</v>
      </c>
      <c r="E285" s="2252">
        <f>SUM(E282:E284)</f>
        <v>335987.85199999996</v>
      </c>
      <c r="F285" s="2471">
        <f>SUM(F282:F284)</f>
        <v>0</v>
      </c>
      <c r="G285" s="2252">
        <f>SUM(G282:G284)</f>
        <v>3673.4580000000001</v>
      </c>
      <c r="H285" s="2471">
        <f>SUM(H282:H284)</f>
        <v>0</v>
      </c>
      <c r="I285" s="2499">
        <f t="shared" si="57"/>
        <v>3673.4580000000001</v>
      </c>
      <c r="J285" s="2471">
        <f>SUM(J282:J284)</f>
        <v>34825.031999999999</v>
      </c>
      <c r="K285" s="2252">
        <f>SUM(K282:K284)</f>
        <v>0</v>
      </c>
      <c r="L285" s="2471">
        <f>SUM(L282:L284)</f>
        <v>39148.888999999996</v>
      </c>
      <c r="M285" s="2500">
        <f t="shared" si="59"/>
        <v>73973.921000000002</v>
      </c>
      <c r="N285" s="927"/>
      <c r="O285" s="922"/>
      <c r="P285" s="109"/>
      <c r="Q285" s="706"/>
      <c r="R285" s="109"/>
      <c r="S285" s="706"/>
      <c r="T285" s="708"/>
      <c r="U285" s="706"/>
      <c r="V285" s="706"/>
      <c r="W285" s="706"/>
      <c r="X285" s="706"/>
      <c r="Y285" s="706"/>
      <c r="Z285" s="706"/>
      <c r="AA285" s="706"/>
    </row>
    <row r="286" spans="2:27">
      <c r="B286" s="2466"/>
      <c r="C286" s="2501"/>
      <c r="D286" s="2481">
        <f t="shared" si="56"/>
        <v>0</v>
      </c>
      <c r="E286" s="2252"/>
      <c r="F286" s="2471"/>
      <c r="G286" s="2252"/>
      <c r="H286" s="2471"/>
      <c r="I286" s="2499">
        <f t="shared" si="57"/>
        <v>0</v>
      </c>
      <c r="J286" s="2471"/>
      <c r="K286" s="2252"/>
      <c r="L286" s="2471"/>
      <c r="M286" s="2500">
        <f t="shared" si="59"/>
        <v>0</v>
      </c>
      <c r="P286" s="109"/>
      <c r="Q286" s="706"/>
      <c r="R286" s="109"/>
      <c r="S286" s="706"/>
      <c r="T286" s="708"/>
      <c r="U286" s="706"/>
      <c r="V286" s="706"/>
      <c r="W286" s="706"/>
      <c r="X286" s="706"/>
      <c r="Y286" s="706"/>
      <c r="Z286" s="706"/>
      <c r="AA286" s="706"/>
    </row>
    <row r="287" spans="2:27">
      <c r="B287" s="2466" t="s">
        <v>357</v>
      </c>
      <c r="C287" s="2501"/>
      <c r="D287" s="2481">
        <f t="shared" si="56"/>
        <v>8442.7270000000226</v>
      </c>
      <c r="E287" s="2252">
        <f>E270-E278-E280-E285</f>
        <v>8442.7270000000135</v>
      </c>
      <c r="F287" s="2471">
        <f>F270-F278-F280-F285</f>
        <v>0</v>
      </c>
      <c r="G287" s="2252">
        <f>G270-G278-G280-G285</f>
        <v>-7.8216544352471828E-11</v>
      </c>
      <c r="H287" s="2471">
        <f>H270-H278-H280-H285</f>
        <v>0</v>
      </c>
      <c r="I287" s="2499">
        <f t="shared" si="57"/>
        <v>-7.8216544352471828E-11</v>
      </c>
      <c r="J287" s="2471">
        <f>J270-J278-J280-J285</f>
        <v>0</v>
      </c>
      <c r="K287" s="2252">
        <f>K270-K278-K280-K285</f>
        <v>0</v>
      </c>
      <c r="L287" s="2471">
        <f>L270-L278-L280-L285</f>
        <v>8.7311491370201111E-11</v>
      </c>
      <c r="M287" s="2500">
        <f t="shared" si="59"/>
        <v>8.7311491370201111E-11</v>
      </c>
      <c r="N287" s="927"/>
      <c r="O287" s="922"/>
      <c r="P287" s="109"/>
      <c r="Q287" s="706"/>
      <c r="R287" s="109"/>
      <c r="S287" s="706"/>
      <c r="T287" s="708"/>
      <c r="U287" s="706"/>
      <c r="V287" s="706"/>
      <c r="W287" s="706"/>
      <c r="X287" s="706"/>
      <c r="Y287" s="706"/>
      <c r="Z287" s="706"/>
      <c r="AA287" s="706"/>
    </row>
    <row r="288" spans="2:27">
      <c r="B288" s="2460" t="s">
        <v>358</v>
      </c>
      <c r="C288" s="2498"/>
      <c r="D288" s="2481">
        <f t="shared" si="56"/>
        <v>0</v>
      </c>
      <c r="E288" s="2252"/>
      <c r="F288" s="2471"/>
      <c r="G288" s="2252"/>
      <c r="H288" s="2471"/>
      <c r="I288" s="2499">
        <f t="shared" si="57"/>
        <v>0</v>
      </c>
      <c r="J288" s="2471"/>
      <c r="K288" s="2252"/>
      <c r="L288" s="2471"/>
      <c r="M288" s="2500">
        <f t="shared" si="59"/>
        <v>0</v>
      </c>
      <c r="N288" s="922"/>
      <c r="O288" s="922"/>
      <c r="P288" s="109"/>
      <c r="Q288" s="706"/>
      <c r="R288" s="109"/>
      <c r="S288" s="706"/>
      <c r="T288" s="708"/>
      <c r="U288" s="706"/>
      <c r="V288" s="706"/>
      <c r="W288" s="706"/>
      <c r="X288" s="706"/>
      <c r="Y288" s="706"/>
      <c r="Z288" s="706"/>
      <c r="AA288" s="706"/>
    </row>
    <row r="289" spans="1:27">
      <c r="B289" s="2460"/>
      <c r="C289" s="2498"/>
      <c r="D289" s="2481">
        <f t="shared" si="56"/>
        <v>0</v>
      </c>
      <c r="E289" s="2252"/>
      <c r="F289" s="2471"/>
      <c r="G289" s="2252"/>
      <c r="H289" s="2471"/>
      <c r="I289" s="2499">
        <f t="shared" si="57"/>
        <v>0</v>
      </c>
      <c r="J289" s="2471"/>
      <c r="K289" s="2252"/>
      <c r="L289" s="2471"/>
      <c r="M289" s="2500">
        <f t="shared" si="59"/>
        <v>0</v>
      </c>
      <c r="P289" s="679"/>
      <c r="Q289" s="706"/>
      <c r="R289" s="109"/>
      <c r="S289" s="706"/>
      <c r="T289" s="708"/>
      <c r="U289" s="706"/>
      <c r="V289" s="706"/>
      <c r="W289" s="706"/>
      <c r="X289" s="706"/>
      <c r="Y289" s="706"/>
      <c r="Z289" s="706"/>
      <c r="AA289" s="706"/>
    </row>
    <row r="290" spans="1:27" ht="13.5" thickBot="1">
      <c r="B290" s="1602" t="s">
        <v>359</v>
      </c>
      <c r="C290" s="1638"/>
      <c r="D290" s="1614">
        <f t="shared" si="56"/>
        <v>8442.7270000000226</v>
      </c>
      <c r="E290" s="1624">
        <f>E287-E288</f>
        <v>8442.7270000000135</v>
      </c>
      <c r="F290" s="1614">
        <f>F287-F288</f>
        <v>0</v>
      </c>
      <c r="G290" s="1624">
        <f>G287-G288</f>
        <v>-7.8216544352471828E-11</v>
      </c>
      <c r="H290" s="1614">
        <f>H287-H288</f>
        <v>0</v>
      </c>
      <c r="I290" s="1624">
        <f t="shared" si="57"/>
        <v>-7.8216544352471828E-11</v>
      </c>
      <c r="J290" s="1614">
        <f>J287-J288</f>
        <v>0</v>
      </c>
      <c r="K290" s="1624">
        <f>K287-K288</f>
        <v>0</v>
      </c>
      <c r="L290" s="1614">
        <f>L287-L288</f>
        <v>8.7311491370201111E-11</v>
      </c>
      <c r="M290" s="1639">
        <f t="shared" si="59"/>
        <v>8.7311491370201111E-11</v>
      </c>
      <c r="N290" s="927"/>
      <c r="O290" s="922"/>
      <c r="P290" s="679"/>
      <c r="Q290" s="706"/>
      <c r="R290" s="109"/>
      <c r="S290" s="706"/>
      <c r="T290" s="708"/>
      <c r="U290" s="706"/>
      <c r="V290" s="706"/>
      <c r="W290" s="706"/>
      <c r="X290" s="706"/>
      <c r="Y290" s="706"/>
      <c r="Z290" s="706"/>
      <c r="AA290" s="706"/>
    </row>
    <row r="291" spans="1:27">
      <c r="R291" s="109"/>
    </row>
    <row r="292" spans="1:27">
      <c r="D292" s="679"/>
      <c r="E292" s="679"/>
      <c r="M292" s="680">
        <v>52</v>
      </c>
      <c r="R292" s="109"/>
    </row>
    <row r="293" spans="1:27">
      <c r="R293" s="109"/>
    </row>
    <row r="294" spans="1:27" ht="13.5" thickBot="1">
      <c r="R294" s="109"/>
    </row>
    <row r="295" spans="1:27" ht="12.75" customHeight="1" thickBot="1">
      <c r="A295" s="1626" t="s">
        <v>183</v>
      </c>
      <c r="B295" s="1368" t="s">
        <v>97</v>
      </c>
      <c r="C295" s="912"/>
      <c r="L295" s="3538" t="s">
        <v>251</v>
      </c>
      <c r="M295" s="3538"/>
      <c r="R295" s="109"/>
    </row>
    <row r="296" spans="1:27" ht="17.25" customHeight="1" thickBot="1">
      <c r="B296" s="3578" t="s">
        <v>97</v>
      </c>
      <c r="C296" s="3523" t="s">
        <v>325</v>
      </c>
      <c r="D296" s="3518" t="s">
        <v>255</v>
      </c>
      <c r="E296" s="3518" t="s">
        <v>326</v>
      </c>
      <c r="F296" s="3574" t="s">
        <v>258</v>
      </c>
      <c r="G296" s="3574"/>
      <c r="H296" s="3574"/>
      <c r="I296" s="3574"/>
      <c r="J296" s="3574"/>
      <c r="K296" s="3574"/>
      <c r="L296" s="3574"/>
      <c r="M296" s="3574"/>
      <c r="R296" s="109"/>
    </row>
    <row r="297" spans="1:27" ht="17.25" customHeight="1">
      <c r="B297" s="3571"/>
      <c r="C297" s="3524"/>
      <c r="D297" s="3520"/>
      <c r="E297" s="3520"/>
      <c r="F297" s="3575" t="s">
        <v>259</v>
      </c>
      <c r="G297" s="3576"/>
      <c r="H297" s="3576"/>
      <c r="I297" s="3577"/>
      <c r="J297" s="3574" t="s">
        <v>327</v>
      </c>
      <c r="K297" s="3574"/>
      <c r="L297" s="3574"/>
      <c r="M297" s="3574"/>
      <c r="R297" s="109"/>
    </row>
    <row r="298" spans="1:27" ht="45.75" customHeight="1" thickBot="1">
      <c r="B298" s="3571"/>
      <c r="C298" s="3524"/>
      <c r="D298" s="3519"/>
      <c r="E298" s="3519"/>
      <c r="F298" s="1339" t="s">
        <v>261</v>
      </c>
      <c r="G298" s="1339" t="s">
        <v>262</v>
      </c>
      <c r="H298" s="1339" t="s">
        <v>263</v>
      </c>
      <c r="I298" s="1339" t="s">
        <v>158</v>
      </c>
      <c r="J298" s="1588" t="s">
        <v>328</v>
      </c>
      <c r="K298" s="1588" t="s">
        <v>265</v>
      </c>
      <c r="L298" s="1588" t="s">
        <v>329</v>
      </c>
      <c r="M298" s="1588" t="s">
        <v>158</v>
      </c>
      <c r="R298" s="109"/>
    </row>
    <row r="299" spans="1:27" ht="16.5" customHeight="1" thickBot="1">
      <c r="B299" s="3571"/>
      <c r="C299" s="3524"/>
      <c r="D299" s="1589">
        <v>1</v>
      </c>
      <c r="E299" s="3518">
        <v>2</v>
      </c>
      <c r="F299" s="3518">
        <v>3</v>
      </c>
      <c r="G299" s="3518">
        <v>4</v>
      </c>
      <c r="H299" s="3518">
        <v>5</v>
      </c>
      <c r="I299" s="1589">
        <v>6</v>
      </c>
      <c r="J299" s="3518">
        <v>7</v>
      </c>
      <c r="K299" s="3518">
        <v>8</v>
      </c>
      <c r="L299" s="3518">
        <v>9</v>
      </c>
      <c r="M299" s="1589">
        <v>10</v>
      </c>
      <c r="R299" s="109"/>
    </row>
    <row r="300" spans="1:27" ht="13.5" thickBot="1">
      <c r="B300" s="3572"/>
      <c r="C300" s="3525"/>
      <c r="D300" s="1590" t="s">
        <v>330</v>
      </c>
      <c r="E300" s="3519"/>
      <c r="F300" s="3519"/>
      <c r="G300" s="3519"/>
      <c r="H300" s="3519"/>
      <c r="I300" s="1590" t="s">
        <v>331</v>
      </c>
      <c r="J300" s="3519"/>
      <c r="K300" s="3519"/>
      <c r="L300" s="3519"/>
      <c r="M300" s="1590" t="s">
        <v>332</v>
      </c>
      <c r="N300" s="703"/>
      <c r="O300" s="703"/>
      <c r="R300" s="109"/>
    </row>
    <row r="301" spans="1:27">
      <c r="B301" s="1591" t="s">
        <v>333</v>
      </c>
      <c r="C301" s="962"/>
      <c r="D301" s="1592">
        <f t="shared" ref="D301:D338" si="60">E301+I301+M301</f>
        <v>25565050.494479999</v>
      </c>
      <c r="E301" s="964"/>
      <c r="F301" s="963">
        <v>5902045.2366899997</v>
      </c>
      <c r="G301" s="964">
        <v>13382290.21441</v>
      </c>
      <c r="H301" s="963">
        <v>6271431</v>
      </c>
      <c r="I301" s="1595">
        <f t="shared" ref="I301:I338" si="61">F301+G301+H301</f>
        <v>25555766.451099999</v>
      </c>
      <c r="J301" s="963"/>
      <c r="K301" s="964"/>
      <c r="L301" s="963">
        <v>9284.0433799999992</v>
      </c>
      <c r="M301" s="1598">
        <f t="shared" ref="M301:M318" si="62">L301+K301+J301</f>
        <v>9284.0433799999992</v>
      </c>
      <c r="N301" s="922"/>
      <c r="O301" s="922"/>
      <c r="P301" s="679"/>
      <c r="Q301" s="706"/>
      <c r="R301" s="264"/>
      <c r="S301" s="706"/>
      <c r="T301" s="708"/>
      <c r="U301" s="706"/>
      <c r="V301" s="706"/>
      <c r="W301" s="706"/>
      <c r="X301" s="706"/>
      <c r="Y301" s="706"/>
      <c r="Z301" s="706"/>
      <c r="AA301" s="706"/>
    </row>
    <row r="302" spans="1:27">
      <c r="B302" s="2460"/>
      <c r="C302" s="2461"/>
      <c r="D302" s="2481">
        <f t="shared" si="60"/>
        <v>0</v>
      </c>
      <c r="E302" s="2483"/>
      <c r="F302" s="2471"/>
      <c r="G302" s="2483"/>
      <c r="H302" s="2471"/>
      <c r="I302" s="2482">
        <f t="shared" si="61"/>
        <v>0</v>
      </c>
      <c r="J302" s="2471"/>
      <c r="K302" s="2483"/>
      <c r="L302" s="2471"/>
      <c r="M302" s="2484">
        <f t="shared" si="62"/>
        <v>0</v>
      </c>
      <c r="P302" s="679"/>
      <c r="Q302" s="706"/>
      <c r="R302" s="264"/>
      <c r="S302" s="706"/>
      <c r="T302" s="708"/>
      <c r="U302" s="706"/>
      <c r="V302" s="706"/>
      <c r="W302" s="706"/>
      <c r="X302" s="706"/>
      <c r="Y302" s="706"/>
      <c r="Z302" s="706"/>
      <c r="AA302" s="706"/>
    </row>
    <row r="303" spans="1:27">
      <c r="B303" s="2462" t="s">
        <v>334</v>
      </c>
      <c r="C303" s="2461"/>
      <c r="D303" s="2481">
        <f t="shared" si="60"/>
        <v>308498.83740999998</v>
      </c>
      <c r="E303" s="2483"/>
      <c r="F303" s="2471">
        <v>23030.78471</v>
      </c>
      <c r="G303" s="2483">
        <v>277188.30580999999</v>
      </c>
      <c r="H303" s="2471">
        <v>8022</v>
      </c>
      <c r="I303" s="2482">
        <f t="shared" si="61"/>
        <v>308241.09051999997</v>
      </c>
      <c r="J303" s="2471"/>
      <c r="K303" s="2483"/>
      <c r="L303" s="2471">
        <v>257.74689000000001</v>
      </c>
      <c r="M303" s="2484">
        <f t="shared" si="62"/>
        <v>257.74689000000001</v>
      </c>
      <c r="N303" s="922"/>
      <c r="O303" s="922"/>
      <c r="P303" s="679"/>
      <c r="Q303" s="706"/>
      <c r="R303" s="264"/>
      <c r="S303" s="706"/>
      <c r="T303" s="708"/>
      <c r="U303" s="706"/>
      <c r="V303" s="706"/>
      <c r="W303" s="706"/>
      <c r="X303" s="706"/>
      <c r="Y303" s="706"/>
      <c r="Z303" s="706"/>
      <c r="AA303" s="706"/>
    </row>
    <row r="304" spans="1:27">
      <c r="B304" s="2462"/>
      <c r="C304" s="2461"/>
      <c r="D304" s="2481">
        <f t="shared" si="60"/>
        <v>0</v>
      </c>
      <c r="E304" s="2483"/>
      <c r="F304" s="2471"/>
      <c r="G304" s="2483"/>
      <c r="H304" s="2471"/>
      <c r="I304" s="2482">
        <f t="shared" si="61"/>
        <v>0</v>
      </c>
      <c r="J304" s="2471"/>
      <c r="K304" s="2483"/>
      <c r="L304" s="2471"/>
      <c r="M304" s="2484">
        <f t="shared" si="62"/>
        <v>0</v>
      </c>
      <c r="P304" s="679"/>
      <c r="Q304" s="706"/>
      <c r="R304" s="264"/>
      <c r="S304" s="706"/>
      <c r="T304" s="708"/>
      <c r="U304" s="706"/>
      <c r="V304" s="706"/>
      <c r="W304" s="706"/>
      <c r="X304" s="706"/>
      <c r="Y304" s="706"/>
      <c r="Z304" s="706"/>
      <c r="AA304" s="706"/>
    </row>
    <row r="305" spans="2:27" ht="12.75" customHeight="1">
      <c r="B305" s="2463" t="s">
        <v>335</v>
      </c>
      <c r="C305" s="2461"/>
      <c r="D305" s="2481">
        <f t="shared" si="60"/>
        <v>0</v>
      </c>
      <c r="E305" s="2483"/>
      <c r="F305" s="2471"/>
      <c r="G305" s="2483"/>
      <c r="H305" s="2471"/>
      <c r="I305" s="2482">
        <f t="shared" si="61"/>
        <v>0</v>
      </c>
      <c r="J305" s="2471"/>
      <c r="K305" s="2483"/>
      <c r="L305" s="2471"/>
      <c r="M305" s="2484">
        <f t="shared" si="62"/>
        <v>0</v>
      </c>
      <c r="N305" s="922"/>
      <c r="O305" s="922"/>
      <c r="P305" s="679"/>
      <c r="Q305" s="706"/>
      <c r="R305" s="264"/>
      <c r="S305" s="706"/>
      <c r="T305" s="708"/>
      <c r="U305" s="706"/>
      <c r="V305" s="706"/>
      <c r="W305" s="706"/>
      <c r="X305" s="706"/>
      <c r="Y305" s="706"/>
      <c r="Z305" s="706"/>
      <c r="AA305" s="706"/>
    </row>
    <row r="306" spans="2:27">
      <c r="B306" s="2460"/>
      <c r="C306" s="2461"/>
      <c r="D306" s="2481">
        <f t="shared" si="60"/>
        <v>0</v>
      </c>
      <c r="E306" s="2483"/>
      <c r="F306" s="2471"/>
      <c r="G306" s="2483"/>
      <c r="H306" s="2471"/>
      <c r="I306" s="2482">
        <f t="shared" si="61"/>
        <v>0</v>
      </c>
      <c r="J306" s="2471"/>
      <c r="K306" s="2483"/>
      <c r="L306" s="2471"/>
      <c r="M306" s="2484">
        <f t="shared" si="62"/>
        <v>0</v>
      </c>
      <c r="P306" s="679"/>
      <c r="Q306" s="706"/>
      <c r="R306" s="264"/>
      <c r="S306" s="706"/>
      <c r="T306" s="708"/>
      <c r="U306" s="706"/>
      <c r="V306" s="706"/>
      <c r="W306" s="706"/>
      <c r="X306" s="706"/>
      <c r="Y306" s="706"/>
      <c r="Z306" s="706"/>
      <c r="AA306" s="706"/>
    </row>
    <row r="307" spans="2:27">
      <c r="B307" s="2464" t="s">
        <v>336</v>
      </c>
      <c r="C307" s="2465"/>
      <c r="D307" s="2481">
        <f t="shared" si="60"/>
        <v>25256551.657069996</v>
      </c>
      <c r="E307" s="2483">
        <f>E301-E303+E305</f>
        <v>0</v>
      </c>
      <c r="F307" s="2471">
        <f>F301-F303+F305</f>
        <v>5879014.4519799994</v>
      </c>
      <c r="G307" s="2483">
        <f>G301-G303+G305</f>
        <v>13105101.908599999</v>
      </c>
      <c r="H307" s="2471">
        <f>H301-H303+H305</f>
        <v>6263409</v>
      </c>
      <c r="I307" s="2482">
        <f t="shared" si="61"/>
        <v>25247525.360579997</v>
      </c>
      <c r="J307" s="2471">
        <f>J301-J303+J305</f>
        <v>0</v>
      </c>
      <c r="K307" s="2483">
        <f>K301-K303+K305</f>
        <v>0</v>
      </c>
      <c r="L307" s="2471">
        <f>L301-L303+L305</f>
        <v>9026.2964899999988</v>
      </c>
      <c r="M307" s="2484">
        <f t="shared" si="62"/>
        <v>9026.2964899999988</v>
      </c>
      <c r="N307" s="927"/>
      <c r="O307" s="922"/>
      <c r="P307" s="679"/>
      <c r="Q307" s="706"/>
      <c r="R307" s="264"/>
      <c r="S307" s="706"/>
      <c r="T307" s="708"/>
      <c r="U307" s="706"/>
      <c r="V307" s="706"/>
      <c r="W307" s="706"/>
      <c r="X307" s="706"/>
      <c r="Y307" s="706"/>
      <c r="Z307" s="706"/>
      <c r="AA307" s="706"/>
    </row>
    <row r="308" spans="2:27">
      <c r="B308" s="2464"/>
      <c r="C308" s="2465"/>
      <c r="D308" s="2481">
        <f t="shared" si="60"/>
        <v>0</v>
      </c>
      <c r="E308" s="2483"/>
      <c r="F308" s="2471"/>
      <c r="G308" s="2483"/>
      <c r="H308" s="2471"/>
      <c r="I308" s="2482">
        <f t="shared" si="61"/>
        <v>0</v>
      </c>
      <c r="J308" s="2471"/>
      <c r="K308" s="2483"/>
      <c r="L308" s="2471"/>
      <c r="M308" s="2484">
        <f t="shared" si="62"/>
        <v>0</v>
      </c>
      <c r="P308" s="679"/>
      <c r="Q308" s="706"/>
      <c r="R308" s="264"/>
      <c r="S308" s="706"/>
      <c r="T308" s="708"/>
      <c r="U308" s="706"/>
      <c r="V308" s="706"/>
      <c r="W308" s="706"/>
      <c r="X308" s="706"/>
      <c r="Y308" s="706"/>
      <c r="Z308" s="706"/>
      <c r="AA308" s="706"/>
    </row>
    <row r="309" spans="2:27">
      <c r="B309" s="2464" t="s">
        <v>337</v>
      </c>
      <c r="C309" s="2465"/>
      <c r="D309" s="2481">
        <f t="shared" si="60"/>
        <v>15129139.30139</v>
      </c>
      <c r="E309" s="2483">
        <f>SUM(E310:E314)</f>
        <v>3347511.83617</v>
      </c>
      <c r="F309" s="2471">
        <f>SUM(F310:F314)</f>
        <v>6205489.35623</v>
      </c>
      <c r="G309" s="2483">
        <f>SUM(G310:G314)</f>
        <v>2710116.0455200002</v>
      </c>
      <c r="H309" s="2471">
        <f>SUM(H310:H314)</f>
        <v>2866022.0634700004</v>
      </c>
      <c r="I309" s="2482">
        <f t="shared" si="61"/>
        <v>11781627.465220001</v>
      </c>
      <c r="J309" s="2471">
        <f>SUM(J310:J314)</f>
        <v>0</v>
      </c>
      <c r="K309" s="2483">
        <f>SUM(K310:K314)</f>
        <v>0</v>
      </c>
      <c r="L309" s="2471">
        <f>SUM(L310:L314)</f>
        <v>0</v>
      </c>
      <c r="M309" s="2484">
        <f t="shared" si="62"/>
        <v>0</v>
      </c>
      <c r="N309" s="927"/>
      <c r="O309" s="922"/>
      <c r="P309" s="679"/>
      <c r="Q309" s="706"/>
      <c r="R309" s="264"/>
      <c r="S309" s="706"/>
      <c r="T309" s="708"/>
      <c r="U309" s="706"/>
      <c r="V309" s="706"/>
      <c r="W309" s="706"/>
      <c r="X309" s="706"/>
      <c r="Y309" s="706"/>
      <c r="Z309" s="706"/>
      <c r="AA309" s="706"/>
    </row>
    <row r="310" spans="2:27">
      <c r="B310" s="2460" t="s">
        <v>338</v>
      </c>
      <c r="C310" s="2461">
        <v>1</v>
      </c>
      <c r="D310" s="2481">
        <f t="shared" si="60"/>
        <v>14314783.197760001</v>
      </c>
      <c r="E310" s="2483">
        <v>2945721.3816900002</v>
      </c>
      <c r="F310" s="2471">
        <v>5989295.4664600007</v>
      </c>
      <c r="G310" s="2483">
        <v>2508358.3496099999</v>
      </c>
      <c r="H310" s="2471">
        <v>2871408</v>
      </c>
      <c r="I310" s="2482">
        <f t="shared" si="61"/>
        <v>11369061.816070002</v>
      </c>
      <c r="J310" s="2471"/>
      <c r="K310" s="2483"/>
      <c r="L310" s="2471"/>
      <c r="M310" s="2484">
        <f t="shared" si="62"/>
        <v>0</v>
      </c>
      <c r="N310" s="922"/>
      <c r="O310" s="922"/>
      <c r="P310" s="679"/>
      <c r="Q310" s="706"/>
      <c r="R310" s="264"/>
      <c r="S310" s="706"/>
      <c r="T310" s="708"/>
      <c r="U310" s="706"/>
      <c r="V310" s="706"/>
      <c r="W310" s="706"/>
      <c r="X310" s="706"/>
      <c r="Y310" s="706"/>
      <c r="Z310" s="706"/>
      <c r="AA310" s="706"/>
    </row>
    <row r="311" spans="2:27">
      <c r="B311" s="2460" t="s">
        <v>339</v>
      </c>
      <c r="C311" s="2461">
        <v>2</v>
      </c>
      <c r="D311" s="2481">
        <f t="shared" si="60"/>
        <v>197884.61027999999</v>
      </c>
      <c r="E311" s="2483">
        <v>0</v>
      </c>
      <c r="F311" s="2471">
        <v>39766.452519999999</v>
      </c>
      <c r="G311" s="2483">
        <v>158085.22476000001</v>
      </c>
      <c r="H311" s="2471">
        <v>32.933</v>
      </c>
      <c r="I311" s="2482">
        <f t="shared" si="61"/>
        <v>197884.61027999999</v>
      </c>
      <c r="J311" s="2471"/>
      <c r="K311" s="2483"/>
      <c r="L311" s="2471"/>
      <c r="M311" s="2484">
        <f t="shared" si="62"/>
        <v>0</v>
      </c>
      <c r="N311" s="922"/>
      <c r="O311" s="922"/>
      <c r="P311" s="679"/>
      <c r="Q311" s="706"/>
      <c r="R311" s="264"/>
      <c r="S311" s="706"/>
      <c r="T311" s="708"/>
      <c r="U311" s="706"/>
      <c r="V311" s="706"/>
      <c r="W311" s="706"/>
      <c r="X311" s="706"/>
      <c r="Y311" s="706"/>
      <c r="Z311" s="706"/>
      <c r="AA311" s="706"/>
    </row>
    <row r="312" spans="2:27">
      <c r="B312" s="2460" t="s">
        <v>340</v>
      </c>
      <c r="C312" s="2461"/>
      <c r="D312" s="2481">
        <f t="shared" si="60"/>
        <v>200402.45293999999</v>
      </c>
      <c r="E312" s="2483">
        <v>90700.722410000002</v>
      </c>
      <c r="F312" s="2471">
        <v>68647.975879999998</v>
      </c>
      <c r="G312" s="2483">
        <v>11617.754650000003</v>
      </c>
      <c r="H312" s="2471">
        <v>29436</v>
      </c>
      <c r="I312" s="2482">
        <f t="shared" si="61"/>
        <v>109701.73053</v>
      </c>
      <c r="J312" s="2471"/>
      <c r="K312" s="2483"/>
      <c r="L312" s="2471"/>
      <c r="M312" s="2484">
        <f t="shared" si="62"/>
        <v>0</v>
      </c>
      <c r="N312" s="922"/>
      <c r="O312" s="922"/>
      <c r="P312" s="679"/>
      <c r="Q312" s="706"/>
      <c r="R312" s="264"/>
      <c r="S312" s="706"/>
      <c r="T312" s="708"/>
      <c r="U312" s="706"/>
      <c r="V312" s="706"/>
      <c r="W312" s="706"/>
      <c r="X312" s="706"/>
      <c r="Y312" s="706"/>
      <c r="Z312" s="706"/>
      <c r="AA312" s="706"/>
    </row>
    <row r="313" spans="2:27">
      <c r="B313" s="2460" t="s">
        <v>341</v>
      </c>
      <c r="C313" s="2461"/>
      <c r="D313" s="2481">
        <f t="shared" si="60"/>
        <v>388078.85251</v>
      </c>
      <c r="E313" s="2483">
        <v>311089.73207000003</v>
      </c>
      <c r="F313" s="2471">
        <v>103539.01152999999</v>
      </c>
      <c r="G313" s="2483">
        <v>8304.9784399999953</v>
      </c>
      <c r="H313" s="2471">
        <v>-34854.869529999996</v>
      </c>
      <c r="I313" s="2482">
        <f t="shared" si="61"/>
        <v>76989.120439999984</v>
      </c>
      <c r="J313" s="2471"/>
      <c r="K313" s="2483"/>
      <c r="L313" s="2471"/>
      <c r="M313" s="2484">
        <f t="shared" si="62"/>
        <v>0</v>
      </c>
      <c r="N313" s="922"/>
      <c r="O313" s="922"/>
      <c r="P313" s="679"/>
      <c r="Q313" s="706"/>
      <c r="R313" s="264"/>
      <c r="S313" s="706"/>
      <c r="T313" s="708"/>
      <c r="U313" s="706"/>
      <c r="V313" s="706"/>
      <c r="W313" s="706"/>
      <c r="X313" s="706"/>
      <c r="Y313" s="706"/>
      <c r="Z313" s="706"/>
      <c r="AA313" s="706"/>
    </row>
    <row r="314" spans="2:27">
      <c r="B314" s="2460" t="s">
        <v>342</v>
      </c>
      <c r="C314" s="2461">
        <v>3</v>
      </c>
      <c r="D314" s="2481">
        <f t="shared" si="60"/>
        <v>27990.187900000001</v>
      </c>
      <c r="E314" s="2483">
        <v>0</v>
      </c>
      <c r="F314" s="2471">
        <v>4240.4498400000002</v>
      </c>
      <c r="G314" s="2483">
        <v>23749.73806</v>
      </c>
      <c r="H314" s="2471"/>
      <c r="I314" s="2482">
        <f t="shared" si="61"/>
        <v>27990.187900000001</v>
      </c>
      <c r="J314" s="2471"/>
      <c r="K314" s="2483"/>
      <c r="L314" s="2471"/>
      <c r="M314" s="2484">
        <f t="shared" si="62"/>
        <v>0</v>
      </c>
      <c r="N314" s="922"/>
      <c r="O314" s="922"/>
      <c r="P314" s="679"/>
      <c r="Q314" s="706"/>
      <c r="R314" s="264"/>
      <c r="S314" s="706"/>
      <c r="T314" s="708"/>
      <c r="U314" s="706"/>
      <c r="V314" s="706"/>
      <c r="W314" s="706"/>
      <c r="X314" s="706"/>
      <c r="Y314" s="706"/>
      <c r="Z314" s="706"/>
      <c r="AA314" s="706"/>
    </row>
    <row r="315" spans="2:27">
      <c r="B315" s="2460" t="s">
        <v>343</v>
      </c>
      <c r="C315" s="2461"/>
      <c r="D315" s="2481">
        <f t="shared" si="60"/>
        <v>0</v>
      </c>
      <c r="E315" s="2483"/>
      <c r="F315" s="2471"/>
      <c r="G315" s="2483"/>
      <c r="H315" s="2471"/>
      <c r="I315" s="2482">
        <f t="shared" si="61"/>
        <v>0</v>
      </c>
      <c r="J315" s="2471"/>
      <c r="K315" s="2483"/>
      <c r="L315" s="2471"/>
      <c r="M315" s="2484">
        <f t="shared" si="62"/>
        <v>0</v>
      </c>
      <c r="P315" s="679"/>
      <c r="Q315" s="706"/>
      <c r="R315" s="264"/>
      <c r="S315" s="706"/>
      <c r="T315" s="708"/>
      <c r="U315" s="706"/>
      <c r="V315" s="706"/>
      <c r="W315" s="706"/>
      <c r="X315" s="706"/>
      <c r="Y315" s="706"/>
      <c r="Z315" s="706"/>
      <c r="AA315" s="706"/>
    </row>
    <row r="316" spans="2:27">
      <c r="B316" s="2460" t="s">
        <v>343</v>
      </c>
      <c r="C316" s="2461"/>
      <c r="D316" s="2481">
        <f t="shared" si="60"/>
        <v>0</v>
      </c>
      <c r="E316" s="2483"/>
      <c r="F316" s="2471"/>
      <c r="G316" s="2483"/>
      <c r="H316" s="2471"/>
      <c r="I316" s="2482">
        <f t="shared" si="61"/>
        <v>0</v>
      </c>
      <c r="J316" s="2471"/>
      <c r="K316" s="2483"/>
      <c r="L316" s="2471"/>
      <c r="M316" s="2484">
        <f t="shared" si="62"/>
        <v>0</v>
      </c>
      <c r="P316" s="679"/>
      <c r="Q316" s="706"/>
      <c r="R316" s="264"/>
      <c r="S316" s="706"/>
      <c r="T316" s="708"/>
      <c r="U316" s="706"/>
      <c r="V316" s="706"/>
      <c r="W316" s="706"/>
      <c r="X316" s="706"/>
      <c r="Y316" s="706"/>
      <c r="Z316" s="706"/>
      <c r="AA316" s="706"/>
    </row>
    <row r="317" spans="2:27">
      <c r="B317" s="2460"/>
      <c r="C317" s="2461"/>
      <c r="D317" s="2481">
        <f t="shared" si="60"/>
        <v>0</v>
      </c>
      <c r="E317" s="2483"/>
      <c r="F317" s="2471"/>
      <c r="G317" s="2483"/>
      <c r="H317" s="2471"/>
      <c r="I317" s="2482">
        <f t="shared" si="61"/>
        <v>0</v>
      </c>
      <c r="J317" s="2471"/>
      <c r="K317" s="2483"/>
      <c r="L317" s="2471"/>
      <c r="M317" s="2484">
        <f t="shared" si="62"/>
        <v>0</v>
      </c>
      <c r="P317" s="679"/>
      <c r="Q317" s="706"/>
      <c r="R317" s="264"/>
      <c r="S317" s="706"/>
      <c r="T317" s="708"/>
      <c r="U317" s="706"/>
      <c r="V317" s="706"/>
      <c r="W317" s="706"/>
      <c r="X317" s="706"/>
      <c r="Y317" s="706"/>
      <c r="Z317" s="706"/>
      <c r="AA317" s="706"/>
    </row>
    <row r="318" spans="2:27">
      <c r="B318" s="2466" t="s">
        <v>344</v>
      </c>
      <c r="C318" s="2465"/>
      <c r="D318" s="2481">
        <f t="shared" si="60"/>
        <v>40385690.958460003</v>
      </c>
      <c r="E318" s="2483">
        <f>E307+E309</f>
        <v>3347511.83617</v>
      </c>
      <c r="F318" s="2471">
        <f>F307+F309</f>
        <v>12084503.80821</v>
      </c>
      <c r="G318" s="2483">
        <f>G307+G309</f>
        <v>15815217.954119999</v>
      </c>
      <c r="H318" s="2471">
        <f>H307+H309</f>
        <v>9129431.0634700004</v>
      </c>
      <c r="I318" s="2482">
        <f t="shared" si="61"/>
        <v>37029152.825800002</v>
      </c>
      <c r="J318" s="2471">
        <f>J307+J309</f>
        <v>0</v>
      </c>
      <c r="K318" s="2483">
        <f>K307+K309</f>
        <v>0</v>
      </c>
      <c r="L318" s="2471">
        <f>L307+L309</f>
        <v>9026.2964899999988</v>
      </c>
      <c r="M318" s="2484">
        <f t="shared" si="62"/>
        <v>9026.2964899999988</v>
      </c>
      <c r="N318" s="927"/>
      <c r="O318" s="922"/>
      <c r="P318" s="679"/>
      <c r="Q318" s="706"/>
      <c r="R318" s="264"/>
      <c r="S318" s="706"/>
      <c r="T318" s="708"/>
      <c r="U318" s="706"/>
      <c r="V318" s="706"/>
      <c r="W318" s="706"/>
      <c r="X318" s="706"/>
      <c r="Y318" s="706"/>
      <c r="Z318" s="706"/>
      <c r="AA318" s="706"/>
    </row>
    <row r="319" spans="2:27">
      <c r="B319" s="2466"/>
      <c r="C319" s="2465"/>
      <c r="D319" s="2481">
        <f t="shared" si="60"/>
        <v>0</v>
      </c>
      <c r="E319" s="2483"/>
      <c r="F319" s="2471"/>
      <c r="G319" s="2483"/>
      <c r="H319" s="2471"/>
      <c r="I319" s="2482">
        <f t="shared" si="61"/>
        <v>0</v>
      </c>
      <c r="J319" s="2471"/>
      <c r="K319" s="2483"/>
      <c r="L319" s="2471"/>
      <c r="M319" s="2484"/>
      <c r="P319" s="679"/>
      <c r="Q319" s="706"/>
      <c r="R319" s="264"/>
      <c r="S319" s="706"/>
      <c r="T319" s="708"/>
      <c r="U319" s="706"/>
      <c r="V319" s="706"/>
      <c r="W319" s="706"/>
      <c r="X319" s="706"/>
      <c r="Y319" s="706"/>
      <c r="Z319" s="706"/>
      <c r="AA319" s="706"/>
    </row>
    <row r="320" spans="2:27">
      <c r="B320" s="2460" t="s">
        <v>345</v>
      </c>
      <c r="C320" s="2461"/>
      <c r="D320" s="2481">
        <f t="shared" si="60"/>
        <v>12927237.048179999</v>
      </c>
      <c r="E320" s="2483"/>
      <c r="F320" s="2471">
        <v>6321532.4842999997</v>
      </c>
      <c r="G320" s="2483">
        <v>4231296.5638800003</v>
      </c>
      <c r="H320" s="2471">
        <v>2374408</v>
      </c>
      <c r="I320" s="2482">
        <f t="shared" si="61"/>
        <v>12927237.048179999</v>
      </c>
      <c r="J320" s="2471"/>
      <c r="K320" s="2483"/>
      <c r="L320" s="2471"/>
      <c r="M320" s="2484">
        <f t="shared" ref="M320:M338" si="63">L320+K320+J320</f>
        <v>0</v>
      </c>
      <c r="N320" s="922"/>
      <c r="O320" s="922"/>
      <c r="P320" s="679"/>
      <c r="Q320" s="706"/>
      <c r="R320" s="264"/>
      <c r="S320" s="706"/>
      <c r="T320" s="708"/>
      <c r="U320" s="706"/>
      <c r="V320" s="706"/>
      <c r="W320" s="706"/>
      <c r="X320" s="706"/>
      <c r="Y320" s="706"/>
      <c r="Z320" s="706"/>
      <c r="AA320" s="706"/>
    </row>
    <row r="321" spans="2:27">
      <c r="B321" s="2460" t="s">
        <v>346</v>
      </c>
      <c r="C321" s="2461"/>
      <c r="D321" s="2481">
        <f t="shared" si="60"/>
        <v>-190928.73618000001</v>
      </c>
      <c r="E321" s="2483"/>
      <c r="F321" s="2471">
        <v>-22671.133119999999</v>
      </c>
      <c r="G321" s="2483">
        <v>-165257.60305999999</v>
      </c>
      <c r="H321" s="2471">
        <v>-3000</v>
      </c>
      <c r="I321" s="2482">
        <f t="shared" si="61"/>
        <v>-190928.73618000001</v>
      </c>
      <c r="J321" s="2471"/>
      <c r="K321" s="2483"/>
      <c r="L321" s="2471"/>
      <c r="M321" s="2484">
        <f t="shared" si="63"/>
        <v>0</v>
      </c>
      <c r="N321" s="922"/>
      <c r="O321" s="922"/>
      <c r="P321" s="679"/>
      <c r="Q321" s="706"/>
      <c r="R321" s="264"/>
      <c r="S321" s="706"/>
      <c r="T321" s="708"/>
      <c r="U321" s="706"/>
      <c r="V321" s="706"/>
      <c r="W321" s="706"/>
      <c r="X321" s="706"/>
      <c r="Y321" s="706"/>
      <c r="Z321" s="706"/>
      <c r="AA321" s="706"/>
    </row>
    <row r="322" spans="2:27">
      <c r="B322" s="2460" t="s">
        <v>347</v>
      </c>
      <c r="C322" s="2461"/>
      <c r="D322" s="2481">
        <f t="shared" si="60"/>
        <v>0</v>
      </c>
      <c r="E322" s="2483"/>
      <c r="F322" s="2471"/>
      <c r="G322" s="2483"/>
      <c r="H322" s="2471"/>
      <c r="I322" s="2482">
        <f t="shared" si="61"/>
        <v>0</v>
      </c>
      <c r="J322" s="2471"/>
      <c r="K322" s="2483"/>
      <c r="L322" s="2471"/>
      <c r="M322" s="2484">
        <f t="shared" si="63"/>
        <v>0</v>
      </c>
      <c r="N322" s="922"/>
      <c r="O322" s="922"/>
      <c r="P322" s="679"/>
      <c r="Q322" s="706"/>
      <c r="R322" s="264"/>
      <c r="S322" s="706"/>
      <c r="T322" s="708"/>
      <c r="U322" s="706"/>
      <c r="V322" s="706"/>
      <c r="W322" s="706"/>
      <c r="X322" s="706"/>
      <c r="Y322" s="706"/>
      <c r="Z322" s="706"/>
      <c r="AA322" s="706"/>
    </row>
    <row r="323" spans="2:27" ht="12.75" customHeight="1">
      <c r="B323" s="2467" t="s">
        <v>348</v>
      </c>
      <c r="C323" s="2461"/>
      <c r="D323" s="2481">
        <f t="shared" si="60"/>
        <v>0</v>
      </c>
      <c r="E323" s="2483"/>
      <c r="F323" s="2471"/>
      <c r="G323" s="2483"/>
      <c r="H323" s="2471"/>
      <c r="I323" s="2482">
        <f t="shared" si="61"/>
        <v>0</v>
      </c>
      <c r="J323" s="2471"/>
      <c r="K323" s="2483"/>
      <c r="L323" s="2471"/>
      <c r="M323" s="2484">
        <f t="shared" si="63"/>
        <v>0</v>
      </c>
      <c r="N323" s="922"/>
      <c r="O323" s="922"/>
      <c r="P323" s="679"/>
      <c r="Q323" s="706"/>
      <c r="R323" s="264"/>
      <c r="S323" s="706"/>
      <c r="T323" s="708"/>
      <c r="U323" s="706"/>
      <c r="V323" s="706"/>
      <c r="W323" s="706"/>
      <c r="X323" s="706"/>
      <c r="Y323" s="706"/>
      <c r="Z323" s="706"/>
      <c r="AA323" s="706"/>
    </row>
    <row r="324" spans="2:27">
      <c r="B324" s="2460" t="s">
        <v>349</v>
      </c>
      <c r="C324" s="2461"/>
      <c r="D324" s="2481">
        <f t="shared" si="60"/>
        <v>11803985.26145</v>
      </c>
      <c r="E324" s="2483"/>
      <c r="F324" s="2471">
        <v>2785008.8128194599</v>
      </c>
      <c r="G324" s="2483">
        <v>4961177.0560605396</v>
      </c>
      <c r="H324" s="2471">
        <v>4057799.3925700001</v>
      </c>
      <c r="I324" s="2482">
        <f t="shared" si="61"/>
        <v>11803985.26145</v>
      </c>
      <c r="J324" s="2471"/>
      <c r="K324" s="2483"/>
      <c r="L324" s="2471"/>
      <c r="M324" s="2484">
        <f t="shared" si="63"/>
        <v>0</v>
      </c>
      <c r="N324" s="922"/>
      <c r="O324" s="922"/>
      <c r="P324" s="679"/>
      <c r="Q324" s="706"/>
      <c r="R324" s="264"/>
      <c r="S324" s="706"/>
      <c r="T324" s="708"/>
      <c r="U324" s="706"/>
      <c r="V324" s="706"/>
      <c r="W324" s="706"/>
      <c r="X324" s="706"/>
      <c r="Y324" s="706"/>
      <c r="Z324" s="706"/>
      <c r="AA324" s="706"/>
    </row>
    <row r="325" spans="2:27">
      <c r="B325" s="2460" t="s">
        <v>350</v>
      </c>
      <c r="C325" s="2461"/>
      <c r="D325" s="2481">
        <f t="shared" si="60"/>
        <v>0</v>
      </c>
      <c r="E325" s="2483"/>
      <c r="F325" s="2471"/>
      <c r="G325" s="2483"/>
      <c r="H325" s="2471"/>
      <c r="I325" s="2482">
        <f t="shared" si="61"/>
        <v>0</v>
      </c>
      <c r="J325" s="2471"/>
      <c r="K325" s="2483"/>
      <c r="L325" s="2471"/>
      <c r="M325" s="2484">
        <f t="shared" si="63"/>
        <v>0</v>
      </c>
      <c r="N325" s="922"/>
      <c r="O325" s="922"/>
      <c r="P325" s="679"/>
      <c r="Q325" s="706"/>
      <c r="R325" s="264"/>
      <c r="S325" s="706"/>
      <c r="T325" s="708"/>
      <c r="U325" s="706"/>
      <c r="V325" s="706"/>
      <c r="W325" s="706"/>
      <c r="X325" s="706"/>
      <c r="Y325" s="706"/>
      <c r="Z325" s="706"/>
      <c r="AA325" s="706"/>
    </row>
    <row r="326" spans="2:27">
      <c r="B326" s="2466" t="s">
        <v>351</v>
      </c>
      <c r="C326" s="2465"/>
      <c r="D326" s="2481">
        <f t="shared" si="60"/>
        <v>24540293.573449999</v>
      </c>
      <c r="E326" s="2483">
        <f>SUM(E320:E325)</f>
        <v>0</v>
      </c>
      <c r="F326" s="2471">
        <f>SUM(F320:F325)</f>
        <v>9083870.1639994588</v>
      </c>
      <c r="G326" s="2483">
        <f>SUM(G320:G325)</f>
        <v>9027216.0168805402</v>
      </c>
      <c r="H326" s="2471">
        <f>SUM(H320:H325)</f>
        <v>6429207.3925700001</v>
      </c>
      <c r="I326" s="2482">
        <f t="shared" si="61"/>
        <v>24540293.573449999</v>
      </c>
      <c r="J326" s="2471">
        <f>SUM(J320:J325)</f>
        <v>0</v>
      </c>
      <c r="K326" s="2483">
        <f>SUM(K320:K325)</f>
        <v>0</v>
      </c>
      <c r="L326" s="2471">
        <f>SUM(L320:L325)</f>
        <v>0</v>
      </c>
      <c r="M326" s="2484">
        <f t="shared" si="63"/>
        <v>0</v>
      </c>
      <c r="N326" s="927"/>
      <c r="O326" s="922"/>
      <c r="P326" s="679"/>
      <c r="Q326" s="706"/>
      <c r="R326" s="264"/>
      <c r="S326" s="706"/>
      <c r="T326" s="708"/>
      <c r="U326" s="706"/>
      <c r="V326" s="706"/>
      <c r="W326" s="706"/>
      <c r="X326" s="706"/>
      <c r="Y326" s="706"/>
      <c r="Z326" s="706"/>
      <c r="AA326" s="706"/>
    </row>
    <row r="327" spans="2:27">
      <c r="B327" s="2460"/>
      <c r="C327" s="2461"/>
      <c r="D327" s="2481">
        <f t="shared" si="60"/>
        <v>0</v>
      </c>
      <c r="E327" s="2483"/>
      <c r="F327" s="2471"/>
      <c r="G327" s="2483"/>
      <c r="H327" s="2471"/>
      <c r="I327" s="2482">
        <f t="shared" si="61"/>
        <v>0</v>
      </c>
      <c r="J327" s="2471"/>
      <c r="K327" s="2483"/>
      <c r="L327" s="2471"/>
      <c r="M327" s="2484">
        <f t="shared" si="63"/>
        <v>0</v>
      </c>
      <c r="O327" s="922"/>
      <c r="P327" s="679"/>
      <c r="Q327" s="706"/>
      <c r="R327" s="264"/>
      <c r="S327" s="706"/>
      <c r="T327" s="708"/>
      <c r="U327" s="706"/>
      <c r="V327" s="706"/>
      <c r="W327" s="706"/>
      <c r="X327" s="706"/>
      <c r="Y327" s="706"/>
      <c r="Z327" s="706"/>
      <c r="AA327" s="706"/>
    </row>
    <row r="328" spans="2:27" ht="51">
      <c r="B328" s="2467" t="s">
        <v>352</v>
      </c>
      <c r="C328" s="2461"/>
      <c r="D328" s="2481">
        <f t="shared" si="60"/>
        <v>2369753.6897700001</v>
      </c>
      <c r="E328" s="2483"/>
      <c r="F328" s="2471">
        <v>641636.00404999999</v>
      </c>
      <c r="G328" s="2483">
        <v>889837.68571999995</v>
      </c>
      <c r="H328" s="2471">
        <v>838280</v>
      </c>
      <c r="I328" s="2482">
        <f t="shared" si="61"/>
        <v>2369753.6897700001</v>
      </c>
      <c r="J328" s="2471"/>
      <c r="K328" s="2483"/>
      <c r="L328" s="2471"/>
      <c r="M328" s="2484">
        <f t="shared" si="63"/>
        <v>0</v>
      </c>
      <c r="N328" s="922"/>
      <c r="O328" s="922"/>
      <c r="P328" s="679"/>
      <c r="Q328" s="706"/>
      <c r="R328" s="264"/>
      <c r="S328" s="706"/>
      <c r="T328" s="708"/>
      <c r="U328" s="706"/>
      <c r="V328" s="706"/>
      <c r="W328" s="706"/>
      <c r="X328" s="706"/>
      <c r="Y328" s="706"/>
      <c r="Z328" s="706"/>
      <c r="AA328" s="706"/>
    </row>
    <row r="329" spans="2:27">
      <c r="B329" s="2460"/>
      <c r="C329" s="2461"/>
      <c r="D329" s="2481">
        <f t="shared" si="60"/>
        <v>0</v>
      </c>
      <c r="E329" s="2483"/>
      <c r="F329" s="2471"/>
      <c r="G329" s="2483"/>
      <c r="H329" s="2471"/>
      <c r="I329" s="2482">
        <f t="shared" si="61"/>
        <v>0</v>
      </c>
      <c r="J329" s="2471"/>
      <c r="K329" s="2483"/>
      <c r="L329" s="2471"/>
      <c r="M329" s="2484">
        <f t="shared" si="63"/>
        <v>0</v>
      </c>
      <c r="N329" s="922"/>
      <c r="O329" s="922"/>
      <c r="P329" s="679"/>
      <c r="Q329" s="706"/>
      <c r="R329" s="264"/>
      <c r="S329" s="706"/>
      <c r="T329" s="708"/>
      <c r="U329" s="706"/>
      <c r="V329" s="706"/>
      <c r="W329" s="706"/>
      <c r="X329" s="706"/>
      <c r="Y329" s="706"/>
      <c r="Z329" s="706"/>
      <c r="AA329" s="706"/>
    </row>
    <row r="330" spans="2:27" ht="12.75" customHeight="1">
      <c r="B330" s="2467" t="s">
        <v>353</v>
      </c>
      <c r="C330" s="2461">
        <v>4</v>
      </c>
      <c r="D330" s="2481">
        <f t="shared" si="60"/>
        <v>4836630.3953099996</v>
      </c>
      <c r="E330" s="2483">
        <v>339662.1349</v>
      </c>
      <c r="F330" s="2471">
        <v>1871761.1963967299</v>
      </c>
      <c r="G330" s="2483">
        <v>1667379.7675232701</v>
      </c>
      <c r="H330" s="2471">
        <v>948801</v>
      </c>
      <c r="I330" s="2482">
        <f t="shared" si="61"/>
        <v>4487941.96392</v>
      </c>
      <c r="J330" s="2471"/>
      <c r="K330" s="2483"/>
      <c r="L330" s="2471">
        <v>9026.2964900000006</v>
      </c>
      <c r="M330" s="2484">
        <f t="shared" si="63"/>
        <v>9026.2964900000006</v>
      </c>
      <c r="N330" s="922"/>
      <c r="O330" s="922"/>
      <c r="P330" s="679"/>
      <c r="Q330" s="706"/>
      <c r="R330" s="264"/>
      <c r="S330" s="706"/>
      <c r="T330" s="708"/>
      <c r="U330" s="706"/>
      <c r="V330" s="706"/>
      <c r="W330" s="706"/>
      <c r="X330" s="706"/>
      <c r="Y330" s="706"/>
      <c r="Z330" s="706"/>
      <c r="AA330" s="706"/>
    </row>
    <row r="331" spans="2:27">
      <c r="B331" s="2460" t="s">
        <v>354</v>
      </c>
      <c r="C331" s="2461"/>
      <c r="D331" s="2481">
        <f t="shared" si="60"/>
        <v>0</v>
      </c>
      <c r="E331" s="2483"/>
      <c r="F331" s="2471"/>
      <c r="G331" s="2483"/>
      <c r="H331" s="2471"/>
      <c r="I331" s="2482">
        <f t="shared" si="61"/>
        <v>0</v>
      </c>
      <c r="J331" s="2471"/>
      <c r="K331" s="2483"/>
      <c r="L331" s="2471"/>
      <c r="M331" s="2484">
        <f t="shared" si="63"/>
        <v>0</v>
      </c>
      <c r="N331" s="922"/>
      <c r="O331" s="922"/>
      <c r="P331" s="679"/>
      <c r="Q331" s="706"/>
      <c r="R331" s="264"/>
      <c r="S331" s="706"/>
      <c r="T331" s="708"/>
      <c r="U331" s="706"/>
      <c r="V331" s="706"/>
      <c r="W331" s="706"/>
      <c r="X331" s="706"/>
      <c r="Y331" s="706"/>
      <c r="Z331" s="706"/>
      <c r="AA331" s="706"/>
    </row>
    <row r="332" spans="2:27">
      <c r="B332" s="2460" t="s">
        <v>355</v>
      </c>
      <c r="C332" s="2461"/>
      <c r="D332" s="2481">
        <f t="shared" si="60"/>
        <v>93639.777639999898</v>
      </c>
      <c r="E332" s="2483">
        <v>2225.5808200000001</v>
      </c>
      <c r="F332" s="2471">
        <v>45597.401373815999</v>
      </c>
      <c r="G332" s="2483">
        <v>37068.795446183904</v>
      </c>
      <c r="H332" s="2471">
        <v>8748</v>
      </c>
      <c r="I332" s="2482">
        <f t="shared" si="61"/>
        <v>91414.196819999896</v>
      </c>
      <c r="J332" s="2471"/>
      <c r="K332" s="2483"/>
      <c r="L332" s="2471"/>
      <c r="M332" s="2484">
        <f t="shared" si="63"/>
        <v>0</v>
      </c>
      <c r="N332" s="922"/>
      <c r="O332" s="922"/>
      <c r="P332" s="679"/>
      <c r="Q332" s="706"/>
      <c r="R332" s="264"/>
      <c r="S332" s="706"/>
      <c r="T332" s="708"/>
      <c r="U332" s="706"/>
      <c r="V332" s="706"/>
      <c r="W332" s="706"/>
      <c r="X332" s="706"/>
      <c r="Y332" s="706"/>
      <c r="Z332" s="706"/>
      <c r="AA332" s="706"/>
    </row>
    <row r="333" spans="2:27">
      <c r="B333" s="2466" t="s">
        <v>356</v>
      </c>
      <c r="C333" s="2465"/>
      <c r="D333" s="2481">
        <f t="shared" si="60"/>
        <v>4930270.1729499996</v>
      </c>
      <c r="E333" s="2483">
        <f>SUM(E330:E332)</f>
        <v>341887.71571999998</v>
      </c>
      <c r="F333" s="2471">
        <f>SUM(F330:F332)</f>
        <v>1917358.5977705459</v>
      </c>
      <c r="G333" s="2483">
        <f>SUM(G330:G332)</f>
        <v>1704448.5629694541</v>
      </c>
      <c r="H333" s="2471">
        <f>SUM(H330:H332)</f>
        <v>957549</v>
      </c>
      <c r="I333" s="2482">
        <f t="shared" si="61"/>
        <v>4579356.1607400002</v>
      </c>
      <c r="J333" s="2471">
        <f>SUM(J330:J332)</f>
        <v>0</v>
      </c>
      <c r="K333" s="2483">
        <f>SUM(K330:K332)</f>
        <v>0</v>
      </c>
      <c r="L333" s="2471">
        <f>SUM(L330:L332)</f>
        <v>9026.2964900000006</v>
      </c>
      <c r="M333" s="2484">
        <f t="shared" si="63"/>
        <v>9026.2964900000006</v>
      </c>
      <c r="N333" s="927"/>
      <c r="O333" s="922"/>
      <c r="P333" s="679"/>
      <c r="Q333" s="706"/>
      <c r="R333" s="264"/>
      <c r="S333" s="706"/>
      <c r="T333" s="708"/>
      <c r="U333" s="706"/>
      <c r="V333" s="706"/>
      <c r="W333" s="706"/>
      <c r="X333" s="706"/>
      <c r="Y333" s="706"/>
      <c r="Z333" s="706"/>
      <c r="AA333" s="706"/>
    </row>
    <row r="334" spans="2:27">
      <c r="B334" s="2466"/>
      <c r="C334" s="2465"/>
      <c r="D334" s="2481">
        <f t="shared" si="60"/>
        <v>0</v>
      </c>
      <c r="E334" s="2483"/>
      <c r="F334" s="2471"/>
      <c r="G334" s="2483"/>
      <c r="H334" s="2471"/>
      <c r="I334" s="2482">
        <f t="shared" si="61"/>
        <v>0</v>
      </c>
      <c r="J334" s="2471"/>
      <c r="K334" s="2483"/>
      <c r="L334" s="2471"/>
      <c r="M334" s="2484">
        <f t="shared" si="63"/>
        <v>0</v>
      </c>
      <c r="P334" s="679"/>
      <c r="Q334" s="706"/>
      <c r="R334" s="264"/>
      <c r="S334" s="706"/>
      <c r="T334" s="708"/>
      <c r="U334" s="706"/>
      <c r="V334" s="706"/>
      <c r="W334" s="706"/>
      <c r="X334" s="706"/>
      <c r="Y334" s="706"/>
      <c r="Z334" s="706"/>
      <c r="AA334" s="706"/>
    </row>
    <row r="335" spans="2:27">
      <c r="B335" s="2466" t="s">
        <v>357</v>
      </c>
      <c r="C335" s="2465"/>
      <c r="D335" s="2481">
        <f t="shared" si="60"/>
        <v>8545373.5222900007</v>
      </c>
      <c r="E335" s="2483">
        <f>E318-E326-E328-E333</f>
        <v>3005624.1204500003</v>
      </c>
      <c r="F335" s="2471">
        <f>F318-F326-F328-F333</f>
        <v>441639.04238999565</v>
      </c>
      <c r="G335" s="2483">
        <f>G318-G326-G328-G333</f>
        <v>4193715.6885500043</v>
      </c>
      <c r="H335" s="2471">
        <f>H318-H326-H328-H333</f>
        <v>904394.67090000026</v>
      </c>
      <c r="I335" s="2482">
        <f t="shared" si="61"/>
        <v>5539749.4018400004</v>
      </c>
      <c r="J335" s="2471">
        <f>J318-J326-J328-J333</f>
        <v>0</v>
      </c>
      <c r="K335" s="2483">
        <f>K318-K326-K328-K333</f>
        <v>0</v>
      </c>
      <c r="L335" s="2471">
        <f>L318-L326-L328-L333</f>
        <v>0</v>
      </c>
      <c r="M335" s="2484">
        <f t="shared" si="63"/>
        <v>0</v>
      </c>
      <c r="N335" s="927"/>
      <c r="O335" s="922"/>
      <c r="P335" s="679"/>
      <c r="Q335" s="706"/>
      <c r="R335" s="264"/>
      <c r="S335" s="706"/>
      <c r="T335" s="708"/>
      <c r="U335" s="706"/>
      <c r="V335" s="706"/>
      <c r="W335" s="706"/>
      <c r="X335" s="706"/>
      <c r="Y335" s="706"/>
      <c r="Z335" s="706"/>
      <c r="AA335" s="706"/>
    </row>
    <row r="336" spans="2:27">
      <c r="B336" s="2460" t="s">
        <v>358</v>
      </c>
      <c r="C336" s="2461"/>
      <c r="D336" s="2481">
        <f t="shared" si="60"/>
        <v>1695536.30195</v>
      </c>
      <c r="E336" s="2483">
        <v>655786.90011000005</v>
      </c>
      <c r="F336" s="2471">
        <v>220589.34839</v>
      </c>
      <c r="G336" s="2483">
        <v>564765.38254999998</v>
      </c>
      <c r="H336" s="2471">
        <v>254394.6709</v>
      </c>
      <c r="I336" s="2482">
        <f t="shared" si="61"/>
        <v>1039749.4018399999</v>
      </c>
      <c r="J336" s="2471"/>
      <c r="K336" s="2483"/>
      <c r="L336" s="2471"/>
      <c r="M336" s="2484">
        <f t="shared" si="63"/>
        <v>0</v>
      </c>
      <c r="N336" s="922"/>
      <c r="O336" s="922"/>
      <c r="P336" s="679"/>
      <c r="Q336" s="706"/>
      <c r="R336" s="264"/>
      <c r="S336" s="706"/>
      <c r="T336" s="708"/>
      <c r="U336" s="706"/>
      <c r="V336" s="706"/>
      <c r="W336" s="706"/>
      <c r="X336" s="706"/>
      <c r="Y336" s="706"/>
      <c r="Z336" s="706"/>
      <c r="AA336" s="706"/>
    </row>
    <row r="337" spans="1:27">
      <c r="B337" s="2460"/>
      <c r="C337" s="2461"/>
      <c r="D337" s="2481">
        <f t="shared" si="60"/>
        <v>0</v>
      </c>
      <c r="E337" s="2483"/>
      <c r="F337" s="2471"/>
      <c r="G337" s="2483"/>
      <c r="H337" s="2471"/>
      <c r="I337" s="2482">
        <f t="shared" si="61"/>
        <v>0</v>
      </c>
      <c r="J337" s="2471"/>
      <c r="K337" s="2483"/>
      <c r="L337" s="2471"/>
      <c r="M337" s="2484">
        <f t="shared" si="63"/>
        <v>0</v>
      </c>
      <c r="P337" s="679"/>
      <c r="Q337" s="706"/>
      <c r="R337" s="264"/>
      <c r="S337" s="706"/>
      <c r="T337" s="708"/>
      <c r="U337" s="706"/>
      <c r="V337" s="706"/>
      <c r="W337" s="706"/>
      <c r="X337" s="706"/>
      <c r="Y337" s="706"/>
      <c r="Z337" s="706"/>
      <c r="AA337" s="706"/>
    </row>
    <row r="338" spans="1:27" ht="13.5" thickBot="1">
      <c r="B338" s="1602" t="s">
        <v>359</v>
      </c>
      <c r="C338" s="1603"/>
      <c r="D338" s="1614">
        <f t="shared" si="60"/>
        <v>6849837.2203400005</v>
      </c>
      <c r="E338" s="1640">
        <f>E335-E336</f>
        <v>2349837.2203400005</v>
      </c>
      <c r="F338" s="1614">
        <f>F335-F336</f>
        <v>221049.69399999565</v>
      </c>
      <c r="G338" s="1640">
        <f>G335-G336</f>
        <v>3628950.3060000045</v>
      </c>
      <c r="H338" s="1614">
        <f>H335-H336</f>
        <v>650000.00000000023</v>
      </c>
      <c r="I338" s="1640">
        <f t="shared" si="61"/>
        <v>4500000</v>
      </c>
      <c r="J338" s="1614">
        <f>J335-J336</f>
        <v>0</v>
      </c>
      <c r="K338" s="1640">
        <f>K335-K336</f>
        <v>0</v>
      </c>
      <c r="L338" s="1614">
        <f>L335-L336</f>
        <v>0</v>
      </c>
      <c r="M338" s="1641">
        <f t="shared" si="63"/>
        <v>0</v>
      </c>
      <c r="N338" s="927"/>
      <c r="O338" s="922"/>
      <c r="P338" s="679"/>
      <c r="Q338" s="706"/>
      <c r="R338" s="264"/>
      <c r="S338" s="706"/>
      <c r="T338" s="708"/>
      <c r="U338" s="706"/>
      <c r="V338" s="706"/>
      <c r="W338" s="706"/>
      <c r="X338" s="706"/>
      <c r="Y338" s="706"/>
      <c r="Z338" s="706"/>
      <c r="AA338" s="706"/>
    </row>
    <row r="339" spans="1:27">
      <c r="N339" s="673"/>
      <c r="O339" s="673"/>
      <c r="R339" s="264"/>
      <c r="T339" s="708"/>
    </row>
    <row r="340" spans="1:27">
      <c r="M340" s="673">
        <v>53</v>
      </c>
      <c r="R340" s="264"/>
    </row>
    <row r="341" spans="1:27">
      <c r="R341" s="264"/>
    </row>
    <row r="342" spans="1:27" ht="13.5" thickBot="1">
      <c r="R342" s="264"/>
    </row>
    <row r="343" spans="1:27" ht="12.75" customHeight="1" thickBot="1">
      <c r="A343" s="1607" t="s">
        <v>184</v>
      </c>
      <c r="B343" s="1608" t="s">
        <v>233</v>
      </c>
      <c r="C343" s="912"/>
      <c r="L343" s="3538" t="s">
        <v>251</v>
      </c>
      <c r="M343" s="3538"/>
      <c r="R343" s="264"/>
    </row>
    <row r="344" spans="1:27" ht="17.25" customHeight="1" thickBot="1">
      <c r="B344" s="3578" t="s">
        <v>233</v>
      </c>
      <c r="C344" s="3523" t="s">
        <v>325</v>
      </c>
      <c r="D344" s="3518" t="s">
        <v>255</v>
      </c>
      <c r="E344" s="3518" t="s">
        <v>326</v>
      </c>
      <c r="F344" s="3574" t="s">
        <v>258</v>
      </c>
      <c r="G344" s="3574"/>
      <c r="H344" s="3574"/>
      <c r="I344" s="3574"/>
      <c r="J344" s="3574"/>
      <c r="K344" s="3574"/>
      <c r="L344" s="3574"/>
      <c r="M344" s="3574"/>
      <c r="R344" s="264"/>
    </row>
    <row r="345" spans="1:27" ht="17.25" customHeight="1">
      <c r="B345" s="3571"/>
      <c r="C345" s="3524"/>
      <c r="D345" s="3520"/>
      <c r="E345" s="3520"/>
      <c r="F345" s="3575" t="s">
        <v>259</v>
      </c>
      <c r="G345" s="3576"/>
      <c r="H345" s="3576"/>
      <c r="I345" s="3577"/>
      <c r="J345" s="3574" t="s">
        <v>327</v>
      </c>
      <c r="K345" s="3574"/>
      <c r="L345" s="3574"/>
      <c r="M345" s="3574"/>
      <c r="R345" s="264"/>
    </row>
    <row r="346" spans="1:27" ht="40.5" customHeight="1" thickBot="1">
      <c r="B346" s="3571"/>
      <c r="C346" s="3524"/>
      <c r="D346" s="3519"/>
      <c r="E346" s="3519"/>
      <c r="F346" s="1339" t="s">
        <v>261</v>
      </c>
      <c r="G346" s="1339" t="s">
        <v>262</v>
      </c>
      <c r="H346" s="1339" t="s">
        <v>263</v>
      </c>
      <c r="I346" s="1339" t="s">
        <v>158</v>
      </c>
      <c r="J346" s="1588" t="s">
        <v>328</v>
      </c>
      <c r="K346" s="1588" t="s">
        <v>265</v>
      </c>
      <c r="L346" s="1588" t="s">
        <v>329</v>
      </c>
      <c r="M346" s="1588" t="s">
        <v>158</v>
      </c>
      <c r="R346" s="264"/>
    </row>
    <row r="347" spans="1:27" ht="12" customHeight="1" thickBot="1">
      <c r="B347" s="3571"/>
      <c r="C347" s="3524"/>
      <c r="D347" s="1589">
        <v>1</v>
      </c>
      <c r="E347" s="3518">
        <v>2</v>
      </c>
      <c r="F347" s="3518">
        <v>3</v>
      </c>
      <c r="G347" s="3518">
        <v>4</v>
      </c>
      <c r="H347" s="3518">
        <v>5</v>
      </c>
      <c r="I347" s="1589">
        <v>6</v>
      </c>
      <c r="J347" s="3518">
        <v>7</v>
      </c>
      <c r="K347" s="3518">
        <v>8</v>
      </c>
      <c r="L347" s="3518">
        <v>9</v>
      </c>
      <c r="M347" s="1589">
        <v>10</v>
      </c>
      <c r="R347" s="264"/>
    </row>
    <row r="348" spans="1:27" ht="15.75" customHeight="1" thickBot="1">
      <c r="B348" s="3572"/>
      <c r="C348" s="3525"/>
      <c r="D348" s="1590" t="s">
        <v>330</v>
      </c>
      <c r="E348" s="3519"/>
      <c r="F348" s="3519"/>
      <c r="G348" s="3519"/>
      <c r="H348" s="3519"/>
      <c r="I348" s="1590" t="s">
        <v>331</v>
      </c>
      <c r="J348" s="3519"/>
      <c r="K348" s="3519"/>
      <c r="L348" s="3519"/>
      <c r="M348" s="1590" t="s">
        <v>332</v>
      </c>
      <c r="N348" s="703"/>
      <c r="O348" s="703"/>
      <c r="R348" s="264"/>
    </row>
    <row r="349" spans="1:27">
      <c r="B349" s="1591" t="s">
        <v>333</v>
      </c>
      <c r="C349" s="985"/>
      <c r="D349" s="1592">
        <f t="shared" ref="D349:D388" si="64">E349+I349+M349</f>
        <v>840604</v>
      </c>
      <c r="E349" s="982">
        <v>0</v>
      </c>
      <c r="F349" s="963">
        <v>284992</v>
      </c>
      <c r="G349" s="982">
        <v>555612</v>
      </c>
      <c r="H349" s="963">
        <v>0</v>
      </c>
      <c r="I349" s="1636">
        <f t="shared" ref="I349:I388" si="65">F349+G349+H349</f>
        <v>840604</v>
      </c>
      <c r="J349" s="963"/>
      <c r="K349" s="982"/>
      <c r="L349" s="963"/>
      <c r="M349" s="1637">
        <f t="shared" ref="M349:M362" si="66">L349+K349+J349</f>
        <v>0</v>
      </c>
      <c r="N349" s="922"/>
      <c r="O349" s="922"/>
      <c r="P349" s="679"/>
      <c r="Q349" s="706"/>
      <c r="R349" s="109"/>
      <c r="S349" s="706"/>
      <c r="T349" s="708"/>
      <c r="U349" s="706"/>
      <c r="V349" s="706"/>
      <c r="W349" s="706"/>
      <c r="X349" s="706"/>
      <c r="Y349" s="706"/>
      <c r="Z349" s="706"/>
      <c r="AA349" s="706"/>
    </row>
    <row r="350" spans="1:27">
      <c r="B350" s="2460"/>
      <c r="C350" s="2498"/>
      <c r="D350" s="2481">
        <f t="shared" si="64"/>
        <v>0</v>
      </c>
      <c r="E350" s="2252"/>
      <c r="F350" s="2471"/>
      <c r="G350" s="2252"/>
      <c r="H350" s="2471"/>
      <c r="I350" s="2499">
        <f t="shared" si="65"/>
        <v>0</v>
      </c>
      <c r="J350" s="2471"/>
      <c r="K350" s="2252"/>
      <c r="L350" s="2471"/>
      <c r="M350" s="2500">
        <f t="shared" si="66"/>
        <v>0</v>
      </c>
      <c r="P350" s="679"/>
      <c r="Q350" s="706"/>
      <c r="R350" s="109"/>
      <c r="S350" s="706"/>
      <c r="T350" s="708"/>
      <c r="U350" s="706"/>
      <c r="V350" s="706"/>
      <c r="W350" s="706"/>
      <c r="X350" s="706"/>
      <c r="Y350" s="706"/>
      <c r="Z350" s="706"/>
      <c r="AA350" s="706"/>
    </row>
    <row r="351" spans="1:27">
      <c r="B351" s="2462" t="s">
        <v>334</v>
      </c>
      <c r="C351" s="2498"/>
      <c r="D351" s="2481">
        <f t="shared" si="64"/>
        <v>46250</v>
      </c>
      <c r="E351" s="2252">
        <v>0</v>
      </c>
      <c r="F351" s="2471">
        <v>6239</v>
      </c>
      <c r="G351" s="2252">
        <v>40011</v>
      </c>
      <c r="H351" s="2471">
        <v>0</v>
      </c>
      <c r="I351" s="2499">
        <f t="shared" si="65"/>
        <v>46250</v>
      </c>
      <c r="J351" s="2471"/>
      <c r="K351" s="2252"/>
      <c r="L351" s="2471"/>
      <c r="M351" s="2500">
        <f t="shared" si="66"/>
        <v>0</v>
      </c>
      <c r="N351" s="922"/>
      <c r="O351" s="922"/>
      <c r="P351" s="679"/>
      <c r="Q351" s="706"/>
      <c r="R351" s="109"/>
      <c r="S351" s="706"/>
      <c r="T351" s="708"/>
      <c r="U351" s="706"/>
      <c r="V351" s="706"/>
      <c r="W351" s="706"/>
      <c r="X351" s="706"/>
      <c r="Y351" s="706"/>
      <c r="Z351" s="706"/>
      <c r="AA351" s="706"/>
    </row>
    <row r="352" spans="1:27">
      <c r="B352" s="2462"/>
      <c r="C352" s="2498"/>
      <c r="D352" s="2481">
        <f t="shared" si="64"/>
        <v>0</v>
      </c>
      <c r="E352" s="2252"/>
      <c r="F352" s="2471"/>
      <c r="G352" s="2252"/>
      <c r="H352" s="2471"/>
      <c r="I352" s="2499">
        <f t="shared" si="65"/>
        <v>0</v>
      </c>
      <c r="J352" s="2471"/>
      <c r="K352" s="2252"/>
      <c r="L352" s="2471"/>
      <c r="M352" s="2500">
        <f t="shared" si="66"/>
        <v>0</v>
      </c>
      <c r="P352" s="679"/>
      <c r="Q352" s="706"/>
      <c r="R352" s="109"/>
      <c r="S352" s="706"/>
      <c r="T352" s="708"/>
      <c r="U352" s="706"/>
      <c r="V352" s="706"/>
      <c r="W352" s="706"/>
      <c r="X352" s="706"/>
      <c r="Y352" s="706"/>
      <c r="Z352" s="706"/>
      <c r="AA352" s="706"/>
    </row>
    <row r="353" spans="2:27" ht="12.75" customHeight="1">
      <c r="B353" s="2463" t="s">
        <v>335</v>
      </c>
      <c r="C353" s="2498"/>
      <c r="D353" s="2481">
        <f t="shared" si="64"/>
        <v>0</v>
      </c>
      <c r="E353" s="2252">
        <v>0</v>
      </c>
      <c r="F353" s="2471">
        <v>0</v>
      </c>
      <c r="G353" s="2252">
        <v>0</v>
      </c>
      <c r="H353" s="2471">
        <v>0</v>
      </c>
      <c r="I353" s="2499">
        <f t="shared" si="65"/>
        <v>0</v>
      </c>
      <c r="J353" s="2471"/>
      <c r="K353" s="2252"/>
      <c r="L353" s="2471"/>
      <c r="M353" s="2500">
        <f t="shared" si="66"/>
        <v>0</v>
      </c>
      <c r="N353" s="922"/>
      <c r="O353" s="922"/>
      <c r="P353" s="679"/>
      <c r="Q353" s="706"/>
      <c r="R353" s="109"/>
      <c r="S353" s="706"/>
      <c r="T353" s="708"/>
      <c r="U353" s="706"/>
      <c r="V353" s="706"/>
      <c r="W353" s="706"/>
      <c r="X353" s="706"/>
      <c r="Y353" s="706"/>
      <c r="Z353" s="706"/>
      <c r="AA353" s="706"/>
    </row>
    <row r="354" spans="2:27">
      <c r="B354" s="2460"/>
      <c r="C354" s="2498"/>
      <c r="D354" s="2481">
        <f t="shared" si="64"/>
        <v>0</v>
      </c>
      <c r="E354" s="2252"/>
      <c r="F354" s="2471"/>
      <c r="G354" s="2252"/>
      <c r="H354" s="2471"/>
      <c r="I354" s="2499">
        <f t="shared" si="65"/>
        <v>0</v>
      </c>
      <c r="J354" s="2471"/>
      <c r="K354" s="2252"/>
      <c r="L354" s="2471"/>
      <c r="M354" s="2500">
        <f t="shared" si="66"/>
        <v>0</v>
      </c>
      <c r="P354" s="679"/>
      <c r="Q354" s="706"/>
      <c r="R354" s="109"/>
      <c r="S354" s="706"/>
      <c r="T354" s="708"/>
      <c r="U354" s="706"/>
      <c r="V354" s="706"/>
      <c r="W354" s="706"/>
      <c r="X354" s="706"/>
      <c r="Y354" s="706"/>
      <c r="Z354" s="706"/>
      <c r="AA354" s="706"/>
    </row>
    <row r="355" spans="2:27">
      <c r="B355" s="2464" t="s">
        <v>336</v>
      </c>
      <c r="C355" s="2501"/>
      <c r="D355" s="2481">
        <f t="shared" si="64"/>
        <v>794354</v>
      </c>
      <c r="E355" s="2252">
        <f>E349-E351+E353</f>
        <v>0</v>
      </c>
      <c r="F355" s="2471">
        <f>F349-F351+F353</f>
        <v>278753</v>
      </c>
      <c r="G355" s="2252">
        <f>G349-G351+G353</f>
        <v>515601</v>
      </c>
      <c r="H355" s="2471">
        <f>H349-H351+H353</f>
        <v>0</v>
      </c>
      <c r="I355" s="2499">
        <f t="shared" si="65"/>
        <v>794354</v>
      </c>
      <c r="J355" s="2471">
        <f>J349-J351+J353</f>
        <v>0</v>
      </c>
      <c r="K355" s="2252">
        <f>K349-K351+K353</f>
        <v>0</v>
      </c>
      <c r="L355" s="2471">
        <f>L349-L351+L353</f>
        <v>0</v>
      </c>
      <c r="M355" s="2500">
        <f t="shared" si="66"/>
        <v>0</v>
      </c>
      <c r="N355" s="927"/>
      <c r="O355" s="922"/>
      <c r="P355" s="679"/>
      <c r="Q355" s="706"/>
      <c r="R355" s="109"/>
      <c r="S355" s="706"/>
      <c r="T355" s="708"/>
      <c r="U355" s="706"/>
      <c r="V355" s="706"/>
      <c r="W355" s="706"/>
      <c r="X355" s="706"/>
      <c r="Y355" s="706"/>
      <c r="Z355" s="706"/>
      <c r="AA355" s="706"/>
    </row>
    <row r="356" spans="2:27">
      <c r="B356" s="2464"/>
      <c r="C356" s="2501"/>
      <c r="D356" s="2481">
        <f t="shared" si="64"/>
        <v>0</v>
      </c>
      <c r="E356" s="2252"/>
      <c r="F356" s="2471"/>
      <c r="G356" s="2252"/>
      <c r="H356" s="2471"/>
      <c r="I356" s="2499">
        <f t="shared" si="65"/>
        <v>0</v>
      </c>
      <c r="J356" s="2471"/>
      <c r="K356" s="2252"/>
      <c r="L356" s="2471"/>
      <c r="M356" s="2500">
        <f t="shared" si="66"/>
        <v>0</v>
      </c>
      <c r="P356" s="679"/>
      <c r="Q356" s="706"/>
      <c r="R356" s="109"/>
      <c r="S356" s="706"/>
      <c r="T356" s="708"/>
      <c r="U356" s="706"/>
      <c r="V356" s="706"/>
      <c r="W356" s="706"/>
      <c r="X356" s="706"/>
      <c r="Y356" s="706"/>
      <c r="Z356" s="706"/>
      <c r="AA356" s="706"/>
    </row>
    <row r="357" spans="2:27">
      <c r="B357" s="2464" t="s">
        <v>337</v>
      </c>
      <c r="C357" s="2501"/>
      <c r="D357" s="2481">
        <f t="shared" si="64"/>
        <v>306098</v>
      </c>
      <c r="E357" s="2252">
        <f>SUM(E358:E362)</f>
        <v>71515</v>
      </c>
      <c r="F357" s="2471">
        <f>SUM(F358:F362)</f>
        <v>169531</v>
      </c>
      <c r="G357" s="2252">
        <f>SUM(G358:G362)</f>
        <v>65052</v>
      </c>
      <c r="H357" s="2471">
        <f>SUM(H358:H362)</f>
        <v>0</v>
      </c>
      <c r="I357" s="2499">
        <f t="shared" si="65"/>
        <v>234583</v>
      </c>
      <c r="J357" s="2471">
        <f>SUM(J358:J362)</f>
        <v>0</v>
      </c>
      <c r="K357" s="2252">
        <f>SUM(K358:K362)</f>
        <v>0</v>
      </c>
      <c r="L357" s="2471">
        <f>SUM(L358:L362)</f>
        <v>0</v>
      </c>
      <c r="M357" s="2500">
        <f t="shared" si="66"/>
        <v>0</v>
      </c>
      <c r="N357" s="927"/>
      <c r="O357" s="922"/>
      <c r="P357" s="679"/>
      <c r="Q357" s="706"/>
      <c r="R357" s="109"/>
      <c r="S357" s="706"/>
      <c r="T357" s="708"/>
      <c r="U357" s="706"/>
      <c r="V357" s="706"/>
      <c r="W357" s="706"/>
      <c r="X357" s="706"/>
      <c r="Y357" s="706"/>
      <c r="Z357" s="706"/>
      <c r="AA357" s="706"/>
    </row>
    <row r="358" spans="2:27">
      <c r="B358" s="2460" t="s">
        <v>338</v>
      </c>
      <c r="C358" s="2498">
        <v>1</v>
      </c>
      <c r="D358" s="2481">
        <f t="shared" si="64"/>
        <v>299112</v>
      </c>
      <c r="E358" s="2252">
        <v>66829</v>
      </c>
      <c r="F358" s="2471">
        <v>168105</v>
      </c>
      <c r="G358" s="2252">
        <v>64178</v>
      </c>
      <c r="H358" s="2471">
        <v>0</v>
      </c>
      <c r="I358" s="2499">
        <f t="shared" si="65"/>
        <v>232283</v>
      </c>
      <c r="J358" s="2471"/>
      <c r="K358" s="2252"/>
      <c r="L358" s="2471"/>
      <c r="M358" s="2500">
        <f t="shared" si="66"/>
        <v>0</v>
      </c>
      <c r="N358" s="922"/>
      <c r="O358" s="922"/>
      <c r="P358" s="679"/>
      <c r="Q358" s="706"/>
      <c r="R358" s="109"/>
      <c r="S358" s="706"/>
      <c r="T358" s="708"/>
      <c r="U358" s="706"/>
      <c r="V358" s="706"/>
      <c r="W358" s="706"/>
      <c r="X358" s="706"/>
      <c r="Y358" s="706"/>
      <c r="Z358" s="706"/>
      <c r="AA358" s="706"/>
    </row>
    <row r="359" spans="2:27">
      <c r="B359" s="2460" t="s">
        <v>339</v>
      </c>
      <c r="C359" s="2498">
        <v>2</v>
      </c>
      <c r="D359" s="2481">
        <f t="shared" si="64"/>
        <v>0</v>
      </c>
      <c r="E359" s="2252">
        <v>0</v>
      </c>
      <c r="F359" s="2471"/>
      <c r="G359" s="2252">
        <v>0</v>
      </c>
      <c r="H359" s="2471">
        <v>0</v>
      </c>
      <c r="I359" s="2499">
        <f t="shared" si="65"/>
        <v>0</v>
      </c>
      <c r="J359" s="2471"/>
      <c r="K359" s="2252"/>
      <c r="L359" s="2471"/>
      <c r="M359" s="2500">
        <f t="shared" si="66"/>
        <v>0</v>
      </c>
      <c r="N359" s="922"/>
      <c r="O359" s="922"/>
      <c r="P359" s="679"/>
      <c r="Q359" s="706"/>
      <c r="R359" s="109"/>
      <c r="S359" s="706"/>
      <c r="T359" s="708"/>
      <c r="U359" s="706"/>
      <c r="V359" s="706"/>
      <c r="W359" s="706"/>
      <c r="X359" s="706"/>
      <c r="Y359" s="706"/>
      <c r="Z359" s="706"/>
      <c r="AA359" s="706"/>
    </row>
    <row r="360" spans="2:27">
      <c r="B360" s="2460" t="s">
        <v>340</v>
      </c>
      <c r="C360" s="2498"/>
      <c r="D360" s="2481">
        <f t="shared" si="64"/>
        <v>0</v>
      </c>
      <c r="E360" s="2252">
        <v>0</v>
      </c>
      <c r="F360" s="2471"/>
      <c r="G360" s="2252">
        <v>0</v>
      </c>
      <c r="H360" s="2471">
        <v>0</v>
      </c>
      <c r="I360" s="2499">
        <f t="shared" si="65"/>
        <v>0</v>
      </c>
      <c r="J360" s="2471"/>
      <c r="K360" s="2252"/>
      <c r="L360" s="2471"/>
      <c r="M360" s="2500">
        <f t="shared" si="66"/>
        <v>0</v>
      </c>
      <c r="N360" s="922"/>
      <c r="O360" s="922"/>
      <c r="P360" s="679"/>
      <c r="Q360" s="706"/>
      <c r="R360" s="109"/>
      <c r="S360" s="706"/>
      <c r="T360" s="708"/>
      <c r="U360" s="706"/>
      <c r="V360" s="706"/>
      <c r="W360" s="706"/>
      <c r="X360" s="706"/>
      <c r="Y360" s="706"/>
      <c r="Z360" s="706"/>
      <c r="AA360" s="706"/>
    </row>
    <row r="361" spans="2:27">
      <c r="B361" s="2460" t="s">
        <v>341</v>
      </c>
      <c r="C361" s="2498"/>
      <c r="D361" s="2481">
        <f t="shared" si="64"/>
        <v>607</v>
      </c>
      <c r="E361" s="2252">
        <v>0</v>
      </c>
      <c r="F361" s="2471">
        <v>607</v>
      </c>
      <c r="G361" s="2252">
        <v>0</v>
      </c>
      <c r="H361" s="2471">
        <v>0</v>
      </c>
      <c r="I361" s="2499">
        <f t="shared" si="65"/>
        <v>607</v>
      </c>
      <c r="J361" s="2471"/>
      <c r="K361" s="2252"/>
      <c r="L361" s="2471"/>
      <c r="M361" s="2500">
        <f t="shared" si="66"/>
        <v>0</v>
      </c>
      <c r="N361" s="922"/>
      <c r="O361" s="922"/>
      <c r="P361" s="679"/>
      <c r="Q361" s="706"/>
      <c r="R361" s="109"/>
      <c r="S361" s="706"/>
      <c r="T361" s="708"/>
      <c r="U361" s="706"/>
      <c r="V361" s="706"/>
      <c r="W361" s="706"/>
      <c r="X361" s="706"/>
      <c r="Y361" s="706"/>
      <c r="Z361" s="706"/>
      <c r="AA361" s="706"/>
    </row>
    <row r="362" spans="2:27">
      <c r="B362" s="2460" t="s">
        <v>342</v>
      </c>
      <c r="C362" s="2498">
        <v>3</v>
      </c>
      <c r="D362" s="2481">
        <f t="shared" si="64"/>
        <v>6379</v>
      </c>
      <c r="E362" s="2252">
        <v>4686</v>
      </c>
      <c r="F362" s="2471">
        <v>819</v>
      </c>
      <c r="G362" s="2252">
        <v>874</v>
      </c>
      <c r="H362" s="2471">
        <v>0</v>
      </c>
      <c r="I362" s="2499">
        <f t="shared" si="65"/>
        <v>1693</v>
      </c>
      <c r="J362" s="2471"/>
      <c r="K362" s="2252"/>
      <c r="L362" s="2471"/>
      <c r="M362" s="2500">
        <f t="shared" si="66"/>
        <v>0</v>
      </c>
      <c r="N362" s="922"/>
      <c r="O362" s="922"/>
      <c r="P362" s="679"/>
      <c r="Q362" s="706"/>
      <c r="R362" s="109"/>
      <c r="S362" s="706"/>
      <c r="T362" s="708"/>
      <c r="U362" s="706"/>
      <c r="V362" s="706"/>
      <c r="W362" s="706"/>
      <c r="X362" s="706"/>
      <c r="Y362" s="706"/>
      <c r="Z362" s="706"/>
      <c r="AA362" s="706"/>
    </row>
    <row r="363" spans="2:27">
      <c r="B363" s="2502" t="s">
        <v>362</v>
      </c>
      <c r="C363" s="2498"/>
      <c r="D363" s="2481">
        <f t="shared" si="64"/>
        <v>5505</v>
      </c>
      <c r="E363" s="2252">
        <v>4686</v>
      </c>
      <c r="F363" s="2471">
        <v>819</v>
      </c>
      <c r="G363" s="2252">
        <v>0</v>
      </c>
      <c r="H363" s="2471">
        <v>0</v>
      </c>
      <c r="I363" s="2499">
        <f t="shared" si="65"/>
        <v>819</v>
      </c>
      <c r="J363" s="2471"/>
      <c r="K363" s="2252"/>
      <c r="L363" s="2471"/>
      <c r="M363" s="2500"/>
      <c r="N363" s="922"/>
      <c r="O363" s="922"/>
      <c r="P363" s="679"/>
      <c r="Q363" s="706"/>
      <c r="R363" s="109"/>
      <c r="S363" s="706"/>
      <c r="T363" s="708"/>
      <c r="U363" s="706"/>
      <c r="V363" s="706"/>
      <c r="W363" s="706"/>
      <c r="X363" s="706"/>
      <c r="Y363" s="706"/>
      <c r="Z363" s="706"/>
      <c r="AA363" s="706"/>
    </row>
    <row r="364" spans="2:27">
      <c r="B364" s="2502" t="s">
        <v>363</v>
      </c>
      <c r="C364" s="2498"/>
      <c r="D364" s="2481">
        <f t="shared" si="64"/>
        <v>667</v>
      </c>
      <c r="E364" s="2252">
        <v>0</v>
      </c>
      <c r="F364" s="2471">
        <v>0</v>
      </c>
      <c r="G364" s="2252">
        <v>667</v>
      </c>
      <c r="H364" s="2471">
        <v>0</v>
      </c>
      <c r="I364" s="2499">
        <f t="shared" si="65"/>
        <v>667</v>
      </c>
      <c r="J364" s="2471"/>
      <c r="K364" s="2252"/>
      <c r="L364" s="2471"/>
      <c r="M364" s="2500"/>
      <c r="N364" s="922"/>
      <c r="O364" s="922"/>
      <c r="P364" s="679"/>
      <c r="Q364" s="706"/>
      <c r="R364" s="109"/>
      <c r="S364" s="706"/>
      <c r="T364" s="708"/>
      <c r="U364" s="706"/>
      <c r="V364" s="706"/>
      <c r="W364" s="706"/>
      <c r="X364" s="706"/>
      <c r="Y364" s="706"/>
      <c r="Z364" s="706"/>
      <c r="AA364" s="706"/>
    </row>
    <row r="365" spans="2:27">
      <c r="B365" s="2502" t="s">
        <v>364</v>
      </c>
      <c r="C365" s="2498"/>
      <c r="D365" s="2481">
        <f t="shared" si="64"/>
        <v>207</v>
      </c>
      <c r="E365" s="2252">
        <v>0</v>
      </c>
      <c r="F365" s="2471">
        <v>0</v>
      </c>
      <c r="G365" s="2252">
        <v>207</v>
      </c>
      <c r="H365" s="2471">
        <v>0</v>
      </c>
      <c r="I365" s="2499">
        <f t="shared" si="65"/>
        <v>207</v>
      </c>
      <c r="J365" s="2471"/>
      <c r="K365" s="2252"/>
      <c r="L365" s="2471"/>
      <c r="M365" s="2500">
        <f>L365+K365+J365</f>
        <v>0</v>
      </c>
      <c r="P365" s="679"/>
      <c r="Q365" s="706"/>
      <c r="R365" s="109"/>
      <c r="S365" s="706"/>
      <c r="T365" s="708"/>
      <c r="U365" s="706"/>
      <c r="V365" s="706"/>
      <c r="W365" s="706"/>
      <c r="X365" s="706"/>
      <c r="Y365" s="706"/>
      <c r="Z365" s="706"/>
      <c r="AA365" s="706"/>
    </row>
    <row r="366" spans="2:27">
      <c r="B366" s="2460" t="s">
        <v>343</v>
      </c>
      <c r="C366" s="2498"/>
      <c r="D366" s="2481">
        <f t="shared" si="64"/>
        <v>0</v>
      </c>
      <c r="E366" s="2252"/>
      <c r="F366" s="2471"/>
      <c r="G366" s="2252"/>
      <c r="H366" s="2471"/>
      <c r="I366" s="2499">
        <f t="shared" si="65"/>
        <v>0</v>
      </c>
      <c r="J366" s="2471"/>
      <c r="K366" s="2252"/>
      <c r="L366" s="2471"/>
      <c r="M366" s="2500">
        <f>L366+K366+J366</f>
        <v>0</v>
      </c>
      <c r="P366" s="679"/>
      <c r="Q366" s="706"/>
      <c r="R366" s="313"/>
      <c r="S366" s="706"/>
      <c r="T366" s="708"/>
      <c r="U366" s="706"/>
      <c r="V366" s="706"/>
      <c r="W366" s="706"/>
      <c r="X366" s="706"/>
      <c r="Y366" s="706"/>
      <c r="Z366" s="706"/>
      <c r="AA366" s="706"/>
    </row>
    <row r="367" spans="2:27">
      <c r="B367" s="2460"/>
      <c r="C367" s="2498"/>
      <c r="D367" s="2481">
        <f t="shared" si="64"/>
        <v>0</v>
      </c>
      <c r="E367" s="2252"/>
      <c r="F367" s="2471"/>
      <c r="G367" s="2252"/>
      <c r="H367" s="2471"/>
      <c r="I367" s="2499">
        <f t="shared" si="65"/>
        <v>0</v>
      </c>
      <c r="J367" s="2471"/>
      <c r="K367" s="2252"/>
      <c r="L367" s="2471"/>
      <c r="M367" s="2500">
        <f>L367+K367+J367</f>
        <v>0</v>
      </c>
      <c r="P367" s="679"/>
      <c r="Q367" s="706"/>
      <c r="R367" s="109"/>
      <c r="S367" s="706"/>
      <c r="T367" s="708"/>
      <c r="U367" s="706"/>
      <c r="V367" s="706"/>
      <c r="W367" s="706"/>
      <c r="X367" s="706"/>
      <c r="Y367" s="706"/>
      <c r="Z367" s="706"/>
      <c r="AA367" s="706"/>
    </row>
    <row r="368" spans="2:27">
      <c r="B368" s="2466" t="s">
        <v>344</v>
      </c>
      <c r="C368" s="2501"/>
      <c r="D368" s="2481">
        <f t="shared" si="64"/>
        <v>1100452</v>
      </c>
      <c r="E368" s="2252">
        <f>E355+E357</f>
        <v>71515</v>
      </c>
      <c r="F368" s="2471">
        <f>F355+F357</f>
        <v>448284</v>
      </c>
      <c r="G368" s="2252">
        <f>G355+G357</f>
        <v>580653</v>
      </c>
      <c r="H368" s="2471">
        <f>H355+H357</f>
        <v>0</v>
      </c>
      <c r="I368" s="2499">
        <f t="shared" si="65"/>
        <v>1028937</v>
      </c>
      <c r="J368" s="2471">
        <f>J355+J357</f>
        <v>0</v>
      </c>
      <c r="K368" s="2252">
        <f>K355+K357</f>
        <v>0</v>
      </c>
      <c r="L368" s="2471">
        <f>L355+L357</f>
        <v>0</v>
      </c>
      <c r="M368" s="2500">
        <f>L368+K368+J368</f>
        <v>0</v>
      </c>
      <c r="N368" s="927"/>
      <c r="O368" s="922"/>
      <c r="P368" s="679"/>
      <c r="Q368" s="706"/>
      <c r="R368" s="109"/>
      <c r="S368" s="706"/>
      <c r="T368" s="708"/>
      <c r="U368" s="706"/>
      <c r="V368" s="706"/>
      <c r="W368" s="706"/>
      <c r="X368" s="706"/>
      <c r="Y368" s="706"/>
      <c r="Z368" s="706"/>
      <c r="AA368" s="706"/>
    </row>
    <row r="369" spans="2:27">
      <c r="B369" s="2466"/>
      <c r="C369" s="2501"/>
      <c r="D369" s="2481">
        <f t="shared" si="64"/>
        <v>0</v>
      </c>
      <c r="E369" s="2252"/>
      <c r="F369" s="2471"/>
      <c r="G369" s="2252"/>
      <c r="H369" s="2471"/>
      <c r="I369" s="2499">
        <f t="shared" si="65"/>
        <v>0</v>
      </c>
      <c r="J369" s="2471"/>
      <c r="K369" s="2252"/>
      <c r="L369" s="2471"/>
      <c r="M369" s="2500"/>
      <c r="P369" s="679"/>
      <c r="Q369" s="706"/>
      <c r="R369" s="109"/>
      <c r="S369" s="706"/>
      <c r="T369" s="708"/>
      <c r="U369" s="706"/>
      <c r="V369" s="706"/>
      <c r="W369" s="706"/>
      <c r="X369" s="706"/>
      <c r="Y369" s="706"/>
      <c r="Z369" s="706"/>
      <c r="AA369" s="706"/>
    </row>
    <row r="370" spans="2:27">
      <c r="B370" s="2460" t="s">
        <v>345</v>
      </c>
      <c r="C370" s="2498"/>
      <c r="D370" s="2481">
        <f t="shared" si="64"/>
        <v>259969</v>
      </c>
      <c r="E370" s="2252">
        <v>0</v>
      </c>
      <c r="F370" s="2471">
        <v>100875</v>
      </c>
      <c r="G370" s="2252">
        <v>159094</v>
      </c>
      <c r="H370" s="2471"/>
      <c r="I370" s="2499">
        <f t="shared" si="65"/>
        <v>259969</v>
      </c>
      <c r="J370" s="2471"/>
      <c r="K370" s="2252"/>
      <c r="L370" s="2471"/>
      <c r="M370" s="2500">
        <f t="shared" ref="M370:M388" si="67">L370+K370+J370</f>
        <v>0</v>
      </c>
      <c r="N370" s="922"/>
      <c r="O370" s="922"/>
      <c r="P370" s="679"/>
      <c r="Q370" s="706"/>
      <c r="R370" s="109"/>
      <c r="S370" s="706"/>
      <c r="T370" s="708"/>
      <c r="U370" s="706"/>
      <c r="V370" s="706"/>
      <c r="W370" s="706"/>
      <c r="X370" s="706"/>
      <c r="Y370" s="706"/>
      <c r="Z370" s="706"/>
      <c r="AA370" s="706"/>
    </row>
    <row r="371" spans="2:27">
      <c r="B371" s="2460" t="s">
        <v>346</v>
      </c>
      <c r="C371" s="2498"/>
      <c r="D371" s="2481">
        <f t="shared" si="64"/>
        <v>-9495</v>
      </c>
      <c r="E371" s="2252">
        <v>0</v>
      </c>
      <c r="F371" s="2471">
        <v>-3432</v>
      </c>
      <c r="G371" s="2252">
        <v>-6063</v>
      </c>
      <c r="H371" s="2471"/>
      <c r="I371" s="2499">
        <f t="shared" si="65"/>
        <v>-9495</v>
      </c>
      <c r="J371" s="2471"/>
      <c r="K371" s="2252"/>
      <c r="L371" s="2471"/>
      <c r="M371" s="2500">
        <f t="shared" si="67"/>
        <v>0</v>
      </c>
      <c r="N371" s="922"/>
      <c r="O371" s="922"/>
      <c r="P371" s="679"/>
      <c r="Q371" s="706"/>
      <c r="R371" s="109"/>
      <c r="S371" s="706"/>
      <c r="T371" s="708"/>
      <c r="U371" s="706"/>
      <c r="V371" s="706"/>
      <c r="W371" s="706"/>
      <c r="X371" s="706"/>
      <c r="Y371" s="706"/>
      <c r="Z371" s="706"/>
      <c r="AA371" s="706"/>
    </row>
    <row r="372" spans="2:27">
      <c r="B372" s="2460" t="s">
        <v>347</v>
      </c>
      <c r="C372" s="2498"/>
      <c r="D372" s="2481">
        <f t="shared" si="64"/>
        <v>0</v>
      </c>
      <c r="E372" s="2252">
        <v>0</v>
      </c>
      <c r="F372" s="2471">
        <v>0</v>
      </c>
      <c r="G372" s="2252">
        <v>0</v>
      </c>
      <c r="H372" s="2471"/>
      <c r="I372" s="2499">
        <f t="shared" si="65"/>
        <v>0</v>
      </c>
      <c r="J372" s="2471"/>
      <c r="K372" s="2252"/>
      <c r="L372" s="2471"/>
      <c r="M372" s="2500">
        <f t="shared" si="67"/>
        <v>0</v>
      </c>
      <c r="N372" s="922"/>
      <c r="O372" s="922"/>
      <c r="P372" s="679"/>
      <c r="Q372" s="706"/>
      <c r="R372" s="109"/>
      <c r="S372" s="706"/>
      <c r="T372" s="708"/>
      <c r="U372" s="706"/>
      <c r="V372" s="706"/>
      <c r="W372" s="706"/>
      <c r="X372" s="706"/>
      <c r="Y372" s="706"/>
      <c r="Z372" s="706"/>
      <c r="AA372" s="706"/>
    </row>
    <row r="373" spans="2:27" ht="12.75" customHeight="1">
      <c r="B373" s="2467" t="s">
        <v>348</v>
      </c>
      <c r="C373" s="2498"/>
      <c r="D373" s="2481">
        <f t="shared" si="64"/>
        <v>0</v>
      </c>
      <c r="E373" s="2252">
        <v>0</v>
      </c>
      <c r="F373" s="2471">
        <v>0</v>
      </c>
      <c r="G373" s="2252">
        <v>0</v>
      </c>
      <c r="H373" s="2471"/>
      <c r="I373" s="2499">
        <f t="shared" si="65"/>
        <v>0</v>
      </c>
      <c r="J373" s="2471"/>
      <c r="K373" s="2252"/>
      <c r="L373" s="2471"/>
      <c r="M373" s="2500">
        <f t="shared" si="67"/>
        <v>0</v>
      </c>
      <c r="N373" s="922"/>
      <c r="O373" s="922"/>
      <c r="P373" s="679"/>
      <c r="Q373" s="706"/>
      <c r="R373" s="109"/>
      <c r="S373" s="706"/>
      <c r="T373" s="708"/>
      <c r="U373" s="706"/>
      <c r="V373" s="706"/>
      <c r="W373" s="706"/>
      <c r="X373" s="706"/>
      <c r="Y373" s="706"/>
      <c r="Z373" s="706"/>
      <c r="AA373" s="706"/>
    </row>
    <row r="374" spans="2:27">
      <c r="B374" s="2460" t="s">
        <v>349</v>
      </c>
      <c r="C374" s="2498"/>
      <c r="D374" s="2481">
        <f t="shared" si="64"/>
        <v>347934</v>
      </c>
      <c r="E374" s="2252">
        <v>0</v>
      </c>
      <c r="F374" s="2471">
        <v>222409</v>
      </c>
      <c r="G374" s="2252">
        <v>125525</v>
      </c>
      <c r="H374" s="2471"/>
      <c r="I374" s="2499">
        <f t="shared" si="65"/>
        <v>347934</v>
      </c>
      <c r="J374" s="2471"/>
      <c r="K374" s="2252"/>
      <c r="L374" s="2471"/>
      <c r="M374" s="2500">
        <f t="shared" si="67"/>
        <v>0</v>
      </c>
      <c r="N374" s="922"/>
      <c r="O374" s="922"/>
      <c r="P374" s="679"/>
      <c r="Q374" s="706"/>
      <c r="R374" s="109"/>
      <c r="S374" s="706"/>
      <c r="T374" s="708"/>
      <c r="U374" s="706"/>
      <c r="V374" s="706"/>
      <c r="W374" s="706"/>
      <c r="X374" s="706"/>
      <c r="Y374" s="706"/>
      <c r="Z374" s="706"/>
      <c r="AA374" s="706"/>
    </row>
    <row r="375" spans="2:27">
      <c r="B375" s="2460" t="s">
        <v>350</v>
      </c>
      <c r="C375" s="2498"/>
      <c r="D375" s="2481">
        <f t="shared" si="64"/>
        <v>0</v>
      </c>
      <c r="E375" s="2252">
        <v>0</v>
      </c>
      <c r="F375" s="2471">
        <v>0</v>
      </c>
      <c r="G375" s="2252">
        <v>0</v>
      </c>
      <c r="H375" s="2471"/>
      <c r="I375" s="2499">
        <f t="shared" si="65"/>
        <v>0</v>
      </c>
      <c r="J375" s="2471"/>
      <c r="K375" s="2252"/>
      <c r="L375" s="2471"/>
      <c r="M375" s="2500">
        <f t="shared" si="67"/>
        <v>0</v>
      </c>
      <c r="N375" s="922"/>
      <c r="O375" s="922"/>
      <c r="P375" s="679"/>
      <c r="Q375" s="706"/>
      <c r="R375" s="109"/>
      <c r="S375" s="706"/>
      <c r="T375" s="708"/>
      <c r="U375" s="706"/>
      <c r="V375" s="706"/>
      <c r="W375" s="706"/>
      <c r="X375" s="706"/>
      <c r="Y375" s="706"/>
      <c r="Z375" s="706"/>
      <c r="AA375" s="706"/>
    </row>
    <row r="376" spans="2:27">
      <c r="B376" s="2466" t="s">
        <v>351</v>
      </c>
      <c r="C376" s="2501"/>
      <c r="D376" s="2481">
        <f t="shared" si="64"/>
        <v>598408</v>
      </c>
      <c r="E376" s="2252">
        <f>SUM(E370:E375)</f>
        <v>0</v>
      </c>
      <c r="F376" s="2471">
        <f>SUM(F370:F375)</f>
        <v>319852</v>
      </c>
      <c r="G376" s="2252">
        <f>SUM(G370:G375)</f>
        <v>278556</v>
      </c>
      <c r="H376" s="2471">
        <f>SUM(H370:H375)</f>
        <v>0</v>
      </c>
      <c r="I376" s="2499">
        <f t="shared" si="65"/>
        <v>598408</v>
      </c>
      <c r="J376" s="2471">
        <f>SUM(J370:J375)</f>
        <v>0</v>
      </c>
      <c r="K376" s="2252">
        <f>SUM(K370:K375)</f>
        <v>0</v>
      </c>
      <c r="L376" s="2471">
        <f>SUM(L370:L375)</f>
        <v>0</v>
      </c>
      <c r="M376" s="2500">
        <f t="shared" si="67"/>
        <v>0</v>
      </c>
      <c r="N376" s="927"/>
      <c r="O376" s="922"/>
      <c r="P376" s="679"/>
      <c r="Q376" s="706"/>
      <c r="R376" s="109"/>
      <c r="S376" s="706"/>
      <c r="T376" s="708"/>
      <c r="U376" s="706"/>
      <c r="V376" s="706"/>
      <c r="W376" s="706"/>
      <c r="X376" s="706"/>
      <c r="Y376" s="706"/>
      <c r="Z376" s="706"/>
      <c r="AA376" s="706"/>
    </row>
    <row r="377" spans="2:27">
      <c r="B377" s="2460"/>
      <c r="C377" s="2498"/>
      <c r="D377" s="2481">
        <f t="shared" si="64"/>
        <v>0</v>
      </c>
      <c r="E377" s="2252"/>
      <c r="F377" s="2471"/>
      <c r="G377" s="2252"/>
      <c r="H377" s="2471"/>
      <c r="I377" s="2499">
        <f t="shared" si="65"/>
        <v>0</v>
      </c>
      <c r="J377" s="2471"/>
      <c r="K377" s="2252"/>
      <c r="L377" s="2471"/>
      <c r="M377" s="2500">
        <f t="shared" si="67"/>
        <v>0</v>
      </c>
      <c r="O377" s="922"/>
      <c r="P377" s="679"/>
      <c r="Q377" s="706"/>
      <c r="R377" s="109"/>
      <c r="S377" s="706"/>
      <c r="T377" s="708"/>
      <c r="U377" s="706"/>
      <c r="V377" s="706"/>
      <c r="W377" s="706"/>
      <c r="X377" s="706"/>
      <c r="Y377" s="706"/>
      <c r="Z377" s="706"/>
      <c r="AA377" s="706"/>
    </row>
    <row r="378" spans="2:27" ht="51">
      <c r="B378" s="2467" t="s">
        <v>352</v>
      </c>
      <c r="C378" s="2498"/>
      <c r="D378" s="2481">
        <f t="shared" si="64"/>
        <v>147128</v>
      </c>
      <c r="E378" s="2252">
        <v>0</v>
      </c>
      <c r="F378" s="2471">
        <v>27726</v>
      </c>
      <c r="G378" s="2252">
        <v>119402</v>
      </c>
      <c r="H378" s="2471"/>
      <c r="I378" s="2499">
        <f t="shared" si="65"/>
        <v>147128</v>
      </c>
      <c r="J378" s="2471"/>
      <c r="K378" s="2252"/>
      <c r="L378" s="2471"/>
      <c r="M378" s="2500">
        <f t="shared" si="67"/>
        <v>0</v>
      </c>
      <c r="N378" s="922"/>
      <c r="O378" s="922"/>
      <c r="P378" s="679"/>
      <c r="Q378" s="706"/>
      <c r="R378" s="109"/>
      <c r="S378" s="706"/>
      <c r="T378" s="708"/>
      <c r="U378" s="706"/>
      <c r="V378" s="706"/>
      <c r="W378" s="706"/>
      <c r="X378" s="706"/>
      <c r="Y378" s="706"/>
      <c r="Z378" s="706"/>
      <c r="AA378" s="706"/>
    </row>
    <row r="379" spans="2:27">
      <c r="B379" s="2460"/>
      <c r="C379" s="2498"/>
      <c r="D379" s="2481">
        <f t="shared" si="64"/>
        <v>0</v>
      </c>
      <c r="E379" s="2252"/>
      <c r="F379" s="2471"/>
      <c r="G379" s="2252"/>
      <c r="H379" s="2471"/>
      <c r="I379" s="2499">
        <f t="shared" si="65"/>
        <v>0</v>
      </c>
      <c r="J379" s="2471"/>
      <c r="K379" s="2252"/>
      <c r="L379" s="2471"/>
      <c r="M379" s="2500">
        <f t="shared" si="67"/>
        <v>0</v>
      </c>
      <c r="N379" s="922"/>
      <c r="O379" s="922"/>
      <c r="P379" s="679"/>
      <c r="Q379" s="706"/>
      <c r="R379" s="109"/>
      <c r="S379" s="706"/>
      <c r="T379" s="708"/>
      <c r="U379" s="706"/>
      <c r="V379" s="706"/>
      <c r="W379" s="706"/>
      <c r="X379" s="706"/>
      <c r="Y379" s="706"/>
      <c r="Z379" s="706"/>
      <c r="AA379" s="706"/>
    </row>
    <row r="380" spans="2:27" ht="12.75" customHeight="1">
      <c r="B380" s="2467" t="s">
        <v>353</v>
      </c>
      <c r="C380" s="2498">
        <v>4</v>
      </c>
      <c r="D380" s="2481">
        <f t="shared" si="64"/>
        <v>269789</v>
      </c>
      <c r="E380" s="2252">
        <v>0</v>
      </c>
      <c r="F380" s="2471">
        <v>95987</v>
      </c>
      <c r="G380" s="2252">
        <v>173802</v>
      </c>
      <c r="H380" s="2471"/>
      <c r="I380" s="2499">
        <f t="shared" si="65"/>
        <v>269789</v>
      </c>
      <c r="J380" s="2471"/>
      <c r="K380" s="2252"/>
      <c r="L380" s="2471"/>
      <c r="M380" s="2500">
        <f t="shared" si="67"/>
        <v>0</v>
      </c>
      <c r="N380" s="922"/>
      <c r="O380" s="922"/>
      <c r="P380" s="679"/>
      <c r="Q380" s="706"/>
      <c r="R380" s="109"/>
      <c r="S380" s="706"/>
      <c r="T380" s="708"/>
      <c r="U380" s="706"/>
      <c r="V380" s="706"/>
      <c r="W380" s="706"/>
      <c r="X380" s="706"/>
      <c r="Y380" s="706"/>
      <c r="Z380" s="706"/>
      <c r="AA380" s="706"/>
    </row>
    <row r="381" spans="2:27">
      <c r="B381" s="2460" t="s">
        <v>354</v>
      </c>
      <c r="C381" s="2498"/>
      <c r="D381" s="2481">
        <f t="shared" si="64"/>
        <v>0</v>
      </c>
      <c r="E381" s="2252">
        <v>0</v>
      </c>
      <c r="F381" s="2471"/>
      <c r="G381" s="2252"/>
      <c r="H381" s="2471"/>
      <c r="I381" s="2499">
        <f t="shared" si="65"/>
        <v>0</v>
      </c>
      <c r="J381" s="2471"/>
      <c r="K381" s="2252"/>
      <c r="L381" s="2471"/>
      <c r="M381" s="2500">
        <f t="shared" si="67"/>
        <v>0</v>
      </c>
      <c r="N381" s="922"/>
      <c r="O381" s="922"/>
      <c r="P381" s="679"/>
      <c r="Q381" s="706"/>
      <c r="R381" s="109"/>
      <c r="S381" s="706"/>
      <c r="T381" s="708"/>
      <c r="U381" s="706"/>
      <c r="V381" s="706"/>
      <c r="W381" s="706"/>
      <c r="X381" s="706"/>
      <c r="Y381" s="706"/>
      <c r="Z381" s="706"/>
      <c r="AA381" s="706"/>
    </row>
    <row r="382" spans="2:27">
      <c r="B382" s="2460" t="s">
        <v>355</v>
      </c>
      <c r="C382" s="2498"/>
      <c r="D382" s="2481">
        <f t="shared" si="64"/>
        <v>13611</v>
      </c>
      <c r="E382" s="2252">
        <v>0</v>
      </c>
      <c r="F382" s="2471">
        <v>4718</v>
      </c>
      <c r="G382" s="2252">
        <v>8893</v>
      </c>
      <c r="H382" s="2471"/>
      <c r="I382" s="2499">
        <f t="shared" si="65"/>
        <v>13611</v>
      </c>
      <c r="J382" s="2471"/>
      <c r="K382" s="2252"/>
      <c r="L382" s="2471"/>
      <c r="M382" s="2500">
        <f t="shared" si="67"/>
        <v>0</v>
      </c>
      <c r="N382" s="922"/>
      <c r="O382" s="922"/>
      <c r="P382" s="679"/>
      <c r="Q382" s="706"/>
      <c r="R382" s="109"/>
      <c r="S382" s="706"/>
      <c r="T382" s="708"/>
      <c r="U382" s="706"/>
      <c r="V382" s="706"/>
      <c r="W382" s="706"/>
      <c r="X382" s="706"/>
      <c r="Y382" s="706"/>
      <c r="Z382" s="706"/>
      <c r="AA382" s="706"/>
    </row>
    <row r="383" spans="2:27">
      <c r="B383" s="2466" t="s">
        <v>356</v>
      </c>
      <c r="C383" s="2501"/>
      <c r="D383" s="2481">
        <f t="shared" si="64"/>
        <v>283400</v>
      </c>
      <c r="E383" s="2252">
        <f>SUM(E380:E382)</f>
        <v>0</v>
      </c>
      <c r="F383" s="2471">
        <f>SUM(F380:F382)</f>
        <v>100705</v>
      </c>
      <c r="G383" s="2252">
        <f>SUM(G380:G382)</f>
        <v>182695</v>
      </c>
      <c r="H383" s="2471">
        <f>SUM(H380:H382)</f>
        <v>0</v>
      </c>
      <c r="I383" s="2499">
        <f t="shared" si="65"/>
        <v>283400</v>
      </c>
      <c r="J383" s="2471">
        <f>SUM(J380:J382)</f>
        <v>0</v>
      </c>
      <c r="K383" s="2252">
        <f>SUM(K380:K382)</f>
        <v>0</v>
      </c>
      <c r="L383" s="2471">
        <f>SUM(L380:L382)</f>
        <v>0</v>
      </c>
      <c r="M383" s="2500">
        <f t="shared" si="67"/>
        <v>0</v>
      </c>
      <c r="N383" s="927"/>
      <c r="O383" s="922"/>
      <c r="P383" s="679"/>
      <c r="Q383" s="706"/>
      <c r="R383" s="109"/>
      <c r="S383" s="706"/>
      <c r="T383" s="708"/>
      <c r="U383" s="706"/>
      <c r="V383" s="706"/>
      <c r="W383" s="706"/>
      <c r="X383" s="706"/>
      <c r="Y383" s="706"/>
      <c r="Z383" s="706"/>
      <c r="AA383" s="706"/>
    </row>
    <row r="384" spans="2:27">
      <c r="B384" s="2466"/>
      <c r="C384" s="2501"/>
      <c r="D384" s="2481">
        <f t="shared" si="64"/>
        <v>0</v>
      </c>
      <c r="E384" s="2252"/>
      <c r="F384" s="2471"/>
      <c r="G384" s="2252"/>
      <c r="H384" s="2471"/>
      <c r="I384" s="2499">
        <f t="shared" si="65"/>
        <v>0</v>
      </c>
      <c r="J384" s="2471"/>
      <c r="K384" s="2252"/>
      <c r="L384" s="2471"/>
      <c r="M384" s="2500">
        <f t="shared" si="67"/>
        <v>0</v>
      </c>
      <c r="P384" s="679"/>
      <c r="Q384" s="706"/>
      <c r="R384" s="109"/>
      <c r="S384" s="706"/>
      <c r="T384" s="708"/>
      <c r="U384" s="706"/>
      <c r="V384" s="706"/>
      <c r="W384" s="706"/>
      <c r="X384" s="706"/>
      <c r="Y384" s="706"/>
      <c r="Z384" s="706"/>
      <c r="AA384" s="706"/>
    </row>
    <row r="385" spans="1:27">
      <c r="B385" s="2466" t="s">
        <v>357</v>
      </c>
      <c r="C385" s="2501"/>
      <c r="D385" s="2481">
        <f t="shared" si="64"/>
        <v>71516</v>
      </c>
      <c r="E385" s="2252">
        <f>E368-E376-E378-E383</f>
        <v>71515</v>
      </c>
      <c r="F385" s="2471">
        <f>F368-F376-F378-F383</f>
        <v>1</v>
      </c>
      <c r="G385" s="2252">
        <f>G368-G376-G378-G383</f>
        <v>0</v>
      </c>
      <c r="H385" s="2471">
        <f>H368-H376-H378-H383</f>
        <v>0</v>
      </c>
      <c r="I385" s="2499">
        <f t="shared" si="65"/>
        <v>1</v>
      </c>
      <c r="J385" s="2471">
        <f>J368-J376-J378-J383</f>
        <v>0</v>
      </c>
      <c r="K385" s="2252">
        <f>K368-K376-K378-K383</f>
        <v>0</v>
      </c>
      <c r="L385" s="2471">
        <f>L368-L376-L378-L383</f>
        <v>0</v>
      </c>
      <c r="M385" s="2500">
        <f t="shared" si="67"/>
        <v>0</v>
      </c>
      <c r="N385" s="927"/>
      <c r="O385" s="922"/>
      <c r="P385" s="679"/>
      <c r="Q385" s="706"/>
      <c r="R385" s="109"/>
      <c r="S385" s="706"/>
      <c r="T385" s="708"/>
      <c r="U385" s="706"/>
      <c r="V385" s="706"/>
      <c r="W385" s="706"/>
      <c r="X385" s="706"/>
      <c r="Y385" s="706"/>
      <c r="Z385" s="706"/>
      <c r="AA385" s="706"/>
    </row>
    <row r="386" spans="1:27">
      <c r="B386" s="2460" t="s">
        <v>358</v>
      </c>
      <c r="C386" s="2498"/>
      <c r="D386" s="2481">
        <f t="shared" si="64"/>
        <v>20023.9175</v>
      </c>
      <c r="E386" s="2252">
        <v>20023.9175</v>
      </c>
      <c r="F386" s="2471"/>
      <c r="G386" s="2252"/>
      <c r="H386" s="2471"/>
      <c r="I386" s="2499">
        <f t="shared" si="65"/>
        <v>0</v>
      </c>
      <c r="J386" s="2471"/>
      <c r="K386" s="2252"/>
      <c r="L386" s="2471"/>
      <c r="M386" s="2500">
        <f t="shared" si="67"/>
        <v>0</v>
      </c>
      <c r="N386" s="922"/>
      <c r="O386" s="922"/>
      <c r="P386" s="679"/>
      <c r="Q386" s="706"/>
      <c r="R386" s="109"/>
      <c r="S386" s="706"/>
      <c r="T386" s="708"/>
      <c r="U386" s="706"/>
      <c r="V386" s="706"/>
      <c r="W386" s="706"/>
      <c r="X386" s="706"/>
      <c r="Y386" s="706"/>
      <c r="Z386" s="706"/>
      <c r="AA386" s="706"/>
    </row>
    <row r="387" spans="1:27">
      <c r="B387" s="2460"/>
      <c r="C387" s="2498"/>
      <c r="D387" s="2481">
        <f t="shared" si="64"/>
        <v>0</v>
      </c>
      <c r="E387" s="2252"/>
      <c r="F387" s="2471"/>
      <c r="G387" s="2252"/>
      <c r="H387" s="2471"/>
      <c r="I387" s="2499">
        <f t="shared" si="65"/>
        <v>0</v>
      </c>
      <c r="J387" s="2471"/>
      <c r="K387" s="2252"/>
      <c r="L387" s="2471"/>
      <c r="M387" s="2500">
        <f t="shared" si="67"/>
        <v>0</v>
      </c>
      <c r="P387" s="679"/>
      <c r="Q387" s="706"/>
      <c r="R387" s="109"/>
      <c r="S387" s="706"/>
      <c r="T387" s="708"/>
      <c r="U387" s="706"/>
      <c r="V387" s="706"/>
      <c r="W387" s="706"/>
      <c r="X387" s="706"/>
      <c r="Y387" s="706"/>
      <c r="Z387" s="706"/>
      <c r="AA387" s="706"/>
    </row>
    <row r="388" spans="1:27" ht="13.5" thickBot="1">
      <c r="B388" s="1602" t="s">
        <v>359</v>
      </c>
      <c r="C388" s="1638"/>
      <c r="D388" s="1614">
        <f t="shared" si="64"/>
        <v>51492.082500000004</v>
      </c>
      <c r="E388" s="1624">
        <f>E385-E386</f>
        <v>51491.082500000004</v>
      </c>
      <c r="F388" s="1614">
        <f>F385-F386</f>
        <v>1</v>
      </c>
      <c r="G388" s="1624">
        <f>G385-G386</f>
        <v>0</v>
      </c>
      <c r="H388" s="1614">
        <f>H385-H386</f>
        <v>0</v>
      </c>
      <c r="I388" s="1624">
        <f t="shared" si="65"/>
        <v>1</v>
      </c>
      <c r="J388" s="1614">
        <f>J385-J386</f>
        <v>0</v>
      </c>
      <c r="K388" s="1624">
        <f>K385-K386</f>
        <v>0</v>
      </c>
      <c r="L388" s="1614">
        <f>L385-L386</f>
        <v>0</v>
      </c>
      <c r="M388" s="1639">
        <f t="shared" si="67"/>
        <v>0</v>
      </c>
      <c r="N388" s="927"/>
      <c r="O388" s="922"/>
      <c r="P388" s="679"/>
      <c r="Q388" s="706"/>
      <c r="R388" s="109"/>
      <c r="S388" s="706"/>
      <c r="T388" s="708"/>
      <c r="U388" s="706"/>
      <c r="V388" s="706"/>
      <c r="W388" s="706"/>
      <c r="X388" s="706"/>
      <c r="Y388" s="706"/>
      <c r="Z388" s="706"/>
      <c r="AA388" s="706"/>
    </row>
    <row r="389" spans="1:27">
      <c r="B389" s="933"/>
      <c r="C389" s="934"/>
      <c r="D389" s="179"/>
      <c r="E389" s="179"/>
      <c r="F389" s="179"/>
      <c r="G389" s="179"/>
      <c r="H389" s="179"/>
      <c r="I389" s="179"/>
      <c r="J389" s="179"/>
      <c r="K389" s="179"/>
      <c r="L389" s="179"/>
      <c r="M389" s="179"/>
      <c r="N389" s="927"/>
      <c r="O389" s="922"/>
      <c r="P389" s="679"/>
      <c r="R389" s="109"/>
      <c r="S389" s="706"/>
      <c r="T389" s="708"/>
      <c r="U389" s="706"/>
      <c r="V389" s="706"/>
      <c r="W389" s="706"/>
      <c r="X389" s="706"/>
      <c r="Y389" s="706"/>
      <c r="Z389" s="706"/>
      <c r="AA389" s="706"/>
    </row>
    <row r="390" spans="1:27">
      <c r="M390" s="673">
        <v>54</v>
      </c>
      <c r="R390" s="109"/>
    </row>
    <row r="391" spans="1:27">
      <c r="D391" s="679"/>
      <c r="E391" s="679"/>
      <c r="F391" s="679"/>
      <c r="G391" s="679"/>
      <c r="H391" s="679"/>
      <c r="I391" s="679"/>
      <c r="R391" s="109"/>
    </row>
    <row r="392" spans="1:27">
      <c r="R392" s="109"/>
    </row>
    <row r="393" spans="1:27" ht="13.5" thickBot="1">
      <c r="R393" s="109"/>
    </row>
    <row r="394" spans="1:27" ht="17.25" customHeight="1" thickBot="1">
      <c r="A394" s="1368" t="s">
        <v>131</v>
      </c>
      <c r="B394" s="1633" t="s">
        <v>103</v>
      </c>
      <c r="C394" s="912"/>
      <c r="L394" s="3538" t="s">
        <v>251</v>
      </c>
      <c r="M394" s="3538"/>
      <c r="R394" s="109"/>
    </row>
    <row r="395" spans="1:27" ht="17.25" customHeight="1" thickBot="1">
      <c r="B395" s="3578" t="s">
        <v>103</v>
      </c>
      <c r="C395" s="3523" t="s">
        <v>325</v>
      </c>
      <c r="D395" s="3518" t="s">
        <v>255</v>
      </c>
      <c r="E395" s="3518" t="s">
        <v>326</v>
      </c>
      <c r="F395" s="3574" t="s">
        <v>258</v>
      </c>
      <c r="G395" s="3574"/>
      <c r="H395" s="3574"/>
      <c r="I395" s="3574"/>
      <c r="J395" s="3574"/>
      <c r="K395" s="3574"/>
      <c r="L395" s="3574"/>
      <c r="M395" s="3574"/>
      <c r="R395" s="109"/>
    </row>
    <row r="396" spans="1:27" ht="17.25" customHeight="1">
      <c r="B396" s="3571"/>
      <c r="C396" s="3524"/>
      <c r="D396" s="3520"/>
      <c r="E396" s="3520"/>
      <c r="F396" s="3575" t="s">
        <v>259</v>
      </c>
      <c r="G396" s="3576"/>
      <c r="H396" s="3576"/>
      <c r="I396" s="3577"/>
      <c r="J396" s="3574" t="s">
        <v>327</v>
      </c>
      <c r="K396" s="3574"/>
      <c r="L396" s="3574"/>
      <c r="M396" s="3574"/>
      <c r="R396" s="109"/>
    </row>
    <row r="397" spans="1:27" ht="42" customHeight="1" thickBot="1">
      <c r="B397" s="3571"/>
      <c r="C397" s="3524"/>
      <c r="D397" s="3519"/>
      <c r="E397" s="3519"/>
      <c r="F397" s="1339" t="s">
        <v>261</v>
      </c>
      <c r="G397" s="1339" t="s">
        <v>262</v>
      </c>
      <c r="H397" s="1339" t="s">
        <v>263</v>
      </c>
      <c r="I397" s="1339" t="s">
        <v>158</v>
      </c>
      <c r="J397" s="1588" t="s">
        <v>328</v>
      </c>
      <c r="K397" s="1588" t="s">
        <v>265</v>
      </c>
      <c r="L397" s="1588" t="s">
        <v>329</v>
      </c>
      <c r="M397" s="1588" t="s">
        <v>158</v>
      </c>
      <c r="R397" s="109"/>
    </row>
    <row r="398" spans="1:27" ht="10.5" customHeight="1" thickBot="1">
      <c r="B398" s="3571"/>
      <c r="C398" s="3524"/>
      <c r="D398" s="1589">
        <v>1</v>
      </c>
      <c r="E398" s="3518">
        <v>2</v>
      </c>
      <c r="F398" s="3518">
        <v>3</v>
      </c>
      <c r="G398" s="3518">
        <v>4</v>
      </c>
      <c r="H398" s="3518">
        <v>5</v>
      </c>
      <c r="I398" s="1589">
        <v>6</v>
      </c>
      <c r="J398" s="3518">
        <v>7</v>
      </c>
      <c r="K398" s="3518">
        <v>8</v>
      </c>
      <c r="L398" s="3518">
        <v>9</v>
      </c>
      <c r="M398" s="1589">
        <v>10</v>
      </c>
      <c r="R398" s="109"/>
    </row>
    <row r="399" spans="1:27" ht="13.5" thickBot="1">
      <c r="B399" s="3572"/>
      <c r="C399" s="3525"/>
      <c r="D399" s="1590" t="s">
        <v>330</v>
      </c>
      <c r="E399" s="3519"/>
      <c r="F399" s="3519"/>
      <c r="G399" s="3519"/>
      <c r="H399" s="3519"/>
      <c r="I399" s="1590" t="s">
        <v>331</v>
      </c>
      <c r="J399" s="3519"/>
      <c r="K399" s="3519"/>
      <c r="L399" s="3519"/>
      <c r="M399" s="1590" t="s">
        <v>332</v>
      </c>
      <c r="N399" s="703"/>
      <c r="O399" s="703"/>
      <c r="R399" s="109"/>
    </row>
    <row r="400" spans="1:27">
      <c r="B400" s="1642" t="s">
        <v>333</v>
      </c>
      <c r="C400" s="986"/>
      <c r="D400" s="1643">
        <f t="shared" ref="D400:D437" si="68">E400+I400+M400</f>
        <v>7091470</v>
      </c>
      <c r="E400" s="976">
        <v>0</v>
      </c>
      <c r="F400" s="942">
        <v>420683</v>
      </c>
      <c r="G400" s="976">
        <v>2021532</v>
      </c>
      <c r="H400" s="942">
        <v>4649255</v>
      </c>
      <c r="I400" s="1644">
        <f t="shared" ref="I400:I437" si="69">F400+G400+H400</f>
        <v>7091470</v>
      </c>
      <c r="J400" s="942"/>
      <c r="K400" s="976"/>
      <c r="L400" s="942"/>
      <c r="M400" s="1645">
        <f t="shared" ref="M400:M417" si="70">L400+K400+J400</f>
        <v>0</v>
      </c>
      <c r="N400" s="922"/>
      <c r="O400" s="922"/>
      <c r="P400" s="679"/>
      <c r="Q400" s="706"/>
      <c r="R400" s="109"/>
      <c r="S400" s="706"/>
      <c r="T400" s="708"/>
      <c r="U400" s="706"/>
      <c r="V400" s="706"/>
      <c r="W400" s="706"/>
      <c r="X400" s="706"/>
      <c r="Y400" s="706"/>
      <c r="Z400" s="706"/>
      <c r="AA400" s="706"/>
    </row>
    <row r="401" spans="2:27">
      <c r="B401" s="2503"/>
      <c r="C401" s="2504"/>
      <c r="D401" s="2505">
        <f t="shared" si="68"/>
        <v>0</v>
      </c>
      <c r="E401" s="2506"/>
      <c r="F401" s="2507"/>
      <c r="G401" s="2506"/>
      <c r="H401" s="2507"/>
      <c r="I401" s="2508">
        <f t="shared" si="69"/>
        <v>0</v>
      </c>
      <c r="J401" s="2507"/>
      <c r="K401" s="2506"/>
      <c r="L401" s="2507"/>
      <c r="M401" s="2509">
        <f t="shared" si="70"/>
        <v>0</v>
      </c>
      <c r="P401" s="679"/>
      <c r="Q401" s="706"/>
      <c r="R401" s="109"/>
      <c r="S401" s="706"/>
      <c r="T401" s="708"/>
      <c r="U401" s="706"/>
      <c r="V401" s="706"/>
      <c r="W401" s="706"/>
      <c r="X401" s="706"/>
      <c r="Y401" s="706"/>
      <c r="Z401" s="706"/>
      <c r="AA401" s="706"/>
    </row>
    <row r="402" spans="2:27">
      <c r="B402" s="2510" t="s">
        <v>334</v>
      </c>
      <c r="C402" s="2504"/>
      <c r="D402" s="2505">
        <f t="shared" si="68"/>
        <v>355537</v>
      </c>
      <c r="E402" s="2506">
        <v>0</v>
      </c>
      <c r="F402" s="2507">
        <v>3957</v>
      </c>
      <c r="G402" s="2506">
        <v>333253</v>
      </c>
      <c r="H402" s="2507">
        <v>18327</v>
      </c>
      <c r="I402" s="2508">
        <f t="shared" si="69"/>
        <v>355537</v>
      </c>
      <c r="J402" s="2507"/>
      <c r="K402" s="2506"/>
      <c r="L402" s="2507"/>
      <c r="M402" s="2509">
        <f t="shared" si="70"/>
        <v>0</v>
      </c>
      <c r="N402" s="922"/>
      <c r="O402" s="922"/>
      <c r="P402" s="679"/>
      <c r="Q402" s="706"/>
      <c r="R402" s="109"/>
      <c r="S402" s="706"/>
      <c r="T402" s="708"/>
      <c r="U402" s="706"/>
      <c r="V402" s="706"/>
      <c r="W402" s="706"/>
      <c r="X402" s="706"/>
      <c r="Y402" s="706"/>
      <c r="Z402" s="706"/>
      <c r="AA402" s="706"/>
    </row>
    <row r="403" spans="2:27">
      <c r="B403" s="2510"/>
      <c r="C403" s="2504"/>
      <c r="D403" s="2505">
        <f t="shared" si="68"/>
        <v>0</v>
      </c>
      <c r="E403" s="2506"/>
      <c r="F403" s="2507"/>
      <c r="G403" s="2506"/>
      <c r="H403" s="2507"/>
      <c r="I403" s="2508">
        <f t="shared" si="69"/>
        <v>0</v>
      </c>
      <c r="J403" s="2507"/>
      <c r="K403" s="2506"/>
      <c r="L403" s="2507"/>
      <c r="M403" s="2509">
        <f t="shared" si="70"/>
        <v>0</v>
      </c>
      <c r="P403" s="679"/>
      <c r="Q403" s="706"/>
      <c r="R403" s="109"/>
      <c r="S403" s="706"/>
      <c r="T403" s="708"/>
      <c r="U403" s="706"/>
      <c r="V403" s="706"/>
      <c r="W403" s="706"/>
      <c r="X403" s="706"/>
      <c r="Y403" s="706"/>
      <c r="Z403" s="706"/>
      <c r="AA403" s="706"/>
    </row>
    <row r="404" spans="2:27" ht="14.25" customHeight="1">
      <c r="B404" s="2511" t="s">
        <v>335</v>
      </c>
      <c r="C404" s="2504"/>
      <c r="D404" s="2505">
        <f t="shared" si="68"/>
        <v>0</v>
      </c>
      <c r="E404" s="2506"/>
      <c r="F404" s="2507"/>
      <c r="G404" s="2506"/>
      <c r="H404" s="2507"/>
      <c r="I404" s="2508">
        <f t="shared" si="69"/>
        <v>0</v>
      </c>
      <c r="J404" s="2507"/>
      <c r="K404" s="2506"/>
      <c r="L404" s="2507"/>
      <c r="M404" s="2509">
        <f t="shared" si="70"/>
        <v>0</v>
      </c>
      <c r="N404" s="922"/>
      <c r="O404" s="922"/>
      <c r="P404" s="679"/>
      <c r="Q404" s="706"/>
      <c r="R404" s="109"/>
      <c r="S404" s="706"/>
      <c r="T404" s="708"/>
      <c r="U404" s="706"/>
      <c r="V404" s="706"/>
      <c r="W404" s="706"/>
      <c r="X404" s="706"/>
      <c r="Y404" s="706"/>
      <c r="Z404" s="706"/>
      <c r="AA404" s="706"/>
    </row>
    <row r="405" spans="2:27">
      <c r="B405" s="2503"/>
      <c r="C405" s="2504"/>
      <c r="D405" s="2505">
        <f t="shared" si="68"/>
        <v>0</v>
      </c>
      <c r="E405" s="2506"/>
      <c r="F405" s="2507"/>
      <c r="G405" s="2506"/>
      <c r="H405" s="2507"/>
      <c r="I405" s="2508">
        <f t="shared" si="69"/>
        <v>0</v>
      </c>
      <c r="J405" s="2507"/>
      <c r="K405" s="2506"/>
      <c r="L405" s="2507"/>
      <c r="M405" s="2509">
        <f t="shared" si="70"/>
        <v>0</v>
      </c>
      <c r="P405" s="679"/>
      <c r="Q405" s="706"/>
      <c r="R405" s="109"/>
      <c r="S405" s="706"/>
      <c r="T405" s="708"/>
      <c r="U405" s="706"/>
      <c r="V405" s="706"/>
      <c r="W405" s="706"/>
      <c r="X405" s="706"/>
      <c r="Y405" s="706"/>
      <c r="Z405" s="706"/>
      <c r="AA405" s="706"/>
    </row>
    <row r="406" spans="2:27">
      <c r="B406" s="2512" t="s">
        <v>336</v>
      </c>
      <c r="C406" s="2513"/>
      <c r="D406" s="2505">
        <f t="shared" si="68"/>
        <v>6735933</v>
      </c>
      <c r="E406" s="2506">
        <f>E400-E402+E404</f>
        <v>0</v>
      </c>
      <c r="F406" s="2507">
        <f>F400-F402+F404</f>
        <v>416726</v>
      </c>
      <c r="G406" s="2506">
        <f>G400-G402+G404</f>
        <v>1688279</v>
      </c>
      <c r="H406" s="2507">
        <f>H400-H402+H404</f>
        <v>4630928</v>
      </c>
      <c r="I406" s="2508">
        <f t="shared" si="69"/>
        <v>6735933</v>
      </c>
      <c r="J406" s="2507">
        <f>J400-J402+J404</f>
        <v>0</v>
      </c>
      <c r="K406" s="2506">
        <f>K400-K402+K404</f>
        <v>0</v>
      </c>
      <c r="L406" s="2507">
        <f>L400-L402+L404</f>
        <v>0</v>
      </c>
      <c r="M406" s="2509">
        <f t="shared" si="70"/>
        <v>0</v>
      </c>
      <c r="N406" s="927"/>
      <c r="O406" s="922"/>
      <c r="P406" s="679"/>
      <c r="Q406" s="706"/>
      <c r="R406" s="109"/>
      <c r="S406" s="706"/>
      <c r="T406" s="708"/>
      <c r="U406" s="706"/>
      <c r="V406" s="706"/>
      <c r="W406" s="706"/>
      <c r="X406" s="706"/>
      <c r="Y406" s="706"/>
      <c r="Z406" s="706"/>
      <c r="AA406" s="706"/>
    </row>
    <row r="407" spans="2:27">
      <c r="B407" s="2512"/>
      <c r="C407" s="2513"/>
      <c r="D407" s="2505">
        <f t="shared" si="68"/>
        <v>0</v>
      </c>
      <c r="E407" s="2506"/>
      <c r="F407" s="2507"/>
      <c r="G407" s="2506"/>
      <c r="H407" s="2507"/>
      <c r="I407" s="2508">
        <f t="shared" si="69"/>
        <v>0</v>
      </c>
      <c r="J407" s="2507"/>
      <c r="K407" s="2506"/>
      <c r="L407" s="2507"/>
      <c r="M407" s="2509">
        <f t="shared" si="70"/>
        <v>0</v>
      </c>
      <c r="P407" s="679"/>
      <c r="Q407" s="706"/>
      <c r="R407" s="109"/>
      <c r="S407" s="706"/>
      <c r="T407" s="708"/>
      <c r="U407" s="706"/>
      <c r="V407" s="706"/>
      <c r="W407" s="706"/>
      <c r="X407" s="706"/>
      <c r="Y407" s="706"/>
      <c r="Z407" s="706"/>
      <c r="AA407" s="706"/>
    </row>
    <row r="408" spans="2:27">
      <c r="B408" s="2512" t="s">
        <v>337</v>
      </c>
      <c r="C408" s="2513"/>
      <c r="D408" s="2505">
        <f t="shared" si="68"/>
        <v>2490504</v>
      </c>
      <c r="E408" s="2506">
        <f>SUM(E409:E413)</f>
        <v>496540.36228</v>
      </c>
      <c r="F408" s="2507">
        <f>SUM(F409:F413)</f>
        <v>502645</v>
      </c>
      <c r="G408" s="2506">
        <f>SUM(G409:G413)</f>
        <v>390616</v>
      </c>
      <c r="H408" s="2507">
        <f>SUM(H409:H413)</f>
        <v>1100702.63772</v>
      </c>
      <c r="I408" s="2508">
        <f t="shared" si="69"/>
        <v>1993963.63772</v>
      </c>
      <c r="J408" s="2507">
        <f>SUM(J409:J413)</f>
        <v>0</v>
      </c>
      <c r="K408" s="2506">
        <f>SUM(K409:K413)</f>
        <v>0</v>
      </c>
      <c r="L408" s="2507">
        <f>SUM(L409:L413)</f>
        <v>0</v>
      </c>
      <c r="M408" s="2509">
        <f t="shared" si="70"/>
        <v>0</v>
      </c>
      <c r="N408" s="927"/>
      <c r="O408" s="922"/>
      <c r="P408" s="679"/>
      <c r="Q408" s="706"/>
      <c r="R408" s="109"/>
      <c r="S408" s="706"/>
      <c r="T408" s="708"/>
      <c r="U408" s="706"/>
      <c r="V408" s="706"/>
      <c r="W408" s="706"/>
      <c r="X408" s="706"/>
      <c r="Y408" s="706"/>
      <c r="Z408" s="706"/>
      <c r="AA408" s="706"/>
    </row>
    <row r="409" spans="2:27">
      <c r="B409" s="2503" t="s">
        <v>338</v>
      </c>
      <c r="C409" s="2504">
        <v>1</v>
      </c>
      <c r="D409" s="2505">
        <f t="shared" si="68"/>
        <v>2311120</v>
      </c>
      <c r="E409" s="2514">
        <v>468332</v>
      </c>
      <c r="F409" s="2515">
        <v>456308</v>
      </c>
      <c r="G409" s="2514">
        <v>334739</v>
      </c>
      <c r="H409" s="2515">
        <v>1051741</v>
      </c>
      <c r="I409" s="2508">
        <f t="shared" si="69"/>
        <v>1842788</v>
      </c>
      <c r="J409" s="2507"/>
      <c r="K409" s="2506"/>
      <c r="L409" s="2507"/>
      <c r="M409" s="2509">
        <f t="shared" si="70"/>
        <v>0</v>
      </c>
      <c r="N409" s="922"/>
      <c r="O409" s="922"/>
      <c r="P409" s="679"/>
      <c r="Q409" s="706"/>
      <c r="R409" s="109"/>
      <c r="S409" s="706"/>
      <c r="T409" s="708"/>
      <c r="U409" s="706"/>
      <c r="V409" s="706"/>
      <c r="W409" s="706"/>
      <c r="X409" s="706"/>
      <c r="Y409" s="706"/>
      <c r="Z409" s="706"/>
      <c r="AA409" s="706"/>
    </row>
    <row r="410" spans="2:27">
      <c r="B410" s="2503" t="s">
        <v>339</v>
      </c>
      <c r="C410" s="2504">
        <v>2</v>
      </c>
      <c r="D410" s="2505">
        <f t="shared" si="68"/>
        <v>77025</v>
      </c>
      <c r="E410" s="2514">
        <v>13947</v>
      </c>
      <c r="F410" s="2515">
        <v>1413</v>
      </c>
      <c r="G410" s="2514">
        <v>42826</v>
      </c>
      <c r="H410" s="2515">
        <v>18839</v>
      </c>
      <c r="I410" s="2508">
        <f t="shared" si="69"/>
        <v>63078</v>
      </c>
      <c r="J410" s="2507"/>
      <c r="K410" s="2506"/>
      <c r="L410" s="2507"/>
      <c r="M410" s="2509">
        <f t="shared" si="70"/>
        <v>0</v>
      </c>
      <c r="N410" s="922"/>
      <c r="O410" s="922"/>
      <c r="P410" s="679"/>
      <c r="Q410" s="706"/>
      <c r="R410" s="109"/>
      <c r="S410" s="706"/>
      <c r="T410" s="708"/>
      <c r="U410" s="706"/>
      <c r="V410" s="706"/>
      <c r="W410" s="706"/>
      <c r="X410" s="706"/>
      <c r="Y410" s="706"/>
      <c r="Z410" s="706"/>
      <c r="AA410" s="706"/>
    </row>
    <row r="411" spans="2:27">
      <c r="B411" s="2503" t="s">
        <v>340</v>
      </c>
      <c r="C411" s="2504"/>
      <c r="D411" s="2505">
        <f t="shared" si="68"/>
        <v>50109</v>
      </c>
      <c r="E411" s="2514">
        <v>11871</v>
      </c>
      <c r="F411" s="2515">
        <v>9029</v>
      </c>
      <c r="G411" s="2514">
        <v>3616</v>
      </c>
      <c r="H411" s="2515">
        <v>25593</v>
      </c>
      <c r="I411" s="2508">
        <f t="shared" si="69"/>
        <v>38238</v>
      </c>
      <c r="J411" s="2507"/>
      <c r="K411" s="2506"/>
      <c r="L411" s="2507"/>
      <c r="M411" s="2509">
        <f t="shared" si="70"/>
        <v>0</v>
      </c>
      <c r="N411" s="922"/>
      <c r="O411" s="922"/>
      <c r="P411" s="679"/>
      <c r="Q411" s="706"/>
      <c r="R411" s="109"/>
      <c r="S411" s="706"/>
      <c r="T411" s="708"/>
      <c r="U411" s="706"/>
      <c r="V411" s="706"/>
      <c r="W411" s="706"/>
      <c r="X411" s="706"/>
      <c r="Y411" s="706"/>
      <c r="Z411" s="706"/>
      <c r="AA411" s="706"/>
    </row>
    <row r="412" spans="2:27">
      <c r="B412" s="2503" t="s">
        <v>341</v>
      </c>
      <c r="C412" s="2504"/>
      <c r="D412" s="2505">
        <f t="shared" si="68"/>
        <v>49484</v>
      </c>
      <c r="E412" s="2514">
        <v>0</v>
      </c>
      <c r="F412" s="2515">
        <v>35838</v>
      </c>
      <c r="G412" s="2514">
        <v>9334</v>
      </c>
      <c r="H412" s="2515">
        <v>4312</v>
      </c>
      <c r="I412" s="2508">
        <f t="shared" si="69"/>
        <v>49484</v>
      </c>
      <c r="J412" s="2507"/>
      <c r="K412" s="2506"/>
      <c r="L412" s="2507"/>
      <c r="M412" s="2509">
        <f t="shared" si="70"/>
        <v>0</v>
      </c>
      <c r="N412" s="922"/>
      <c r="O412" s="922"/>
      <c r="P412" s="679"/>
      <c r="Q412" s="706"/>
      <c r="R412" s="109"/>
      <c r="S412" s="706"/>
      <c r="T412" s="708"/>
      <c r="U412" s="706"/>
      <c r="V412" s="706"/>
      <c r="W412" s="706"/>
      <c r="X412" s="706"/>
      <c r="Y412" s="706"/>
      <c r="Z412" s="706"/>
      <c r="AA412" s="706"/>
    </row>
    <row r="413" spans="2:27">
      <c r="B413" s="2503" t="s">
        <v>342</v>
      </c>
      <c r="C413" s="2504">
        <v>3</v>
      </c>
      <c r="D413" s="2505">
        <f t="shared" si="68"/>
        <v>2766</v>
      </c>
      <c r="E413" s="2514">
        <v>2390.3622800000003</v>
      </c>
      <c r="F413" s="2515">
        <v>57</v>
      </c>
      <c r="G413" s="2514">
        <v>101</v>
      </c>
      <c r="H413" s="2515">
        <v>217.63771999999972</v>
      </c>
      <c r="I413" s="2508">
        <f t="shared" si="69"/>
        <v>375.63771999999972</v>
      </c>
      <c r="J413" s="2507"/>
      <c r="K413" s="2506"/>
      <c r="L413" s="2507"/>
      <c r="M413" s="2509">
        <f t="shared" si="70"/>
        <v>0</v>
      </c>
      <c r="N413" s="922"/>
      <c r="O413" s="922"/>
      <c r="P413" s="679"/>
      <c r="Q413" s="706"/>
      <c r="R413" s="109"/>
      <c r="S413" s="706"/>
      <c r="T413" s="708"/>
      <c r="U413" s="706"/>
      <c r="V413" s="706"/>
      <c r="W413" s="706"/>
      <c r="X413" s="706"/>
      <c r="Y413" s="706"/>
      <c r="Z413" s="706"/>
      <c r="AA413" s="706"/>
    </row>
    <row r="414" spans="2:27">
      <c r="B414" s="2503" t="s">
        <v>343</v>
      </c>
      <c r="C414" s="2504"/>
      <c r="D414" s="2505">
        <f t="shared" si="68"/>
        <v>0</v>
      </c>
      <c r="E414" s="2506"/>
      <c r="F414" s="2507"/>
      <c r="G414" s="2506"/>
      <c r="H414" s="2507"/>
      <c r="I414" s="2508">
        <f t="shared" si="69"/>
        <v>0</v>
      </c>
      <c r="J414" s="2507"/>
      <c r="K414" s="2506"/>
      <c r="L414" s="2507"/>
      <c r="M414" s="2509">
        <f t="shared" si="70"/>
        <v>0</v>
      </c>
      <c r="P414" s="679"/>
      <c r="Q414" s="706"/>
      <c r="R414" s="109"/>
      <c r="S414" s="706"/>
      <c r="T414" s="708"/>
      <c r="U414" s="706"/>
      <c r="V414" s="706"/>
      <c r="W414" s="706"/>
      <c r="X414" s="706"/>
      <c r="Y414" s="706"/>
      <c r="Z414" s="706"/>
      <c r="AA414" s="706"/>
    </row>
    <row r="415" spans="2:27">
      <c r="B415" s="2503" t="s">
        <v>343</v>
      </c>
      <c r="C415" s="2504"/>
      <c r="D415" s="2505">
        <f t="shared" si="68"/>
        <v>0</v>
      </c>
      <c r="E415" s="2506"/>
      <c r="F415" s="2507"/>
      <c r="G415" s="2506"/>
      <c r="H415" s="2507"/>
      <c r="I415" s="2508">
        <f t="shared" si="69"/>
        <v>0</v>
      </c>
      <c r="J415" s="2507"/>
      <c r="K415" s="2506"/>
      <c r="L415" s="2507"/>
      <c r="M415" s="2509">
        <f t="shared" si="70"/>
        <v>0</v>
      </c>
      <c r="P415" s="679"/>
      <c r="Q415" s="706"/>
      <c r="R415" s="109"/>
      <c r="S415" s="706"/>
      <c r="T415" s="708"/>
      <c r="U415" s="706"/>
      <c r="V415" s="706"/>
      <c r="W415" s="706"/>
      <c r="X415" s="706"/>
      <c r="Y415" s="706"/>
      <c r="Z415" s="706"/>
      <c r="AA415" s="706"/>
    </row>
    <row r="416" spans="2:27">
      <c r="B416" s="2503"/>
      <c r="C416" s="2504"/>
      <c r="D416" s="2505">
        <f t="shared" si="68"/>
        <v>0</v>
      </c>
      <c r="E416" s="2506"/>
      <c r="F416" s="2507"/>
      <c r="G416" s="2506"/>
      <c r="H416" s="2507"/>
      <c r="I416" s="2508">
        <f t="shared" si="69"/>
        <v>0</v>
      </c>
      <c r="J416" s="2507"/>
      <c r="K416" s="2506"/>
      <c r="L416" s="2507"/>
      <c r="M416" s="2509">
        <f t="shared" si="70"/>
        <v>0</v>
      </c>
      <c r="P416" s="679"/>
      <c r="Q416" s="706"/>
      <c r="R416" s="109"/>
      <c r="S416" s="706"/>
      <c r="T416" s="708"/>
      <c r="U416" s="706"/>
      <c r="V416" s="706"/>
      <c r="W416" s="706"/>
      <c r="X416" s="706"/>
      <c r="Y416" s="706"/>
      <c r="Z416" s="706"/>
      <c r="AA416" s="706"/>
    </row>
    <row r="417" spans="2:27">
      <c r="B417" s="2516" t="s">
        <v>344</v>
      </c>
      <c r="C417" s="2513"/>
      <c r="D417" s="2505">
        <f t="shared" si="68"/>
        <v>9226437</v>
      </c>
      <c r="E417" s="2506">
        <f>E406+E408</f>
        <v>496540.36228</v>
      </c>
      <c r="F417" s="2507">
        <f>F406+F408</f>
        <v>919371</v>
      </c>
      <c r="G417" s="2506">
        <f>G406+G408</f>
        <v>2078895</v>
      </c>
      <c r="H417" s="2507">
        <f>H406+H408</f>
        <v>5731630.63772</v>
      </c>
      <c r="I417" s="2508">
        <f t="shared" si="69"/>
        <v>8729896.63772</v>
      </c>
      <c r="J417" s="2507">
        <f>J406+J408</f>
        <v>0</v>
      </c>
      <c r="K417" s="2506">
        <f>K406+K408</f>
        <v>0</v>
      </c>
      <c r="L417" s="2507">
        <f>L406+L408</f>
        <v>0</v>
      </c>
      <c r="M417" s="2509">
        <f t="shared" si="70"/>
        <v>0</v>
      </c>
      <c r="N417" s="927"/>
      <c r="O417" s="922"/>
      <c r="P417" s="679"/>
      <c r="Q417" s="706"/>
      <c r="R417" s="109"/>
      <c r="S417" s="706"/>
      <c r="T417" s="708"/>
      <c r="U417" s="706"/>
      <c r="V417" s="706"/>
      <c r="W417" s="706"/>
      <c r="X417" s="706"/>
      <c r="Y417" s="706"/>
      <c r="Z417" s="706"/>
      <c r="AA417" s="706"/>
    </row>
    <row r="418" spans="2:27">
      <c r="B418" s="2516"/>
      <c r="C418" s="2513"/>
      <c r="D418" s="2505">
        <f t="shared" si="68"/>
        <v>0</v>
      </c>
      <c r="E418" s="2506"/>
      <c r="F418" s="2507"/>
      <c r="G418" s="2506"/>
      <c r="H418" s="2507"/>
      <c r="I418" s="2508">
        <f t="shared" si="69"/>
        <v>0</v>
      </c>
      <c r="J418" s="2507"/>
      <c r="K418" s="2506"/>
      <c r="L418" s="2507"/>
      <c r="M418" s="2509"/>
      <c r="P418" s="679"/>
      <c r="Q418" s="706"/>
      <c r="R418" s="109"/>
      <c r="S418" s="706"/>
      <c r="T418" s="708"/>
      <c r="U418" s="706"/>
      <c r="V418" s="706"/>
      <c r="W418" s="706"/>
      <c r="X418" s="706"/>
      <c r="Y418" s="706"/>
      <c r="Z418" s="706"/>
      <c r="AA418" s="706"/>
    </row>
    <row r="419" spans="2:27">
      <c r="B419" s="2503" t="s">
        <v>345</v>
      </c>
      <c r="C419" s="2504"/>
      <c r="D419" s="2505">
        <f t="shared" si="68"/>
        <v>1802063</v>
      </c>
      <c r="E419" s="2506">
        <v>0</v>
      </c>
      <c r="F419" s="2507">
        <v>688383</v>
      </c>
      <c r="G419" s="2506">
        <v>799752</v>
      </c>
      <c r="H419" s="2507">
        <v>313928</v>
      </c>
      <c r="I419" s="2508">
        <f t="shared" si="69"/>
        <v>1802063</v>
      </c>
      <c r="J419" s="2507"/>
      <c r="K419" s="2506"/>
      <c r="L419" s="2507"/>
      <c r="M419" s="2509">
        <f t="shared" ref="M419:M437" si="71">L419+K419+J419</f>
        <v>0</v>
      </c>
      <c r="N419" s="922"/>
      <c r="O419" s="922"/>
      <c r="P419" s="679"/>
      <c r="Q419" s="706"/>
      <c r="R419" s="109"/>
      <c r="S419" s="706"/>
      <c r="T419" s="708"/>
      <c r="U419" s="706"/>
      <c r="V419" s="706"/>
      <c r="W419" s="706"/>
      <c r="X419" s="706"/>
      <c r="Y419" s="706"/>
      <c r="Z419" s="706"/>
      <c r="AA419" s="706"/>
    </row>
    <row r="420" spans="2:27">
      <c r="B420" s="2503" t="s">
        <v>346</v>
      </c>
      <c r="C420" s="2504"/>
      <c r="D420" s="2505">
        <f t="shared" si="68"/>
        <v>-163159</v>
      </c>
      <c r="E420" s="2506">
        <v>0</v>
      </c>
      <c r="F420" s="2507">
        <v>-573</v>
      </c>
      <c r="G420" s="2506">
        <v>-157924</v>
      </c>
      <c r="H420" s="2507">
        <v>-4662</v>
      </c>
      <c r="I420" s="2508">
        <f t="shared" si="69"/>
        <v>-163159</v>
      </c>
      <c r="J420" s="2507"/>
      <c r="K420" s="2506"/>
      <c r="L420" s="2507"/>
      <c r="M420" s="2509">
        <f t="shared" si="71"/>
        <v>0</v>
      </c>
      <c r="N420" s="922"/>
      <c r="O420" s="922"/>
      <c r="P420" s="679"/>
      <c r="Q420" s="706"/>
      <c r="R420" s="109"/>
      <c r="S420" s="706"/>
      <c r="T420" s="708"/>
      <c r="U420" s="706"/>
      <c r="V420" s="706"/>
      <c r="W420" s="706"/>
      <c r="X420" s="706"/>
      <c r="Y420" s="706"/>
      <c r="Z420" s="706"/>
      <c r="AA420" s="706"/>
    </row>
    <row r="421" spans="2:27">
      <c r="B421" s="2503" t="s">
        <v>347</v>
      </c>
      <c r="C421" s="2504"/>
      <c r="D421" s="2505">
        <f t="shared" si="68"/>
        <v>49184</v>
      </c>
      <c r="E421" s="2506">
        <v>0</v>
      </c>
      <c r="F421" s="2507">
        <v>-11083</v>
      </c>
      <c r="G421" s="2506">
        <v>23976</v>
      </c>
      <c r="H421" s="2507">
        <v>36291</v>
      </c>
      <c r="I421" s="2508">
        <f t="shared" si="69"/>
        <v>49184</v>
      </c>
      <c r="J421" s="2507"/>
      <c r="K421" s="2506"/>
      <c r="L421" s="2507"/>
      <c r="M421" s="2509">
        <f t="shared" si="71"/>
        <v>0</v>
      </c>
      <c r="N421" s="922"/>
      <c r="O421" s="922"/>
      <c r="P421" s="679"/>
      <c r="Q421" s="706"/>
      <c r="R421" s="109"/>
      <c r="S421" s="706"/>
      <c r="T421" s="708"/>
      <c r="U421" s="706"/>
      <c r="V421" s="706"/>
      <c r="W421" s="706"/>
      <c r="X421" s="706"/>
      <c r="Y421" s="706"/>
      <c r="Z421" s="706"/>
      <c r="AA421" s="706"/>
    </row>
    <row r="422" spans="2:27" ht="13.5" customHeight="1">
      <c r="B422" s="2517" t="s">
        <v>348</v>
      </c>
      <c r="C422" s="2504"/>
      <c r="D422" s="2505">
        <f t="shared" si="68"/>
        <v>-42000</v>
      </c>
      <c r="E422" s="2506">
        <v>0</v>
      </c>
      <c r="F422" s="2507">
        <v>-1263</v>
      </c>
      <c r="G422" s="2506">
        <v>-34333</v>
      </c>
      <c r="H422" s="2507">
        <v>-6404</v>
      </c>
      <c r="I422" s="2508">
        <f t="shared" si="69"/>
        <v>-42000</v>
      </c>
      <c r="J422" s="2507"/>
      <c r="K422" s="2506"/>
      <c r="L422" s="2507"/>
      <c r="M422" s="2509">
        <f t="shared" si="71"/>
        <v>0</v>
      </c>
      <c r="N422" s="922"/>
      <c r="O422" s="922"/>
      <c r="P422" s="679"/>
      <c r="Q422" s="706"/>
      <c r="R422" s="109"/>
      <c r="S422" s="706"/>
      <c r="T422" s="708"/>
      <c r="U422" s="706"/>
      <c r="V422" s="706"/>
      <c r="W422" s="706"/>
      <c r="X422" s="706"/>
      <c r="Y422" s="706"/>
      <c r="Z422" s="706"/>
      <c r="AA422" s="706"/>
    </row>
    <row r="423" spans="2:27">
      <c r="B423" s="2503" t="s">
        <v>349</v>
      </c>
      <c r="C423" s="2504"/>
      <c r="D423" s="2505">
        <f t="shared" si="68"/>
        <v>3249356</v>
      </c>
      <c r="E423" s="2506">
        <v>0</v>
      </c>
      <c r="F423" s="2507">
        <v>-31542</v>
      </c>
      <c r="G423" s="2506">
        <v>284918</v>
      </c>
      <c r="H423" s="2507">
        <v>2995980</v>
      </c>
      <c r="I423" s="2508">
        <f t="shared" si="69"/>
        <v>3249356</v>
      </c>
      <c r="J423" s="2507"/>
      <c r="K423" s="2506"/>
      <c r="L423" s="2507"/>
      <c r="M423" s="2509">
        <f t="shared" si="71"/>
        <v>0</v>
      </c>
      <c r="N423" s="922"/>
      <c r="O423" s="922"/>
      <c r="P423" s="679"/>
      <c r="Q423" s="706"/>
      <c r="R423" s="109"/>
      <c r="S423" s="706"/>
      <c r="T423" s="708"/>
      <c r="U423" s="706"/>
      <c r="V423" s="706"/>
      <c r="W423" s="706"/>
      <c r="X423" s="706"/>
      <c r="Y423" s="706"/>
      <c r="Z423" s="706"/>
      <c r="AA423" s="706"/>
    </row>
    <row r="424" spans="2:27">
      <c r="B424" s="2503" t="s">
        <v>350</v>
      </c>
      <c r="C424" s="2504"/>
      <c r="D424" s="2505">
        <f t="shared" si="68"/>
        <v>0</v>
      </c>
      <c r="E424" s="2506"/>
      <c r="F424" s="2507"/>
      <c r="G424" s="2506"/>
      <c r="H424" s="2507"/>
      <c r="I424" s="2508">
        <f t="shared" si="69"/>
        <v>0</v>
      </c>
      <c r="J424" s="2507"/>
      <c r="K424" s="2506"/>
      <c r="L424" s="2507"/>
      <c r="M424" s="2509">
        <f t="shared" si="71"/>
        <v>0</v>
      </c>
      <c r="N424" s="922"/>
      <c r="O424" s="922"/>
      <c r="P424" s="679"/>
      <c r="Q424" s="706"/>
      <c r="R424" s="109"/>
      <c r="S424" s="706"/>
      <c r="T424" s="708"/>
      <c r="U424" s="706"/>
      <c r="V424" s="706"/>
      <c r="W424" s="706"/>
      <c r="X424" s="706"/>
      <c r="Y424" s="706"/>
      <c r="Z424" s="706"/>
      <c r="AA424" s="706"/>
    </row>
    <row r="425" spans="2:27">
      <c r="B425" s="2516" t="s">
        <v>351</v>
      </c>
      <c r="C425" s="2513"/>
      <c r="D425" s="2505">
        <f t="shared" si="68"/>
        <v>4895444</v>
      </c>
      <c r="E425" s="2506">
        <f>SUM(E419:E424)</f>
        <v>0</v>
      </c>
      <c r="F425" s="2507">
        <f>SUM(F419:F424)</f>
        <v>643922</v>
      </c>
      <c r="G425" s="2506">
        <f>SUM(G419:G424)</f>
        <v>916389</v>
      </c>
      <c r="H425" s="2507">
        <f>SUM(H419:H424)</f>
        <v>3335133</v>
      </c>
      <c r="I425" s="2508">
        <f t="shared" si="69"/>
        <v>4895444</v>
      </c>
      <c r="J425" s="2507">
        <f>SUM(J419:J424)</f>
        <v>0</v>
      </c>
      <c r="K425" s="2506">
        <f>SUM(K419:K424)</f>
        <v>0</v>
      </c>
      <c r="L425" s="2507">
        <f>SUM(L419:L424)</f>
        <v>0</v>
      </c>
      <c r="M425" s="2509">
        <f t="shared" si="71"/>
        <v>0</v>
      </c>
      <c r="N425" s="927"/>
      <c r="O425" s="922"/>
      <c r="P425" s="679"/>
      <c r="Q425" s="706"/>
      <c r="R425" s="109"/>
      <c r="S425" s="706"/>
      <c r="T425" s="708"/>
      <c r="U425" s="706"/>
      <c r="V425" s="706"/>
      <c r="W425" s="706"/>
      <c r="X425" s="706"/>
      <c r="Y425" s="706"/>
      <c r="Z425" s="706"/>
      <c r="AA425" s="706"/>
    </row>
    <row r="426" spans="2:27">
      <c r="B426" s="2503"/>
      <c r="C426" s="2504"/>
      <c r="D426" s="2505">
        <f t="shared" si="68"/>
        <v>0</v>
      </c>
      <c r="E426" s="2506"/>
      <c r="F426" s="2507"/>
      <c r="G426" s="2506"/>
      <c r="H426" s="2507"/>
      <c r="I426" s="2508">
        <f t="shared" si="69"/>
        <v>0</v>
      </c>
      <c r="J426" s="2507"/>
      <c r="K426" s="2506"/>
      <c r="L426" s="2507"/>
      <c r="M426" s="2509">
        <f t="shared" si="71"/>
        <v>0</v>
      </c>
      <c r="O426" s="922"/>
      <c r="P426" s="679"/>
      <c r="Q426" s="706"/>
      <c r="R426" s="109"/>
      <c r="S426" s="706"/>
      <c r="T426" s="708"/>
      <c r="U426" s="706"/>
      <c r="V426" s="706"/>
      <c r="W426" s="706"/>
      <c r="X426" s="706"/>
      <c r="Y426" s="706"/>
      <c r="Z426" s="706"/>
      <c r="AA426" s="706"/>
    </row>
    <row r="427" spans="2:27" ht="51">
      <c r="B427" s="2517" t="s">
        <v>352</v>
      </c>
      <c r="C427" s="2504"/>
      <c r="D427" s="2505">
        <f t="shared" si="68"/>
        <v>1098207</v>
      </c>
      <c r="E427" s="2506">
        <v>0</v>
      </c>
      <c r="F427" s="2507">
        <v>26857</v>
      </c>
      <c r="G427" s="2506">
        <v>217152</v>
      </c>
      <c r="H427" s="2507">
        <v>854198</v>
      </c>
      <c r="I427" s="2508">
        <f t="shared" si="69"/>
        <v>1098207</v>
      </c>
      <c r="J427" s="2507"/>
      <c r="K427" s="2506"/>
      <c r="L427" s="2507"/>
      <c r="M427" s="2509">
        <f t="shared" si="71"/>
        <v>0</v>
      </c>
      <c r="N427" s="922"/>
      <c r="O427" s="922"/>
      <c r="P427" s="679"/>
      <c r="Q427" s="706"/>
      <c r="R427" s="109"/>
      <c r="S427" s="706"/>
      <c r="T427" s="708"/>
      <c r="U427" s="706"/>
      <c r="V427" s="706"/>
      <c r="W427" s="706"/>
      <c r="X427" s="706"/>
      <c r="Y427" s="706"/>
      <c r="Z427" s="706"/>
      <c r="AA427" s="706"/>
    </row>
    <row r="428" spans="2:27">
      <c r="B428" s="2503"/>
      <c r="C428" s="2504"/>
      <c r="D428" s="2505">
        <f t="shared" si="68"/>
        <v>0</v>
      </c>
      <c r="E428" s="2506"/>
      <c r="F428" s="2507"/>
      <c r="G428" s="2506"/>
      <c r="H428" s="2507"/>
      <c r="I428" s="2508">
        <f t="shared" si="69"/>
        <v>0</v>
      </c>
      <c r="J428" s="2507"/>
      <c r="K428" s="2506"/>
      <c r="L428" s="2507"/>
      <c r="M428" s="2509">
        <f t="shared" si="71"/>
        <v>0</v>
      </c>
      <c r="N428" s="922"/>
      <c r="O428" s="922"/>
      <c r="P428" s="679"/>
      <c r="Q428" s="706"/>
      <c r="R428" s="109"/>
      <c r="S428" s="706"/>
      <c r="T428" s="708"/>
      <c r="U428" s="706"/>
      <c r="V428" s="706"/>
      <c r="W428" s="706"/>
      <c r="X428" s="706"/>
      <c r="Y428" s="706"/>
      <c r="Z428" s="706"/>
      <c r="AA428" s="706"/>
    </row>
    <row r="429" spans="2:27" ht="15.75" customHeight="1">
      <c r="B429" s="2517" t="s">
        <v>353</v>
      </c>
      <c r="C429" s="2504">
        <v>4</v>
      </c>
      <c r="D429" s="2505">
        <f t="shared" si="68"/>
        <v>1694018</v>
      </c>
      <c r="E429" s="2506">
        <v>22284.729719999945</v>
      </c>
      <c r="F429" s="2507">
        <v>233053</v>
      </c>
      <c r="G429" s="2506">
        <v>487278.27028</v>
      </c>
      <c r="H429" s="2507">
        <v>951402</v>
      </c>
      <c r="I429" s="2508">
        <f t="shared" si="69"/>
        <v>1671733.2702800001</v>
      </c>
      <c r="J429" s="2507"/>
      <c r="K429" s="2506"/>
      <c r="L429" s="2507"/>
      <c r="M429" s="2509">
        <f t="shared" si="71"/>
        <v>0</v>
      </c>
      <c r="N429" s="922"/>
      <c r="O429" s="922"/>
      <c r="P429" s="679"/>
      <c r="Q429" s="706"/>
      <c r="R429" s="109"/>
      <c r="S429" s="706"/>
      <c r="T429" s="708"/>
      <c r="U429" s="706"/>
      <c r="V429" s="706"/>
      <c r="W429" s="706"/>
      <c r="X429" s="706"/>
      <c r="Y429" s="706"/>
      <c r="Z429" s="706"/>
      <c r="AA429" s="706"/>
    </row>
    <row r="430" spans="2:27">
      <c r="B430" s="2503" t="s">
        <v>354</v>
      </c>
      <c r="C430" s="2504"/>
      <c r="D430" s="2505">
        <f t="shared" si="68"/>
        <v>0</v>
      </c>
      <c r="E430" s="2506"/>
      <c r="F430" s="2507"/>
      <c r="G430" s="2506"/>
      <c r="H430" s="2507"/>
      <c r="I430" s="2508">
        <f t="shared" si="69"/>
        <v>0</v>
      </c>
      <c r="J430" s="2507"/>
      <c r="K430" s="2506"/>
      <c r="L430" s="2507"/>
      <c r="M430" s="2509">
        <f t="shared" si="71"/>
        <v>0</v>
      </c>
      <c r="N430" s="922"/>
      <c r="O430" s="922"/>
      <c r="P430" s="679"/>
      <c r="Q430" s="706"/>
      <c r="R430" s="109"/>
      <c r="S430" s="706"/>
      <c r="T430" s="708"/>
      <c r="U430" s="706"/>
      <c r="V430" s="706"/>
      <c r="W430" s="706"/>
      <c r="X430" s="706"/>
      <c r="Y430" s="706"/>
      <c r="Z430" s="706"/>
      <c r="AA430" s="706"/>
    </row>
    <row r="431" spans="2:27">
      <c r="B431" s="2503" t="s">
        <v>355</v>
      </c>
      <c r="C431" s="2504"/>
      <c r="D431" s="2505">
        <f t="shared" si="68"/>
        <v>86557</v>
      </c>
      <c r="E431" s="2506">
        <v>2045</v>
      </c>
      <c r="F431" s="2507">
        <v>6339</v>
      </c>
      <c r="G431" s="2506">
        <v>34826</v>
      </c>
      <c r="H431" s="2507">
        <v>43347</v>
      </c>
      <c r="I431" s="2508">
        <f t="shared" si="69"/>
        <v>84512</v>
      </c>
      <c r="J431" s="2507"/>
      <c r="K431" s="2506"/>
      <c r="L431" s="2507"/>
      <c r="M431" s="2509">
        <f t="shared" si="71"/>
        <v>0</v>
      </c>
      <c r="N431" s="922"/>
      <c r="O431" s="922"/>
      <c r="P431" s="679"/>
      <c r="Q431" s="706"/>
      <c r="R431" s="109"/>
      <c r="S431" s="706"/>
      <c r="T431" s="708"/>
      <c r="U431" s="706"/>
      <c r="V431" s="706"/>
      <c r="W431" s="706"/>
      <c r="X431" s="706"/>
      <c r="Y431" s="706"/>
      <c r="Z431" s="706"/>
      <c r="AA431" s="706"/>
    </row>
    <row r="432" spans="2:27">
      <c r="B432" s="2516" t="s">
        <v>356</v>
      </c>
      <c r="C432" s="2513"/>
      <c r="D432" s="2505">
        <f t="shared" si="68"/>
        <v>1780575</v>
      </c>
      <c r="E432" s="2506">
        <f>SUM(E429:E431)</f>
        <v>24329.729719999945</v>
      </c>
      <c r="F432" s="2507">
        <f>SUM(F429:F431)</f>
        <v>239392</v>
      </c>
      <c r="G432" s="2506">
        <f>SUM(G429:G431)</f>
        <v>522104.27028</v>
      </c>
      <c r="H432" s="2507">
        <f>SUM(H429:H431)</f>
        <v>994749</v>
      </c>
      <c r="I432" s="2508">
        <f t="shared" si="69"/>
        <v>1756245.2702800001</v>
      </c>
      <c r="J432" s="2507">
        <f>SUM(J429:J431)</f>
        <v>0</v>
      </c>
      <c r="K432" s="2506">
        <f>SUM(K429:K431)</f>
        <v>0</v>
      </c>
      <c r="L432" s="2507">
        <f>SUM(L429:L431)</f>
        <v>0</v>
      </c>
      <c r="M432" s="2509">
        <f t="shared" si="71"/>
        <v>0</v>
      </c>
      <c r="N432" s="927"/>
      <c r="O432" s="922"/>
      <c r="P432" s="679"/>
      <c r="Q432" s="706"/>
      <c r="R432" s="109"/>
      <c r="S432" s="706"/>
      <c r="T432" s="708"/>
      <c r="U432" s="706"/>
      <c r="V432" s="706"/>
      <c r="W432" s="706"/>
      <c r="X432" s="706"/>
      <c r="Y432" s="706"/>
      <c r="Z432" s="706"/>
      <c r="AA432" s="706"/>
    </row>
    <row r="433" spans="1:27">
      <c r="B433" s="2516"/>
      <c r="C433" s="2513"/>
      <c r="D433" s="2505">
        <f t="shared" si="68"/>
        <v>0</v>
      </c>
      <c r="E433" s="2506"/>
      <c r="F433" s="2507"/>
      <c r="G433" s="2506"/>
      <c r="H433" s="2507"/>
      <c r="I433" s="2508">
        <f t="shared" si="69"/>
        <v>0</v>
      </c>
      <c r="J433" s="2507"/>
      <c r="K433" s="2506"/>
      <c r="L433" s="2507"/>
      <c r="M433" s="2509">
        <f t="shared" si="71"/>
        <v>0</v>
      </c>
      <c r="P433" s="679"/>
      <c r="Q433" s="706"/>
      <c r="R433" s="109"/>
      <c r="S433" s="706"/>
      <c r="T433" s="708"/>
      <c r="U433" s="706"/>
      <c r="V433" s="706"/>
      <c r="W433" s="706"/>
      <c r="X433" s="706"/>
      <c r="Y433" s="706"/>
      <c r="Z433" s="706"/>
      <c r="AA433" s="706"/>
    </row>
    <row r="434" spans="1:27">
      <c r="B434" s="2516" t="s">
        <v>357</v>
      </c>
      <c r="C434" s="2513"/>
      <c r="D434" s="2505">
        <f t="shared" si="68"/>
        <v>1452211</v>
      </c>
      <c r="E434" s="2506">
        <f>E417-E425-E427-E432</f>
        <v>472210.63256000006</v>
      </c>
      <c r="F434" s="2507">
        <f>F417-F425-F427-F432</f>
        <v>9200</v>
      </c>
      <c r="G434" s="2506">
        <f>G417-G425-G427-G432</f>
        <v>423249.72972</v>
      </c>
      <c r="H434" s="2507">
        <f>H417-H425-H427-H432</f>
        <v>547550.63772</v>
      </c>
      <c r="I434" s="2508">
        <f t="shared" si="69"/>
        <v>980000.36743999994</v>
      </c>
      <c r="J434" s="2507">
        <f>J417-J425-J427-J432</f>
        <v>0</v>
      </c>
      <c r="K434" s="2506">
        <f>K417-K425-K427-K432</f>
        <v>0</v>
      </c>
      <c r="L434" s="2507">
        <f>L417-L425-L427-L432</f>
        <v>0</v>
      </c>
      <c r="M434" s="2509">
        <f t="shared" si="71"/>
        <v>0</v>
      </c>
      <c r="N434" s="927"/>
      <c r="O434" s="922"/>
      <c r="P434" s="679"/>
      <c r="Q434" s="706"/>
      <c r="R434" s="109"/>
      <c r="S434" s="706"/>
      <c r="T434" s="708"/>
      <c r="U434" s="706"/>
      <c r="V434" s="706"/>
      <c r="W434" s="706"/>
      <c r="X434" s="706"/>
      <c r="Y434" s="706"/>
      <c r="Z434" s="706"/>
      <c r="AA434" s="706"/>
    </row>
    <row r="435" spans="1:27">
      <c r="B435" s="2503" t="s">
        <v>358</v>
      </c>
      <c r="C435" s="2504"/>
      <c r="D435" s="2505">
        <f t="shared" si="68"/>
        <v>451712</v>
      </c>
      <c r="E435" s="2514">
        <v>451712</v>
      </c>
      <c r="F435" s="2507"/>
      <c r="G435" s="2506"/>
      <c r="H435" s="2507"/>
      <c r="I435" s="2508">
        <f t="shared" si="69"/>
        <v>0</v>
      </c>
      <c r="J435" s="2507"/>
      <c r="K435" s="2506"/>
      <c r="L435" s="2507"/>
      <c r="M435" s="2509">
        <f t="shared" si="71"/>
        <v>0</v>
      </c>
      <c r="N435" s="922"/>
      <c r="O435" s="922"/>
      <c r="P435" s="679"/>
      <c r="Q435" s="706"/>
      <c r="R435" s="109"/>
      <c r="S435" s="706"/>
      <c r="T435" s="708"/>
      <c r="U435" s="706"/>
      <c r="V435" s="706"/>
      <c r="W435" s="706"/>
      <c r="X435" s="706"/>
      <c r="Y435" s="706"/>
      <c r="Z435" s="706"/>
      <c r="AA435" s="706"/>
    </row>
    <row r="436" spans="1:27">
      <c r="B436" s="2503"/>
      <c r="C436" s="2504"/>
      <c r="D436" s="2505">
        <f t="shared" si="68"/>
        <v>0</v>
      </c>
      <c r="E436" s="2506"/>
      <c r="F436" s="2507"/>
      <c r="G436" s="2506"/>
      <c r="H436" s="2507"/>
      <c r="I436" s="2508">
        <f t="shared" si="69"/>
        <v>0</v>
      </c>
      <c r="J436" s="2507"/>
      <c r="K436" s="2506"/>
      <c r="L436" s="2507"/>
      <c r="M436" s="2509">
        <f t="shared" si="71"/>
        <v>0</v>
      </c>
      <c r="P436" s="679"/>
      <c r="Q436" s="706"/>
      <c r="R436" s="109"/>
      <c r="S436" s="706"/>
      <c r="T436" s="708"/>
      <c r="U436" s="706"/>
      <c r="V436" s="706"/>
      <c r="W436" s="706"/>
      <c r="X436" s="706"/>
      <c r="Y436" s="706"/>
      <c r="Z436" s="706"/>
      <c r="AA436" s="706"/>
    </row>
    <row r="437" spans="1:27" ht="13.5" thickBot="1">
      <c r="B437" s="1646" t="s">
        <v>359</v>
      </c>
      <c r="C437" s="1647"/>
      <c r="D437" s="1648">
        <f t="shared" si="68"/>
        <v>1000499</v>
      </c>
      <c r="E437" s="1649">
        <f>E434-E435</f>
        <v>20498.632560000056</v>
      </c>
      <c r="F437" s="1648">
        <f>F434-F435</f>
        <v>9200</v>
      </c>
      <c r="G437" s="1649">
        <f>G434-G435</f>
        <v>423249.72972</v>
      </c>
      <c r="H437" s="1648">
        <f>H434-H435</f>
        <v>547550.63772</v>
      </c>
      <c r="I437" s="1649">
        <f t="shared" si="69"/>
        <v>980000.36743999994</v>
      </c>
      <c r="J437" s="1648">
        <f>J434-J435</f>
        <v>0</v>
      </c>
      <c r="K437" s="1649">
        <f>K434-K435</f>
        <v>0</v>
      </c>
      <c r="L437" s="1648">
        <f>L434-L435</f>
        <v>0</v>
      </c>
      <c r="M437" s="1650">
        <f t="shared" si="71"/>
        <v>0</v>
      </c>
      <c r="N437" s="927"/>
      <c r="O437" s="922"/>
      <c r="P437" s="679"/>
      <c r="Q437" s="706"/>
      <c r="R437" s="109"/>
      <c r="S437" s="706"/>
      <c r="T437" s="708"/>
      <c r="U437" s="706"/>
      <c r="V437" s="706"/>
      <c r="W437" s="706"/>
      <c r="X437" s="706"/>
      <c r="Y437" s="706"/>
      <c r="Z437" s="706"/>
      <c r="AA437" s="706"/>
    </row>
    <row r="438" spans="1:27">
      <c r="R438" s="109"/>
      <c r="S438" s="706"/>
      <c r="T438" s="706"/>
      <c r="U438" s="706"/>
      <c r="V438" s="706"/>
      <c r="W438" s="706"/>
      <c r="X438" s="706"/>
      <c r="Y438" s="706"/>
      <c r="Z438" s="706"/>
      <c r="AA438" s="706"/>
    </row>
    <row r="439" spans="1:27">
      <c r="D439" s="684"/>
      <c r="E439" s="684"/>
      <c r="F439" s="684"/>
      <c r="G439" s="684"/>
      <c r="H439" s="684"/>
      <c r="I439" s="684"/>
      <c r="M439" s="673">
        <v>55</v>
      </c>
      <c r="O439" s="943"/>
      <c r="R439" s="109"/>
      <c r="S439" s="706"/>
      <c r="T439" s="706"/>
      <c r="U439" s="706"/>
      <c r="V439" s="706"/>
      <c r="W439" s="706"/>
      <c r="X439" s="706"/>
      <c r="Y439" s="706"/>
      <c r="Z439" s="706"/>
      <c r="AA439" s="706"/>
    </row>
    <row r="440" spans="1:27">
      <c r="R440" s="109"/>
    </row>
    <row r="441" spans="1:27" ht="13.5" thickBot="1">
      <c r="L441" s="913"/>
      <c r="R441" s="109"/>
    </row>
    <row r="442" spans="1:27" ht="12.75" customHeight="1" thickBot="1">
      <c r="A442" s="1626" t="s">
        <v>187</v>
      </c>
      <c r="B442" s="1368" t="s">
        <v>132</v>
      </c>
      <c r="C442" s="912"/>
      <c r="L442" s="3538" t="s">
        <v>251</v>
      </c>
      <c r="M442" s="3538"/>
      <c r="R442" s="109"/>
    </row>
    <row r="443" spans="1:27" ht="17.25" customHeight="1" thickBot="1">
      <c r="B443" s="3578" t="s">
        <v>132</v>
      </c>
      <c r="C443" s="3523" t="s">
        <v>325</v>
      </c>
      <c r="D443" s="3518" t="s">
        <v>255</v>
      </c>
      <c r="E443" s="3518" t="s">
        <v>326</v>
      </c>
      <c r="F443" s="3574" t="s">
        <v>258</v>
      </c>
      <c r="G443" s="3574"/>
      <c r="H443" s="3574"/>
      <c r="I443" s="3574"/>
      <c r="J443" s="3574"/>
      <c r="K443" s="3574"/>
      <c r="L443" s="3574"/>
      <c r="M443" s="3574"/>
      <c r="R443" s="109"/>
    </row>
    <row r="444" spans="1:27" ht="17.25" customHeight="1">
      <c r="B444" s="3571"/>
      <c r="C444" s="3524"/>
      <c r="D444" s="3520"/>
      <c r="E444" s="3520"/>
      <c r="F444" s="3575" t="s">
        <v>259</v>
      </c>
      <c r="G444" s="3576"/>
      <c r="H444" s="3576"/>
      <c r="I444" s="3577"/>
      <c r="J444" s="3574" t="s">
        <v>327</v>
      </c>
      <c r="K444" s="3574"/>
      <c r="L444" s="3574"/>
      <c r="M444" s="3574"/>
      <c r="R444" s="109"/>
    </row>
    <row r="445" spans="1:27" ht="43.5" customHeight="1" thickBot="1">
      <c r="B445" s="3571"/>
      <c r="C445" s="3524"/>
      <c r="D445" s="3519"/>
      <c r="E445" s="3519"/>
      <c r="F445" s="1339" t="s">
        <v>261</v>
      </c>
      <c r="G445" s="1339" t="s">
        <v>262</v>
      </c>
      <c r="H445" s="1339" t="s">
        <v>263</v>
      </c>
      <c r="I445" s="1339" t="s">
        <v>158</v>
      </c>
      <c r="J445" s="1588" t="s">
        <v>328</v>
      </c>
      <c r="K445" s="1588" t="s">
        <v>265</v>
      </c>
      <c r="L445" s="1588" t="s">
        <v>329</v>
      </c>
      <c r="M445" s="1588" t="s">
        <v>158</v>
      </c>
      <c r="R445" s="109"/>
    </row>
    <row r="446" spans="1:27" ht="14.25" customHeight="1" thickBot="1">
      <c r="B446" s="3571"/>
      <c r="C446" s="3524"/>
      <c r="D446" s="1589">
        <v>1</v>
      </c>
      <c r="E446" s="3518">
        <v>2</v>
      </c>
      <c r="F446" s="3518">
        <v>3</v>
      </c>
      <c r="G446" s="3518">
        <v>4</v>
      </c>
      <c r="H446" s="3518">
        <v>5</v>
      </c>
      <c r="I446" s="1589">
        <v>6</v>
      </c>
      <c r="J446" s="3518">
        <v>7</v>
      </c>
      <c r="K446" s="3518">
        <v>8</v>
      </c>
      <c r="L446" s="3518">
        <v>9</v>
      </c>
      <c r="M446" s="1589">
        <v>10</v>
      </c>
      <c r="R446" s="109"/>
    </row>
    <row r="447" spans="1:27" ht="18" customHeight="1" thickBot="1">
      <c r="B447" s="3572"/>
      <c r="C447" s="3525"/>
      <c r="D447" s="1590" t="s">
        <v>330</v>
      </c>
      <c r="E447" s="3519"/>
      <c r="F447" s="3519"/>
      <c r="G447" s="3519"/>
      <c r="H447" s="3519"/>
      <c r="I447" s="1590" t="s">
        <v>331</v>
      </c>
      <c r="J447" s="3519"/>
      <c r="K447" s="3519"/>
      <c r="L447" s="3519"/>
      <c r="M447" s="1590" t="s">
        <v>332</v>
      </c>
      <c r="N447" s="703"/>
      <c r="O447" s="703"/>
      <c r="R447" s="109"/>
      <c r="T447" s="708"/>
    </row>
    <row r="448" spans="1:27">
      <c r="B448" s="1591" t="s">
        <v>333</v>
      </c>
      <c r="C448" s="985"/>
      <c r="D448" s="1592">
        <f t="shared" ref="D448:D485" si="72">E448+I448+M448</f>
        <v>5459706.7219799999</v>
      </c>
      <c r="E448" s="982">
        <v>0</v>
      </c>
      <c r="F448" s="963">
        <v>73969.255999999994</v>
      </c>
      <c r="G448" s="982">
        <v>3505828.2579799998</v>
      </c>
      <c r="H448" s="963">
        <v>1879909.2080000001</v>
      </c>
      <c r="I448" s="1636">
        <f t="shared" ref="I448:I485" si="73">F448+G448+H448</f>
        <v>5459706.7219799999</v>
      </c>
      <c r="J448" s="963"/>
      <c r="K448" s="982"/>
      <c r="L448" s="963"/>
      <c r="M448" s="1637">
        <f t="shared" ref="M448:M465" si="74">L448+K448+J448</f>
        <v>0</v>
      </c>
      <c r="N448" s="922"/>
      <c r="O448" s="922"/>
      <c r="P448" s="679"/>
      <c r="Q448" s="706"/>
      <c r="R448" s="944"/>
      <c r="S448" s="706"/>
      <c r="T448" s="708"/>
      <c r="U448" s="706"/>
      <c r="V448" s="706"/>
      <c r="W448" s="706"/>
      <c r="X448" s="706"/>
      <c r="Y448" s="706"/>
      <c r="Z448" s="706"/>
      <c r="AA448" s="706"/>
    </row>
    <row r="449" spans="2:27">
      <c r="B449" s="2460"/>
      <c r="C449" s="2498"/>
      <c r="D449" s="2481">
        <f t="shared" si="72"/>
        <v>0</v>
      </c>
      <c r="E449" s="2252"/>
      <c r="F449" s="2471"/>
      <c r="G449" s="2252"/>
      <c r="H449" s="2471"/>
      <c r="I449" s="2499">
        <f t="shared" si="73"/>
        <v>0</v>
      </c>
      <c r="J449" s="2471"/>
      <c r="K449" s="2252"/>
      <c r="L449" s="2471"/>
      <c r="M449" s="2500">
        <f t="shared" si="74"/>
        <v>0</v>
      </c>
      <c r="P449" s="679"/>
      <c r="Q449" s="706"/>
      <c r="R449" s="944"/>
      <c r="S449" s="706"/>
      <c r="T449" s="708"/>
      <c r="U449" s="706"/>
      <c r="V449" s="706"/>
      <c r="W449" s="706"/>
      <c r="X449" s="706"/>
      <c r="Y449" s="706"/>
      <c r="Z449" s="706"/>
      <c r="AA449" s="706"/>
    </row>
    <row r="450" spans="2:27">
      <c r="B450" s="2462" t="s">
        <v>334</v>
      </c>
      <c r="C450" s="2498"/>
      <c r="D450" s="2481">
        <f t="shared" si="72"/>
        <v>211961.27713999999</v>
      </c>
      <c r="E450" s="2252">
        <v>0</v>
      </c>
      <c r="F450" s="2471">
        <v>1329.5180899999998</v>
      </c>
      <c r="G450" s="2252">
        <v>153240.61494999999</v>
      </c>
      <c r="H450" s="2471">
        <v>57391.144100000005</v>
      </c>
      <c r="I450" s="2499">
        <f t="shared" si="73"/>
        <v>211961.27713999999</v>
      </c>
      <c r="J450" s="2471"/>
      <c r="K450" s="2252"/>
      <c r="L450" s="2471"/>
      <c r="M450" s="2500">
        <f t="shared" si="74"/>
        <v>0</v>
      </c>
      <c r="N450" s="922"/>
      <c r="O450" s="922"/>
      <c r="P450" s="679"/>
      <c r="Q450" s="706"/>
      <c r="R450" s="944"/>
      <c r="S450" s="706"/>
      <c r="T450" s="708"/>
      <c r="U450" s="706"/>
      <c r="V450" s="706"/>
      <c r="W450" s="706"/>
      <c r="X450" s="706"/>
      <c r="Y450" s="706"/>
      <c r="Z450" s="706"/>
      <c r="AA450" s="706"/>
    </row>
    <row r="451" spans="2:27">
      <c r="B451" s="2462"/>
      <c r="C451" s="2498"/>
      <c r="D451" s="2481">
        <f t="shared" si="72"/>
        <v>0</v>
      </c>
      <c r="E451" s="2252"/>
      <c r="F451" s="2471"/>
      <c r="G451" s="2252"/>
      <c r="H451" s="2471"/>
      <c r="I451" s="2499">
        <f t="shared" si="73"/>
        <v>0</v>
      </c>
      <c r="J451" s="2471"/>
      <c r="K451" s="2252"/>
      <c r="L451" s="2471"/>
      <c r="M451" s="2500">
        <f t="shared" si="74"/>
        <v>0</v>
      </c>
      <c r="P451" s="679"/>
      <c r="Q451" s="706"/>
      <c r="R451" s="944"/>
      <c r="S451" s="706"/>
      <c r="T451" s="708"/>
      <c r="U451" s="706"/>
      <c r="V451" s="706"/>
      <c r="W451" s="706"/>
      <c r="X451" s="706"/>
      <c r="Y451" s="706"/>
      <c r="Z451" s="706"/>
      <c r="AA451" s="706"/>
    </row>
    <row r="452" spans="2:27" ht="12.75" customHeight="1">
      <c r="B452" s="2463" t="s">
        <v>335</v>
      </c>
      <c r="C452" s="2498"/>
      <c r="D452" s="2481">
        <f t="shared" si="72"/>
        <v>0</v>
      </c>
      <c r="E452" s="2252">
        <v>0</v>
      </c>
      <c r="F452" s="2471">
        <v>0</v>
      </c>
      <c r="G452" s="2252">
        <v>0</v>
      </c>
      <c r="H452" s="2471"/>
      <c r="I452" s="2499">
        <f t="shared" si="73"/>
        <v>0</v>
      </c>
      <c r="J452" s="2471"/>
      <c r="K452" s="2252"/>
      <c r="L452" s="2471"/>
      <c r="M452" s="2500">
        <f t="shared" si="74"/>
        <v>0</v>
      </c>
      <c r="N452" s="922"/>
      <c r="O452" s="922"/>
      <c r="P452" s="679"/>
      <c r="Q452" s="706"/>
      <c r="R452" s="944"/>
      <c r="S452" s="706"/>
      <c r="T452" s="708"/>
      <c r="U452" s="706"/>
      <c r="V452" s="706"/>
      <c r="W452" s="706"/>
      <c r="X452" s="706"/>
      <c r="Y452" s="706"/>
      <c r="Z452" s="706"/>
      <c r="AA452" s="706"/>
    </row>
    <row r="453" spans="2:27">
      <c r="B453" s="2460"/>
      <c r="C453" s="2498"/>
      <c r="D453" s="2481">
        <f t="shared" si="72"/>
        <v>0</v>
      </c>
      <c r="E453" s="2252"/>
      <c r="F453" s="2471"/>
      <c r="G453" s="2252"/>
      <c r="H453" s="2471"/>
      <c r="I453" s="2499">
        <f t="shared" si="73"/>
        <v>0</v>
      </c>
      <c r="J453" s="2471"/>
      <c r="K453" s="2252"/>
      <c r="L453" s="2471"/>
      <c r="M453" s="2500">
        <f t="shared" si="74"/>
        <v>0</v>
      </c>
      <c r="P453" s="679"/>
      <c r="Q453" s="706"/>
      <c r="R453" s="944"/>
      <c r="S453" s="706"/>
      <c r="T453" s="708"/>
      <c r="U453" s="706"/>
      <c r="V453" s="706"/>
      <c r="W453" s="706"/>
      <c r="X453" s="706"/>
      <c r="Y453" s="706"/>
      <c r="Z453" s="706"/>
      <c r="AA453" s="706"/>
    </row>
    <row r="454" spans="2:27">
      <c r="B454" s="2464" t="s">
        <v>336</v>
      </c>
      <c r="C454" s="2501"/>
      <c r="D454" s="2481">
        <f t="shared" si="72"/>
        <v>5247745.44484</v>
      </c>
      <c r="E454" s="2252">
        <f>E448-E450+E452</f>
        <v>0</v>
      </c>
      <c r="F454" s="2471">
        <f>F448-F450+F452</f>
        <v>72639.737909999996</v>
      </c>
      <c r="G454" s="2252">
        <f>G448-G450+G452</f>
        <v>3352587.6430299999</v>
      </c>
      <c r="H454" s="2471">
        <f>H448-H450+H452</f>
        <v>1822518.0639000002</v>
      </c>
      <c r="I454" s="2499">
        <f t="shared" si="73"/>
        <v>5247745.44484</v>
      </c>
      <c r="J454" s="2471">
        <f>J448-J450+J452</f>
        <v>0</v>
      </c>
      <c r="K454" s="2252">
        <f>K448-K450+K452</f>
        <v>0</v>
      </c>
      <c r="L454" s="2471">
        <f>L448-L450+L452</f>
        <v>0</v>
      </c>
      <c r="M454" s="2500">
        <f t="shared" si="74"/>
        <v>0</v>
      </c>
      <c r="N454" s="927"/>
      <c r="O454" s="922"/>
      <c r="P454" s="679"/>
      <c r="Q454" s="706"/>
      <c r="R454" s="944"/>
      <c r="S454" s="706"/>
      <c r="T454" s="708"/>
      <c r="U454" s="706"/>
      <c r="V454" s="706"/>
      <c r="W454" s="706"/>
      <c r="X454" s="706"/>
      <c r="Y454" s="706"/>
      <c r="Z454" s="706"/>
      <c r="AA454" s="706"/>
    </row>
    <row r="455" spans="2:27">
      <c r="B455" s="2464"/>
      <c r="C455" s="2501"/>
      <c r="D455" s="2481">
        <f t="shared" si="72"/>
        <v>0</v>
      </c>
      <c r="E455" s="2252"/>
      <c r="F455" s="2471"/>
      <c r="G455" s="2252"/>
      <c r="H455" s="2471"/>
      <c r="I455" s="2499">
        <f t="shared" si="73"/>
        <v>0</v>
      </c>
      <c r="J455" s="2471"/>
      <c r="K455" s="2252"/>
      <c r="L455" s="2471"/>
      <c r="M455" s="2500">
        <f t="shared" si="74"/>
        <v>0</v>
      </c>
      <c r="P455" s="679"/>
      <c r="Q455" s="706"/>
      <c r="R455" s="944"/>
      <c r="S455" s="706"/>
      <c r="T455" s="708"/>
      <c r="U455" s="706"/>
      <c r="V455" s="706"/>
      <c r="W455" s="706"/>
      <c r="X455" s="706"/>
      <c r="Y455" s="706"/>
      <c r="Z455" s="706"/>
      <c r="AA455" s="706"/>
    </row>
    <row r="456" spans="2:27">
      <c r="B456" s="2464" t="s">
        <v>337</v>
      </c>
      <c r="C456" s="2501"/>
      <c r="D456" s="2481">
        <f t="shared" si="72"/>
        <v>2017622.4988499999</v>
      </c>
      <c r="E456" s="2252">
        <f>SUM(E457:E461)</f>
        <v>892299.38930999977</v>
      </c>
      <c r="F456" s="2471">
        <f>SUM(F457:F461)</f>
        <v>-161488.98626999996</v>
      </c>
      <c r="G456" s="2252">
        <f>SUM(G457:G461)</f>
        <v>663075.79627000017</v>
      </c>
      <c r="H456" s="2471">
        <f>SUM(H457:H461)</f>
        <v>623736.29954000004</v>
      </c>
      <c r="I456" s="2499">
        <f t="shared" si="73"/>
        <v>1125323.1095400001</v>
      </c>
      <c r="J456" s="2471">
        <f>SUM(J457:J461)</f>
        <v>0</v>
      </c>
      <c r="K456" s="2252">
        <f>SUM(K457:K461)</f>
        <v>0</v>
      </c>
      <c r="L456" s="2471">
        <f>SUM(L457:L461)</f>
        <v>0</v>
      </c>
      <c r="M456" s="2500">
        <f t="shared" si="74"/>
        <v>0</v>
      </c>
      <c r="N456" s="927"/>
      <c r="O456" s="922"/>
      <c r="P456" s="679"/>
      <c r="Q456" s="706"/>
      <c r="R456" s="944"/>
      <c r="S456" s="706"/>
      <c r="T456" s="708"/>
      <c r="U456" s="706"/>
      <c r="V456" s="706"/>
      <c r="W456" s="706"/>
      <c r="X456" s="706"/>
      <c r="Y456" s="706"/>
      <c r="Z456" s="706"/>
      <c r="AA456" s="706"/>
    </row>
    <row r="457" spans="2:27">
      <c r="B457" s="2460" t="s">
        <v>338</v>
      </c>
      <c r="C457" s="2498">
        <v>1</v>
      </c>
      <c r="D457" s="2481">
        <f t="shared" si="72"/>
        <v>1918517.85647</v>
      </c>
      <c r="E457" s="2252">
        <v>613009.76756999991</v>
      </c>
      <c r="F457" s="2471">
        <v>145829.05387</v>
      </c>
      <c r="G457" s="2252">
        <v>566017.55879000016</v>
      </c>
      <c r="H457" s="2471">
        <v>593661.47623999999</v>
      </c>
      <c r="I457" s="2499">
        <f t="shared" si="73"/>
        <v>1305508.0889000001</v>
      </c>
      <c r="J457" s="2471"/>
      <c r="K457" s="2252"/>
      <c r="L457" s="2471"/>
      <c r="M457" s="2500">
        <f t="shared" si="74"/>
        <v>0</v>
      </c>
      <c r="N457" s="922"/>
      <c r="O457" s="922"/>
      <c r="P457" s="679"/>
      <c r="Q457" s="706"/>
      <c r="R457" s="944"/>
      <c r="S457" s="706"/>
      <c r="T457" s="708"/>
      <c r="U457" s="706"/>
      <c r="V457" s="706"/>
      <c r="W457" s="706"/>
      <c r="X457" s="706"/>
      <c r="Y457" s="706"/>
      <c r="Z457" s="706"/>
      <c r="AA457" s="706"/>
    </row>
    <row r="458" spans="2:27">
      <c r="B458" s="2460" t="s">
        <v>339</v>
      </c>
      <c r="C458" s="2498">
        <v>2</v>
      </c>
      <c r="D458" s="2481">
        <f t="shared" si="72"/>
        <v>102399.40367</v>
      </c>
      <c r="E458" s="2252">
        <v>0</v>
      </c>
      <c r="F458" s="2471">
        <v>294.14</v>
      </c>
      <c r="G458" s="2252">
        <v>86386.148669999995</v>
      </c>
      <c r="H458" s="2471">
        <v>15719.115</v>
      </c>
      <c r="I458" s="2499">
        <f t="shared" si="73"/>
        <v>102399.40367</v>
      </c>
      <c r="J458" s="2471"/>
      <c r="K458" s="2252"/>
      <c r="L458" s="2471"/>
      <c r="M458" s="2500">
        <f t="shared" si="74"/>
        <v>0</v>
      </c>
      <c r="N458" s="922"/>
      <c r="O458" s="922"/>
      <c r="P458" s="679"/>
      <c r="Q458" s="706"/>
      <c r="R458" s="944"/>
      <c r="S458" s="706"/>
      <c r="T458" s="708"/>
      <c r="U458" s="706"/>
      <c r="V458" s="706"/>
      <c r="W458" s="706"/>
      <c r="X458" s="706"/>
      <c r="Y458" s="706"/>
      <c r="Z458" s="706"/>
      <c r="AA458" s="706"/>
    </row>
    <row r="459" spans="2:27">
      <c r="B459" s="2460" t="s">
        <v>340</v>
      </c>
      <c r="C459" s="2498"/>
      <c r="D459" s="2481">
        <f t="shared" si="72"/>
        <v>235138.87042000002</v>
      </c>
      <c r="E459" s="2252">
        <v>36310.266080000001</v>
      </c>
      <c r="F459" s="2471">
        <v>68.944779999999994</v>
      </c>
      <c r="G459" s="2252">
        <v>95506.621710000007</v>
      </c>
      <c r="H459" s="2471">
        <v>103253.03784999999</v>
      </c>
      <c r="I459" s="2499">
        <f t="shared" si="73"/>
        <v>198828.60434000002</v>
      </c>
      <c r="J459" s="2471"/>
      <c r="K459" s="2252"/>
      <c r="L459" s="2471"/>
      <c r="M459" s="2500">
        <f t="shared" si="74"/>
        <v>0</v>
      </c>
      <c r="N459" s="922"/>
      <c r="O459" s="922"/>
      <c r="P459" s="679"/>
      <c r="Q459" s="706"/>
      <c r="R459" s="944"/>
      <c r="S459" s="706"/>
      <c r="T459" s="708"/>
      <c r="U459" s="706"/>
      <c r="V459" s="706"/>
      <c r="W459" s="706"/>
      <c r="X459" s="706"/>
      <c r="Y459" s="706"/>
      <c r="Z459" s="706"/>
      <c r="AA459" s="706"/>
    </row>
    <row r="460" spans="2:27">
      <c r="B460" s="2460" t="s">
        <v>341</v>
      </c>
      <c r="C460" s="2498"/>
      <c r="D460" s="2481">
        <f t="shared" si="72"/>
        <v>-543818.81299999997</v>
      </c>
      <c r="E460" s="2252">
        <v>-51354.54636</v>
      </c>
      <c r="F460" s="2471">
        <v>-307708.32199999999</v>
      </c>
      <c r="G460" s="2252">
        <v>-95541.34798999998</v>
      </c>
      <c r="H460" s="2471">
        <v>-89214.596649999992</v>
      </c>
      <c r="I460" s="2499">
        <f t="shared" si="73"/>
        <v>-492464.26663999993</v>
      </c>
      <c r="J460" s="2471"/>
      <c r="K460" s="2252"/>
      <c r="L460" s="2471"/>
      <c r="M460" s="2500">
        <f t="shared" si="74"/>
        <v>0</v>
      </c>
      <c r="N460" s="922"/>
      <c r="O460" s="922"/>
      <c r="P460" s="679"/>
      <c r="Q460" s="706"/>
      <c r="R460" s="944"/>
      <c r="S460" s="706"/>
      <c r="T460" s="708"/>
      <c r="U460" s="706"/>
      <c r="V460" s="706"/>
      <c r="W460" s="706"/>
      <c r="X460" s="706"/>
      <c r="Y460" s="706"/>
      <c r="Z460" s="706"/>
      <c r="AA460" s="706"/>
    </row>
    <row r="461" spans="2:27">
      <c r="B461" s="2460" t="s">
        <v>342</v>
      </c>
      <c r="C461" s="2498">
        <v>3</v>
      </c>
      <c r="D461" s="2481">
        <f t="shared" si="72"/>
        <v>305385.18128999998</v>
      </c>
      <c r="E461" s="2252">
        <v>294333.90201999998</v>
      </c>
      <c r="F461" s="2471">
        <v>27.197080000000003</v>
      </c>
      <c r="G461" s="2252">
        <v>10706.81509</v>
      </c>
      <c r="H461" s="2471">
        <v>317.26710000000003</v>
      </c>
      <c r="I461" s="2499">
        <f t="shared" si="73"/>
        <v>11051.279269999999</v>
      </c>
      <c r="J461" s="2471"/>
      <c r="K461" s="2252"/>
      <c r="L461" s="2471"/>
      <c r="M461" s="2500">
        <f t="shared" si="74"/>
        <v>0</v>
      </c>
      <c r="N461" s="922"/>
      <c r="O461" s="922"/>
      <c r="P461" s="679"/>
      <c r="Q461" s="706"/>
      <c r="R461" s="944"/>
      <c r="S461" s="706"/>
      <c r="T461" s="708"/>
      <c r="U461" s="706"/>
      <c r="V461" s="706"/>
      <c r="W461" s="706"/>
      <c r="X461" s="706"/>
      <c r="Y461" s="706"/>
      <c r="Z461" s="706"/>
      <c r="AA461" s="706"/>
    </row>
    <row r="462" spans="2:27">
      <c r="B462" s="2460" t="s">
        <v>343</v>
      </c>
      <c r="C462" s="2498"/>
      <c r="D462" s="2481">
        <f t="shared" si="72"/>
        <v>0</v>
      </c>
      <c r="E462" s="2252"/>
      <c r="F462" s="2471"/>
      <c r="G462" s="2252"/>
      <c r="H462" s="2471"/>
      <c r="I462" s="2499">
        <f t="shared" si="73"/>
        <v>0</v>
      </c>
      <c r="J462" s="2471"/>
      <c r="K462" s="2252"/>
      <c r="L462" s="2471"/>
      <c r="M462" s="2500">
        <f t="shared" si="74"/>
        <v>0</v>
      </c>
      <c r="P462" s="679"/>
      <c r="Q462" s="706"/>
      <c r="R462" s="944"/>
      <c r="S462" s="706"/>
      <c r="T462" s="708"/>
      <c r="U462" s="706"/>
      <c r="V462" s="706"/>
      <c r="W462" s="706"/>
      <c r="X462" s="706"/>
      <c r="Y462" s="706"/>
      <c r="Z462" s="706"/>
      <c r="AA462" s="706"/>
    </row>
    <row r="463" spans="2:27">
      <c r="B463" s="2460" t="s">
        <v>343</v>
      </c>
      <c r="C463" s="2498"/>
      <c r="D463" s="2481">
        <f t="shared" si="72"/>
        <v>0</v>
      </c>
      <c r="E463" s="2252"/>
      <c r="F463" s="2471"/>
      <c r="G463" s="2252"/>
      <c r="H463" s="2471"/>
      <c r="I463" s="2499">
        <f t="shared" si="73"/>
        <v>0</v>
      </c>
      <c r="J463" s="2471"/>
      <c r="K463" s="2252"/>
      <c r="L463" s="2471"/>
      <c r="M463" s="2500">
        <f t="shared" si="74"/>
        <v>0</v>
      </c>
      <c r="P463" s="679"/>
      <c r="Q463" s="706"/>
      <c r="R463" s="944"/>
      <c r="S463" s="706"/>
      <c r="T463" s="708"/>
      <c r="U463" s="706"/>
      <c r="V463" s="706"/>
      <c r="W463" s="706"/>
      <c r="X463" s="706"/>
      <c r="Y463" s="706"/>
      <c r="Z463" s="706"/>
      <c r="AA463" s="706"/>
    </row>
    <row r="464" spans="2:27">
      <c r="B464" s="2460"/>
      <c r="C464" s="2498"/>
      <c r="D464" s="2481">
        <f t="shared" si="72"/>
        <v>0</v>
      </c>
      <c r="E464" s="2252"/>
      <c r="F464" s="2471"/>
      <c r="G464" s="2252"/>
      <c r="H464" s="2471"/>
      <c r="I464" s="2499">
        <f t="shared" si="73"/>
        <v>0</v>
      </c>
      <c r="J464" s="2471"/>
      <c r="K464" s="2252"/>
      <c r="L464" s="2471"/>
      <c r="M464" s="2500">
        <f t="shared" si="74"/>
        <v>0</v>
      </c>
      <c r="P464" s="679"/>
      <c r="Q464" s="706"/>
      <c r="R464" s="944"/>
      <c r="S464" s="706"/>
      <c r="T464" s="708"/>
      <c r="U464" s="706"/>
      <c r="V464" s="706"/>
      <c r="W464" s="706"/>
      <c r="X464" s="706"/>
      <c r="Y464" s="706"/>
      <c r="Z464" s="706"/>
      <c r="AA464" s="706"/>
    </row>
    <row r="465" spans="2:27">
      <c r="B465" s="2466" t="s">
        <v>344</v>
      </c>
      <c r="C465" s="2501"/>
      <c r="D465" s="2481">
        <f t="shared" si="72"/>
        <v>7265367.9436900001</v>
      </c>
      <c r="E465" s="2252">
        <f>E454+E456</f>
        <v>892299.38930999977</v>
      </c>
      <c r="F465" s="2471">
        <f>F454+F456</f>
        <v>-88849.248359999969</v>
      </c>
      <c r="G465" s="2252">
        <f>G454+G456</f>
        <v>4015663.4393000002</v>
      </c>
      <c r="H465" s="2471">
        <f>H454+H456</f>
        <v>2446254.3634400005</v>
      </c>
      <c r="I465" s="2499">
        <f t="shared" si="73"/>
        <v>6373068.5543800006</v>
      </c>
      <c r="J465" s="2471">
        <f>J454+J456</f>
        <v>0</v>
      </c>
      <c r="K465" s="2252">
        <f>K454+K456</f>
        <v>0</v>
      </c>
      <c r="L465" s="2471">
        <f>L454+L456</f>
        <v>0</v>
      </c>
      <c r="M465" s="2500">
        <f t="shared" si="74"/>
        <v>0</v>
      </c>
      <c r="N465" s="927"/>
      <c r="O465" s="922"/>
      <c r="P465" s="679"/>
      <c r="Q465" s="706"/>
      <c r="R465" s="944"/>
      <c r="S465" s="706"/>
      <c r="T465" s="708"/>
      <c r="U465" s="706"/>
      <c r="V465" s="706"/>
      <c r="W465" s="706"/>
      <c r="X465" s="706"/>
      <c r="Y465" s="706"/>
      <c r="Z465" s="706"/>
      <c r="AA465" s="706"/>
    </row>
    <row r="466" spans="2:27">
      <c r="B466" s="2466"/>
      <c r="C466" s="2501"/>
      <c r="D466" s="2481">
        <f t="shared" si="72"/>
        <v>0</v>
      </c>
      <c r="E466" s="2252"/>
      <c r="F466" s="2471"/>
      <c r="G466" s="2252"/>
      <c r="H466" s="2471"/>
      <c r="I466" s="2499">
        <f t="shared" si="73"/>
        <v>0</v>
      </c>
      <c r="J466" s="2471"/>
      <c r="K466" s="2252"/>
      <c r="L466" s="2471"/>
      <c r="M466" s="2500"/>
      <c r="P466" s="679"/>
      <c r="Q466" s="706"/>
      <c r="R466" s="944"/>
      <c r="S466" s="706"/>
      <c r="T466" s="708"/>
      <c r="U466" s="706"/>
      <c r="V466" s="706"/>
      <c r="W466" s="706"/>
      <c r="X466" s="706"/>
      <c r="Y466" s="706"/>
      <c r="Z466" s="706"/>
      <c r="AA466" s="706"/>
    </row>
    <row r="467" spans="2:27">
      <c r="B467" s="2460" t="s">
        <v>345</v>
      </c>
      <c r="C467" s="2498"/>
      <c r="D467" s="2481">
        <f t="shared" si="72"/>
        <v>2227578.7474099998</v>
      </c>
      <c r="E467" s="2252">
        <v>0</v>
      </c>
      <c r="F467" s="2471">
        <v>213281.39653</v>
      </c>
      <c r="G467" s="2252">
        <v>1130364.8776899998</v>
      </c>
      <c r="H467" s="2471">
        <v>883932.47319000005</v>
      </c>
      <c r="I467" s="2499">
        <f t="shared" si="73"/>
        <v>2227578.7474099998</v>
      </c>
      <c r="J467" s="2471"/>
      <c r="K467" s="2252"/>
      <c r="L467" s="2471"/>
      <c r="M467" s="2500">
        <f t="shared" ref="M467:M485" si="75">L467+K467+J467</f>
        <v>0</v>
      </c>
      <c r="N467" s="922"/>
      <c r="O467" s="922"/>
      <c r="P467" s="679"/>
      <c r="Q467" s="706"/>
      <c r="R467" s="944"/>
      <c r="S467" s="706"/>
      <c r="T467" s="708"/>
      <c r="U467" s="706"/>
      <c r="V467" s="706"/>
      <c r="W467" s="706"/>
      <c r="X467" s="706"/>
      <c r="Y467" s="706"/>
      <c r="Z467" s="706"/>
      <c r="AA467" s="706"/>
    </row>
    <row r="468" spans="2:27">
      <c r="B468" s="2460" t="s">
        <v>346</v>
      </c>
      <c r="C468" s="2498"/>
      <c r="D468" s="2481">
        <f t="shared" si="72"/>
        <v>-109657.01287000001</v>
      </c>
      <c r="E468" s="2252">
        <v>0</v>
      </c>
      <c r="F468" s="2471">
        <v>0</v>
      </c>
      <c r="G468" s="2252">
        <v>-109657.01287000001</v>
      </c>
      <c r="H468" s="2471"/>
      <c r="I468" s="2499">
        <f t="shared" si="73"/>
        <v>-109657.01287000001</v>
      </c>
      <c r="J468" s="2471"/>
      <c r="K468" s="2252"/>
      <c r="L468" s="2471"/>
      <c r="M468" s="2500">
        <f t="shared" si="75"/>
        <v>0</v>
      </c>
      <c r="N468" s="922"/>
      <c r="O468" s="922"/>
      <c r="P468" s="679"/>
      <c r="Q468" s="706"/>
      <c r="R468" s="944"/>
      <c r="S468" s="706"/>
      <c r="T468" s="708"/>
      <c r="U468" s="706"/>
      <c r="V468" s="706"/>
      <c r="W468" s="706"/>
      <c r="X468" s="706"/>
      <c r="Y468" s="706"/>
      <c r="Z468" s="706"/>
      <c r="AA468" s="706"/>
    </row>
    <row r="469" spans="2:27">
      <c r="B469" s="2460" t="s">
        <v>347</v>
      </c>
      <c r="C469" s="2498"/>
      <c r="D469" s="2481">
        <f t="shared" si="72"/>
        <v>0</v>
      </c>
      <c r="E469" s="2252">
        <v>0</v>
      </c>
      <c r="F469" s="2471">
        <v>0</v>
      </c>
      <c r="G469" s="2252">
        <v>0</v>
      </c>
      <c r="H469" s="2471"/>
      <c r="I469" s="2499">
        <f t="shared" si="73"/>
        <v>0</v>
      </c>
      <c r="J469" s="2471"/>
      <c r="K469" s="2252"/>
      <c r="L469" s="2471"/>
      <c r="M469" s="2500">
        <f t="shared" si="75"/>
        <v>0</v>
      </c>
      <c r="N469" s="922"/>
      <c r="O469" s="922"/>
      <c r="P469" s="679"/>
      <c r="Q469" s="706"/>
      <c r="R469" s="944"/>
      <c r="S469" s="706"/>
      <c r="T469" s="708"/>
      <c r="U469" s="706"/>
      <c r="V469" s="706"/>
      <c r="W469" s="706"/>
      <c r="X469" s="706"/>
      <c r="Y469" s="706"/>
      <c r="Z469" s="706"/>
      <c r="AA469" s="706"/>
    </row>
    <row r="470" spans="2:27" ht="12.75" customHeight="1">
      <c r="B470" s="2467" t="s">
        <v>348</v>
      </c>
      <c r="C470" s="2498"/>
      <c r="D470" s="2481">
        <f t="shared" si="72"/>
        <v>0</v>
      </c>
      <c r="E470" s="2252">
        <v>0</v>
      </c>
      <c r="F470" s="2471">
        <v>0</v>
      </c>
      <c r="G470" s="2252">
        <v>0</v>
      </c>
      <c r="H470" s="2471"/>
      <c r="I470" s="2499">
        <f t="shared" si="73"/>
        <v>0</v>
      </c>
      <c r="J470" s="2471"/>
      <c r="K470" s="2252"/>
      <c r="L470" s="2471"/>
      <c r="M470" s="2500">
        <f t="shared" si="75"/>
        <v>0</v>
      </c>
      <c r="N470" s="922"/>
      <c r="O470" s="922"/>
      <c r="P470" s="679"/>
      <c r="Q470" s="706"/>
      <c r="R470" s="944"/>
      <c r="S470" s="706"/>
      <c r="T470" s="708"/>
      <c r="U470" s="706"/>
      <c r="V470" s="706"/>
      <c r="W470" s="706"/>
      <c r="X470" s="706"/>
      <c r="Y470" s="706"/>
      <c r="Z470" s="706"/>
      <c r="AA470" s="706"/>
    </row>
    <row r="471" spans="2:27">
      <c r="B471" s="2460" t="s">
        <v>349</v>
      </c>
      <c r="C471" s="2498"/>
      <c r="D471" s="2481">
        <f t="shared" si="72"/>
        <v>1265703.5303299995</v>
      </c>
      <c r="E471" s="2252">
        <v>0</v>
      </c>
      <c r="F471" s="2471">
        <v>-353552.26497423183</v>
      </c>
      <c r="G471" s="2252">
        <v>1427089.8088490888</v>
      </c>
      <c r="H471" s="2471">
        <v>192165.98645514261</v>
      </c>
      <c r="I471" s="2499">
        <f t="shared" si="73"/>
        <v>1265703.5303299995</v>
      </c>
      <c r="J471" s="2471"/>
      <c r="K471" s="2252"/>
      <c r="L471" s="2471"/>
      <c r="M471" s="2500">
        <f t="shared" si="75"/>
        <v>0</v>
      </c>
      <c r="N471" s="922"/>
      <c r="O471" s="922"/>
      <c r="P471" s="679"/>
      <c r="Q471" s="706"/>
      <c r="R471" s="944"/>
      <c r="S471" s="706"/>
      <c r="T471" s="708"/>
      <c r="U471" s="706"/>
      <c r="V471" s="706"/>
      <c r="W471" s="706"/>
      <c r="X471" s="706"/>
      <c r="Y471" s="706"/>
      <c r="Z471" s="706"/>
      <c r="AA471" s="706"/>
    </row>
    <row r="472" spans="2:27" ht="51">
      <c r="B472" s="2467" t="s">
        <v>350</v>
      </c>
      <c r="C472" s="2498"/>
      <c r="D472" s="2481">
        <f t="shared" si="72"/>
        <v>0</v>
      </c>
      <c r="E472" s="2252">
        <v>0</v>
      </c>
      <c r="F472" s="2471">
        <v>0</v>
      </c>
      <c r="G472" s="2252">
        <v>0</v>
      </c>
      <c r="H472" s="2471"/>
      <c r="I472" s="2499">
        <f t="shared" si="73"/>
        <v>0</v>
      </c>
      <c r="J472" s="2471"/>
      <c r="K472" s="2252"/>
      <c r="L472" s="2471"/>
      <c r="M472" s="2500">
        <f t="shared" si="75"/>
        <v>0</v>
      </c>
      <c r="N472" s="922"/>
      <c r="O472" s="922"/>
      <c r="P472" s="679"/>
      <c r="Q472" s="706"/>
      <c r="R472" s="944"/>
      <c r="S472" s="706"/>
      <c r="T472" s="708"/>
      <c r="U472" s="706"/>
      <c r="V472" s="706"/>
      <c r="W472" s="706"/>
      <c r="X472" s="706"/>
      <c r="Y472" s="706"/>
      <c r="Z472" s="706"/>
      <c r="AA472" s="706"/>
    </row>
    <row r="473" spans="2:27">
      <c r="B473" s="2466" t="s">
        <v>351</v>
      </c>
      <c r="C473" s="2501"/>
      <c r="D473" s="2481">
        <f t="shared" si="72"/>
        <v>3383625.2648699996</v>
      </c>
      <c r="E473" s="2252">
        <f>SUM(E467:E472)</f>
        <v>0</v>
      </c>
      <c r="F473" s="2471">
        <f>SUM(F467:F472)</f>
        <v>-140270.86844423183</v>
      </c>
      <c r="G473" s="2252">
        <f>SUM(G467:G472)</f>
        <v>2447797.6736690886</v>
      </c>
      <c r="H473" s="2471">
        <f>SUM(H467:H472)</f>
        <v>1076098.4596451428</v>
      </c>
      <c r="I473" s="2499">
        <f t="shared" si="73"/>
        <v>3383625.2648699996</v>
      </c>
      <c r="J473" s="2471">
        <f>SUM(J467:J472)</f>
        <v>0</v>
      </c>
      <c r="K473" s="2252">
        <f>SUM(K467:K472)</f>
        <v>0</v>
      </c>
      <c r="L473" s="2471">
        <f>SUM(L467:L472)</f>
        <v>0</v>
      </c>
      <c r="M473" s="2500">
        <f t="shared" si="75"/>
        <v>0</v>
      </c>
      <c r="N473" s="927"/>
      <c r="O473" s="922"/>
      <c r="P473" s="679"/>
      <c r="Q473" s="706"/>
      <c r="R473" s="944"/>
      <c r="S473" s="706"/>
      <c r="T473" s="708"/>
      <c r="U473" s="706"/>
      <c r="V473" s="706"/>
      <c r="W473" s="706"/>
      <c r="X473" s="706"/>
      <c r="Y473" s="706"/>
      <c r="Z473" s="706"/>
      <c r="AA473" s="706"/>
    </row>
    <row r="474" spans="2:27">
      <c r="B474" s="2460"/>
      <c r="C474" s="2498"/>
      <c r="D474" s="2481">
        <f t="shared" si="72"/>
        <v>0</v>
      </c>
      <c r="E474" s="2252"/>
      <c r="F474" s="2471"/>
      <c r="G474" s="2252"/>
      <c r="H474" s="2471"/>
      <c r="I474" s="2499">
        <f t="shared" si="73"/>
        <v>0</v>
      </c>
      <c r="J474" s="2471"/>
      <c r="K474" s="2252"/>
      <c r="L474" s="2471"/>
      <c r="M474" s="2500">
        <f t="shared" si="75"/>
        <v>0</v>
      </c>
      <c r="O474" s="922"/>
      <c r="P474" s="679"/>
      <c r="Q474" s="706"/>
      <c r="R474" s="944"/>
      <c r="S474" s="706"/>
      <c r="T474" s="708"/>
      <c r="U474" s="706"/>
      <c r="V474" s="706"/>
      <c r="W474" s="706"/>
      <c r="X474" s="706"/>
      <c r="Y474" s="706"/>
      <c r="Z474" s="706"/>
      <c r="AA474" s="706"/>
    </row>
    <row r="475" spans="2:27" ht="51">
      <c r="B475" s="2467" t="s">
        <v>352</v>
      </c>
      <c r="C475" s="2498"/>
      <c r="D475" s="2481">
        <f t="shared" si="72"/>
        <v>1864486.1513999999</v>
      </c>
      <c r="E475" s="2252">
        <v>0</v>
      </c>
      <c r="F475" s="2471">
        <v>54.62921</v>
      </c>
      <c r="G475" s="2252">
        <v>881272.66453669989</v>
      </c>
      <c r="H475" s="2471">
        <v>983158.85765330005</v>
      </c>
      <c r="I475" s="2499">
        <f t="shared" si="73"/>
        <v>1864486.1513999999</v>
      </c>
      <c r="J475" s="2471"/>
      <c r="K475" s="2252"/>
      <c r="L475" s="2471"/>
      <c r="M475" s="2500">
        <f t="shared" si="75"/>
        <v>0</v>
      </c>
      <c r="N475" s="922"/>
      <c r="O475" s="922"/>
      <c r="P475" s="679"/>
      <c r="Q475" s="706"/>
      <c r="R475" s="944"/>
      <c r="S475" s="706"/>
      <c r="T475" s="708"/>
      <c r="U475" s="706"/>
      <c r="V475" s="706"/>
      <c r="W475" s="706"/>
      <c r="X475" s="706"/>
      <c r="Y475" s="706"/>
      <c r="Z475" s="706"/>
      <c r="AA475" s="706"/>
    </row>
    <row r="476" spans="2:27">
      <c r="B476" s="2460"/>
      <c r="C476" s="2498"/>
      <c r="D476" s="2481">
        <f t="shared" si="72"/>
        <v>0</v>
      </c>
      <c r="E476" s="2252"/>
      <c r="F476" s="2471"/>
      <c r="G476" s="2252"/>
      <c r="H476" s="2471"/>
      <c r="I476" s="2499">
        <f t="shared" si="73"/>
        <v>0</v>
      </c>
      <c r="J476" s="2471"/>
      <c r="K476" s="2252"/>
      <c r="L476" s="2471"/>
      <c r="M476" s="2500">
        <f t="shared" si="75"/>
        <v>0</v>
      </c>
      <c r="N476" s="922"/>
      <c r="O476" s="922"/>
      <c r="P476" s="679"/>
      <c r="Q476" s="706"/>
      <c r="R476" s="944"/>
      <c r="S476" s="706"/>
      <c r="T476" s="708"/>
      <c r="U476" s="706"/>
      <c r="V476" s="706"/>
      <c r="W476" s="706"/>
      <c r="X476" s="706"/>
      <c r="Y476" s="706"/>
      <c r="Z476" s="706"/>
      <c r="AA476" s="706"/>
    </row>
    <row r="477" spans="2:27" ht="12.75" customHeight="1">
      <c r="B477" s="2467" t="s">
        <v>353</v>
      </c>
      <c r="C477" s="2498">
        <v>4</v>
      </c>
      <c r="D477" s="2481">
        <f t="shared" si="72"/>
        <v>1320825.5269499999</v>
      </c>
      <c r="E477" s="2252">
        <v>230599.70495000001</v>
      </c>
      <c r="F477" s="2471">
        <v>49761.699453837398</v>
      </c>
      <c r="G477" s="2252">
        <v>653467.07640460506</v>
      </c>
      <c r="H477" s="2471">
        <v>386997.04614155745</v>
      </c>
      <c r="I477" s="2499">
        <f t="shared" si="73"/>
        <v>1090225.8219999999</v>
      </c>
      <c r="J477" s="2471"/>
      <c r="K477" s="2252"/>
      <c r="L477" s="2471"/>
      <c r="M477" s="2500">
        <f t="shared" si="75"/>
        <v>0</v>
      </c>
      <c r="N477" s="922"/>
      <c r="O477" s="922"/>
      <c r="P477" s="679"/>
      <c r="Q477" s="706"/>
      <c r="R477" s="944"/>
      <c r="S477" s="706"/>
      <c r="T477" s="708"/>
      <c r="U477" s="706"/>
      <c r="V477" s="706"/>
      <c r="W477" s="706"/>
      <c r="X477" s="706"/>
      <c r="Y477" s="706"/>
      <c r="Z477" s="706"/>
      <c r="AA477" s="706"/>
    </row>
    <row r="478" spans="2:27">
      <c r="B478" s="2460" t="s">
        <v>354</v>
      </c>
      <c r="C478" s="2498"/>
      <c r="D478" s="2481">
        <f t="shared" si="72"/>
        <v>0</v>
      </c>
      <c r="E478" s="2252"/>
      <c r="F478" s="2471"/>
      <c r="G478" s="2252"/>
      <c r="H478" s="2471"/>
      <c r="I478" s="2499">
        <f t="shared" si="73"/>
        <v>0</v>
      </c>
      <c r="J478" s="2471"/>
      <c r="K478" s="2252"/>
      <c r="L478" s="2471"/>
      <c r="M478" s="2500">
        <f t="shared" si="75"/>
        <v>0</v>
      </c>
      <c r="N478" s="922"/>
      <c r="O478" s="922"/>
      <c r="P478" s="679"/>
      <c r="Q478" s="706"/>
      <c r="R478" s="944"/>
      <c r="S478" s="706"/>
      <c r="T478" s="708"/>
      <c r="U478" s="706"/>
      <c r="V478" s="706"/>
      <c r="W478" s="706"/>
      <c r="X478" s="706"/>
      <c r="Y478" s="706"/>
      <c r="Z478" s="706"/>
      <c r="AA478" s="706"/>
    </row>
    <row r="479" spans="2:27">
      <c r="B479" s="2460" t="s">
        <v>355</v>
      </c>
      <c r="C479" s="2498"/>
      <c r="D479" s="2481">
        <f t="shared" si="72"/>
        <v>34758.028109999999</v>
      </c>
      <c r="E479" s="2252">
        <v>26.712</v>
      </c>
      <c r="F479" s="2471">
        <v>1605.2914203944733</v>
      </c>
      <c r="G479" s="2252">
        <v>33126.024689605525</v>
      </c>
      <c r="H479" s="2471"/>
      <c r="I479" s="2499">
        <f t="shared" si="73"/>
        <v>34731.31611</v>
      </c>
      <c r="J479" s="2471"/>
      <c r="K479" s="2252"/>
      <c r="L479" s="2471"/>
      <c r="M479" s="2500">
        <f t="shared" si="75"/>
        <v>0</v>
      </c>
      <c r="N479" s="922"/>
      <c r="O479" s="922"/>
      <c r="P479" s="679"/>
      <c r="Q479" s="706"/>
      <c r="R479" s="944"/>
      <c r="S479" s="706"/>
      <c r="T479" s="708"/>
      <c r="U479" s="706"/>
      <c r="V479" s="706"/>
      <c r="W479" s="706"/>
      <c r="X479" s="706"/>
      <c r="Y479" s="706"/>
      <c r="Z479" s="706"/>
      <c r="AA479" s="706"/>
    </row>
    <row r="480" spans="2:27">
      <c r="B480" s="2466" t="s">
        <v>356</v>
      </c>
      <c r="C480" s="2501"/>
      <c r="D480" s="2481">
        <f t="shared" si="72"/>
        <v>1355583.5550599999</v>
      </c>
      <c r="E480" s="2252">
        <f>SUM(E477:E479)</f>
        <v>230626.41695000001</v>
      </c>
      <c r="F480" s="2471">
        <f>SUM(F477:F479)</f>
        <v>51366.990874231873</v>
      </c>
      <c r="G480" s="2252">
        <f>SUM(G477:G479)</f>
        <v>686593.10109421064</v>
      </c>
      <c r="H480" s="2471">
        <f>SUM(H477:H479)</f>
        <v>386997.04614155745</v>
      </c>
      <c r="I480" s="2499">
        <f t="shared" si="73"/>
        <v>1124957.1381099999</v>
      </c>
      <c r="J480" s="2471">
        <f>SUM(J477:J479)</f>
        <v>0</v>
      </c>
      <c r="K480" s="2252">
        <f>SUM(K477:K479)</f>
        <v>0</v>
      </c>
      <c r="L480" s="2471">
        <f>SUM(L477:L479)</f>
        <v>0</v>
      </c>
      <c r="M480" s="2500">
        <f t="shared" si="75"/>
        <v>0</v>
      </c>
      <c r="N480" s="927"/>
      <c r="O480" s="922"/>
      <c r="P480" s="679"/>
      <c r="Q480" s="706"/>
      <c r="R480" s="944"/>
      <c r="S480" s="706"/>
      <c r="T480" s="708"/>
      <c r="U480" s="706"/>
      <c r="V480" s="706"/>
      <c r="W480" s="706"/>
      <c r="X480" s="706"/>
      <c r="Y480" s="706"/>
      <c r="Z480" s="706"/>
      <c r="AA480" s="706"/>
    </row>
    <row r="481" spans="1:27">
      <c r="B481" s="2466"/>
      <c r="C481" s="2501"/>
      <c r="D481" s="2481">
        <f t="shared" si="72"/>
        <v>0</v>
      </c>
      <c r="E481" s="2252"/>
      <c r="F481" s="2471"/>
      <c r="G481" s="2252"/>
      <c r="H481" s="2471"/>
      <c r="I481" s="2499">
        <f t="shared" si="73"/>
        <v>0</v>
      </c>
      <c r="J481" s="2471"/>
      <c r="K481" s="2252"/>
      <c r="L481" s="2471"/>
      <c r="M481" s="2500">
        <f t="shared" si="75"/>
        <v>0</v>
      </c>
      <c r="P481" s="679"/>
      <c r="Q481" s="706"/>
      <c r="R481" s="944"/>
      <c r="S481" s="706"/>
      <c r="T481" s="708"/>
      <c r="U481" s="706"/>
      <c r="V481" s="706"/>
      <c r="W481" s="706"/>
      <c r="X481" s="706"/>
      <c r="Y481" s="706"/>
      <c r="Z481" s="706"/>
      <c r="AA481" s="706"/>
    </row>
    <row r="482" spans="1:27">
      <c r="B482" s="2466" t="s">
        <v>357</v>
      </c>
      <c r="C482" s="2501"/>
      <c r="D482" s="2481">
        <f t="shared" si="72"/>
        <v>661672.97236000083</v>
      </c>
      <c r="E482" s="2252">
        <f>E465-E473-E475-E480</f>
        <v>661672.97235999978</v>
      </c>
      <c r="F482" s="2471">
        <f>F465-F473-F475-F480</f>
        <v>0</v>
      </c>
      <c r="G482" s="2252">
        <f>G465-G473-G475-G480</f>
        <v>1.0477378964424133E-9</v>
      </c>
      <c r="H482" s="2471">
        <f>H465-H473-H475-H480</f>
        <v>0</v>
      </c>
      <c r="I482" s="2499">
        <f t="shared" si="73"/>
        <v>1.0477378964424133E-9</v>
      </c>
      <c r="J482" s="2471">
        <f>J465-J473-J475-J480</f>
        <v>0</v>
      </c>
      <c r="K482" s="2252">
        <f>K465-K473-K475-K480</f>
        <v>0</v>
      </c>
      <c r="L482" s="2471">
        <f>L465-L473-L475-L480</f>
        <v>0</v>
      </c>
      <c r="M482" s="2500">
        <f t="shared" si="75"/>
        <v>0</v>
      </c>
      <c r="N482" s="927"/>
      <c r="O482" s="922"/>
      <c r="P482" s="679"/>
      <c r="Q482" s="706"/>
      <c r="R482" s="944"/>
      <c r="S482" s="706"/>
      <c r="T482" s="708"/>
      <c r="U482" s="706"/>
      <c r="V482" s="706"/>
      <c r="W482" s="706"/>
      <c r="X482" s="706"/>
      <c r="Y482" s="706"/>
      <c r="Z482" s="706"/>
      <c r="AA482" s="706"/>
    </row>
    <row r="483" spans="1:27">
      <c r="B483" s="2460" t="s">
        <v>358</v>
      </c>
      <c r="C483" s="2498"/>
      <c r="D483" s="2481">
        <f t="shared" si="72"/>
        <v>168770.71900000001</v>
      </c>
      <c r="E483" s="2252">
        <v>168770.71900000001</v>
      </c>
      <c r="F483" s="2471"/>
      <c r="G483" s="2252"/>
      <c r="H483" s="2471"/>
      <c r="I483" s="2499">
        <f t="shared" si="73"/>
        <v>0</v>
      </c>
      <c r="J483" s="2471"/>
      <c r="K483" s="2252"/>
      <c r="L483" s="2471"/>
      <c r="M483" s="2500">
        <f t="shared" si="75"/>
        <v>0</v>
      </c>
      <c r="N483" s="922"/>
      <c r="O483" s="922"/>
      <c r="P483" s="679"/>
      <c r="Q483" s="706"/>
      <c r="R483" s="944"/>
      <c r="S483" s="706"/>
      <c r="T483" s="708"/>
      <c r="U483" s="706"/>
      <c r="V483" s="706"/>
      <c r="W483" s="706"/>
      <c r="X483" s="706"/>
      <c r="Y483" s="706"/>
      <c r="Z483" s="706"/>
      <c r="AA483" s="706"/>
    </row>
    <row r="484" spans="1:27">
      <c r="B484" s="2460"/>
      <c r="C484" s="2498"/>
      <c r="D484" s="2481">
        <f t="shared" si="72"/>
        <v>0</v>
      </c>
      <c r="E484" s="2252"/>
      <c r="F484" s="2471"/>
      <c r="G484" s="2252"/>
      <c r="H484" s="2471"/>
      <c r="I484" s="2499">
        <f t="shared" si="73"/>
        <v>0</v>
      </c>
      <c r="J484" s="2471"/>
      <c r="K484" s="2252"/>
      <c r="L484" s="2471"/>
      <c r="M484" s="2500">
        <f t="shared" si="75"/>
        <v>0</v>
      </c>
      <c r="P484" s="679"/>
      <c r="Q484" s="706"/>
      <c r="R484" s="944"/>
      <c r="S484" s="706"/>
      <c r="T484" s="708"/>
      <c r="U484" s="706"/>
      <c r="V484" s="706"/>
      <c r="W484" s="706"/>
      <c r="X484" s="706"/>
      <c r="Y484" s="706"/>
      <c r="Z484" s="706"/>
      <c r="AA484" s="706"/>
    </row>
    <row r="485" spans="1:27" ht="13.5" thickBot="1">
      <c r="B485" s="1602" t="s">
        <v>359</v>
      </c>
      <c r="C485" s="1638"/>
      <c r="D485" s="1614">
        <f t="shared" si="72"/>
        <v>492902.25336000079</v>
      </c>
      <c r="E485" s="1624">
        <f>E482-E483</f>
        <v>492902.25335999974</v>
      </c>
      <c r="F485" s="1614">
        <f>F482-F483</f>
        <v>0</v>
      </c>
      <c r="G485" s="1624">
        <f>G482-G483</f>
        <v>1.0477378964424133E-9</v>
      </c>
      <c r="H485" s="1614">
        <f>H482-H483</f>
        <v>0</v>
      </c>
      <c r="I485" s="1624">
        <f t="shared" si="73"/>
        <v>1.0477378964424133E-9</v>
      </c>
      <c r="J485" s="1614">
        <f>J482-J483</f>
        <v>0</v>
      </c>
      <c r="K485" s="1624">
        <f>K482-K483</f>
        <v>0</v>
      </c>
      <c r="L485" s="1614">
        <f>L482-L483</f>
        <v>0</v>
      </c>
      <c r="M485" s="1639">
        <f t="shared" si="75"/>
        <v>0</v>
      </c>
      <c r="N485" s="927"/>
      <c r="O485" s="922"/>
      <c r="P485" s="679"/>
      <c r="Q485" s="706"/>
      <c r="R485" s="944"/>
      <c r="S485" s="706"/>
      <c r="T485" s="708"/>
      <c r="U485" s="706"/>
      <c r="V485" s="706"/>
      <c r="W485" s="706"/>
      <c r="X485" s="706"/>
      <c r="Y485" s="706"/>
      <c r="Z485" s="706"/>
      <c r="AA485" s="706"/>
    </row>
    <row r="486" spans="1:27">
      <c r="D486" s="684"/>
      <c r="E486" s="684"/>
      <c r="R486" s="944"/>
    </row>
    <row r="487" spans="1:27">
      <c r="M487" s="673">
        <v>56</v>
      </c>
      <c r="R487" s="944"/>
    </row>
    <row r="488" spans="1:27">
      <c r="R488" s="944"/>
    </row>
    <row r="489" spans="1:27" ht="13.5" thickBot="1">
      <c r="R489" s="944"/>
    </row>
    <row r="490" spans="1:27" ht="12.75" customHeight="1" thickBot="1">
      <c r="A490" s="1626" t="s">
        <v>188</v>
      </c>
      <c r="B490" s="1368" t="s">
        <v>106</v>
      </c>
      <c r="C490" s="912"/>
      <c r="L490" s="3538" t="s">
        <v>251</v>
      </c>
      <c r="M490" s="3538"/>
    </row>
    <row r="491" spans="1:27" ht="12.75" customHeight="1" thickBot="1">
      <c r="B491" s="3578" t="s">
        <v>106</v>
      </c>
      <c r="C491" s="3523" t="s">
        <v>325</v>
      </c>
      <c r="D491" s="3518" t="s">
        <v>255</v>
      </c>
      <c r="E491" s="3518" t="s">
        <v>326</v>
      </c>
      <c r="F491" s="3574" t="s">
        <v>258</v>
      </c>
      <c r="G491" s="3574"/>
      <c r="H491" s="3574"/>
      <c r="I491" s="3574"/>
      <c r="J491" s="3574"/>
      <c r="K491" s="3574"/>
      <c r="L491" s="3574"/>
      <c r="M491" s="3574"/>
    </row>
    <row r="492" spans="1:27" ht="17.25" customHeight="1">
      <c r="B492" s="3571"/>
      <c r="C492" s="3524"/>
      <c r="D492" s="3520"/>
      <c r="E492" s="3520"/>
      <c r="F492" s="3575" t="s">
        <v>259</v>
      </c>
      <c r="G492" s="3576"/>
      <c r="H492" s="3576"/>
      <c r="I492" s="3577"/>
      <c r="J492" s="3574" t="s">
        <v>327</v>
      </c>
      <c r="K492" s="3574"/>
      <c r="L492" s="3574"/>
      <c r="M492" s="3574"/>
    </row>
    <row r="493" spans="1:27" ht="43.5" customHeight="1" thickBot="1">
      <c r="B493" s="3571"/>
      <c r="C493" s="3524"/>
      <c r="D493" s="3519"/>
      <c r="E493" s="3519"/>
      <c r="F493" s="1339" t="s">
        <v>261</v>
      </c>
      <c r="G493" s="1339" t="s">
        <v>262</v>
      </c>
      <c r="H493" s="1339" t="s">
        <v>263</v>
      </c>
      <c r="I493" s="1339" t="s">
        <v>158</v>
      </c>
      <c r="J493" s="1588" t="s">
        <v>328</v>
      </c>
      <c r="K493" s="1588" t="s">
        <v>265</v>
      </c>
      <c r="L493" s="1588" t="s">
        <v>329</v>
      </c>
      <c r="M493" s="1588" t="s">
        <v>158</v>
      </c>
    </row>
    <row r="494" spans="1:27" ht="18" customHeight="1" thickBot="1">
      <c r="B494" s="3571"/>
      <c r="C494" s="3524"/>
      <c r="D494" s="1589">
        <v>1</v>
      </c>
      <c r="E494" s="3518">
        <v>2</v>
      </c>
      <c r="F494" s="3518">
        <v>3</v>
      </c>
      <c r="G494" s="3518">
        <v>4</v>
      </c>
      <c r="H494" s="3518">
        <v>5</v>
      </c>
      <c r="I494" s="1589">
        <v>6</v>
      </c>
      <c r="J494" s="3518">
        <v>7</v>
      </c>
      <c r="K494" s="3518">
        <v>8</v>
      </c>
      <c r="L494" s="3518">
        <v>9</v>
      </c>
      <c r="M494" s="1589">
        <v>10</v>
      </c>
    </row>
    <row r="495" spans="1:27" ht="13.5" thickBot="1">
      <c r="B495" s="3572"/>
      <c r="C495" s="3525"/>
      <c r="D495" s="1590" t="s">
        <v>330</v>
      </c>
      <c r="E495" s="3519"/>
      <c r="F495" s="3519"/>
      <c r="G495" s="3519"/>
      <c r="H495" s="3519"/>
      <c r="I495" s="1590" t="s">
        <v>331</v>
      </c>
      <c r="J495" s="3519"/>
      <c r="K495" s="3519"/>
      <c r="L495" s="3519"/>
      <c r="M495" s="1590" t="s">
        <v>332</v>
      </c>
      <c r="N495" s="703"/>
      <c r="O495" s="703"/>
    </row>
    <row r="496" spans="1:27">
      <c r="B496" s="1635" t="s">
        <v>333</v>
      </c>
      <c r="C496" s="984"/>
      <c r="D496" s="1592">
        <f t="shared" ref="D496:D533" si="76">E496+I496+M496</f>
        <v>1004700.367</v>
      </c>
      <c r="E496" s="982"/>
      <c r="F496" s="963">
        <v>589008.16299999994</v>
      </c>
      <c r="G496" s="982">
        <v>415692.20400000003</v>
      </c>
      <c r="H496" s="963"/>
      <c r="I496" s="1636">
        <f t="shared" ref="I496:I533" si="77">F496+G496+H496</f>
        <v>1004700.367</v>
      </c>
      <c r="J496" s="963"/>
      <c r="K496" s="982"/>
      <c r="L496" s="963"/>
      <c r="M496" s="1637">
        <f t="shared" ref="M496:M513" si="78">L496+K496+J496</f>
        <v>0</v>
      </c>
      <c r="N496" s="922"/>
      <c r="O496" s="922"/>
      <c r="P496" s="679"/>
      <c r="Q496" s="706"/>
      <c r="R496" s="179"/>
      <c r="S496" s="706"/>
      <c r="T496" s="708"/>
      <c r="U496" s="706"/>
      <c r="V496" s="706"/>
      <c r="W496" s="706"/>
      <c r="X496" s="706"/>
      <c r="Y496" s="706"/>
      <c r="Z496" s="706"/>
      <c r="AA496" s="706"/>
    </row>
    <row r="497" spans="2:27">
      <c r="B497" s="2460"/>
      <c r="C497" s="2498"/>
      <c r="D497" s="2481">
        <f t="shared" si="76"/>
        <v>0</v>
      </c>
      <c r="E497" s="2252"/>
      <c r="F497" s="2471"/>
      <c r="G497" s="2252"/>
      <c r="H497" s="2471"/>
      <c r="I497" s="2499">
        <f t="shared" si="77"/>
        <v>0</v>
      </c>
      <c r="J497" s="2471"/>
      <c r="K497" s="2252"/>
      <c r="L497" s="2471"/>
      <c r="M497" s="2500">
        <f t="shared" si="78"/>
        <v>0</v>
      </c>
      <c r="P497" s="679"/>
      <c r="Q497" s="706"/>
      <c r="R497" s="179"/>
      <c r="S497" s="706"/>
      <c r="T497" s="708"/>
      <c r="U497" s="706"/>
      <c r="V497" s="706"/>
      <c r="W497" s="706"/>
      <c r="X497" s="706"/>
      <c r="Y497" s="706"/>
      <c r="Z497" s="706"/>
      <c r="AA497" s="706"/>
    </row>
    <row r="498" spans="2:27">
      <c r="B498" s="2462" t="s">
        <v>334</v>
      </c>
      <c r="C498" s="2498"/>
      <c r="D498" s="2481">
        <f t="shared" si="76"/>
        <v>3957</v>
      </c>
      <c r="E498" s="2252"/>
      <c r="F498" s="2471">
        <v>2317.91</v>
      </c>
      <c r="G498" s="2252">
        <v>1639.09</v>
      </c>
      <c r="H498" s="2471"/>
      <c r="I498" s="2499">
        <f t="shared" si="77"/>
        <v>3957</v>
      </c>
      <c r="J498" s="2471"/>
      <c r="K498" s="2252"/>
      <c r="L498" s="2471"/>
      <c r="M498" s="2500">
        <f t="shared" si="78"/>
        <v>0</v>
      </c>
      <c r="N498" s="922"/>
      <c r="O498" s="922"/>
      <c r="P498" s="679"/>
      <c r="Q498" s="706"/>
      <c r="R498" s="179"/>
      <c r="S498" s="706"/>
      <c r="T498" s="708"/>
      <c r="U498" s="706"/>
      <c r="V498" s="706"/>
      <c r="W498" s="706"/>
      <c r="X498" s="706"/>
      <c r="Y498" s="706"/>
      <c r="Z498" s="706"/>
      <c r="AA498" s="706"/>
    </row>
    <row r="499" spans="2:27">
      <c r="B499" s="2462"/>
      <c r="C499" s="2498"/>
      <c r="D499" s="2481">
        <f t="shared" si="76"/>
        <v>0</v>
      </c>
      <c r="E499" s="2252"/>
      <c r="F499" s="2471"/>
      <c r="G499" s="2252"/>
      <c r="H499" s="2471"/>
      <c r="I499" s="2499">
        <f t="shared" si="77"/>
        <v>0</v>
      </c>
      <c r="J499" s="2471"/>
      <c r="K499" s="2252"/>
      <c r="L499" s="2471"/>
      <c r="M499" s="2500">
        <f t="shared" si="78"/>
        <v>0</v>
      </c>
      <c r="P499" s="679"/>
      <c r="Q499" s="706"/>
      <c r="R499" s="179"/>
      <c r="S499" s="706"/>
      <c r="T499" s="708"/>
      <c r="U499" s="706"/>
      <c r="V499" s="706"/>
      <c r="W499" s="706"/>
      <c r="X499" s="706"/>
      <c r="Y499" s="706"/>
      <c r="Z499" s="706"/>
      <c r="AA499" s="706"/>
    </row>
    <row r="500" spans="2:27" ht="12.75" customHeight="1">
      <c r="B500" s="2463" t="s">
        <v>335</v>
      </c>
      <c r="C500" s="2498"/>
      <c r="D500" s="2481">
        <f t="shared" si="76"/>
        <v>0</v>
      </c>
      <c r="E500" s="2252"/>
      <c r="F500" s="2471"/>
      <c r="G500" s="2252"/>
      <c r="H500" s="2471"/>
      <c r="I500" s="2499">
        <f t="shared" si="77"/>
        <v>0</v>
      </c>
      <c r="J500" s="2471"/>
      <c r="K500" s="2252"/>
      <c r="L500" s="2471"/>
      <c r="M500" s="2500">
        <f t="shared" si="78"/>
        <v>0</v>
      </c>
      <c r="N500" s="922"/>
      <c r="O500" s="922"/>
      <c r="P500" s="679"/>
      <c r="Q500" s="706"/>
      <c r="R500" s="179"/>
      <c r="S500" s="706"/>
      <c r="T500" s="708"/>
      <c r="U500" s="706"/>
      <c r="V500" s="706"/>
      <c r="W500" s="706"/>
      <c r="X500" s="706"/>
      <c r="Y500" s="706"/>
      <c r="Z500" s="706"/>
      <c r="AA500" s="706"/>
    </row>
    <row r="501" spans="2:27">
      <c r="B501" s="2460"/>
      <c r="C501" s="2498"/>
      <c r="D501" s="2481">
        <f t="shared" si="76"/>
        <v>0</v>
      </c>
      <c r="E501" s="2252"/>
      <c r="F501" s="2471"/>
      <c r="G501" s="2252"/>
      <c r="H501" s="2471"/>
      <c r="I501" s="2499">
        <f t="shared" si="77"/>
        <v>0</v>
      </c>
      <c r="J501" s="2471"/>
      <c r="K501" s="2252"/>
      <c r="L501" s="2471"/>
      <c r="M501" s="2500">
        <f t="shared" si="78"/>
        <v>0</v>
      </c>
      <c r="P501" s="679"/>
      <c r="Q501" s="706"/>
      <c r="R501" s="179"/>
      <c r="S501" s="706"/>
      <c r="T501" s="708"/>
      <c r="U501" s="706"/>
      <c r="V501" s="706"/>
      <c r="W501" s="706"/>
      <c r="X501" s="706"/>
      <c r="Y501" s="706"/>
      <c r="Z501" s="706"/>
      <c r="AA501" s="706"/>
    </row>
    <row r="502" spans="2:27">
      <c r="B502" s="2464" t="s">
        <v>336</v>
      </c>
      <c r="C502" s="2501"/>
      <c r="D502" s="2481">
        <f t="shared" si="76"/>
        <v>1000743.3669999999</v>
      </c>
      <c r="E502" s="2252">
        <f>E496-E498+E500</f>
        <v>0</v>
      </c>
      <c r="F502" s="2471">
        <f>F496-F498+F500</f>
        <v>586690.25299999991</v>
      </c>
      <c r="G502" s="2252">
        <f>G496-G498+G500</f>
        <v>414053.114</v>
      </c>
      <c r="H502" s="2471">
        <f>H496-H498+H500</f>
        <v>0</v>
      </c>
      <c r="I502" s="2499">
        <f t="shared" si="77"/>
        <v>1000743.3669999999</v>
      </c>
      <c r="J502" s="2471">
        <f>J496-J498+J500</f>
        <v>0</v>
      </c>
      <c r="K502" s="2252">
        <f>K496-K498+K500</f>
        <v>0</v>
      </c>
      <c r="L502" s="2471">
        <f>L496-L498+L500</f>
        <v>0</v>
      </c>
      <c r="M502" s="2500">
        <f t="shared" si="78"/>
        <v>0</v>
      </c>
      <c r="N502" s="927"/>
      <c r="O502" s="922"/>
      <c r="P502" s="679"/>
      <c r="Q502" s="706"/>
      <c r="R502" s="179"/>
      <c r="S502" s="706"/>
      <c r="T502" s="708"/>
      <c r="U502" s="706"/>
      <c r="V502" s="706"/>
      <c r="W502" s="706"/>
      <c r="X502" s="706"/>
      <c r="Y502" s="706"/>
      <c r="Z502" s="706"/>
      <c r="AA502" s="706"/>
    </row>
    <row r="503" spans="2:27">
      <c r="B503" s="2464"/>
      <c r="C503" s="2501"/>
      <c r="D503" s="2481">
        <f t="shared" si="76"/>
        <v>0</v>
      </c>
      <c r="E503" s="2252"/>
      <c r="F503" s="2471"/>
      <c r="G503" s="2252"/>
      <c r="H503" s="2471"/>
      <c r="I503" s="2499">
        <f t="shared" si="77"/>
        <v>0</v>
      </c>
      <c r="J503" s="2471"/>
      <c r="K503" s="2252"/>
      <c r="L503" s="2471"/>
      <c r="M503" s="2500">
        <f t="shared" si="78"/>
        <v>0</v>
      </c>
      <c r="P503" s="679"/>
      <c r="Q503" s="706"/>
      <c r="R503" s="179"/>
      <c r="S503" s="706"/>
      <c r="T503" s="708"/>
      <c r="U503" s="706"/>
      <c r="V503" s="706"/>
      <c r="W503" s="706"/>
      <c r="X503" s="706"/>
      <c r="Y503" s="706"/>
      <c r="Z503" s="706"/>
      <c r="AA503" s="706"/>
    </row>
    <row r="504" spans="2:27">
      <c r="B504" s="2464" t="s">
        <v>337</v>
      </c>
      <c r="C504" s="2501"/>
      <c r="D504" s="2481">
        <f t="shared" si="76"/>
        <v>339707.13208668935</v>
      </c>
      <c r="E504" s="2252">
        <f>SUM(E505:E509)</f>
        <v>6853.2262292416053</v>
      </c>
      <c r="F504" s="2471">
        <f>SUM(F505:F509)</f>
        <v>142702.47573047533</v>
      </c>
      <c r="G504" s="2252">
        <f>SUM(G505:G509)</f>
        <v>190151.43012697241</v>
      </c>
      <c r="H504" s="2471">
        <f>SUM(H505:H509)</f>
        <v>0</v>
      </c>
      <c r="I504" s="2499">
        <f t="shared" si="77"/>
        <v>332853.90585744777</v>
      </c>
      <c r="J504" s="2471">
        <f>SUM(J505:J509)</f>
        <v>0</v>
      </c>
      <c r="K504" s="2252">
        <f>SUM(K505:K509)</f>
        <v>0</v>
      </c>
      <c r="L504" s="2471">
        <f>SUM(L505:L509)</f>
        <v>0</v>
      </c>
      <c r="M504" s="2500">
        <f t="shared" si="78"/>
        <v>0</v>
      </c>
      <c r="N504" s="927"/>
      <c r="O504" s="922"/>
      <c r="P504" s="679"/>
      <c r="Q504" s="706"/>
      <c r="R504" s="179"/>
      <c r="S504" s="706"/>
      <c r="T504" s="708"/>
      <c r="U504" s="706"/>
      <c r="V504" s="706"/>
      <c r="W504" s="706"/>
      <c r="X504" s="706"/>
      <c r="Y504" s="706"/>
      <c r="Z504" s="706"/>
      <c r="AA504" s="706"/>
    </row>
    <row r="505" spans="2:27">
      <c r="B505" s="2460" t="s">
        <v>338</v>
      </c>
      <c r="C505" s="2498">
        <v>1</v>
      </c>
      <c r="D505" s="2481">
        <f t="shared" si="76"/>
        <v>335828</v>
      </c>
      <c r="E505" s="2252">
        <v>17857</v>
      </c>
      <c r="F505" s="2471">
        <v>139386</v>
      </c>
      <c r="G505" s="2252">
        <v>178585</v>
      </c>
      <c r="H505" s="2471"/>
      <c r="I505" s="2499">
        <f t="shared" si="77"/>
        <v>317971</v>
      </c>
      <c r="J505" s="2471"/>
      <c r="K505" s="2252"/>
      <c r="L505" s="2471"/>
      <c r="M505" s="2500">
        <f t="shared" si="78"/>
        <v>0</v>
      </c>
      <c r="N505" s="922"/>
      <c r="O505" s="922"/>
      <c r="P505" s="679"/>
      <c r="Q505" s="706"/>
      <c r="R505" s="179"/>
      <c r="S505" s="706"/>
      <c r="T505" s="708"/>
      <c r="U505" s="706"/>
      <c r="V505" s="706"/>
      <c r="W505" s="706"/>
      <c r="X505" s="706"/>
      <c r="Y505" s="706"/>
      <c r="Z505" s="706"/>
      <c r="AA505" s="706"/>
    </row>
    <row r="506" spans="2:27">
      <c r="B506" s="2460" t="s">
        <v>339</v>
      </c>
      <c r="C506" s="2498">
        <v>2</v>
      </c>
      <c r="D506" s="2481">
        <f t="shared" si="76"/>
        <v>0</v>
      </c>
      <c r="E506" s="2252"/>
      <c r="F506" s="2471"/>
      <c r="G506" s="2252"/>
      <c r="H506" s="2471"/>
      <c r="I506" s="2499">
        <f t="shared" si="77"/>
        <v>0</v>
      </c>
      <c r="J506" s="2471"/>
      <c r="K506" s="2252"/>
      <c r="L506" s="2471"/>
      <c r="M506" s="2500">
        <f t="shared" si="78"/>
        <v>0</v>
      </c>
      <c r="N506" s="922"/>
      <c r="O506" s="922"/>
      <c r="P506" s="679"/>
      <c r="Q506" s="706"/>
      <c r="R506" s="179"/>
      <c r="S506" s="706"/>
      <c r="T506" s="708"/>
      <c r="U506" s="706"/>
      <c r="V506" s="706"/>
      <c r="W506" s="706"/>
      <c r="X506" s="706"/>
      <c r="Y506" s="706"/>
      <c r="Z506" s="706"/>
      <c r="AA506" s="706"/>
    </row>
    <row r="507" spans="2:27">
      <c r="B507" s="2460" t="s">
        <v>340</v>
      </c>
      <c r="C507" s="2498"/>
      <c r="D507" s="2481">
        <f t="shared" si="76"/>
        <v>45538.048416689315</v>
      </c>
      <c r="E507" s="2252">
        <v>12006.226229241607</v>
      </c>
      <c r="F507" s="2471">
        <v>584.47134497532716</v>
      </c>
      <c r="G507" s="2252">
        <v>32947.350842472384</v>
      </c>
      <c r="H507" s="2471"/>
      <c r="I507" s="2499">
        <f t="shared" si="77"/>
        <v>33531.822187447709</v>
      </c>
      <c r="J507" s="2471"/>
      <c r="K507" s="2252"/>
      <c r="L507" s="2471"/>
      <c r="M507" s="2500">
        <f t="shared" si="78"/>
        <v>0</v>
      </c>
      <c r="N507" s="922"/>
      <c r="O507" s="922"/>
      <c r="P507" s="679"/>
      <c r="Q507" s="706"/>
      <c r="R507" s="179"/>
      <c r="S507" s="706"/>
      <c r="T507" s="708"/>
      <c r="U507" s="706"/>
      <c r="V507" s="706"/>
      <c r="W507" s="706"/>
      <c r="X507" s="706"/>
      <c r="Y507" s="706"/>
      <c r="Z507" s="706"/>
      <c r="AA507" s="706"/>
    </row>
    <row r="508" spans="2:27">
      <c r="B508" s="2460" t="s">
        <v>341</v>
      </c>
      <c r="C508" s="2498"/>
      <c r="D508" s="2481">
        <f t="shared" si="76"/>
        <v>-50182</v>
      </c>
      <c r="E508" s="2252">
        <v>-23010</v>
      </c>
      <c r="F508" s="2471">
        <v>-2808</v>
      </c>
      <c r="G508" s="2252">
        <v>-24364</v>
      </c>
      <c r="H508" s="2471"/>
      <c r="I508" s="2499">
        <f t="shared" si="77"/>
        <v>-27172</v>
      </c>
      <c r="J508" s="2471"/>
      <c r="K508" s="2252"/>
      <c r="L508" s="2471"/>
      <c r="M508" s="2500">
        <f t="shared" si="78"/>
        <v>0</v>
      </c>
      <c r="N508" s="922"/>
      <c r="O508" s="922"/>
      <c r="P508" s="679"/>
      <c r="Q508" s="706"/>
      <c r="R508" s="179"/>
      <c r="S508" s="706"/>
      <c r="T508" s="708"/>
      <c r="U508" s="706"/>
      <c r="V508" s="706"/>
      <c r="W508" s="706"/>
      <c r="X508" s="706"/>
      <c r="Y508" s="706"/>
      <c r="Z508" s="706"/>
      <c r="AA508" s="706"/>
    </row>
    <row r="509" spans="2:27">
      <c r="B509" s="2460" t="s">
        <v>342</v>
      </c>
      <c r="C509" s="2498">
        <v>3</v>
      </c>
      <c r="D509" s="2481">
        <f t="shared" si="76"/>
        <v>8523.08367</v>
      </c>
      <c r="E509" s="2252">
        <v>0</v>
      </c>
      <c r="F509" s="2471">
        <v>5540.0043855000004</v>
      </c>
      <c r="G509" s="2252">
        <v>2983.0792845000001</v>
      </c>
      <c r="H509" s="2471"/>
      <c r="I509" s="2499">
        <f t="shared" si="77"/>
        <v>8523.08367</v>
      </c>
      <c r="J509" s="2471"/>
      <c r="K509" s="2252"/>
      <c r="L509" s="2471"/>
      <c r="M509" s="2500">
        <f t="shared" si="78"/>
        <v>0</v>
      </c>
      <c r="N509" s="922"/>
      <c r="O509" s="922"/>
      <c r="P509" s="679"/>
      <c r="Q509" s="706"/>
      <c r="R509" s="179"/>
      <c r="S509" s="706"/>
      <c r="T509" s="708"/>
      <c r="U509" s="706"/>
      <c r="V509" s="706"/>
      <c r="W509" s="706"/>
      <c r="X509" s="706"/>
      <c r="Y509" s="706"/>
      <c r="Z509" s="706"/>
      <c r="AA509" s="706"/>
    </row>
    <row r="510" spans="2:27">
      <c r="B510" s="2460" t="s">
        <v>365</v>
      </c>
      <c r="C510" s="2498"/>
      <c r="D510" s="2481">
        <f t="shared" si="76"/>
        <v>0</v>
      </c>
      <c r="E510" s="2252"/>
      <c r="F510" s="2471"/>
      <c r="G510" s="2252"/>
      <c r="H510" s="2471"/>
      <c r="I510" s="2499">
        <f t="shared" si="77"/>
        <v>0</v>
      </c>
      <c r="J510" s="2471"/>
      <c r="K510" s="2252"/>
      <c r="L510" s="2471"/>
      <c r="M510" s="2500">
        <f t="shared" si="78"/>
        <v>0</v>
      </c>
      <c r="P510" s="679"/>
      <c r="Q510" s="706"/>
      <c r="R510" s="179"/>
      <c r="S510" s="706"/>
      <c r="T510" s="708"/>
      <c r="U510" s="706"/>
      <c r="V510" s="706"/>
      <c r="W510" s="706"/>
      <c r="X510" s="706"/>
      <c r="Y510" s="706"/>
      <c r="Z510" s="706"/>
      <c r="AA510" s="706"/>
    </row>
    <row r="511" spans="2:27">
      <c r="B511" s="2460" t="s">
        <v>366</v>
      </c>
      <c r="C511" s="2498"/>
      <c r="D511" s="2481">
        <f t="shared" si="76"/>
        <v>0</v>
      </c>
      <c r="E511" s="2252"/>
      <c r="F511" s="2471"/>
      <c r="G511" s="2252"/>
      <c r="H511" s="2471"/>
      <c r="I511" s="2499">
        <f t="shared" si="77"/>
        <v>0</v>
      </c>
      <c r="J511" s="2471"/>
      <c r="K511" s="2252"/>
      <c r="L511" s="2471"/>
      <c r="M511" s="2500">
        <f t="shared" si="78"/>
        <v>0</v>
      </c>
      <c r="P511" s="679"/>
      <c r="Q511" s="706"/>
      <c r="R511" s="179"/>
      <c r="S511" s="706"/>
      <c r="T511" s="708"/>
      <c r="U511" s="706"/>
      <c r="V511" s="706"/>
      <c r="W511" s="706"/>
      <c r="X511" s="706"/>
      <c r="Y511" s="706"/>
      <c r="Z511" s="706"/>
      <c r="AA511" s="706"/>
    </row>
    <row r="512" spans="2:27">
      <c r="B512" s="2460"/>
      <c r="C512" s="2498"/>
      <c r="D512" s="2481">
        <f t="shared" si="76"/>
        <v>0</v>
      </c>
      <c r="E512" s="2252"/>
      <c r="F512" s="2471"/>
      <c r="G512" s="2252"/>
      <c r="H512" s="2471"/>
      <c r="I512" s="2499">
        <f t="shared" si="77"/>
        <v>0</v>
      </c>
      <c r="J512" s="2471"/>
      <c r="K512" s="2252"/>
      <c r="L512" s="2471"/>
      <c r="M512" s="2500">
        <f t="shared" si="78"/>
        <v>0</v>
      </c>
      <c r="P512" s="679"/>
      <c r="Q512" s="706"/>
      <c r="R512" s="179"/>
      <c r="S512" s="706"/>
      <c r="T512" s="708"/>
      <c r="U512" s="706"/>
      <c r="V512" s="706"/>
      <c r="W512" s="706"/>
      <c r="X512" s="706"/>
      <c r="Y512" s="706"/>
      <c r="Z512" s="706"/>
      <c r="AA512" s="706"/>
    </row>
    <row r="513" spans="2:27">
      <c r="B513" s="2466" t="s">
        <v>344</v>
      </c>
      <c r="C513" s="2501"/>
      <c r="D513" s="2481">
        <f t="shared" si="76"/>
        <v>1340450.4990866892</v>
      </c>
      <c r="E513" s="2252">
        <f>E502+E504</f>
        <v>6853.2262292416053</v>
      </c>
      <c r="F513" s="2471">
        <f>F502+F504</f>
        <v>729392.7287304753</v>
      </c>
      <c r="G513" s="2252">
        <f>G502+G504</f>
        <v>604204.54412697244</v>
      </c>
      <c r="H513" s="2471">
        <f>H502+H504</f>
        <v>0</v>
      </c>
      <c r="I513" s="2499">
        <f t="shared" si="77"/>
        <v>1333597.2728574476</v>
      </c>
      <c r="J513" s="2471">
        <f>J502+J504</f>
        <v>0</v>
      </c>
      <c r="K513" s="2252">
        <f>K502+K504</f>
        <v>0</v>
      </c>
      <c r="L513" s="2471">
        <f>L502+L504</f>
        <v>0</v>
      </c>
      <c r="M513" s="2500">
        <f t="shared" si="78"/>
        <v>0</v>
      </c>
      <c r="N513" s="927"/>
      <c r="O513" s="922"/>
      <c r="P513" s="679"/>
      <c r="Q513" s="706"/>
      <c r="R513" s="179"/>
      <c r="S513" s="706"/>
      <c r="T513" s="708"/>
      <c r="U513" s="706"/>
      <c r="V513" s="706"/>
      <c r="W513" s="706"/>
      <c r="X513" s="706"/>
      <c r="Y513" s="706"/>
      <c r="Z513" s="706"/>
      <c r="AA513" s="706"/>
    </row>
    <row r="514" spans="2:27">
      <c r="B514" s="2466"/>
      <c r="C514" s="2501"/>
      <c r="D514" s="2481">
        <f t="shared" si="76"/>
        <v>0</v>
      </c>
      <c r="E514" s="2252"/>
      <c r="F514" s="2471"/>
      <c r="G514" s="2252"/>
      <c r="H514" s="2471"/>
      <c r="I514" s="2499">
        <f t="shared" si="77"/>
        <v>0</v>
      </c>
      <c r="J514" s="2471"/>
      <c r="K514" s="2252"/>
      <c r="L514" s="2471"/>
      <c r="M514" s="2500"/>
      <c r="P514" s="679"/>
      <c r="Q514" s="706"/>
      <c r="R514" s="179"/>
      <c r="S514" s="706"/>
      <c r="T514" s="708"/>
      <c r="U514" s="706"/>
      <c r="V514" s="706"/>
      <c r="W514" s="706"/>
      <c r="X514" s="706"/>
      <c r="Y514" s="706"/>
      <c r="Z514" s="706"/>
      <c r="AA514" s="706"/>
    </row>
    <row r="515" spans="2:27">
      <c r="B515" s="2460" t="s">
        <v>345</v>
      </c>
      <c r="C515" s="2498"/>
      <c r="D515" s="2481">
        <f t="shared" si="76"/>
        <v>883360.28529000003</v>
      </c>
      <c r="E515" s="2252"/>
      <c r="F515" s="2471">
        <v>309488.87442061101</v>
      </c>
      <c r="G515" s="2252">
        <v>573871.41086938896</v>
      </c>
      <c r="H515" s="2471"/>
      <c r="I515" s="2499">
        <f t="shared" si="77"/>
        <v>883360.28529000003</v>
      </c>
      <c r="J515" s="2471"/>
      <c r="K515" s="2252"/>
      <c r="L515" s="2471"/>
      <c r="M515" s="2500">
        <f t="shared" ref="M515:M533" si="79">L515+K515+J515</f>
        <v>0</v>
      </c>
      <c r="N515" s="922"/>
      <c r="O515" s="922"/>
      <c r="P515" s="679"/>
      <c r="Q515" s="706"/>
      <c r="R515" s="179"/>
      <c r="S515" s="706"/>
      <c r="T515" s="708"/>
      <c r="U515" s="706"/>
      <c r="V515" s="706"/>
      <c r="W515" s="706"/>
      <c r="X515" s="706"/>
      <c r="Y515" s="706"/>
      <c r="Z515" s="706"/>
      <c r="AA515" s="706"/>
    </row>
    <row r="516" spans="2:27">
      <c r="B516" s="2460" t="s">
        <v>346</v>
      </c>
      <c r="C516" s="2498"/>
      <c r="D516" s="2481">
        <f t="shared" si="76"/>
        <v>0</v>
      </c>
      <c r="E516" s="2252"/>
      <c r="F516" s="2471"/>
      <c r="G516" s="2252"/>
      <c r="H516" s="2471"/>
      <c r="I516" s="2499">
        <f t="shared" si="77"/>
        <v>0</v>
      </c>
      <c r="J516" s="2471"/>
      <c r="K516" s="2252"/>
      <c r="L516" s="2471"/>
      <c r="M516" s="2500">
        <f t="shared" si="79"/>
        <v>0</v>
      </c>
      <c r="N516" s="922"/>
      <c r="O516" s="922"/>
      <c r="P516" s="679"/>
      <c r="Q516" s="706"/>
      <c r="R516" s="179"/>
      <c r="S516" s="706"/>
      <c r="T516" s="708"/>
      <c r="U516" s="706"/>
      <c r="V516" s="706"/>
      <c r="W516" s="706"/>
      <c r="X516" s="706"/>
      <c r="Y516" s="706"/>
      <c r="Z516" s="706"/>
      <c r="AA516" s="706"/>
    </row>
    <row r="517" spans="2:27">
      <c r="B517" s="2460" t="s">
        <v>347</v>
      </c>
      <c r="C517" s="2498"/>
      <c r="D517" s="2481">
        <f t="shared" si="76"/>
        <v>0</v>
      </c>
      <c r="E517" s="2252"/>
      <c r="F517" s="2471"/>
      <c r="G517" s="2252"/>
      <c r="H517" s="2471"/>
      <c r="I517" s="2499">
        <f t="shared" si="77"/>
        <v>0</v>
      </c>
      <c r="J517" s="2471"/>
      <c r="K517" s="2252"/>
      <c r="L517" s="2471"/>
      <c r="M517" s="2500">
        <f t="shared" si="79"/>
        <v>0</v>
      </c>
      <c r="N517" s="922"/>
      <c r="O517" s="922"/>
      <c r="P517" s="679"/>
      <c r="Q517" s="706"/>
      <c r="R517" s="179"/>
      <c r="S517" s="706"/>
      <c r="T517" s="708"/>
      <c r="U517" s="706"/>
      <c r="V517" s="706"/>
      <c r="W517" s="706"/>
      <c r="X517" s="706"/>
      <c r="Y517" s="706"/>
      <c r="Z517" s="706"/>
      <c r="AA517" s="706"/>
    </row>
    <row r="518" spans="2:27" ht="12.75" customHeight="1">
      <c r="B518" s="2467" t="s">
        <v>348</v>
      </c>
      <c r="C518" s="2498"/>
      <c r="D518" s="2481">
        <f t="shared" si="76"/>
        <v>0</v>
      </c>
      <c r="E518" s="2252"/>
      <c r="F518" s="2471"/>
      <c r="G518" s="2252"/>
      <c r="H518" s="2471"/>
      <c r="I518" s="2499">
        <f t="shared" si="77"/>
        <v>0</v>
      </c>
      <c r="J518" s="2471"/>
      <c r="K518" s="2252"/>
      <c r="L518" s="2471"/>
      <c r="M518" s="2500">
        <f t="shared" si="79"/>
        <v>0</v>
      </c>
      <c r="N518" s="922"/>
      <c r="O518" s="922"/>
      <c r="P518" s="679"/>
      <c r="Q518" s="706"/>
      <c r="R518" s="179"/>
      <c r="S518" s="706"/>
      <c r="T518" s="708"/>
      <c r="U518" s="706"/>
      <c r="V518" s="706"/>
      <c r="W518" s="706"/>
      <c r="X518" s="706"/>
      <c r="Y518" s="706"/>
      <c r="Z518" s="706"/>
      <c r="AA518" s="706"/>
    </row>
    <row r="519" spans="2:27">
      <c r="B519" s="2460" t="s">
        <v>349</v>
      </c>
      <c r="C519" s="2498"/>
      <c r="D519" s="2481">
        <f t="shared" si="76"/>
        <v>-57133.777999999991</v>
      </c>
      <c r="E519" s="2252"/>
      <c r="F519" s="2471">
        <v>253521.473</v>
      </c>
      <c r="G519" s="2252">
        <v>-310655.25099999999</v>
      </c>
      <c r="H519" s="2471"/>
      <c r="I519" s="2499">
        <f t="shared" si="77"/>
        <v>-57133.777999999991</v>
      </c>
      <c r="J519" s="2471"/>
      <c r="K519" s="2252"/>
      <c r="L519" s="2471"/>
      <c r="M519" s="2500">
        <f t="shared" si="79"/>
        <v>0</v>
      </c>
      <c r="N519" s="922"/>
      <c r="O519" s="922"/>
      <c r="P519" s="679"/>
      <c r="Q519" s="706"/>
      <c r="R519" s="179"/>
      <c r="S519" s="706"/>
      <c r="T519" s="708"/>
      <c r="U519" s="706"/>
      <c r="V519" s="706"/>
      <c r="W519" s="706"/>
      <c r="X519" s="706"/>
      <c r="Y519" s="706"/>
      <c r="Z519" s="706"/>
      <c r="AA519" s="706"/>
    </row>
    <row r="520" spans="2:27">
      <c r="B520" s="2460" t="s">
        <v>350</v>
      </c>
      <c r="C520" s="2498"/>
      <c r="D520" s="2481">
        <f t="shared" si="76"/>
        <v>0</v>
      </c>
      <c r="E520" s="2252"/>
      <c r="F520" s="2471"/>
      <c r="G520" s="2252"/>
      <c r="H520" s="2471"/>
      <c r="I520" s="2499">
        <f t="shared" si="77"/>
        <v>0</v>
      </c>
      <c r="J520" s="2471"/>
      <c r="K520" s="2252"/>
      <c r="L520" s="2471"/>
      <c r="M520" s="2500">
        <f t="shared" si="79"/>
        <v>0</v>
      </c>
      <c r="N520" s="922"/>
      <c r="O520" s="922"/>
      <c r="P520" s="679"/>
      <c r="Q520" s="706"/>
      <c r="R520" s="179"/>
      <c r="S520" s="706"/>
      <c r="T520" s="708"/>
      <c r="U520" s="706"/>
      <c r="V520" s="706"/>
      <c r="W520" s="706"/>
      <c r="X520" s="706"/>
      <c r="Y520" s="706"/>
      <c r="Z520" s="706"/>
      <c r="AA520" s="706"/>
    </row>
    <row r="521" spans="2:27">
      <c r="B521" s="2466" t="s">
        <v>351</v>
      </c>
      <c r="C521" s="2501"/>
      <c r="D521" s="2481">
        <f t="shared" si="76"/>
        <v>826226.50728999986</v>
      </c>
      <c r="E521" s="2252">
        <f>SUM(E515:E520)</f>
        <v>0</v>
      </c>
      <c r="F521" s="2471">
        <f>SUM(F515:F520)</f>
        <v>563010.34742061095</v>
      </c>
      <c r="G521" s="2252">
        <f>SUM(G515:G520)</f>
        <v>263216.15986938897</v>
      </c>
      <c r="H521" s="2471">
        <f>SUM(H515:H520)</f>
        <v>0</v>
      </c>
      <c r="I521" s="2499">
        <f t="shared" si="77"/>
        <v>826226.50728999986</v>
      </c>
      <c r="J521" s="2471">
        <f>SUM(J515:J520)</f>
        <v>0</v>
      </c>
      <c r="K521" s="2252">
        <f>SUM(K515:K520)</f>
        <v>0</v>
      </c>
      <c r="L521" s="2471">
        <f>SUM(L515:L520)</f>
        <v>0</v>
      </c>
      <c r="M521" s="2500">
        <f t="shared" si="79"/>
        <v>0</v>
      </c>
      <c r="N521" s="927"/>
      <c r="O521" s="922"/>
      <c r="P521" s="679"/>
      <c r="Q521" s="706"/>
      <c r="R521" s="179"/>
      <c r="S521" s="706"/>
      <c r="T521" s="708"/>
      <c r="U521" s="706"/>
      <c r="V521" s="706"/>
      <c r="W521" s="706"/>
      <c r="X521" s="706"/>
      <c r="Y521" s="706"/>
      <c r="Z521" s="706"/>
      <c r="AA521" s="706"/>
    </row>
    <row r="522" spans="2:27">
      <c r="B522" s="2460"/>
      <c r="C522" s="2498"/>
      <c r="D522" s="2481">
        <f t="shared" si="76"/>
        <v>0</v>
      </c>
      <c r="E522" s="2252"/>
      <c r="F522" s="2471"/>
      <c r="G522" s="2252"/>
      <c r="H522" s="2471"/>
      <c r="I522" s="2499">
        <f t="shared" si="77"/>
        <v>0</v>
      </c>
      <c r="J522" s="2471"/>
      <c r="K522" s="2252"/>
      <c r="L522" s="2471"/>
      <c r="M522" s="2500">
        <f t="shared" si="79"/>
        <v>0</v>
      </c>
      <c r="O522" s="922"/>
      <c r="P522" s="679"/>
      <c r="Q522" s="706"/>
      <c r="R522" s="179"/>
      <c r="S522" s="706"/>
      <c r="T522" s="708"/>
      <c r="U522" s="706"/>
      <c r="V522" s="706"/>
      <c r="W522" s="706"/>
      <c r="X522" s="706"/>
      <c r="Y522" s="706"/>
      <c r="Z522" s="706"/>
      <c r="AA522" s="706"/>
    </row>
    <row r="523" spans="2:27" ht="51">
      <c r="B523" s="2467" t="s">
        <v>352</v>
      </c>
      <c r="C523" s="2498"/>
      <c r="D523" s="2481">
        <f t="shared" si="76"/>
        <v>89149.324809999889</v>
      </c>
      <c r="E523" s="2252"/>
      <c r="F523" s="2471">
        <v>83889.417485219805</v>
      </c>
      <c r="G523" s="2252">
        <v>5259.9073247800898</v>
      </c>
      <c r="H523" s="2471"/>
      <c r="I523" s="2499">
        <f t="shared" si="77"/>
        <v>89149.324809999889</v>
      </c>
      <c r="J523" s="2471"/>
      <c r="K523" s="2252"/>
      <c r="L523" s="2471"/>
      <c r="M523" s="2500">
        <f t="shared" si="79"/>
        <v>0</v>
      </c>
      <c r="N523" s="922"/>
      <c r="O523" s="922"/>
      <c r="P523" s="679"/>
      <c r="Q523" s="706"/>
      <c r="R523" s="179"/>
      <c r="S523" s="706"/>
      <c r="T523" s="708"/>
      <c r="U523" s="706"/>
      <c r="V523" s="706"/>
      <c r="W523" s="706"/>
      <c r="X523" s="706"/>
      <c r="Y523" s="706"/>
      <c r="Z523" s="706"/>
      <c r="AA523" s="706"/>
    </row>
    <row r="524" spans="2:27">
      <c r="B524" s="2460"/>
      <c r="C524" s="2498"/>
      <c r="D524" s="2481">
        <f t="shared" si="76"/>
        <v>0</v>
      </c>
      <c r="E524" s="2252"/>
      <c r="F524" s="2471"/>
      <c r="G524" s="2252"/>
      <c r="H524" s="2471"/>
      <c r="I524" s="2499">
        <f t="shared" si="77"/>
        <v>0</v>
      </c>
      <c r="J524" s="2471"/>
      <c r="K524" s="2252"/>
      <c r="L524" s="2471"/>
      <c r="M524" s="2500">
        <f t="shared" si="79"/>
        <v>0</v>
      </c>
      <c r="N524" s="922"/>
      <c r="O524" s="922"/>
      <c r="P524" s="679"/>
      <c r="Q524" s="706"/>
      <c r="R524" s="179"/>
      <c r="S524" s="706"/>
      <c r="T524" s="708"/>
      <c r="U524" s="706"/>
      <c r="V524" s="706"/>
      <c r="W524" s="706"/>
      <c r="X524" s="706"/>
      <c r="Y524" s="706"/>
      <c r="Z524" s="706"/>
      <c r="AA524" s="706"/>
    </row>
    <row r="525" spans="2:27" ht="12.75" customHeight="1">
      <c r="B525" s="2467" t="s">
        <v>353</v>
      </c>
      <c r="C525" s="2498">
        <v>4</v>
      </c>
      <c r="D525" s="2481">
        <f t="shared" si="76"/>
        <v>261435.32125000001</v>
      </c>
      <c r="E525" s="2252">
        <v>22827.234769999999</v>
      </c>
      <c r="F525" s="2471">
        <v>155095.25621200001</v>
      </c>
      <c r="G525" s="2252">
        <v>83512.830268000005</v>
      </c>
      <c r="H525" s="2471"/>
      <c r="I525" s="2499">
        <f t="shared" si="77"/>
        <v>238608.08648</v>
      </c>
      <c r="J525" s="2471"/>
      <c r="K525" s="2252"/>
      <c r="L525" s="2471"/>
      <c r="M525" s="2500">
        <f t="shared" si="79"/>
        <v>0</v>
      </c>
      <c r="N525" s="922"/>
      <c r="O525" s="922"/>
      <c r="P525" s="679"/>
      <c r="Q525" s="706"/>
      <c r="R525" s="179"/>
      <c r="S525" s="706"/>
      <c r="T525" s="708"/>
      <c r="U525" s="706"/>
      <c r="V525" s="706"/>
      <c r="W525" s="706"/>
      <c r="X525" s="706"/>
      <c r="Y525" s="706"/>
      <c r="Z525" s="706"/>
      <c r="AA525" s="706"/>
    </row>
    <row r="526" spans="2:27">
      <c r="B526" s="2460" t="s">
        <v>354</v>
      </c>
      <c r="C526" s="2498"/>
      <c r="D526" s="2481">
        <f t="shared" si="76"/>
        <v>0</v>
      </c>
      <c r="E526" s="2252"/>
      <c r="F526" s="2471"/>
      <c r="G526" s="2252"/>
      <c r="H526" s="2471"/>
      <c r="I526" s="2499">
        <f t="shared" si="77"/>
        <v>0</v>
      </c>
      <c r="J526" s="2471"/>
      <c r="K526" s="2252"/>
      <c r="L526" s="2471"/>
      <c r="M526" s="2500">
        <f t="shared" si="79"/>
        <v>0</v>
      </c>
      <c r="N526" s="922"/>
      <c r="O526" s="922"/>
      <c r="P526" s="679"/>
      <c r="Q526" s="706"/>
      <c r="R526" s="179"/>
      <c r="S526" s="706"/>
      <c r="T526" s="708"/>
      <c r="U526" s="706"/>
      <c r="V526" s="706"/>
      <c r="W526" s="706"/>
      <c r="X526" s="706"/>
      <c r="Y526" s="706"/>
      <c r="Z526" s="706"/>
      <c r="AA526" s="706"/>
    </row>
    <row r="527" spans="2:27">
      <c r="B527" s="2460" t="s">
        <v>355</v>
      </c>
      <c r="C527" s="2498"/>
      <c r="D527" s="2481">
        <f t="shared" si="76"/>
        <v>33565.888391</v>
      </c>
      <c r="E527" s="2252">
        <v>12909</v>
      </c>
      <c r="F527" s="2471">
        <v>506.07839100000001</v>
      </c>
      <c r="G527" s="2252">
        <v>20150.810000000001</v>
      </c>
      <c r="H527" s="2471"/>
      <c r="I527" s="2499">
        <f t="shared" si="77"/>
        <v>20656.888391</v>
      </c>
      <c r="J527" s="2471"/>
      <c r="K527" s="2252"/>
      <c r="L527" s="2471"/>
      <c r="M527" s="2500">
        <f t="shared" si="79"/>
        <v>0</v>
      </c>
      <c r="N527" s="922"/>
      <c r="O527" s="922"/>
      <c r="P527" s="679"/>
      <c r="Q527" s="706"/>
      <c r="R527" s="179"/>
      <c r="S527" s="706"/>
      <c r="T527" s="708"/>
      <c r="U527" s="706"/>
      <c r="V527" s="706"/>
      <c r="W527" s="706"/>
      <c r="X527" s="706"/>
      <c r="Y527" s="706"/>
      <c r="Z527" s="706"/>
      <c r="AA527" s="706"/>
    </row>
    <row r="528" spans="2:27">
      <c r="B528" s="2466" t="s">
        <v>356</v>
      </c>
      <c r="C528" s="2501"/>
      <c r="D528" s="2481">
        <f t="shared" si="76"/>
        <v>295001.20964099996</v>
      </c>
      <c r="E528" s="2252">
        <f>SUM(E525:E527)</f>
        <v>35736.234769999995</v>
      </c>
      <c r="F528" s="2471">
        <f>SUM(F525:F527)</f>
        <v>155601.334603</v>
      </c>
      <c r="G528" s="2252">
        <f>SUM(G525:G527)</f>
        <v>103663.640268</v>
      </c>
      <c r="H528" s="2471">
        <f>SUM(H525:H527)</f>
        <v>0</v>
      </c>
      <c r="I528" s="2499">
        <f t="shared" si="77"/>
        <v>259264.97487099998</v>
      </c>
      <c r="J528" s="2471">
        <f>SUM(J525:J527)</f>
        <v>0</v>
      </c>
      <c r="K528" s="2252">
        <f>SUM(K525:K527)</f>
        <v>0</v>
      </c>
      <c r="L528" s="2471">
        <f>SUM(L525:L527)</f>
        <v>0</v>
      </c>
      <c r="M528" s="2500">
        <f t="shared" si="79"/>
        <v>0</v>
      </c>
      <c r="N528" s="927"/>
      <c r="O528" s="922"/>
      <c r="P528" s="679"/>
      <c r="Q528" s="706"/>
      <c r="R528" s="179"/>
      <c r="S528" s="706"/>
      <c r="T528" s="708"/>
      <c r="U528" s="706"/>
      <c r="V528" s="706"/>
      <c r="W528" s="706"/>
      <c r="X528" s="706"/>
      <c r="Y528" s="706"/>
      <c r="Z528" s="706"/>
      <c r="AA528" s="706"/>
    </row>
    <row r="529" spans="1:38">
      <c r="B529" s="2466"/>
      <c r="C529" s="2501"/>
      <c r="D529" s="2481">
        <f t="shared" si="76"/>
        <v>0</v>
      </c>
      <c r="E529" s="2252"/>
      <c r="F529" s="2471"/>
      <c r="G529" s="2252"/>
      <c r="H529" s="2471"/>
      <c r="I529" s="2499">
        <f t="shared" si="77"/>
        <v>0</v>
      </c>
      <c r="J529" s="2471"/>
      <c r="K529" s="2252"/>
      <c r="L529" s="2471"/>
      <c r="M529" s="2500">
        <f t="shared" si="79"/>
        <v>0</v>
      </c>
      <c r="P529" s="679"/>
      <c r="Q529" s="706"/>
      <c r="R529" s="179"/>
      <c r="S529" s="706"/>
      <c r="T529" s="708"/>
      <c r="U529" s="706"/>
      <c r="V529" s="706"/>
      <c r="W529" s="706"/>
      <c r="X529" s="706"/>
      <c r="Y529" s="706"/>
      <c r="Z529" s="706"/>
      <c r="AA529" s="706"/>
    </row>
    <row r="530" spans="1:38">
      <c r="B530" s="2466" t="s">
        <v>357</v>
      </c>
      <c r="C530" s="2501"/>
      <c r="D530" s="2481">
        <f t="shared" si="76"/>
        <v>130073.45734568953</v>
      </c>
      <c r="E530" s="2252">
        <f>E513-E521-E523-E528</f>
        <v>-28883.00854075839</v>
      </c>
      <c r="F530" s="2471">
        <f>F513-F521-F523-F528</f>
        <v>-73108.370778355456</v>
      </c>
      <c r="G530" s="2252">
        <f>G513-G521-G523-G528</f>
        <v>232064.83666480338</v>
      </c>
      <c r="H530" s="2471">
        <f>H513-H521-H523-H528</f>
        <v>0</v>
      </c>
      <c r="I530" s="2499">
        <f t="shared" si="77"/>
        <v>158956.46588644793</v>
      </c>
      <c r="J530" s="2471">
        <f>J513-J521-J523-J528</f>
        <v>0</v>
      </c>
      <c r="K530" s="2252">
        <f>K513-K521-K523-K528</f>
        <v>0</v>
      </c>
      <c r="L530" s="2471">
        <f>L513-L521-L523-L528</f>
        <v>0</v>
      </c>
      <c r="M530" s="2500">
        <f t="shared" si="79"/>
        <v>0</v>
      </c>
      <c r="N530" s="927"/>
      <c r="O530" s="922"/>
      <c r="P530" s="679"/>
      <c r="Q530" s="706"/>
      <c r="R530" s="179"/>
      <c r="S530" s="706"/>
      <c r="T530" s="708"/>
      <c r="U530" s="706"/>
      <c r="V530" s="706"/>
      <c r="W530" s="706"/>
      <c r="X530" s="706"/>
      <c r="Y530" s="706"/>
      <c r="Z530" s="706"/>
      <c r="AA530" s="706"/>
    </row>
    <row r="531" spans="1:38">
      <c r="B531" s="2460" t="s">
        <v>358</v>
      </c>
      <c r="C531" s="2498"/>
      <c r="D531" s="2481">
        <f t="shared" si="76"/>
        <v>0</v>
      </c>
      <c r="E531" s="2252"/>
      <c r="F531" s="2471"/>
      <c r="G531" s="2252"/>
      <c r="H531" s="2471"/>
      <c r="I531" s="2499">
        <f t="shared" si="77"/>
        <v>0</v>
      </c>
      <c r="J531" s="2471"/>
      <c r="K531" s="2252"/>
      <c r="L531" s="2471"/>
      <c r="M531" s="2500">
        <f t="shared" si="79"/>
        <v>0</v>
      </c>
      <c r="N531" s="922"/>
      <c r="O531" s="922"/>
      <c r="P531" s="679"/>
      <c r="Q531" s="706"/>
      <c r="R531" s="179"/>
      <c r="S531" s="706"/>
      <c r="T531" s="708"/>
      <c r="U531" s="706"/>
      <c r="V531" s="706"/>
      <c r="W531" s="706"/>
      <c r="X531" s="706"/>
      <c r="Y531" s="706"/>
      <c r="Z531" s="706"/>
      <c r="AA531" s="706"/>
    </row>
    <row r="532" spans="1:38">
      <c r="B532" s="2460"/>
      <c r="C532" s="2498"/>
      <c r="D532" s="2481">
        <f t="shared" si="76"/>
        <v>0</v>
      </c>
      <c r="E532" s="2252"/>
      <c r="F532" s="2471"/>
      <c r="G532" s="2252"/>
      <c r="H532" s="2471"/>
      <c r="I532" s="2499">
        <f t="shared" si="77"/>
        <v>0</v>
      </c>
      <c r="J532" s="2471"/>
      <c r="K532" s="2252"/>
      <c r="L532" s="2471"/>
      <c r="M532" s="2500">
        <f t="shared" si="79"/>
        <v>0</v>
      </c>
      <c r="P532" s="679"/>
      <c r="Q532" s="706"/>
      <c r="R532" s="179"/>
      <c r="S532" s="706"/>
      <c r="T532" s="708"/>
      <c r="U532" s="706"/>
      <c r="V532" s="706"/>
      <c r="W532" s="706"/>
      <c r="X532" s="706"/>
      <c r="Y532" s="706"/>
      <c r="Z532" s="706"/>
      <c r="AA532" s="706"/>
    </row>
    <row r="533" spans="1:38" ht="13.5" thickBot="1">
      <c r="B533" s="1602" t="s">
        <v>359</v>
      </c>
      <c r="C533" s="1638"/>
      <c r="D533" s="1614">
        <f t="shared" si="76"/>
        <v>130073.45734568953</v>
      </c>
      <c r="E533" s="1624">
        <f>E530-E531</f>
        <v>-28883.00854075839</v>
      </c>
      <c r="F533" s="1614">
        <f>F530-F531</f>
        <v>-73108.370778355456</v>
      </c>
      <c r="G533" s="1624">
        <f>G530-G531</f>
        <v>232064.83666480338</v>
      </c>
      <c r="H533" s="1614">
        <f>H530-H531</f>
        <v>0</v>
      </c>
      <c r="I533" s="1624">
        <f t="shared" si="77"/>
        <v>158956.46588644793</v>
      </c>
      <c r="J533" s="1614">
        <f>J530-J531</f>
        <v>0</v>
      </c>
      <c r="K533" s="1624">
        <f>K530-K531</f>
        <v>0</v>
      </c>
      <c r="L533" s="1614">
        <f>L530-L531</f>
        <v>0</v>
      </c>
      <c r="M533" s="1639">
        <f t="shared" si="79"/>
        <v>0</v>
      </c>
      <c r="N533" s="927"/>
      <c r="O533" s="922"/>
      <c r="P533" s="679"/>
      <c r="Q533" s="706"/>
      <c r="R533" s="179"/>
      <c r="S533" s="706"/>
      <c r="T533" s="708"/>
      <c r="U533" s="706"/>
      <c r="V533" s="706"/>
      <c r="W533" s="706"/>
      <c r="X533" s="706"/>
      <c r="Y533" s="706"/>
      <c r="Z533" s="706"/>
      <c r="AA533" s="706"/>
    </row>
    <row r="534" spans="1:38">
      <c r="R534" s="179"/>
      <c r="T534" s="708"/>
    </row>
    <row r="535" spans="1:38">
      <c r="M535" s="673">
        <v>57</v>
      </c>
    </row>
    <row r="536" spans="1:38" ht="12.75" customHeight="1">
      <c r="A536" s="179"/>
      <c r="B536" s="67"/>
      <c r="C536" s="912"/>
    </row>
    <row r="537" spans="1:38" ht="12.75" customHeight="1" thickBot="1">
      <c r="A537" s="67"/>
      <c r="B537" s="67"/>
      <c r="C537" s="912"/>
    </row>
    <row r="538" spans="1:38" ht="12.75" customHeight="1" thickBot="1">
      <c r="A538" s="1368" t="s">
        <v>133</v>
      </c>
      <c r="B538" s="1368" t="s">
        <v>107</v>
      </c>
      <c r="C538" s="912"/>
      <c r="L538" s="3538" t="s">
        <v>251</v>
      </c>
      <c r="M538" s="3538"/>
    </row>
    <row r="539" spans="1:38" ht="12.75" customHeight="1" thickBot="1">
      <c r="B539" s="3578" t="s">
        <v>107</v>
      </c>
      <c r="C539" s="3523" t="s">
        <v>325</v>
      </c>
      <c r="D539" s="3518" t="s">
        <v>255</v>
      </c>
      <c r="E539" s="3518" t="s">
        <v>326</v>
      </c>
      <c r="F539" s="3574" t="s">
        <v>258</v>
      </c>
      <c r="G539" s="3574"/>
      <c r="H539" s="3574"/>
      <c r="I539" s="3574"/>
      <c r="J539" s="3574"/>
      <c r="K539" s="3574"/>
      <c r="L539" s="3574"/>
      <c r="M539" s="3574"/>
    </row>
    <row r="540" spans="1:38" ht="12.75" customHeight="1">
      <c r="B540" s="3571"/>
      <c r="C540" s="3524"/>
      <c r="D540" s="3520"/>
      <c r="E540" s="3520"/>
      <c r="F540" s="3575" t="s">
        <v>259</v>
      </c>
      <c r="G540" s="3576"/>
      <c r="H540" s="3576"/>
      <c r="I540" s="3577"/>
      <c r="J540" s="3574" t="s">
        <v>327</v>
      </c>
      <c r="K540" s="3574"/>
      <c r="L540" s="3574"/>
      <c r="M540" s="3574"/>
    </row>
    <row r="541" spans="1:38" ht="45" customHeight="1" thickBot="1">
      <c r="B541" s="3571"/>
      <c r="C541" s="3524"/>
      <c r="D541" s="3519"/>
      <c r="E541" s="3519"/>
      <c r="F541" s="1339" t="s">
        <v>261</v>
      </c>
      <c r="G541" s="1339" t="s">
        <v>262</v>
      </c>
      <c r="H541" s="1339" t="s">
        <v>263</v>
      </c>
      <c r="I541" s="1339" t="s">
        <v>158</v>
      </c>
      <c r="J541" s="1588" t="s">
        <v>328</v>
      </c>
      <c r="K541" s="1588" t="s">
        <v>265</v>
      </c>
      <c r="L541" s="1588" t="s">
        <v>329</v>
      </c>
      <c r="M541" s="1588" t="s">
        <v>158</v>
      </c>
      <c r="O541" s="945"/>
    </row>
    <row r="542" spans="1:38" ht="12.75" customHeight="1" thickBot="1">
      <c r="B542" s="3571"/>
      <c r="C542" s="3524"/>
      <c r="D542" s="1589">
        <v>1</v>
      </c>
      <c r="E542" s="3536">
        <v>2</v>
      </c>
      <c r="F542" s="3518">
        <v>3</v>
      </c>
      <c r="G542" s="3551">
        <v>4</v>
      </c>
      <c r="H542" s="3518">
        <v>5</v>
      </c>
      <c r="I542" s="1652">
        <v>6</v>
      </c>
      <c r="J542" s="3518">
        <v>7</v>
      </c>
      <c r="K542" s="3551">
        <v>8</v>
      </c>
      <c r="L542" s="3518">
        <v>9</v>
      </c>
      <c r="M542" s="1589">
        <v>10</v>
      </c>
    </row>
    <row r="543" spans="1:38" ht="16.5" customHeight="1" thickBot="1">
      <c r="B543" s="3572"/>
      <c r="C543" s="3525"/>
      <c r="D543" s="1590" t="s">
        <v>330</v>
      </c>
      <c r="E543" s="3545"/>
      <c r="F543" s="3519"/>
      <c r="G543" s="3553"/>
      <c r="H543" s="3519"/>
      <c r="I543" s="1653" t="s">
        <v>331</v>
      </c>
      <c r="J543" s="3519"/>
      <c r="K543" s="3553"/>
      <c r="L543" s="3519"/>
      <c r="M543" s="1590" t="s">
        <v>332</v>
      </c>
      <c r="N543" s="703"/>
      <c r="O543" s="703"/>
    </row>
    <row r="544" spans="1:38">
      <c r="B544" s="1591" t="s">
        <v>333</v>
      </c>
      <c r="C544" s="985"/>
      <c r="D544" s="1592">
        <f t="shared" ref="D544:D551" si="80">E544+I544+M544</f>
        <v>4420081.2318200003</v>
      </c>
      <c r="E544" s="982"/>
      <c r="F544" s="963">
        <v>25918.460620000002</v>
      </c>
      <c r="G544" s="982">
        <v>1941344.09136</v>
      </c>
      <c r="H544" s="963">
        <v>2452818.6798400003</v>
      </c>
      <c r="I544" s="1636">
        <f t="shared" ref="I544:I581" si="81">F544+G544+H544</f>
        <v>4420081.2318200003</v>
      </c>
      <c r="J544" s="963"/>
      <c r="K544" s="982"/>
      <c r="L544" s="963"/>
      <c r="M544" s="1637">
        <f t="shared" ref="M544:M561" si="82">L544+K544+J544</f>
        <v>0</v>
      </c>
      <c r="N544" s="922"/>
      <c r="O544" s="922"/>
      <c r="P544" s="679"/>
      <c r="Q544" s="706"/>
      <c r="R544" s="109"/>
      <c r="S544" s="706"/>
      <c r="T544" s="708"/>
      <c r="U544" s="706"/>
      <c r="V544" s="706"/>
      <c r="W544" s="706"/>
      <c r="X544" s="706"/>
      <c r="Y544" s="706"/>
      <c r="Z544" s="706"/>
      <c r="AA544" s="706"/>
      <c r="AC544" s="705"/>
      <c r="AD544" s="705"/>
      <c r="AE544" s="705"/>
      <c r="AF544" s="705"/>
      <c r="AG544" s="705"/>
      <c r="AH544" s="705"/>
      <c r="AI544" s="705"/>
      <c r="AJ544" s="705"/>
      <c r="AK544" s="705"/>
      <c r="AL544" s="705"/>
    </row>
    <row r="545" spans="2:38">
      <c r="B545" s="2460"/>
      <c r="C545" s="2498"/>
      <c r="D545" s="2481">
        <f t="shared" si="80"/>
        <v>0</v>
      </c>
      <c r="E545" s="2252"/>
      <c r="F545" s="2471"/>
      <c r="G545" s="2252"/>
      <c r="H545" s="2471"/>
      <c r="I545" s="2499">
        <f t="shared" si="81"/>
        <v>0</v>
      </c>
      <c r="J545" s="2471"/>
      <c r="K545" s="2252"/>
      <c r="L545" s="2471"/>
      <c r="M545" s="2500">
        <f t="shared" si="82"/>
        <v>0</v>
      </c>
      <c r="P545" s="679"/>
      <c r="Q545" s="706"/>
      <c r="R545" s="109"/>
      <c r="S545" s="706"/>
      <c r="T545" s="708"/>
      <c r="U545" s="706"/>
      <c r="V545" s="706"/>
      <c r="W545" s="706"/>
      <c r="X545" s="706"/>
      <c r="Y545" s="706"/>
      <c r="Z545" s="706"/>
      <c r="AA545" s="706"/>
      <c r="AC545" s="705"/>
      <c r="AD545" s="705"/>
      <c r="AE545" s="705"/>
      <c r="AF545" s="705"/>
      <c r="AG545" s="705"/>
      <c r="AH545" s="705"/>
      <c r="AI545" s="705"/>
      <c r="AJ545" s="705"/>
      <c r="AK545" s="705"/>
      <c r="AL545" s="705"/>
    </row>
    <row r="546" spans="2:38">
      <c r="B546" s="2462" t="s">
        <v>334</v>
      </c>
      <c r="C546" s="2498"/>
      <c r="D546" s="2481">
        <f t="shared" si="80"/>
        <v>270264.56413999997</v>
      </c>
      <c r="E546" s="2252"/>
      <c r="F546" s="2471">
        <v>1578.95216</v>
      </c>
      <c r="G546" s="2252">
        <v>178454.53081</v>
      </c>
      <c r="H546" s="2471">
        <v>90231.081170000005</v>
      </c>
      <c r="I546" s="2499">
        <f t="shared" si="81"/>
        <v>270264.56413999997</v>
      </c>
      <c r="J546" s="2471"/>
      <c r="K546" s="2252"/>
      <c r="L546" s="2471"/>
      <c r="M546" s="2500">
        <f t="shared" si="82"/>
        <v>0</v>
      </c>
      <c r="N546" s="922"/>
      <c r="O546" s="922"/>
      <c r="P546" s="679"/>
      <c r="Q546" s="706"/>
      <c r="R546" s="109"/>
      <c r="S546" s="706"/>
      <c r="T546" s="708"/>
      <c r="U546" s="706"/>
      <c r="V546" s="706"/>
      <c r="W546" s="706"/>
      <c r="X546" s="706"/>
      <c r="Y546" s="706"/>
      <c r="Z546" s="706"/>
      <c r="AA546" s="706"/>
      <c r="AC546" s="705"/>
      <c r="AD546" s="705"/>
      <c r="AE546" s="705"/>
      <c r="AF546" s="705"/>
      <c r="AG546" s="705"/>
      <c r="AH546" s="705"/>
      <c r="AI546" s="705"/>
      <c r="AJ546" s="705"/>
      <c r="AK546" s="705"/>
      <c r="AL546" s="705"/>
    </row>
    <row r="547" spans="2:38">
      <c r="B547" s="2462"/>
      <c r="C547" s="2498"/>
      <c r="D547" s="2481">
        <f t="shared" si="80"/>
        <v>0</v>
      </c>
      <c r="E547" s="2252"/>
      <c r="F547" s="2471"/>
      <c r="G547" s="2252"/>
      <c r="H547" s="2471"/>
      <c r="I547" s="2499">
        <f t="shared" si="81"/>
        <v>0</v>
      </c>
      <c r="J547" s="2471"/>
      <c r="K547" s="2252"/>
      <c r="L547" s="2471"/>
      <c r="M547" s="2500">
        <f t="shared" si="82"/>
        <v>0</v>
      </c>
      <c r="P547" s="679"/>
      <c r="Q547" s="706"/>
      <c r="R547" s="109"/>
      <c r="S547" s="706"/>
      <c r="T547" s="708"/>
      <c r="U547" s="706"/>
      <c r="V547" s="706"/>
      <c r="W547" s="706"/>
      <c r="X547" s="706"/>
      <c r="Y547" s="706"/>
      <c r="Z547" s="706"/>
      <c r="AA547" s="706"/>
      <c r="AC547" s="705"/>
      <c r="AD547" s="705"/>
      <c r="AE547" s="705"/>
      <c r="AF547" s="705"/>
      <c r="AG547" s="705"/>
      <c r="AH547" s="705"/>
      <c r="AI547" s="705"/>
      <c r="AJ547" s="705"/>
      <c r="AK547" s="705"/>
      <c r="AL547" s="705"/>
    </row>
    <row r="548" spans="2:38" ht="12.75" customHeight="1">
      <c r="B548" s="2463" t="s">
        <v>335</v>
      </c>
      <c r="C548" s="2498"/>
      <c r="D548" s="2481">
        <f t="shared" si="80"/>
        <v>0</v>
      </c>
      <c r="E548" s="2252"/>
      <c r="F548" s="2471"/>
      <c r="G548" s="2252"/>
      <c r="H548" s="2471"/>
      <c r="I548" s="2499">
        <f t="shared" si="81"/>
        <v>0</v>
      </c>
      <c r="J548" s="2471"/>
      <c r="K548" s="2252"/>
      <c r="L548" s="2471"/>
      <c r="M548" s="2500">
        <f t="shared" si="82"/>
        <v>0</v>
      </c>
      <c r="N548" s="922"/>
      <c r="O548" s="922"/>
      <c r="P548" s="679"/>
      <c r="Q548" s="706"/>
      <c r="R548" s="109"/>
      <c r="S548" s="706"/>
      <c r="T548" s="708"/>
      <c r="U548" s="706"/>
      <c r="V548" s="706"/>
      <c r="W548" s="706"/>
      <c r="X548" s="706"/>
      <c r="Y548" s="706"/>
      <c r="Z548" s="706"/>
      <c r="AA548" s="706"/>
      <c r="AC548" s="705"/>
      <c r="AD548" s="705"/>
      <c r="AE548" s="705"/>
      <c r="AF548" s="705"/>
      <c r="AG548" s="705"/>
      <c r="AH548" s="705"/>
      <c r="AI548" s="705"/>
      <c r="AJ548" s="705"/>
      <c r="AK548" s="705"/>
      <c r="AL548" s="705"/>
    </row>
    <row r="549" spans="2:38">
      <c r="B549" s="2460"/>
      <c r="C549" s="2498"/>
      <c r="D549" s="2481">
        <f t="shared" si="80"/>
        <v>0</v>
      </c>
      <c r="E549" s="2252"/>
      <c r="F549" s="2471"/>
      <c r="G549" s="2252"/>
      <c r="H549" s="2471"/>
      <c r="I549" s="2499">
        <f t="shared" si="81"/>
        <v>0</v>
      </c>
      <c r="J549" s="2471"/>
      <c r="K549" s="2252"/>
      <c r="L549" s="2471"/>
      <c r="M549" s="2500">
        <f t="shared" si="82"/>
        <v>0</v>
      </c>
      <c r="P549" s="679"/>
      <c r="Q549" s="706"/>
      <c r="R549" s="109"/>
      <c r="S549" s="706"/>
      <c r="T549" s="708"/>
      <c r="U549" s="706"/>
      <c r="V549" s="706"/>
      <c r="W549" s="706"/>
      <c r="X549" s="706"/>
      <c r="Y549" s="706"/>
      <c r="Z549" s="706"/>
      <c r="AA549" s="706"/>
      <c r="AC549" s="705"/>
      <c r="AD549" s="705"/>
      <c r="AE549" s="705"/>
      <c r="AF549" s="705"/>
      <c r="AG549" s="705"/>
      <c r="AH549" s="705"/>
      <c r="AI549" s="705"/>
      <c r="AJ549" s="705"/>
      <c r="AK549" s="705"/>
      <c r="AL549" s="705"/>
    </row>
    <row r="550" spans="2:38">
      <c r="B550" s="2464" t="s">
        <v>336</v>
      </c>
      <c r="C550" s="2501"/>
      <c r="D550" s="2481">
        <f t="shared" si="80"/>
        <v>4149816.66768</v>
      </c>
      <c r="E550" s="2252">
        <f>E544-E546+E548</f>
        <v>0</v>
      </c>
      <c r="F550" s="2471">
        <f>F544-F546+F548</f>
        <v>24339.508460000001</v>
      </c>
      <c r="G550" s="2252">
        <f>G544-G546+G548</f>
        <v>1762889.5605500001</v>
      </c>
      <c r="H550" s="2471">
        <f>H544-H546+H548</f>
        <v>2362587.5986700002</v>
      </c>
      <c r="I550" s="2499">
        <f t="shared" si="81"/>
        <v>4149816.66768</v>
      </c>
      <c r="J550" s="2471">
        <f>J544-J546+J548</f>
        <v>0</v>
      </c>
      <c r="K550" s="2252">
        <f>K544-K546+K548</f>
        <v>0</v>
      </c>
      <c r="L550" s="2471">
        <f>L544-L546+L548</f>
        <v>0</v>
      </c>
      <c r="M550" s="2500">
        <f t="shared" si="82"/>
        <v>0</v>
      </c>
      <c r="N550" s="927"/>
      <c r="O550" s="922"/>
      <c r="P550" s="679"/>
      <c r="Q550" s="706"/>
      <c r="R550" s="935"/>
      <c r="S550" s="706"/>
      <c r="T550" s="708"/>
      <c r="U550" s="706"/>
      <c r="V550" s="706"/>
      <c r="W550" s="706"/>
      <c r="X550" s="706"/>
      <c r="Y550" s="706"/>
      <c r="Z550" s="706"/>
      <c r="AA550" s="706"/>
      <c r="AC550" s="705"/>
      <c r="AD550" s="705"/>
      <c r="AE550" s="705"/>
      <c r="AF550" s="705"/>
      <c r="AG550" s="705"/>
      <c r="AH550" s="705"/>
      <c r="AI550" s="705"/>
      <c r="AJ550" s="705"/>
      <c r="AK550" s="705"/>
      <c r="AL550" s="705"/>
    </row>
    <row r="551" spans="2:38">
      <c r="B551" s="2464"/>
      <c r="C551" s="2501"/>
      <c r="D551" s="2481">
        <f t="shared" si="80"/>
        <v>0</v>
      </c>
      <c r="E551" s="2252"/>
      <c r="F551" s="2471"/>
      <c r="G551" s="2252"/>
      <c r="H551" s="2471"/>
      <c r="I551" s="2499">
        <f t="shared" si="81"/>
        <v>0</v>
      </c>
      <c r="J551" s="2471"/>
      <c r="K551" s="2252"/>
      <c r="L551" s="2471"/>
      <c r="M551" s="2500">
        <f t="shared" si="82"/>
        <v>0</v>
      </c>
      <c r="P551" s="679"/>
      <c r="Q551" s="706"/>
      <c r="R551" s="109"/>
      <c r="S551" s="706"/>
      <c r="T551" s="708"/>
      <c r="U551" s="706"/>
      <c r="V551" s="706"/>
      <c r="W551" s="706"/>
      <c r="X551" s="706"/>
      <c r="Y551" s="706"/>
      <c r="Z551" s="706"/>
      <c r="AA551" s="706"/>
      <c r="AC551" s="705"/>
      <c r="AD551" s="705"/>
      <c r="AE551" s="705"/>
      <c r="AF551" s="705"/>
      <c r="AG551" s="705"/>
      <c r="AH551" s="705"/>
      <c r="AI551" s="705"/>
      <c r="AJ551" s="705"/>
      <c r="AK551" s="705"/>
      <c r="AL551" s="705"/>
    </row>
    <row r="552" spans="2:38">
      <c r="B552" s="2464" t="s">
        <v>337</v>
      </c>
      <c r="C552" s="2501"/>
      <c r="D552" s="2481">
        <f>SUM(D553:D557)</f>
        <v>660062.0589699999</v>
      </c>
      <c r="E552" s="2252">
        <f>SUM(E553:E557)</f>
        <v>176519.03898000001</v>
      </c>
      <c r="F552" s="2471">
        <f>SUM(F553:F557)</f>
        <v>20237.436580878602</v>
      </c>
      <c r="G552" s="2252">
        <f>SUM(G553:G557)</f>
        <v>309381.40847114089</v>
      </c>
      <c r="H552" s="2471">
        <f>SUM(H553:H557)</f>
        <v>189577.3243979805</v>
      </c>
      <c r="I552" s="2499">
        <f t="shared" si="81"/>
        <v>519196.16945000004</v>
      </c>
      <c r="J552" s="2471">
        <f>SUM(J553:J557)</f>
        <v>0</v>
      </c>
      <c r="K552" s="2252">
        <f>SUM(K553:K557)</f>
        <v>0</v>
      </c>
      <c r="L552" s="2471">
        <f>SUM(L553:L557)</f>
        <v>0</v>
      </c>
      <c r="M552" s="2500">
        <f t="shared" si="82"/>
        <v>0</v>
      </c>
      <c r="N552" s="927"/>
      <c r="O552" s="922"/>
      <c r="P552" s="679"/>
      <c r="Q552" s="706"/>
      <c r="R552" s="935"/>
      <c r="S552" s="706"/>
      <c r="T552" s="708"/>
      <c r="U552" s="706"/>
      <c r="V552" s="706"/>
      <c r="W552" s="706"/>
      <c r="X552" s="706"/>
      <c r="Y552" s="706"/>
      <c r="Z552" s="706"/>
      <c r="AA552" s="706"/>
      <c r="AC552" s="705"/>
      <c r="AD552" s="705"/>
      <c r="AE552" s="705"/>
      <c r="AF552" s="705"/>
      <c r="AG552" s="705"/>
      <c r="AH552" s="705"/>
      <c r="AI552" s="705"/>
      <c r="AJ552" s="705"/>
      <c r="AK552" s="705"/>
      <c r="AL552" s="705"/>
    </row>
    <row r="553" spans="2:38">
      <c r="B553" s="2460" t="s">
        <v>338</v>
      </c>
      <c r="C553" s="2498">
        <v>1</v>
      </c>
      <c r="D553" s="2481">
        <f>E553+I553+M553</f>
        <v>635347.02444999991</v>
      </c>
      <c r="E553" s="2252">
        <v>141127.65158000001</v>
      </c>
      <c r="F553" s="2471">
        <v>19306.723239914914</v>
      </c>
      <c r="G553" s="2252">
        <v>305579.77758514916</v>
      </c>
      <c r="H553" s="2471">
        <v>169332.87204493591</v>
      </c>
      <c r="I553" s="2499">
        <f t="shared" si="81"/>
        <v>494219.37286999996</v>
      </c>
      <c r="J553" s="2471"/>
      <c r="K553" s="2252"/>
      <c r="L553" s="2471"/>
      <c r="M553" s="2500">
        <f t="shared" si="82"/>
        <v>0</v>
      </c>
      <c r="N553" s="922"/>
      <c r="O553" s="922"/>
      <c r="P553" s="679"/>
      <c r="Q553" s="706"/>
      <c r="R553" s="109"/>
      <c r="S553" s="706"/>
      <c r="T553" s="708"/>
      <c r="U553" s="706"/>
      <c r="V553" s="706"/>
      <c r="W553" s="706"/>
      <c r="X553" s="706"/>
      <c r="Y553" s="706"/>
      <c r="Z553" s="706"/>
      <c r="AA553" s="706"/>
      <c r="AC553" s="705"/>
      <c r="AD553" s="705"/>
      <c r="AE553" s="705"/>
      <c r="AF553" s="705"/>
      <c r="AG553" s="705"/>
      <c r="AH553" s="705"/>
      <c r="AI553" s="705"/>
      <c r="AJ553" s="705"/>
      <c r="AK553" s="705"/>
      <c r="AL553" s="705"/>
    </row>
    <row r="554" spans="2:38">
      <c r="B554" s="2460" t="s">
        <v>339</v>
      </c>
      <c r="C554" s="2498">
        <v>2</v>
      </c>
      <c r="D554" s="2481"/>
      <c r="E554" s="2252">
        <v>33639.885240000003</v>
      </c>
      <c r="F554" s="2471"/>
      <c r="G554" s="2252"/>
      <c r="H554" s="2471"/>
      <c r="I554" s="2499">
        <f t="shared" si="81"/>
        <v>0</v>
      </c>
      <c r="J554" s="2471"/>
      <c r="K554" s="2252"/>
      <c r="L554" s="2471"/>
      <c r="M554" s="2500">
        <f t="shared" si="82"/>
        <v>0</v>
      </c>
      <c r="N554" s="922"/>
      <c r="O554" s="922"/>
      <c r="P554" s="679"/>
      <c r="Q554" s="706"/>
      <c r="R554" s="109"/>
      <c r="S554" s="706"/>
      <c r="T554" s="708"/>
      <c r="U554" s="706"/>
      <c r="V554" s="706"/>
      <c r="W554" s="706"/>
      <c r="X554" s="706"/>
      <c r="Y554" s="706"/>
      <c r="Z554" s="706"/>
      <c r="AA554" s="706"/>
      <c r="AC554" s="705"/>
      <c r="AD554" s="705"/>
      <c r="AE554" s="705"/>
      <c r="AF554" s="705"/>
      <c r="AG554" s="705"/>
      <c r="AH554" s="705"/>
      <c r="AI554" s="705"/>
      <c r="AJ554" s="705"/>
      <c r="AK554" s="705"/>
      <c r="AL554" s="705"/>
    </row>
    <row r="555" spans="2:38">
      <c r="B555" s="2460" t="s">
        <v>340</v>
      </c>
      <c r="C555" s="2498"/>
      <c r="D555" s="2481">
        <f>E555+I555+M555</f>
        <v>0</v>
      </c>
      <c r="E555" s="2252"/>
      <c r="F555" s="2471"/>
      <c r="G555" s="2252"/>
      <c r="H555" s="2471"/>
      <c r="I555" s="2499">
        <f t="shared" si="81"/>
        <v>0</v>
      </c>
      <c r="J555" s="2471"/>
      <c r="K555" s="2252"/>
      <c r="L555" s="2471"/>
      <c r="M555" s="2500">
        <f t="shared" si="82"/>
        <v>0</v>
      </c>
      <c r="N555" s="922"/>
      <c r="O555" s="922"/>
      <c r="P555" s="679"/>
      <c r="Q555" s="706"/>
      <c r="R555" s="109"/>
      <c r="S555" s="706"/>
      <c r="T555" s="708"/>
      <c r="U555" s="706"/>
      <c r="V555" s="706"/>
      <c r="W555" s="706"/>
      <c r="X555" s="706"/>
      <c r="Y555" s="706"/>
      <c r="Z555" s="706"/>
      <c r="AA555" s="706"/>
      <c r="AC555" s="705"/>
      <c r="AD555" s="705"/>
      <c r="AE555" s="705"/>
      <c r="AF555" s="705"/>
      <c r="AG555" s="705"/>
      <c r="AH555" s="705"/>
      <c r="AI555" s="705"/>
      <c r="AJ555" s="705"/>
      <c r="AK555" s="705"/>
      <c r="AL555" s="705"/>
    </row>
    <row r="556" spans="2:38">
      <c r="B556" s="2460" t="s">
        <v>341</v>
      </c>
      <c r="C556" s="2498"/>
      <c r="D556" s="2481">
        <f>E556+I556+M556</f>
        <v>0</v>
      </c>
      <c r="E556" s="2252"/>
      <c r="F556" s="2471"/>
      <c r="G556" s="2252"/>
      <c r="H556" s="2471"/>
      <c r="I556" s="2499">
        <f t="shared" si="81"/>
        <v>0</v>
      </c>
      <c r="J556" s="2471"/>
      <c r="K556" s="2252"/>
      <c r="L556" s="2471"/>
      <c r="M556" s="2500">
        <f t="shared" si="82"/>
        <v>0</v>
      </c>
      <c r="N556" s="922"/>
      <c r="O556" s="922"/>
      <c r="P556" s="679"/>
      <c r="Q556" s="706"/>
      <c r="R556" s="109"/>
      <c r="S556" s="706"/>
      <c r="T556" s="708"/>
      <c r="U556" s="706"/>
      <c r="V556" s="706"/>
      <c r="W556" s="706"/>
      <c r="X556" s="706"/>
      <c r="Y556" s="706"/>
      <c r="Z556" s="706"/>
      <c r="AA556" s="706"/>
      <c r="AC556" s="705"/>
      <c r="AD556" s="705"/>
      <c r="AE556" s="705"/>
      <c r="AF556" s="705"/>
      <c r="AG556" s="705"/>
      <c r="AH556" s="705"/>
      <c r="AI556" s="705"/>
      <c r="AJ556" s="705"/>
      <c r="AK556" s="705"/>
      <c r="AL556" s="705"/>
    </row>
    <row r="557" spans="2:38">
      <c r="B557" s="2460" t="s">
        <v>342</v>
      </c>
      <c r="C557" s="2498">
        <v>3</v>
      </c>
      <c r="D557" s="2481">
        <f>E557+I557+M557-2013.26422</f>
        <v>24715.034520000045</v>
      </c>
      <c r="E557" s="2252">
        <v>1751.50216</v>
      </c>
      <c r="F557" s="2471">
        <v>930.71334096368798</v>
      </c>
      <c r="G557" s="2252">
        <v>3801.6308859917599</v>
      </c>
      <c r="H557" s="2471">
        <v>20244.452353044599</v>
      </c>
      <c r="I557" s="2499">
        <f t="shared" si="81"/>
        <v>24976.796580000046</v>
      </c>
      <c r="J557" s="2471"/>
      <c r="K557" s="2252"/>
      <c r="L557" s="2471"/>
      <c r="M557" s="2500">
        <f t="shared" si="82"/>
        <v>0</v>
      </c>
      <c r="N557" s="922"/>
      <c r="O557" s="922"/>
      <c r="P557" s="679"/>
      <c r="Q557" s="706"/>
      <c r="R557" s="109"/>
      <c r="S557" s="706"/>
      <c r="T557" s="708"/>
      <c r="U557" s="706"/>
      <c r="V557" s="706"/>
      <c r="W557" s="706"/>
      <c r="X557" s="706"/>
      <c r="Y557" s="706"/>
      <c r="Z557" s="706"/>
      <c r="AA557" s="706"/>
      <c r="AC557" s="705"/>
      <c r="AD557" s="705"/>
      <c r="AE557" s="705"/>
      <c r="AF557" s="705"/>
      <c r="AG557" s="705"/>
      <c r="AH557" s="705"/>
      <c r="AI557" s="705"/>
      <c r="AJ557" s="705"/>
      <c r="AK557" s="705"/>
      <c r="AL557" s="705"/>
    </row>
    <row r="558" spans="2:38">
      <c r="B558" s="2460" t="s">
        <v>343</v>
      </c>
      <c r="C558" s="2498"/>
      <c r="D558" s="2481">
        <f>E558+I558+M558</f>
        <v>0</v>
      </c>
      <c r="E558" s="2252"/>
      <c r="F558" s="2471"/>
      <c r="G558" s="2252"/>
      <c r="H558" s="2471"/>
      <c r="I558" s="2499">
        <f t="shared" si="81"/>
        <v>0</v>
      </c>
      <c r="J558" s="2471"/>
      <c r="K558" s="2252"/>
      <c r="L558" s="2471"/>
      <c r="M558" s="2500">
        <f t="shared" si="82"/>
        <v>0</v>
      </c>
      <c r="P558" s="679"/>
      <c r="Q558" s="706"/>
      <c r="R558" s="109"/>
      <c r="S558" s="706"/>
      <c r="T558" s="708"/>
      <c r="U558" s="706"/>
      <c r="V558" s="706"/>
      <c r="W558" s="706"/>
      <c r="X558" s="706"/>
      <c r="Y558" s="706"/>
      <c r="Z558" s="706"/>
      <c r="AA558" s="706"/>
      <c r="AC558" s="705"/>
      <c r="AD558" s="705"/>
      <c r="AE558" s="705"/>
      <c r="AF558" s="705"/>
      <c r="AG558" s="705"/>
      <c r="AH558" s="705"/>
      <c r="AI558" s="705"/>
      <c r="AJ558" s="705"/>
      <c r="AK558" s="705"/>
      <c r="AL558" s="705"/>
    </row>
    <row r="559" spans="2:38">
      <c r="B559" s="2460" t="s">
        <v>343</v>
      </c>
      <c r="C559" s="2498"/>
      <c r="D559" s="2481">
        <f>E559+I559+M559</f>
        <v>0</v>
      </c>
      <c r="E559" s="2252"/>
      <c r="F559" s="2471"/>
      <c r="G559" s="2252"/>
      <c r="H559" s="2471"/>
      <c r="I559" s="2499">
        <f t="shared" si="81"/>
        <v>0</v>
      </c>
      <c r="J559" s="2471"/>
      <c r="K559" s="2252"/>
      <c r="L559" s="2471"/>
      <c r="M559" s="2500">
        <f t="shared" si="82"/>
        <v>0</v>
      </c>
      <c r="P559" s="679"/>
      <c r="Q559" s="706"/>
      <c r="R559" s="109"/>
      <c r="S559" s="706"/>
      <c r="T559" s="708"/>
      <c r="U559" s="706"/>
      <c r="V559" s="706"/>
      <c r="W559" s="706"/>
      <c r="X559" s="706"/>
      <c r="Y559" s="706"/>
      <c r="Z559" s="706"/>
      <c r="AA559" s="706"/>
      <c r="AC559" s="705"/>
      <c r="AD559" s="705"/>
      <c r="AE559" s="705"/>
      <c r="AF559" s="705"/>
      <c r="AG559" s="705"/>
      <c r="AH559" s="705"/>
      <c r="AI559" s="705"/>
      <c r="AJ559" s="705"/>
      <c r="AK559" s="705"/>
      <c r="AL559" s="705"/>
    </row>
    <row r="560" spans="2:38">
      <c r="B560" s="2460"/>
      <c r="C560" s="2498"/>
      <c r="D560" s="2481">
        <f>E560+I560+M560</f>
        <v>0</v>
      </c>
      <c r="E560" s="2252"/>
      <c r="F560" s="2471"/>
      <c r="G560" s="2252"/>
      <c r="H560" s="2471"/>
      <c r="I560" s="2499">
        <f t="shared" si="81"/>
        <v>0</v>
      </c>
      <c r="J560" s="2471"/>
      <c r="K560" s="2252"/>
      <c r="L560" s="2471"/>
      <c r="M560" s="2500">
        <f t="shared" si="82"/>
        <v>0</v>
      </c>
      <c r="P560" s="679"/>
      <c r="Q560" s="706"/>
      <c r="R560" s="109"/>
      <c r="S560" s="706"/>
      <c r="T560" s="708"/>
      <c r="U560" s="706"/>
      <c r="V560" s="706"/>
      <c r="W560" s="706"/>
      <c r="X560" s="706"/>
      <c r="Y560" s="706"/>
      <c r="Z560" s="706"/>
      <c r="AA560" s="706"/>
      <c r="AC560" s="705"/>
      <c r="AD560" s="705"/>
      <c r="AE560" s="705"/>
      <c r="AF560" s="705"/>
      <c r="AG560" s="705"/>
      <c r="AH560" s="705"/>
      <c r="AI560" s="705"/>
      <c r="AJ560" s="705"/>
      <c r="AK560" s="705"/>
      <c r="AL560" s="705"/>
    </row>
    <row r="561" spans="1:38">
      <c r="B561" s="2466" t="s">
        <v>344</v>
      </c>
      <c r="C561" s="2501"/>
      <c r="D561" s="2481">
        <v>4809878.7266499996</v>
      </c>
      <c r="E561" s="2252">
        <f>E550+E552</f>
        <v>176519.03898000001</v>
      </c>
      <c r="F561" s="2471">
        <f>F550+F552</f>
        <v>44576.945040878607</v>
      </c>
      <c r="G561" s="2252">
        <f>G550+G552</f>
        <v>2072270.9690211411</v>
      </c>
      <c r="H561" s="2471">
        <f>H550+H552</f>
        <v>2552164.9230679809</v>
      </c>
      <c r="I561" s="2499">
        <f t="shared" si="81"/>
        <v>4669012.8371300008</v>
      </c>
      <c r="J561" s="2471">
        <f>J550+J552</f>
        <v>0</v>
      </c>
      <c r="K561" s="2252">
        <f>K550+K552</f>
        <v>0</v>
      </c>
      <c r="L561" s="2471">
        <f>L550+L552</f>
        <v>0</v>
      </c>
      <c r="M561" s="2500">
        <f t="shared" si="82"/>
        <v>0</v>
      </c>
      <c r="N561" s="927"/>
      <c r="O561" s="922"/>
      <c r="P561" s="679"/>
      <c r="Q561" s="706"/>
      <c r="R561" s="935"/>
      <c r="S561" s="706"/>
      <c r="T561" s="708"/>
      <c r="U561" s="706"/>
      <c r="V561" s="706"/>
      <c r="W561" s="706"/>
      <c r="X561" s="706"/>
      <c r="Y561" s="706"/>
      <c r="Z561" s="706"/>
      <c r="AA561" s="706"/>
      <c r="AC561" s="705"/>
      <c r="AD561" s="705"/>
      <c r="AE561" s="705"/>
      <c r="AF561" s="705"/>
      <c r="AG561" s="705"/>
      <c r="AH561" s="705"/>
      <c r="AI561" s="705"/>
      <c r="AJ561" s="705"/>
      <c r="AK561" s="705"/>
      <c r="AL561" s="705"/>
    </row>
    <row r="562" spans="1:38">
      <c r="B562" s="2466"/>
      <c r="C562" s="2501"/>
      <c r="D562" s="2481">
        <f t="shared" ref="D562:D572" si="83">E562+I562+M562</f>
        <v>0</v>
      </c>
      <c r="E562" s="2252"/>
      <c r="F562" s="2471"/>
      <c r="G562" s="2252"/>
      <c r="H562" s="2471"/>
      <c r="I562" s="2499">
        <f t="shared" si="81"/>
        <v>0</v>
      </c>
      <c r="J562" s="2471"/>
      <c r="K562" s="2252"/>
      <c r="L562" s="2471"/>
      <c r="M562" s="2500"/>
      <c r="P562" s="679"/>
      <c r="Q562" s="706"/>
      <c r="R562" s="109"/>
      <c r="S562" s="706"/>
      <c r="T562" s="708"/>
      <c r="U562" s="706"/>
      <c r="V562" s="706"/>
      <c r="W562" s="706"/>
      <c r="X562" s="706"/>
      <c r="Y562" s="706"/>
      <c r="Z562" s="706"/>
      <c r="AA562" s="706"/>
      <c r="AC562" s="705"/>
      <c r="AD562" s="705"/>
      <c r="AE562" s="705"/>
      <c r="AF562" s="705"/>
      <c r="AG562" s="705"/>
      <c r="AH562" s="705"/>
      <c r="AI562" s="705"/>
      <c r="AJ562" s="705"/>
      <c r="AK562" s="705"/>
      <c r="AL562" s="705"/>
    </row>
    <row r="563" spans="1:38">
      <c r="B563" s="2460" t="s">
        <v>345</v>
      </c>
      <c r="C563" s="2498"/>
      <c r="D563" s="2481">
        <f t="shared" si="83"/>
        <v>1026814.32647</v>
      </c>
      <c r="E563" s="2252"/>
      <c r="F563" s="2471">
        <v>15099.824989999999</v>
      </c>
      <c r="G563" s="2252">
        <v>767553.38424000004</v>
      </c>
      <c r="H563" s="2471">
        <v>244161.11723999999</v>
      </c>
      <c r="I563" s="2499">
        <f t="shared" si="81"/>
        <v>1026814.32647</v>
      </c>
      <c r="J563" s="2471"/>
      <c r="K563" s="2252"/>
      <c r="L563" s="2471"/>
      <c r="M563" s="2500">
        <f t="shared" ref="M563:M581" si="84">L563+K563+J563</f>
        <v>0</v>
      </c>
      <c r="N563" s="922"/>
      <c r="O563" s="922"/>
      <c r="P563" s="679"/>
      <c r="Q563" s="706"/>
      <c r="R563" s="109"/>
      <c r="S563" s="706"/>
      <c r="T563" s="708"/>
      <c r="U563" s="706"/>
      <c r="V563" s="706"/>
      <c r="W563" s="706"/>
      <c r="X563" s="706"/>
      <c r="Y563" s="706"/>
      <c r="Z563" s="706"/>
      <c r="AA563" s="706"/>
      <c r="AC563" s="705"/>
      <c r="AD563" s="705"/>
      <c r="AE563" s="705"/>
      <c r="AF563" s="705"/>
      <c r="AG563" s="705"/>
      <c r="AH563" s="705"/>
      <c r="AI563" s="705"/>
      <c r="AJ563" s="705"/>
      <c r="AK563" s="705"/>
      <c r="AL563" s="705"/>
    </row>
    <row r="564" spans="1:38">
      <c r="B564" s="2460" t="s">
        <v>346</v>
      </c>
      <c r="C564" s="2498"/>
      <c r="D564" s="2481">
        <f t="shared" si="83"/>
        <v>-128427.95</v>
      </c>
      <c r="E564" s="2252"/>
      <c r="F564" s="2471">
        <v>-5747.46</v>
      </c>
      <c r="G564" s="2252">
        <v>-96789.323999999993</v>
      </c>
      <c r="H564" s="2471">
        <v>-25891.166000000001</v>
      </c>
      <c r="I564" s="2499">
        <f t="shared" si="81"/>
        <v>-128427.95</v>
      </c>
      <c r="J564" s="2471"/>
      <c r="K564" s="2252"/>
      <c r="L564" s="2471"/>
      <c r="M564" s="2500">
        <f t="shared" si="84"/>
        <v>0</v>
      </c>
      <c r="N564" s="922"/>
      <c r="O564" s="922"/>
      <c r="P564" s="679"/>
      <c r="Q564" s="706"/>
      <c r="R564" s="109"/>
      <c r="S564" s="706"/>
      <c r="T564" s="708"/>
      <c r="U564" s="706"/>
      <c r="V564" s="706"/>
      <c r="W564" s="706"/>
      <c r="X564" s="706"/>
      <c r="Y564" s="706"/>
      <c r="Z564" s="706"/>
      <c r="AA564" s="706"/>
      <c r="AC564" s="705"/>
      <c r="AD564" s="705"/>
      <c r="AE564" s="705"/>
      <c r="AF564" s="705"/>
      <c r="AG564" s="705"/>
      <c r="AH564" s="705"/>
      <c r="AI564" s="705"/>
      <c r="AJ564" s="705"/>
      <c r="AK564" s="705"/>
      <c r="AL564" s="705"/>
    </row>
    <row r="565" spans="1:38">
      <c r="B565" s="2460" t="s">
        <v>347</v>
      </c>
      <c r="C565" s="2498"/>
      <c r="D565" s="2481">
        <f t="shared" si="83"/>
        <v>0</v>
      </c>
      <c r="E565" s="2252"/>
      <c r="F565" s="2471"/>
      <c r="G565" s="2252"/>
      <c r="H565" s="2471"/>
      <c r="I565" s="2499">
        <f t="shared" si="81"/>
        <v>0</v>
      </c>
      <c r="J565" s="2471"/>
      <c r="K565" s="2252"/>
      <c r="L565" s="2471"/>
      <c r="M565" s="2500">
        <f t="shared" si="84"/>
        <v>0</v>
      </c>
      <c r="N565" s="922"/>
      <c r="O565" s="922"/>
      <c r="P565" s="679"/>
      <c r="Q565" s="706"/>
      <c r="R565" s="109"/>
      <c r="S565" s="706"/>
      <c r="T565" s="708"/>
      <c r="U565" s="706"/>
      <c r="V565" s="706"/>
      <c r="W565" s="706"/>
      <c r="X565" s="706"/>
      <c r="Y565" s="706"/>
      <c r="Z565" s="706"/>
      <c r="AA565" s="706"/>
      <c r="AC565" s="705"/>
      <c r="AD565" s="705"/>
      <c r="AE565" s="705"/>
      <c r="AF565" s="705"/>
      <c r="AG565" s="705"/>
      <c r="AH565" s="705"/>
      <c r="AI565" s="705"/>
      <c r="AJ565" s="705"/>
      <c r="AK565" s="705"/>
      <c r="AL565" s="705"/>
    </row>
    <row r="566" spans="1:38" ht="12.75" customHeight="1">
      <c r="B566" s="2467" t="s">
        <v>348</v>
      </c>
      <c r="C566" s="2498"/>
      <c r="D566" s="2481">
        <f t="shared" si="83"/>
        <v>0</v>
      </c>
      <c r="E566" s="2252"/>
      <c r="F566" s="2471"/>
      <c r="G566" s="2252"/>
      <c r="H566" s="2471"/>
      <c r="I566" s="2499">
        <f t="shared" si="81"/>
        <v>0</v>
      </c>
      <c r="J566" s="2471"/>
      <c r="K566" s="2252"/>
      <c r="L566" s="2471"/>
      <c r="M566" s="2500">
        <f t="shared" si="84"/>
        <v>0</v>
      </c>
      <c r="N566" s="922"/>
      <c r="O566" s="922"/>
      <c r="P566" s="679"/>
      <c r="Q566" s="706"/>
      <c r="R566" s="109"/>
      <c r="S566" s="706"/>
      <c r="T566" s="708"/>
      <c r="U566" s="706"/>
      <c r="V566" s="706"/>
      <c r="W566" s="706"/>
      <c r="X566" s="706"/>
      <c r="Y566" s="706"/>
      <c r="Z566" s="706"/>
      <c r="AA566" s="706"/>
      <c r="AC566" s="705"/>
      <c r="AD566" s="705"/>
      <c r="AE566" s="705"/>
      <c r="AF566" s="705"/>
      <c r="AG566" s="705"/>
      <c r="AH566" s="705"/>
      <c r="AI566" s="705"/>
      <c r="AJ566" s="705"/>
      <c r="AK566" s="705"/>
      <c r="AL566" s="705"/>
    </row>
    <row r="567" spans="1:38">
      <c r="B567" s="2460" t="s">
        <v>349</v>
      </c>
      <c r="C567" s="2498"/>
      <c r="D567" s="2481">
        <f t="shared" si="83"/>
        <v>1538998.457282105</v>
      </c>
      <c r="E567" s="2252"/>
      <c r="F567" s="2471">
        <v>30600.377891803</v>
      </c>
      <c r="G567" s="2252">
        <v>641573.34397225396</v>
      </c>
      <c r="H567" s="2471">
        <v>866824.73541804799</v>
      </c>
      <c r="I567" s="2499">
        <f t="shared" si="81"/>
        <v>1538998.457282105</v>
      </c>
      <c r="J567" s="2471"/>
      <c r="K567" s="2252"/>
      <c r="L567" s="2471"/>
      <c r="M567" s="2500">
        <f t="shared" si="84"/>
        <v>0</v>
      </c>
      <c r="N567" s="922"/>
      <c r="O567" s="922"/>
      <c r="P567" s="679"/>
      <c r="Q567" s="706"/>
      <c r="R567" s="109"/>
      <c r="S567" s="706"/>
      <c r="T567" s="708"/>
      <c r="U567" s="706"/>
      <c r="V567" s="706"/>
      <c r="W567" s="706"/>
      <c r="X567" s="706"/>
      <c r="Y567" s="706"/>
      <c r="Z567" s="706"/>
      <c r="AA567" s="706"/>
      <c r="AC567" s="705"/>
      <c r="AD567" s="705"/>
      <c r="AE567" s="705"/>
      <c r="AF567" s="705"/>
      <c r="AG567" s="705"/>
      <c r="AH567" s="705"/>
      <c r="AI567" s="705"/>
      <c r="AJ567" s="705"/>
      <c r="AK567" s="705"/>
      <c r="AL567" s="705"/>
    </row>
    <row r="568" spans="1:38" ht="51">
      <c r="B568" s="2467" t="s">
        <v>350</v>
      </c>
      <c r="C568" s="2498"/>
      <c r="D568" s="2481">
        <f t="shared" si="83"/>
        <v>0</v>
      </c>
      <c r="E568" s="2252"/>
      <c r="F568" s="2471"/>
      <c r="G568" s="2252"/>
      <c r="H568" s="2471"/>
      <c r="I568" s="2499">
        <f t="shared" si="81"/>
        <v>0</v>
      </c>
      <c r="J568" s="2471"/>
      <c r="K568" s="2252"/>
      <c r="L568" s="2471"/>
      <c r="M568" s="2500">
        <f t="shared" si="84"/>
        <v>0</v>
      </c>
      <c r="N568" s="922"/>
      <c r="O568" s="922"/>
      <c r="P568" s="679"/>
      <c r="Q568" s="706"/>
      <c r="R568" s="109"/>
      <c r="S568" s="706"/>
      <c r="T568" s="708"/>
      <c r="U568" s="706"/>
      <c r="V568" s="706"/>
      <c r="W568" s="706"/>
      <c r="X568" s="706"/>
      <c r="Y568" s="706"/>
      <c r="Z568" s="706"/>
      <c r="AA568" s="706"/>
      <c r="AC568" s="705"/>
      <c r="AD568" s="705"/>
      <c r="AE568" s="705"/>
      <c r="AF568" s="705"/>
      <c r="AG568" s="705"/>
      <c r="AH568" s="705"/>
      <c r="AI568" s="705"/>
      <c r="AJ568" s="705"/>
      <c r="AK568" s="705"/>
      <c r="AL568" s="705"/>
    </row>
    <row r="569" spans="1:38">
      <c r="B569" s="2466" t="s">
        <v>351</v>
      </c>
      <c r="C569" s="2501"/>
      <c r="D569" s="2481">
        <f t="shared" si="83"/>
        <v>2437384.833752105</v>
      </c>
      <c r="E569" s="2252">
        <f>SUM(E563:E568)</f>
        <v>0</v>
      </c>
      <c r="F569" s="2471">
        <f>SUM(F563:F568)</f>
        <v>39952.742881803002</v>
      </c>
      <c r="G569" s="2252">
        <f>SUM(G563:G568)</f>
        <v>1312337.4042122541</v>
      </c>
      <c r="H569" s="2471">
        <f>SUM(H563:H568)</f>
        <v>1085094.6866580481</v>
      </c>
      <c r="I569" s="2499">
        <f t="shared" si="81"/>
        <v>2437384.833752105</v>
      </c>
      <c r="J569" s="2471">
        <f>SUM(J563:J568)</f>
        <v>0</v>
      </c>
      <c r="K569" s="2252">
        <f>SUM(K563:K568)</f>
        <v>0</v>
      </c>
      <c r="L569" s="2471">
        <f>SUM(L563:L568)</f>
        <v>0</v>
      </c>
      <c r="M569" s="2500">
        <f t="shared" si="84"/>
        <v>0</v>
      </c>
      <c r="N569" s="927"/>
      <c r="O569" s="922"/>
      <c r="P569" s="679"/>
      <c r="Q569" s="706"/>
      <c r="R569" s="313"/>
      <c r="S569" s="706"/>
      <c r="T569" s="708"/>
      <c r="U569" s="706"/>
      <c r="V569" s="706"/>
      <c r="W569" s="706"/>
      <c r="X569" s="706"/>
      <c r="Y569" s="706"/>
      <c r="Z569" s="706"/>
      <c r="AA569" s="706"/>
      <c r="AC569" s="705"/>
      <c r="AD569" s="705"/>
      <c r="AE569" s="705"/>
      <c r="AF569" s="705"/>
      <c r="AG569" s="705"/>
      <c r="AH569" s="705"/>
      <c r="AI569" s="705"/>
      <c r="AJ569" s="705"/>
      <c r="AK569" s="705"/>
      <c r="AL569" s="705"/>
    </row>
    <row r="570" spans="1:38">
      <c r="B570" s="2460"/>
      <c r="C570" s="2498"/>
      <c r="D570" s="2481">
        <f t="shared" si="83"/>
        <v>0</v>
      </c>
      <c r="E570" s="2252"/>
      <c r="F570" s="2471"/>
      <c r="G570" s="2252"/>
      <c r="H570" s="2471"/>
      <c r="I570" s="2499">
        <f t="shared" si="81"/>
        <v>0</v>
      </c>
      <c r="J570" s="2471"/>
      <c r="K570" s="2252"/>
      <c r="L570" s="2471"/>
      <c r="M570" s="2500">
        <f t="shared" si="84"/>
        <v>0</v>
      </c>
      <c r="O570" s="922"/>
      <c r="P570" s="679"/>
      <c r="Q570" s="706"/>
      <c r="R570" s="109"/>
      <c r="S570" s="706"/>
      <c r="T570" s="708"/>
      <c r="U570" s="706"/>
      <c r="V570" s="706"/>
      <c r="W570" s="706"/>
      <c r="X570" s="706"/>
      <c r="Y570" s="706"/>
      <c r="Z570" s="706"/>
      <c r="AA570" s="706"/>
      <c r="AC570" s="705"/>
      <c r="AD570" s="705"/>
      <c r="AE570" s="705"/>
      <c r="AF570" s="705"/>
      <c r="AG570" s="705"/>
      <c r="AH570" s="705"/>
      <c r="AI570" s="705"/>
      <c r="AJ570" s="705"/>
      <c r="AK570" s="705"/>
      <c r="AL570" s="705"/>
    </row>
    <row r="571" spans="1:38" ht="51">
      <c r="B571" s="2467" t="s">
        <v>352</v>
      </c>
      <c r="C571" s="2498"/>
      <c r="D571" s="2481">
        <f t="shared" si="83"/>
        <v>303938.08872</v>
      </c>
      <c r="E571" s="2252"/>
      <c r="F571" s="2471">
        <v>868.76328000000001</v>
      </c>
      <c r="G571" s="2252">
        <v>-22008.406050000001</v>
      </c>
      <c r="H571" s="2471">
        <v>325077.73148999998</v>
      </c>
      <c r="I571" s="2499">
        <f t="shared" si="81"/>
        <v>303938.08872</v>
      </c>
      <c r="J571" s="2471"/>
      <c r="K571" s="2252"/>
      <c r="L571" s="2471"/>
      <c r="M571" s="2500">
        <f t="shared" si="84"/>
        <v>0</v>
      </c>
      <c r="N571" s="922"/>
      <c r="O571" s="922"/>
      <c r="P571" s="679"/>
      <c r="Q571" s="706"/>
      <c r="R571" s="109"/>
      <c r="S571" s="706"/>
      <c r="T571" s="708"/>
      <c r="U571" s="706"/>
      <c r="V571" s="706"/>
      <c r="W571" s="706"/>
      <c r="X571" s="706"/>
      <c r="Y571" s="706"/>
      <c r="Z571" s="706"/>
      <c r="AA571" s="706"/>
      <c r="AC571" s="705"/>
      <c r="AD571" s="705"/>
      <c r="AE571" s="705"/>
      <c r="AF571" s="705"/>
      <c r="AG571" s="705"/>
      <c r="AH571" s="705"/>
      <c r="AI571" s="705"/>
      <c r="AJ571" s="705"/>
      <c r="AK571" s="705"/>
      <c r="AL571" s="705"/>
    </row>
    <row r="572" spans="1:38">
      <c r="B572" s="2460"/>
      <c r="C572" s="2498"/>
      <c r="D572" s="2481">
        <f t="shared" si="83"/>
        <v>0</v>
      </c>
      <c r="E572" s="2252"/>
      <c r="F572" s="2471"/>
      <c r="G572" s="2252"/>
      <c r="H572" s="2471"/>
      <c r="I572" s="2499">
        <f t="shared" si="81"/>
        <v>0</v>
      </c>
      <c r="J572" s="2471"/>
      <c r="K572" s="2252"/>
      <c r="L572" s="2471"/>
      <c r="M572" s="2500">
        <f t="shared" si="84"/>
        <v>0</v>
      </c>
      <c r="N572" s="922"/>
      <c r="O572" s="922"/>
      <c r="P572" s="679"/>
      <c r="Q572" s="706"/>
      <c r="R572" s="109"/>
      <c r="S572" s="706"/>
      <c r="T572" s="708"/>
      <c r="U572" s="706"/>
      <c r="V572" s="706"/>
      <c r="W572" s="706"/>
      <c r="X572" s="706"/>
      <c r="Y572" s="706"/>
      <c r="Z572" s="706"/>
      <c r="AA572" s="706"/>
      <c r="AC572" s="705"/>
      <c r="AD572" s="705"/>
      <c r="AE572" s="705"/>
      <c r="AF572" s="705"/>
      <c r="AG572" s="705"/>
      <c r="AH572" s="705"/>
      <c r="AI572" s="705"/>
      <c r="AJ572" s="705"/>
      <c r="AK572" s="705"/>
      <c r="AL572" s="705"/>
    </row>
    <row r="573" spans="1:38" ht="12.75" customHeight="1">
      <c r="A573" s="973"/>
      <c r="B573" s="2467" t="s">
        <v>353</v>
      </c>
      <c r="C573" s="2498">
        <v>4</v>
      </c>
      <c r="D573" s="2481">
        <f>E573+I573+M573-33639.88524-2013.26422</f>
        <v>1483417.3379153602</v>
      </c>
      <c r="E573" s="2252">
        <f>12232.8209+4147.75182</f>
        <v>16380.57272</v>
      </c>
      <c r="F573" s="2471">
        <v>3755.4386665401298</v>
      </c>
      <c r="G573" s="2252">
        <f>472694.426280679+27605.6544</f>
        <v>500300.08068067901</v>
      </c>
      <c r="H573" s="2471">
        <v>998634.39530814101</v>
      </c>
      <c r="I573" s="2499">
        <f t="shared" si="81"/>
        <v>1502689.9146553602</v>
      </c>
      <c r="J573" s="2471"/>
      <c r="K573" s="2252"/>
      <c r="L573" s="2471"/>
      <c r="M573" s="2500">
        <f t="shared" si="84"/>
        <v>0</v>
      </c>
      <c r="N573" s="922"/>
      <c r="O573" s="922"/>
      <c r="P573" s="679"/>
      <c r="Q573" s="706"/>
      <c r="R573" s="109"/>
      <c r="S573" s="706"/>
      <c r="T573" s="708"/>
      <c r="U573" s="706"/>
      <c r="V573" s="706"/>
      <c r="W573" s="706"/>
      <c r="X573" s="706"/>
      <c r="Y573" s="706"/>
      <c r="Z573" s="706"/>
      <c r="AA573" s="706"/>
      <c r="AC573" s="705"/>
      <c r="AD573" s="705"/>
      <c r="AE573" s="705"/>
      <c r="AF573" s="705"/>
      <c r="AG573" s="705"/>
      <c r="AH573" s="705"/>
      <c r="AI573" s="705"/>
      <c r="AJ573" s="705"/>
      <c r="AK573" s="705"/>
      <c r="AL573" s="705"/>
    </row>
    <row r="574" spans="1:38">
      <c r="A574" s="973"/>
      <c r="B574" s="2460" t="s">
        <v>354</v>
      </c>
      <c r="C574" s="2498"/>
      <c r="D574" s="2481">
        <f>E574+I574+M574</f>
        <v>0</v>
      </c>
      <c r="E574" s="2252"/>
      <c r="F574" s="2471"/>
      <c r="G574" s="2252"/>
      <c r="H574" s="2471"/>
      <c r="I574" s="2499">
        <f t="shared" si="81"/>
        <v>0</v>
      </c>
      <c r="J574" s="2471"/>
      <c r="K574" s="2252"/>
      <c r="L574" s="2471"/>
      <c r="M574" s="2500">
        <f t="shared" si="84"/>
        <v>0</v>
      </c>
      <c r="N574" s="922"/>
      <c r="O574" s="922"/>
      <c r="P574" s="679"/>
      <c r="Q574" s="706"/>
      <c r="R574" s="109"/>
      <c r="S574" s="706"/>
      <c r="T574" s="708"/>
      <c r="U574" s="706"/>
      <c r="V574" s="706"/>
      <c r="W574" s="706"/>
      <c r="X574" s="706"/>
      <c r="Y574" s="706"/>
      <c r="Z574" s="706"/>
      <c r="AA574" s="706"/>
      <c r="AC574" s="705"/>
      <c r="AD574" s="705"/>
      <c r="AE574" s="705"/>
      <c r="AF574" s="705"/>
      <c r="AG574" s="705"/>
      <c r="AH574" s="705"/>
      <c r="AI574" s="705"/>
      <c r="AJ574" s="705"/>
      <c r="AK574" s="705"/>
      <c r="AL574" s="705"/>
    </row>
    <row r="575" spans="1:38">
      <c r="B575" s="2460" t="s">
        <v>355</v>
      </c>
      <c r="C575" s="2498"/>
      <c r="D575" s="2481">
        <f>E575+I575+M575</f>
        <v>0</v>
      </c>
      <c r="E575" s="2252">
        <v>0</v>
      </c>
      <c r="F575" s="2471"/>
      <c r="G575" s="2252"/>
      <c r="H575" s="2471"/>
      <c r="I575" s="2499">
        <f t="shared" si="81"/>
        <v>0</v>
      </c>
      <c r="J575" s="2471"/>
      <c r="K575" s="2252"/>
      <c r="L575" s="2471"/>
      <c r="M575" s="2500">
        <f t="shared" si="84"/>
        <v>0</v>
      </c>
      <c r="N575" s="922"/>
      <c r="O575" s="922"/>
      <c r="P575" s="679"/>
      <c r="Q575" s="706"/>
      <c r="R575" s="109"/>
      <c r="S575" s="706"/>
      <c r="T575" s="708"/>
      <c r="U575" s="706"/>
      <c r="V575" s="706"/>
      <c r="W575" s="706"/>
      <c r="X575" s="706"/>
      <c r="Y575" s="706"/>
      <c r="Z575" s="706"/>
      <c r="AA575" s="706"/>
      <c r="AC575" s="705"/>
      <c r="AD575" s="705"/>
      <c r="AE575" s="705"/>
      <c r="AF575" s="705"/>
      <c r="AG575" s="705"/>
      <c r="AH575" s="705"/>
      <c r="AI575" s="705"/>
      <c r="AJ575" s="705"/>
      <c r="AK575" s="705"/>
      <c r="AL575" s="705"/>
    </row>
    <row r="576" spans="1:38">
      <c r="B576" s="2466" t="s">
        <v>356</v>
      </c>
      <c r="C576" s="2501"/>
      <c r="D576" s="2481">
        <v>1451663.93169536</v>
      </c>
      <c r="E576" s="2252">
        <f>SUM(E573:E575)</f>
        <v>16380.57272</v>
      </c>
      <c r="F576" s="2471">
        <f>SUM(F573:F575)</f>
        <v>3755.4386665401298</v>
      </c>
      <c r="G576" s="2252">
        <f>SUM(G573:G575)</f>
        <v>500300.08068067901</v>
      </c>
      <c r="H576" s="2471">
        <f>SUM(H573:H575)</f>
        <v>998634.39530814101</v>
      </c>
      <c r="I576" s="2499">
        <f t="shared" si="81"/>
        <v>1502689.9146553602</v>
      </c>
      <c r="J576" s="2471">
        <f>SUM(J573:J575)</f>
        <v>0</v>
      </c>
      <c r="K576" s="2252">
        <f>SUM(K573:K575)</f>
        <v>0</v>
      </c>
      <c r="L576" s="2471">
        <f>SUM(L573:L575)</f>
        <v>0</v>
      </c>
      <c r="M576" s="2500">
        <f t="shared" si="84"/>
        <v>0</v>
      </c>
      <c r="N576" s="927"/>
      <c r="O576" s="922"/>
      <c r="P576" s="679"/>
      <c r="Q576" s="706"/>
      <c r="R576" s="935"/>
      <c r="S576" s="706"/>
      <c r="T576" s="708"/>
      <c r="U576" s="706"/>
      <c r="V576" s="706"/>
      <c r="W576" s="706"/>
      <c r="X576" s="706"/>
      <c r="Y576" s="706"/>
      <c r="Z576" s="706"/>
      <c r="AA576" s="706"/>
      <c r="AC576" s="705"/>
      <c r="AD576" s="705"/>
      <c r="AE576" s="705"/>
      <c r="AF576" s="705"/>
      <c r="AG576" s="705"/>
      <c r="AH576" s="705"/>
      <c r="AI576" s="705"/>
      <c r="AJ576" s="705"/>
      <c r="AK576" s="705"/>
      <c r="AL576" s="705"/>
    </row>
    <row r="577" spans="1:38">
      <c r="B577" s="2466"/>
      <c r="C577" s="2501"/>
      <c r="D577" s="2481">
        <f>E577+I577+M577</f>
        <v>0</v>
      </c>
      <c r="E577" s="2252"/>
      <c r="F577" s="2471"/>
      <c r="G577" s="2252"/>
      <c r="H577" s="2471"/>
      <c r="I577" s="2499">
        <f t="shared" si="81"/>
        <v>0</v>
      </c>
      <c r="J577" s="2471"/>
      <c r="K577" s="2252"/>
      <c r="L577" s="2471"/>
      <c r="M577" s="2500">
        <f t="shared" si="84"/>
        <v>0</v>
      </c>
      <c r="P577" s="679"/>
      <c r="Q577" s="706"/>
      <c r="R577" s="109"/>
      <c r="S577" s="706"/>
      <c r="T577" s="708"/>
      <c r="U577" s="706"/>
      <c r="V577" s="706"/>
      <c r="W577" s="706"/>
      <c r="X577" s="706"/>
      <c r="Y577" s="706"/>
      <c r="Z577" s="706"/>
      <c r="AA577" s="706"/>
      <c r="AC577" s="705"/>
      <c r="AD577" s="705"/>
      <c r="AE577" s="705"/>
      <c r="AF577" s="705"/>
      <c r="AG577" s="705"/>
      <c r="AH577" s="705"/>
      <c r="AI577" s="705"/>
      <c r="AJ577" s="705"/>
      <c r="AK577" s="705"/>
      <c r="AL577" s="705"/>
    </row>
    <row r="578" spans="1:38">
      <c r="A578" s="679"/>
      <c r="B578" s="2466" t="s">
        <v>357</v>
      </c>
      <c r="C578" s="2501"/>
      <c r="D578" s="2481">
        <f>E578+I578+M578</f>
        <v>585138.46626253542</v>
      </c>
      <c r="E578" s="2252">
        <f>E561-E569-E571-E576</f>
        <v>160138.46626000002</v>
      </c>
      <c r="F578" s="2471">
        <f>F561-F569-F571-F576</f>
        <v>2.1253547492960934E-4</v>
      </c>
      <c r="G578" s="2252">
        <f>G561-G569-G571-G576</f>
        <v>281641.89017820795</v>
      </c>
      <c r="H578" s="2471">
        <f>H561-H569-H571-H576</f>
        <v>143358.10961179191</v>
      </c>
      <c r="I578" s="2499">
        <f t="shared" si="81"/>
        <v>425000.00000253535</v>
      </c>
      <c r="J578" s="2471">
        <f>J561-J569-J571-J576</f>
        <v>0</v>
      </c>
      <c r="K578" s="2252">
        <f>K561-K569-K571-K576</f>
        <v>0</v>
      </c>
      <c r="L578" s="2471">
        <f>L561-L569-L571-L576</f>
        <v>0</v>
      </c>
      <c r="M578" s="2500">
        <f t="shared" si="84"/>
        <v>0</v>
      </c>
      <c r="N578" s="927"/>
      <c r="O578" s="922"/>
      <c r="P578" s="679"/>
      <c r="Q578" s="706"/>
      <c r="R578" s="935"/>
      <c r="S578" s="706"/>
      <c r="T578" s="708"/>
      <c r="U578" s="706"/>
      <c r="V578" s="706"/>
      <c r="W578" s="706"/>
      <c r="X578" s="706"/>
      <c r="Y578" s="706"/>
      <c r="Z578" s="706"/>
      <c r="AA578" s="706"/>
      <c r="AC578" s="705"/>
      <c r="AD578" s="705"/>
      <c r="AE578" s="705"/>
      <c r="AF578" s="705"/>
      <c r="AG578" s="705"/>
      <c r="AH578" s="705"/>
      <c r="AI578" s="705"/>
      <c r="AJ578" s="705"/>
      <c r="AK578" s="705"/>
      <c r="AL578" s="705"/>
    </row>
    <row r="579" spans="1:38">
      <c r="B579" s="2460" t="s">
        <v>358</v>
      </c>
      <c r="C579" s="2498"/>
      <c r="D579" s="2481">
        <f>E579+I579+M579</f>
        <v>0</v>
      </c>
      <c r="E579" s="2252"/>
      <c r="F579" s="2471"/>
      <c r="G579" s="2252"/>
      <c r="H579" s="2471"/>
      <c r="I579" s="2499">
        <f t="shared" si="81"/>
        <v>0</v>
      </c>
      <c r="J579" s="2471"/>
      <c r="K579" s="2252"/>
      <c r="L579" s="2471"/>
      <c r="M579" s="2500">
        <f t="shared" si="84"/>
        <v>0</v>
      </c>
      <c r="N579" s="922"/>
      <c r="O579" s="922"/>
      <c r="P579" s="679"/>
      <c r="Q579" s="706"/>
      <c r="R579" s="109"/>
      <c r="S579" s="706"/>
      <c r="T579" s="708"/>
      <c r="U579" s="706"/>
      <c r="V579" s="706"/>
      <c r="W579" s="706"/>
      <c r="X579" s="706"/>
      <c r="Y579" s="706"/>
      <c r="Z579" s="706"/>
      <c r="AA579" s="706"/>
      <c r="AC579" s="705"/>
      <c r="AD579" s="705"/>
      <c r="AE579" s="705"/>
      <c r="AF579" s="705"/>
      <c r="AG579" s="705"/>
      <c r="AH579" s="705"/>
      <c r="AI579" s="705"/>
      <c r="AJ579" s="705"/>
      <c r="AK579" s="705"/>
      <c r="AL579" s="705"/>
    </row>
    <row r="580" spans="1:38">
      <c r="B580" s="2460"/>
      <c r="C580" s="2498"/>
      <c r="D580" s="2481">
        <f>E580+I580+M580</f>
        <v>0</v>
      </c>
      <c r="E580" s="2252"/>
      <c r="F580" s="2471"/>
      <c r="G580" s="2252"/>
      <c r="H580" s="2471"/>
      <c r="I580" s="2499">
        <f t="shared" si="81"/>
        <v>0</v>
      </c>
      <c r="J580" s="2471"/>
      <c r="K580" s="2252"/>
      <c r="L580" s="2471"/>
      <c r="M580" s="2500">
        <f t="shared" si="84"/>
        <v>0</v>
      </c>
      <c r="P580" s="679"/>
      <c r="Q580" s="706"/>
      <c r="R580" s="109"/>
      <c r="S580" s="706"/>
      <c r="T580" s="708"/>
      <c r="U580" s="706"/>
      <c r="V580" s="706"/>
      <c r="W580" s="706"/>
      <c r="X580" s="706"/>
      <c r="Y580" s="706"/>
      <c r="Z580" s="706"/>
      <c r="AA580" s="706"/>
      <c r="AC580" s="705"/>
      <c r="AD580" s="705"/>
      <c r="AE580" s="705"/>
      <c r="AF580" s="705"/>
      <c r="AG580" s="705"/>
      <c r="AH580" s="705"/>
      <c r="AI580" s="705"/>
      <c r="AJ580" s="705"/>
      <c r="AK580" s="705"/>
      <c r="AL580" s="705"/>
    </row>
    <row r="581" spans="1:38" ht="13.5" thickBot="1">
      <c r="B581" s="1602" t="s">
        <v>359</v>
      </c>
      <c r="C581" s="1638"/>
      <c r="D581" s="1614">
        <f>E581+I581+M581</f>
        <v>585138.46626253542</v>
      </c>
      <c r="E581" s="1624">
        <f>E578-E579</f>
        <v>160138.46626000002</v>
      </c>
      <c r="F581" s="1614">
        <f>F578-F579</f>
        <v>2.1253547492960934E-4</v>
      </c>
      <c r="G581" s="1624">
        <f>G578-G579</f>
        <v>281641.89017820795</v>
      </c>
      <c r="H581" s="1614">
        <f>H578-H579</f>
        <v>143358.10961179191</v>
      </c>
      <c r="I581" s="1624">
        <f t="shared" si="81"/>
        <v>425000.00000253535</v>
      </c>
      <c r="J581" s="1614">
        <f>J578-J579</f>
        <v>0</v>
      </c>
      <c r="K581" s="1624">
        <f>K578-K579</f>
        <v>0</v>
      </c>
      <c r="L581" s="1614">
        <f>L578-L579</f>
        <v>0</v>
      </c>
      <c r="M581" s="1639">
        <f t="shared" si="84"/>
        <v>0</v>
      </c>
      <c r="N581" s="927"/>
      <c r="O581" s="922"/>
      <c r="P581" s="679"/>
      <c r="Q581" s="706"/>
      <c r="R581" s="935"/>
      <c r="S581" s="706"/>
      <c r="T581" s="708"/>
      <c r="U581" s="706"/>
      <c r="V581" s="706"/>
      <c r="W581" s="706"/>
      <c r="X581" s="706"/>
      <c r="Y581" s="706"/>
      <c r="Z581" s="706"/>
      <c r="AA581" s="706"/>
      <c r="AC581" s="705"/>
      <c r="AD581" s="705"/>
      <c r="AE581" s="705"/>
      <c r="AF581" s="705"/>
      <c r="AG581" s="705"/>
      <c r="AH581" s="705"/>
      <c r="AI581" s="705"/>
      <c r="AJ581" s="705"/>
      <c r="AK581" s="705"/>
      <c r="AL581" s="705"/>
    </row>
    <row r="582" spans="1:38">
      <c r="R582" s="109"/>
      <c r="T582" s="708"/>
    </row>
    <row r="583" spans="1:38">
      <c r="D583" s="679"/>
      <c r="E583" s="679"/>
      <c r="F583" s="679"/>
      <c r="G583" s="679"/>
      <c r="H583" s="679"/>
      <c r="I583" s="679"/>
      <c r="M583" s="673">
        <v>58</v>
      </c>
      <c r="R583" s="109"/>
    </row>
    <row r="584" spans="1:38">
      <c r="R584" s="109"/>
    </row>
    <row r="585" spans="1:38" ht="13.5" thickBot="1">
      <c r="R585" s="109"/>
    </row>
    <row r="586" spans="1:38" ht="12.75" customHeight="1" thickBot="1">
      <c r="A586" s="1607" t="s">
        <v>109</v>
      </c>
      <c r="B586" s="1608" t="s">
        <v>109</v>
      </c>
      <c r="C586" s="912"/>
      <c r="L586" s="3538" t="s">
        <v>251</v>
      </c>
      <c r="M586" s="3538"/>
      <c r="R586" s="109"/>
    </row>
    <row r="587" spans="1:38" ht="12.75" customHeight="1" thickBot="1">
      <c r="B587" s="3578" t="s">
        <v>109</v>
      </c>
      <c r="C587" s="3523" t="s">
        <v>325</v>
      </c>
      <c r="D587" s="3518" t="s">
        <v>255</v>
      </c>
      <c r="E587" s="3518" t="s">
        <v>326</v>
      </c>
      <c r="F587" s="3574" t="s">
        <v>258</v>
      </c>
      <c r="G587" s="3574"/>
      <c r="H587" s="3574"/>
      <c r="I587" s="3574"/>
      <c r="J587" s="3574"/>
      <c r="K587" s="3574"/>
      <c r="L587" s="3574"/>
      <c r="M587" s="3574"/>
      <c r="R587" s="179"/>
    </row>
    <row r="588" spans="1:38" ht="12.75" customHeight="1" thickBot="1">
      <c r="B588" s="3571"/>
      <c r="C588" s="3524"/>
      <c r="D588" s="3520"/>
      <c r="E588" s="3520"/>
      <c r="F588" s="3575" t="s">
        <v>259</v>
      </c>
      <c r="G588" s="3576"/>
      <c r="H588" s="3576"/>
      <c r="I588" s="3577"/>
      <c r="J588" s="3574" t="s">
        <v>327</v>
      </c>
      <c r="K588" s="3574"/>
      <c r="L588" s="3574"/>
      <c r="M588" s="3574"/>
      <c r="R588" s="179"/>
    </row>
    <row r="589" spans="1:38" ht="57" customHeight="1" thickBot="1">
      <c r="B589" s="3571"/>
      <c r="C589" s="3524"/>
      <c r="D589" s="3519"/>
      <c r="E589" s="3519"/>
      <c r="F589" s="1339" t="s">
        <v>261</v>
      </c>
      <c r="G589" s="1339" t="s">
        <v>262</v>
      </c>
      <c r="H589" s="1339" t="s">
        <v>263</v>
      </c>
      <c r="I589" s="1339" t="s">
        <v>158</v>
      </c>
      <c r="J589" s="1588" t="s">
        <v>328</v>
      </c>
      <c r="K589" s="1588" t="s">
        <v>265</v>
      </c>
      <c r="L589" s="1588" t="s">
        <v>329</v>
      </c>
      <c r="M589" s="1588" t="s">
        <v>158</v>
      </c>
      <c r="R589" s="179"/>
    </row>
    <row r="590" spans="1:38" ht="17.25" customHeight="1" thickBot="1">
      <c r="B590" s="3571"/>
      <c r="C590" s="3524"/>
      <c r="D590" s="1589">
        <v>1</v>
      </c>
      <c r="E590" s="3518">
        <v>2</v>
      </c>
      <c r="F590" s="3518">
        <v>3</v>
      </c>
      <c r="G590" s="3518">
        <v>4</v>
      </c>
      <c r="H590" s="3518">
        <v>5</v>
      </c>
      <c r="I590" s="1589">
        <v>6</v>
      </c>
      <c r="J590" s="3518">
        <v>7</v>
      </c>
      <c r="K590" s="3518">
        <v>8</v>
      </c>
      <c r="L590" s="3518">
        <v>9</v>
      </c>
      <c r="M590" s="1589">
        <v>10</v>
      </c>
      <c r="R590" s="179"/>
    </row>
    <row r="591" spans="1:38" ht="13.5" thickBot="1">
      <c r="B591" s="3571"/>
      <c r="C591" s="3525"/>
      <c r="D591" s="1590" t="s">
        <v>330</v>
      </c>
      <c r="E591" s="3519"/>
      <c r="F591" s="3519"/>
      <c r="G591" s="3519"/>
      <c r="H591" s="3519"/>
      <c r="I591" s="1590" t="s">
        <v>331</v>
      </c>
      <c r="J591" s="3519"/>
      <c r="K591" s="3519"/>
      <c r="L591" s="3519"/>
      <c r="M591" s="1590" t="s">
        <v>332</v>
      </c>
      <c r="N591" s="703"/>
      <c r="O591" s="703"/>
      <c r="R591" s="179"/>
    </row>
    <row r="592" spans="1:38">
      <c r="B592" s="1609" t="s">
        <v>333</v>
      </c>
      <c r="C592" s="988"/>
      <c r="D592" s="1592">
        <f t="shared" ref="D592:D626" si="85">E592+I592+M592</f>
        <v>40369.636539999992</v>
      </c>
      <c r="E592" s="526"/>
      <c r="F592" s="485">
        <v>1055.6770200000001</v>
      </c>
      <c r="G592" s="526">
        <v>39313.959519999989</v>
      </c>
      <c r="H592" s="485"/>
      <c r="I592" s="1636">
        <f t="shared" ref="I592:I629" si="86">F592+G592+H592</f>
        <v>40369.636539999992</v>
      </c>
      <c r="J592" s="963"/>
      <c r="K592" s="982"/>
      <c r="L592" s="963"/>
      <c r="M592" s="1637">
        <f t="shared" ref="M592:M609" si="87">L592+K592+J592</f>
        <v>0</v>
      </c>
      <c r="N592" s="922"/>
      <c r="O592" s="922"/>
      <c r="P592" s="679"/>
      <c r="Q592" s="706"/>
      <c r="R592" s="109"/>
      <c r="S592" s="706"/>
      <c r="T592" s="708"/>
      <c r="U592" s="706"/>
      <c r="V592" s="706"/>
      <c r="W592" s="706"/>
      <c r="X592" s="706"/>
      <c r="Y592" s="706"/>
      <c r="Z592" s="706"/>
      <c r="AA592" s="706"/>
    </row>
    <row r="593" spans="2:27">
      <c r="B593" s="2468"/>
      <c r="C593" s="2518"/>
      <c r="D593" s="2481">
        <f t="shared" si="85"/>
        <v>0</v>
      </c>
      <c r="E593" s="2190"/>
      <c r="F593" s="2191"/>
      <c r="G593" s="2190"/>
      <c r="H593" s="2191"/>
      <c r="I593" s="2499">
        <f t="shared" si="86"/>
        <v>0</v>
      </c>
      <c r="J593" s="2471"/>
      <c r="K593" s="2252"/>
      <c r="L593" s="2471"/>
      <c r="M593" s="2500">
        <f t="shared" si="87"/>
        <v>0</v>
      </c>
      <c r="O593" s="922"/>
      <c r="P593" s="679"/>
      <c r="Q593" s="706"/>
      <c r="R593" s="109"/>
      <c r="S593" s="706"/>
      <c r="T593" s="708"/>
      <c r="U593" s="706"/>
      <c r="V593" s="706"/>
      <c r="W593" s="706"/>
      <c r="X593" s="706"/>
      <c r="Y593" s="706"/>
      <c r="Z593" s="706"/>
      <c r="AA593" s="706"/>
    </row>
    <row r="594" spans="2:27">
      <c r="B594" s="2473" t="s">
        <v>334</v>
      </c>
      <c r="C594" s="2518"/>
      <c r="D594" s="2481">
        <f t="shared" si="85"/>
        <v>9792.0730000000003</v>
      </c>
      <c r="E594" s="2190"/>
      <c r="F594" s="2191">
        <v>155.82532</v>
      </c>
      <c r="G594" s="2190">
        <v>9636.2476800000004</v>
      </c>
      <c r="H594" s="2191"/>
      <c r="I594" s="2499">
        <f t="shared" si="86"/>
        <v>9792.0730000000003</v>
      </c>
      <c r="J594" s="2471"/>
      <c r="K594" s="2252"/>
      <c r="L594" s="2471"/>
      <c r="M594" s="2500">
        <f t="shared" si="87"/>
        <v>0</v>
      </c>
      <c r="N594" s="922"/>
      <c r="O594" s="922"/>
      <c r="P594" s="679"/>
      <c r="Q594" s="706"/>
      <c r="R594" s="109"/>
      <c r="S594" s="706"/>
      <c r="T594" s="708"/>
      <c r="U594" s="706"/>
      <c r="V594" s="706"/>
      <c r="W594" s="706"/>
      <c r="X594" s="706"/>
      <c r="Y594" s="706"/>
      <c r="Z594" s="706"/>
      <c r="AA594" s="706"/>
    </row>
    <row r="595" spans="2:27">
      <c r="B595" s="2473"/>
      <c r="C595" s="2518"/>
      <c r="D595" s="2481">
        <f t="shared" si="85"/>
        <v>0</v>
      </c>
      <c r="E595" s="2190"/>
      <c r="F595" s="2191"/>
      <c r="G595" s="2190"/>
      <c r="H595" s="2191"/>
      <c r="I595" s="2499">
        <f t="shared" si="86"/>
        <v>0</v>
      </c>
      <c r="J595" s="2471"/>
      <c r="K595" s="2252"/>
      <c r="L595" s="2471"/>
      <c r="M595" s="2500">
        <f t="shared" si="87"/>
        <v>0</v>
      </c>
      <c r="O595" s="922"/>
      <c r="P595" s="679"/>
      <c r="Q595" s="706"/>
      <c r="R595" s="109"/>
      <c r="S595" s="706"/>
      <c r="T595" s="708"/>
      <c r="U595" s="706"/>
      <c r="V595" s="706"/>
      <c r="W595" s="706"/>
      <c r="X595" s="706"/>
      <c r="Y595" s="706"/>
      <c r="Z595" s="706"/>
      <c r="AA595" s="706"/>
    </row>
    <row r="596" spans="2:27" ht="12.75" customHeight="1">
      <c r="B596" s="2474" t="s">
        <v>335</v>
      </c>
      <c r="C596" s="2518"/>
      <c r="D596" s="2481">
        <f t="shared" si="85"/>
        <v>0</v>
      </c>
      <c r="E596" s="2190"/>
      <c r="F596" s="2191"/>
      <c r="G596" s="2190"/>
      <c r="H596" s="2191"/>
      <c r="I596" s="2499">
        <f t="shared" si="86"/>
        <v>0</v>
      </c>
      <c r="J596" s="2471"/>
      <c r="K596" s="2252"/>
      <c r="L596" s="2471"/>
      <c r="M596" s="2500">
        <f t="shared" si="87"/>
        <v>0</v>
      </c>
      <c r="N596" s="922"/>
      <c r="O596" s="922"/>
      <c r="P596" s="679"/>
      <c r="Q596" s="706"/>
      <c r="R596" s="109"/>
      <c r="S596" s="706"/>
      <c r="T596" s="708"/>
      <c r="U596" s="706"/>
      <c r="V596" s="706"/>
      <c r="W596" s="706"/>
      <c r="X596" s="706"/>
      <c r="Y596" s="706"/>
      <c r="Z596" s="706"/>
      <c r="AA596" s="706"/>
    </row>
    <row r="597" spans="2:27">
      <c r="B597" s="2468"/>
      <c r="C597" s="2518"/>
      <c r="D597" s="2481">
        <f t="shared" si="85"/>
        <v>0</v>
      </c>
      <c r="E597" s="2252"/>
      <c r="F597" s="2471"/>
      <c r="G597" s="2252"/>
      <c r="H597" s="2471"/>
      <c r="I597" s="2499">
        <f t="shared" si="86"/>
        <v>0</v>
      </c>
      <c r="J597" s="2471"/>
      <c r="K597" s="2252"/>
      <c r="L597" s="2471"/>
      <c r="M597" s="2500">
        <f t="shared" si="87"/>
        <v>0</v>
      </c>
      <c r="O597" s="922"/>
      <c r="P597" s="679"/>
      <c r="Q597" s="706"/>
      <c r="R597" s="109"/>
      <c r="S597" s="706"/>
      <c r="T597" s="708"/>
      <c r="U597" s="706"/>
      <c r="V597" s="706"/>
      <c r="W597" s="706"/>
      <c r="X597" s="706"/>
      <c r="Y597" s="706"/>
      <c r="Z597" s="706"/>
      <c r="AA597" s="706"/>
    </row>
    <row r="598" spans="2:27">
      <c r="B598" s="2475" t="s">
        <v>336</v>
      </c>
      <c r="C598" s="2519"/>
      <c r="D598" s="2481">
        <f t="shared" si="85"/>
        <v>30577.563539999988</v>
      </c>
      <c r="E598" s="2252">
        <f>E592-E594+E596</f>
        <v>0</v>
      </c>
      <c r="F598" s="2471">
        <f>F592-F594+F596</f>
        <v>899.85170000000005</v>
      </c>
      <c r="G598" s="2252">
        <f>G592-G594+G596</f>
        <v>29677.711839999989</v>
      </c>
      <c r="H598" s="2471">
        <f>H592-H594+H596</f>
        <v>0</v>
      </c>
      <c r="I598" s="2499">
        <f t="shared" si="86"/>
        <v>30577.563539999988</v>
      </c>
      <c r="J598" s="2471">
        <f>J592-J594+J596</f>
        <v>0</v>
      </c>
      <c r="K598" s="2252">
        <f>K592-K594+K596</f>
        <v>0</v>
      </c>
      <c r="L598" s="2471">
        <f>L592-L594+L596</f>
        <v>0</v>
      </c>
      <c r="M598" s="2500">
        <f t="shared" si="87"/>
        <v>0</v>
      </c>
      <c r="N598" s="927"/>
      <c r="O598" s="922"/>
      <c r="P598" s="679"/>
      <c r="Q598" s="706"/>
      <c r="R598" s="109"/>
      <c r="S598" s="706"/>
      <c r="T598" s="708"/>
      <c r="U598" s="706"/>
      <c r="V598" s="706"/>
      <c r="W598" s="706"/>
      <c r="X598" s="706"/>
      <c r="Y598" s="706"/>
      <c r="Z598" s="706"/>
      <c r="AA598" s="706"/>
    </row>
    <row r="599" spans="2:27">
      <c r="B599" s="2475"/>
      <c r="C599" s="2519"/>
      <c r="D599" s="2481">
        <f t="shared" si="85"/>
        <v>0</v>
      </c>
      <c r="E599" s="2252"/>
      <c r="F599" s="2471"/>
      <c r="G599" s="2252"/>
      <c r="H599" s="2471"/>
      <c r="I599" s="2499">
        <f t="shared" si="86"/>
        <v>0</v>
      </c>
      <c r="J599" s="2471"/>
      <c r="K599" s="2252"/>
      <c r="L599" s="2471"/>
      <c r="M599" s="2500">
        <f t="shared" si="87"/>
        <v>0</v>
      </c>
      <c r="O599" s="922"/>
      <c r="P599" s="679"/>
      <c r="Q599" s="706"/>
      <c r="R599" s="109"/>
      <c r="S599" s="706"/>
      <c r="T599" s="708"/>
      <c r="U599" s="706"/>
      <c r="V599" s="706"/>
      <c r="W599" s="706"/>
      <c r="X599" s="706"/>
      <c r="Y599" s="706"/>
      <c r="Z599" s="706"/>
      <c r="AA599" s="706"/>
    </row>
    <row r="600" spans="2:27">
      <c r="B600" s="2475" t="s">
        <v>337</v>
      </c>
      <c r="C600" s="2519"/>
      <c r="D600" s="2481">
        <f t="shared" si="85"/>
        <v>59023.009149999998</v>
      </c>
      <c r="E600" s="2252">
        <f>SUM(E601:E605)</f>
        <v>33594.595300000001</v>
      </c>
      <c r="F600" s="2471">
        <f>SUM(F601:F605)</f>
        <v>175.27500000000001</v>
      </c>
      <c r="G600" s="2252">
        <f>SUM(G601:G605)</f>
        <v>25253.138849999996</v>
      </c>
      <c r="H600" s="2471">
        <f>SUM(H601:H605)</f>
        <v>0</v>
      </c>
      <c r="I600" s="2499">
        <f t="shared" si="86"/>
        <v>25428.413849999997</v>
      </c>
      <c r="J600" s="2471">
        <f>SUM(J601:J605)</f>
        <v>0</v>
      </c>
      <c r="K600" s="2252">
        <f>SUM(K601:K605)</f>
        <v>0</v>
      </c>
      <c r="L600" s="2471">
        <f>SUM(L601:L605)</f>
        <v>0</v>
      </c>
      <c r="M600" s="2500">
        <f t="shared" si="87"/>
        <v>0</v>
      </c>
      <c r="N600" s="927"/>
      <c r="O600" s="922"/>
      <c r="P600" s="679"/>
      <c r="Q600" s="706"/>
      <c r="R600" s="109"/>
      <c r="S600" s="706"/>
      <c r="T600" s="708"/>
      <c r="U600" s="706"/>
      <c r="V600" s="706"/>
      <c r="W600" s="706"/>
      <c r="X600" s="706"/>
      <c r="Y600" s="706"/>
      <c r="Z600" s="706"/>
      <c r="AA600" s="706"/>
    </row>
    <row r="601" spans="2:27">
      <c r="B601" s="2468" t="s">
        <v>338</v>
      </c>
      <c r="C601" s="2518">
        <v>1</v>
      </c>
      <c r="D601" s="2481">
        <f t="shared" si="85"/>
        <v>58542.978779999998</v>
      </c>
      <c r="E601" s="2190">
        <v>33594.595300000001</v>
      </c>
      <c r="F601" s="2191">
        <v>175.27500000000001</v>
      </c>
      <c r="G601" s="2190">
        <v>24773.108479999995</v>
      </c>
      <c r="H601" s="2191"/>
      <c r="I601" s="2499">
        <f t="shared" si="86"/>
        <v>24948.383479999997</v>
      </c>
      <c r="J601" s="2471"/>
      <c r="K601" s="2252"/>
      <c r="L601" s="2471"/>
      <c r="M601" s="2500">
        <f t="shared" si="87"/>
        <v>0</v>
      </c>
      <c r="N601" s="922"/>
      <c r="O601" s="922"/>
      <c r="P601" s="679"/>
      <c r="Q601" s="706"/>
      <c r="R601" s="109"/>
      <c r="S601" s="706"/>
      <c r="T601" s="708"/>
      <c r="U601" s="706"/>
      <c r="V601" s="706"/>
      <c r="W601" s="706"/>
      <c r="X601" s="706"/>
      <c r="Y601" s="706"/>
      <c r="Z601" s="706"/>
      <c r="AA601" s="706"/>
    </row>
    <row r="602" spans="2:27">
      <c r="B602" s="2468" t="s">
        <v>339</v>
      </c>
      <c r="C602" s="2518">
        <v>2</v>
      </c>
      <c r="D602" s="2481">
        <f t="shared" si="85"/>
        <v>480.03037</v>
      </c>
      <c r="E602" s="2190"/>
      <c r="F602" s="2191">
        <v>0</v>
      </c>
      <c r="G602" s="2190">
        <v>480.03037</v>
      </c>
      <c r="H602" s="2191"/>
      <c r="I602" s="2499">
        <f t="shared" si="86"/>
        <v>480.03037</v>
      </c>
      <c r="J602" s="2471"/>
      <c r="K602" s="2252"/>
      <c r="L602" s="2471"/>
      <c r="M602" s="2500">
        <f t="shared" si="87"/>
        <v>0</v>
      </c>
      <c r="N602" s="922"/>
      <c r="O602" s="922"/>
      <c r="P602" s="679"/>
      <c r="Q602" s="706"/>
      <c r="R602" s="109"/>
      <c r="S602" s="706"/>
      <c r="T602" s="708"/>
      <c r="U602" s="706"/>
      <c r="V602" s="706"/>
      <c r="W602" s="706"/>
      <c r="X602" s="706"/>
      <c r="Y602" s="706"/>
      <c r="Z602" s="706"/>
      <c r="AA602" s="706"/>
    </row>
    <row r="603" spans="2:27">
      <c r="B603" s="2468" t="s">
        <v>340</v>
      </c>
      <c r="C603" s="2518"/>
      <c r="D603" s="2481">
        <f t="shared" si="85"/>
        <v>0</v>
      </c>
      <c r="E603" s="2190"/>
      <c r="F603" s="2191"/>
      <c r="G603" s="2190"/>
      <c r="H603" s="2191"/>
      <c r="I603" s="2499">
        <f t="shared" si="86"/>
        <v>0</v>
      </c>
      <c r="J603" s="2471"/>
      <c r="K603" s="2252"/>
      <c r="L603" s="2471"/>
      <c r="M603" s="2500">
        <f t="shared" si="87"/>
        <v>0</v>
      </c>
      <c r="N603" s="922"/>
      <c r="O603" s="922"/>
      <c r="P603" s="679"/>
      <c r="Q603" s="706"/>
      <c r="R603" s="109"/>
      <c r="S603" s="706"/>
      <c r="T603" s="708"/>
      <c r="U603" s="706"/>
      <c r="V603" s="706"/>
      <c r="W603" s="706"/>
      <c r="X603" s="706"/>
      <c r="Y603" s="706"/>
      <c r="Z603" s="706"/>
      <c r="AA603" s="706"/>
    </row>
    <row r="604" spans="2:27">
      <c r="B604" s="2468" t="s">
        <v>341</v>
      </c>
      <c r="C604" s="2518"/>
      <c r="D604" s="2481">
        <f t="shared" si="85"/>
        <v>0</v>
      </c>
      <c r="E604" s="2190"/>
      <c r="F604" s="2191"/>
      <c r="G604" s="2190"/>
      <c r="H604" s="2191"/>
      <c r="I604" s="2499">
        <f t="shared" si="86"/>
        <v>0</v>
      </c>
      <c r="J604" s="2471"/>
      <c r="K604" s="2252"/>
      <c r="L604" s="2471"/>
      <c r="M604" s="2500">
        <f t="shared" si="87"/>
        <v>0</v>
      </c>
      <c r="N604" s="922"/>
      <c r="O604" s="922"/>
      <c r="P604" s="679"/>
      <c r="Q604" s="706"/>
      <c r="R604" s="109"/>
      <c r="S604" s="706"/>
      <c r="T604" s="708"/>
      <c r="U604" s="706"/>
      <c r="V604" s="706"/>
      <c r="W604" s="706"/>
      <c r="X604" s="706"/>
      <c r="Y604" s="706"/>
      <c r="Z604" s="706"/>
      <c r="AA604" s="706"/>
    </row>
    <row r="605" spans="2:27">
      <c r="B605" s="2468" t="s">
        <v>342</v>
      </c>
      <c r="C605" s="2518">
        <v>3</v>
      </c>
      <c r="D605" s="2481">
        <f t="shared" si="85"/>
        <v>0</v>
      </c>
      <c r="E605" s="2190"/>
      <c r="F605" s="2191"/>
      <c r="G605" s="2190"/>
      <c r="H605" s="2191"/>
      <c r="I605" s="2499">
        <f t="shared" si="86"/>
        <v>0</v>
      </c>
      <c r="J605" s="2471"/>
      <c r="K605" s="2252"/>
      <c r="L605" s="2471"/>
      <c r="M605" s="2500">
        <f t="shared" si="87"/>
        <v>0</v>
      </c>
      <c r="N605" s="922"/>
      <c r="O605" s="922"/>
      <c r="P605" s="679"/>
      <c r="Q605" s="706"/>
      <c r="R605" s="109"/>
      <c r="S605" s="706"/>
      <c r="T605" s="708"/>
      <c r="U605" s="706"/>
      <c r="V605" s="706"/>
      <c r="W605" s="706"/>
      <c r="X605" s="706"/>
      <c r="Y605" s="706"/>
      <c r="Z605" s="706"/>
      <c r="AA605" s="706"/>
    </row>
    <row r="606" spans="2:27">
      <c r="B606" s="2468" t="s">
        <v>343</v>
      </c>
      <c r="C606" s="2518"/>
      <c r="D606" s="2481">
        <f t="shared" si="85"/>
        <v>0</v>
      </c>
      <c r="E606" s="2252"/>
      <c r="F606" s="2471"/>
      <c r="G606" s="2252"/>
      <c r="H606" s="2471"/>
      <c r="I606" s="2499">
        <f t="shared" si="86"/>
        <v>0</v>
      </c>
      <c r="J606" s="2471"/>
      <c r="K606" s="2252"/>
      <c r="L606" s="2471"/>
      <c r="M606" s="2500">
        <f t="shared" si="87"/>
        <v>0</v>
      </c>
      <c r="O606" s="922"/>
      <c r="P606" s="679"/>
      <c r="Q606" s="706"/>
      <c r="R606" s="109"/>
      <c r="S606" s="706"/>
      <c r="T606" s="708"/>
      <c r="U606" s="706"/>
      <c r="V606" s="706"/>
      <c r="W606" s="706"/>
      <c r="X606" s="706"/>
      <c r="Y606" s="706"/>
      <c r="Z606" s="706"/>
      <c r="AA606" s="706"/>
    </row>
    <row r="607" spans="2:27">
      <c r="B607" s="2468" t="s">
        <v>343</v>
      </c>
      <c r="C607" s="2518"/>
      <c r="D607" s="2481">
        <f t="shared" si="85"/>
        <v>0</v>
      </c>
      <c r="E607" s="2252"/>
      <c r="F607" s="2471"/>
      <c r="G607" s="2252"/>
      <c r="H607" s="2471"/>
      <c r="I607" s="2499">
        <f t="shared" si="86"/>
        <v>0</v>
      </c>
      <c r="J607" s="2471"/>
      <c r="K607" s="2252"/>
      <c r="L607" s="2471"/>
      <c r="M607" s="2500">
        <f t="shared" si="87"/>
        <v>0</v>
      </c>
      <c r="O607" s="922"/>
      <c r="P607" s="679"/>
      <c r="Q607" s="706"/>
      <c r="R607" s="109"/>
      <c r="S607" s="706"/>
      <c r="T607" s="708"/>
      <c r="U607" s="706"/>
      <c r="V607" s="706"/>
      <c r="W607" s="706"/>
      <c r="X607" s="706"/>
      <c r="Y607" s="706"/>
      <c r="Z607" s="706"/>
      <c r="AA607" s="706"/>
    </row>
    <row r="608" spans="2:27">
      <c r="B608" s="2468"/>
      <c r="C608" s="2518"/>
      <c r="D608" s="2481">
        <f t="shared" si="85"/>
        <v>0</v>
      </c>
      <c r="E608" s="2252"/>
      <c r="F608" s="2471"/>
      <c r="G608" s="2252"/>
      <c r="H608" s="2471"/>
      <c r="I608" s="2499">
        <f t="shared" si="86"/>
        <v>0</v>
      </c>
      <c r="J608" s="2471"/>
      <c r="K608" s="2252"/>
      <c r="L608" s="2471"/>
      <c r="M608" s="2500">
        <f t="shared" si="87"/>
        <v>0</v>
      </c>
      <c r="O608" s="922"/>
      <c r="P608" s="679"/>
      <c r="Q608" s="706"/>
      <c r="R608" s="109"/>
      <c r="S608" s="706"/>
      <c r="T608" s="708"/>
      <c r="U608" s="706"/>
      <c r="V608" s="706"/>
      <c r="W608" s="706"/>
      <c r="X608" s="706"/>
      <c r="Y608" s="706"/>
      <c r="Z608" s="706"/>
      <c r="AA608" s="706"/>
    </row>
    <row r="609" spans="2:27">
      <c r="B609" s="2478" t="s">
        <v>344</v>
      </c>
      <c r="C609" s="2519"/>
      <c r="D609" s="2481">
        <f t="shared" si="85"/>
        <v>89600.572689999986</v>
      </c>
      <c r="E609" s="2252">
        <f>E598+E600</f>
        <v>33594.595300000001</v>
      </c>
      <c r="F609" s="2471">
        <f>F598+F600</f>
        <v>1075.1267</v>
      </c>
      <c r="G609" s="2252">
        <f>G598+G600</f>
        <v>54930.850689999985</v>
      </c>
      <c r="H609" s="2471">
        <f>H598+H600</f>
        <v>0</v>
      </c>
      <c r="I609" s="2499">
        <f t="shared" si="86"/>
        <v>56005.977389999985</v>
      </c>
      <c r="J609" s="2471">
        <f>J598+J600</f>
        <v>0</v>
      </c>
      <c r="K609" s="2252">
        <f>K598+K600</f>
        <v>0</v>
      </c>
      <c r="L609" s="2471">
        <f>L598+L600</f>
        <v>0</v>
      </c>
      <c r="M609" s="2500">
        <f t="shared" si="87"/>
        <v>0</v>
      </c>
      <c r="N609" s="927"/>
      <c r="O609" s="922"/>
      <c r="P609" s="679"/>
      <c r="Q609" s="706"/>
      <c r="R609" s="109"/>
      <c r="S609" s="706"/>
      <c r="T609" s="708"/>
      <c r="U609" s="706"/>
      <c r="V609" s="706"/>
      <c r="W609" s="706"/>
      <c r="X609" s="706"/>
      <c r="Y609" s="706"/>
      <c r="Z609" s="706"/>
      <c r="AA609" s="706"/>
    </row>
    <row r="610" spans="2:27">
      <c r="B610" s="2478"/>
      <c r="C610" s="2519"/>
      <c r="D610" s="2481">
        <f t="shared" si="85"/>
        <v>0</v>
      </c>
      <c r="E610" s="2252"/>
      <c r="F610" s="2471"/>
      <c r="G610" s="2252"/>
      <c r="H610" s="2471"/>
      <c r="I610" s="2499">
        <f t="shared" si="86"/>
        <v>0</v>
      </c>
      <c r="J610" s="2471"/>
      <c r="K610" s="2252"/>
      <c r="L610" s="2471"/>
      <c r="M610" s="2500"/>
      <c r="O610" s="922"/>
      <c r="P610" s="679"/>
      <c r="Q610" s="706"/>
      <c r="R610" s="109"/>
      <c r="S610" s="706"/>
      <c r="T610" s="708"/>
      <c r="U610" s="706"/>
      <c r="V610" s="706"/>
      <c r="W610" s="706"/>
      <c r="X610" s="706"/>
      <c r="Y610" s="706"/>
      <c r="Z610" s="706"/>
      <c r="AA610" s="706"/>
    </row>
    <row r="611" spans="2:27">
      <c r="B611" s="2468" t="s">
        <v>345</v>
      </c>
      <c r="C611" s="2518"/>
      <c r="D611" s="2481">
        <f t="shared" si="85"/>
        <v>51914.135549999999</v>
      </c>
      <c r="E611" s="2190"/>
      <c r="F611" s="2191">
        <v>1122.0450000000001</v>
      </c>
      <c r="G611" s="2190">
        <v>50792.090550000001</v>
      </c>
      <c r="H611" s="2191"/>
      <c r="I611" s="2499">
        <f t="shared" si="86"/>
        <v>51914.135549999999</v>
      </c>
      <c r="J611" s="2471"/>
      <c r="K611" s="2252"/>
      <c r="L611" s="2471"/>
      <c r="M611" s="2500">
        <f t="shared" ref="M611:M629" si="88">L611+K611+J611</f>
        <v>0</v>
      </c>
      <c r="N611" s="922"/>
      <c r="O611" s="922"/>
      <c r="P611" s="679"/>
      <c r="Q611" s="706"/>
      <c r="R611" s="109"/>
      <c r="S611" s="706"/>
      <c r="T611" s="708"/>
      <c r="U611" s="706"/>
      <c r="V611" s="706"/>
      <c r="W611" s="706"/>
      <c r="X611" s="706"/>
      <c r="Y611" s="706"/>
      <c r="Z611" s="706"/>
      <c r="AA611" s="706"/>
    </row>
    <row r="612" spans="2:27">
      <c r="B612" s="2468" t="s">
        <v>346</v>
      </c>
      <c r="C612" s="2518"/>
      <c r="D612" s="2481">
        <f t="shared" si="85"/>
        <v>-3532.7368299999998</v>
      </c>
      <c r="E612" s="2190"/>
      <c r="F612" s="2191">
        <v>0</v>
      </c>
      <c r="G612" s="2190">
        <v>-3532.7368299999998</v>
      </c>
      <c r="H612" s="2191"/>
      <c r="I612" s="2499">
        <f t="shared" si="86"/>
        <v>-3532.7368299999998</v>
      </c>
      <c r="J612" s="2471"/>
      <c r="K612" s="2252"/>
      <c r="L612" s="2471"/>
      <c r="M612" s="2500">
        <f t="shared" si="88"/>
        <v>0</v>
      </c>
      <c r="N612" s="922"/>
      <c r="O612" s="922"/>
      <c r="P612" s="679"/>
      <c r="Q612" s="706"/>
      <c r="R612" s="109"/>
      <c r="S612" s="706"/>
      <c r="T612" s="708"/>
      <c r="U612" s="706"/>
      <c r="V612" s="706"/>
      <c r="W612" s="706"/>
      <c r="X612" s="706"/>
      <c r="Y612" s="706"/>
      <c r="Z612" s="706"/>
      <c r="AA612" s="706"/>
    </row>
    <row r="613" spans="2:27">
      <c r="B613" s="2468" t="s">
        <v>347</v>
      </c>
      <c r="C613" s="2518"/>
      <c r="D613" s="2481">
        <f t="shared" si="85"/>
        <v>-26191.19901</v>
      </c>
      <c r="E613" s="2190"/>
      <c r="F613" s="2191">
        <v>2441.4670000000001</v>
      </c>
      <c r="G613" s="2190">
        <v>-28632.666010000001</v>
      </c>
      <c r="H613" s="2191"/>
      <c r="I613" s="2499">
        <f t="shared" si="86"/>
        <v>-26191.19901</v>
      </c>
      <c r="J613" s="2471"/>
      <c r="K613" s="2252"/>
      <c r="L613" s="2471"/>
      <c r="M613" s="2500">
        <f t="shared" si="88"/>
        <v>0</v>
      </c>
      <c r="N613" s="922"/>
      <c r="O613" s="922"/>
      <c r="P613" s="679"/>
      <c r="Q613" s="706"/>
      <c r="R613" s="109"/>
      <c r="S613" s="706"/>
      <c r="T613" s="708"/>
      <c r="U613" s="706"/>
      <c r="V613" s="706"/>
      <c r="W613" s="706"/>
      <c r="X613" s="706"/>
      <c r="Y613" s="706"/>
      <c r="Z613" s="706"/>
      <c r="AA613" s="706"/>
    </row>
    <row r="614" spans="2:27" ht="12.75" customHeight="1">
      <c r="B614" s="2479" t="s">
        <v>348</v>
      </c>
      <c r="C614" s="2518"/>
      <c r="D614" s="2481">
        <f t="shared" si="85"/>
        <v>83.826599999999999</v>
      </c>
      <c r="E614" s="2190"/>
      <c r="F614" s="2191">
        <v>0</v>
      </c>
      <c r="G614" s="2190">
        <v>83.826599999999999</v>
      </c>
      <c r="H614" s="2191"/>
      <c r="I614" s="2499">
        <f t="shared" si="86"/>
        <v>83.826599999999999</v>
      </c>
      <c r="J614" s="2471"/>
      <c r="K614" s="2252"/>
      <c r="L614" s="2471"/>
      <c r="M614" s="2500">
        <f t="shared" si="88"/>
        <v>0</v>
      </c>
      <c r="N614" s="922"/>
      <c r="O614" s="922"/>
      <c r="P614" s="679"/>
      <c r="Q614" s="706"/>
      <c r="R614" s="109"/>
      <c r="S614" s="706"/>
      <c r="T614" s="708"/>
      <c r="U614" s="706"/>
      <c r="V614" s="706"/>
      <c r="W614" s="706"/>
      <c r="X614" s="706"/>
      <c r="Y614" s="706"/>
      <c r="Z614" s="706"/>
      <c r="AA614" s="706"/>
    </row>
    <row r="615" spans="2:27">
      <c r="B615" s="2468" t="s">
        <v>349</v>
      </c>
      <c r="C615" s="2518"/>
      <c r="D615" s="2481">
        <f t="shared" si="85"/>
        <v>-61633.058179999978</v>
      </c>
      <c r="E615" s="2190"/>
      <c r="F615" s="2191">
        <v>-4998.2828438483803</v>
      </c>
      <c r="G615" s="2190">
        <v>-56634.775336151601</v>
      </c>
      <c r="H615" s="2191"/>
      <c r="I615" s="2499">
        <f t="shared" si="86"/>
        <v>-61633.058179999978</v>
      </c>
      <c r="J615" s="2471"/>
      <c r="K615" s="2252"/>
      <c r="L615" s="2471"/>
      <c r="M615" s="2500">
        <f t="shared" si="88"/>
        <v>0</v>
      </c>
      <c r="N615" s="922"/>
      <c r="O615" s="922"/>
      <c r="P615" s="679"/>
      <c r="Q615" s="706"/>
      <c r="R615" s="109"/>
      <c r="S615" s="706"/>
      <c r="T615" s="708"/>
      <c r="U615" s="706"/>
      <c r="V615" s="706"/>
      <c r="W615" s="706"/>
      <c r="X615" s="706"/>
      <c r="Y615" s="706"/>
      <c r="Z615" s="706"/>
      <c r="AA615" s="706"/>
    </row>
    <row r="616" spans="2:27" ht="51">
      <c r="B616" s="2479" t="s">
        <v>350</v>
      </c>
      <c r="C616" s="2518"/>
      <c r="D616" s="2481">
        <f t="shared" si="85"/>
        <v>0</v>
      </c>
      <c r="E616" s="2190"/>
      <c r="F616" s="2191"/>
      <c r="G616" s="2190"/>
      <c r="H616" s="2191"/>
      <c r="I616" s="2499">
        <f t="shared" si="86"/>
        <v>0</v>
      </c>
      <c r="J616" s="2471"/>
      <c r="K616" s="2252"/>
      <c r="L616" s="2471"/>
      <c r="M616" s="2500">
        <f t="shared" si="88"/>
        <v>0</v>
      </c>
      <c r="N616" s="922"/>
      <c r="O616" s="922"/>
      <c r="P616" s="679"/>
      <c r="Q616" s="706"/>
      <c r="R616" s="109"/>
      <c r="S616" s="706"/>
      <c r="T616" s="708"/>
      <c r="U616" s="706"/>
      <c r="V616" s="706"/>
      <c r="W616" s="706"/>
      <c r="X616" s="706"/>
      <c r="Y616" s="706"/>
      <c r="Z616" s="706"/>
      <c r="AA616" s="706"/>
    </row>
    <row r="617" spans="2:27">
      <c r="B617" s="2478" t="s">
        <v>351</v>
      </c>
      <c r="C617" s="2519"/>
      <c r="D617" s="2481">
        <f t="shared" si="85"/>
        <v>-39359.031869999984</v>
      </c>
      <c r="E617" s="2252">
        <f>SUM(E611:E616)</f>
        <v>0</v>
      </c>
      <c r="F617" s="2471">
        <f>SUM(F611:F616)</f>
        <v>-1434.7708438483801</v>
      </c>
      <c r="G617" s="2252">
        <f>SUM(G611:G616)</f>
        <v>-37924.261026151602</v>
      </c>
      <c r="H617" s="2471">
        <f>SUM(H611:H616)</f>
        <v>0</v>
      </c>
      <c r="I617" s="2499">
        <f t="shared" si="86"/>
        <v>-39359.031869999984</v>
      </c>
      <c r="J617" s="2471">
        <f>SUM(J611:J616)</f>
        <v>0</v>
      </c>
      <c r="K617" s="2252">
        <f>SUM(K611:K616)</f>
        <v>0</v>
      </c>
      <c r="L617" s="2471">
        <f>SUM(L611:L616)</f>
        <v>0</v>
      </c>
      <c r="M617" s="2500">
        <f t="shared" si="88"/>
        <v>0</v>
      </c>
      <c r="N617" s="927"/>
      <c r="O617" s="922"/>
      <c r="P617" s="679"/>
      <c r="Q617" s="706"/>
      <c r="R617" s="109"/>
      <c r="S617" s="706"/>
      <c r="T617" s="708"/>
      <c r="U617" s="706"/>
      <c r="V617" s="706"/>
      <c r="W617" s="706"/>
      <c r="X617" s="706"/>
      <c r="Y617" s="706"/>
      <c r="Z617" s="706"/>
      <c r="AA617" s="706"/>
    </row>
    <row r="618" spans="2:27">
      <c r="B618" s="2468"/>
      <c r="C618" s="2518"/>
      <c r="D618" s="2481">
        <f t="shared" si="85"/>
        <v>0</v>
      </c>
      <c r="E618" s="2252"/>
      <c r="F618" s="2471"/>
      <c r="G618" s="2252"/>
      <c r="H618" s="2471"/>
      <c r="I618" s="2499">
        <f t="shared" si="86"/>
        <v>0</v>
      </c>
      <c r="J618" s="2471"/>
      <c r="K618" s="2252"/>
      <c r="L618" s="2471"/>
      <c r="M618" s="2500">
        <f t="shared" si="88"/>
        <v>0</v>
      </c>
      <c r="O618" s="922"/>
      <c r="P618" s="679"/>
      <c r="Q618" s="706"/>
      <c r="R618" s="109"/>
      <c r="S618" s="706"/>
      <c r="T618" s="708"/>
      <c r="U618" s="706"/>
      <c r="V618" s="706"/>
      <c r="W618" s="706"/>
      <c r="X618" s="706"/>
      <c r="Y618" s="706"/>
      <c r="Z618" s="706"/>
      <c r="AA618" s="706"/>
    </row>
    <row r="619" spans="2:27" ht="51">
      <c r="B619" s="2479" t="s">
        <v>352</v>
      </c>
      <c r="C619" s="2518"/>
      <c r="D619" s="2481">
        <f t="shared" si="85"/>
        <v>-13669.16302</v>
      </c>
      <c r="E619" s="2190"/>
      <c r="F619" s="2191">
        <v>-342.73913388979997</v>
      </c>
      <c r="G619" s="2190">
        <v>-13326.4238861102</v>
      </c>
      <c r="H619" s="2191"/>
      <c r="I619" s="2499">
        <f t="shared" si="86"/>
        <v>-13669.16302</v>
      </c>
      <c r="J619" s="2471"/>
      <c r="K619" s="2252"/>
      <c r="L619" s="2471"/>
      <c r="M619" s="2500">
        <f t="shared" si="88"/>
        <v>0</v>
      </c>
      <c r="N619" s="922"/>
      <c r="O619" s="922"/>
      <c r="P619" s="679"/>
      <c r="Q619" s="706"/>
      <c r="R619" s="109"/>
      <c r="S619" s="706"/>
      <c r="T619" s="708"/>
      <c r="U619" s="706"/>
      <c r="V619" s="706"/>
      <c r="W619" s="706"/>
      <c r="X619" s="706"/>
      <c r="Y619" s="706"/>
      <c r="Z619" s="706"/>
      <c r="AA619" s="706"/>
    </row>
    <row r="620" spans="2:27">
      <c r="B620" s="2468"/>
      <c r="C620" s="2518"/>
      <c r="D620" s="2481">
        <f t="shared" si="85"/>
        <v>0</v>
      </c>
      <c r="E620" s="2190"/>
      <c r="F620" s="2191"/>
      <c r="G620" s="2190"/>
      <c r="H620" s="2191"/>
      <c r="I620" s="2499">
        <f t="shared" si="86"/>
        <v>0</v>
      </c>
      <c r="J620" s="2471"/>
      <c r="K620" s="2252"/>
      <c r="L620" s="2471"/>
      <c r="M620" s="2500">
        <f t="shared" si="88"/>
        <v>0</v>
      </c>
      <c r="N620" s="922"/>
      <c r="O620" s="922"/>
      <c r="P620" s="679"/>
      <c r="Q620" s="706"/>
      <c r="R620" s="109"/>
      <c r="S620" s="706"/>
      <c r="T620" s="708"/>
      <c r="U620" s="706"/>
      <c r="V620" s="706"/>
      <c r="W620" s="706"/>
      <c r="X620" s="706"/>
      <c r="Y620" s="706"/>
      <c r="Z620" s="706"/>
      <c r="AA620" s="706"/>
    </row>
    <row r="621" spans="2:27" ht="12.75" customHeight="1">
      <c r="B621" s="2479" t="s">
        <v>353</v>
      </c>
      <c r="C621" s="2518">
        <v>4</v>
      </c>
      <c r="D621" s="2481">
        <f t="shared" si="85"/>
        <v>108604.1784500004</v>
      </c>
      <c r="E621" s="2190"/>
      <c r="F621" s="2191">
        <f>2836.0761770794+5.31604457795499</f>
        <v>2841.3922216573551</v>
      </c>
      <c r="G621" s="2190">
        <f>105616.947142921+145.839085422045</f>
        <v>105762.78622834304</v>
      </c>
      <c r="H621" s="2191"/>
      <c r="I621" s="2499">
        <f t="shared" si="86"/>
        <v>108604.1784500004</v>
      </c>
      <c r="J621" s="2471"/>
      <c r="K621" s="2252"/>
      <c r="L621" s="2471"/>
      <c r="M621" s="2500">
        <f t="shared" si="88"/>
        <v>0</v>
      </c>
      <c r="N621" s="922"/>
      <c r="O621" s="922"/>
      <c r="P621" s="679"/>
      <c r="Q621" s="706"/>
      <c r="R621" s="109"/>
      <c r="S621" s="706"/>
      <c r="T621" s="708"/>
      <c r="U621" s="706"/>
      <c r="V621" s="706"/>
      <c r="W621" s="706"/>
      <c r="X621" s="706"/>
      <c r="Y621" s="706"/>
      <c r="Z621" s="706"/>
      <c r="AA621" s="706"/>
    </row>
    <row r="622" spans="2:27">
      <c r="B622" s="2468" t="s">
        <v>354</v>
      </c>
      <c r="C622" s="2518"/>
      <c r="D622" s="2481">
        <f t="shared" si="85"/>
        <v>0</v>
      </c>
      <c r="E622" s="2190"/>
      <c r="F622" s="2191"/>
      <c r="G622" s="2190"/>
      <c r="H622" s="2191"/>
      <c r="I622" s="2499">
        <f t="shared" si="86"/>
        <v>0</v>
      </c>
      <c r="J622" s="2471"/>
      <c r="K622" s="2252"/>
      <c r="L622" s="2471"/>
      <c r="M622" s="2500">
        <f t="shared" si="88"/>
        <v>0</v>
      </c>
      <c r="N622" s="922"/>
      <c r="O622" s="922"/>
      <c r="P622" s="679"/>
      <c r="Q622" s="706"/>
      <c r="R622" s="109"/>
      <c r="S622" s="706"/>
      <c r="T622" s="708"/>
      <c r="U622" s="706"/>
      <c r="V622" s="706"/>
      <c r="W622" s="706"/>
      <c r="X622" s="706"/>
      <c r="Y622" s="706"/>
      <c r="Z622" s="706"/>
      <c r="AA622" s="706"/>
    </row>
    <row r="623" spans="2:27">
      <c r="B623" s="2468" t="s">
        <v>355</v>
      </c>
      <c r="C623" s="2518"/>
      <c r="D623" s="2481">
        <f t="shared" si="85"/>
        <v>429.99383</v>
      </c>
      <c r="E623" s="2190"/>
      <c r="F623" s="2191">
        <v>11.244456080822241</v>
      </c>
      <c r="G623" s="2190">
        <v>418.74937391917774</v>
      </c>
      <c r="H623" s="2191"/>
      <c r="I623" s="2499">
        <f t="shared" si="86"/>
        <v>429.99383</v>
      </c>
      <c r="J623" s="2471"/>
      <c r="K623" s="2252"/>
      <c r="L623" s="2471"/>
      <c r="M623" s="2500">
        <f t="shared" si="88"/>
        <v>0</v>
      </c>
      <c r="N623" s="922"/>
      <c r="O623" s="922"/>
      <c r="P623" s="679"/>
      <c r="Q623" s="706"/>
      <c r="R623" s="109"/>
      <c r="S623" s="706"/>
      <c r="T623" s="708"/>
      <c r="U623" s="706"/>
      <c r="V623" s="706"/>
      <c r="W623" s="706"/>
      <c r="X623" s="706"/>
      <c r="Y623" s="706"/>
      <c r="Z623" s="706"/>
      <c r="AA623" s="706"/>
    </row>
    <row r="624" spans="2:27">
      <c r="B624" s="2478" t="s">
        <v>356</v>
      </c>
      <c r="C624" s="2519"/>
      <c r="D624" s="2481">
        <f t="shared" si="85"/>
        <v>109034.17228000039</v>
      </c>
      <c r="E624" s="2252">
        <f>SUM(E621:E623)</f>
        <v>0</v>
      </c>
      <c r="F624" s="2471">
        <f>SUM(F621:F623)</f>
        <v>2852.6366777381772</v>
      </c>
      <c r="G624" s="2252">
        <f>SUM(G621:G623)</f>
        <v>106181.53560226221</v>
      </c>
      <c r="H624" s="2471">
        <f>SUM(H621:H623)</f>
        <v>0</v>
      </c>
      <c r="I624" s="2499">
        <f t="shared" si="86"/>
        <v>109034.17228000039</v>
      </c>
      <c r="J624" s="2471">
        <f>SUM(J621:J623)</f>
        <v>0</v>
      </c>
      <c r="K624" s="2252">
        <f>SUM(K621:K623)</f>
        <v>0</v>
      </c>
      <c r="L624" s="2471">
        <f>SUM(L621:L623)</f>
        <v>0</v>
      </c>
      <c r="M624" s="2500">
        <f t="shared" si="88"/>
        <v>0</v>
      </c>
      <c r="N624" s="927"/>
      <c r="O624" s="922"/>
      <c r="P624" s="679"/>
      <c r="Q624" s="706"/>
      <c r="R624" s="109"/>
      <c r="S624" s="706"/>
      <c r="T624" s="708"/>
      <c r="U624" s="706"/>
      <c r="V624" s="706"/>
      <c r="W624" s="706"/>
      <c r="X624" s="706"/>
      <c r="Y624" s="706"/>
      <c r="Z624" s="706"/>
      <c r="AA624" s="706"/>
    </row>
    <row r="625" spans="1:27">
      <c r="B625" s="2478"/>
      <c r="C625" s="2519"/>
      <c r="D625" s="2481">
        <f t="shared" si="85"/>
        <v>0</v>
      </c>
      <c r="E625" s="2252"/>
      <c r="F625" s="2471"/>
      <c r="G625" s="2252"/>
      <c r="H625" s="2471"/>
      <c r="I625" s="2499">
        <f t="shared" si="86"/>
        <v>0</v>
      </c>
      <c r="J625" s="2471"/>
      <c r="K625" s="2252"/>
      <c r="L625" s="2471"/>
      <c r="M625" s="2500">
        <f t="shared" si="88"/>
        <v>0</v>
      </c>
      <c r="O625" s="922"/>
      <c r="P625" s="679"/>
      <c r="Q625" s="706"/>
      <c r="R625" s="109"/>
      <c r="S625" s="706"/>
      <c r="T625" s="708"/>
      <c r="U625" s="706"/>
      <c r="V625" s="706"/>
      <c r="W625" s="706"/>
      <c r="X625" s="706"/>
      <c r="Y625" s="706"/>
      <c r="Z625" s="706"/>
      <c r="AA625" s="706"/>
    </row>
    <row r="626" spans="1:27">
      <c r="B626" s="2478" t="s">
        <v>357</v>
      </c>
      <c r="C626" s="2519"/>
      <c r="D626" s="2481">
        <f t="shared" si="85"/>
        <v>33594.595299999579</v>
      </c>
      <c r="E626" s="2252">
        <f>E609-E617-E619-E624</f>
        <v>33594.595300000001</v>
      </c>
      <c r="F626" s="2471">
        <f>F609-F617-F619-F624</f>
        <v>0</v>
      </c>
      <c r="G626" s="2252">
        <f>G609-G617-G619-G624</f>
        <v>-4.220055416226387E-10</v>
      </c>
      <c r="H626" s="2471">
        <f>H609-H617-H619-H624</f>
        <v>0</v>
      </c>
      <c r="I626" s="2499">
        <f t="shared" si="86"/>
        <v>-4.220055416226387E-10</v>
      </c>
      <c r="J626" s="2471">
        <f>J609-J617-J619-J624</f>
        <v>0</v>
      </c>
      <c r="K626" s="2252">
        <f>K609-K617-K619-K624</f>
        <v>0</v>
      </c>
      <c r="L626" s="2471">
        <f>L609-L617-L619-L624</f>
        <v>0</v>
      </c>
      <c r="M626" s="2500">
        <f t="shared" si="88"/>
        <v>0</v>
      </c>
      <c r="N626" s="927"/>
      <c r="O626" s="922"/>
      <c r="P626" s="679"/>
      <c r="Q626" s="706"/>
      <c r="R626" s="109"/>
      <c r="S626" s="706"/>
      <c r="T626" s="708"/>
      <c r="U626" s="706"/>
      <c r="V626" s="706"/>
      <c r="W626" s="706"/>
      <c r="X626" s="706"/>
      <c r="Y626" s="706"/>
      <c r="Z626" s="706"/>
      <c r="AA626" s="706"/>
    </row>
    <row r="627" spans="1:27">
      <c r="B627" s="2468" t="s">
        <v>358</v>
      </c>
      <c r="C627" s="2518"/>
      <c r="D627" s="2481"/>
      <c r="E627" s="2190"/>
      <c r="F627" s="2471"/>
      <c r="G627" s="2252"/>
      <c r="H627" s="2471"/>
      <c r="I627" s="2499">
        <f t="shared" si="86"/>
        <v>0</v>
      </c>
      <c r="J627" s="2471"/>
      <c r="K627" s="2252"/>
      <c r="L627" s="2471"/>
      <c r="M627" s="2500">
        <f t="shared" si="88"/>
        <v>0</v>
      </c>
      <c r="N627" s="922"/>
      <c r="O627" s="922"/>
      <c r="P627" s="679"/>
      <c r="Q627" s="706"/>
      <c r="R627" s="109"/>
      <c r="S627" s="706"/>
      <c r="T627" s="708"/>
      <c r="U627" s="706"/>
      <c r="V627" s="706"/>
      <c r="W627" s="706"/>
      <c r="X627" s="706"/>
      <c r="Y627" s="706"/>
      <c r="Z627" s="706"/>
      <c r="AA627" s="706"/>
    </row>
    <row r="628" spans="1:27">
      <c r="B628" s="2468"/>
      <c r="C628" s="2518"/>
      <c r="D628" s="2481">
        <f>E628+I628+M628</f>
        <v>0</v>
      </c>
      <c r="E628" s="2252"/>
      <c r="F628" s="2471"/>
      <c r="G628" s="2252"/>
      <c r="H628" s="2471"/>
      <c r="I628" s="2499">
        <f t="shared" si="86"/>
        <v>0</v>
      </c>
      <c r="J628" s="2471"/>
      <c r="K628" s="2252"/>
      <c r="L628" s="2471"/>
      <c r="M628" s="2500">
        <f t="shared" si="88"/>
        <v>0</v>
      </c>
      <c r="O628" s="922"/>
      <c r="P628" s="679"/>
      <c r="Q628" s="706"/>
      <c r="R628" s="109"/>
      <c r="S628" s="706"/>
      <c r="T628" s="708"/>
      <c r="U628" s="706"/>
      <c r="V628" s="706"/>
      <c r="W628" s="706"/>
      <c r="X628" s="706"/>
      <c r="Y628" s="706"/>
      <c r="Z628" s="706"/>
      <c r="AA628" s="706"/>
    </row>
    <row r="629" spans="1:27" ht="13.5" thickBot="1">
      <c r="B629" s="2520" t="s">
        <v>359</v>
      </c>
      <c r="C629" s="1654"/>
      <c r="D629" s="2521">
        <f>E629+I629+M629</f>
        <v>33594.595299999579</v>
      </c>
      <c r="E629" s="2522">
        <f>E626-E627</f>
        <v>33594.595300000001</v>
      </c>
      <c r="F629" s="2521">
        <f>F626-F627</f>
        <v>0</v>
      </c>
      <c r="G629" s="2522">
        <f>G626-G627</f>
        <v>-4.220055416226387E-10</v>
      </c>
      <c r="H629" s="2521">
        <f>H626-H627</f>
        <v>0</v>
      </c>
      <c r="I629" s="2522">
        <f t="shared" si="86"/>
        <v>-4.220055416226387E-10</v>
      </c>
      <c r="J629" s="2521">
        <f>J626-J627</f>
        <v>0</v>
      </c>
      <c r="K629" s="2522">
        <f>K626-K627</f>
        <v>0</v>
      </c>
      <c r="L629" s="2521">
        <f>L626-L627</f>
        <v>0</v>
      </c>
      <c r="M629" s="1655">
        <f t="shared" si="88"/>
        <v>0</v>
      </c>
      <c r="N629" s="927"/>
      <c r="O629" s="922"/>
      <c r="P629" s="679"/>
      <c r="Q629" s="706"/>
      <c r="R629" s="109"/>
      <c r="S629" s="706"/>
      <c r="T629" s="708"/>
      <c r="U629" s="706"/>
      <c r="V629" s="706"/>
      <c r="W629" s="706"/>
      <c r="X629" s="706"/>
      <c r="Y629" s="706"/>
      <c r="Z629" s="706"/>
      <c r="AA629" s="706"/>
    </row>
    <row r="630" spans="1:27" ht="13.5" thickBot="1">
      <c r="B630" s="1656"/>
      <c r="C630" s="1657"/>
      <c r="D630" s="1658"/>
      <c r="E630" s="1657"/>
      <c r="F630" s="1658"/>
      <c r="G630" s="1657"/>
      <c r="H630" s="1658"/>
      <c r="I630" s="1657"/>
      <c r="J630" s="1658"/>
      <c r="K630" s="1657"/>
      <c r="L630" s="1658"/>
      <c r="M630" s="1659"/>
      <c r="O630" s="922"/>
      <c r="Q630" s="706"/>
      <c r="R630" s="109"/>
    </row>
    <row r="631" spans="1:27">
      <c r="D631" s="684"/>
      <c r="E631" s="684"/>
      <c r="F631" s="684"/>
      <c r="G631" s="684"/>
      <c r="H631" s="684"/>
      <c r="I631" s="684"/>
      <c r="R631" s="109"/>
    </row>
    <row r="632" spans="1:27">
      <c r="M632" s="673">
        <v>59</v>
      </c>
      <c r="R632" s="109"/>
    </row>
    <row r="633" spans="1:27">
      <c r="R633" s="109"/>
    </row>
    <row r="634" spans="1:27" ht="13.5" thickBot="1"/>
    <row r="635" spans="1:27" ht="12.75" customHeight="1" thickBot="1">
      <c r="A635" s="1607" t="s">
        <v>115</v>
      </c>
      <c r="B635" s="1608" t="s">
        <v>318</v>
      </c>
      <c r="C635" s="912"/>
      <c r="L635" s="3538" t="s">
        <v>251</v>
      </c>
      <c r="M635" s="3538"/>
    </row>
    <row r="636" spans="1:27" ht="12.75" customHeight="1" thickBot="1">
      <c r="B636" s="3578" t="s">
        <v>318</v>
      </c>
      <c r="C636" s="3523" t="s">
        <v>325</v>
      </c>
      <c r="D636" s="3518" t="s">
        <v>255</v>
      </c>
      <c r="E636" s="3518" t="s">
        <v>326</v>
      </c>
      <c r="F636" s="3574" t="s">
        <v>258</v>
      </c>
      <c r="G636" s="3574"/>
      <c r="H636" s="3574"/>
      <c r="I636" s="3574"/>
      <c r="J636" s="3574"/>
      <c r="K636" s="3574"/>
      <c r="L636" s="3574"/>
      <c r="M636" s="3574"/>
    </row>
    <row r="637" spans="1:27" ht="12.75" customHeight="1">
      <c r="B637" s="3571"/>
      <c r="C637" s="3524"/>
      <c r="D637" s="3520"/>
      <c r="E637" s="3520"/>
      <c r="F637" s="3575" t="s">
        <v>259</v>
      </c>
      <c r="G637" s="3576"/>
      <c r="H637" s="3576"/>
      <c r="I637" s="3577"/>
      <c r="J637" s="3574" t="s">
        <v>327</v>
      </c>
      <c r="K637" s="3574"/>
      <c r="L637" s="3574"/>
      <c r="M637" s="3574"/>
    </row>
    <row r="638" spans="1:27" ht="49.5" customHeight="1" thickBot="1">
      <c r="B638" s="3571"/>
      <c r="C638" s="3524"/>
      <c r="D638" s="3519"/>
      <c r="E638" s="3519"/>
      <c r="F638" s="1339" t="s">
        <v>261</v>
      </c>
      <c r="G638" s="1339" t="s">
        <v>262</v>
      </c>
      <c r="H638" s="1339" t="s">
        <v>263</v>
      </c>
      <c r="I638" s="1339" t="s">
        <v>158</v>
      </c>
      <c r="J638" s="1588" t="s">
        <v>328</v>
      </c>
      <c r="K638" s="1588" t="s">
        <v>265</v>
      </c>
      <c r="L638" s="1588" t="s">
        <v>329</v>
      </c>
      <c r="M638" s="1588" t="s">
        <v>158</v>
      </c>
    </row>
    <row r="639" spans="1:27" ht="15.75" customHeight="1" thickBot="1">
      <c r="B639" s="3571"/>
      <c r="C639" s="3524"/>
      <c r="D639" s="1589">
        <v>1</v>
      </c>
      <c r="E639" s="3518">
        <v>2</v>
      </c>
      <c r="F639" s="3518">
        <v>3</v>
      </c>
      <c r="G639" s="3518">
        <v>4</v>
      </c>
      <c r="H639" s="3518">
        <v>5</v>
      </c>
      <c r="I639" s="1589">
        <v>6</v>
      </c>
      <c r="J639" s="3518">
        <v>7</v>
      </c>
      <c r="K639" s="3518">
        <v>8</v>
      </c>
      <c r="L639" s="3518">
        <v>9</v>
      </c>
      <c r="M639" s="1589">
        <v>10</v>
      </c>
    </row>
    <row r="640" spans="1:27" ht="13.5" thickBot="1">
      <c r="B640" s="3572"/>
      <c r="C640" s="3525"/>
      <c r="D640" s="1590" t="s">
        <v>330</v>
      </c>
      <c r="E640" s="3519"/>
      <c r="F640" s="3519"/>
      <c r="G640" s="3519"/>
      <c r="H640" s="3520"/>
      <c r="I640" s="1588" t="s">
        <v>331</v>
      </c>
      <c r="J640" s="3519"/>
      <c r="K640" s="3519"/>
      <c r="L640" s="3519"/>
      <c r="M640" s="1590" t="s">
        <v>332</v>
      </c>
      <c r="N640" s="703"/>
      <c r="O640" s="703"/>
    </row>
    <row r="641" spans="2:27">
      <c r="B641" s="1591" t="s">
        <v>333</v>
      </c>
      <c r="C641" s="985"/>
      <c r="D641" s="1592">
        <f t="shared" ref="D641:D678" si="89">E641+I641+M641</f>
        <v>21975987.715350002</v>
      </c>
      <c r="E641" s="982">
        <v>0</v>
      </c>
      <c r="F641" s="963">
        <v>12314521.602881741</v>
      </c>
      <c r="G641" s="982">
        <v>9661466.1124682594</v>
      </c>
      <c r="H641" s="963"/>
      <c r="I641" s="1441">
        <f t="shared" ref="I641:I678" si="90">F641+G641+H641</f>
        <v>21975987.715350002</v>
      </c>
      <c r="J641" s="982"/>
      <c r="K641" s="963"/>
      <c r="L641" s="982"/>
      <c r="M641" s="1441">
        <f t="shared" ref="M641:M658" si="91">L641+K641+J641</f>
        <v>0</v>
      </c>
      <c r="N641" s="922"/>
      <c r="O641" s="922"/>
      <c r="P641" s="679"/>
      <c r="Q641" s="706"/>
      <c r="R641" s="109"/>
      <c r="S641" s="706"/>
      <c r="T641" s="708"/>
      <c r="U641" s="706"/>
      <c r="V641" s="706"/>
      <c r="W641" s="706"/>
      <c r="X641" s="706"/>
      <c r="Y641" s="706"/>
      <c r="Z641" s="706"/>
      <c r="AA641" s="706"/>
    </row>
    <row r="642" spans="2:27">
      <c r="B642" s="2460"/>
      <c r="C642" s="2498"/>
      <c r="D642" s="2481">
        <f t="shared" si="89"/>
        <v>0</v>
      </c>
      <c r="E642" s="2252">
        <v>0</v>
      </c>
      <c r="F642" s="2471">
        <v>0</v>
      </c>
      <c r="G642" s="2252">
        <v>0</v>
      </c>
      <c r="H642" s="2471"/>
      <c r="I642" s="2249">
        <f t="shared" si="90"/>
        <v>0</v>
      </c>
      <c r="J642" s="2252"/>
      <c r="K642" s="2471"/>
      <c r="L642" s="2252"/>
      <c r="M642" s="2249">
        <f t="shared" si="91"/>
        <v>0</v>
      </c>
      <c r="P642" s="679"/>
      <c r="Q642" s="706"/>
      <c r="R642" s="109"/>
      <c r="S642" s="706"/>
      <c r="T642" s="708"/>
      <c r="U642" s="706"/>
      <c r="V642" s="706"/>
      <c r="W642" s="706"/>
      <c r="X642" s="706"/>
      <c r="Y642" s="706"/>
      <c r="Z642" s="706"/>
      <c r="AA642" s="706"/>
    </row>
    <row r="643" spans="2:27">
      <c r="B643" s="2462" t="s">
        <v>334</v>
      </c>
      <c r="C643" s="2498"/>
      <c r="D643" s="2481">
        <f t="shared" si="89"/>
        <v>478825.83334000007</v>
      </c>
      <c r="E643" s="2252">
        <v>0</v>
      </c>
      <c r="F643" s="2471">
        <v>54986.909299999999</v>
      </c>
      <c r="G643" s="2252">
        <v>423838.92404000007</v>
      </c>
      <c r="H643" s="2471"/>
      <c r="I643" s="2249">
        <f t="shared" si="90"/>
        <v>478825.83334000007</v>
      </c>
      <c r="J643" s="2252"/>
      <c r="K643" s="2471"/>
      <c r="L643" s="2252"/>
      <c r="M643" s="2249">
        <f t="shared" si="91"/>
        <v>0</v>
      </c>
      <c r="N643" s="922"/>
      <c r="O643" s="922"/>
      <c r="P643" s="679"/>
      <c r="Q643" s="706"/>
      <c r="R643" s="109"/>
      <c r="S643" s="706"/>
      <c r="T643" s="708"/>
      <c r="U643" s="706"/>
      <c r="V643" s="706"/>
      <c r="W643" s="706"/>
      <c r="X643" s="706"/>
      <c r="Y643" s="706"/>
      <c r="Z643" s="706"/>
      <c r="AA643" s="706"/>
    </row>
    <row r="644" spans="2:27">
      <c r="B644" s="2462"/>
      <c r="C644" s="2498"/>
      <c r="D644" s="2481">
        <f t="shared" si="89"/>
        <v>0</v>
      </c>
      <c r="E644" s="2252">
        <v>0</v>
      </c>
      <c r="F644" s="2471">
        <v>0</v>
      </c>
      <c r="G644" s="2252">
        <v>0</v>
      </c>
      <c r="H644" s="2471"/>
      <c r="I644" s="2249">
        <f t="shared" si="90"/>
        <v>0</v>
      </c>
      <c r="J644" s="2252"/>
      <c r="K644" s="2471"/>
      <c r="L644" s="2252"/>
      <c r="M644" s="2249">
        <f t="shared" si="91"/>
        <v>0</v>
      </c>
      <c r="P644" s="679"/>
      <c r="Q644" s="706"/>
      <c r="R644" s="109"/>
      <c r="S644" s="706"/>
      <c r="T644" s="708"/>
      <c r="U644" s="706"/>
      <c r="V644" s="706"/>
      <c r="W644" s="706"/>
      <c r="X644" s="706"/>
      <c r="Y644" s="706"/>
      <c r="Z644" s="706"/>
      <c r="AA644" s="706"/>
    </row>
    <row r="645" spans="2:27" ht="12.75" customHeight="1">
      <c r="B645" s="2463" t="s">
        <v>335</v>
      </c>
      <c r="C645" s="2498"/>
      <c r="D645" s="2481">
        <f t="shared" si="89"/>
        <v>0</v>
      </c>
      <c r="E645" s="2252">
        <v>0</v>
      </c>
      <c r="F645" s="2471">
        <v>0</v>
      </c>
      <c r="G645" s="2252">
        <v>0</v>
      </c>
      <c r="H645" s="2471"/>
      <c r="I645" s="2249">
        <f t="shared" si="90"/>
        <v>0</v>
      </c>
      <c r="J645" s="2252"/>
      <c r="K645" s="2471"/>
      <c r="L645" s="2252"/>
      <c r="M645" s="2249">
        <f t="shared" si="91"/>
        <v>0</v>
      </c>
      <c r="N645" s="922"/>
      <c r="O645" s="922"/>
      <c r="P645" s="679"/>
      <c r="Q645" s="706"/>
      <c r="R645" s="109"/>
      <c r="S645" s="706"/>
      <c r="T645" s="708"/>
      <c r="U645" s="706"/>
      <c r="V645" s="706"/>
      <c r="W645" s="706"/>
      <c r="X645" s="706"/>
      <c r="Y645" s="706"/>
      <c r="Z645" s="706"/>
      <c r="AA645" s="706"/>
    </row>
    <row r="646" spans="2:27">
      <c r="B646" s="2460"/>
      <c r="C646" s="2498"/>
      <c r="D646" s="2481">
        <f t="shared" si="89"/>
        <v>0</v>
      </c>
      <c r="E646" s="2252">
        <v>0</v>
      </c>
      <c r="F646" s="2471">
        <v>0</v>
      </c>
      <c r="G646" s="2252">
        <v>0</v>
      </c>
      <c r="H646" s="2471"/>
      <c r="I646" s="2249">
        <f t="shared" si="90"/>
        <v>0</v>
      </c>
      <c r="J646" s="2252"/>
      <c r="K646" s="2471"/>
      <c r="L646" s="2252"/>
      <c r="M646" s="2249">
        <f t="shared" si="91"/>
        <v>0</v>
      </c>
      <c r="P646" s="679"/>
      <c r="Q646" s="706"/>
      <c r="R646" s="109"/>
      <c r="S646" s="706"/>
      <c r="T646" s="708"/>
      <c r="U646" s="706"/>
      <c r="V646" s="706"/>
      <c r="W646" s="706"/>
      <c r="X646" s="706"/>
      <c r="Y646" s="706"/>
      <c r="Z646" s="706"/>
      <c r="AA646" s="706"/>
    </row>
    <row r="647" spans="2:27">
      <c r="B647" s="2464" t="s">
        <v>336</v>
      </c>
      <c r="C647" s="2501"/>
      <c r="D647" s="2481">
        <f t="shared" si="89"/>
        <v>21497161.882009998</v>
      </c>
      <c r="E647" s="2252">
        <f>E641-E643+E645</f>
        <v>0</v>
      </c>
      <c r="F647" s="2471">
        <f>F641-F643+F645</f>
        <v>12259534.693581741</v>
      </c>
      <c r="G647" s="2252">
        <f>G641-G643+G645</f>
        <v>9237627.1884282585</v>
      </c>
      <c r="H647" s="2471">
        <f>H641-H643+H645</f>
        <v>0</v>
      </c>
      <c r="I647" s="2249">
        <f t="shared" si="90"/>
        <v>21497161.882009998</v>
      </c>
      <c r="J647" s="2252">
        <f>J641-J643+J645</f>
        <v>0</v>
      </c>
      <c r="K647" s="2471">
        <f>K641-K643+K645</f>
        <v>0</v>
      </c>
      <c r="L647" s="2252">
        <f>L641-L643+L645</f>
        <v>0</v>
      </c>
      <c r="M647" s="2249">
        <f t="shared" si="91"/>
        <v>0</v>
      </c>
      <c r="N647" s="927"/>
      <c r="O647" s="922"/>
      <c r="P647" s="679"/>
      <c r="Q647" s="706"/>
      <c r="R647" s="109"/>
      <c r="S647" s="706"/>
      <c r="T647" s="708"/>
      <c r="U647" s="706"/>
      <c r="V647" s="706"/>
      <c r="W647" s="706"/>
      <c r="X647" s="706"/>
      <c r="Y647" s="706"/>
      <c r="Z647" s="706"/>
      <c r="AA647" s="706"/>
    </row>
    <row r="648" spans="2:27">
      <c r="B648" s="2464"/>
      <c r="C648" s="2501"/>
      <c r="D648" s="2481">
        <f t="shared" si="89"/>
        <v>0</v>
      </c>
      <c r="E648" s="2252"/>
      <c r="F648" s="2471"/>
      <c r="G648" s="2252"/>
      <c r="H648" s="2471"/>
      <c r="I648" s="2249">
        <f t="shared" si="90"/>
        <v>0</v>
      </c>
      <c r="J648" s="2252"/>
      <c r="K648" s="2471"/>
      <c r="L648" s="2252"/>
      <c r="M648" s="2249">
        <f t="shared" si="91"/>
        <v>0</v>
      </c>
      <c r="P648" s="679"/>
      <c r="Q648" s="706"/>
      <c r="R648" s="109"/>
      <c r="S648" s="706"/>
      <c r="T648" s="708"/>
      <c r="U648" s="706"/>
      <c r="V648" s="706"/>
      <c r="W648" s="706"/>
      <c r="X648" s="706"/>
      <c r="Y648" s="706"/>
      <c r="Z648" s="706"/>
      <c r="AA648" s="706"/>
    </row>
    <row r="649" spans="2:27">
      <c r="B649" s="2464" t="s">
        <v>337</v>
      </c>
      <c r="C649" s="2501"/>
      <c r="D649" s="2481">
        <f t="shared" si="89"/>
        <v>21342339.026948623</v>
      </c>
      <c r="E649" s="2252">
        <f>SUM(E650:E654)</f>
        <v>1535874.8689597379</v>
      </c>
      <c r="F649" s="2471">
        <f>SUM(F650:F654)</f>
        <v>17699805.328118984</v>
      </c>
      <c r="G649" s="2252">
        <f>SUM(G650:G654)</f>
        <v>2106658.8298699036</v>
      </c>
      <c r="H649" s="2471">
        <f>SUM(H650:H654)</f>
        <v>0</v>
      </c>
      <c r="I649" s="2249">
        <f t="shared" si="90"/>
        <v>19806464.157988887</v>
      </c>
      <c r="J649" s="2252">
        <f>SUM(J650:J654)</f>
        <v>0</v>
      </c>
      <c r="K649" s="2471">
        <f>SUM(K650:K654)</f>
        <v>0</v>
      </c>
      <c r="L649" s="2252">
        <f>SUM(L650:L654)</f>
        <v>0</v>
      </c>
      <c r="M649" s="2249">
        <f t="shared" si="91"/>
        <v>0</v>
      </c>
      <c r="N649" s="927"/>
      <c r="O649" s="922"/>
      <c r="P649" s="679"/>
      <c r="Q649" s="706"/>
      <c r="R649" s="109"/>
      <c r="S649" s="706"/>
      <c r="T649" s="708"/>
      <c r="U649" s="706"/>
      <c r="V649" s="706"/>
      <c r="W649" s="706"/>
      <c r="X649" s="706"/>
      <c r="Y649" s="706"/>
      <c r="Z649" s="706"/>
      <c r="AA649" s="706"/>
    </row>
    <row r="650" spans="2:27">
      <c r="B650" s="2460" t="s">
        <v>338</v>
      </c>
      <c r="C650" s="2498">
        <v>1</v>
      </c>
      <c r="D650" s="2481">
        <f t="shared" si="89"/>
        <v>19988040.985150002</v>
      </c>
      <c r="E650" s="2252">
        <v>1535874.8689597379</v>
      </c>
      <c r="F650" s="2471">
        <v>16462326.734773867</v>
      </c>
      <c r="G650" s="2252">
        <v>1989839.3814163981</v>
      </c>
      <c r="H650" s="2471"/>
      <c r="I650" s="2249">
        <f t="shared" si="90"/>
        <v>18452166.116190266</v>
      </c>
      <c r="J650" s="2252"/>
      <c r="K650" s="2471"/>
      <c r="L650" s="2252"/>
      <c r="M650" s="2249">
        <f t="shared" si="91"/>
        <v>0</v>
      </c>
      <c r="N650" s="922"/>
      <c r="O650" s="922"/>
      <c r="P650" s="679"/>
      <c r="Q650" s="706"/>
      <c r="R650" s="109"/>
      <c r="S650" s="706"/>
      <c r="T650" s="708"/>
      <c r="U650" s="706"/>
      <c r="V650" s="706"/>
      <c r="W650" s="706"/>
      <c r="X650" s="706"/>
      <c r="Y650" s="706"/>
      <c r="Z650" s="706"/>
      <c r="AA650" s="706"/>
    </row>
    <row r="651" spans="2:27">
      <c r="B651" s="2460" t="s">
        <v>339</v>
      </c>
      <c r="C651" s="2498">
        <v>2</v>
      </c>
      <c r="D651" s="2481">
        <f t="shared" si="89"/>
        <v>90542.057950000002</v>
      </c>
      <c r="E651" s="2252">
        <v>0</v>
      </c>
      <c r="F651" s="2471">
        <v>24428.484382495677</v>
      </c>
      <c r="G651" s="2252">
        <v>66113.573567504325</v>
      </c>
      <c r="H651" s="2471"/>
      <c r="I651" s="2249">
        <f t="shared" si="90"/>
        <v>90542.057950000002</v>
      </c>
      <c r="J651" s="2252"/>
      <c r="K651" s="2471"/>
      <c r="L651" s="2252"/>
      <c r="M651" s="2249">
        <f t="shared" si="91"/>
        <v>0</v>
      </c>
      <c r="N651" s="922"/>
      <c r="O651" s="922"/>
      <c r="P651" s="679"/>
      <c r="Q651" s="706"/>
      <c r="R651" s="109"/>
      <c r="S651" s="706"/>
      <c r="T651" s="708"/>
      <c r="U651" s="706"/>
      <c r="V651" s="706"/>
      <c r="W651" s="706"/>
      <c r="X651" s="706"/>
      <c r="Y651" s="706"/>
      <c r="Z651" s="706"/>
      <c r="AA651" s="706"/>
    </row>
    <row r="652" spans="2:27">
      <c r="B652" s="2460" t="s">
        <v>340</v>
      </c>
      <c r="C652" s="2498"/>
      <c r="D652" s="2481">
        <f t="shared" si="89"/>
        <v>0</v>
      </c>
      <c r="E652" s="2252">
        <v>0</v>
      </c>
      <c r="F652" s="2471">
        <v>0</v>
      </c>
      <c r="G652" s="2252">
        <v>0</v>
      </c>
      <c r="H652" s="2471"/>
      <c r="I652" s="2249">
        <f t="shared" si="90"/>
        <v>0</v>
      </c>
      <c r="J652" s="2252"/>
      <c r="K652" s="2471"/>
      <c r="L652" s="2252"/>
      <c r="M652" s="2249">
        <f t="shared" si="91"/>
        <v>0</v>
      </c>
      <c r="N652" s="922"/>
      <c r="O652" s="922"/>
      <c r="P652" s="679"/>
      <c r="Q652" s="706"/>
      <c r="R652" s="109"/>
      <c r="S652" s="706"/>
      <c r="T652" s="708"/>
      <c r="U652" s="706"/>
      <c r="V652" s="706"/>
      <c r="W652" s="706"/>
      <c r="X652" s="706"/>
      <c r="Y652" s="706"/>
      <c r="Z652" s="706"/>
      <c r="AA652" s="706"/>
    </row>
    <row r="653" spans="2:27">
      <c r="B653" s="2460" t="s">
        <v>341</v>
      </c>
      <c r="C653" s="2498"/>
      <c r="D653" s="2481">
        <f t="shared" si="89"/>
        <v>0</v>
      </c>
      <c r="E653" s="2252">
        <v>0</v>
      </c>
      <c r="F653" s="2471">
        <v>0</v>
      </c>
      <c r="G653" s="2252">
        <v>0</v>
      </c>
      <c r="H653" s="2471"/>
      <c r="I653" s="2249">
        <f t="shared" si="90"/>
        <v>0</v>
      </c>
      <c r="J653" s="2252"/>
      <c r="K653" s="2471"/>
      <c r="L653" s="2252"/>
      <c r="M653" s="2249">
        <f t="shared" si="91"/>
        <v>0</v>
      </c>
      <c r="N653" s="922"/>
      <c r="O653" s="922"/>
      <c r="P653" s="679"/>
      <c r="Q653" s="706"/>
      <c r="R653" s="109"/>
      <c r="S653" s="706"/>
      <c r="T653" s="708"/>
      <c r="U653" s="706"/>
      <c r="V653" s="706"/>
      <c r="W653" s="706"/>
      <c r="X653" s="706"/>
      <c r="Y653" s="706"/>
      <c r="Z653" s="706"/>
      <c r="AA653" s="706"/>
    </row>
    <row r="654" spans="2:27">
      <c r="B654" s="2460" t="s">
        <v>342</v>
      </c>
      <c r="C654" s="2498">
        <v>3</v>
      </c>
      <c r="D654" s="2481">
        <f t="shared" si="89"/>
        <v>1263755.9838486216</v>
      </c>
      <c r="E654" s="2252">
        <v>-2.55351295663786E-18</v>
      </c>
      <c r="F654" s="2471">
        <v>1213050.1089626201</v>
      </c>
      <c r="G654" s="2252">
        <v>50705.874886001424</v>
      </c>
      <c r="H654" s="2471"/>
      <c r="I654" s="2249">
        <f t="shared" si="90"/>
        <v>1263755.9838486216</v>
      </c>
      <c r="J654" s="2252"/>
      <c r="K654" s="2471"/>
      <c r="L654" s="2252"/>
      <c r="M654" s="2249">
        <f t="shared" si="91"/>
        <v>0</v>
      </c>
      <c r="N654" s="922"/>
      <c r="O654" s="922"/>
      <c r="P654" s="679"/>
      <c r="Q654" s="706"/>
      <c r="R654" s="109"/>
      <c r="S654" s="706"/>
      <c r="T654" s="708"/>
      <c r="U654" s="706"/>
      <c r="V654" s="706"/>
      <c r="W654" s="706"/>
      <c r="X654" s="706"/>
      <c r="Y654" s="706"/>
      <c r="Z654" s="706"/>
      <c r="AA654" s="706"/>
    </row>
    <row r="655" spans="2:27">
      <c r="B655" s="2460" t="s">
        <v>343</v>
      </c>
      <c r="C655" s="2498"/>
      <c r="D655" s="2481">
        <f t="shared" si="89"/>
        <v>0</v>
      </c>
      <c r="E655" s="2252"/>
      <c r="F655" s="2471"/>
      <c r="G655" s="2252"/>
      <c r="H655" s="2471"/>
      <c r="I655" s="2249">
        <f t="shared" si="90"/>
        <v>0</v>
      </c>
      <c r="J655" s="2252"/>
      <c r="K655" s="2471"/>
      <c r="L655" s="2252"/>
      <c r="M655" s="2249">
        <f t="shared" si="91"/>
        <v>0</v>
      </c>
      <c r="P655" s="679"/>
      <c r="Q655" s="706"/>
      <c r="R655" s="109"/>
      <c r="S655" s="706"/>
      <c r="T655" s="708"/>
      <c r="U655" s="706"/>
      <c r="V655" s="706"/>
      <c r="W655" s="706"/>
      <c r="X655" s="706"/>
      <c r="Y655" s="706"/>
      <c r="Z655" s="706"/>
      <c r="AA655" s="706"/>
    </row>
    <row r="656" spans="2:27">
      <c r="B656" s="2460" t="s">
        <v>343</v>
      </c>
      <c r="C656" s="2498"/>
      <c r="D656" s="2481">
        <f t="shared" si="89"/>
        <v>0</v>
      </c>
      <c r="E656" s="2252"/>
      <c r="F656" s="2471"/>
      <c r="G656" s="2252"/>
      <c r="H656" s="2471"/>
      <c r="I656" s="2249">
        <f t="shared" si="90"/>
        <v>0</v>
      </c>
      <c r="J656" s="2252"/>
      <c r="K656" s="2471"/>
      <c r="L656" s="2252"/>
      <c r="M656" s="2249">
        <f t="shared" si="91"/>
        <v>0</v>
      </c>
      <c r="P656" s="679"/>
      <c r="Q656" s="706"/>
      <c r="R656" s="109"/>
      <c r="S656" s="706"/>
      <c r="T656" s="708"/>
      <c r="U656" s="706"/>
      <c r="V656" s="706"/>
      <c r="W656" s="706"/>
      <c r="X656" s="706"/>
      <c r="Y656" s="706"/>
      <c r="Z656" s="706"/>
      <c r="AA656" s="706"/>
    </row>
    <row r="657" spans="2:27">
      <c r="B657" s="2460"/>
      <c r="C657" s="2498"/>
      <c r="D657" s="2481">
        <f t="shared" si="89"/>
        <v>0</v>
      </c>
      <c r="E657" s="2252"/>
      <c r="F657" s="2471"/>
      <c r="G657" s="2252"/>
      <c r="H657" s="2471"/>
      <c r="I657" s="2249">
        <f t="shared" si="90"/>
        <v>0</v>
      </c>
      <c r="J657" s="2252"/>
      <c r="K657" s="2471"/>
      <c r="L657" s="2252"/>
      <c r="M657" s="2249">
        <f t="shared" si="91"/>
        <v>0</v>
      </c>
      <c r="P657" s="679"/>
      <c r="Q657" s="706"/>
      <c r="R657" s="109"/>
      <c r="S657" s="706"/>
      <c r="T657" s="708"/>
      <c r="U657" s="706"/>
      <c r="V657" s="706"/>
      <c r="W657" s="706"/>
      <c r="X657" s="706"/>
      <c r="Y657" s="706"/>
      <c r="Z657" s="706"/>
      <c r="AA657" s="706"/>
    </row>
    <row r="658" spans="2:27">
      <c r="B658" s="2466" t="s">
        <v>344</v>
      </c>
      <c r="C658" s="2501"/>
      <c r="D658" s="2481">
        <f t="shared" si="89"/>
        <v>42839500.908958629</v>
      </c>
      <c r="E658" s="2252">
        <f>E647+E649</f>
        <v>1535874.8689597379</v>
      </c>
      <c r="F658" s="2471">
        <f>F647+F649</f>
        <v>29959340.021700725</v>
      </c>
      <c r="G658" s="2252">
        <f>G647+G649</f>
        <v>11344286.018298162</v>
      </c>
      <c r="H658" s="2471">
        <f>H647+H649</f>
        <v>0</v>
      </c>
      <c r="I658" s="2249">
        <f t="shared" si="90"/>
        <v>41303626.039998889</v>
      </c>
      <c r="J658" s="2252">
        <f>J647+J649</f>
        <v>0</v>
      </c>
      <c r="K658" s="2471">
        <f>K647+K649</f>
        <v>0</v>
      </c>
      <c r="L658" s="2252">
        <f>L647+L649</f>
        <v>0</v>
      </c>
      <c r="M658" s="2249">
        <f t="shared" si="91"/>
        <v>0</v>
      </c>
      <c r="N658" s="927"/>
      <c r="O658" s="922"/>
      <c r="P658" s="679"/>
      <c r="Q658" s="706"/>
      <c r="R658" s="109"/>
      <c r="S658" s="706"/>
      <c r="T658" s="708"/>
      <c r="U658" s="706"/>
      <c r="V658" s="706"/>
      <c r="W658" s="706"/>
      <c r="X658" s="706"/>
      <c r="Y658" s="706"/>
      <c r="Z658" s="706"/>
      <c r="AA658" s="706"/>
    </row>
    <row r="659" spans="2:27">
      <c r="B659" s="2466"/>
      <c r="C659" s="2501"/>
      <c r="D659" s="2481">
        <f t="shared" si="89"/>
        <v>0</v>
      </c>
      <c r="E659" s="2252"/>
      <c r="F659" s="2471"/>
      <c r="G659" s="2252"/>
      <c r="H659" s="2471"/>
      <c r="I659" s="2249">
        <f t="shared" si="90"/>
        <v>0</v>
      </c>
      <c r="J659" s="2252"/>
      <c r="K659" s="2471"/>
      <c r="L659" s="2252"/>
      <c r="M659" s="2249"/>
      <c r="P659" s="679"/>
      <c r="Q659" s="706"/>
      <c r="R659" s="109"/>
      <c r="S659" s="706"/>
      <c r="T659" s="708"/>
      <c r="U659" s="706"/>
      <c r="V659" s="706"/>
      <c r="W659" s="706"/>
      <c r="X659" s="706"/>
      <c r="Y659" s="706"/>
      <c r="Z659" s="706"/>
      <c r="AA659" s="706"/>
    </row>
    <row r="660" spans="2:27">
      <c r="B660" s="2460" t="s">
        <v>345</v>
      </c>
      <c r="C660" s="2498"/>
      <c r="D660" s="2481">
        <f t="shared" si="89"/>
        <v>10225433.346620001</v>
      </c>
      <c r="E660" s="2252">
        <v>0</v>
      </c>
      <c r="F660" s="2471">
        <v>7528483.5846561706</v>
      </c>
      <c r="G660" s="2252">
        <v>2696949.7619638294</v>
      </c>
      <c r="H660" s="2471"/>
      <c r="I660" s="2249">
        <f t="shared" si="90"/>
        <v>10225433.346620001</v>
      </c>
      <c r="J660" s="2252"/>
      <c r="K660" s="2471"/>
      <c r="L660" s="2252"/>
      <c r="M660" s="2249">
        <f t="shared" ref="M660:M678" si="92">L660+K660+J660</f>
        <v>0</v>
      </c>
      <c r="N660" s="922"/>
      <c r="O660" s="922"/>
      <c r="P660" s="679"/>
      <c r="Q660" s="706"/>
      <c r="R660" s="109"/>
      <c r="S660" s="706"/>
      <c r="T660" s="708"/>
      <c r="U660" s="706"/>
      <c r="V660" s="706"/>
      <c r="W660" s="706"/>
      <c r="X660" s="706"/>
      <c r="Y660" s="706"/>
      <c r="Z660" s="706"/>
      <c r="AA660" s="706"/>
    </row>
    <row r="661" spans="2:27">
      <c r="B661" s="2460" t="s">
        <v>346</v>
      </c>
      <c r="C661" s="2498"/>
      <c r="D661" s="2481">
        <f t="shared" si="89"/>
        <v>-247843.53211250002</v>
      </c>
      <c r="E661" s="2252">
        <v>0</v>
      </c>
      <c r="F661" s="2471">
        <v>-26011.254939999984</v>
      </c>
      <c r="G661" s="2252">
        <v>-221832.27717250003</v>
      </c>
      <c r="H661" s="2471"/>
      <c r="I661" s="2249">
        <f t="shared" si="90"/>
        <v>-247843.53211250002</v>
      </c>
      <c r="J661" s="2252"/>
      <c r="K661" s="2471"/>
      <c r="L661" s="2252"/>
      <c r="M661" s="2249">
        <f t="shared" si="92"/>
        <v>0</v>
      </c>
      <c r="N661" s="922"/>
      <c r="O661" s="922"/>
      <c r="P661" s="679"/>
      <c r="Q661" s="706"/>
      <c r="R661" s="109"/>
      <c r="S661" s="706"/>
      <c r="T661" s="708"/>
      <c r="U661" s="706"/>
      <c r="V661" s="706"/>
      <c r="W661" s="706"/>
      <c r="X661" s="706"/>
      <c r="Y661" s="706"/>
      <c r="Z661" s="706"/>
      <c r="AA661" s="706"/>
    </row>
    <row r="662" spans="2:27">
      <c r="B662" s="2460" t="s">
        <v>347</v>
      </c>
      <c r="C662" s="2498"/>
      <c r="D662" s="2481">
        <f t="shared" si="89"/>
        <v>0</v>
      </c>
      <c r="E662" s="2252">
        <v>0</v>
      </c>
      <c r="F662" s="2471">
        <v>0</v>
      </c>
      <c r="G662" s="2252">
        <v>0</v>
      </c>
      <c r="H662" s="2471"/>
      <c r="I662" s="2249">
        <f t="shared" si="90"/>
        <v>0</v>
      </c>
      <c r="J662" s="2252"/>
      <c r="K662" s="2471"/>
      <c r="L662" s="2252"/>
      <c r="M662" s="2249">
        <f t="shared" si="92"/>
        <v>0</v>
      </c>
      <c r="N662" s="922"/>
      <c r="O662" s="922"/>
      <c r="P662" s="679"/>
      <c r="Q662" s="706"/>
      <c r="R662" s="109"/>
      <c r="S662" s="706"/>
      <c r="T662" s="708"/>
      <c r="U662" s="706"/>
      <c r="V662" s="706"/>
      <c r="W662" s="706"/>
      <c r="X662" s="706"/>
      <c r="Y662" s="706"/>
      <c r="Z662" s="706"/>
      <c r="AA662" s="706"/>
    </row>
    <row r="663" spans="2:27" ht="12.75" customHeight="1">
      <c r="B663" s="2467" t="s">
        <v>348</v>
      </c>
      <c r="C663" s="2498"/>
      <c r="D663" s="2481">
        <f t="shared" si="89"/>
        <v>0</v>
      </c>
      <c r="E663" s="2252">
        <v>0</v>
      </c>
      <c r="F663" s="2471">
        <v>0</v>
      </c>
      <c r="G663" s="2252">
        <v>0</v>
      </c>
      <c r="H663" s="2471"/>
      <c r="I663" s="2249">
        <f t="shared" si="90"/>
        <v>0</v>
      </c>
      <c r="J663" s="2252"/>
      <c r="K663" s="2471"/>
      <c r="L663" s="2252"/>
      <c r="M663" s="2249">
        <f t="shared" si="92"/>
        <v>0</v>
      </c>
      <c r="N663" s="922"/>
      <c r="O663" s="922"/>
      <c r="P663" s="679"/>
      <c r="Q663" s="706"/>
      <c r="R663" s="109"/>
      <c r="S663" s="706"/>
      <c r="T663" s="708"/>
      <c r="U663" s="706"/>
      <c r="V663" s="706"/>
      <c r="W663" s="706"/>
      <c r="X663" s="706"/>
      <c r="Y663" s="706"/>
      <c r="Z663" s="706"/>
      <c r="AA663" s="706"/>
    </row>
    <row r="664" spans="2:27">
      <c r="B664" s="2460" t="s">
        <v>349</v>
      </c>
      <c r="C664" s="2498"/>
      <c r="D664" s="2481">
        <f t="shared" si="89"/>
        <v>22338265.288321838</v>
      </c>
      <c r="E664" s="2252">
        <v>0</v>
      </c>
      <c r="F664" s="2471">
        <v>15943955.41881527</v>
      </c>
      <c r="G664" s="2252">
        <v>6394309.8695065677</v>
      </c>
      <c r="H664" s="2471"/>
      <c r="I664" s="2249">
        <f t="shared" si="90"/>
        <v>22338265.288321838</v>
      </c>
      <c r="J664" s="2252"/>
      <c r="K664" s="2471"/>
      <c r="L664" s="2252"/>
      <c r="M664" s="2249">
        <f t="shared" si="92"/>
        <v>0</v>
      </c>
      <c r="N664" s="922"/>
      <c r="O664" s="922"/>
      <c r="P664" s="679"/>
      <c r="Q664" s="706"/>
      <c r="R664" s="109"/>
      <c r="S664" s="706"/>
      <c r="T664" s="708"/>
      <c r="U664" s="706"/>
      <c r="V664" s="706"/>
      <c r="W664" s="706"/>
      <c r="X664" s="706"/>
      <c r="Y664" s="706"/>
      <c r="Z664" s="706"/>
      <c r="AA664" s="706"/>
    </row>
    <row r="665" spans="2:27" ht="51">
      <c r="B665" s="2467" t="s">
        <v>350</v>
      </c>
      <c r="C665" s="2498"/>
      <c r="D665" s="2481">
        <f t="shared" si="89"/>
        <v>0</v>
      </c>
      <c r="E665" s="2252">
        <v>0</v>
      </c>
      <c r="F665" s="2471">
        <v>0</v>
      </c>
      <c r="G665" s="2252">
        <v>0</v>
      </c>
      <c r="H665" s="2471"/>
      <c r="I665" s="2249">
        <f t="shared" si="90"/>
        <v>0</v>
      </c>
      <c r="J665" s="2252"/>
      <c r="K665" s="2471"/>
      <c r="L665" s="2252"/>
      <c r="M665" s="2249">
        <f t="shared" si="92"/>
        <v>0</v>
      </c>
      <c r="N665" s="922"/>
      <c r="O665" s="922"/>
      <c r="P665" s="679"/>
      <c r="Q665" s="706"/>
      <c r="R665" s="109"/>
      <c r="S665" s="706"/>
      <c r="T665" s="708"/>
      <c r="U665" s="706"/>
      <c r="V665" s="706"/>
      <c r="W665" s="706"/>
      <c r="X665" s="706"/>
      <c r="Y665" s="706"/>
      <c r="Z665" s="706"/>
      <c r="AA665" s="706"/>
    </row>
    <row r="666" spans="2:27">
      <c r="B666" s="2466" t="s">
        <v>351</v>
      </c>
      <c r="C666" s="2501"/>
      <c r="D666" s="2481">
        <f t="shared" si="89"/>
        <v>32315855.102829337</v>
      </c>
      <c r="E666" s="2252">
        <f>SUM(E660:E665)</f>
        <v>0</v>
      </c>
      <c r="F666" s="2471">
        <f>SUM(F660:F665)</f>
        <v>23446427.748531438</v>
      </c>
      <c r="G666" s="2252">
        <f>SUM(G660:G665)</f>
        <v>8869427.3542978968</v>
      </c>
      <c r="H666" s="2471">
        <f>SUM(H660:H665)</f>
        <v>0</v>
      </c>
      <c r="I666" s="2249">
        <f t="shared" si="90"/>
        <v>32315855.102829337</v>
      </c>
      <c r="J666" s="2252">
        <f>SUM(J660:J665)</f>
        <v>0</v>
      </c>
      <c r="K666" s="2471">
        <f>SUM(K660:K665)</f>
        <v>0</v>
      </c>
      <c r="L666" s="2252">
        <f>SUM(L660:L665)</f>
        <v>0</v>
      </c>
      <c r="M666" s="2249">
        <f t="shared" si="92"/>
        <v>0</v>
      </c>
      <c r="N666" s="927"/>
      <c r="O666" s="922"/>
      <c r="P666" s="679"/>
      <c r="Q666" s="706"/>
      <c r="R666" s="109"/>
      <c r="S666" s="706"/>
      <c r="T666" s="708"/>
      <c r="U666" s="706"/>
      <c r="V666" s="706"/>
      <c r="W666" s="706"/>
      <c r="X666" s="706"/>
      <c r="Y666" s="706"/>
      <c r="Z666" s="706"/>
      <c r="AA666" s="706"/>
    </row>
    <row r="667" spans="2:27">
      <c r="B667" s="2460"/>
      <c r="C667" s="2498"/>
      <c r="D667" s="2481">
        <f t="shared" si="89"/>
        <v>0</v>
      </c>
      <c r="E667" s="2252"/>
      <c r="F667" s="2471"/>
      <c r="G667" s="2252"/>
      <c r="H667" s="2471"/>
      <c r="I667" s="2249">
        <f t="shared" si="90"/>
        <v>0</v>
      </c>
      <c r="J667" s="2252"/>
      <c r="K667" s="2471"/>
      <c r="L667" s="2252"/>
      <c r="M667" s="2249">
        <f t="shared" si="92"/>
        <v>0</v>
      </c>
      <c r="O667" s="922"/>
      <c r="P667" s="679"/>
      <c r="Q667" s="706"/>
      <c r="R667" s="109"/>
      <c r="S667" s="706"/>
      <c r="T667" s="708"/>
      <c r="U667" s="706"/>
      <c r="V667" s="706"/>
      <c r="W667" s="706"/>
      <c r="X667" s="706"/>
      <c r="Y667" s="706"/>
      <c r="Z667" s="706"/>
      <c r="AA667" s="706"/>
    </row>
    <row r="668" spans="2:27" ht="51">
      <c r="B668" s="2467" t="s">
        <v>352</v>
      </c>
      <c r="C668" s="2498"/>
      <c r="D668" s="2481">
        <f t="shared" si="89"/>
        <v>2548238.8252600012</v>
      </c>
      <c r="E668" s="2252">
        <v>0</v>
      </c>
      <c r="F668" s="2471">
        <v>1770310.3063021046</v>
      </c>
      <c r="G668" s="2252">
        <v>777928.51895789651</v>
      </c>
      <c r="H668" s="2471"/>
      <c r="I668" s="2249">
        <f t="shared" si="90"/>
        <v>2548238.8252600012</v>
      </c>
      <c r="J668" s="2252"/>
      <c r="K668" s="2471"/>
      <c r="L668" s="2252"/>
      <c r="M668" s="2249">
        <f t="shared" si="92"/>
        <v>0</v>
      </c>
      <c r="N668" s="922"/>
      <c r="O668" s="922"/>
      <c r="P668" s="679"/>
      <c r="Q668" s="706"/>
      <c r="R668" s="109"/>
      <c r="S668" s="706"/>
      <c r="T668" s="708"/>
      <c r="U668" s="706"/>
      <c r="V668" s="706"/>
      <c r="W668" s="706"/>
      <c r="X668" s="706"/>
      <c r="Y668" s="706"/>
      <c r="Z668" s="706"/>
      <c r="AA668" s="706"/>
    </row>
    <row r="669" spans="2:27">
      <c r="B669" s="2460"/>
      <c r="C669" s="2498"/>
      <c r="D669" s="2481">
        <f t="shared" si="89"/>
        <v>0</v>
      </c>
      <c r="E669" s="2252">
        <v>0</v>
      </c>
      <c r="F669" s="2471">
        <v>0</v>
      </c>
      <c r="G669" s="2252">
        <v>0</v>
      </c>
      <c r="H669" s="2471"/>
      <c r="I669" s="2249">
        <f t="shared" si="90"/>
        <v>0</v>
      </c>
      <c r="J669" s="2252"/>
      <c r="K669" s="2471"/>
      <c r="L669" s="2252"/>
      <c r="M669" s="2249">
        <f t="shared" si="92"/>
        <v>0</v>
      </c>
      <c r="N669" s="922"/>
      <c r="O669" s="922"/>
      <c r="P669" s="679"/>
      <c r="Q669" s="706"/>
      <c r="R669" s="109"/>
      <c r="S669" s="706"/>
      <c r="T669" s="708"/>
      <c r="U669" s="706"/>
      <c r="V669" s="706"/>
      <c r="W669" s="706"/>
      <c r="X669" s="706"/>
      <c r="Y669" s="706"/>
      <c r="Z669" s="706"/>
      <c r="AA669" s="706"/>
    </row>
    <row r="670" spans="2:27" ht="12.75" customHeight="1">
      <c r="B670" s="2467" t="s">
        <v>353</v>
      </c>
      <c r="C670" s="2498">
        <v>4</v>
      </c>
      <c r="D670" s="2481">
        <f t="shared" si="89"/>
        <v>5037635.6373566026</v>
      </c>
      <c r="E670" s="2252">
        <v>0</v>
      </c>
      <c r="F670" s="2471">
        <v>3970875.6046021786</v>
      </c>
      <c r="G670" s="2252">
        <v>1066760.0327544243</v>
      </c>
      <c r="H670" s="2471"/>
      <c r="I670" s="2249">
        <f t="shared" si="90"/>
        <v>5037635.6373566026</v>
      </c>
      <c r="J670" s="2252"/>
      <c r="K670" s="2471"/>
      <c r="L670" s="2252"/>
      <c r="M670" s="2249">
        <f t="shared" si="92"/>
        <v>0</v>
      </c>
      <c r="N670" s="922"/>
      <c r="O670" s="922"/>
      <c r="P670" s="679"/>
      <c r="Q670" s="706"/>
      <c r="R670" s="109"/>
      <c r="S670" s="706"/>
      <c r="T670" s="708"/>
      <c r="U670" s="706"/>
      <c r="V670" s="706"/>
      <c r="W670" s="706"/>
      <c r="X670" s="706"/>
      <c r="Y670" s="706"/>
      <c r="Z670" s="706"/>
      <c r="AA670" s="706"/>
    </row>
    <row r="671" spans="2:27">
      <c r="B671" s="2460" t="s">
        <v>354</v>
      </c>
      <c r="C671" s="2498"/>
      <c r="D671" s="2481">
        <f t="shared" si="89"/>
        <v>0</v>
      </c>
      <c r="E671" s="2252">
        <v>0</v>
      </c>
      <c r="F671" s="2471">
        <v>0</v>
      </c>
      <c r="G671" s="2252">
        <v>0</v>
      </c>
      <c r="H671" s="2471"/>
      <c r="I671" s="2249">
        <f t="shared" si="90"/>
        <v>0</v>
      </c>
      <c r="J671" s="2252"/>
      <c r="K671" s="2471"/>
      <c r="L671" s="2252"/>
      <c r="M671" s="2249">
        <f t="shared" si="92"/>
        <v>0</v>
      </c>
      <c r="N671" s="922"/>
      <c r="O671" s="922"/>
      <c r="P671" s="679"/>
      <c r="Q671" s="706"/>
      <c r="R671" s="109"/>
      <c r="S671" s="706"/>
      <c r="T671" s="708"/>
      <c r="U671" s="706"/>
      <c r="V671" s="706"/>
      <c r="W671" s="706"/>
      <c r="X671" s="706"/>
      <c r="Y671" s="706"/>
      <c r="Z671" s="706"/>
      <c r="AA671" s="706"/>
    </row>
    <row r="672" spans="2:27">
      <c r="B672" s="2460" t="s">
        <v>355</v>
      </c>
      <c r="C672" s="2498"/>
      <c r="D672" s="2481">
        <f t="shared" si="89"/>
        <v>0</v>
      </c>
      <c r="E672" s="2252">
        <v>0</v>
      </c>
      <c r="F672" s="2471">
        <v>0</v>
      </c>
      <c r="G672" s="2252">
        <v>0</v>
      </c>
      <c r="H672" s="2471"/>
      <c r="I672" s="2249">
        <f t="shared" si="90"/>
        <v>0</v>
      </c>
      <c r="J672" s="2252"/>
      <c r="K672" s="2471"/>
      <c r="L672" s="2252"/>
      <c r="M672" s="2249">
        <f t="shared" si="92"/>
        <v>0</v>
      </c>
      <c r="N672" s="922"/>
      <c r="O672" s="922"/>
      <c r="P672" s="679"/>
      <c r="Q672" s="706"/>
      <c r="R672" s="109"/>
      <c r="S672" s="706"/>
      <c r="T672" s="708"/>
      <c r="U672" s="706"/>
      <c r="V672" s="706"/>
      <c r="W672" s="706"/>
      <c r="X672" s="706"/>
      <c r="Y672" s="706"/>
      <c r="Z672" s="706"/>
      <c r="AA672" s="706"/>
    </row>
    <row r="673" spans="1:27">
      <c r="B673" s="2466" t="s">
        <v>356</v>
      </c>
      <c r="C673" s="2501"/>
      <c r="D673" s="2481">
        <f t="shared" si="89"/>
        <v>5037635.6373566026</v>
      </c>
      <c r="E673" s="2252">
        <f>SUM(E670:E672)</f>
        <v>0</v>
      </c>
      <c r="F673" s="2471">
        <f>SUM(F670:F672)</f>
        <v>3970875.6046021786</v>
      </c>
      <c r="G673" s="2252">
        <f>SUM(G670:G672)</f>
        <v>1066760.0327544243</v>
      </c>
      <c r="H673" s="2471">
        <f>SUM(H670:H672)</f>
        <v>0</v>
      </c>
      <c r="I673" s="2249">
        <f t="shared" si="90"/>
        <v>5037635.6373566026</v>
      </c>
      <c r="J673" s="2252">
        <f>SUM(J670:J672)</f>
        <v>0</v>
      </c>
      <c r="K673" s="2471">
        <f>SUM(K670:K672)</f>
        <v>0</v>
      </c>
      <c r="L673" s="2252">
        <f>SUM(L670:L672)</f>
        <v>0</v>
      </c>
      <c r="M673" s="2249">
        <f t="shared" si="92"/>
        <v>0</v>
      </c>
      <c r="N673" s="927"/>
      <c r="O673" s="922"/>
      <c r="P673" s="679"/>
      <c r="Q673" s="706"/>
      <c r="R673" s="109"/>
      <c r="S673" s="706"/>
      <c r="T673" s="708"/>
      <c r="U673" s="706"/>
      <c r="V673" s="706"/>
      <c r="W673" s="706"/>
      <c r="X673" s="706"/>
      <c r="Y673" s="706"/>
      <c r="Z673" s="706"/>
      <c r="AA673" s="706"/>
    </row>
    <row r="674" spans="1:27">
      <c r="B674" s="2466"/>
      <c r="C674" s="2501"/>
      <c r="D674" s="2481">
        <f t="shared" si="89"/>
        <v>0</v>
      </c>
      <c r="E674" s="2252"/>
      <c r="F674" s="2471"/>
      <c r="G674" s="2252"/>
      <c r="H674" s="2471"/>
      <c r="I674" s="2249">
        <f t="shared" si="90"/>
        <v>0</v>
      </c>
      <c r="J674" s="2252"/>
      <c r="K674" s="2471"/>
      <c r="L674" s="2252"/>
      <c r="M674" s="2249">
        <f t="shared" si="92"/>
        <v>0</v>
      </c>
      <c r="P674" s="679"/>
      <c r="Q674" s="706"/>
      <c r="R674" s="109"/>
      <c r="S674" s="706"/>
      <c r="T674" s="708"/>
      <c r="U674" s="706"/>
      <c r="V674" s="706"/>
      <c r="W674" s="706"/>
      <c r="X674" s="706"/>
      <c r="Y674" s="706"/>
      <c r="Z674" s="706"/>
      <c r="AA674" s="706"/>
    </row>
    <row r="675" spans="1:27">
      <c r="B675" s="2466" t="s">
        <v>357</v>
      </c>
      <c r="C675" s="2501"/>
      <c r="D675" s="2481">
        <f t="shared" si="89"/>
        <v>2937771.343512686</v>
      </c>
      <c r="E675" s="2252">
        <f>E658-E666-E668-E673</f>
        <v>1535874.8689597379</v>
      </c>
      <c r="F675" s="2471">
        <f>F658-F666-F668-F673</f>
        <v>771726.36226500385</v>
      </c>
      <c r="G675" s="2252">
        <f>G658-G666-G668-G673</f>
        <v>630170.11228794442</v>
      </c>
      <c r="H675" s="2471">
        <f>H658-H666-H668-H673</f>
        <v>0</v>
      </c>
      <c r="I675" s="2249">
        <f t="shared" si="90"/>
        <v>1401896.4745529483</v>
      </c>
      <c r="J675" s="2252">
        <f>J658-J666-J668-J673</f>
        <v>0</v>
      </c>
      <c r="K675" s="2471">
        <f>K658-K666-K668-K673</f>
        <v>0</v>
      </c>
      <c r="L675" s="2252">
        <f>L658-L666-L668-L673</f>
        <v>0</v>
      </c>
      <c r="M675" s="2249">
        <f t="shared" si="92"/>
        <v>0</v>
      </c>
      <c r="N675" s="927"/>
      <c r="O675" s="922"/>
      <c r="P675" s="679"/>
      <c r="Q675" s="706"/>
      <c r="R675" s="109"/>
      <c r="S675" s="706"/>
      <c r="T675" s="708"/>
      <c r="U675" s="706"/>
      <c r="V675" s="706"/>
      <c r="W675" s="706"/>
      <c r="X675" s="706"/>
      <c r="Y675" s="706"/>
      <c r="Z675" s="706"/>
      <c r="AA675" s="706"/>
    </row>
    <row r="676" spans="1:27">
      <c r="B676" s="2460" t="s">
        <v>358</v>
      </c>
      <c r="C676" s="2498"/>
      <c r="D676" s="2481">
        <f t="shared" si="89"/>
        <v>1564168.8332665577</v>
      </c>
      <c r="E676" s="2252">
        <v>176146.15918372863</v>
      </c>
      <c r="F676" s="2471">
        <v>540008.58593598707</v>
      </c>
      <c r="G676" s="2252">
        <v>848014.08814684208</v>
      </c>
      <c r="H676" s="2471"/>
      <c r="I676" s="2249">
        <f t="shared" si="90"/>
        <v>1388022.6740828292</v>
      </c>
      <c r="J676" s="2252"/>
      <c r="K676" s="2471"/>
      <c r="L676" s="2252"/>
      <c r="M676" s="2249">
        <f t="shared" si="92"/>
        <v>0</v>
      </c>
      <c r="N676" s="922"/>
      <c r="O676" s="922"/>
      <c r="P676" s="679"/>
      <c r="Q676" s="706"/>
      <c r="R676" s="109"/>
      <c r="S676" s="706"/>
      <c r="T676" s="708"/>
      <c r="U676" s="706"/>
      <c r="V676" s="706"/>
      <c r="W676" s="706"/>
      <c r="X676" s="706"/>
      <c r="Y676" s="706"/>
      <c r="Z676" s="706"/>
      <c r="AA676" s="706"/>
    </row>
    <row r="677" spans="1:27">
      <c r="B677" s="2460"/>
      <c r="C677" s="2498"/>
      <c r="D677" s="2481">
        <f t="shared" si="89"/>
        <v>0</v>
      </c>
      <c r="E677" s="2252"/>
      <c r="F677" s="2471"/>
      <c r="G677" s="2252"/>
      <c r="H677" s="2471"/>
      <c r="I677" s="2249">
        <f t="shared" si="90"/>
        <v>0</v>
      </c>
      <c r="J677" s="2252"/>
      <c r="K677" s="2471"/>
      <c r="L677" s="2252"/>
      <c r="M677" s="2249">
        <f t="shared" si="92"/>
        <v>0</v>
      </c>
      <c r="P677" s="679"/>
      <c r="Q677" s="706"/>
      <c r="R677" s="109"/>
      <c r="S677" s="706"/>
      <c r="T677" s="708"/>
      <c r="U677" s="706"/>
      <c r="V677" s="706"/>
      <c r="W677" s="706"/>
      <c r="X677" s="706"/>
      <c r="Y677" s="706"/>
      <c r="Z677" s="706"/>
      <c r="AA677" s="706"/>
    </row>
    <row r="678" spans="1:27" ht="13.5" thickBot="1">
      <c r="B678" s="1602" t="s">
        <v>359</v>
      </c>
      <c r="C678" s="1638"/>
      <c r="D678" s="1614">
        <f t="shared" si="89"/>
        <v>1373602.5102461285</v>
      </c>
      <c r="E678" s="1624">
        <f>E675-E676</f>
        <v>1359728.7097760094</v>
      </c>
      <c r="F678" s="1614">
        <f>F675-F676</f>
        <v>231717.77632901678</v>
      </c>
      <c r="G678" s="1624">
        <f>G675-G676</f>
        <v>-217843.97585889767</v>
      </c>
      <c r="H678" s="1614">
        <f>H675-H676</f>
        <v>0</v>
      </c>
      <c r="I678" s="1614">
        <f t="shared" si="90"/>
        <v>13873.800470119109</v>
      </c>
      <c r="J678" s="1624">
        <f>J675-J676</f>
        <v>0</v>
      </c>
      <c r="K678" s="1614">
        <f>K675-K676</f>
        <v>0</v>
      </c>
      <c r="L678" s="1624">
        <f>L675-L676</f>
        <v>0</v>
      </c>
      <c r="M678" s="1614">
        <f t="shared" si="92"/>
        <v>0</v>
      </c>
      <c r="N678" s="927"/>
      <c r="O678" s="922"/>
      <c r="P678" s="679"/>
      <c r="Q678" s="706"/>
      <c r="R678" s="109"/>
      <c r="S678" s="706"/>
      <c r="T678" s="708"/>
      <c r="U678" s="706"/>
      <c r="V678" s="706"/>
      <c r="W678" s="706"/>
      <c r="X678" s="706"/>
      <c r="Y678" s="706"/>
      <c r="Z678" s="706"/>
      <c r="AA678" s="706"/>
    </row>
    <row r="679" spans="1:27">
      <c r="D679" s="715"/>
      <c r="E679" s="715"/>
      <c r="F679" s="715"/>
      <c r="G679" s="715"/>
      <c r="H679" s="715"/>
      <c r="I679" s="715"/>
      <c r="P679" s="679"/>
      <c r="R679" s="109"/>
    </row>
    <row r="680" spans="1:27">
      <c r="D680" s="715"/>
      <c r="E680" s="715"/>
      <c r="F680" s="715"/>
      <c r="G680" s="715"/>
      <c r="H680" s="715"/>
      <c r="I680" s="715"/>
      <c r="M680" s="673">
        <v>60</v>
      </c>
      <c r="P680" s="679"/>
      <c r="R680" s="109"/>
    </row>
    <row r="681" spans="1:27">
      <c r="R681" s="109"/>
    </row>
    <row r="682" spans="1:27" ht="13.5" thickBot="1">
      <c r="R682" s="109"/>
    </row>
    <row r="683" spans="1:27" ht="13.5" thickBot="1">
      <c r="A683" s="1626" t="s">
        <v>194</v>
      </c>
      <c r="B683" s="1368" t="s">
        <v>134</v>
      </c>
      <c r="L683" s="3538" t="s">
        <v>251</v>
      </c>
      <c r="M683" s="3538"/>
      <c r="R683" s="109"/>
    </row>
    <row r="684" spans="1:27" ht="12.75" customHeight="1" thickBot="1">
      <c r="B684" s="3578" t="s">
        <v>134</v>
      </c>
      <c r="C684" s="3523" t="s">
        <v>325</v>
      </c>
      <c r="D684" s="3518" t="s">
        <v>255</v>
      </c>
      <c r="E684" s="3518" t="s">
        <v>326</v>
      </c>
      <c r="F684" s="3574" t="s">
        <v>258</v>
      </c>
      <c r="G684" s="3574"/>
      <c r="H684" s="3574"/>
      <c r="I684" s="3574"/>
      <c r="J684" s="3574"/>
      <c r="K684" s="3574"/>
      <c r="L684" s="3574"/>
      <c r="M684" s="3574"/>
      <c r="R684" s="109"/>
    </row>
    <row r="685" spans="1:27" ht="12.75" customHeight="1" thickBot="1">
      <c r="B685" s="3571"/>
      <c r="C685" s="3524"/>
      <c r="D685" s="3520"/>
      <c r="E685" s="3520"/>
      <c r="F685" s="3575" t="s">
        <v>259</v>
      </c>
      <c r="G685" s="3576"/>
      <c r="H685" s="3576"/>
      <c r="I685" s="3577"/>
      <c r="J685" s="3574" t="s">
        <v>327</v>
      </c>
      <c r="K685" s="3574"/>
      <c r="L685" s="3574"/>
      <c r="M685" s="3574"/>
      <c r="R685" s="109"/>
    </row>
    <row r="686" spans="1:27" ht="50.25" customHeight="1" thickBot="1">
      <c r="B686" s="3571"/>
      <c r="C686" s="3524"/>
      <c r="D686" s="3519"/>
      <c r="E686" s="3519"/>
      <c r="F686" s="1339" t="s">
        <v>261</v>
      </c>
      <c r="G686" s="1339" t="s">
        <v>262</v>
      </c>
      <c r="H686" s="1339" t="s">
        <v>263</v>
      </c>
      <c r="I686" s="1339" t="s">
        <v>158</v>
      </c>
      <c r="J686" s="1588" t="s">
        <v>328</v>
      </c>
      <c r="K686" s="1588" t="s">
        <v>265</v>
      </c>
      <c r="L686" s="1588" t="s">
        <v>329</v>
      </c>
      <c r="M686" s="1588" t="s">
        <v>158</v>
      </c>
      <c r="R686" s="109"/>
    </row>
    <row r="687" spans="1:27" ht="12.75" customHeight="1" thickBot="1">
      <c r="B687" s="3571"/>
      <c r="C687" s="3524"/>
      <c r="D687" s="1589">
        <v>1</v>
      </c>
      <c r="E687" s="3518">
        <v>2</v>
      </c>
      <c r="F687" s="3518">
        <v>3</v>
      </c>
      <c r="G687" s="3518">
        <v>4</v>
      </c>
      <c r="H687" s="3518">
        <v>5</v>
      </c>
      <c r="I687" s="1589">
        <v>6</v>
      </c>
      <c r="J687" s="3518">
        <v>7</v>
      </c>
      <c r="K687" s="3518">
        <v>8</v>
      </c>
      <c r="L687" s="3518">
        <v>9</v>
      </c>
      <c r="M687" s="1589">
        <v>10</v>
      </c>
      <c r="R687" s="109"/>
    </row>
    <row r="688" spans="1:27" ht="13.5" thickBot="1">
      <c r="B688" s="3572"/>
      <c r="C688" s="3525"/>
      <c r="D688" s="1590" t="s">
        <v>330</v>
      </c>
      <c r="E688" s="3519"/>
      <c r="F688" s="3519"/>
      <c r="G688" s="3519"/>
      <c r="H688" s="3519"/>
      <c r="I688" s="1590" t="s">
        <v>331</v>
      </c>
      <c r="J688" s="3519"/>
      <c r="K688" s="3519"/>
      <c r="L688" s="3519"/>
      <c r="M688" s="1590" t="s">
        <v>332</v>
      </c>
      <c r="N688" s="703"/>
      <c r="O688" s="703"/>
      <c r="R688" s="109"/>
    </row>
    <row r="689" spans="2:27">
      <c r="B689" s="1591" t="s">
        <v>333</v>
      </c>
      <c r="C689" s="985"/>
      <c r="D689" s="1592">
        <f t="shared" ref="D689:D726" si="93">E689+I689+M689</f>
        <v>1247855.0178379999</v>
      </c>
      <c r="E689" s="526"/>
      <c r="F689" s="485">
        <v>20810.431408</v>
      </c>
      <c r="G689" s="526">
        <v>672688.84242999996</v>
      </c>
      <c r="H689" s="485">
        <v>554355.74399999983</v>
      </c>
      <c r="I689" s="1636">
        <f t="shared" ref="I689:I726" si="94">F689+G689+H689</f>
        <v>1247855.0178379999</v>
      </c>
      <c r="J689" s="963"/>
      <c r="K689" s="982"/>
      <c r="L689" s="963"/>
      <c r="M689" s="1637">
        <f t="shared" ref="M689:M706" si="95">L689+K689+J689</f>
        <v>0</v>
      </c>
      <c r="N689" s="922"/>
      <c r="O689" s="922"/>
      <c r="P689" s="679"/>
      <c r="Q689" s="706"/>
      <c r="R689" s="109"/>
      <c r="S689" s="706"/>
      <c r="T689" s="708"/>
      <c r="U689" s="706"/>
      <c r="V689" s="706"/>
      <c r="W689" s="706"/>
      <c r="X689" s="706"/>
      <c r="Y689" s="706"/>
      <c r="Z689" s="706"/>
      <c r="AA689" s="706"/>
    </row>
    <row r="690" spans="2:27">
      <c r="B690" s="2460"/>
      <c r="C690" s="2498"/>
      <c r="D690" s="2481">
        <f t="shared" si="93"/>
        <v>0</v>
      </c>
      <c r="E690" s="2190"/>
      <c r="F690" s="2191"/>
      <c r="G690" s="2190"/>
      <c r="H690" s="2191"/>
      <c r="I690" s="2499">
        <f t="shared" si="94"/>
        <v>0</v>
      </c>
      <c r="J690" s="2471"/>
      <c r="K690" s="2252"/>
      <c r="L690" s="2471"/>
      <c r="M690" s="2500">
        <f t="shared" si="95"/>
        <v>0</v>
      </c>
      <c r="P690" s="679"/>
      <c r="Q690" s="706"/>
      <c r="R690" s="109"/>
      <c r="S690" s="706"/>
      <c r="T690" s="708"/>
      <c r="U690" s="706"/>
      <c r="V690" s="706"/>
      <c r="W690" s="706"/>
      <c r="X690" s="706"/>
      <c r="Y690" s="706"/>
      <c r="Z690" s="706"/>
      <c r="AA690" s="706"/>
    </row>
    <row r="691" spans="2:27">
      <c r="B691" s="2462" t="s">
        <v>334</v>
      </c>
      <c r="C691" s="2498"/>
      <c r="D691" s="2481">
        <f t="shared" si="93"/>
        <v>28748.663641971558</v>
      </c>
      <c r="E691" s="2190"/>
      <c r="F691" s="2191">
        <v>554.72219209135994</v>
      </c>
      <c r="G691" s="2190">
        <v>12047.847014004399</v>
      </c>
      <c r="H691" s="2191">
        <v>16146.094435875801</v>
      </c>
      <c r="I691" s="2499">
        <f t="shared" si="94"/>
        <v>28748.663641971558</v>
      </c>
      <c r="J691" s="2471"/>
      <c r="K691" s="2252"/>
      <c r="L691" s="2471"/>
      <c r="M691" s="2500">
        <f t="shared" si="95"/>
        <v>0</v>
      </c>
      <c r="N691" s="922"/>
      <c r="O691" s="922"/>
      <c r="P691" s="679"/>
      <c r="Q691" s="706"/>
      <c r="R691" s="109"/>
      <c r="S691" s="706"/>
      <c r="T691" s="708"/>
      <c r="U691" s="706"/>
      <c r="V691" s="706"/>
      <c r="W691" s="706"/>
      <c r="X691" s="706"/>
      <c r="Y691" s="706"/>
      <c r="Z691" s="706"/>
      <c r="AA691" s="706"/>
    </row>
    <row r="692" spans="2:27">
      <c r="B692" s="2462"/>
      <c r="C692" s="2498"/>
      <c r="D692" s="2481">
        <f t="shared" si="93"/>
        <v>0</v>
      </c>
      <c r="E692" s="2190"/>
      <c r="F692" s="2191"/>
      <c r="G692" s="2190"/>
      <c r="H692" s="2191"/>
      <c r="I692" s="2499">
        <f t="shared" si="94"/>
        <v>0</v>
      </c>
      <c r="J692" s="2471"/>
      <c r="K692" s="2252"/>
      <c r="L692" s="2471"/>
      <c r="M692" s="2500">
        <f t="shared" si="95"/>
        <v>0</v>
      </c>
      <c r="P692" s="679"/>
      <c r="Q692" s="706"/>
      <c r="R692" s="109"/>
      <c r="S692" s="706"/>
      <c r="T692" s="708"/>
      <c r="U692" s="706"/>
      <c r="V692" s="706"/>
      <c r="W692" s="706"/>
      <c r="X692" s="706"/>
      <c r="Y692" s="706"/>
      <c r="Z692" s="706"/>
      <c r="AA692" s="706"/>
    </row>
    <row r="693" spans="2:27" ht="27.75" customHeight="1">
      <c r="B693" s="2463" t="s">
        <v>335</v>
      </c>
      <c r="C693" s="2498"/>
      <c r="D693" s="2481">
        <f t="shared" si="93"/>
        <v>0</v>
      </c>
      <c r="E693" s="2190"/>
      <c r="F693" s="2191"/>
      <c r="G693" s="2190"/>
      <c r="H693" s="2191"/>
      <c r="I693" s="2499">
        <f t="shared" si="94"/>
        <v>0</v>
      </c>
      <c r="J693" s="2471"/>
      <c r="K693" s="2252"/>
      <c r="L693" s="2471"/>
      <c r="M693" s="2500">
        <f t="shared" si="95"/>
        <v>0</v>
      </c>
      <c r="N693" s="922"/>
      <c r="O693" s="922"/>
      <c r="P693" s="679"/>
      <c r="Q693" s="706"/>
      <c r="R693" s="109"/>
      <c r="S693" s="706"/>
      <c r="T693" s="708"/>
      <c r="U693" s="706"/>
      <c r="V693" s="706"/>
      <c r="W693" s="706"/>
      <c r="X693" s="706"/>
      <c r="Y693" s="706"/>
      <c r="Z693" s="706"/>
      <c r="AA693" s="706"/>
    </row>
    <row r="694" spans="2:27">
      <c r="B694" s="2460"/>
      <c r="C694" s="2498"/>
      <c r="D694" s="2481">
        <f t="shared" si="93"/>
        <v>0</v>
      </c>
      <c r="E694" s="2252"/>
      <c r="F694" s="2471"/>
      <c r="G694" s="2252"/>
      <c r="H694" s="2471"/>
      <c r="I694" s="2499">
        <f t="shared" si="94"/>
        <v>0</v>
      </c>
      <c r="J694" s="2471"/>
      <c r="K694" s="2252"/>
      <c r="L694" s="2471"/>
      <c r="M694" s="2500">
        <f t="shared" si="95"/>
        <v>0</v>
      </c>
      <c r="P694" s="679"/>
      <c r="Q694" s="706"/>
      <c r="R694" s="109"/>
      <c r="S694" s="706"/>
      <c r="T694" s="708"/>
      <c r="U694" s="706"/>
      <c r="V694" s="706"/>
      <c r="W694" s="706"/>
      <c r="X694" s="706"/>
      <c r="Y694" s="706"/>
      <c r="Z694" s="706"/>
      <c r="AA694" s="706"/>
    </row>
    <row r="695" spans="2:27">
      <c r="B695" s="2464" t="s">
        <v>336</v>
      </c>
      <c r="C695" s="2501"/>
      <c r="D695" s="2481">
        <f t="shared" si="93"/>
        <v>1219106.3541960283</v>
      </c>
      <c r="E695" s="2252">
        <f>E689-E691+E693</f>
        <v>0</v>
      </c>
      <c r="F695" s="2471">
        <f>F689-F691+F693</f>
        <v>20255.709215908639</v>
      </c>
      <c r="G695" s="2252">
        <f>G689-G691+G693</f>
        <v>660640.9954159956</v>
      </c>
      <c r="H695" s="2471">
        <f>H689-H691+H693</f>
        <v>538209.64956412406</v>
      </c>
      <c r="I695" s="2499">
        <f t="shared" si="94"/>
        <v>1219106.3541960283</v>
      </c>
      <c r="J695" s="2471">
        <f>J689-J691+J693</f>
        <v>0</v>
      </c>
      <c r="K695" s="2252">
        <f>K689-K691+K693</f>
        <v>0</v>
      </c>
      <c r="L695" s="2471">
        <f>L689-L691+L693</f>
        <v>0</v>
      </c>
      <c r="M695" s="2500">
        <f t="shared" si="95"/>
        <v>0</v>
      </c>
      <c r="N695" s="927"/>
      <c r="O695" s="922"/>
      <c r="P695" s="679"/>
      <c r="Q695" s="706"/>
      <c r="R695" s="109"/>
      <c r="S695" s="706"/>
      <c r="T695" s="708"/>
      <c r="U695" s="706"/>
      <c r="V695" s="706"/>
      <c r="W695" s="706"/>
      <c r="X695" s="706"/>
      <c r="Y695" s="706"/>
      <c r="Z695" s="706"/>
      <c r="AA695" s="706"/>
    </row>
    <row r="696" spans="2:27">
      <c r="B696" s="2464"/>
      <c r="C696" s="2501"/>
      <c r="D696" s="2481">
        <f t="shared" si="93"/>
        <v>0</v>
      </c>
      <c r="E696" s="2252"/>
      <c r="F696" s="2471"/>
      <c r="G696" s="2252"/>
      <c r="H696" s="2471"/>
      <c r="I696" s="2499">
        <f t="shared" si="94"/>
        <v>0</v>
      </c>
      <c r="J696" s="2471"/>
      <c r="K696" s="2252"/>
      <c r="L696" s="2471"/>
      <c r="M696" s="2500">
        <f t="shared" si="95"/>
        <v>0</v>
      </c>
      <c r="P696" s="679"/>
      <c r="Q696" s="706"/>
      <c r="R696" s="109"/>
      <c r="S696" s="706"/>
      <c r="T696" s="708"/>
      <c r="U696" s="706"/>
      <c r="V696" s="706"/>
      <c r="W696" s="706"/>
      <c r="X696" s="706"/>
      <c r="Y696" s="706"/>
      <c r="Z696" s="706"/>
      <c r="AA696" s="706"/>
    </row>
    <row r="697" spans="2:27">
      <c r="B697" s="2464" t="s">
        <v>337</v>
      </c>
      <c r="C697" s="2501"/>
      <c r="D697" s="2481">
        <f t="shared" si="93"/>
        <v>136961.21825999997</v>
      </c>
      <c r="E697" s="2252">
        <f>SUM(E698:E702)</f>
        <v>34203.103923826005</v>
      </c>
      <c r="F697" s="2471">
        <f>SUM(F698:F702)</f>
        <v>10443.811956580485</v>
      </c>
      <c r="G697" s="2252">
        <f>SUM(G698:G702)</f>
        <v>70474.516928182304</v>
      </c>
      <c r="H697" s="2471">
        <f>SUM(H698:H702)</f>
        <v>21839.785451411175</v>
      </c>
      <c r="I697" s="2499">
        <f t="shared" si="94"/>
        <v>102758.11433617395</v>
      </c>
      <c r="J697" s="2471">
        <f>SUM(J698:J702)</f>
        <v>0</v>
      </c>
      <c r="K697" s="2252">
        <f>SUM(K698:K702)</f>
        <v>0</v>
      </c>
      <c r="L697" s="2471">
        <f>SUM(L698:L702)</f>
        <v>0</v>
      </c>
      <c r="M697" s="2500">
        <f t="shared" si="95"/>
        <v>0</v>
      </c>
      <c r="N697" s="927"/>
      <c r="O697" s="922"/>
      <c r="P697" s="679"/>
      <c r="Q697" s="706"/>
      <c r="R697" s="109"/>
      <c r="S697" s="706"/>
      <c r="T697" s="708"/>
      <c r="U697" s="706"/>
      <c r="V697" s="706"/>
      <c r="W697" s="706"/>
      <c r="X697" s="706"/>
      <c r="Y697" s="706"/>
      <c r="Z697" s="706"/>
      <c r="AA697" s="706"/>
    </row>
    <row r="698" spans="2:27">
      <c r="B698" s="2460" t="s">
        <v>338</v>
      </c>
      <c r="C698" s="2498">
        <v>1</v>
      </c>
      <c r="D698" s="2481">
        <f t="shared" si="93"/>
        <v>170486.57641999997</v>
      </c>
      <c r="E698" s="2190">
        <f>74088.516683826</f>
        <v>74088.516683826005</v>
      </c>
      <c r="F698" s="2191">
        <v>11720.378556580488</v>
      </c>
      <c r="G698" s="2190">
        <v>75193.761728182304</v>
      </c>
      <c r="H698" s="2191">
        <v>9483.919451411175</v>
      </c>
      <c r="I698" s="2499">
        <f t="shared" si="94"/>
        <v>96398.059736173964</v>
      </c>
      <c r="J698" s="2471"/>
      <c r="K698" s="2252"/>
      <c r="L698" s="2471"/>
      <c r="M698" s="2500">
        <f t="shared" si="95"/>
        <v>0</v>
      </c>
      <c r="N698" s="922"/>
      <c r="O698" s="922"/>
      <c r="P698" s="679"/>
      <c r="Q698" s="706"/>
      <c r="R698" s="109"/>
      <c r="S698" s="706"/>
      <c r="T698" s="708"/>
      <c r="U698" s="706"/>
      <c r="V698" s="706"/>
      <c r="W698" s="706"/>
      <c r="X698" s="706"/>
      <c r="Y698" s="706"/>
      <c r="Z698" s="706"/>
      <c r="AA698" s="706"/>
    </row>
    <row r="699" spans="2:27">
      <c r="B699" s="2460" t="s">
        <v>339</v>
      </c>
      <c r="C699" s="2498">
        <v>2</v>
      </c>
      <c r="D699" s="2481">
        <f t="shared" si="93"/>
        <v>43944.635999999999</v>
      </c>
      <c r="E699" s="2252">
        <v>25287</v>
      </c>
      <c r="F699" s="2471">
        <v>842.73800000000006</v>
      </c>
      <c r="G699" s="2252">
        <v>5459.0320000000002</v>
      </c>
      <c r="H699" s="2471">
        <v>12355.866</v>
      </c>
      <c r="I699" s="2499">
        <f t="shared" si="94"/>
        <v>18657.635999999999</v>
      </c>
      <c r="J699" s="2471"/>
      <c r="K699" s="2252"/>
      <c r="L699" s="2471"/>
      <c r="M699" s="2500">
        <f t="shared" si="95"/>
        <v>0</v>
      </c>
      <c r="N699" s="922"/>
      <c r="O699" s="922"/>
      <c r="P699" s="679"/>
      <c r="Q699" s="706"/>
      <c r="R699" s="179"/>
      <c r="S699" s="706"/>
      <c r="T699" s="708"/>
      <c r="U699" s="706"/>
      <c r="V699" s="706"/>
      <c r="W699" s="706"/>
      <c r="X699" s="706"/>
      <c r="Y699" s="706"/>
      <c r="Z699" s="706"/>
      <c r="AA699" s="706"/>
    </row>
    <row r="700" spans="2:27">
      <c r="B700" s="2460" t="s">
        <v>340</v>
      </c>
      <c r="C700" s="2498"/>
      <c r="D700" s="2481">
        <f t="shared" si="93"/>
        <v>0</v>
      </c>
      <c r="E700" s="2190"/>
      <c r="F700" s="2191"/>
      <c r="G700" s="2190"/>
      <c r="H700" s="2191"/>
      <c r="I700" s="2499">
        <f t="shared" si="94"/>
        <v>0</v>
      </c>
      <c r="J700" s="2471"/>
      <c r="K700" s="2252"/>
      <c r="L700" s="2471"/>
      <c r="M700" s="2500">
        <f t="shared" si="95"/>
        <v>0</v>
      </c>
      <c r="N700" s="922"/>
      <c r="O700" s="922"/>
      <c r="P700" s="679"/>
      <c r="Q700" s="706"/>
      <c r="R700" s="109"/>
      <c r="S700" s="706"/>
      <c r="T700" s="708"/>
      <c r="U700" s="706"/>
      <c r="V700" s="706"/>
      <c r="W700" s="706"/>
      <c r="X700" s="706"/>
      <c r="Y700" s="706"/>
      <c r="Z700" s="706"/>
      <c r="AA700" s="706"/>
    </row>
    <row r="701" spans="2:27">
      <c r="B701" s="2460" t="s">
        <v>341</v>
      </c>
      <c r="C701" s="2498"/>
      <c r="D701" s="2481">
        <f t="shared" si="93"/>
        <v>-77469.994160000002</v>
      </c>
      <c r="E701" s="2190">
        <v>-65172.412759999999</v>
      </c>
      <c r="F701" s="2191">
        <v>-2119.3046000000027</v>
      </c>
      <c r="G701" s="2190">
        <v>-10178.276800000003</v>
      </c>
      <c r="H701" s="2191">
        <v>0</v>
      </c>
      <c r="I701" s="2499">
        <f t="shared" si="94"/>
        <v>-12297.581400000006</v>
      </c>
      <c r="J701" s="2471"/>
      <c r="K701" s="2252"/>
      <c r="L701" s="2471"/>
      <c r="M701" s="2500">
        <f t="shared" si="95"/>
        <v>0</v>
      </c>
      <c r="N701" s="922"/>
      <c r="O701" s="922"/>
      <c r="P701" s="679"/>
      <c r="Q701" s="706"/>
      <c r="R701" s="109"/>
      <c r="S701" s="706"/>
      <c r="T701" s="708"/>
      <c r="U701" s="706"/>
      <c r="V701" s="706"/>
      <c r="W701" s="706"/>
      <c r="X701" s="706"/>
      <c r="Y701" s="706"/>
      <c r="Z701" s="706"/>
      <c r="AA701" s="706"/>
    </row>
    <row r="702" spans="2:27">
      <c r="B702" s="2460" t="s">
        <v>342</v>
      </c>
      <c r="C702" s="2498">
        <v>3</v>
      </c>
      <c r="D702" s="2481">
        <f t="shared" si="93"/>
        <v>0</v>
      </c>
      <c r="E702" s="2190"/>
      <c r="F702" s="2191"/>
      <c r="G702" s="2190"/>
      <c r="H702" s="2191"/>
      <c r="I702" s="2499">
        <f t="shared" si="94"/>
        <v>0</v>
      </c>
      <c r="J702" s="2471"/>
      <c r="K702" s="2252"/>
      <c r="L702" s="2471"/>
      <c r="M702" s="2500">
        <f t="shared" si="95"/>
        <v>0</v>
      </c>
      <c r="N702" s="922"/>
      <c r="O702" s="922"/>
      <c r="P702" s="679"/>
      <c r="Q702" s="706"/>
      <c r="R702" s="109"/>
      <c r="S702" s="706"/>
      <c r="T702" s="708"/>
      <c r="U702" s="706"/>
      <c r="V702" s="706"/>
      <c r="W702" s="706"/>
      <c r="X702" s="706"/>
      <c r="Y702" s="706"/>
      <c r="Z702" s="706"/>
      <c r="AA702" s="706"/>
    </row>
    <row r="703" spans="2:27">
      <c r="B703" s="2460" t="s">
        <v>343</v>
      </c>
      <c r="C703" s="2498"/>
      <c r="D703" s="2481">
        <f t="shared" si="93"/>
        <v>0</v>
      </c>
      <c r="E703" s="2252"/>
      <c r="F703" s="2471"/>
      <c r="G703" s="2252"/>
      <c r="H703" s="2471"/>
      <c r="I703" s="2499">
        <f t="shared" si="94"/>
        <v>0</v>
      </c>
      <c r="J703" s="2471"/>
      <c r="K703" s="2252"/>
      <c r="L703" s="2471"/>
      <c r="M703" s="2500">
        <f t="shared" si="95"/>
        <v>0</v>
      </c>
      <c r="P703" s="679"/>
      <c r="Q703" s="706"/>
      <c r="R703" s="109"/>
      <c r="S703" s="706"/>
      <c r="T703" s="708"/>
      <c r="U703" s="706"/>
      <c r="V703" s="706"/>
      <c r="W703" s="706"/>
      <c r="X703" s="706"/>
      <c r="Y703" s="706"/>
      <c r="Z703" s="706"/>
      <c r="AA703" s="706"/>
    </row>
    <row r="704" spans="2:27">
      <c r="B704" s="2460" t="s">
        <v>343</v>
      </c>
      <c r="C704" s="2498"/>
      <c r="D704" s="2481">
        <f t="shared" si="93"/>
        <v>0</v>
      </c>
      <c r="E704" s="2252"/>
      <c r="F704" s="2471"/>
      <c r="G704" s="2252"/>
      <c r="H704" s="2471"/>
      <c r="I704" s="2499">
        <f t="shared" si="94"/>
        <v>0</v>
      </c>
      <c r="J704" s="2471"/>
      <c r="K704" s="2252"/>
      <c r="L704" s="2471"/>
      <c r="M704" s="2500">
        <f t="shared" si="95"/>
        <v>0</v>
      </c>
      <c r="P704" s="679"/>
      <c r="Q704" s="706"/>
      <c r="R704" s="109"/>
      <c r="S704" s="706"/>
      <c r="T704" s="708"/>
      <c r="U704" s="706"/>
      <c r="V704" s="706"/>
      <c r="W704" s="706"/>
      <c r="X704" s="706"/>
      <c r="Y704" s="706"/>
      <c r="Z704" s="706"/>
      <c r="AA704" s="706"/>
    </row>
    <row r="705" spans="2:27">
      <c r="B705" s="2460"/>
      <c r="C705" s="2498"/>
      <c r="D705" s="2481">
        <f t="shared" si="93"/>
        <v>0</v>
      </c>
      <c r="E705" s="2252"/>
      <c r="F705" s="2471"/>
      <c r="G705" s="2252"/>
      <c r="H705" s="2471"/>
      <c r="I705" s="2499">
        <f t="shared" si="94"/>
        <v>0</v>
      </c>
      <c r="J705" s="2471"/>
      <c r="K705" s="2252"/>
      <c r="L705" s="2471"/>
      <c r="M705" s="2500">
        <f t="shared" si="95"/>
        <v>0</v>
      </c>
      <c r="P705" s="679"/>
      <c r="Q705" s="706"/>
      <c r="R705" s="109"/>
      <c r="S705" s="706"/>
      <c r="T705" s="708"/>
      <c r="U705" s="706"/>
      <c r="V705" s="706"/>
      <c r="W705" s="706"/>
      <c r="X705" s="706"/>
      <c r="Y705" s="706"/>
      <c r="Z705" s="706"/>
      <c r="AA705" s="706"/>
    </row>
    <row r="706" spans="2:27">
      <c r="B706" s="2466" t="s">
        <v>344</v>
      </c>
      <c r="C706" s="2501"/>
      <c r="D706" s="2481">
        <f t="shared" si="93"/>
        <v>1356067.5724560283</v>
      </c>
      <c r="E706" s="2252">
        <f>E695+E697</f>
        <v>34203.103923826005</v>
      </c>
      <c r="F706" s="2471">
        <f>F695+F697</f>
        <v>30699.521172489123</v>
      </c>
      <c r="G706" s="2252">
        <f>G695+G697</f>
        <v>731115.51234417793</v>
      </c>
      <c r="H706" s="2471">
        <f>H695+H697</f>
        <v>560049.43501553521</v>
      </c>
      <c r="I706" s="2499">
        <f t="shared" si="94"/>
        <v>1321864.4685322023</v>
      </c>
      <c r="J706" s="2471">
        <f>J695+J697</f>
        <v>0</v>
      </c>
      <c r="K706" s="2252">
        <f>K695+K697</f>
        <v>0</v>
      </c>
      <c r="L706" s="2471">
        <f>L695+L697</f>
        <v>0</v>
      </c>
      <c r="M706" s="2500">
        <f t="shared" si="95"/>
        <v>0</v>
      </c>
      <c r="N706" s="927"/>
      <c r="O706" s="922"/>
      <c r="P706" s="679"/>
      <c r="Q706" s="706"/>
      <c r="R706" s="109"/>
      <c r="S706" s="706"/>
      <c r="T706" s="708"/>
      <c r="U706" s="706"/>
      <c r="V706" s="706"/>
      <c r="W706" s="706"/>
      <c r="X706" s="706"/>
      <c r="Y706" s="706"/>
      <c r="Z706" s="706"/>
      <c r="AA706" s="706"/>
    </row>
    <row r="707" spans="2:27">
      <c r="B707" s="2466"/>
      <c r="C707" s="2501"/>
      <c r="D707" s="2481">
        <f t="shared" si="93"/>
        <v>0</v>
      </c>
      <c r="E707" s="2252"/>
      <c r="F707" s="2471"/>
      <c r="G707" s="2252"/>
      <c r="H707" s="2471"/>
      <c r="I707" s="2499">
        <f t="shared" si="94"/>
        <v>0</v>
      </c>
      <c r="J707" s="2471"/>
      <c r="K707" s="2252"/>
      <c r="L707" s="2471"/>
      <c r="M707" s="2500"/>
      <c r="P707" s="679"/>
      <c r="Q707" s="706"/>
      <c r="R707" s="109"/>
      <c r="S707" s="706"/>
      <c r="T707" s="708"/>
      <c r="U707" s="706"/>
      <c r="V707" s="706"/>
      <c r="W707" s="706"/>
      <c r="X707" s="706"/>
      <c r="Y707" s="706"/>
      <c r="Z707" s="706"/>
      <c r="AA707" s="706"/>
    </row>
    <row r="708" spans="2:27">
      <c r="B708" s="2460" t="s">
        <v>345</v>
      </c>
      <c r="C708" s="2498"/>
      <c r="D708" s="2481">
        <f t="shared" si="93"/>
        <v>373720.22917000001</v>
      </c>
      <c r="E708" s="2252"/>
      <c r="F708" s="2471">
        <v>15661.24634</v>
      </c>
      <c r="G708" s="2252">
        <v>305021.62676000001</v>
      </c>
      <c r="H708" s="2471">
        <v>53037.356070000002</v>
      </c>
      <c r="I708" s="2499">
        <f t="shared" si="94"/>
        <v>373720.22917000001</v>
      </c>
      <c r="J708" s="2471"/>
      <c r="K708" s="2252"/>
      <c r="L708" s="2471"/>
      <c r="M708" s="2500">
        <f t="shared" ref="M708:M726" si="96">L708+K708+J708</f>
        <v>0</v>
      </c>
      <c r="N708" s="922"/>
      <c r="O708" s="922"/>
      <c r="P708" s="679"/>
      <c r="Q708" s="706"/>
      <c r="R708" s="109"/>
      <c r="S708" s="706"/>
      <c r="T708" s="708"/>
      <c r="U708" s="706"/>
      <c r="V708" s="706"/>
      <c r="W708" s="706"/>
      <c r="X708" s="706"/>
      <c r="Y708" s="706"/>
      <c r="Z708" s="706"/>
      <c r="AA708" s="706"/>
    </row>
    <row r="709" spans="2:27">
      <c r="B709" s="2460" t="s">
        <v>346</v>
      </c>
      <c r="C709" s="2498"/>
      <c r="D709" s="2481">
        <f t="shared" si="93"/>
        <v>-15222.701830000002</v>
      </c>
      <c r="E709" s="2252"/>
      <c r="F709" s="2489">
        <v>-27.750054393040745</v>
      </c>
      <c r="G709" s="983">
        <v>-4357.0068429876283</v>
      </c>
      <c r="H709" s="2489">
        <v>-10837.944932619332</v>
      </c>
      <c r="I709" s="2499">
        <f t="shared" si="94"/>
        <v>-15222.701830000002</v>
      </c>
      <c r="J709" s="2471"/>
      <c r="K709" s="2252"/>
      <c r="L709" s="2471"/>
      <c r="M709" s="2500">
        <f t="shared" si="96"/>
        <v>0</v>
      </c>
      <c r="N709" s="922"/>
      <c r="O709" s="922"/>
      <c r="P709" s="679"/>
      <c r="Q709" s="706"/>
      <c r="R709" s="109"/>
      <c r="S709" s="706"/>
      <c r="T709" s="708"/>
      <c r="U709" s="706"/>
      <c r="V709" s="706"/>
      <c r="W709" s="706"/>
      <c r="X709" s="706"/>
      <c r="Y709" s="706"/>
      <c r="Z709" s="706"/>
      <c r="AA709" s="706"/>
    </row>
    <row r="710" spans="2:27">
      <c r="B710" s="2460" t="s">
        <v>347</v>
      </c>
      <c r="C710" s="2498"/>
      <c r="D710" s="2481">
        <f t="shared" si="93"/>
        <v>41208.543800000007</v>
      </c>
      <c r="E710" s="2252"/>
      <c r="F710" s="954">
        <v>9874.8393000000033</v>
      </c>
      <c r="G710" s="955">
        <v>30023.207300000005</v>
      </c>
      <c r="H710" s="954">
        <v>1310.4972000000002</v>
      </c>
      <c r="I710" s="2499">
        <f t="shared" si="94"/>
        <v>41208.543800000007</v>
      </c>
      <c r="J710" s="2471"/>
      <c r="K710" s="2252"/>
      <c r="L710" s="2471"/>
      <c r="M710" s="2500">
        <f t="shared" si="96"/>
        <v>0</v>
      </c>
      <c r="N710" s="922"/>
      <c r="O710" s="922"/>
      <c r="P710" s="679"/>
      <c r="Q710" s="706"/>
      <c r="R710" s="109"/>
      <c r="S710" s="706"/>
      <c r="T710" s="708"/>
      <c r="U710" s="706"/>
      <c r="V710" s="706"/>
      <c r="W710" s="706"/>
      <c r="X710" s="706"/>
      <c r="Y710" s="706"/>
      <c r="Z710" s="706"/>
      <c r="AA710" s="706"/>
    </row>
    <row r="711" spans="2:27" ht="12.75" customHeight="1">
      <c r="B711" s="2467" t="s">
        <v>348</v>
      </c>
      <c r="C711" s="2498"/>
      <c r="D711" s="2481">
        <f t="shared" si="93"/>
        <v>1749.6523</v>
      </c>
      <c r="E711" s="2252"/>
      <c r="F711" s="931">
        <v>-0.4</v>
      </c>
      <c r="G711" s="932">
        <v>2248.143</v>
      </c>
      <c r="H711" s="931">
        <v>-498.09069999999997</v>
      </c>
      <c r="I711" s="2499">
        <f t="shared" si="94"/>
        <v>1749.6523</v>
      </c>
      <c r="J711" s="2471"/>
      <c r="K711" s="2252"/>
      <c r="L711" s="2471"/>
      <c r="M711" s="2500">
        <f t="shared" si="96"/>
        <v>0</v>
      </c>
      <c r="N711" s="922"/>
      <c r="O711" s="922"/>
      <c r="P711" s="679"/>
      <c r="Q711" s="706"/>
      <c r="R711" s="109"/>
      <c r="S711" s="706"/>
      <c r="T711" s="708"/>
      <c r="U711" s="706"/>
      <c r="V711" s="706"/>
      <c r="W711" s="706"/>
      <c r="X711" s="706"/>
      <c r="Y711" s="706"/>
      <c r="Z711" s="706"/>
      <c r="AA711" s="706"/>
    </row>
    <row r="712" spans="2:27">
      <c r="B712" s="2460" t="s">
        <v>349</v>
      </c>
      <c r="C712" s="2498"/>
      <c r="D712" s="2481">
        <f t="shared" si="93"/>
        <v>77952.631853309416</v>
      </c>
      <c r="E712" s="2252"/>
      <c r="F712" s="2471">
        <v>-54118.606353817733</v>
      </c>
      <c r="G712" s="2252">
        <v>113157.23759117376</v>
      </c>
      <c r="H712" s="2471">
        <v>18914.000615953384</v>
      </c>
      <c r="I712" s="2499">
        <f t="shared" si="94"/>
        <v>77952.631853309416</v>
      </c>
      <c r="J712" s="2471"/>
      <c r="K712" s="2252"/>
      <c r="L712" s="2471"/>
      <c r="M712" s="2500">
        <f t="shared" si="96"/>
        <v>0</v>
      </c>
      <c r="N712" s="922"/>
      <c r="O712" s="922"/>
      <c r="P712" s="679"/>
      <c r="Q712" s="706"/>
      <c r="R712" s="109"/>
      <c r="S712" s="706"/>
      <c r="T712" s="708"/>
      <c r="U712" s="706"/>
      <c r="V712" s="706"/>
      <c r="W712" s="706"/>
      <c r="X712" s="706"/>
      <c r="Y712" s="706"/>
      <c r="Z712" s="706"/>
      <c r="AA712" s="706"/>
    </row>
    <row r="713" spans="2:27" ht="51">
      <c r="B713" s="2467" t="s">
        <v>350</v>
      </c>
      <c r="C713" s="2498"/>
      <c r="D713" s="2481">
        <f t="shared" si="93"/>
        <v>0</v>
      </c>
      <c r="E713" s="2252"/>
      <c r="F713" s="2471"/>
      <c r="G713" s="2252"/>
      <c r="H713" s="2471"/>
      <c r="I713" s="2499">
        <f t="shared" si="94"/>
        <v>0</v>
      </c>
      <c r="J713" s="2471"/>
      <c r="K713" s="2252"/>
      <c r="L713" s="2471"/>
      <c r="M713" s="2500">
        <f t="shared" si="96"/>
        <v>0</v>
      </c>
      <c r="N713" s="922"/>
      <c r="O713" s="922"/>
      <c r="P713" s="679"/>
      <c r="Q713" s="706"/>
      <c r="R713" s="109"/>
      <c r="S713" s="706"/>
      <c r="T713" s="708"/>
      <c r="U713" s="706"/>
      <c r="V713" s="706"/>
      <c r="W713" s="706"/>
      <c r="X713" s="706"/>
      <c r="Y713" s="706"/>
      <c r="Z713" s="706"/>
      <c r="AA713" s="706"/>
    </row>
    <row r="714" spans="2:27">
      <c r="B714" s="2466" t="s">
        <v>351</v>
      </c>
      <c r="C714" s="2501"/>
      <c r="D714" s="2481">
        <f t="shared" si="93"/>
        <v>479408.35529330943</v>
      </c>
      <c r="E714" s="2252">
        <f>SUM(E708:E713)</f>
        <v>0</v>
      </c>
      <c r="F714" s="2471">
        <f>SUM(F708:F713)</f>
        <v>-28610.670768210774</v>
      </c>
      <c r="G714" s="2252">
        <f>SUM(G708:G713)</f>
        <v>446093.20780818618</v>
      </c>
      <c r="H714" s="2471">
        <f>SUM(H708:H713)</f>
        <v>61925.818253334044</v>
      </c>
      <c r="I714" s="2499">
        <f t="shared" si="94"/>
        <v>479408.35529330943</v>
      </c>
      <c r="J714" s="2471">
        <f>SUM(J708:J713)</f>
        <v>0</v>
      </c>
      <c r="K714" s="2252">
        <f>SUM(K708:K713)</f>
        <v>0</v>
      </c>
      <c r="L714" s="2471">
        <f>SUM(L708:L713)</f>
        <v>0</v>
      </c>
      <c r="M714" s="2500">
        <f t="shared" si="96"/>
        <v>0</v>
      </c>
      <c r="N714" s="927"/>
      <c r="O714" s="922"/>
      <c r="P714" s="679"/>
      <c r="Q714" s="706"/>
      <c r="R714" s="109"/>
      <c r="S714" s="706"/>
      <c r="T714" s="708"/>
      <c r="U714" s="706"/>
      <c r="V714" s="706"/>
      <c r="W714" s="706"/>
      <c r="X714" s="706"/>
      <c r="Y714" s="706"/>
      <c r="Z714" s="706"/>
      <c r="AA714" s="706"/>
    </row>
    <row r="715" spans="2:27">
      <c r="B715" s="2460"/>
      <c r="C715" s="2498"/>
      <c r="D715" s="2481">
        <f t="shared" si="93"/>
        <v>0</v>
      </c>
      <c r="E715" s="2252"/>
      <c r="F715" s="2471"/>
      <c r="G715" s="2252"/>
      <c r="H715" s="2471"/>
      <c r="I715" s="2499">
        <f t="shared" si="94"/>
        <v>0</v>
      </c>
      <c r="J715" s="2471"/>
      <c r="K715" s="2252"/>
      <c r="L715" s="2471"/>
      <c r="M715" s="2500">
        <f t="shared" si="96"/>
        <v>0</v>
      </c>
      <c r="O715" s="922"/>
      <c r="P715" s="679"/>
      <c r="Q715" s="706"/>
      <c r="R715" s="109"/>
      <c r="S715" s="706"/>
      <c r="T715" s="708"/>
      <c r="U715" s="706"/>
      <c r="V715" s="706"/>
      <c r="W715" s="706"/>
      <c r="X715" s="706"/>
      <c r="Y715" s="706"/>
      <c r="Z715" s="706"/>
      <c r="AA715" s="706"/>
    </row>
    <row r="716" spans="2:27" ht="51">
      <c r="B716" s="2467" t="s">
        <v>352</v>
      </c>
      <c r="C716" s="2498"/>
      <c r="D716" s="2481">
        <f t="shared" si="93"/>
        <v>147755.81602999999</v>
      </c>
      <c r="E716" s="2252"/>
      <c r="F716" s="2471">
        <v>2968.7154878456595</v>
      </c>
      <c r="G716" s="2252">
        <v>61694.624162211207</v>
      </c>
      <c r="H716" s="2471">
        <v>83092.476379943109</v>
      </c>
      <c r="I716" s="2499">
        <f t="shared" si="94"/>
        <v>147755.81602999999</v>
      </c>
      <c r="J716" s="2471"/>
      <c r="K716" s="2252"/>
      <c r="L716" s="2471"/>
      <c r="M716" s="2500">
        <f t="shared" si="96"/>
        <v>0</v>
      </c>
      <c r="N716" s="922"/>
      <c r="O716" s="922"/>
      <c r="P716" s="679"/>
      <c r="Q716" s="706"/>
      <c r="R716" s="109"/>
      <c r="S716" s="706"/>
      <c r="T716" s="708"/>
      <c r="U716" s="706"/>
      <c r="V716" s="706"/>
      <c r="W716" s="706"/>
      <c r="X716" s="706"/>
      <c r="Y716" s="706"/>
      <c r="Z716" s="706"/>
      <c r="AA716" s="706"/>
    </row>
    <row r="717" spans="2:27">
      <c r="B717" s="2460"/>
      <c r="C717" s="2498"/>
      <c r="D717" s="2481">
        <f t="shared" si="93"/>
        <v>0</v>
      </c>
      <c r="E717" s="2252"/>
      <c r="F717" s="2471"/>
      <c r="G717" s="2252"/>
      <c r="H717" s="2471"/>
      <c r="I717" s="2499">
        <f t="shared" si="94"/>
        <v>0</v>
      </c>
      <c r="J717" s="2471"/>
      <c r="K717" s="2252"/>
      <c r="L717" s="2471"/>
      <c r="M717" s="2500">
        <f t="shared" si="96"/>
        <v>0</v>
      </c>
      <c r="N717" s="922"/>
      <c r="O717" s="922"/>
      <c r="P717" s="679"/>
      <c r="Q717" s="706"/>
      <c r="R717" s="109"/>
      <c r="S717" s="706"/>
      <c r="T717" s="708"/>
      <c r="U717" s="706"/>
      <c r="V717" s="706"/>
      <c r="W717" s="706"/>
      <c r="X717" s="706"/>
      <c r="Y717" s="706"/>
      <c r="Z717" s="706"/>
      <c r="AA717" s="706"/>
    </row>
    <row r="718" spans="2:27" ht="12.75" customHeight="1">
      <c r="B718" s="2467" t="s">
        <v>353</v>
      </c>
      <c r="C718" s="2498">
        <v>4</v>
      </c>
      <c r="D718" s="2481">
        <f t="shared" si="93"/>
        <v>564326.18099999998</v>
      </c>
      <c r="E718" s="2252">
        <v>10109.84</v>
      </c>
      <c r="F718" s="2471">
        <v>21537.501</v>
      </c>
      <c r="G718" s="2252">
        <v>116543.03599999999</v>
      </c>
      <c r="H718" s="2471">
        <v>416135.80400000006</v>
      </c>
      <c r="I718" s="2499">
        <f t="shared" si="94"/>
        <v>554216.34100000001</v>
      </c>
      <c r="J718" s="2471"/>
      <c r="K718" s="2252"/>
      <c r="L718" s="2471"/>
      <c r="M718" s="2500">
        <f t="shared" si="96"/>
        <v>0</v>
      </c>
      <c r="N718" s="922"/>
      <c r="O718" s="922"/>
      <c r="P718" s="679"/>
      <c r="Q718" s="706"/>
      <c r="R718" s="179"/>
      <c r="S718" s="706"/>
      <c r="T718" s="708"/>
      <c r="U718" s="706"/>
      <c r="V718" s="706"/>
      <c r="W718" s="706"/>
      <c r="X718" s="706"/>
      <c r="Y718" s="706"/>
      <c r="Z718" s="706"/>
      <c r="AA718" s="706"/>
    </row>
    <row r="719" spans="2:27">
      <c r="B719" s="2460" t="s">
        <v>354</v>
      </c>
      <c r="C719" s="2498"/>
      <c r="D719" s="2481">
        <f t="shared" si="93"/>
        <v>0</v>
      </c>
      <c r="E719" s="2252"/>
      <c r="F719" s="2471"/>
      <c r="G719" s="2252"/>
      <c r="H719" s="2471"/>
      <c r="I719" s="2499">
        <f t="shared" si="94"/>
        <v>0</v>
      </c>
      <c r="J719" s="2471"/>
      <c r="K719" s="2252"/>
      <c r="L719" s="2471"/>
      <c r="M719" s="2500">
        <f t="shared" si="96"/>
        <v>0</v>
      </c>
      <c r="N719" s="922"/>
      <c r="O719" s="922"/>
      <c r="P719" s="679"/>
      <c r="Q719" s="706"/>
      <c r="R719" s="109"/>
      <c r="S719" s="706"/>
      <c r="T719" s="708"/>
      <c r="U719" s="706"/>
      <c r="V719" s="706"/>
      <c r="W719" s="706"/>
      <c r="X719" s="706"/>
      <c r="Y719" s="706"/>
      <c r="Z719" s="706"/>
      <c r="AA719" s="706"/>
    </row>
    <row r="720" spans="2:27">
      <c r="B720" s="2460" t="s">
        <v>355</v>
      </c>
      <c r="C720" s="2498"/>
      <c r="D720" s="2481">
        <f t="shared" si="93"/>
        <v>35904.386120000025</v>
      </c>
      <c r="E720" s="2252">
        <v>14895.463879999999</v>
      </c>
      <c r="F720" s="2471">
        <v>2036.3706694206601</v>
      </c>
      <c r="G720" s="2252">
        <v>4136.2703159245702</v>
      </c>
      <c r="H720" s="2471">
        <v>14836.281254654799</v>
      </c>
      <c r="I720" s="2499">
        <f t="shared" si="94"/>
        <v>21008.922240000029</v>
      </c>
      <c r="J720" s="2471"/>
      <c r="K720" s="2252"/>
      <c r="L720" s="2471"/>
      <c r="M720" s="2500">
        <f t="shared" si="96"/>
        <v>0</v>
      </c>
      <c r="N720" s="922"/>
      <c r="O720" s="922"/>
      <c r="P720" s="679"/>
      <c r="Q720" s="706"/>
      <c r="R720" s="109"/>
      <c r="S720" s="706"/>
      <c r="T720" s="708"/>
      <c r="U720" s="706"/>
      <c r="V720" s="706"/>
      <c r="W720" s="706"/>
      <c r="X720" s="706"/>
      <c r="Y720" s="706"/>
      <c r="Z720" s="706"/>
      <c r="AA720" s="706"/>
    </row>
    <row r="721" spans="1:27">
      <c r="B721" s="2466" t="s">
        <v>356</v>
      </c>
      <c r="C721" s="2501"/>
      <c r="D721" s="2481">
        <f t="shared" si="93"/>
        <v>600230.56712000014</v>
      </c>
      <c r="E721" s="2252">
        <f>SUM(E718:E720)</f>
        <v>25005.303879999999</v>
      </c>
      <c r="F721" s="2471">
        <f>SUM(F718:F720)</f>
        <v>23573.87166942066</v>
      </c>
      <c r="G721" s="2252">
        <f>SUM(G718:G720)</f>
        <v>120679.30631592456</v>
      </c>
      <c r="H721" s="2471">
        <f>SUM(H718:H720)</f>
        <v>430972.08525465487</v>
      </c>
      <c r="I721" s="2499">
        <f t="shared" si="94"/>
        <v>575225.26324000012</v>
      </c>
      <c r="J721" s="2471">
        <f>SUM(J718:J720)</f>
        <v>0</v>
      </c>
      <c r="K721" s="2252">
        <f>SUM(K718:K720)</f>
        <v>0</v>
      </c>
      <c r="L721" s="2471">
        <f>SUM(L718:L720)</f>
        <v>0</v>
      </c>
      <c r="M721" s="2500">
        <f t="shared" si="96"/>
        <v>0</v>
      </c>
      <c r="N721" s="927"/>
      <c r="O721" s="922"/>
      <c r="P721" s="679"/>
      <c r="Q721" s="706"/>
      <c r="R721" s="109"/>
      <c r="S721" s="706"/>
      <c r="T721" s="708"/>
      <c r="U721" s="706"/>
      <c r="V721" s="706"/>
      <c r="W721" s="706"/>
      <c r="X721" s="706"/>
      <c r="Y721" s="706"/>
      <c r="Z721" s="706"/>
      <c r="AA721" s="706"/>
    </row>
    <row r="722" spans="1:27">
      <c r="B722" s="2466"/>
      <c r="C722" s="2501"/>
      <c r="D722" s="2481">
        <f t="shared" si="93"/>
        <v>0</v>
      </c>
      <c r="E722" s="2252"/>
      <c r="F722" s="2471"/>
      <c r="G722" s="2252"/>
      <c r="H722" s="2471"/>
      <c r="I722" s="2499">
        <f t="shared" si="94"/>
        <v>0</v>
      </c>
      <c r="J722" s="2471"/>
      <c r="K722" s="2252"/>
      <c r="L722" s="2471"/>
      <c r="M722" s="2500">
        <f t="shared" si="96"/>
        <v>0</v>
      </c>
      <c r="P722" s="679"/>
      <c r="Q722" s="706"/>
      <c r="R722" s="109"/>
      <c r="S722" s="706"/>
      <c r="T722" s="708"/>
      <c r="U722" s="706"/>
      <c r="V722" s="706"/>
      <c r="W722" s="706"/>
      <c r="X722" s="706"/>
      <c r="Y722" s="706"/>
      <c r="Z722" s="706"/>
      <c r="AA722" s="706"/>
    </row>
    <row r="723" spans="1:27">
      <c r="B723" s="2466" t="s">
        <v>357</v>
      </c>
      <c r="C723" s="2501"/>
      <c r="D723" s="2481">
        <f t="shared" si="93"/>
        <v>128672.8340127188</v>
      </c>
      <c r="E723" s="2252">
        <f>E706-E714-E716-E721</f>
        <v>9197.800043826006</v>
      </c>
      <c r="F723" s="2471">
        <f>F706-F714-F716-F721</f>
        <v>32767.604783433577</v>
      </c>
      <c r="G723" s="2252">
        <f>G706-G714-G716-G721</f>
        <v>102648.37405785598</v>
      </c>
      <c r="H723" s="2471">
        <f>H706-H714-H716-H721</f>
        <v>-15940.944872396765</v>
      </c>
      <c r="I723" s="2499">
        <f t="shared" si="94"/>
        <v>119475.03396889279</v>
      </c>
      <c r="J723" s="2471">
        <f>J706-J714-J716-J721</f>
        <v>0</v>
      </c>
      <c r="K723" s="2252">
        <f>K706-K714-K716-K721</f>
        <v>0</v>
      </c>
      <c r="L723" s="2471">
        <f>L706-L714-L716-L721</f>
        <v>0</v>
      </c>
      <c r="M723" s="2500">
        <f t="shared" si="96"/>
        <v>0</v>
      </c>
      <c r="N723" s="927"/>
      <c r="O723" s="922"/>
      <c r="P723" s="679"/>
      <c r="Q723" s="706"/>
      <c r="R723" s="109"/>
      <c r="S723" s="706"/>
      <c r="T723" s="708"/>
      <c r="U723" s="706"/>
      <c r="V723" s="706"/>
      <c r="W723" s="706"/>
      <c r="X723" s="706"/>
      <c r="Y723" s="706"/>
      <c r="Z723" s="706"/>
      <c r="AA723" s="706"/>
    </row>
    <row r="724" spans="1:27">
      <c r="B724" s="2460" t="s">
        <v>358</v>
      </c>
      <c r="C724" s="2498"/>
      <c r="D724" s="2481">
        <f t="shared" si="93"/>
        <v>0</v>
      </c>
      <c r="E724" s="2252"/>
      <c r="F724" s="2471"/>
      <c r="G724" s="2252"/>
      <c r="H724" s="2471"/>
      <c r="I724" s="2499">
        <f t="shared" si="94"/>
        <v>0</v>
      </c>
      <c r="J724" s="2471"/>
      <c r="K724" s="2252"/>
      <c r="L724" s="2471"/>
      <c r="M724" s="2500">
        <f t="shared" si="96"/>
        <v>0</v>
      </c>
      <c r="N724" s="922"/>
      <c r="O724" s="922"/>
      <c r="P724" s="679"/>
      <c r="Q724" s="706"/>
      <c r="R724" s="109"/>
      <c r="S724" s="706"/>
      <c r="T724" s="708"/>
      <c r="U724" s="706"/>
      <c r="V724" s="706"/>
      <c r="W724" s="706"/>
      <c r="X724" s="706"/>
      <c r="Y724" s="706"/>
      <c r="Z724" s="706"/>
      <c r="AA724" s="706"/>
    </row>
    <row r="725" spans="1:27">
      <c r="B725" s="2460"/>
      <c r="C725" s="2498"/>
      <c r="D725" s="2481">
        <f t="shared" si="93"/>
        <v>0</v>
      </c>
      <c r="E725" s="2252"/>
      <c r="F725" s="2471"/>
      <c r="G725" s="2252"/>
      <c r="H725" s="2471"/>
      <c r="I725" s="2499">
        <f t="shared" si="94"/>
        <v>0</v>
      </c>
      <c r="J725" s="2471"/>
      <c r="K725" s="2252"/>
      <c r="L725" s="2471"/>
      <c r="M725" s="2500">
        <f t="shared" si="96"/>
        <v>0</v>
      </c>
      <c r="P725" s="679"/>
      <c r="Q725" s="706"/>
      <c r="R725" s="109"/>
      <c r="S725" s="706"/>
      <c r="T725" s="708"/>
      <c r="U725" s="706"/>
      <c r="V725" s="706"/>
      <c r="W725" s="706"/>
      <c r="X725" s="706"/>
      <c r="Y725" s="706"/>
      <c r="Z725" s="706"/>
      <c r="AA725" s="706"/>
    </row>
    <row r="726" spans="1:27" ht="13.5" thickBot="1">
      <c r="B726" s="1602" t="s">
        <v>359</v>
      </c>
      <c r="C726" s="1638"/>
      <c r="D726" s="1614">
        <f t="shared" si="93"/>
        <v>128672.8340127188</v>
      </c>
      <c r="E726" s="1624">
        <f>E723-E724</f>
        <v>9197.800043826006</v>
      </c>
      <c r="F726" s="1614">
        <f>F723-F724</f>
        <v>32767.604783433577</v>
      </c>
      <c r="G726" s="1624">
        <f>G723-G724</f>
        <v>102648.37405785598</v>
      </c>
      <c r="H726" s="1614">
        <f>H723-H724</f>
        <v>-15940.944872396765</v>
      </c>
      <c r="I726" s="1624">
        <f t="shared" si="94"/>
        <v>119475.03396889279</v>
      </c>
      <c r="J726" s="1614">
        <f>J723-J724</f>
        <v>0</v>
      </c>
      <c r="K726" s="1624">
        <f>K723-K724</f>
        <v>0</v>
      </c>
      <c r="L726" s="1614">
        <f>L723-L724</f>
        <v>0</v>
      </c>
      <c r="M726" s="1639">
        <f t="shared" si="96"/>
        <v>0</v>
      </c>
      <c r="N726" s="927"/>
      <c r="O726" s="922"/>
      <c r="P726" s="679"/>
      <c r="Q726" s="706"/>
      <c r="R726" s="109"/>
      <c r="S726" s="706"/>
      <c r="T726" s="708"/>
      <c r="U726" s="706"/>
      <c r="V726" s="706"/>
      <c r="W726" s="706"/>
      <c r="X726" s="706"/>
      <c r="Y726" s="706"/>
      <c r="Z726" s="706"/>
      <c r="AA726" s="706"/>
    </row>
    <row r="727" spans="1:27">
      <c r="R727" s="109"/>
    </row>
    <row r="728" spans="1:27">
      <c r="D728" s="684"/>
      <c r="E728" s="684"/>
      <c r="F728" s="684"/>
      <c r="G728" s="684"/>
      <c r="H728" s="684"/>
      <c r="I728" s="684"/>
      <c r="M728" s="673">
        <v>61</v>
      </c>
      <c r="R728" s="109"/>
    </row>
    <row r="729" spans="1:27">
      <c r="R729" s="109"/>
    </row>
    <row r="730" spans="1:27" ht="13.5" thickBot="1">
      <c r="R730" s="109"/>
    </row>
    <row r="731" spans="1:27" ht="13.5" thickBot="1">
      <c r="A731" s="1607" t="s">
        <v>195</v>
      </c>
      <c r="B731" s="1608" t="s">
        <v>117</v>
      </c>
      <c r="L731" s="3538" t="s">
        <v>251</v>
      </c>
      <c r="M731" s="3538"/>
      <c r="R731" s="109"/>
    </row>
    <row r="732" spans="1:27" ht="12.75" customHeight="1" thickBot="1">
      <c r="B732" s="3578" t="s">
        <v>117</v>
      </c>
      <c r="C732" s="3523" t="s">
        <v>325</v>
      </c>
      <c r="D732" s="3518" t="s">
        <v>255</v>
      </c>
      <c r="E732" s="3518" t="s">
        <v>326</v>
      </c>
      <c r="F732" s="3574" t="s">
        <v>258</v>
      </c>
      <c r="G732" s="3574"/>
      <c r="H732" s="3574"/>
      <c r="I732" s="3574"/>
      <c r="J732" s="3574"/>
      <c r="K732" s="3574"/>
      <c r="L732" s="3574"/>
      <c r="M732" s="3574"/>
      <c r="R732" s="109"/>
    </row>
    <row r="733" spans="1:27" ht="12.75" customHeight="1">
      <c r="B733" s="3571"/>
      <c r="C733" s="3524"/>
      <c r="D733" s="3520"/>
      <c r="E733" s="3520"/>
      <c r="F733" s="3575" t="s">
        <v>259</v>
      </c>
      <c r="G733" s="3576"/>
      <c r="H733" s="3576"/>
      <c r="I733" s="3577"/>
      <c r="J733" s="3574" t="s">
        <v>327</v>
      </c>
      <c r="K733" s="3574"/>
      <c r="L733" s="3574"/>
      <c r="M733" s="3574"/>
      <c r="R733" s="109"/>
    </row>
    <row r="734" spans="1:27" ht="53.25" customHeight="1" thickBot="1">
      <c r="B734" s="3571"/>
      <c r="C734" s="3524"/>
      <c r="D734" s="3519"/>
      <c r="E734" s="3519"/>
      <c r="F734" s="1339" t="s">
        <v>261</v>
      </c>
      <c r="G734" s="1339" t="s">
        <v>262</v>
      </c>
      <c r="H734" s="1339" t="s">
        <v>263</v>
      </c>
      <c r="I734" s="1339" t="s">
        <v>158</v>
      </c>
      <c r="J734" s="1588" t="s">
        <v>328</v>
      </c>
      <c r="K734" s="1588" t="s">
        <v>265</v>
      </c>
      <c r="L734" s="1588" t="s">
        <v>329</v>
      </c>
      <c r="M734" s="1588" t="s">
        <v>158</v>
      </c>
      <c r="R734" s="109"/>
    </row>
    <row r="735" spans="1:27" ht="12.75" customHeight="1" thickBot="1">
      <c r="B735" s="3571"/>
      <c r="C735" s="3524"/>
      <c r="D735" s="1589">
        <v>1</v>
      </c>
      <c r="E735" s="3518">
        <v>2</v>
      </c>
      <c r="F735" s="3518">
        <v>3</v>
      </c>
      <c r="G735" s="3518">
        <v>4</v>
      </c>
      <c r="H735" s="3518">
        <v>5</v>
      </c>
      <c r="I735" s="1589">
        <v>6</v>
      </c>
      <c r="J735" s="3518">
        <v>7</v>
      </c>
      <c r="K735" s="3518">
        <v>8</v>
      </c>
      <c r="L735" s="3518">
        <v>9</v>
      </c>
      <c r="M735" s="1589">
        <v>10</v>
      </c>
    </row>
    <row r="736" spans="1:27" ht="13.5" thickBot="1">
      <c r="B736" s="3572"/>
      <c r="C736" s="3525"/>
      <c r="D736" s="1590" t="s">
        <v>330</v>
      </c>
      <c r="E736" s="3519"/>
      <c r="F736" s="3519"/>
      <c r="G736" s="3519"/>
      <c r="H736" s="3519"/>
      <c r="I736" s="1590" t="s">
        <v>331</v>
      </c>
      <c r="J736" s="3520"/>
      <c r="K736" s="3519"/>
      <c r="L736" s="3519"/>
      <c r="M736" s="1590" t="s">
        <v>332</v>
      </c>
      <c r="N736" s="703"/>
      <c r="O736" s="703"/>
    </row>
    <row r="737" spans="2:27">
      <c r="B737" s="1609" t="s">
        <v>333</v>
      </c>
      <c r="C737" s="989"/>
      <c r="D737" s="1621">
        <f t="shared" ref="D737:D774" si="97">E737+I737+M737</f>
        <v>15406161</v>
      </c>
      <c r="E737" s="485">
        <v>0</v>
      </c>
      <c r="F737" s="526">
        <v>310113</v>
      </c>
      <c r="G737" s="485">
        <v>3629337</v>
      </c>
      <c r="H737" s="526">
        <v>11455471</v>
      </c>
      <c r="I737" s="981">
        <f t="shared" ref="I737:I774" si="98">F737+G737+H737</f>
        <v>15394921</v>
      </c>
      <c r="J737" s="963">
        <v>11240</v>
      </c>
      <c r="K737" s="982"/>
      <c r="L737" s="963"/>
      <c r="M737" s="1441">
        <f t="shared" ref="M737:M754" si="99">L737+K737+J737</f>
        <v>11240</v>
      </c>
      <c r="N737" s="922"/>
      <c r="O737" s="922"/>
      <c r="P737" s="679"/>
      <c r="Q737" s="706"/>
      <c r="R737" s="179"/>
      <c r="S737" s="706"/>
      <c r="T737" s="708"/>
      <c r="U737" s="706"/>
      <c r="V737" s="706"/>
      <c r="W737" s="706"/>
      <c r="X737" s="706"/>
      <c r="Y737" s="706"/>
      <c r="Z737" s="706"/>
      <c r="AA737" s="706"/>
    </row>
    <row r="738" spans="2:27" ht="15">
      <c r="B738" s="2468"/>
      <c r="C738" s="2492"/>
      <c r="D738" s="2493">
        <f t="shared" si="97"/>
        <v>0</v>
      </c>
      <c r="E738" s="990"/>
      <c r="F738" s="991"/>
      <c r="G738" s="990"/>
      <c r="H738" s="991"/>
      <c r="I738" s="2523">
        <f t="shared" si="98"/>
        <v>0</v>
      </c>
      <c r="J738" s="2471"/>
      <c r="K738" s="2252"/>
      <c r="L738" s="2471"/>
      <c r="M738" s="2249">
        <f t="shared" si="99"/>
        <v>0</v>
      </c>
      <c r="P738" s="679"/>
      <c r="Q738" s="706"/>
      <c r="R738" s="680"/>
      <c r="S738" s="706"/>
      <c r="T738" s="708"/>
      <c r="U738" s="706"/>
      <c r="V738" s="706"/>
      <c r="W738" s="706"/>
      <c r="X738" s="706"/>
      <c r="Y738" s="706"/>
      <c r="Z738" s="706"/>
      <c r="AA738" s="706"/>
    </row>
    <row r="739" spans="2:27">
      <c r="B739" s="2473" t="s">
        <v>334</v>
      </c>
      <c r="C739" s="2492"/>
      <c r="D739" s="2493">
        <f t="shared" si="97"/>
        <v>725809</v>
      </c>
      <c r="E739" s="2191">
        <v>0</v>
      </c>
      <c r="F739" s="2190">
        <v>13365</v>
      </c>
      <c r="G739" s="2191">
        <v>676655</v>
      </c>
      <c r="H739" s="2190">
        <v>34963</v>
      </c>
      <c r="I739" s="2523">
        <f t="shared" si="98"/>
        <v>724983</v>
      </c>
      <c r="J739" s="2471">
        <v>826</v>
      </c>
      <c r="K739" s="2252"/>
      <c r="L739" s="2471"/>
      <c r="M739" s="2249">
        <f t="shared" si="99"/>
        <v>826</v>
      </c>
      <c r="N739" s="922"/>
      <c r="O739" s="922"/>
      <c r="P739" s="679"/>
      <c r="Q739" s="706"/>
      <c r="R739" s="922"/>
      <c r="S739" s="706"/>
      <c r="T739" s="708"/>
      <c r="U739" s="706"/>
      <c r="V739" s="706"/>
      <c r="W739" s="706"/>
      <c r="X739" s="706"/>
      <c r="Y739" s="706"/>
      <c r="Z739" s="706"/>
      <c r="AA739" s="706"/>
    </row>
    <row r="740" spans="2:27">
      <c r="B740" s="2473"/>
      <c r="C740" s="2492"/>
      <c r="D740" s="2493">
        <f t="shared" si="97"/>
        <v>0</v>
      </c>
      <c r="E740" s="2191"/>
      <c r="F740" s="2190"/>
      <c r="G740" s="2191"/>
      <c r="H740" s="2190"/>
      <c r="I740" s="2523">
        <f t="shared" si="98"/>
        <v>0</v>
      </c>
      <c r="J740" s="2471"/>
      <c r="K740" s="2252"/>
      <c r="L740" s="2471"/>
      <c r="M740" s="2249">
        <f t="shared" si="99"/>
        <v>0</v>
      </c>
      <c r="P740" s="679"/>
      <c r="Q740" s="706"/>
      <c r="R740" s="680"/>
      <c r="S740" s="706"/>
      <c r="T740" s="708"/>
      <c r="U740" s="706"/>
      <c r="V740" s="706"/>
      <c r="W740" s="706"/>
      <c r="X740" s="706"/>
      <c r="Y740" s="706"/>
      <c r="Z740" s="706"/>
      <c r="AA740" s="706"/>
    </row>
    <row r="741" spans="2:27" ht="39.75" customHeight="1">
      <c r="B741" s="2474" t="s">
        <v>335</v>
      </c>
      <c r="C741" s="2492"/>
      <c r="D741" s="2493">
        <f t="shared" si="97"/>
        <v>0</v>
      </c>
      <c r="E741" s="2191"/>
      <c r="F741" s="2190"/>
      <c r="G741" s="2191"/>
      <c r="H741" s="2190"/>
      <c r="I741" s="2523">
        <f t="shared" si="98"/>
        <v>0</v>
      </c>
      <c r="J741" s="2471"/>
      <c r="K741" s="2252"/>
      <c r="L741" s="2471"/>
      <c r="M741" s="2249">
        <f t="shared" si="99"/>
        <v>0</v>
      </c>
      <c r="N741" s="922"/>
      <c r="O741" s="922"/>
      <c r="P741" s="679"/>
      <c r="Q741" s="706"/>
      <c r="R741" s="922"/>
      <c r="S741" s="706"/>
      <c r="T741" s="708"/>
      <c r="U741" s="706"/>
      <c r="V741" s="706"/>
      <c r="W741" s="706"/>
      <c r="X741" s="706"/>
      <c r="Y741" s="706"/>
      <c r="Z741" s="706"/>
      <c r="AA741" s="706"/>
    </row>
    <row r="742" spans="2:27">
      <c r="B742" s="2468"/>
      <c r="C742" s="2492"/>
      <c r="D742" s="2493">
        <f t="shared" si="97"/>
        <v>0</v>
      </c>
      <c r="E742" s="2191"/>
      <c r="F742" s="2190"/>
      <c r="G742" s="2191"/>
      <c r="H742" s="2190"/>
      <c r="I742" s="2523">
        <f t="shared" si="98"/>
        <v>0</v>
      </c>
      <c r="J742" s="2471"/>
      <c r="K742" s="2252"/>
      <c r="L742" s="2471"/>
      <c r="M742" s="2249">
        <f t="shared" si="99"/>
        <v>0</v>
      </c>
      <c r="P742" s="679"/>
      <c r="Q742" s="706"/>
      <c r="R742" s="680"/>
      <c r="S742" s="706"/>
      <c r="T742" s="708"/>
      <c r="U742" s="706"/>
      <c r="V742" s="706"/>
      <c r="W742" s="706"/>
      <c r="X742" s="706"/>
      <c r="Y742" s="706"/>
      <c r="Z742" s="706"/>
      <c r="AA742" s="706"/>
    </row>
    <row r="743" spans="2:27">
      <c r="B743" s="2475" t="s">
        <v>336</v>
      </c>
      <c r="C743" s="2494"/>
      <c r="D743" s="2493">
        <f t="shared" si="97"/>
        <v>14680352</v>
      </c>
      <c r="E743" s="2471">
        <f>E737-E739+E741</f>
        <v>0</v>
      </c>
      <c r="F743" s="2252">
        <f>F737-F739+F741</f>
        <v>296748</v>
      </c>
      <c r="G743" s="2471">
        <f>G737-G739+G741</f>
        <v>2952682</v>
      </c>
      <c r="H743" s="2252">
        <f>H737-H739+H741</f>
        <v>11420508</v>
      </c>
      <c r="I743" s="2523">
        <f t="shared" si="98"/>
        <v>14669938</v>
      </c>
      <c r="J743" s="2471">
        <f>J737-J739+J741</f>
        <v>10414</v>
      </c>
      <c r="K743" s="2252">
        <f>K737-K739+K741</f>
        <v>0</v>
      </c>
      <c r="L743" s="2471">
        <f>L737-L739+L741</f>
        <v>0</v>
      </c>
      <c r="M743" s="2249">
        <f t="shared" si="99"/>
        <v>10414</v>
      </c>
      <c r="N743" s="927"/>
      <c r="O743" s="922"/>
      <c r="P743" s="679"/>
      <c r="Q743" s="706"/>
      <c r="R743" s="927"/>
      <c r="S743" s="706"/>
      <c r="T743" s="708"/>
      <c r="U743" s="706"/>
      <c r="V743" s="706"/>
      <c r="W743" s="706"/>
      <c r="X743" s="706"/>
      <c r="Y743" s="706"/>
      <c r="Z743" s="706"/>
      <c r="AA743" s="706"/>
    </row>
    <row r="744" spans="2:27">
      <c r="B744" s="2475"/>
      <c r="C744" s="2494"/>
      <c r="D744" s="2493">
        <f t="shared" si="97"/>
        <v>0</v>
      </c>
      <c r="E744" s="2471"/>
      <c r="F744" s="2252"/>
      <c r="G744" s="2471"/>
      <c r="H744" s="2252"/>
      <c r="I744" s="2523">
        <f t="shared" si="98"/>
        <v>0</v>
      </c>
      <c r="J744" s="2471"/>
      <c r="K744" s="2252"/>
      <c r="L744" s="2471"/>
      <c r="M744" s="2249">
        <f t="shared" si="99"/>
        <v>0</v>
      </c>
      <c r="P744" s="679"/>
      <c r="Q744" s="706"/>
      <c r="R744" s="680"/>
      <c r="S744" s="706"/>
      <c r="T744" s="708"/>
      <c r="U744" s="706"/>
      <c r="V744" s="706"/>
      <c r="W744" s="706"/>
      <c r="X744" s="706"/>
      <c r="Y744" s="706"/>
      <c r="Z744" s="706"/>
      <c r="AA744" s="706"/>
    </row>
    <row r="745" spans="2:27">
      <c r="B745" s="2475" t="s">
        <v>337</v>
      </c>
      <c r="C745" s="2494"/>
      <c r="D745" s="2493">
        <f t="shared" si="97"/>
        <v>6133426</v>
      </c>
      <c r="E745" s="2471">
        <f>SUM(E746:E750)</f>
        <v>1100239</v>
      </c>
      <c r="F745" s="2252">
        <f>SUM(F746:F750)</f>
        <v>1077546</v>
      </c>
      <c r="G745" s="2471">
        <f>SUM(G746:G750)</f>
        <v>652277</v>
      </c>
      <c r="H745" s="2252">
        <f>SUM(H746:H750)</f>
        <v>3144960</v>
      </c>
      <c r="I745" s="2523">
        <f t="shared" si="98"/>
        <v>4874783</v>
      </c>
      <c r="J745" s="2471">
        <f>SUM(J746:J750)</f>
        <v>70992</v>
      </c>
      <c r="K745" s="2252">
        <f>SUM(K746:K750)</f>
        <v>0</v>
      </c>
      <c r="L745" s="2471">
        <f>SUM(L746:L750)</f>
        <v>87412</v>
      </c>
      <c r="M745" s="2249">
        <f t="shared" si="99"/>
        <v>158404</v>
      </c>
      <c r="N745" s="927"/>
      <c r="O745" s="922"/>
      <c r="P745" s="679"/>
      <c r="Q745" s="706"/>
      <c r="R745" s="927"/>
      <c r="S745" s="706"/>
      <c r="T745" s="708"/>
      <c r="U745" s="706"/>
      <c r="V745" s="706"/>
      <c r="W745" s="706"/>
      <c r="X745" s="706"/>
      <c r="Y745" s="706"/>
      <c r="Z745" s="706"/>
      <c r="AA745" s="706"/>
    </row>
    <row r="746" spans="2:27">
      <c r="B746" s="2468" t="s">
        <v>338</v>
      </c>
      <c r="C746" s="2492">
        <v>1</v>
      </c>
      <c r="D746" s="2493">
        <f t="shared" si="97"/>
        <v>4999295</v>
      </c>
      <c r="E746" s="2471">
        <v>878590</v>
      </c>
      <c r="F746" s="2252">
        <v>897948</v>
      </c>
      <c r="G746" s="2471">
        <v>561656</v>
      </c>
      <c r="H746" s="2252">
        <v>2609849</v>
      </c>
      <c r="I746" s="2523">
        <f t="shared" si="98"/>
        <v>4069453</v>
      </c>
      <c r="J746" s="2471">
        <v>14281</v>
      </c>
      <c r="K746" s="2252"/>
      <c r="L746" s="2471">
        <v>36971</v>
      </c>
      <c r="M746" s="2249">
        <f t="shared" si="99"/>
        <v>51252</v>
      </c>
      <c r="N746" s="922"/>
      <c r="O746" s="922"/>
      <c r="P746" s="679"/>
      <c r="Q746" s="706"/>
      <c r="R746" s="922"/>
      <c r="S746" s="706"/>
      <c r="T746" s="708"/>
      <c r="U746" s="706"/>
      <c r="V746" s="706"/>
      <c r="W746" s="706"/>
      <c r="X746" s="706"/>
      <c r="Y746" s="706"/>
      <c r="Z746" s="706"/>
      <c r="AA746" s="706"/>
    </row>
    <row r="747" spans="2:27">
      <c r="B747" s="2468" t="s">
        <v>339</v>
      </c>
      <c r="C747" s="2492">
        <v>2</v>
      </c>
      <c r="D747" s="2493">
        <f t="shared" si="97"/>
        <v>0</v>
      </c>
      <c r="E747" s="2471">
        <v>0</v>
      </c>
      <c r="F747" s="2252">
        <v>0</v>
      </c>
      <c r="G747" s="2471">
        <v>0</v>
      </c>
      <c r="H747" s="2252">
        <v>0</v>
      </c>
      <c r="I747" s="2523">
        <f t="shared" si="98"/>
        <v>0</v>
      </c>
      <c r="J747" s="2471">
        <v>0</v>
      </c>
      <c r="K747" s="2252"/>
      <c r="L747" s="2471">
        <v>0</v>
      </c>
      <c r="M747" s="2249">
        <f t="shared" si="99"/>
        <v>0</v>
      </c>
      <c r="N747" s="922"/>
      <c r="O747" s="922"/>
      <c r="P747" s="679"/>
      <c r="Q747" s="706"/>
      <c r="R747" s="922"/>
      <c r="S747" s="706"/>
      <c r="T747" s="708"/>
      <c r="U747" s="706"/>
      <c r="V747" s="706"/>
      <c r="W747" s="706"/>
      <c r="X747" s="706"/>
      <c r="Y747" s="706"/>
      <c r="Z747" s="706"/>
      <c r="AA747" s="706"/>
    </row>
    <row r="748" spans="2:27">
      <c r="B748" s="2468" t="s">
        <v>340</v>
      </c>
      <c r="C748" s="2492"/>
      <c r="D748" s="2493">
        <f t="shared" si="97"/>
        <v>431225</v>
      </c>
      <c r="E748" s="2471">
        <v>55125</v>
      </c>
      <c r="F748" s="2252">
        <v>122152</v>
      </c>
      <c r="G748" s="2471">
        <v>49508</v>
      </c>
      <c r="H748" s="2252">
        <v>141950</v>
      </c>
      <c r="I748" s="2523">
        <f t="shared" si="98"/>
        <v>313610</v>
      </c>
      <c r="J748" s="2471">
        <v>26154</v>
      </c>
      <c r="K748" s="2252"/>
      <c r="L748" s="2471">
        <v>36336</v>
      </c>
      <c r="M748" s="2249">
        <f t="shared" si="99"/>
        <v>62490</v>
      </c>
      <c r="N748" s="922"/>
      <c r="O748" s="922"/>
      <c r="P748" s="679"/>
      <c r="Q748" s="706"/>
      <c r="R748" s="922"/>
      <c r="S748" s="706"/>
      <c r="T748" s="708"/>
      <c r="U748" s="706"/>
      <c r="V748" s="706"/>
      <c r="W748" s="706"/>
      <c r="X748" s="706"/>
      <c r="Y748" s="706"/>
      <c r="Z748" s="706"/>
      <c r="AA748" s="706"/>
    </row>
    <row r="749" spans="2:27">
      <c r="B749" s="2468" t="s">
        <v>341</v>
      </c>
      <c r="C749" s="2492"/>
      <c r="D749" s="2493">
        <f t="shared" si="97"/>
        <v>235848</v>
      </c>
      <c r="E749" s="2471">
        <v>3829</v>
      </c>
      <c r="F749" s="2252">
        <v>32056</v>
      </c>
      <c r="G749" s="2471">
        <v>21920</v>
      </c>
      <c r="H749" s="2252">
        <v>164467</v>
      </c>
      <c r="I749" s="2523">
        <f t="shared" si="98"/>
        <v>218443</v>
      </c>
      <c r="J749" s="2471">
        <v>-529</v>
      </c>
      <c r="K749" s="2252"/>
      <c r="L749" s="2471">
        <v>14105</v>
      </c>
      <c r="M749" s="2249">
        <f t="shared" si="99"/>
        <v>13576</v>
      </c>
      <c r="N749" s="922"/>
      <c r="O749" s="922"/>
      <c r="P749" s="679"/>
      <c r="Q749" s="706"/>
      <c r="R749" s="922"/>
      <c r="S749" s="706"/>
      <c r="T749" s="708"/>
      <c r="U749" s="706"/>
      <c r="V749" s="706"/>
      <c r="W749" s="706"/>
      <c r="X749" s="706"/>
      <c r="Y749" s="706"/>
      <c r="Z749" s="706"/>
      <c r="AA749" s="706"/>
    </row>
    <row r="750" spans="2:27">
      <c r="B750" s="2468" t="s">
        <v>342</v>
      </c>
      <c r="C750" s="2492">
        <v>3</v>
      </c>
      <c r="D750" s="2493">
        <f t="shared" si="97"/>
        <v>467058</v>
      </c>
      <c r="E750" s="2471">
        <v>162695</v>
      </c>
      <c r="F750" s="2252">
        <v>25390</v>
      </c>
      <c r="G750" s="2471">
        <v>19193</v>
      </c>
      <c r="H750" s="2252">
        <v>228694</v>
      </c>
      <c r="I750" s="2523">
        <f t="shared" si="98"/>
        <v>273277</v>
      </c>
      <c r="J750" s="2471">
        <v>31086</v>
      </c>
      <c r="K750" s="2252"/>
      <c r="L750" s="2471"/>
      <c r="M750" s="2249">
        <f t="shared" si="99"/>
        <v>31086</v>
      </c>
      <c r="N750" s="922"/>
      <c r="O750" s="922"/>
      <c r="P750" s="679"/>
      <c r="Q750" s="706"/>
      <c r="R750" s="922"/>
      <c r="S750" s="706"/>
      <c r="T750" s="708"/>
      <c r="U750" s="706"/>
      <c r="V750" s="706"/>
      <c r="W750" s="706"/>
      <c r="X750" s="706"/>
      <c r="Y750" s="706"/>
      <c r="Z750" s="706"/>
      <c r="AA750" s="706"/>
    </row>
    <row r="751" spans="2:27">
      <c r="B751" s="2468" t="s">
        <v>343</v>
      </c>
      <c r="C751" s="2492"/>
      <c r="D751" s="2493">
        <f t="shared" si="97"/>
        <v>0</v>
      </c>
      <c r="E751" s="2471"/>
      <c r="F751" s="2252"/>
      <c r="G751" s="2471"/>
      <c r="H751" s="2252"/>
      <c r="I751" s="2523">
        <f t="shared" si="98"/>
        <v>0</v>
      </c>
      <c r="J751" s="2471"/>
      <c r="K751" s="2252"/>
      <c r="L751" s="2471"/>
      <c r="M751" s="2249">
        <f t="shared" si="99"/>
        <v>0</v>
      </c>
      <c r="P751" s="679"/>
      <c r="Q751" s="706"/>
      <c r="R751" s="680"/>
      <c r="S751" s="706"/>
      <c r="T751" s="708"/>
      <c r="U751" s="706"/>
      <c r="V751" s="706"/>
      <c r="W751" s="706"/>
      <c r="X751" s="706"/>
      <c r="Y751" s="706"/>
      <c r="Z751" s="706"/>
      <c r="AA751" s="706"/>
    </row>
    <row r="752" spans="2:27">
      <c r="B752" s="2468" t="s">
        <v>343</v>
      </c>
      <c r="C752" s="2492"/>
      <c r="D752" s="2493">
        <f t="shared" si="97"/>
        <v>0</v>
      </c>
      <c r="E752" s="2471"/>
      <c r="F752" s="2252"/>
      <c r="G752" s="2471"/>
      <c r="H752" s="2252"/>
      <c r="I752" s="2523">
        <f t="shared" si="98"/>
        <v>0</v>
      </c>
      <c r="J752" s="2471"/>
      <c r="K752" s="2252"/>
      <c r="L752" s="2471"/>
      <c r="M752" s="2249">
        <f t="shared" si="99"/>
        <v>0</v>
      </c>
      <c r="P752" s="679"/>
      <c r="Q752" s="706"/>
      <c r="R752" s="680"/>
      <c r="S752" s="706"/>
      <c r="T752" s="708"/>
      <c r="U752" s="706"/>
      <c r="V752" s="706"/>
      <c r="W752" s="706"/>
      <c r="X752" s="706"/>
      <c r="Y752" s="706"/>
      <c r="Z752" s="706"/>
      <c r="AA752" s="706"/>
    </row>
    <row r="753" spans="2:27">
      <c r="B753" s="2468"/>
      <c r="C753" s="2492"/>
      <c r="D753" s="2493">
        <f t="shared" si="97"/>
        <v>0</v>
      </c>
      <c r="E753" s="2471"/>
      <c r="F753" s="2252"/>
      <c r="G753" s="2471"/>
      <c r="H753" s="2252"/>
      <c r="I753" s="2523">
        <f t="shared" si="98"/>
        <v>0</v>
      </c>
      <c r="J753" s="2471"/>
      <c r="K753" s="2252"/>
      <c r="L753" s="2471"/>
      <c r="M753" s="2249">
        <f t="shared" si="99"/>
        <v>0</v>
      </c>
      <c r="P753" s="679"/>
      <c r="Q753" s="706"/>
      <c r="R753" s="680"/>
      <c r="S753" s="706"/>
      <c r="T753" s="708"/>
      <c r="U753" s="706"/>
      <c r="V753" s="706"/>
      <c r="W753" s="706"/>
      <c r="X753" s="706"/>
      <c r="Y753" s="706"/>
      <c r="Z753" s="706"/>
      <c r="AA753" s="706"/>
    </row>
    <row r="754" spans="2:27">
      <c r="B754" s="2478" t="s">
        <v>344</v>
      </c>
      <c r="C754" s="2494"/>
      <c r="D754" s="2493">
        <f t="shared" si="97"/>
        <v>20813778</v>
      </c>
      <c r="E754" s="2471">
        <f>E743+E745</f>
        <v>1100239</v>
      </c>
      <c r="F754" s="2252">
        <f>F743+F745</f>
        <v>1374294</v>
      </c>
      <c r="G754" s="2471">
        <f>G743+G745</f>
        <v>3604959</v>
      </c>
      <c r="H754" s="2252">
        <f>H743+H745</f>
        <v>14565468</v>
      </c>
      <c r="I754" s="2523">
        <f t="shared" si="98"/>
        <v>19544721</v>
      </c>
      <c r="J754" s="2471">
        <f>J743+J745</f>
        <v>81406</v>
      </c>
      <c r="K754" s="2252">
        <f>K743+K745</f>
        <v>0</v>
      </c>
      <c r="L754" s="2471">
        <f>L743+L745</f>
        <v>87412</v>
      </c>
      <c r="M754" s="2249">
        <f t="shared" si="99"/>
        <v>168818</v>
      </c>
      <c r="N754" s="927"/>
      <c r="O754" s="922"/>
      <c r="P754" s="679"/>
      <c r="Q754" s="706"/>
      <c r="R754" s="927"/>
      <c r="S754" s="706"/>
      <c r="T754" s="708"/>
      <c r="U754" s="706"/>
      <c r="V754" s="706"/>
      <c r="W754" s="706"/>
      <c r="X754" s="706"/>
      <c r="Y754" s="706"/>
      <c r="Z754" s="706"/>
      <c r="AA754" s="706"/>
    </row>
    <row r="755" spans="2:27">
      <c r="B755" s="2478"/>
      <c r="C755" s="2494"/>
      <c r="D755" s="2493">
        <f t="shared" si="97"/>
        <v>0</v>
      </c>
      <c r="E755" s="2471"/>
      <c r="F755" s="2252"/>
      <c r="G755" s="2471"/>
      <c r="H755" s="2252"/>
      <c r="I755" s="2523">
        <f t="shared" si="98"/>
        <v>0</v>
      </c>
      <c r="J755" s="2471"/>
      <c r="K755" s="2252"/>
      <c r="L755" s="2471"/>
      <c r="M755" s="2249"/>
      <c r="P755" s="679"/>
      <c r="Q755" s="706"/>
      <c r="R755" s="680"/>
      <c r="S755" s="706"/>
      <c r="T755" s="708"/>
      <c r="U755" s="706"/>
      <c r="V755" s="706"/>
      <c r="W755" s="706"/>
      <c r="X755" s="706"/>
      <c r="Y755" s="706"/>
      <c r="Z755" s="706"/>
      <c r="AA755" s="706"/>
    </row>
    <row r="756" spans="2:27">
      <c r="B756" s="2468" t="s">
        <v>345</v>
      </c>
      <c r="C756" s="2492"/>
      <c r="D756" s="2493">
        <f t="shared" si="97"/>
        <v>5014303</v>
      </c>
      <c r="E756" s="2471">
        <v>0</v>
      </c>
      <c r="F756" s="2252">
        <v>1598604</v>
      </c>
      <c r="G756" s="2471">
        <v>1240371</v>
      </c>
      <c r="H756" s="2252">
        <v>2233444</v>
      </c>
      <c r="I756" s="2523">
        <f t="shared" si="98"/>
        <v>5072419</v>
      </c>
      <c r="J756" s="2471">
        <v>-58116</v>
      </c>
      <c r="K756" s="2252"/>
      <c r="L756" s="2471"/>
      <c r="M756" s="2249">
        <f t="shared" ref="M756:M774" si="100">L756+K756+J756</f>
        <v>-58116</v>
      </c>
      <c r="N756" s="922"/>
      <c r="O756" s="922"/>
      <c r="P756" s="679"/>
      <c r="Q756" s="706"/>
      <c r="R756" s="922"/>
      <c r="S756" s="706"/>
      <c r="T756" s="708"/>
      <c r="U756" s="706"/>
      <c r="V756" s="706"/>
      <c r="W756" s="706"/>
      <c r="X756" s="706"/>
      <c r="Y756" s="706"/>
      <c r="Z756" s="706"/>
      <c r="AA756" s="706"/>
    </row>
    <row r="757" spans="2:27">
      <c r="B757" s="2468" t="s">
        <v>346</v>
      </c>
      <c r="C757" s="2492"/>
      <c r="D757" s="2493">
        <f t="shared" si="97"/>
        <v>-12365</v>
      </c>
      <c r="E757" s="2471">
        <v>0</v>
      </c>
      <c r="F757" s="2252">
        <v>-1</v>
      </c>
      <c r="G757" s="2471">
        <v>-1811</v>
      </c>
      <c r="H757" s="2252">
        <v>-10553</v>
      </c>
      <c r="I757" s="2523">
        <f t="shared" si="98"/>
        <v>-12365</v>
      </c>
      <c r="J757" s="2471">
        <v>0</v>
      </c>
      <c r="K757" s="2252"/>
      <c r="L757" s="2471"/>
      <c r="M757" s="2249">
        <f t="shared" si="100"/>
        <v>0</v>
      </c>
      <c r="N757" s="922"/>
      <c r="O757" s="922"/>
      <c r="P757" s="679"/>
      <c r="Q757" s="706"/>
      <c r="R757" s="922"/>
      <c r="S757" s="706"/>
      <c r="T757" s="708"/>
      <c r="U757" s="706"/>
      <c r="V757" s="706"/>
      <c r="W757" s="706"/>
      <c r="X757" s="706"/>
      <c r="Y757" s="706"/>
      <c r="Z757" s="706"/>
      <c r="AA757" s="706"/>
    </row>
    <row r="758" spans="2:27">
      <c r="B758" s="2468" t="s">
        <v>347</v>
      </c>
      <c r="C758" s="2492"/>
      <c r="D758" s="2493">
        <f t="shared" si="97"/>
        <v>85044</v>
      </c>
      <c r="E758" s="2471">
        <v>0</v>
      </c>
      <c r="F758" s="2252">
        <v>37434</v>
      </c>
      <c r="G758" s="2471">
        <v>557313</v>
      </c>
      <c r="H758" s="2252">
        <v>-570996</v>
      </c>
      <c r="I758" s="2523">
        <f t="shared" si="98"/>
        <v>23751</v>
      </c>
      <c r="J758" s="2471">
        <v>61293</v>
      </c>
      <c r="K758" s="2252"/>
      <c r="L758" s="2471"/>
      <c r="M758" s="2249">
        <f t="shared" si="100"/>
        <v>61293</v>
      </c>
      <c r="N758" s="922"/>
      <c r="O758" s="922"/>
      <c r="P758" s="679"/>
      <c r="Q758" s="706"/>
      <c r="R758" s="922"/>
      <c r="S758" s="706"/>
      <c r="T758" s="708"/>
      <c r="U758" s="706"/>
      <c r="V758" s="706"/>
      <c r="W758" s="706"/>
      <c r="X758" s="706"/>
      <c r="Y758" s="706"/>
      <c r="Z758" s="706"/>
      <c r="AA758" s="706"/>
    </row>
    <row r="759" spans="2:27" ht="12.75" customHeight="1">
      <c r="B759" s="2479" t="s">
        <v>348</v>
      </c>
      <c r="C759" s="2492"/>
      <c r="D759" s="2493">
        <f t="shared" si="97"/>
        <v>-477435</v>
      </c>
      <c r="E759" s="2471">
        <v>0</v>
      </c>
      <c r="F759" s="2252">
        <v>-4569</v>
      </c>
      <c r="G759" s="2471">
        <v>-474663</v>
      </c>
      <c r="H759" s="2252">
        <v>2180</v>
      </c>
      <c r="I759" s="2523">
        <f t="shared" si="98"/>
        <v>-477052</v>
      </c>
      <c r="J759" s="2471">
        <v>-383</v>
      </c>
      <c r="K759" s="2252"/>
      <c r="L759" s="2471"/>
      <c r="M759" s="2249">
        <f t="shared" si="100"/>
        <v>-383</v>
      </c>
      <c r="N759" s="922"/>
      <c r="O759" s="922"/>
      <c r="P759" s="679"/>
      <c r="Q759" s="706"/>
      <c r="R759" s="922"/>
      <c r="S759" s="706"/>
      <c r="T759" s="708"/>
      <c r="U759" s="706"/>
      <c r="V759" s="706"/>
      <c r="W759" s="706"/>
      <c r="X759" s="706"/>
      <c r="Y759" s="706"/>
      <c r="Z759" s="706"/>
      <c r="AA759" s="706"/>
    </row>
    <row r="760" spans="2:27">
      <c r="B760" s="2468" t="s">
        <v>349</v>
      </c>
      <c r="C760" s="2492"/>
      <c r="D760" s="2493">
        <f t="shared" si="97"/>
        <v>7076481</v>
      </c>
      <c r="E760" s="2471">
        <v>0</v>
      </c>
      <c r="F760" s="2252">
        <v>-329785</v>
      </c>
      <c r="G760" s="2471">
        <v>-280737</v>
      </c>
      <c r="H760" s="2252">
        <v>7535957</v>
      </c>
      <c r="I760" s="2523">
        <f t="shared" si="98"/>
        <v>6925435</v>
      </c>
      <c r="J760" s="2471">
        <v>63634</v>
      </c>
      <c r="K760" s="2252"/>
      <c r="L760" s="2471">
        <v>87412</v>
      </c>
      <c r="M760" s="2249">
        <f t="shared" si="100"/>
        <v>151046</v>
      </c>
      <c r="N760" s="922"/>
      <c r="O760" s="922"/>
      <c r="P760" s="679"/>
      <c r="Q760" s="706"/>
      <c r="R760" s="922"/>
      <c r="S760" s="706"/>
      <c r="T760" s="708"/>
      <c r="U760" s="706"/>
      <c r="V760" s="706"/>
      <c r="W760" s="706"/>
      <c r="X760" s="706"/>
      <c r="Y760" s="706"/>
      <c r="Z760" s="706"/>
      <c r="AA760" s="706"/>
    </row>
    <row r="761" spans="2:27" ht="51">
      <c r="B761" s="2479" t="s">
        <v>350</v>
      </c>
      <c r="C761" s="2492"/>
      <c r="D761" s="2493">
        <f t="shared" si="97"/>
        <v>0</v>
      </c>
      <c r="E761" s="2471">
        <v>0</v>
      </c>
      <c r="F761" s="2252">
        <v>0</v>
      </c>
      <c r="G761" s="2471">
        <v>0</v>
      </c>
      <c r="H761" s="2252">
        <v>0</v>
      </c>
      <c r="I761" s="2523">
        <f t="shared" si="98"/>
        <v>0</v>
      </c>
      <c r="J761" s="2471">
        <v>0</v>
      </c>
      <c r="K761" s="2252"/>
      <c r="L761" s="2471"/>
      <c r="M761" s="2249">
        <f t="shared" si="100"/>
        <v>0</v>
      </c>
      <c r="N761" s="922"/>
      <c r="O761" s="922"/>
      <c r="P761" s="679"/>
      <c r="Q761" s="706"/>
      <c r="R761" s="922"/>
      <c r="S761" s="706"/>
      <c r="T761" s="708"/>
      <c r="U761" s="706"/>
      <c r="V761" s="706"/>
      <c r="W761" s="706"/>
      <c r="X761" s="706"/>
      <c r="Y761" s="706"/>
      <c r="Z761" s="706"/>
      <c r="AA761" s="706"/>
    </row>
    <row r="762" spans="2:27">
      <c r="B762" s="2478" t="s">
        <v>351</v>
      </c>
      <c r="C762" s="2494"/>
      <c r="D762" s="2493">
        <f t="shared" si="97"/>
        <v>11686028</v>
      </c>
      <c r="E762" s="2471">
        <f>SUM(E756:E761)</f>
        <v>0</v>
      </c>
      <c r="F762" s="2252">
        <f>SUM(F756:F761)</f>
        <v>1301683</v>
      </c>
      <c r="G762" s="2471">
        <f>SUM(G756:G761)</f>
        <v>1040473</v>
      </c>
      <c r="H762" s="2252">
        <f>SUM(H756:H761)</f>
        <v>9190032</v>
      </c>
      <c r="I762" s="2523">
        <f t="shared" si="98"/>
        <v>11532188</v>
      </c>
      <c r="J762" s="2471">
        <f>SUM(J756:J761)</f>
        <v>66428</v>
      </c>
      <c r="K762" s="2252">
        <f>SUM(K756:K761)</f>
        <v>0</v>
      </c>
      <c r="L762" s="2471">
        <f>SUM(L756:L761)</f>
        <v>87412</v>
      </c>
      <c r="M762" s="2249">
        <f t="shared" si="100"/>
        <v>153840</v>
      </c>
      <c r="N762" s="927"/>
      <c r="O762" s="922"/>
      <c r="P762" s="679"/>
      <c r="Q762" s="706"/>
      <c r="R762" s="927"/>
      <c r="S762" s="706"/>
      <c r="T762" s="708"/>
      <c r="U762" s="706"/>
      <c r="V762" s="706"/>
      <c r="W762" s="706"/>
      <c r="X762" s="706"/>
      <c r="Y762" s="706"/>
      <c r="Z762" s="706"/>
      <c r="AA762" s="706"/>
    </row>
    <row r="763" spans="2:27">
      <c r="B763" s="2468"/>
      <c r="C763" s="2492"/>
      <c r="D763" s="2493">
        <f t="shared" si="97"/>
        <v>0</v>
      </c>
      <c r="E763" s="2471"/>
      <c r="F763" s="2252"/>
      <c r="G763" s="2471"/>
      <c r="H763" s="2252"/>
      <c r="I763" s="2523">
        <f t="shared" si="98"/>
        <v>0</v>
      </c>
      <c r="J763" s="2471"/>
      <c r="K763" s="2252"/>
      <c r="L763" s="2471"/>
      <c r="M763" s="2249">
        <f t="shared" si="100"/>
        <v>0</v>
      </c>
      <c r="O763" s="922"/>
      <c r="P763" s="679"/>
      <c r="Q763" s="706"/>
      <c r="R763" s="680"/>
      <c r="S763" s="706"/>
      <c r="T763" s="708"/>
      <c r="U763" s="706"/>
      <c r="V763" s="706"/>
      <c r="W763" s="706"/>
      <c r="X763" s="706"/>
      <c r="Y763" s="706"/>
      <c r="Z763" s="706"/>
      <c r="AA763" s="706"/>
    </row>
    <row r="764" spans="2:27" ht="51">
      <c r="B764" s="2479" t="s">
        <v>352</v>
      </c>
      <c r="C764" s="2492"/>
      <c r="D764" s="2493">
        <f t="shared" si="97"/>
        <v>2844018</v>
      </c>
      <c r="E764" s="2471">
        <v>0</v>
      </c>
      <c r="F764" s="2252">
        <v>14381</v>
      </c>
      <c r="G764" s="2471">
        <v>707146</v>
      </c>
      <c r="H764" s="2252">
        <v>2122318</v>
      </c>
      <c r="I764" s="2523">
        <f t="shared" si="98"/>
        <v>2843845</v>
      </c>
      <c r="J764" s="2191">
        <v>173</v>
      </c>
      <c r="K764" s="2190"/>
      <c r="L764" s="2471">
        <v>0</v>
      </c>
      <c r="M764" s="2249">
        <f t="shared" si="100"/>
        <v>173</v>
      </c>
      <c r="N764" s="922"/>
      <c r="O764" s="922"/>
      <c r="P764" s="679"/>
      <c r="Q764" s="706"/>
      <c r="R764" s="922"/>
      <c r="S764" s="706"/>
      <c r="T764" s="708"/>
      <c r="U764" s="706"/>
      <c r="V764" s="706"/>
      <c r="W764" s="706"/>
      <c r="X764" s="706"/>
      <c r="Y764" s="706"/>
      <c r="Z764" s="706"/>
      <c r="AA764" s="706"/>
    </row>
    <row r="765" spans="2:27">
      <c r="B765" s="2468"/>
      <c r="C765" s="2492"/>
      <c r="D765" s="2493">
        <f t="shared" si="97"/>
        <v>0</v>
      </c>
      <c r="E765" s="2471"/>
      <c r="F765" s="2252"/>
      <c r="G765" s="2471"/>
      <c r="H765" s="2252"/>
      <c r="I765" s="2523">
        <f t="shared" si="98"/>
        <v>0</v>
      </c>
      <c r="J765" s="2191"/>
      <c r="K765" s="2190"/>
      <c r="L765" s="2471"/>
      <c r="M765" s="2249">
        <f t="shared" si="100"/>
        <v>0</v>
      </c>
      <c r="N765" s="922"/>
      <c r="O765" s="922"/>
      <c r="P765" s="679"/>
      <c r="Q765" s="706"/>
      <c r="R765" s="922"/>
      <c r="S765" s="706"/>
      <c r="T765" s="708"/>
      <c r="U765" s="706"/>
      <c r="V765" s="706"/>
      <c r="W765" s="706"/>
      <c r="X765" s="706"/>
      <c r="Y765" s="706"/>
      <c r="Z765" s="706"/>
      <c r="AA765" s="706"/>
    </row>
    <row r="766" spans="2:27" ht="13.5" customHeight="1">
      <c r="B766" s="2479" t="s">
        <v>353</v>
      </c>
      <c r="C766" s="2492">
        <v>4</v>
      </c>
      <c r="D766" s="2493">
        <f t="shared" si="97"/>
        <v>3656425</v>
      </c>
      <c r="E766" s="2471">
        <v>72932</v>
      </c>
      <c r="F766" s="2252">
        <v>45655</v>
      </c>
      <c r="G766" s="2471">
        <v>1068322</v>
      </c>
      <c r="H766" s="2252">
        <v>2454711</v>
      </c>
      <c r="I766" s="2523">
        <f t="shared" si="98"/>
        <v>3568688</v>
      </c>
      <c r="J766" s="2191">
        <v>14805</v>
      </c>
      <c r="K766" s="2190"/>
      <c r="L766" s="2471">
        <v>0</v>
      </c>
      <c r="M766" s="2249">
        <f t="shared" si="100"/>
        <v>14805</v>
      </c>
      <c r="N766" s="922"/>
      <c r="O766" s="922"/>
      <c r="P766" s="679"/>
      <c r="Q766" s="706"/>
      <c r="R766" s="922"/>
      <c r="S766" s="706"/>
      <c r="T766" s="708"/>
      <c r="U766" s="706"/>
      <c r="V766" s="706"/>
      <c r="W766" s="706"/>
      <c r="X766" s="706"/>
      <c r="Y766" s="706"/>
      <c r="Z766" s="706"/>
      <c r="AA766" s="706"/>
    </row>
    <row r="767" spans="2:27">
      <c r="B767" s="2468" t="s">
        <v>354</v>
      </c>
      <c r="C767" s="2492"/>
      <c r="D767" s="2493">
        <f t="shared" si="97"/>
        <v>0</v>
      </c>
      <c r="E767" s="2471"/>
      <c r="F767" s="2252"/>
      <c r="G767" s="2471"/>
      <c r="H767" s="2252"/>
      <c r="I767" s="2523">
        <f t="shared" si="98"/>
        <v>0</v>
      </c>
      <c r="J767" s="2191"/>
      <c r="K767" s="2190"/>
      <c r="L767" s="2471"/>
      <c r="M767" s="2249">
        <f t="shared" si="100"/>
        <v>0</v>
      </c>
      <c r="N767" s="922"/>
      <c r="O767" s="922"/>
      <c r="P767" s="679"/>
      <c r="Q767" s="706"/>
      <c r="R767" s="922"/>
      <c r="S767" s="706"/>
      <c r="T767" s="708"/>
      <c r="U767" s="706"/>
      <c r="V767" s="706"/>
      <c r="W767" s="706"/>
      <c r="X767" s="706"/>
      <c r="Y767" s="706"/>
      <c r="Z767" s="706"/>
      <c r="AA767" s="706"/>
    </row>
    <row r="768" spans="2:27">
      <c r="B768" s="2468" t="s">
        <v>355</v>
      </c>
      <c r="C768" s="2492"/>
      <c r="D768" s="2493">
        <f t="shared" si="97"/>
        <v>0</v>
      </c>
      <c r="E768" s="2471"/>
      <c r="F768" s="2252"/>
      <c r="G768" s="2471"/>
      <c r="H768" s="2252"/>
      <c r="I768" s="2523">
        <f t="shared" si="98"/>
        <v>0</v>
      </c>
      <c r="J768" s="2191"/>
      <c r="K768" s="2190"/>
      <c r="L768" s="2471"/>
      <c r="M768" s="2249">
        <f t="shared" si="100"/>
        <v>0</v>
      </c>
      <c r="N768" s="922"/>
      <c r="O768" s="922"/>
      <c r="P768" s="679"/>
      <c r="Q768" s="706"/>
      <c r="R768" s="922"/>
      <c r="S768" s="706"/>
      <c r="T768" s="708"/>
      <c r="U768" s="706"/>
      <c r="V768" s="706"/>
      <c r="W768" s="706"/>
      <c r="X768" s="706"/>
      <c r="Y768" s="706"/>
      <c r="Z768" s="706"/>
      <c r="AA768" s="706"/>
    </row>
    <row r="769" spans="1:27">
      <c r="B769" s="2478" t="s">
        <v>356</v>
      </c>
      <c r="C769" s="2494"/>
      <c r="D769" s="2493">
        <f t="shared" si="97"/>
        <v>3656425</v>
      </c>
      <c r="E769" s="2471">
        <f>SUM(E766:E768)</f>
        <v>72932</v>
      </c>
      <c r="F769" s="2252">
        <f>SUM(F766:F768)</f>
        <v>45655</v>
      </c>
      <c r="G769" s="2471">
        <f>SUM(G766:G768)</f>
        <v>1068322</v>
      </c>
      <c r="H769" s="2252">
        <f>SUM(H766:H768)</f>
        <v>2454711</v>
      </c>
      <c r="I769" s="2523">
        <f t="shared" si="98"/>
        <v>3568688</v>
      </c>
      <c r="J769" s="2471">
        <f>SUM(J766:J768)</f>
        <v>14805</v>
      </c>
      <c r="K769" s="2252">
        <f>SUM(K766:K768)</f>
        <v>0</v>
      </c>
      <c r="L769" s="2471">
        <f>SUM(L766:L768)</f>
        <v>0</v>
      </c>
      <c r="M769" s="2249">
        <f t="shared" si="100"/>
        <v>14805</v>
      </c>
      <c r="N769" s="927"/>
      <c r="O769" s="922"/>
      <c r="P769" s="679"/>
      <c r="Q769" s="706"/>
      <c r="R769" s="927"/>
      <c r="S769" s="706"/>
      <c r="T769" s="708"/>
      <c r="U769" s="706"/>
      <c r="V769" s="706"/>
      <c r="W769" s="706"/>
      <c r="X769" s="706"/>
      <c r="Y769" s="706"/>
      <c r="Z769" s="706"/>
      <c r="AA769" s="706"/>
    </row>
    <row r="770" spans="1:27">
      <c r="B770" s="2478"/>
      <c r="C770" s="2494"/>
      <c r="D770" s="2493">
        <f t="shared" si="97"/>
        <v>0</v>
      </c>
      <c r="E770" s="2471"/>
      <c r="F770" s="2252"/>
      <c r="G770" s="2471"/>
      <c r="H770" s="2252"/>
      <c r="I770" s="2523">
        <f t="shared" si="98"/>
        <v>0</v>
      </c>
      <c r="J770" s="2471"/>
      <c r="K770" s="2252"/>
      <c r="L770" s="2471"/>
      <c r="M770" s="2249">
        <f t="shared" si="100"/>
        <v>0</v>
      </c>
      <c r="P770" s="679"/>
      <c r="Q770" s="706"/>
      <c r="R770" s="680"/>
      <c r="S770" s="706"/>
      <c r="T770" s="708"/>
      <c r="U770" s="706"/>
      <c r="V770" s="706"/>
      <c r="W770" s="706"/>
      <c r="X770" s="706"/>
      <c r="Y770" s="706"/>
      <c r="Z770" s="706"/>
      <c r="AA770" s="706"/>
    </row>
    <row r="771" spans="1:27">
      <c r="B771" s="2478" t="s">
        <v>357</v>
      </c>
      <c r="C771" s="2494"/>
      <c r="D771" s="2493">
        <f t="shared" si="97"/>
        <v>2627307</v>
      </c>
      <c r="E771" s="2471">
        <f>E754-E762-E764-E769</f>
        <v>1027307</v>
      </c>
      <c r="F771" s="2252">
        <f>F754-F762-F764-F769</f>
        <v>12575</v>
      </c>
      <c r="G771" s="2471">
        <f>G754-G762-G764-G769</f>
        <v>789018</v>
      </c>
      <c r="H771" s="2252">
        <f>H754-H762-H764-H769</f>
        <v>798407</v>
      </c>
      <c r="I771" s="2523">
        <f t="shared" si="98"/>
        <v>1600000</v>
      </c>
      <c r="J771" s="2471">
        <f>J754-J762-J764-J769</f>
        <v>0</v>
      </c>
      <c r="K771" s="2252">
        <f>K754-K762-K764-K769</f>
        <v>0</v>
      </c>
      <c r="L771" s="2471">
        <f>L754-L762-L764-L769</f>
        <v>0</v>
      </c>
      <c r="M771" s="2249">
        <f t="shared" si="100"/>
        <v>0</v>
      </c>
      <c r="N771" s="927"/>
      <c r="O771" s="922"/>
      <c r="P771" s="679"/>
      <c r="Q771" s="706"/>
      <c r="R771" s="927"/>
      <c r="S771" s="706"/>
      <c r="T771" s="708"/>
      <c r="U771" s="706"/>
      <c r="V771" s="706"/>
      <c r="W771" s="706"/>
      <c r="X771" s="706"/>
      <c r="Y771" s="706"/>
      <c r="Z771" s="706"/>
      <c r="AA771" s="706"/>
    </row>
    <row r="772" spans="1:27">
      <c r="B772" s="2468" t="s">
        <v>358</v>
      </c>
      <c r="C772" s="2492"/>
      <c r="D772" s="2493">
        <f t="shared" si="97"/>
        <v>573722</v>
      </c>
      <c r="E772" s="2191">
        <v>573722</v>
      </c>
      <c r="F772" s="2252"/>
      <c r="G772" s="2471"/>
      <c r="H772" s="2252"/>
      <c r="I772" s="2523">
        <f t="shared" si="98"/>
        <v>0</v>
      </c>
      <c r="J772" s="2471"/>
      <c r="K772" s="2252"/>
      <c r="L772" s="2471"/>
      <c r="M772" s="2249">
        <f t="shared" si="100"/>
        <v>0</v>
      </c>
      <c r="N772" s="922"/>
      <c r="O772" s="922"/>
      <c r="P772" s="679"/>
      <c r="Q772" s="706"/>
      <c r="R772" s="922"/>
      <c r="S772" s="706"/>
      <c r="T772" s="708"/>
      <c r="U772" s="706"/>
      <c r="V772" s="706"/>
      <c r="W772" s="706"/>
      <c r="X772" s="706"/>
      <c r="Y772" s="706"/>
      <c r="Z772" s="706"/>
      <c r="AA772" s="706"/>
    </row>
    <row r="773" spans="1:27">
      <c r="B773" s="2468"/>
      <c r="C773" s="2492"/>
      <c r="D773" s="2493">
        <f t="shared" si="97"/>
        <v>0</v>
      </c>
      <c r="E773" s="2471"/>
      <c r="F773" s="2252"/>
      <c r="G773" s="2471"/>
      <c r="H773" s="2252"/>
      <c r="I773" s="2523">
        <f t="shared" si="98"/>
        <v>0</v>
      </c>
      <c r="J773" s="2471"/>
      <c r="K773" s="2252"/>
      <c r="L773" s="2471"/>
      <c r="M773" s="2249">
        <f t="shared" si="100"/>
        <v>0</v>
      </c>
      <c r="P773" s="679"/>
      <c r="Q773" s="706"/>
      <c r="R773" s="680"/>
      <c r="S773" s="706"/>
      <c r="T773" s="708"/>
      <c r="U773" s="706"/>
      <c r="V773" s="706"/>
      <c r="W773" s="706"/>
      <c r="X773" s="706"/>
      <c r="Y773" s="706"/>
      <c r="Z773" s="706"/>
      <c r="AA773" s="706"/>
    </row>
    <row r="774" spans="1:27" ht="13.5" thickBot="1">
      <c r="B774" s="1611" t="s">
        <v>359</v>
      </c>
      <c r="C774" s="1622"/>
      <c r="D774" s="1623">
        <f t="shared" si="97"/>
        <v>2053585</v>
      </c>
      <c r="E774" s="1614">
        <f>E771-E772</f>
        <v>453585</v>
      </c>
      <c r="F774" s="1624">
        <f>F771-F772</f>
        <v>12575</v>
      </c>
      <c r="G774" s="1614">
        <f>G771-G772</f>
        <v>789018</v>
      </c>
      <c r="H774" s="1624">
        <f>H771-H772</f>
        <v>798407</v>
      </c>
      <c r="I774" s="1623">
        <f t="shared" si="98"/>
        <v>1600000</v>
      </c>
      <c r="J774" s="1614">
        <f>J771-J772</f>
        <v>0</v>
      </c>
      <c r="K774" s="1624">
        <f>K771-K772</f>
        <v>0</v>
      </c>
      <c r="L774" s="1614">
        <f>L771-L772</f>
        <v>0</v>
      </c>
      <c r="M774" s="1614">
        <f t="shared" si="100"/>
        <v>0</v>
      </c>
      <c r="N774" s="927"/>
      <c r="O774" s="922"/>
      <c r="P774" s="679"/>
      <c r="Q774" s="706"/>
      <c r="R774" s="927"/>
      <c r="S774" s="706"/>
      <c r="T774" s="708"/>
      <c r="U774" s="706"/>
      <c r="V774" s="706"/>
      <c r="W774" s="706"/>
      <c r="X774" s="706"/>
      <c r="Y774" s="706"/>
      <c r="Z774" s="706"/>
      <c r="AA774" s="706"/>
    </row>
    <row r="775" spans="1:27">
      <c r="D775" s="684"/>
      <c r="E775" s="684"/>
      <c r="F775" s="684"/>
      <c r="G775" s="684"/>
      <c r="H775" s="684"/>
      <c r="I775" s="684"/>
    </row>
    <row r="776" spans="1:27">
      <c r="D776" s="684"/>
      <c r="E776" s="684"/>
      <c r="F776" s="684"/>
      <c r="G776" s="684"/>
      <c r="H776" s="684"/>
      <c r="I776" s="684"/>
      <c r="M776" s="673">
        <v>62</v>
      </c>
    </row>
    <row r="777" spans="1:27">
      <c r="D777" s="684"/>
      <c r="E777" s="684"/>
      <c r="F777" s="684"/>
      <c r="G777" s="684"/>
      <c r="H777" s="684"/>
      <c r="I777" s="684"/>
      <c r="J777" s="684"/>
      <c r="K777" s="684"/>
      <c r="L777" s="684"/>
      <c r="M777" s="684"/>
    </row>
    <row r="778" spans="1:27" ht="13.5" thickBot="1"/>
    <row r="779" spans="1:27" ht="13.5" thickBot="1">
      <c r="A779" s="1607" t="s">
        <v>317</v>
      </c>
      <c r="B779" s="1608" t="s">
        <v>367</v>
      </c>
      <c r="L779" s="3538" t="s">
        <v>251</v>
      </c>
      <c r="M779" s="3538"/>
    </row>
    <row r="780" spans="1:27" ht="12.75" customHeight="1" thickBot="1">
      <c r="B780" s="3578" t="s">
        <v>367</v>
      </c>
      <c r="C780" s="3523" t="s">
        <v>325</v>
      </c>
      <c r="D780" s="3518" t="s">
        <v>255</v>
      </c>
      <c r="E780" s="3518" t="s">
        <v>326</v>
      </c>
      <c r="F780" s="3574" t="s">
        <v>258</v>
      </c>
      <c r="G780" s="3574"/>
      <c r="H780" s="3574"/>
      <c r="I780" s="3574"/>
      <c r="J780" s="3574"/>
      <c r="K780" s="3574"/>
      <c r="L780" s="3574"/>
      <c r="M780" s="3574"/>
    </row>
    <row r="781" spans="1:27" ht="12.75" customHeight="1">
      <c r="B781" s="3571"/>
      <c r="C781" s="3524"/>
      <c r="D781" s="3520"/>
      <c r="E781" s="3520"/>
      <c r="F781" s="3575" t="s">
        <v>259</v>
      </c>
      <c r="G781" s="3576"/>
      <c r="H781" s="3576"/>
      <c r="I781" s="3577"/>
      <c r="J781" s="3574" t="s">
        <v>327</v>
      </c>
      <c r="K781" s="3574"/>
      <c r="L781" s="3574"/>
      <c r="M781" s="3574"/>
    </row>
    <row r="782" spans="1:27" ht="51" customHeight="1" thickBot="1">
      <c r="B782" s="3571"/>
      <c r="C782" s="3524"/>
      <c r="D782" s="3519"/>
      <c r="E782" s="3519"/>
      <c r="F782" s="1339" t="s">
        <v>261</v>
      </c>
      <c r="G782" s="1339" t="s">
        <v>262</v>
      </c>
      <c r="H782" s="1339" t="s">
        <v>263</v>
      </c>
      <c r="I782" s="1339" t="s">
        <v>158</v>
      </c>
      <c r="J782" s="1588" t="s">
        <v>328</v>
      </c>
      <c r="K782" s="1588" t="s">
        <v>265</v>
      </c>
      <c r="L782" s="1588" t="s">
        <v>329</v>
      </c>
      <c r="M782" s="1588" t="s">
        <v>158</v>
      </c>
    </row>
    <row r="783" spans="1:27" ht="12.75" customHeight="1" thickBot="1">
      <c r="B783" s="3571"/>
      <c r="C783" s="3524"/>
      <c r="D783" s="1589">
        <v>1</v>
      </c>
      <c r="E783" s="3518">
        <v>2</v>
      </c>
      <c r="F783" s="3518">
        <v>3</v>
      </c>
      <c r="G783" s="3518">
        <v>4</v>
      </c>
      <c r="H783" s="3518">
        <v>5</v>
      </c>
      <c r="I783" s="1589">
        <v>6</v>
      </c>
      <c r="J783" s="3518">
        <v>7</v>
      </c>
      <c r="K783" s="3518">
        <v>8</v>
      </c>
      <c r="L783" s="3518"/>
      <c r="M783" s="1589">
        <v>10</v>
      </c>
    </row>
    <row r="784" spans="1:27" ht="13.5" thickBot="1">
      <c r="B784" s="3572"/>
      <c r="C784" s="3525"/>
      <c r="D784" s="1590" t="s">
        <v>330</v>
      </c>
      <c r="E784" s="3519"/>
      <c r="F784" s="3519"/>
      <c r="G784" s="3519"/>
      <c r="H784" s="3519"/>
      <c r="I784" s="1590" t="s">
        <v>331</v>
      </c>
      <c r="J784" s="3519"/>
      <c r="K784" s="3519"/>
      <c r="L784" s="3519"/>
      <c r="M784" s="1590" t="s">
        <v>332</v>
      </c>
      <c r="N784" s="703"/>
      <c r="O784" s="703"/>
    </row>
    <row r="785" spans="2:27">
      <c r="B785" s="1609" t="s">
        <v>333</v>
      </c>
      <c r="C785" s="980"/>
      <c r="D785" s="1621">
        <f t="shared" ref="D785:D822" si="101">E785+I785+M785</f>
        <v>1221.877</v>
      </c>
      <c r="E785" s="963"/>
      <c r="F785" s="982">
        <v>1049.8630000000001</v>
      </c>
      <c r="G785" s="963">
        <v>172.01400000000001</v>
      </c>
      <c r="H785" s="982"/>
      <c r="I785" s="1441">
        <f t="shared" ref="I785:I822" si="102">F785+G785+H785</f>
        <v>1221.877</v>
      </c>
      <c r="J785" s="982"/>
      <c r="K785" s="963"/>
      <c r="L785" s="982"/>
      <c r="M785" s="1441">
        <f t="shared" ref="M785:M802" si="103">L785+K785+J785</f>
        <v>0</v>
      </c>
      <c r="N785" s="922"/>
      <c r="O785" s="922"/>
      <c r="P785" s="679"/>
      <c r="Q785" s="706"/>
      <c r="R785" s="411"/>
      <c r="S785" s="706"/>
      <c r="T785" s="708"/>
      <c r="U785" s="706"/>
      <c r="V785" s="706"/>
      <c r="W785" s="706"/>
      <c r="X785" s="706"/>
      <c r="Y785" s="706"/>
      <c r="Z785" s="706"/>
      <c r="AA785" s="706"/>
    </row>
    <row r="786" spans="2:27">
      <c r="B786" s="2468"/>
      <c r="C786" s="2492"/>
      <c r="D786" s="2493">
        <f t="shared" si="101"/>
        <v>0</v>
      </c>
      <c r="E786" s="2471"/>
      <c r="F786" s="2252"/>
      <c r="G786" s="2471"/>
      <c r="H786" s="2252"/>
      <c r="I786" s="2249">
        <f t="shared" si="102"/>
        <v>0</v>
      </c>
      <c r="J786" s="2252"/>
      <c r="K786" s="2471"/>
      <c r="L786" s="2252"/>
      <c r="M786" s="2249">
        <f t="shared" si="103"/>
        <v>0</v>
      </c>
      <c r="O786" s="922"/>
      <c r="P786" s="679"/>
      <c r="Q786" s="706"/>
      <c r="R786" s="389"/>
      <c r="S786" s="706"/>
      <c r="T786" s="708"/>
      <c r="U786" s="706"/>
      <c r="V786" s="706"/>
      <c r="W786" s="706"/>
      <c r="X786" s="706"/>
      <c r="Y786" s="706"/>
      <c r="Z786" s="706"/>
      <c r="AA786" s="706"/>
    </row>
    <row r="787" spans="2:27">
      <c r="B787" s="2473" t="s">
        <v>334</v>
      </c>
      <c r="C787" s="2492"/>
      <c r="D787" s="2493">
        <f t="shared" si="101"/>
        <v>0</v>
      </c>
      <c r="E787" s="2471"/>
      <c r="F787" s="2252">
        <v>0</v>
      </c>
      <c r="G787" s="2471">
        <v>0</v>
      </c>
      <c r="H787" s="2252"/>
      <c r="I787" s="2249">
        <f t="shared" si="102"/>
        <v>0</v>
      </c>
      <c r="J787" s="2252"/>
      <c r="K787" s="2471"/>
      <c r="L787" s="2252"/>
      <c r="M787" s="2249">
        <f t="shared" si="103"/>
        <v>0</v>
      </c>
      <c r="N787" s="922"/>
      <c r="O787" s="922"/>
      <c r="P787" s="679"/>
      <c r="Q787" s="706"/>
      <c r="R787" s="389"/>
      <c r="S787" s="706"/>
      <c r="T787" s="708"/>
      <c r="U787" s="706"/>
      <c r="V787" s="706"/>
      <c r="W787" s="706"/>
      <c r="X787" s="706"/>
      <c r="Y787" s="706"/>
      <c r="Z787" s="706"/>
      <c r="AA787" s="706"/>
    </row>
    <row r="788" spans="2:27">
      <c r="B788" s="2473"/>
      <c r="C788" s="2492"/>
      <c r="D788" s="2493">
        <f t="shared" si="101"/>
        <v>0</v>
      </c>
      <c r="E788" s="2471"/>
      <c r="F788" s="2252"/>
      <c r="G788" s="2471"/>
      <c r="H788" s="2252"/>
      <c r="I788" s="2249">
        <f t="shared" si="102"/>
        <v>0</v>
      </c>
      <c r="J788" s="2252"/>
      <c r="K788" s="2471"/>
      <c r="L788" s="2252"/>
      <c r="M788" s="2249">
        <f t="shared" si="103"/>
        <v>0</v>
      </c>
      <c r="O788" s="922"/>
      <c r="P788" s="679"/>
      <c r="Q788" s="706"/>
      <c r="R788" s="389"/>
      <c r="S788" s="706"/>
      <c r="T788" s="708"/>
      <c r="U788" s="706"/>
      <c r="V788" s="706"/>
      <c r="W788" s="706"/>
      <c r="X788" s="706"/>
      <c r="Y788" s="706"/>
      <c r="Z788" s="706"/>
      <c r="AA788" s="706"/>
    </row>
    <row r="789" spans="2:27" ht="12.75" customHeight="1">
      <c r="B789" s="2474" t="s">
        <v>335</v>
      </c>
      <c r="C789" s="2492"/>
      <c r="D789" s="2493">
        <f t="shared" si="101"/>
        <v>0</v>
      </c>
      <c r="E789" s="2471"/>
      <c r="F789" s="2252">
        <v>0</v>
      </c>
      <c r="G789" s="2471">
        <v>0</v>
      </c>
      <c r="H789" s="2252"/>
      <c r="I789" s="2249">
        <f t="shared" si="102"/>
        <v>0</v>
      </c>
      <c r="J789" s="2252"/>
      <c r="K789" s="2471"/>
      <c r="L789" s="2252"/>
      <c r="M789" s="2249">
        <f t="shared" si="103"/>
        <v>0</v>
      </c>
      <c r="N789" s="922"/>
      <c r="O789" s="922"/>
      <c r="P789" s="679"/>
      <c r="Q789" s="706"/>
      <c r="R789" s="389"/>
      <c r="S789" s="706"/>
      <c r="T789" s="708"/>
      <c r="U789" s="706"/>
      <c r="V789" s="706"/>
      <c r="W789" s="706"/>
      <c r="X789" s="706"/>
      <c r="Y789" s="706"/>
      <c r="Z789" s="706"/>
      <c r="AA789" s="706"/>
    </row>
    <row r="790" spans="2:27">
      <c r="B790" s="2468"/>
      <c r="C790" s="2492"/>
      <c r="D790" s="2493">
        <f t="shared" si="101"/>
        <v>0</v>
      </c>
      <c r="E790" s="2471"/>
      <c r="F790" s="2252"/>
      <c r="G790" s="2471"/>
      <c r="H790" s="2252"/>
      <c r="I790" s="2249">
        <f t="shared" si="102"/>
        <v>0</v>
      </c>
      <c r="J790" s="2252"/>
      <c r="K790" s="2471"/>
      <c r="L790" s="2252"/>
      <c r="M790" s="2249">
        <f t="shared" si="103"/>
        <v>0</v>
      </c>
      <c r="O790" s="922"/>
      <c r="P790" s="679"/>
      <c r="Q790" s="706"/>
      <c r="R790" s="389"/>
      <c r="S790" s="706"/>
      <c r="T790" s="708"/>
      <c r="U790" s="706"/>
      <c r="V790" s="706"/>
      <c r="W790" s="706"/>
      <c r="X790" s="706"/>
      <c r="Y790" s="706"/>
      <c r="Z790" s="706"/>
      <c r="AA790" s="706"/>
    </row>
    <row r="791" spans="2:27">
      <c r="B791" s="2475" t="s">
        <v>336</v>
      </c>
      <c r="C791" s="2494"/>
      <c r="D791" s="2493">
        <f t="shared" si="101"/>
        <v>1221.877</v>
      </c>
      <c r="E791" s="2471">
        <f>E785-E787+E789</f>
        <v>0</v>
      </c>
      <c r="F791" s="2252">
        <f>F785-F787+F789</f>
        <v>1049.8630000000001</v>
      </c>
      <c r="G791" s="2471">
        <f>G785-G787+G789</f>
        <v>172.01400000000001</v>
      </c>
      <c r="H791" s="2252">
        <f>H785-H787+H789</f>
        <v>0</v>
      </c>
      <c r="I791" s="2249">
        <f t="shared" si="102"/>
        <v>1221.877</v>
      </c>
      <c r="J791" s="2252">
        <f>J785-J787+J789</f>
        <v>0</v>
      </c>
      <c r="K791" s="2471">
        <f>K785-K787+K789</f>
        <v>0</v>
      </c>
      <c r="L791" s="2252">
        <f>L785-L787+L789</f>
        <v>0</v>
      </c>
      <c r="M791" s="2249">
        <f t="shared" si="103"/>
        <v>0</v>
      </c>
      <c r="N791" s="927"/>
      <c r="O791" s="922"/>
      <c r="P791" s="679"/>
      <c r="Q791" s="706"/>
      <c r="R791" s="411"/>
      <c r="S791" s="706"/>
      <c r="T791" s="708"/>
      <c r="U791" s="706"/>
      <c r="V791" s="706"/>
      <c r="W791" s="706"/>
      <c r="X791" s="706"/>
      <c r="Y791" s="706"/>
      <c r="Z791" s="706"/>
      <c r="AA791" s="706"/>
    </row>
    <row r="792" spans="2:27">
      <c r="B792" s="2475"/>
      <c r="C792" s="2494"/>
      <c r="D792" s="2493">
        <f t="shared" si="101"/>
        <v>0</v>
      </c>
      <c r="E792" s="2471"/>
      <c r="F792" s="2252"/>
      <c r="G792" s="2471"/>
      <c r="H792" s="2252"/>
      <c r="I792" s="2249">
        <f t="shared" si="102"/>
        <v>0</v>
      </c>
      <c r="J792" s="2252"/>
      <c r="K792" s="2471"/>
      <c r="L792" s="2252"/>
      <c r="M792" s="2249">
        <f t="shared" si="103"/>
        <v>0</v>
      </c>
      <c r="O792" s="922"/>
      <c r="P792" s="679"/>
      <c r="Q792" s="706"/>
      <c r="R792" s="389"/>
      <c r="S792" s="706"/>
      <c r="T792" s="708"/>
      <c r="U792" s="706"/>
      <c r="V792" s="706"/>
      <c r="W792" s="706"/>
      <c r="X792" s="706"/>
      <c r="Y792" s="706"/>
      <c r="Z792" s="706"/>
      <c r="AA792" s="706"/>
    </row>
    <row r="793" spans="2:27">
      <c r="B793" s="2475" t="s">
        <v>337</v>
      </c>
      <c r="C793" s="2494"/>
      <c r="D793" s="2493">
        <f t="shared" si="101"/>
        <v>8826.2530800000022</v>
      </c>
      <c r="E793" s="2471">
        <f>SUM(E794:E798)</f>
        <v>0</v>
      </c>
      <c r="F793" s="2252">
        <f>SUM(F794:F798)</f>
        <v>1797.5404400000002</v>
      </c>
      <c r="G793" s="2471">
        <f>SUM(G794:G798)</f>
        <v>7028.7126400000016</v>
      </c>
      <c r="H793" s="2252">
        <f>SUM(H794:H798)</f>
        <v>0</v>
      </c>
      <c r="I793" s="2249">
        <f t="shared" si="102"/>
        <v>8826.2530800000022</v>
      </c>
      <c r="J793" s="2252">
        <f>SUM(J794:J798)</f>
        <v>0</v>
      </c>
      <c r="K793" s="2471">
        <f>SUM(K794:K798)</f>
        <v>0</v>
      </c>
      <c r="L793" s="2252">
        <f>SUM(L794:L798)</f>
        <v>0</v>
      </c>
      <c r="M793" s="2249">
        <f t="shared" si="103"/>
        <v>0</v>
      </c>
      <c r="N793" s="927"/>
      <c r="O793" s="922"/>
      <c r="P793" s="679"/>
      <c r="Q793" s="706"/>
      <c r="R793" s="411"/>
      <c r="S793" s="706"/>
      <c r="T793" s="708"/>
      <c r="U793" s="706"/>
      <c r="V793" s="706"/>
      <c r="W793" s="706"/>
      <c r="X793" s="706"/>
      <c r="Y793" s="706"/>
      <c r="Z793" s="706"/>
      <c r="AA793" s="706"/>
    </row>
    <row r="794" spans="2:27">
      <c r="B794" s="2468" t="s">
        <v>338</v>
      </c>
      <c r="C794" s="2492">
        <v>1</v>
      </c>
      <c r="D794" s="2493">
        <f t="shared" si="101"/>
        <v>9238.0459500000015</v>
      </c>
      <c r="E794" s="2471"/>
      <c r="F794" s="2252">
        <v>1937.4199600000002</v>
      </c>
      <c r="G794" s="2471">
        <v>7300.6259900000014</v>
      </c>
      <c r="H794" s="2252"/>
      <c r="I794" s="2249">
        <f t="shared" si="102"/>
        <v>9238.0459500000015</v>
      </c>
      <c r="J794" s="2252"/>
      <c r="K794" s="2471"/>
      <c r="L794" s="2252"/>
      <c r="M794" s="2249">
        <f t="shared" si="103"/>
        <v>0</v>
      </c>
      <c r="N794" s="922"/>
      <c r="O794" s="922"/>
      <c r="P794" s="679"/>
      <c r="Q794" s="706"/>
      <c r="R794" s="411"/>
      <c r="S794" s="706"/>
      <c r="T794" s="708"/>
      <c r="U794" s="706"/>
      <c r="V794" s="706"/>
      <c r="W794" s="706"/>
      <c r="X794" s="706"/>
      <c r="Y794" s="706"/>
      <c r="Z794" s="706"/>
      <c r="AA794" s="706"/>
    </row>
    <row r="795" spans="2:27">
      <c r="B795" s="2468" t="s">
        <v>339</v>
      </c>
      <c r="C795" s="2492">
        <v>2</v>
      </c>
      <c r="D795" s="2493">
        <f t="shared" si="101"/>
        <v>0</v>
      </c>
      <c r="E795" s="2471"/>
      <c r="F795" s="2252">
        <v>0</v>
      </c>
      <c r="G795" s="2471">
        <v>0</v>
      </c>
      <c r="H795" s="2252"/>
      <c r="I795" s="2249">
        <f t="shared" si="102"/>
        <v>0</v>
      </c>
      <c r="J795" s="2252"/>
      <c r="K795" s="2471"/>
      <c r="L795" s="2252"/>
      <c r="M795" s="2249">
        <f t="shared" si="103"/>
        <v>0</v>
      </c>
      <c r="N795" s="922"/>
      <c r="O795" s="922"/>
      <c r="P795" s="679"/>
      <c r="Q795" s="706"/>
      <c r="R795" s="389"/>
      <c r="S795" s="706"/>
      <c r="T795" s="708"/>
      <c r="U795" s="706"/>
      <c r="V795" s="706"/>
      <c r="W795" s="706"/>
      <c r="X795" s="706"/>
      <c r="Y795" s="706"/>
      <c r="Z795" s="706"/>
      <c r="AA795" s="706"/>
    </row>
    <row r="796" spans="2:27">
      <c r="B796" s="2468" t="s">
        <v>340</v>
      </c>
      <c r="C796" s="2492"/>
      <c r="D796" s="2493">
        <f t="shared" si="101"/>
        <v>0</v>
      </c>
      <c r="E796" s="2471"/>
      <c r="F796" s="2252">
        <v>0</v>
      </c>
      <c r="G796" s="2471">
        <v>0</v>
      </c>
      <c r="H796" s="2252"/>
      <c r="I796" s="2249">
        <f t="shared" si="102"/>
        <v>0</v>
      </c>
      <c r="J796" s="2252"/>
      <c r="K796" s="2471"/>
      <c r="L796" s="2252"/>
      <c r="M796" s="2249">
        <f t="shared" si="103"/>
        <v>0</v>
      </c>
      <c r="N796" s="922"/>
      <c r="O796" s="922"/>
      <c r="P796" s="679"/>
      <c r="Q796" s="706"/>
      <c r="R796" s="389"/>
      <c r="S796" s="706"/>
      <c r="T796" s="708"/>
      <c r="U796" s="706"/>
      <c r="V796" s="706"/>
      <c r="W796" s="706"/>
      <c r="X796" s="706"/>
      <c r="Y796" s="706"/>
      <c r="Z796" s="706"/>
      <c r="AA796" s="706"/>
    </row>
    <row r="797" spans="2:27">
      <c r="B797" s="2468" t="s">
        <v>341</v>
      </c>
      <c r="C797" s="2492"/>
      <c r="D797" s="2493">
        <f t="shared" si="101"/>
        <v>-389.75694000000004</v>
      </c>
      <c r="E797" s="2471"/>
      <c r="F797" s="2252">
        <v>-117.79759</v>
      </c>
      <c r="G797" s="2471">
        <v>-271.95935000000003</v>
      </c>
      <c r="H797" s="2252"/>
      <c r="I797" s="2249">
        <f t="shared" si="102"/>
        <v>-389.75694000000004</v>
      </c>
      <c r="J797" s="2252"/>
      <c r="K797" s="2471"/>
      <c r="L797" s="2252"/>
      <c r="M797" s="2249">
        <f t="shared" si="103"/>
        <v>0</v>
      </c>
      <c r="N797" s="922"/>
      <c r="O797" s="922"/>
      <c r="P797" s="679"/>
      <c r="Q797" s="706"/>
      <c r="R797" s="389"/>
      <c r="S797" s="706"/>
      <c r="T797" s="708"/>
      <c r="U797" s="706"/>
      <c r="V797" s="706"/>
      <c r="W797" s="706"/>
      <c r="X797" s="706"/>
      <c r="Y797" s="706"/>
      <c r="Z797" s="706"/>
      <c r="AA797" s="706"/>
    </row>
    <row r="798" spans="2:27">
      <c r="B798" s="2468" t="s">
        <v>342</v>
      </c>
      <c r="C798" s="2492">
        <v>3</v>
      </c>
      <c r="D798" s="2493">
        <f t="shared" si="101"/>
        <v>-22.03593</v>
      </c>
      <c r="E798" s="2471"/>
      <c r="F798" s="2252">
        <v>-22.08193</v>
      </c>
      <c r="G798" s="2471">
        <v>4.5999999999999999E-2</v>
      </c>
      <c r="H798" s="2252"/>
      <c r="I798" s="2249">
        <f t="shared" si="102"/>
        <v>-22.03593</v>
      </c>
      <c r="J798" s="2252"/>
      <c r="K798" s="2471"/>
      <c r="L798" s="2252"/>
      <c r="M798" s="2249">
        <f t="shared" si="103"/>
        <v>0</v>
      </c>
      <c r="N798" s="922"/>
      <c r="O798" s="922"/>
      <c r="P798" s="679"/>
      <c r="Q798" s="706"/>
      <c r="R798" s="411"/>
      <c r="S798" s="706"/>
      <c r="T798" s="708"/>
      <c r="U798" s="706"/>
      <c r="V798" s="706"/>
      <c r="W798" s="706"/>
      <c r="X798" s="706"/>
      <c r="Y798" s="706"/>
      <c r="Z798" s="706"/>
      <c r="AA798" s="706"/>
    </row>
    <row r="799" spans="2:27">
      <c r="B799" s="2468" t="s">
        <v>343</v>
      </c>
      <c r="C799" s="2492"/>
      <c r="D799" s="2493">
        <f t="shared" si="101"/>
        <v>0</v>
      </c>
      <c r="E799" s="2471"/>
      <c r="F799" s="2252"/>
      <c r="G799" s="2471"/>
      <c r="H799" s="2252"/>
      <c r="I799" s="2249">
        <f t="shared" si="102"/>
        <v>0</v>
      </c>
      <c r="J799" s="2252"/>
      <c r="K799" s="2471"/>
      <c r="L799" s="2252"/>
      <c r="M799" s="2249">
        <f t="shared" si="103"/>
        <v>0</v>
      </c>
      <c r="O799" s="922"/>
      <c r="P799" s="679"/>
      <c r="Q799" s="706"/>
      <c r="R799" s="389"/>
      <c r="S799" s="706"/>
      <c r="T799" s="708"/>
      <c r="U799" s="706"/>
      <c r="V799" s="706"/>
      <c r="W799" s="706"/>
      <c r="X799" s="706"/>
      <c r="Y799" s="706"/>
      <c r="Z799" s="706"/>
      <c r="AA799" s="706"/>
    </row>
    <row r="800" spans="2:27">
      <c r="B800" s="2468" t="s">
        <v>343</v>
      </c>
      <c r="C800" s="2492"/>
      <c r="D800" s="2493">
        <f t="shared" si="101"/>
        <v>0</v>
      </c>
      <c r="E800" s="2471"/>
      <c r="F800" s="2252"/>
      <c r="G800" s="2471"/>
      <c r="H800" s="2252"/>
      <c r="I800" s="2249">
        <f t="shared" si="102"/>
        <v>0</v>
      </c>
      <c r="J800" s="2252"/>
      <c r="K800" s="2471"/>
      <c r="L800" s="2252"/>
      <c r="M800" s="2249">
        <f t="shared" si="103"/>
        <v>0</v>
      </c>
      <c r="O800" s="922"/>
      <c r="P800" s="679"/>
      <c r="Q800" s="706"/>
      <c r="R800" s="389"/>
      <c r="S800" s="706"/>
      <c r="T800" s="708"/>
      <c r="U800" s="706"/>
      <c r="V800" s="706"/>
      <c r="W800" s="706"/>
      <c r="X800" s="706"/>
      <c r="Y800" s="706"/>
      <c r="Z800" s="706"/>
      <c r="AA800" s="706"/>
    </row>
    <row r="801" spans="2:27">
      <c r="B801" s="2468"/>
      <c r="C801" s="2492"/>
      <c r="D801" s="2493">
        <f t="shared" si="101"/>
        <v>0</v>
      </c>
      <c r="E801" s="2471"/>
      <c r="F801" s="2252"/>
      <c r="G801" s="2471"/>
      <c r="H801" s="2252"/>
      <c r="I801" s="2249">
        <f t="shared" si="102"/>
        <v>0</v>
      </c>
      <c r="J801" s="2252"/>
      <c r="K801" s="2471"/>
      <c r="L801" s="2252"/>
      <c r="M801" s="2249">
        <f t="shared" si="103"/>
        <v>0</v>
      </c>
      <c r="O801" s="922"/>
      <c r="P801" s="679"/>
      <c r="Q801" s="706"/>
      <c r="R801" s="389"/>
      <c r="S801" s="706"/>
      <c r="T801" s="708"/>
      <c r="U801" s="706"/>
      <c r="V801" s="706"/>
      <c r="W801" s="706"/>
      <c r="X801" s="706"/>
      <c r="Y801" s="706"/>
      <c r="Z801" s="706"/>
      <c r="AA801" s="706"/>
    </row>
    <row r="802" spans="2:27">
      <c r="B802" s="2478" t="s">
        <v>344</v>
      </c>
      <c r="C802" s="2494"/>
      <c r="D802" s="2493">
        <f t="shared" si="101"/>
        <v>10048.130080000003</v>
      </c>
      <c r="E802" s="2471">
        <f>E791+E793</f>
        <v>0</v>
      </c>
      <c r="F802" s="2252">
        <f>F791+F793</f>
        <v>2847.40344</v>
      </c>
      <c r="G802" s="2471">
        <f>G791+G793</f>
        <v>7200.7266400000017</v>
      </c>
      <c r="H802" s="2252">
        <f>H791+H793</f>
        <v>0</v>
      </c>
      <c r="I802" s="2249">
        <f t="shared" si="102"/>
        <v>10048.130080000003</v>
      </c>
      <c r="J802" s="2252">
        <f>J791+J793</f>
        <v>0</v>
      </c>
      <c r="K802" s="2471">
        <f>K791+K793</f>
        <v>0</v>
      </c>
      <c r="L802" s="2252">
        <f>L791+L793</f>
        <v>0</v>
      </c>
      <c r="M802" s="2249">
        <f t="shared" si="103"/>
        <v>0</v>
      </c>
      <c r="N802" s="927"/>
      <c r="O802" s="922"/>
      <c r="P802" s="679"/>
      <c r="Q802" s="706"/>
      <c r="R802" s="411"/>
      <c r="S802" s="706"/>
      <c r="T802" s="708"/>
      <c r="U802" s="706"/>
      <c r="V802" s="706"/>
      <c r="W802" s="706"/>
      <c r="X802" s="706"/>
      <c r="Y802" s="706"/>
      <c r="Z802" s="706"/>
      <c r="AA802" s="706"/>
    </row>
    <row r="803" spans="2:27">
      <c r="B803" s="2478"/>
      <c r="C803" s="2494"/>
      <c r="D803" s="2493">
        <f t="shared" si="101"/>
        <v>0</v>
      </c>
      <c r="E803" s="2471"/>
      <c r="F803" s="2252"/>
      <c r="G803" s="2471"/>
      <c r="H803" s="2252"/>
      <c r="I803" s="2249">
        <f t="shared" si="102"/>
        <v>0</v>
      </c>
      <c r="J803" s="2252"/>
      <c r="K803" s="2471"/>
      <c r="L803" s="2252"/>
      <c r="M803" s="2249"/>
      <c r="O803" s="922"/>
      <c r="P803" s="679"/>
      <c r="Q803" s="706"/>
      <c r="R803" s="389"/>
      <c r="S803" s="706"/>
      <c r="T803" s="708"/>
      <c r="U803" s="706"/>
      <c r="V803" s="706"/>
      <c r="W803" s="706"/>
      <c r="X803" s="706"/>
      <c r="Y803" s="706"/>
      <c r="Z803" s="706"/>
      <c r="AA803" s="706"/>
    </row>
    <row r="804" spans="2:27">
      <c r="B804" s="2468" t="s">
        <v>345</v>
      </c>
      <c r="C804" s="2492"/>
      <c r="D804" s="2493">
        <f t="shared" si="101"/>
        <v>38939.932439999997</v>
      </c>
      <c r="E804" s="2471"/>
      <c r="F804" s="2252">
        <v>38886.824439999997</v>
      </c>
      <c r="G804" s="2471">
        <v>53.107999999999997</v>
      </c>
      <c r="H804" s="2252"/>
      <c r="I804" s="2249">
        <f t="shared" si="102"/>
        <v>38939.932439999997</v>
      </c>
      <c r="J804" s="2252"/>
      <c r="K804" s="2471"/>
      <c r="L804" s="2252"/>
      <c r="M804" s="2249">
        <f t="shared" ref="M804:M822" si="104">L804+K804+J804</f>
        <v>0</v>
      </c>
      <c r="N804" s="922"/>
      <c r="O804" s="922"/>
      <c r="P804" s="679"/>
      <c r="Q804" s="706"/>
      <c r="R804" s="411"/>
      <c r="S804" s="706"/>
      <c r="T804" s="708"/>
      <c r="U804" s="706"/>
      <c r="V804" s="706"/>
      <c r="W804" s="706"/>
      <c r="X804" s="706"/>
      <c r="Y804" s="706"/>
      <c r="Z804" s="706"/>
      <c r="AA804" s="706"/>
    </row>
    <row r="805" spans="2:27">
      <c r="B805" s="2468" t="s">
        <v>346</v>
      </c>
      <c r="C805" s="2492"/>
      <c r="D805" s="2493">
        <f t="shared" si="101"/>
        <v>0</v>
      </c>
      <c r="E805" s="2471"/>
      <c r="F805" s="2252"/>
      <c r="G805" s="2471"/>
      <c r="H805" s="2252"/>
      <c r="I805" s="2249">
        <f t="shared" si="102"/>
        <v>0</v>
      </c>
      <c r="J805" s="2252"/>
      <c r="K805" s="2471"/>
      <c r="L805" s="2252"/>
      <c r="M805" s="2249">
        <f t="shared" si="104"/>
        <v>0</v>
      </c>
      <c r="N805" s="922"/>
      <c r="O805" s="922"/>
      <c r="P805" s="679"/>
      <c r="Q805" s="706"/>
      <c r="R805" s="389"/>
      <c r="S805" s="706"/>
      <c r="T805" s="708"/>
      <c r="U805" s="706"/>
      <c r="V805" s="706"/>
      <c r="W805" s="706"/>
      <c r="X805" s="706"/>
      <c r="Y805" s="706"/>
      <c r="Z805" s="706"/>
      <c r="AA805" s="706"/>
    </row>
    <row r="806" spans="2:27">
      <c r="B806" s="2468" t="s">
        <v>347</v>
      </c>
      <c r="C806" s="2492"/>
      <c r="D806" s="2493">
        <f t="shared" si="101"/>
        <v>-22614.102799999997</v>
      </c>
      <c r="E806" s="2471"/>
      <c r="F806" s="2252">
        <v>-22614.102799999997</v>
      </c>
      <c r="G806" s="2471"/>
      <c r="H806" s="2252"/>
      <c r="I806" s="2249">
        <f t="shared" si="102"/>
        <v>-22614.102799999997</v>
      </c>
      <c r="J806" s="2252"/>
      <c r="K806" s="2471"/>
      <c r="L806" s="2252"/>
      <c r="M806" s="2249">
        <f t="shared" si="104"/>
        <v>0</v>
      </c>
      <c r="N806" s="922"/>
      <c r="O806" s="922"/>
      <c r="P806" s="679"/>
      <c r="Q806" s="706"/>
      <c r="R806" s="389"/>
      <c r="S806" s="706"/>
      <c r="T806" s="708"/>
      <c r="U806" s="706"/>
      <c r="V806" s="706"/>
      <c r="W806" s="706"/>
      <c r="X806" s="706"/>
      <c r="Y806" s="706"/>
      <c r="Z806" s="706"/>
      <c r="AA806" s="706"/>
    </row>
    <row r="807" spans="2:27" ht="12.75" customHeight="1">
      <c r="B807" s="2479" t="s">
        <v>348</v>
      </c>
      <c r="C807" s="2492"/>
      <c r="D807" s="2493">
        <f t="shared" si="101"/>
        <v>0</v>
      </c>
      <c r="E807" s="2471"/>
      <c r="F807" s="2252"/>
      <c r="G807" s="2471"/>
      <c r="H807" s="2252"/>
      <c r="I807" s="2249">
        <f t="shared" si="102"/>
        <v>0</v>
      </c>
      <c r="J807" s="2252"/>
      <c r="K807" s="2471"/>
      <c r="L807" s="2252"/>
      <c r="M807" s="2249">
        <f t="shared" si="104"/>
        <v>0</v>
      </c>
      <c r="N807" s="922"/>
      <c r="O807" s="922"/>
      <c r="P807" s="679"/>
      <c r="Q807" s="706"/>
      <c r="R807" s="389"/>
      <c r="S807" s="706"/>
      <c r="T807" s="708"/>
      <c r="U807" s="706"/>
      <c r="V807" s="706"/>
      <c r="W807" s="706"/>
      <c r="X807" s="706"/>
      <c r="Y807" s="706"/>
      <c r="Z807" s="706"/>
      <c r="AA807" s="706"/>
    </row>
    <row r="808" spans="2:27">
      <c r="B808" s="2468" t="s">
        <v>349</v>
      </c>
      <c r="C808" s="2492"/>
      <c r="D808" s="2493">
        <f t="shared" si="101"/>
        <v>-12164.363429999999</v>
      </c>
      <c r="E808" s="2471"/>
      <c r="F808" s="2252">
        <v>-18483.266414550082</v>
      </c>
      <c r="G808" s="2471">
        <v>6318.9029845500827</v>
      </c>
      <c r="H808" s="2252"/>
      <c r="I808" s="2249">
        <f t="shared" si="102"/>
        <v>-12164.363429999999</v>
      </c>
      <c r="J808" s="2252"/>
      <c r="K808" s="2471"/>
      <c r="L808" s="2252"/>
      <c r="M808" s="2249">
        <f t="shared" si="104"/>
        <v>0</v>
      </c>
      <c r="N808" s="922"/>
      <c r="O808" s="922"/>
      <c r="P808" s="679"/>
      <c r="Q808" s="706"/>
      <c r="R808" s="411"/>
      <c r="S808" s="706"/>
      <c r="T808" s="708"/>
      <c r="U808" s="706"/>
      <c r="V808" s="706"/>
      <c r="W808" s="706"/>
      <c r="X808" s="706"/>
      <c r="Y808" s="706"/>
      <c r="Z808" s="706"/>
      <c r="AA808" s="706"/>
    </row>
    <row r="809" spans="2:27">
      <c r="B809" s="2468" t="s">
        <v>350</v>
      </c>
      <c r="C809" s="2492"/>
      <c r="D809" s="2493">
        <f t="shared" si="101"/>
        <v>0</v>
      </c>
      <c r="E809" s="2471"/>
      <c r="F809" s="2252"/>
      <c r="G809" s="2471"/>
      <c r="H809" s="2252"/>
      <c r="I809" s="2249">
        <f t="shared" si="102"/>
        <v>0</v>
      </c>
      <c r="J809" s="2252"/>
      <c r="K809" s="2471"/>
      <c r="L809" s="2252"/>
      <c r="M809" s="2249">
        <f t="shared" si="104"/>
        <v>0</v>
      </c>
      <c r="N809" s="922"/>
      <c r="O809" s="922"/>
      <c r="P809" s="679"/>
      <c r="Q809" s="706"/>
      <c r="R809" s="389"/>
      <c r="S809" s="706"/>
      <c r="T809" s="708"/>
      <c r="U809" s="706"/>
      <c r="V809" s="706"/>
      <c r="W809" s="706"/>
      <c r="X809" s="706"/>
      <c r="Y809" s="706"/>
      <c r="Z809" s="706"/>
      <c r="AA809" s="706"/>
    </row>
    <row r="810" spans="2:27">
      <c r="B810" s="2478" t="s">
        <v>351</v>
      </c>
      <c r="C810" s="2494"/>
      <c r="D810" s="2493">
        <f t="shared" si="101"/>
        <v>4161.4662100000005</v>
      </c>
      <c r="E810" s="2471">
        <f>SUM(E804:E809)</f>
        <v>0</v>
      </c>
      <c r="F810" s="2252">
        <f>SUM(F804:F809)</f>
        <v>-2210.5447745500824</v>
      </c>
      <c r="G810" s="2471">
        <f>SUM(G804:G809)</f>
        <v>6372.0109845500829</v>
      </c>
      <c r="H810" s="2252">
        <f>SUM(H804:H809)</f>
        <v>0</v>
      </c>
      <c r="I810" s="2249">
        <f t="shared" si="102"/>
        <v>4161.4662100000005</v>
      </c>
      <c r="J810" s="2252">
        <f>SUM(J804:J809)</f>
        <v>0</v>
      </c>
      <c r="K810" s="2471">
        <f>SUM(K804:K809)</f>
        <v>0</v>
      </c>
      <c r="L810" s="2252">
        <f>SUM(L804:L809)</f>
        <v>0</v>
      </c>
      <c r="M810" s="2249">
        <f t="shared" si="104"/>
        <v>0</v>
      </c>
      <c r="N810" s="927"/>
      <c r="O810" s="922"/>
      <c r="P810" s="679"/>
      <c r="Q810" s="706"/>
      <c r="R810" s="411"/>
      <c r="S810" s="706"/>
      <c r="T810" s="708"/>
      <c r="U810" s="706"/>
      <c r="V810" s="706"/>
      <c r="W810" s="706"/>
      <c r="X810" s="706"/>
      <c r="Y810" s="706"/>
      <c r="Z810" s="706"/>
      <c r="AA810" s="706"/>
    </row>
    <row r="811" spans="2:27">
      <c r="B811" s="2468"/>
      <c r="C811" s="2492"/>
      <c r="D811" s="2493">
        <f t="shared" si="101"/>
        <v>0</v>
      </c>
      <c r="E811" s="2471"/>
      <c r="F811" s="2252"/>
      <c r="G811" s="2471"/>
      <c r="H811" s="2252"/>
      <c r="I811" s="2249">
        <f t="shared" si="102"/>
        <v>0</v>
      </c>
      <c r="J811" s="2252"/>
      <c r="K811" s="2471"/>
      <c r="L811" s="2252"/>
      <c r="M811" s="2249">
        <f t="shared" si="104"/>
        <v>0</v>
      </c>
      <c r="O811" s="922"/>
      <c r="P811" s="679"/>
      <c r="Q811" s="706"/>
      <c r="R811" s="389"/>
      <c r="S811" s="706"/>
      <c r="T811" s="708"/>
      <c r="U811" s="706"/>
      <c r="V811" s="706"/>
      <c r="W811" s="706"/>
      <c r="X811" s="706"/>
      <c r="Y811" s="706"/>
      <c r="Z811" s="706"/>
      <c r="AA811" s="706"/>
    </row>
    <row r="812" spans="2:27" ht="51">
      <c r="B812" s="2479" t="s">
        <v>352</v>
      </c>
      <c r="C812" s="2492"/>
      <c r="D812" s="2493">
        <f t="shared" si="101"/>
        <v>0</v>
      </c>
      <c r="E812" s="2471"/>
      <c r="F812" s="2252"/>
      <c r="G812" s="2471"/>
      <c r="H812" s="2252"/>
      <c r="I812" s="2249">
        <f t="shared" si="102"/>
        <v>0</v>
      </c>
      <c r="J812" s="2252"/>
      <c r="K812" s="2471"/>
      <c r="L812" s="2252"/>
      <c r="M812" s="2249">
        <f t="shared" si="104"/>
        <v>0</v>
      </c>
      <c r="N812" s="922"/>
      <c r="O812" s="922"/>
      <c r="P812" s="679"/>
      <c r="Q812" s="706"/>
      <c r="R812" s="389"/>
      <c r="S812" s="706"/>
      <c r="T812" s="708"/>
      <c r="U812" s="706"/>
      <c r="V812" s="706"/>
      <c r="W812" s="706"/>
      <c r="X812" s="706"/>
      <c r="Y812" s="706"/>
      <c r="Z812" s="706"/>
      <c r="AA812" s="706"/>
    </row>
    <row r="813" spans="2:27">
      <c r="B813" s="2468"/>
      <c r="C813" s="2492"/>
      <c r="D813" s="2493">
        <f t="shared" si="101"/>
        <v>0</v>
      </c>
      <c r="E813" s="2471"/>
      <c r="F813" s="2252"/>
      <c r="G813" s="2471"/>
      <c r="H813" s="2252"/>
      <c r="I813" s="2249">
        <f t="shared" si="102"/>
        <v>0</v>
      </c>
      <c r="J813" s="2252"/>
      <c r="K813" s="2471"/>
      <c r="L813" s="2252"/>
      <c r="M813" s="2249">
        <f t="shared" si="104"/>
        <v>0</v>
      </c>
      <c r="N813" s="922"/>
      <c r="O813" s="922"/>
      <c r="P813" s="679"/>
      <c r="Q813" s="706"/>
      <c r="R813" s="389"/>
      <c r="S813" s="706"/>
      <c r="T813" s="708"/>
      <c r="U813" s="706"/>
      <c r="V813" s="706"/>
      <c r="W813" s="706"/>
      <c r="X813" s="706"/>
      <c r="Y813" s="706"/>
      <c r="Z813" s="706"/>
      <c r="AA813" s="706"/>
    </row>
    <row r="814" spans="2:27" ht="12.75" customHeight="1">
      <c r="B814" s="2479" t="s">
        <v>353</v>
      </c>
      <c r="C814" s="2492">
        <v>4</v>
      </c>
      <c r="D814" s="2493">
        <f t="shared" si="101"/>
        <v>5886.6638699999985</v>
      </c>
      <c r="E814" s="2471"/>
      <c r="F814" s="2252">
        <v>5057.9482145500806</v>
      </c>
      <c r="G814" s="2471">
        <v>828.71565544991836</v>
      </c>
      <c r="H814" s="2252"/>
      <c r="I814" s="2249">
        <f t="shared" si="102"/>
        <v>5886.6638699999985</v>
      </c>
      <c r="J814" s="2252"/>
      <c r="K814" s="2471"/>
      <c r="L814" s="2252"/>
      <c r="M814" s="2249">
        <f t="shared" si="104"/>
        <v>0</v>
      </c>
      <c r="N814" s="922"/>
      <c r="O814" s="922"/>
      <c r="P814" s="679"/>
      <c r="Q814" s="706"/>
      <c r="R814" s="411"/>
      <c r="S814" s="706"/>
      <c r="T814" s="708"/>
      <c r="U814" s="706"/>
      <c r="V814" s="706"/>
      <c r="W814" s="706"/>
      <c r="X814" s="706"/>
      <c r="Y814" s="706"/>
      <c r="Z814" s="706"/>
      <c r="AA814" s="706"/>
    </row>
    <row r="815" spans="2:27">
      <c r="B815" s="2468" t="s">
        <v>354</v>
      </c>
      <c r="C815" s="2492"/>
      <c r="D815" s="2493">
        <f t="shared" si="101"/>
        <v>0</v>
      </c>
      <c r="E815" s="2471"/>
      <c r="F815" s="2252"/>
      <c r="G815" s="2471"/>
      <c r="H815" s="2252"/>
      <c r="I815" s="2249">
        <f t="shared" si="102"/>
        <v>0</v>
      </c>
      <c r="J815" s="2252"/>
      <c r="K815" s="2471"/>
      <c r="L815" s="2252"/>
      <c r="M815" s="2249">
        <f t="shared" si="104"/>
        <v>0</v>
      </c>
      <c r="N815" s="922"/>
      <c r="O815" s="922"/>
      <c r="P815" s="679"/>
      <c r="Q815" s="706"/>
      <c r="R815" s="389"/>
      <c r="S815" s="706"/>
      <c r="T815" s="708"/>
      <c r="U815" s="706"/>
      <c r="V815" s="706"/>
      <c r="W815" s="706"/>
      <c r="X815" s="706"/>
      <c r="Y815" s="706"/>
      <c r="Z815" s="706"/>
      <c r="AA815" s="706"/>
    </row>
    <row r="816" spans="2:27">
      <c r="B816" s="2468" t="s">
        <v>355</v>
      </c>
      <c r="C816" s="2492"/>
      <c r="D816" s="2493">
        <f t="shared" si="101"/>
        <v>0</v>
      </c>
      <c r="E816" s="2471"/>
      <c r="F816" s="2252"/>
      <c r="G816" s="2471"/>
      <c r="H816" s="2252"/>
      <c r="I816" s="2249">
        <f t="shared" si="102"/>
        <v>0</v>
      </c>
      <c r="J816" s="2252"/>
      <c r="K816" s="2471"/>
      <c r="L816" s="2252"/>
      <c r="M816" s="2249">
        <f t="shared" si="104"/>
        <v>0</v>
      </c>
      <c r="N816" s="922"/>
      <c r="O816" s="922"/>
      <c r="P816" s="679"/>
      <c r="Q816" s="706"/>
      <c r="R816" s="389"/>
      <c r="S816" s="706"/>
      <c r="T816" s="708"/>
      <c r="U816" s="706"/>
      <c r="V816" s="706"/>
      <c r="W816" s="706"/>
      <c r="X816" s="706"/>
      <c r="Y816" s="706"/>
      <c r="Z816" s="706"/>
      <c r="AA816" s="706"/>
    </row>
    <row r="817" spans="2:27">
      <c r="B817" s="2478" t="s">
        <v>356</v>
      </c>
      <c r="C817" s="2494"/>
      <c r="D817" s="2493">
        <f t="shared" si="101"/>
        <v>5886.6638699999985</v>
      </c>
      <c r="E817" s="2471">
        <f>SUM(E814:E816)</f>
        <v>0</v>
      </c>
      <c r="F817" s="2252">
        <f>SUM(F814:F816)</f>
        <v>5057.9482145500806</v>
      </c>
      <c r="G817" s="2471">
        <f>SUM(G814:G816)</f>
        <v>828.71565544991836</v>
      </c>
      <c r="H817" s="2252">
        <f>SUM(H814:H816)</f>
        <v>0</v>
      </c>
      <c r="I817" s="2249">
        <f t="shared" si="102"/>
        <v>5886.6638699999985</v>
      </c>
      <c r="J817" s="2252">
        <f>SUM(J814:J816)</f>
        <v>0</v>
      </c>
      <c r="K817" s="2471">
        <f>SUM(K814:K816)</f>
        <v>0</v>
      </c>
      <c r="L817" s="2252">
        <f>SUM(L814:L816)</f>
        <v>0</v>
      </c>
      <c r="M817" s="2249">
        <f t="shared" si="104"/>
        <v>0</v>
      </c>
      <c r="N817" s="927"/>
      <c r="O817" s="922"/>
      <c r="P817" s="679"/>
      <c r="Q817" s="706"/>
      <c r="R817" s="411"/>
      <c r="S817" s="706"/>
      <c r="T817" s="708"/>
      <c r="U817" s="706"/>
      <c r="V817" s="706"/>
      <c r="W817" s="706"/>
      <c r="X817" s="706"/>
      <c r="Y817" s="706"/>
      <c r="Z817" s="706"/>
      <c r="AA817" s="706"/>
    </row>
    <row r="818" spans="2:27">
      <c r="B818" s="2478"/>
      <c r="C818" s="2494"/>
      <c r="D818" s="2493">
        <f t="shared" si="101"/>
        <v>0</v>
      </c>
      <c r="E818" s="2471"/>
      <c r="F818" s="2252"/>
      <c r="G818" s="2471"/>
      <c r="H818" s="2252"/>
      <c r="I818" s="2249">
        <f t="shared" si="102"/>
        <v>0</v>
      </c>
      <c r="J818" s="2252"/>
      <c r="K818" s="2471"/>
      <c r="L818" s="2252"/>
      <c r="M818" s="2249">
        <f t="shared" si="104"/>
        <v>0</v>
      </c>
      <c r="O818" s="922"/>
      <c r="P818" s="679"/>
      <c r="Q818" s="706"/>
      <c r="R818" s="389"/>
      <c r="S818" s="706"/>
      <c r="T818" s="708"/>
      <c r="U818" s="706"/>
      <c r="V818" s="706"/>
      <c r="W818" s="706"/>
      <c r="X818" s="706"/>
      <c r="Y818" s="706"/>
      <c r="Z818" s="706"/>
      <c r="AA818" s="706"/>
    </row>
    <row r="819" spans="2:27">
      <c r="B819" s="2478" t="s">
        <v>357</v>
      </c>
      <c r="C819" s="2494"/>
      <c r="D819" s="2493">
        <f t="shared" si="101"/>
        <v>0</v>
      </c>
      <c r="E819" s="2471">
        <f>E802-E810-E812-E817</f>
        <v>0</v>
      </c>
      <c r="F819" s="2252">
        <f>F802-F810-F812-F817</f>
        <v>0</v>
      </c>
      <c r="G819" s="2471">
        <f>G802-G810-G812-G817</f>
        <v>0</v>
      </c>
      <c r="H819" s="2252">
        <f>H802-H810-H812-H817</f>
        <v>0</v>
      </c>
      <c r="I819" s="2249">
        <f t="shared" si="102"/>
        <v>0</v>
      </c>
      <c r="J819" s="2252">
        <f>J802-J810-J812-J817</f>
        <v>0</v>
      </c>
      <c r="K819" s="2471">
        <f>K802-K810-K812-K817</f>
        <v>0</v>
      </c>
      <c r="L819" s="2252">
        <f>L802-L810-L812-L817</f>
        <v>0</v>
      </c>
      <c r="M819" s="2249">
        <f t="shared" si="104"/>
        <v>0</v>
      </c>
      <c r="N819" s="927"/>
      <c r="O819" s="922"/>
      <c r="P819" s="679"/>
      <c r="Q819" s="706"/>
      <c r="R819" s="389"/>
      <c r="S819" s="706"/>
      <c r="T819" s="708"/>
      <c r="U819" s="706"/>
      <c r="V819" s="706"/>
      <c r="W819" s="706"/>
      <c r="X819" s="706"/>
      <c r="Y819" s="706"/>
      <c r="Z819" s="706"/>
      <c r="AA819" s="706"/>
    </row>
    <row r="820" spans="2:27">
      <c r="B820" s="2468" t="s">
        <v>358</v>
      </c>
      <c r="C820" s="2492"/>
      <c r="D820" s="2493">
        <f t="shared" si="101"/>
        <v>0</v>
      </c>
      <c r="E820" s="2471"/>
      <c r="F820" s="2252"/>
      <c r="G820" s="2471"/>
      <c r="H820" s="2252"/>
      <c r="I820" s="2249">
        <f t="shared" si="102"/>
        <v>0</v>
      </c>
      <c r="J820" s="2252"/>
      <c r="K820" s="2471"/>
      <c r="L820" s="2252"/>
      <c r="M820" s="2249">
        <f t="shared" si="104"/>
        <v>0</v>
      </c>
      <c r="N820" s="922"/>
      <c r="O820" s="922"/>
      <c r="P820" s="679"/>
      <c r="Q820" s="706"/>
      <c r="R820" s="389"/>
      <c r="S820" s="706"/>
      <c r="T820" s="708"/>
      <c r="U820" s="706"/>
      <c r="V820" s="706"/>
      <c r="W820" s="706"/>
      <c r="X820" s="706"/>
      <c r="Y820" s="706"/>
      <c r="Z820" s="706"/>
      <c r="AA820" s="706"/>
    </row>
    <row r="821" spans="2:27">
      <c r="B821" s="2468"/>
      <c r="C821" s="2492"/>
      <c r="D821" s="2493">
        <f t="shared" si="101"/>
        <v>0</v>
      </c>
      <c r="E821" s="2471"/>
      <c r="F821" s="2252"/>
      <c r="G821" s="2471"/>
      <c r="H821" s="2252"/>
      <c r="I821" s="2249">
        <f t="shared" si="102"/>
        <v>0</v>
      </c>
      <c r="J821" s="2252"/>
      <c r="K821" s="2471"/>
      <c r="L821" s="2252"/>
      <c r="M821" s="2249">
        <f t="shared" si="104"/>
        <v>0</v>
      </c>
      <c r="O821" s="922"/>
      <c r="P821" s="679"/>
      <c r="Q821" s="706"/>
      <c r="R821" s="389"/>
      <c r="S821" s="706"/>
      <c r="T821" s="708"/>
      <c r="U821" s="706"/>
      <c r="V821" s="706"/>
      <c r="W821" s="706"/>
      <c r="X821" s="706"/>
      <c r="Y821" s="706"/>
      <c r="Z821" s="706"/>
      <c r="AA821" s="706"/>
    </row>
    <row r="822" spans="2:27" ht="13.5" thickBot="1">
      <c r="B822" s="1611" t="s">
        <v>359</v>
      </c>
      <c r="C822" s="1622"/>
      <c r="D822" s="1623">
        <f t="shared" si="101"/>
        <v>0</v>
      </c>
      <c r="E822" s="1614">
        <f>E819-E820</f>
        <v>0</v>
      </c>
      <c r="F822" s="1624">
        <f>F819-F820</f>
        <v>0</v>
      </c>
      <c r="G822" s="1614">
        <f>G819-G820</f>
        <v>0</v>
      </c>
      <c r="H822" s="1624">
        <f>H819-H820</f>
        <v>0</v>
      </c>
      <c r="I822" s="1614">
        <f t="shared" si="102"/>
        <v>0</v>
      </c>
      <c r="J822" s="1624">
        <f>J819-J820</f>
        <v>0</v>
      </c>
      <c r="K822" s="1614">
        <f>K819-K820</f>
        <v>0</v>
      </c>
      <c r="L822" s="1624">
        <f>L819-L820</f>
        <v>0</v>
      </c>
      <c r="M822" s="1614">
        <f t="shared" si="104"/>
        <v>0</v>
      </c>
      <c r="N822" s="927"/>
      <c r="O822" s="922"/>
      <c r="P822" s="679"/>
      <c r="Q822" s="706"/>
      <c r="R822" s="389"/>
      <c r="S822" s="706"/>
      <c r="T822" s="708"/>
      <c r="U822" s="706"/>
      <c r="V822" s="706"/>
      <c r="W822" s="706"/>
      <c r="X822" s="706"/>
      <c r="Y822" s="706"/>
      <c r="Z822" s="706"/>
      <c r="AA822" s="706"/>
    </row>
    <row r="824" spans="2:27">
      <c r="M824" s="673">
        <v>63</v>
      </c>
    </row>
  </sheetData>
  <mergeCells count="251">
    <mergeCell ref="H398:H399"/>
    <mergeCell ref="H446:H447"/>
    <mergeCell ref="H494:H495"/>
    <mergeCell ref="H542:H543"/>
    <mergeCell ref="H590:H591"/>
    <mergeCell ref="H639:H640"/>
    <mergeCell ref="H687:H688"/>
    <mergeCell ref="H735:H736"/>
    <mergeCell ref="H783:H784"/>
    <mergeCell ref="J9:J10"/>
    <mergeCell ref="F55:I55"/>
    <mergeCell ref="F297:I297"/>
    <mergeCell ref="F345:I345"/>
    <mergeCell ref="B395:B399"/>
    <mergeCell ref="C395:C399"/>
    <mergeCell ref="D395:D397"/>
    <mergeCell ref="E395:E397"/>
    <mergeCell ref="E398:E399"/>
    <mergeCell ref="F398:F399"/>
    <mergeCell ref="G398:G399"/>
    <mergeCell ref="B102:B106"/>
    <mergeCell ref="C102:C106"/>
    <mergeCell ref="D102:D104"/>
    <mergeCell ref="E102:E104"/>
    <mergeCell ref="F102:M102"/>
    <mergeCell ref="F103:I103"/>
    <mergeCell ref="J103:M103"/>
    <mergeCell ref="E105:E106"/>
    <mergeCell ref="F105:F106"/>
    <mergeCell ref="G105:G106"/>
    <mergeCell ref="J105:J106"/>
    <mergeCell ref="K105:K106"/>
    <mergeCell ref="H9:H10"/>
    <mergeCell ref="L9:L10"/>
    <mergeCell ref="R10:S10"/>
    <mergeCell ref="B54:B58"/>
    <mergeCell ref="C54:C58"/>
    <mergeCell ref="D54:D56"/>
    <mergeCell ref="E54:E56"/>
    <mergeCell ref="F54:M54"/>
    <mergeCell ref="J55:M55"/>
    <mergeCell ref="E57:E58"/>
    <mergeCell ref="F57:F58"/>
    <mergeCell ref="G57:G58"/>
    <mergeCell ref="J57:J58"/>
    <mergeCell ref="K57:K58"/>
    <mergeCell ref="L57:L58"/>
    <mergeCell ref="B6:B10"/>
    <mergeCell ref="C6:C10"/>
    <mergeCell ref="D6:D8"/>
    <mergeCell ref="E6:E8"/>
    <mergeCell ref="F6:M6"/>
    <mergeCell ref="F7:I7"/>
    <mergeCell ref="J7:M7"/>
    <mergeCell ref="E9:E10"/>
    <mergeCell ref="F9:F10"/>
    <mergeCell ref="G9:G10"/>
    <mergeCell ref="B150:B154"/>
    <mergeCell ref="C150:C154"/>
    <mergeCell ref="D150:D152"/>
    <mergeCell ref="E150:E152"/>
    <mergeCell ref="F150:M150"/>
    <mergeCell ref="F151:I151"/>
    <mergeCell ref="J151:M151"/>
    <mergeCell ref="E153:E154"/>
    <mergeCell ref="F153:F154"/>
    <mergeCell ref="G153:G154"/>
    <mergeCell ref="J153:J154"/>
    <mergeCell ref="K153:K154"/>
    <mergeCell ref="L153:L154"/>
    <mergeCell ref="B198:B202"/>
    <mergeCell ref="C198:C202"/>
    <mergeCell ref="D198:D200"/>
    <mergeCell ref="E198:E200"/>
    <mergeCell ref="F198:M198"/>
    <mergeCell ref="F199:I199"/>
    <mergeCell ref="J199:M199"/>
    <mergeCell ref="E201:E202"/>
    <mergeCell ref="F201:F202"/>
    <mergeCell ref="G201:G202"/>
    <mergeCell ref="J201:J202"/>
    <mergeCell ref="K201:K202"/>
    <mergeCell ref="L201:L202"/>
    <mergeCell ref="B248:B252"/>
    <mergeCell ref="C248:C252"/>
    <mergeCell ref="D248:D250"/>
    <mergeCell ref="E248:E250"/>
    <mergeCell ref="F248:M248"/>
    <mergeCell ref="F249:I249"/>
    <mergeCell ref="J249:M249"/>
    <mergeCell ref="E251:E252"/>
    <mergeCell ref="F251:F252"/>
    <mergeCell ref="G251:G252"/>
    <mergeCell ref="J251:J252"/>
    <mergeCell ref="K251:K252"/>
    <mergeCell ref="L251:L252"/>
    <mergeCell ref="B296:B300"/>
    <mergeCell ref="C296:C300"/>
    <mergeCell ref="D296:D298"/>
    <mergeCell ref="E296:E298"/>
    <mergeCell ref="F296:M296"/>
    <mergeCell ref="J297:M297"/>
    <mergeCell ref="E299:E300"/>
    <mergeCell ref="F299:F300"/>
    <mergeCell ref="G299:G300"/>
    <mergeCell ref="J299:J300"/>
    <mergeCell ref="K299:K300"/>
    <mergeCell ref="L299:L300"/>
    <mergeCell ref="H299:H300"/>
    <mergeCell ref="B344:B348"/>
    <mergeCell ref="C344:C348"/>
    <mergeCell ref="D344:D346"/>
    <mergeCell ref="E344:E346"/>
    <mergeCell ref="F344:M344"/>
    <mergeCell ref="J345:M345"/>
    <mergeCell ref="E347:E348"/>
    <mergeCell ref="F347:F348"/>
    <mergeCell ref="G347:G348"/>
    <mergeCell ref="J347:J348"/>
    <mergeCell ref="K347:K348"/>
    <mergeCell ref="L347:L348"/>
    <mergeCell ref="H347:H348"/>
    <mergeCell ref="B443:B447"/>
    <mergeCell ref="C443:C447"/>
    <mergeCell ref="D443:D445"/>
    <mergeCell ref="E443:E445"/>
    <mergeCell ref="F443:M443"/>
    <mergeCell ref="J444:M444"/>
    <mergeCell ref="E446:E447"/>
    <mergeCell ref="F446:F447"/>
    <mergeCell ref="G446:G447"/>
    <mergeCell ref="J446:J447"/>
    <mergeCell ref="K446:K447"/>
    <mergeCell ref="L446:L447"/>
    <mergeCell ref="F444:I444"/>
    <mergeCell ref="B491:B495"/>
    <mergeCell ref="C491:C495"/>
    <mergeCell ref="D491:D493"/>
    <mergeCell ref="E491:E493"/>
    <mergeCell ref="F491:M491"/>
    <mergeCell ref="F492:I492"/>
    <mergeCell ref="J492:M492"/>
    <mergeCell ref="E494:E495"/>
    <mergeCell ref="F494:F495"/>
    <mergeCell ref="G494:G495"/>
    <mergeCell ref="J494:J495"/>
    <mergeCell ref="K494:K495"/>
    <mergeCell ref="L494:L495"/>
    <mergeCell ref="B539:B543"/>
    <mergeCell ref="C539:C543"/>
    <mergeCell ref="D539:D541"/>
    <mergeCell ref="E539:E541"/>
    <mergeCell ref="F539:M539"/>
    <mergeCell ref="F540:I540"/>
    <mergeCell ref="J540:M540"/>
    <mergeCell ref="E542:E543"/>
    <mergeCell ref="F542:F543"/>
    <mergeCell ref="G542:G543"/>
    <mergeCell ref="J542:J543"/>
    <mergeCell ref="K542:K543"/>
    <mergeCell ref="L542:L543"/>
    <mergeCell ref="B587:B591"/>
    <mergeCell ref="C587:C591"/>
    <mergeCell ref="D587:D589"/>
    <mergeCell ref="E587:E589"/>
    <mergeCell ref="F587:M587"/>
    <mergeCell ref="F588:I588"/>
    <mergeCell ref="J588:M588"/>
    <mergeCell ref="E590:E591"/>
    <mergeCell ref="F590:F591"/>
    <mergeCell ref="G590:G591"/>
    <mergeCell ref="J590:J591"/>
    <mergeCell ref="K590:K591"/>
    <mergeCell ref="L590:L591"/>
    <mergeCell ref="B636:B640"/>
    <mergeCell ref="C636:C640"/>
    <mergeCell ref="D636:D638"/>
    <mergeCell ref="E636:E638"/>
    <mergeCell ref="F636:M636"/>
    <mergeCell ref="F637:I637"/>
    <mergeCell ref="J637:M637"/>
    <mergeCell ref="E639:E640"/>
    <mergeCell ref="F639:F640"/>
    <mergeCell ref="G639:G640"/>
    <mergeCell ref="J639:J640"/>
    <mergeCell ref="K639:K640"/>
    <mergeCell ref="L639:L640"/>
    <mergeCell ref="J735:J736"/>
    <mergeCell ref="K735:K736"/>
    <mergeCell ref="L735:L736"/>
    <mergeCell ref="B684:B688"/>
    <mergeCell ref="C684:C688"/>
    <mergeCell ref="D684:D686"/>
    <mergeCell ref="E684:E686"/>
    <mergeCell ref="F684:M684"/>
    <mergeCell ref="F685:I685"/>
    <mergeCell ref="J685:M685"/>
    <mergeCell ref="E687:E688"/>
    <mergeCell ref="F687:F688"/>
    <mergeCell ref="G687:G688"/>
    <mergeCell ref="J687:J688"/>
    <mergeCell ref="K687:K688"/>
    <mergeCell ref="L687:L688"/>
    <mergeCell ref="K9:K10"/>
    <mergeCell ref="B780:B784"/>
    <mergeCell ref="C780:C784"/>
    <mergeCell ref="D780:D782"/>
    <mergeCell ref="E780:E782"/>
    <mergeCell ref="F780:M780"/>
    <mergeCell ref="F781:I781"/>
    <mergeCell ref="J781:M781"/>
    <mergeCell ref="E783:E784"/>
    <mergeCell ref="F783:F784"/>
    <mergeCell ref="G783:G784"/>
    <mergeCell ref="J783:J784"/>
    <mergeCell ref="K783:K784"/>
    <mergeCell ref="L783:L784"/>
    <mergeCell ref="B732:B736"/>
    <mergeCell ref="C732:C736"/>
    <mergeCell ref="D732:D734"/>
    <mergeCell ref="E732:E734"/>
    <mergeCell ref="F732:M732"/>
    <mergeCell ref="F733:I733"/>
    <mergeCell ref="J733:M733"/>
    <mergeCell ref="E735:E736"/>
    <mergeCell ref="F735:F736"/>
    <mergeCell ref="G735:G736"/>
    <mergeCell ref="L247:M247"/>
    <mergeCell ref="L490:M490"/>
    <mergeCell ref="L538:M538"/>
    <mergeCell ref="L586:M586"/>
    <mergeCell ref="L635:M635"/>
    <mergeCell ref="L683:M683"/>
    <mergeCell ref="L731:M731"/>
    <mergeCell ref="L779:M779"/>
    <mergeCell ref="L5:M5"/>
    <mergeCell ref="L53:M53"/>
    <mergeCell ref="L101:M101"/>
    <mergeCell ref="L149:M149"/>
    <mergeCell ref="L197:M197"/>
    <mergeCell ref="L295:M295"/>
    <mergeCell ref="L343:M343"/>
    <mergeCell ref="L394:M394"/>
    <mergeCell ref="F395:M395"/>
    <mergeCell ref="F396:I396"/>
    <mergeCell ref="J396:M396"/>
    <mergeCell ref="J398:J399"/>
    <mergeCell ref="K398:K399"/>
    <mergeCell ref="L398:L399"/>
    <mergeCell ref="L442:M442"/>
    <mergeCell ref="L105:L106"/>
  </mergeCells>
  <conditionalFormatting sqref="Q838:Q1048576">
    <cfRule type="containsText" dxfId="9" priority="4" operator="containsText" text="FALSE">
      <formula>NOT(ISERROR(SEARCH("FALSE",Q838)))</formula>
    </cfRule>
    <cfRule type="containsText" dxfId="8" priority="5" operator="containsText" text="TRUE">
      <formula>NOT(ISERROR(SEARCH("TRUE",Q838)))</formula>
    </cfRule>
  </conditionalFormatting>
  <conditionalFormatting sqref="R838:AA1048576">
    <cfRule type="cellIs" dxfId="7" priority="1" operator="equal">
      <formula>0</formula>
    </cfRule>
    <cfRule type="cellIs" dxfId="6" priority="2" operator="lessThan">
      <formula>0</formula>
    </cfRule>
    <cfRule type="cellIs" dxfId="5" priority="3" operator="greaterThan">
      <formula>0</formula>
    </cfRule>
  </conditionalFormatting>
  <pageMargins left="0.36" right="0.34" top="0.6" bottom="0.75" header="0.3" footer="0.3"/>
  <pageSetup paperSize="9" scale="65" orientation="landscape" r:id="rId1"/>
  <rowBreaks count="16" manualBreakCount="16">
    <brk id="50" max="12" man="1"/>
    <brk id="98" max="12" man="1"/>
    <brk id="146" max="12" man="1"/>
    <brk id="194" max="12" man="1"/>
    <brk id="244" max="12" man="1"/>
    <brk id="292" max="12" man="1"/>
    <brk id="340" max="12" man="1"/>
    <brk id="390" max="12" man="1"/>
    <brk id="439" max="12" man="1"/>
    <brk id="487" max="12" man="1"/>
    <brk id="535" max="12" man="1"/>
    <brk id="583" max="12" man="1"/>
    <brk id="632" max="12" man="1"/>
    <brk id="680" max="12" man="1"/>
    <brk id="728" max="12" man="1"/>
    <brk id="776"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9"/>
  <sheetViews>
    <sheetView view="pageBreakPreview" zoomScaleNormal="100" zoomScaleSheetLayoutView="100" workbookViewId="0">
      <selection activeCell="C8" sqref="C8"/>
    </sheetView>
  </sheetViews>
  <sheetFormatPr defaultColWidth="9.140625" defaultRowHeight="15"/>
  <cols>
    <col min="1" max="1" width="7.85546875" style="506" customWidth="1"/>
    <col min="2" max="2" width="5.85546875" style="510" customWidth="1"/>
    <col min="3" max="3" width="111.140625" style="506" customWidth="1"/>
    <col min="4" max="4" width="10.140625" style="506" customWidth="1"/>
    <col min="5" max="16384" width="9.140625" style="506"/>
  </cols>
  <sheetData>
    <row r="2" spans="1:3">
      <c r="B2" s="509" t="s">
        <v>3</v>
      </c>
    </row>
    <row r="4" spans="1:3" ht="30">
      <c r="B4" s="523" t="s">
        <v>4</v>
      </c>
      <c r="C4" s="507" t="s">
        <v>5</v>
      </c>
    </row>
    <row r="5" spans="1:3" ht="30">
      <c r="B5" s="523" t="s">
        <v>6</v>
      </c>
      <c r="C5" s="507" t="s">
        <v>7</v>
      </c>
    </row>
    <row r="6" spans="1:3" ht="30">
      <c r="B6" s="523" t="s">
        <v>8</v>
      </c>
      <c r="C6" s="507" t="s">
        <v>9</v>
      </c>
    </row>
    <row r="7" spans="1:3" ht="30">
      <c r="B7" s="523" t="s">
        <v>10</v>
      </c>
      <c r="C7" s="1963" t="s">
        <v>11</v>
      </c>
    </row>
    <row r="8" spans="1:3" ht="30">
      <c r="B8" s="523" t="s">
        <v>12</v>
      </c>
      <c r="C8" s="507" t="s">
        <v>13</v>
      </c>
    </row>
    <row r="9" spans="1:3">
      <c r="B9" s="523" t="s">
        <v>14</v>
      </c>
      <c r="C9" s="507" t="s">
        <v>15</v>
      </c>
    </row>
    <row r="10" spans="1:3">
      <c r="B10" s="523" t="s">
        <v>16</v>
      </c>
      <c r="C10" s="507" t="s">
        <v>17</v>
      </c>
    </row>
    <row r="11" spans="1:3">
      <c r="B11" s="523">
        <v>8</v>
      </c>
      <c r="C11" s="507" t="s">
        <v>18</v>
      </c>
    </row>
    <row r="12" spans="1:3">
      <c r="C12" s="522" t="s">
        <v>19</v>
      </c>
    </row>
    <row r="13" spans="1:3">
      <c r="C13" s="522" t="s">
        <v>20</v>
      </c>
    </row>
    <row r="14" spans="1:3">
      <c r="C14" s="522" t="s">
        <v>21</v>
      </c>
    </row>
    <row r="15" spans="1:3">
      <c r="A15" s="3417" t="s">
        <v>22</v>
      </c>
      <c r="B15" s="3417"/>
      <c r="C15" s="3417"/>
    </row>
    <row r="19" spans="3:3">
      <c r="C19" s="524"/>
    </row>
  </sheetData>
  <mergeCells count="1">
    <mergeCell ref="A15:C15"/>
  </mergeCells>
  <pageMargins left="0.7" right="0.7" top="0.75" bottom="0.75" header="0.3" footer="0.3"/>
  <pageSetup paperSize="9" scale="71" orientation="landscape"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L839"/>
  <sheetViews>
    <sheetView view="pageBreakPreview" topLeftCell="A757" zoomScale="55" zoomScaleNormal="80" zoomScaleSheetLayoutView="55" workbookViewId="0">
      <selection activeCell="P795" sqref="P795"/>
    </sheetView>
  </sheetViews>
  <sheetFormatPr defaultColWidth="9.140625" defaultRowHeight="12.75"/>
  <cols>
    <col min="1" max="1" width="7.85546875" style="673" customWidth="1"/>
    <col min="2" max="2" width="39.28515625" style="673" customWidth="1"/>
    <col min="3" max="3" width="0" style="673" hidden="1" customWidth="1"/>
    <col min="4" max="10" width="14.28515625" style="673" customWidth="1"/>
    <col min="11" max="11" width="10.140625" style="673" customWidth="1"/>
    <col min="12" max="13" width="14.28515625" style="673" customWidth="1"/>
    <col min="14" max="15" width="14.5703125" style="680" customWidth="1"/>
    <col min="16" max="16" width="13.28515625" style="673" customWidth="1"/>
    <col min="17" max="17" width="9.5703125" style="699" customWidth="1"/>
    <col min="18" max="18" width="12.7109375" style="961" bestFit="1" customWidth="1"/>
    <col min="19" max="19" width="14.5703125" style="961" bestFit="1" customWidth="1"/>
    <col min="20" max="20" width="11.140625" style="961" customWidth="1"/>
    <col min="21" max="21" width="11.7109375" style="961" customWidth="1"/>
    <col min="22" max="22" width="8.140625" style="961" customWidth="1"/>
    <col min="23" max="23" width="13" style="961" customWidth="1"/>
    <col min="24" max="27" width="8.140625" style="961" customWidth="1"/>
    <col min="28" max="28" width="9.140625" style="918"/>
    <col min="29" max="29" width="13.7109375" style="918" bestFit="1" customWidth="1"/>
    <col min="30" max="30" width="12.28515625" style="918" bestFit="1" customWidth="1"/>
    <col min="31" max="31" width="10" style="918" bestFit="1" customWidth="1"/>
    <col min="32" max="32" width="12.28515625" style="918" bestFit="1" customWidth="1"/>
    <col min="33" max="34" width="13.42578125" style="918" bestFit="1" customWidth="1"/>
    <col min="35" max="35" width="11" style="918" bestFit="1" customWidth="1"/>
    <col min="36" max="36" width="9.28515625" style="918" bestFit="1" customWidth="1"/>
    <col min="37" max="37" width="11.28515625" style="918" bestFit="1" customWidth="1"/>
    <col min="38" max="38" width="12.28515625" style="918" bestFit="1" customWidth="1"/>
    <col min="39" max="16384" width="9.140625" style="673"/>
  </cols>
  <sheetData>
    <row r="1" spans="2:27">
      <c r="R1" s="699"/>
      <c r="S1" s="699"/>
      <c r="T1" s="699"/>
      <c r="U1" s="699"/>
      <c r="V1" s="699"/>
      <c r="W1" s="699"/>
      <c r="X1" s="699"/>
      <c r="Y1" s="699"/>
      <c r="Z1" s="699"/>
      <c r="AA1" s="699"/>
    </row>
    <row r="2" spans="2:27">
      <c r="B2" s="913" t="s">
        <v>368</v>
      </c>
      <c r="R2" s="699"/>
      <c r="S2" s="699"/>
      <c r="T2" s="699"/>
      <c r="U2" s="699"/>
      <c r="V2" s="699"/>
      <c r="W2" s="699"/>
      <c r="X2" s="699"/>
      <c r="Y2" s="699"/>
      <c r="Z2" s="699"/>
      <c r="AA2" s="699"/>
    </row>
    <row r="3" spans="2:27">
      <c r="B3" s="913"/>
      <c r="R3" s="699"/>
      <c r="S3" s="699"/>
      <c r="T3" s="699"/>
      <c r="U3" s="699"/>
      <c r="V3" s="699"/>
      <c r="W3" s="699"/>
      <c r="X3" s="699"/>
      <c r="Y3" s="699"/>
      <c r="Z3" s="699"/>
      <c r="AA3" s="699"/>
    </row>
    <row r="4" spans="2:27">
      <c r="B4" s="913" t="s">
        <v>369</v>
      </c>
      <c r="P4" s="679"/>
      <c r="R4" s="699"/>
      <c r="S4" s="699"/>
      <c r="T4" s="699"/>
      <c r="U4" s="699"/>
      <c r="V4" s="699"/>
      <c r="W4" s="699"/>
      <c r="X4" s="699"/>
      <c r="Y4" s="699"/>
      <c r="Z4" s="699"/>
      <c r="AA4" s="699"/>
    </row>
    <row r="5" spans="2:27" ht="17.25" customHeight="1" thickBot="1">
      <c r="L5" s="3538" t="s">
        <v>251</v>
      </c>
      <c r="M5" s="3538"/>
      <c r="R5" s="699"/>
      <c r="S5" s="699"/>
      <c r="T5" s="699"/>
      <c r="U5" s="699"/>
      <c r="V5" s="699"/>
      <c r="W5" s="699"/>
      <c r="X5" s="699"/>
      <c r="Y5" s="699"/>
      <c r="Z5" s="699"/>
      <c r="AA5" s="699"/>
    </row>
    <row r="6" spans="2:27" ht="17.25" customHeight="1" thickBot="1">
      <c r="B6" s="3523" t="s">
        <v>253</v>
      </c>
      <c r="C6" s="3523" t="s">
        <v>325</v>
      </c>
      <c r="D6" s="3518" t="s">
        <v>255</v>
      </c>
      <c r="E6" s="3518" t="s">
        <v>326</v>
      </c>
      <c r="F6" s="3574" t="s">
        <v>258</v>
      </c>
      <c r="G6" s="3574"/>
      <c r="H6" s="3574"/>
      <c r="I6" s="3574"/>
      <c r="J6" s="3574"/>
      <c r="K6" s="3574"/>
      <c r="L6" s="3574"/>
      <c r="M6" s="3574"/>
      <c r="R6" s="699"/>
      <c r="S6" s="699"/>
      <c r="T6" s="699"/>
      <c r="U6" s="699"/>
      <c r="V6" s="699"/>
      <c r="W6" s="699"/>
      <c r="X6" s="699"/>
      <c r="Y6" s="699"/>
      <c r="Z6" s="699"/>
      <c r="AA6" s="699"/>
    </row>
    <row r="7" spans="2:27" ht="39.75" customHeight="1">
      <c r="B7" s="3524"/>
      <c r="C7" s="3524"/>
      <c r="D7" s="3520"/>
      <c r="E7" s="3520"/>
      <c r="F7" s="3575" t="s">
        <v>259</v>
      </c>
      <c r="G7" s="3576"/>
      <c r="H7" s="3576"/>
      <c r="I7" s="3577"/>
      <c r="J7" s="3574" t="s">
        <v>327</v>
      </c>
      <c r="K7" s="3574"/>
      <c r="L7" s="3574"/>
      <c r="M7" s="3574"/>
      <c r="R7" s="699"/>
      <c r="S7" s="699"/>
      <c r="T7" s="699"/>
      <c r="U7" s="699"/>
      <c r="V7" s="699"/>
      <c r="W7" s="699"/>
      <c r="X7" s="699"/>
      <c r="Y7" s="699"/>
      <c r="Z7" s="699"/>
      <c r="AA7" s="699"/>
    </row>
    <row r="8" spans="2:27" ht="40.5" customHeight="1" thickBot="1">
      <c r="B8" s="3524"/>
      <c r="C8" s="3524"/>
      <c r="D8" s="3519"/>
      <c r="E8" s="3519"/>
      <c r="F8" s="1339" t="s">
        <v>261</v>
      </c>
      <c r="G8" s="1339" t="s">
        <v>262</v>
      </c>
      <c r="H8" s="1339" t="s">
        <v>263</v>
      </c>
      <c r="I8" s="1339" t="s">
        <v>158</v>
      </c>
      <c r="J8" s="1588" t="s">
        <v>328</v>
      </c>
      <c r="K8" s="1588" t="s">
        <v>265</v>
      </c>
      <c r="L8" s="1588" t="s">
        <v>329</v>
      </c>
      <c r="M8" s="1588" t="s">
        <v>158</v>
      </c>
      <c r="R8" s="699"/>
      <c r="S8" s="699"/>
      <c r="T8" s="699"/>
      <c r="U8" s="699"/>
      <c r="V8" s="699"/>
      <c r="W8" s="699"/>
      <c r="X8" s="699"/>
      <c r="Y8" s="699"/>
      <c r="Z8" s="699"/>
      <c r="AA8" s="699"/>
    </row>
    <row r="9" spans="2:27" ht="17.25" customHeight="1" thickBot="1">
      <c r="B9" s="3524"/>
      <c r="C9" s="3524"/>
      <c r="D9" s="1589">
        <v>1</v>
      </c>
      <c r="E9" s="3518">
        <v>2</v>
      </c>
      <c r="F9" s="3518">
        <v>3</v>
      </c>
      <c r="G9" s="3518">
        <v>4</v>
      </c>
      <c r="H9" s="3518">
        <v>5</v>
      </c>
      <c r="I9" s="1589">
        <v>6</v>
      </c>
      <c r="J9" s="3518">
        <v>7</v>
      </c>
      <c r="K9" s="3518">
        <v>8</v>
      </c>
      <c r="L9" s="3518">
        <v>9</v>
      </c>
      <c r="M9" s="1589">
        <v>10</v>
      </c>
      <c r="R9" s="699"/>
      <c r="S9" s="699"/>
      <c r="T9" s="699"/>
      <c r="U9" s="699"/>
      <c r="V9" s="699"/>
      <c r="W9" s="699"/>
      <c r="X9" s="699"/>
      <c r="Y9" s="699"/>
      <c r="Z9" s="699"/>
      <c r="AA9" s="699"/>
    </row>
    <row r="10" spans="2:27" ht="12.75" customHeight="1" thickBot="1">
      <c r="B10" s="3524"/>
      <c r="C10" s="3525"/>
      <c r="D10" s="1590" t="s">
        <v>330</v>
      </c>
      <c r="E10" s="3519"/>
      <c r="F10" s="3519"/>
      <c r="G10" s="3519"/>
      <c r="H10" s="3519"/>
      <c r="I10" s="1588" t="s">
        <v>331</v>
      </c>
      <c r="J10" s="3519"/>
      <c r="K10" s="3519"/>
      <c r="L10" s="3519"/>
      <c r="M10" s="1590" t="s">
        <v>332</v>
      </c>
      <c r="N10" s="703"/>
      <c r="O10" s="703"/>
      <c r="R10" s="3581"/>
      <c r="S10" s="3581"/>
      <c r="T10" s="699"/>
      <c r="U10" s="699"/>
      <c r="V10" s="699"/>
      <c r="W10" s="706"/>
      <c r="X10" s="699"/>
      <c r="Y10" s="699"/>
      <c r="Z10" s="699"/>
      <c r="AA10" s="699"/>
    </row>
    <row r="11" spans="2:27" ht="15">
      <c r="B11" s="1609" t="s">
        <v>333</v>
      </c>
      <c r="C11" s="919"/>
      <c r="D11" s="1592">
        <f t="shared" ref="D11:M11" si="0">+D60+D108+D156+D203+D253+D301+D349+D399+D447+D495+D543+D591+D639+D687+D735+D783</f>
        <v>103000227.90682198</v>
      </c>
      <c r="E11" s="920">
        <f t="shared" si="0"/>
        <v>0</v>
      </c>
      <c r="F11" s="921">
        <f t="shared" si="0"/>
        <v>21501412.265043415</v>
      </c>
      <c r="G11" s="920">
        <f t="shared" si="0"/>
        <v>42817108.718768582</v>
      </c>
      <c r="H11" s="921">
        <f t="shared" si="0"/>
        <v>37007344.028689995</v>
      </c>
      <c r="I11" s="1441">
        <f t="shared" si="0"/>
        <v>101325865.012502</v>
      </c>
      <c r="J11" s="921">
        <f t="shared" si="0"/>
        <v>957436.81599999999</v>
      </c>
      <c r="K11" s="920">
        <f t="shared" si="0"/>
        <v>0</v>
      </c>
      <c r="L11" s="921">
        <f t="shared" si="0"/>
        <v>716926.07831999997</v>
      </c>
      <c r="M11" s="1441">
        <f t="shared" si="0"/>
        <v>1674362.89432</v>
      </c>
      <c r="N11" s="922"/>
      <c r="O11" s="922"/>
      <c r="Q11" s="706"/>
      <c r="R11" s="179"/>
      <c r="S11" s="923"/>
      <c r="T11" s="924"/>
      <c r="U11" s="706"/>
      <c r="V11" s="706"/>
      <c r="W11" s="706"/>
      <c r="X11" s="699"/>
      <c r="Y11" s="699"/>
      <c r="Z11" s="699"/>
      <c r="AA11" s="699"/>
    </row>
    <row r="12" spans="2:27" ht="15">
      <c r="B12" s="2468"/>
      <c r="C12" s="2524"/>
      <c r="D12" s="1593">
        <f t="shared" ref="D12:M12" si="1">+D61+D109+D157+D204+D254+D302+D350+D400+D448+D496+D544+D592+D640+D688+D736+D784</f>
        <v>0</v>
      </c>
      <c r="E12" s="925">
        <f t="shared" si="1"/>
        <v>0</v>
      </c>
      <c r="F12" s="926">
        <f t="shared" si="1"/>
        <v>0</v>
      </c>
      <c r="G12" s="925">
        <f t="shared" si="1"/>
        <v>0</v>
      </c>
      <c r="H12" s="926">
        <f t="shared" si="1"/>
        <v>0</v>
      </c>
      <c r="I12" s="2249">
        <f t="shared" si="1"/>
        <v>0</v>
      </c>
      <c r="J12" s="926">
        <f t="shared" si="1"/>
        <v>0</v>
      </c>
      <c r="K12" s="925">
        <f t="shared" si="1"/>
        <v>0</v>
      </c>
      <c r="L12" s="926">
        <f t="shared" si="1"/>
        <v>0</v>
      </c>
      <c r="M12" s="1366">
        <f t="shared" si="1"/>
        <v>0</v>
      </c>
      <c r="Q12" s="706"/>
      <c r="R12" s="179"/>
      <c r="S12" s="923"/>
      <c r="T12" s="924"/>
      <c r="U12" s="706"/>
      <c r="V12" s="706"/>
      <c r="W12" s="706"/>
      <c r="X12" s="699"/>
      <c r="Y12" s="699"/>
      <c r="Z12" s="699"/>
      <c r="AA12" s="699"/>
    </row>
    <row r="13" spans="2:27" ht="15">
      <c r="B13" s="2473" t="s">
        <v>334</v>
      </c>
      <c r="C13" s="2524"/>
      <c r="D13" s="1593">
        <f t="shared" ref="D13:M13" si="2">+D62+D110+D158+D205+D255+D303+D351+D401+D449+D497+D545+D593+D641+D689+D737+D785</f>
        <v>4705243.098217411</v>
      </c>
      <c r="E13" s="925">
        <f t="shared" si="2"/>
        <v>0</v>
      </c>
      <c r="F13" s="926">
        <f t="shared" si="2"/>
        <v>168081.54439599282</v>
      </c>
      <c r="G13" s="925">
        <f t="shared" si="2"/>
        <v>3994123.8830714175</v>
      </c>
      <c r="H13" s="926">
        <f t="shared" si="2"/>
        <v>471295.12165999995</v>
      </c>
      <c r="I13" s="2249">
        <f t="shared" si="2"/>
        <v>4633500.5491274102</v>
      </c>
      <c r="J13" s="926">
        <f t="shared" si="2"/>
        <v>60271.43</v>
      </c>
      <c r="K13" s="925">
        <f t="shared" si="2"/>
        <v>0</v>
      </c>
      <c r="L13" s="926">
        <f t="shared" si="2"/>
        <v>11471.11909</v>
      </c>
      <c r="M13" s="1366">
        <f t="shared" si="2"/>
        <v>71742.549089999986</v>
      </c>
      <c r="N13" s="922"/>
      <c r="O13" s="922"/>
      <c r="Q13" s="706"/>
      <c r="R13" s="179"/>
      <c r="S13" s="923"/>
      <c r="T13" s="924"/>
      <c r="U13" s="706"/>
      <c r="V13" s="706"/>
      <c r="W13" s="706"/>
      <c r="X13" s="699"/>
      <c r="Y13" s="699"/>
      <c r="Z13" s="699"/>
      <c r="AA13" s="699"/>
    </row>
    <row r="14" spans="2:27" ht="15">
      <c r="B14" s="2473"/>
      <c r="C14" s="2524"/>
      <c r="D14" s="1593">
        <f t="shared" ref="D14:M14" si="3">+D63+D111+D159+D206+D256+D304+D352+D402+D450+D498+D546+D594+D642+D690+D738+D786</f>
        <v>0</v>
      </c>
      <c r="E14" s="925">
        <f t="shared" si="3"/>
        <v>0</v>
      </c>
      <c r="F14" s="926">
        <f t="shared" si="3"/>
        <v>0</v>
      </c>
      <c r="G14" s="925">
        <f t="shared" si="3"/>
        <v>0</v>
      </c>
      <c r="H14" s="926">
        <f t="shared" si="3"/>
        <v>0</v>
      </c>
      <c r="I14" s="2249">
        <f t="shared" si="3"/>
        <v>0</v>
      </c>
      <c r="J14" s="926">
        <f t="shared" si="3"/>
        <v>0</v>
      </c>
      <c r="K14" s="925">
        <f t="shared" si="3"/>
        <v>0</v>
      </c>
      <c r="L14" s="926">
        <f t="shared" si="3"/>
        <v>0</v>
      </c>
      <c r="M14" s="1366">
        <f t="shared" si="3"/>
        <v>0</v>
      </c>
      <c r="Q14" s="706"/>
      <c r="R14" s="179"/>
      <c r="S14" s="923"/>
      <c r="T14" s="924"/>
      <c r="U14" s="706"/>
      <c r="V14" s="706"/>
      <c r="W14" s="706"/>
      <c r="X14" s="699"/>
      <c r="Y14" s="699"/>
      <c r="Z14" s="699"/>
      <c r="AA14" s="699"/>
    </row>
    <row r="15" spans="2:27" ht="15" customHeight="1">
      <c r="B15" s="2474" t="s">
        <v>335</v>
      </c>
      <c r="C15" s="2524"/>
      <c r="D15" s="1593">
        <f t="shared" ref="D15:M15" si="4">+D64+D112+D160+D207+D257+D305+D353+D403+D451+D499+D547+D595+D643+D691+D739+D787</f>
        <v>-641.32399999999996</v>
      </c>
      <c r="E15" s="925">
        <f t="shared" si="4"/>
        <v>0</v>
      </c>
      <c r="F15" s="926">
        <f t="shared" si="4"/>
        <v>0</v>
      </c>
      <c r="G15" s="925">
        <f t="shared" si="4"/>
        <v>-641.32399999999996</v>
      </c>
      <c r="H15" s="926">
        <f t="shared" si="4"/>
        <v>0</v>
      </c>
      <c r="I15" s="2249">
        <f t="shared" si="4"/>
        <v>-641.32399999999996</v>
      </c>
      <c r="J15" s="926">
        <f t="shared" si="4"/>
        <v>0</v>
      </c>
      <c r="K15" s="925">
        <f t="shared" si="4"/>
        <v>0</v>
      </c>
      <c r="L15" s="926">
        <f t="shared" si="4"/>
        <v>0</v>
      </c>
      <c r="M15" s="1366">
        <f t="shared" si="4"/>
        <v>0</v>
      </c>
      <c r="N15" s="922"/>
      <c r="O15" s="922"/>
      <c r="Q15" s="706"/>
      <c r="R15" s="179"/>
      <c r="S15" s="923"/>
      <c r="T15" s="924"/>
      <c r="U15" s="706"/>
      <c r="V15" s="706"/>
      <c r="W15" s="706"/>
      <c r="X15" s="699"/>
      <c r="Y15" s="699"/>
      <c r="Z15" s="699"/>
      <c r="AA15" s="699"/>
    </row>
    <row r="16" spans="2:27" ht="15">
      <c r="B16" s="2468"/>
      <c r="C16" s="2524"/>
      <c r="D16" s="1593">
        <f t="shared" ref="D16:M16" si="5">+D65+D113+D161+D208+D258+D306+D354+D404+D452+D500+D548+D596+D644+D692+D740+D788</f>
        <v>0</v>
      </c>
      <c r="E16" s="925">
        <f t="shared" si="5"/>
        <v>0</v>
      </c>
      <c r="F16" s="926">
        <f t="shared" si="5"/>
        <v>0</v>
      </c>
      <c r="G16" s="925">
        <f t="shared" si="5"/>
        <v>0</v>
      </c>
      <c r="H16" s="926">
        <f t="shared" si="5"/>
        <v>0</v>
      </c>
      <c r="I16" s="2249">
        <f t="shared" si="5"/>
        <v>0</v>
      </c>
      <c r="J16" s="926">
        <f t="shared" si="5"/>
        <v>0</v>
      </c>
      <c r="K16" s="925">
        <f t="shared" si="5"/>
        <v>0</v>
      </c>
      <c r="L16" s="926">
        <f t="shared" si="5"/>
        <v>0</v>
      </c>
      <c r="M16" s="1366">
        <f t="shared" si="5"/>
        <v>0</v>
      </c>
      <c r="Q16" s="706"/>
      <c r="R16" s="179"/>
      <c r="S16" s="923"/>
      <c r="T16" s="924"/>
      <c r="U16" s="706"/>
      <c r="V16" s="706"/>
      <c r="W16" s="706"/>
      <c r="X16" s="699"/>
      <c r="Y16" s="699"/>
      <c r="Z16" s="699"/>
      <c r="AA16" s="699"/>
    </row>
    <row r="17" spans="2:27" ht="15">
      <c r="B17" s="2475" t="s">
        <v>336</v>
      </c>
      <c r="C17" s="2525"/>
      <c r="D17" s="1593">
        <f t="shared" ref="D17:M17" si="6">+D66+D114+D162+D209+D259+D307+D355+D405+D453+D501+D549+D597+D645+D693+D741+D789</f>
        <v>98294343.484604582</v>
      </c>
      <c r="E17" s="925">
        <f t="shared" si="6"/>
        <v>0</v>
      </c>
      <c r="F17" s="926">
        <f t="shared" si="6"/>
        <v>21333330.720647421</v>
      </c>
      <c r="G17" s="925">
        <f t="shared" si="6"/>
        <v>38822343.511697158</v>
      </c>
      <c r="H17" s="926">
        <f t="shared" si="6"/>
        <v>36536048.907030001</v>
      </c>
      <c r="I17" s="2249">
        <f t="shared" si="6"/>
        <v>96691723.139374584</v>
      </c>
      <c r="J17" s="926">
        <f t="shared" si="6"/>
        <v>897165.38600000006</v>
      </c>
      <c r="K17" s="925">
        <f t="shared" si="6"/>
        <v>0</v>
      </c>
      <c r="L17" s="926">
        <f t="shared" si="6"/>
        <v>705454.95922999992</v>
      </c>
      <c r="M17" s="1366">
        <f t="shared" si="6"/>
        <v>1602620.3452299999</v>
      </c>
      <c r="N17" s="927"/>
      <c r="O17" s="922"/>
      <c r="Q17" s="706"/>
      <c r="R17" s="179"/>
      <c r="S17" s="923"/>
      <c r="T17" s="924"/>
      <c r="U17" s="706"/>
      <c r="V17" s="706"/>
      <c r="W17" s="706"/>
      <c r="X17" s="699"/>
      <c r="Y17" s="699"/>
      <c r="Z17" s="699"/>
      <c r="AA17" s="699"/>
    </row>
    <row r="18" spans="2:27" ht="15">
      <c r="B18" s="2475"/>
      <c r="C18" s="2525"/>
      <c r="D18" s="1593">
        <f t="shared" ref="D18:M18" si="7">+D67+D115+D163+D210+D260+D308+D356+D406+D454+D502+D550+D598+D646+D694+D742+D790</f>
        <v>0</v>
      </c>
      <c r="E18" s="925">
        <f t="shared" si="7"/>
        <v>0</v>
      </c>
      <c r="F18" s="926">
        <f t="shared" si="7"/>
        <v>0</v>
      </c>
      <c r="G18" s="925">
        <f t="shared" si="7"/>
        <v>0</v>
      </c>
      <c r="H18" s="926">
        <f t="shared" si="7"/>
        <v>0</v>
      </c>
      <c r="I18" s="2249">
        <f t="shared" si="7"/>
        <v>0</v>
      </c>
      <c r="J18" s="926">
        <f t="shared" si="7"/>
        <v>0</v>
      </c>
      <c r="K18" s="925">
        <f t="shared" si="7"/>
        <v>0</v>
      </c>
      <c r="L18" s="926">
        <f t="shared" si="7"/>
        <v>0</v>
      </c>
      <c r="M18" s="1366">
        <f t="shared" si="7"/>
        <v>0</v>
      </c>
      <c r="Q18" s="706"/>
      <c r="R18" s="179"/>
      <c r="S18" s="923"/>
      <c r="T18" s="924"/>
      <c r="U18" s="706"/>
      <c r="V18" s="706"/>
      <c r="W18" s="706"/>
      <c r="X18" s="699"/>
      <c r="Y18" s="699"/>
      <c r="Z18" s="699"/>
      <c r="AA18" s="699"/>
    </row>
    <row r="19" spans="2:27" ht="15">
      <c r="B19" s="2475" t="s">
        <v>337</v>
      </c>
      <c r="C19" s="2525"/>
      <c r="D19" s="1593">
        <f t="shared" ref="D19:M19" si="8">+D68+D116+D164+D211+D261+D309+D357+D407+D455+D503+D551+D599+D647+D695+D743+D791</f>
        <v>51461111.301602095</v>
      </c>
      <c r="E19" s="925">
        <f t="shared" si="8"/>
        <v>9283209.3576096706</v>
      </c>
      <c r="F19" s="926">
        <f t="shared" si="8"/>
        <v>23149931.9268221</v>
      </c>
      <c r="G19" s="925">
        <f t="shared" si="8"/>
        <v>6832422.1082220282</v>
      </c>
      <c r="H19" s="926">
        <f t="shared" si="8"/>
        <v>11996397.41335829</v>
      </c>
      <c r="I19" s="2249">
        <f t="shared" si="8"/>
        <v>41978751.448402412</v>
      </c>
      <c r="J19" s="926">
        <f t="shared" si="8"/>
        <v>97224.793000000005</v>
      </c>
      <c r="K19" s="925">
        <f t="shared" si="8"/>
        <v>7382</v>
      </c>
      <c r="L19" s="926">
        <f t="shared" si="8"/>
        <v>94543.702590000001</v>
      </c>
      <c r="M19" s="1366">
        <f t="shared" si="8"/>
        <v>199150.49558999998</v>
      </c>
      <c r="N19" s="927"/>
      <c r="O19" s="922"/>
      <c r="Q19" s="706"/>
      <c r="R19" s="179"/>
      <c r="S19" s="923"/>
      <c r="T19" s="924"/>
      <c r="U19" s="706"/>
      <c r="V19" s="706"/>
      <c r="W19" s="706"/>
      <c r="X19" s="699"/>
      <c r="Y19" s="699"/>
      <c r="Z19" s="699"/>
      <c r="AA19" s="699"/>
    </row>
    <row r="20" spans="2:27" ht="15">
      <c r="B20" s="2468" t="s">
        <v>338</v>
      </c>
      <c r="C20" s="2524"/>
      <c r="D20" s="1593">
        <f t="shared" ref="D20:M20" si="9">+D69+D117+D165+D212+D262+D310+D358+D408+D456+D504+D552+D600+D648+D696+D744+D792</f>
        <v>45685819.547081314</v>
      </c>
      <c r="E20" s="925">
        <f t="shared" si="9"/>
        <v>7773633.6637149714</v>
      </c>
      <c r="F20" s="926">
        <f t="shared" si="9"/>
        <v>20393259.176428426</v>
      </c>
      <c r="G20" s="925">
        <f t="shared" si="9"/>
        <v>6186528.0650974736</v>
      </c>
      <c r="H20" s="926">
        <f t="shared" si="9"/>
        <v>10735029.292840449</v>
      </c>
      <c r="I20" s="2249">
        <f t="shared" si="9"/>
        <v>37314816.534366347</v>
      </c>
      <c r="J20" s="926">
        <f t="shared" si="9"/>
        <v>42489.47</v>
      </c>
      <c r="K20" s="925">
        <f t="shared" si="9"/>
        <v>7380</v>
      </c>
      <c r="L20" s="926">
        <f t="shared" si="9"/>
        <v>547499.87899999996</v>
      </c>
      <c r="M20" s="1366">
        <f t="shared" si="9"/>
        <v>597369.34899999993</v>
      </c>
      <c r="N20" s="922"/>
      <c r="O20" s="922"/>
      <c r="Q20" s="706"/>
      <c r="R20" s="179"/>
      <c r="S20" s="923"/>
      <c r="T20" s="924"/>
      <c r="U20" s="706"/>
      <c r="V20" s="706"/>
      <c r="W20" s="706"/>
      <c r="X20" s="699"/>
      <c r="Y20" s="699"/>
      <c r="Z20" s="699"/>
      <c r="AA20" s="699"/>
    </row>
    <row r="21" spans="2:27" ht="15">
      <c r="B21" s="2468" t="s">
        <v>339</v>
      </c>
      <c r="C21" s="2524"/>
      <c r="D21" s="1593">
        <f t="shared" ref="D21:M21" si="10">+D70+D118+D166+D213+D263+D311+D359+D409+D457+D505+D553+D601+D649+D697+D745+D793</f>
        <v>1211454.2292024952</v>
      </c>
      <c r="E21" s="925">
        <f t="shared" si="10"/>
        <v>347460.32215013739</v>
      </c>
      <c r="F21" s="926">
        <f t="shared" si="10"/>
        <v>38461.718838288922</v>
      </c>
      <c r="G21" s="925">
        <f t="shared" si="10"/>
        <v>224155.53264636855</v>
      </c>
      <c r="H21" s="926">
        <f t="shared" si="10"/>
        <v>772379.76656770031</v>
      </c>
      <c r="I21" s="2249">
        <f t="shared" si="10"/>
        <v>1034997.0180523578</v>
      </c>
      <c r="J21" s="926">
        <f t="shared" si="10"/>
        <v>37548.748</v>
      </c>
      <c r="K21" s="925">
        <f t="shared" si="10"/>
        <v>0</v>
      </c>
      <c r="L21" s="926">
        <f t="shared" si="10"/>
        <v>-208551.859</v>
      </c>
      <c r="M21" s="1366">
        <f t="shared" si="10"/>
        <v>-171003.11099999998</v>
      </c>
      <c r="N21" s="922"/>
      <c r="O21" s="922"/>
      <c r="Q21" s="706"/>
      <c r="R21" s="179"/>
      <c r="S21" s="923"/>
      <c r="T21" s="924"/>
      <c r="U21" s="706"/>
      <c r="V21" s="706"/>
      <c r="W21" s="706"/>
      <c r="X21" s="699"/>
      <c r="Y21" s="699"/>
      <c r="Z21" s="699"/>
      <c r="AA21" s="699"/>
    </row>
    <row r="22" spans="2:27" ht="15">
      <c r="B22" s="2468" t="s">
        <v>340</v>
      </c>
      <c r="C22" s="2524"/>
      <c r="D22" s="1593">
        <f t="shared" ref="D22:M22" si="11">+D71+D119+D167+D214+D264+D312+D360+D410+D458+D506+D554+D602+D650+D698+D746+D794</f>
        <v>955991.19562067161</v>
      </c>
      <c r="E22" s="925">
        <f t="shared" si="11"/>
        <v>329762.36089698749</v>
      </c>
      <c r="F22" s="926">
        <f t="shared" si="11"/>
        <v>801551.19983000006</v>
      </c>
      <c r="G22" s="925">
        <f t="shared" si="11"/>
        <v>110886.26197528414</v>
      </c>
      <c r="H22" s="926">
        <f t="shared" si="11"/>
        <v>-8545.6270815999887</v>
      </c>
      <c r="I22" s="2249">
        <f t="shared" si="11"/>
        <v>903891.83472368401</v>
      </c>
      <c r="J22" s="926">
        <f t="shared" si="11"/>
        <v>0</v>
      </c>
      <c r="K22" s="925">
        <f t="shared" si="11"/>
        <v>0</v>
      </c>
      <c r="L22" s="926">
        <f t="shared" si="11"/>
        <v>-277663</v>
      </c>
      <c r="M22" s="1366">
        <f t="shared" si="11"/>
        <v>-277663</v>
      </c>
      <c r="N22" s="922"/>
      <c r="O22" s="922"/>
      <c r="Q22" s="706"/>
      <c r="R22" s="179"/>
      <c r="S22" s="923"/>
      <c r="T22" s="924"/>
      <c r="U22" s="706"/>
      <c r="V22" s="706"/>
      <c r="W22" s="706"/>
      <c r="X22" s="699"/>
      <c r="Y22" s="699"/>
      <c r="Z22" s="699"/>
      <c r="AA22" s="699"/>
    </row>
    <row r="23" spans="2:27" ht="15">
      <c r="B23" s="2468" t="s">
        <v>341</v>
      </c>
      <c r="C23" s="2524"/>
      <c r="D23" s="1593">
        <f t="shared" ref="D23:M23" si="12">+D72+D120+D168+D215+D265+D313+D361+D411+D459+D507+D555+D603+D651+D699+D747+D795</f>
        <v>1207914.2749002476</v>
      </c>
      <c r="E23" s="925">
        <f t="shared" si="12"/>
        <v>253192.43788757618</v>
      </c>
      <c r="F23" s="926">
        <f t="shared" si="12"/>
        <v>607782.57418999996</v>
      </c>
      <c r="G23" s="925">
        <f t="shared" si="12"/>
        <v>140821.1631698714</v>
      </c>
      <c r="H23" s="926">
        <f t="shared" si="12"/>
        <v>174770.09965279998</v>
      </c>
      <c r="I23" s="2249">
        <f t="shared" si="12"/>
        <v>923373.83701267128</v>
      </c>
      <c r="J23" s="926">
        <f t="shared" si="12"/>
        <v>529</v>
      </c>
      <c r="K23" s="925">
        <f t="shared" si="12"/>
        <v>0</v>
      </c>
      <c r="L23" s="926">
        <f t="shared" si="12"/>
        <v>30819</v>
      </c>
      <c r="M23" s="1366">
        <f t="shared" si="12"/>
        <v>31348</v>
      </c>
      <c r="N23" s="922"/>
      <c r="O23" s="922"/>
      <c r="Q23" s="706"/>
      <c r="R23" s="179"/>
      <c r="S23" s="923"/>
      <c r="T23" s="924"/>
      <c r="U23" s="706"/>
      <c r="V23" s="706"/>
      <c r="W23" s="706"/>
      <c r="X23" s="699"/>
      <c r="Y23" s="699"/>
      <c r="Z23" s="699"/>
      <c r="AA23" s="699"/>
    </row>
    <row r="24" spans="2:27" ht="15">
      <c r="B24" s="2468" t="s">
        <v>342</v>
      </c>
      <c r="C24" s="2524"/>
      <c r="D24" s="1593">
        <f>+D73+D121+D169+D216+D266+D314+D362+D412+D460+D508+D556+D604+D652+D700+D748+D796</f>
        <v>2365461.0547973574</v>
      </c>
      <c r="E24" s="925"/>
      <c r="F24" s="926">
        <f t="shared" ref="F24:M24" si="13">+F73+F121+F169+F216+F266+F314+F362+F412+F460+F508+F556+F604+F652+F700+F748+F796</f>
        <v>1304766.2575353847</v>
      </c>
      <c r="G24" s="925">
        <f t="shared" si="13"/>
        <v>164066.08533303169</v>
      </c>
      <c r="H24" s="926">
        <f t="shared" si="13"/>
        <v>322763.88137894101</v>
      </c>
      <c r="I24" s="2249">
        <f t="shared" si="13"/>
        <v>1791596.2242473573</v>
      </c>
      <c r="J24" s="926">
        <f t="shared" si="13"/>
        <v>16657.575000000001</v>
      </c>
      <c r="K24" s="925">
        <f t="shared" si="13"/>
        <v>2</v>
      </c>
      <c r="L24" s="926">
        <f t="shared" si="13"/>
        <v>2439.6825899999999</v>
      </c>
      <c r="M24" s="1366">
        <f t="shared" si="13"/>
        <v>19099.257590000001</v>
      </c>
      <c r="N24" s="922"/>
      <c r="O24" s="922"/>
      <c r="Q24" s="706"/>
      <c r="R24" s="179"/>
      <c r="S24" s="923"/>
      <c r="T24" s="924"/>
      <c r="U24" s="706"/>
      <c r="V24" s="706"/>
      <c r="W24" s="706"/>
      <c r="X24" s="699"/>
      <c r="Y24" s="699"/>
      <c r="Z24" s="699"/>
      <c r="AA24" s="699"/>
    </row>
    <row r="25" spans="2:27" ht="15">
      <c r="B25" s="2468" t="s">
        <v>343</v>
      </c>
      <c r="C25" s="2524"/>
      <c r="D25" s="1593">
        <f t="shared" ref="D25:M25" si="14">+D74+D122+D170+D219+D267+D315+D365+D413+D461+D509+D557+D605+D653+D701+D749+D797</f>
        <v>7629</v>
      </c>
      <c r="E25" s="925">
        <f t="shared" si="14"/>
        <v>24755</v>
      </c>
      <c r="F25" s="926">
        <f t="shared" si="14"/>
        <v>4111</v>
      </c>
      <c r="G25" s="925">
        <f t="shared" si="14"/>
        <v>12329</v>
      </c>
      <c r="H25" s="926">
        <f t="shared" si="14"/>
        <v>-33566</v>
      </c>
      <c r="I25" s="2249">
        <f t="shared" si="14"/>
        <v>-17126</v>
      </c>
      <c r="J25" s="926">
        <f t="shared" si="14"/>
        <v>0</v>
      </c>
      <c r="K25" s="925">
        <f t="shared" si="14"/>
        <v>0</v>
      </c>
      <c r="L25" s="926">
        <f t="shared" si="14"/>
        <v>0</v>
      </c>
      <c r="M25" s="1366">
        <f t="shared" si="14"/>
        <v>0</v>
      </c>
      <c r="Q25" s="706"/>
      <c r="R25" s="179"/>
      <c r="S25" s="923"/>
      <c r="T25" s="924"/>
      <c r="U25" s="706"/>
      <c r="V25" s="706"/>
      <c r="W25" s="706"/>
      <c r="X25" s="699"/>
      <c r="Y25" s="699"/>
      <c r="Z25" s="699"/>
      <c r="AA25" s="699"/>
    </row>
    <row r="26" spans="2:27" ht="15">
      <c r="B26" s="2468" t="s">
        <v>343</v>
      </c>
      <c r="C26" s="2524"/>
      <c r="D26" s="1593">
        <f t="shared" ref="D26:M26" si="15">+D75+D123+D171+D220+D268+D316+D366+D414+D462+D510+D558+D606+D654+D702+D750+D798</f>
        <v>3461</v>
      </c>
      <c r="E26" s="925">
        <f t="shared" si="15"/>
        <v>0</v>
      </c>
      <c r="F26" s="926">
        <f t="shared" si="15"/>
        <v>0</v>
      </c>
      <c r="G26" s="925">
        <f t="shared" si="15"/>
        <v>0</v>
      </c>
      <c r="H26" s="926">
        <f t="shared" si="15"/>
        <v>3461</v>
      </c>
      <c r="I26" s="2249">
        <f t="shared" si="15"/>
        <v>3461</v>
      </c>
      <c r="J26" s="926">
        <f t="shared" si="15"/>
        <v>0</v>
      </c>
      <c r="K26" s="925">
        <f t="shared" si="15"/>
        <v>0</v>
      </c>
      <c r="L26" s="926">
        <f t="shared" si="15"/>
        <v>0</v>
      </c>
      <c r="M26" s="1366">
        <f t="shared" si="15"/>
        <v>0</v>
      </c>
      <c r="Q26" s="706"/>
      <c r="R26" s="179"/>
      <c r="S26" s="923"/>
      <c r="T26" s="924"/>
      <c r="U26" s="706"/>
      <c r="V26" s="706"/>
      <c r="W26" s="706"/>
      <c r="X26" s="699"/>
      <c r="Y26" s="699"/>
      <c r="Z26" s="699"/>
      <c r="AA26" s="699"/>
    </row>
    <row r="27" spans="2:27" ht="15">
      <c r="B27" s="2468"/>
      <c r="C27" s="2524"/>
      <c r="D27" s="1593">
        <f t="shared" ref="D27:M27" si="16">+D76+D124+D172+D221+D269+D317+D367+D415+D463+D511+D559+D607+D655+D703+D751+D799</f>
        <v>0</v>
      </c>
      <c r="E27" s="925">
        <f t="shared" si="16"/>
        <v>0</v>
      </c>
      <c r="F27" s="926">
        <f t="shared" si="16"/>
        <v>0</v>
      </c>
      <c r="G27" s="925">
        <f t="shared" si="16"/>
        <v>0</v>
      </c>
      <c r="H27" s="926">
        <f t="shared" si="16"/>
        <v>0</v>
      </c>
      <c r="I27" s="2249">
        <f t="shared" si="16"/>
        <v>0</v>
      </c>
      <c r="J27" s="926">
        <f t="shared" si="16"/>
        <v>0</v>
      </c>
      <c r="K27" s="925">
        <f t="shared" si="16"/>
        <v>0</v>
      </c>
      <c r="L27" s="926">
        <f t="shared" si="16"/>
        <v>0</v>
      </c>
      <c r="M27" s="1366">
        <f t="shared" si="16"/>
        <v>0</v>
      </c>
      <c r="Q27" s="706"/>
      <c r="R27" s="179"/>
      <c r="S27" s="923"/>
      <c r="T27" s="924"/>
      <c r="U27" s="706"/>
      <c r="V27" s="706"/>
      <c r="W27" s="706"/>
      <c r="X27" s="699"/>
      <c r="Y27" s="699"/>
      <c r="Z27" s="699"/>
      <c r="AA27" s="699"/>
    </row>
    <row r="28" spans="2:27" ht="15">
      <c r="B28" s="2478" t="s">
        <v>344</v>
      </c>
      <c r="C28" s="2525"/>
      <c r="D28" s="1593">
        <f t="shared" ref="D28:M28" si="17">+D77+D125+D173+D222+D270+D318+D368+D416+D464+D512+D560+D608+D656+D704+D752+D800</f>
        <v>149755454.78620669</v>
      </c>
      <c r="E28" s="925">
        <f t="shared" si="17"/>
        <v>9283209.3576096706</v>
      </c>
      <c r="F28" s="926">
        <f t="shared" si="17"/>
        <v>44483262.647469521</v>
      </c>
      <c r="G28" s="925">
        <f t="shared" si="17"/>
        <v>45654765.619919196</v>
      </c>
      <c r="H28" s="926">
        <f t="shared" si="17"/>
        <v>48532446.320388295</v>
      </c>
      <c r="I28" s="2249">
        <f t="shared" si="17"/>
        <v>138670474.58777702</v>
      </c>
      <c r="J28" s="926">
        <f t="shared" si="17"/>
        <v>994390.179</v>
      </c>
      <c r="K28" s="925">
        <f t="shared" si="17"/>
        <v>7382</v>
      </c>
      <c r="L28" s="926">
        <f t="shared" si="17"/>
        <v>799998.66181999992</v>
      </c>
      <c r="M28" s="1366">
        <f t="shared" si="17"/>
        <v>1801770.84082</v>
      </c>
      <c r="N28" s="927"/>
      <c r="O28" s="922"/>
      <c r="Q28" s="706"/>
      <c r="R28" s="179"/>
      <c r="S28" s="923"/>
      <c r="T28" s="924"/>
      <c r="U28" s="706"/>
      <c r="V28" s="706"/>
      <c r="W28" s="706"/>
      <c r="X28" s="699"/>
      <c r="Y28" s="699"/>
      <c r="Z28" s="699"/>
      <c r="AA28" s="699"/>
    </row>
    <row r="29" spans="2:27" ht="15">
      <c r="B29" s="2478"/>
      <c r="C29" s="2525"/>
      <c r="D29" s="1593">
        <f t="shared" ref="D29:M29" si="18">+D78+D126+D174+D223+D271+D319+D369+D417+D465+D513+D561+D609+D657+D705+D753+D801</f>
        <v>0</v>
      </c>
      <c r="E29" s="925">
        <f t="shared" si="18"/>
        <v>0</v>
      </c>
      <c r="F29" s="926">
        <f t="shared" si="18"/>
        <v>0</v>
      </c>
      <c r="G29" s="925">
        <f t="shared" si="18"/>
        <v>0</v>
      </c>
      <c r="H29" s="926">
        <f t="shared" si="18"/>
        <v>0</v>
      </c>
      <c r="I29" s="2249">
        <f t="shared" si="18"/>
        <v>0</v>
      </c>
      <c r="J29" s="926">
        <f t="shared" si="18"/>
        <v>0</v>
      </c>
      <c r="K29" s="925">
        <f t="shared" si="18"/>
        <v>0</v>
      </c>
      <c r="L29" s="926">
        <f t="shared" si="18"/>
        <v>0</v>
      </c>
      <c r="M29" s="1366">
        <f t="shared" si="18"/>
        <v>0</v>
      </c>
      <c r="Q29" s="706"/>
      <c r="R29" s="179"/>
      <c r="S29" s="923"/>
      <c r="T29" s="924"/>
      <c r="U29" s="706"/>
      <c r="V29" s="706"/>
      <c r="W29" s="706"/>
      <c r="X29" s="699"/>
      <c r="Y29" s="699"/>
      <c r="Z29" s="699"/>
      <c r="AA29" s="699"/>
    </row>
    <row r="30" spans="2:27" ht="15">
      <c r="B30" s="2468" t="s">
        <v>345</v>
      </c>
      <c r="C30" s="2524"/>
      <c r="D30" s="1593">
        <f t="shared" ref="D30:M30" si="19">+D79+D127+D175+D224+D272+D320+D370+D418+D466+D514+D562+D610+D658+D706+D754+D802</f>
        <v>39862532.506890006</v>
      </c>
      <c r="E30" s="925">
        <f t="shared" si="19"/>
        <v>0</v>
      </c>
      <c r="F30" s="926">
        <f t="shared" si="19"/>
        <v>16183879.618780214</v>
      </c>
      <c r="G30" s="925">
        <f t="shared" si="19"/>
        <v>13500701.760339787</v>
      </c>
      <c r="H30" s="926">
        <f t="shared" si="19"/>
        <v>9281135.9547699988</v>
      </c>
      <c r="I30" s="2249">
        <f t="shared" si="19"/>
        <v>38965717.333890013</v>
      </c>
      <c r="J30" s="926">
        <f t="shared" si="19"/>
        <v>493628.68099999998</v>
      </c>
      <c r="K30" s="925">
        <f t="shared" si="19"/>
        <v>0</v>
      </c>
      <c r="L30" s="926">
        <f t="shared" si="19"/>
        <v>403186.49199999997</v>
      </c>
      <c r="M30" s="1366">
        <f t="shared" si="19"/>
        <v>896815.17299999995</v>
      </c>
      <c r="N30" s="922"/>
      <c r="O30" s="922"/>
      <c r="Q30" s="706"/>
      <c r="R30" s="179"/>
      <c r="S30" s="923"/>
      <c r="T30" s="924"/>
      <c r="U30" s="706"/>
      <c r="V30" s="706"/>
      <c r="W30" s="706"/>
      <c r="X30" s="699"/>
      <c r="Y30" s="699"/>
      <c r="Z30" s="699"/>
      <c r="AA30" s="699"/>
    </row>
    <row r="31" spans="2:27" ht="15">
      <c r="B31" s="2468" t="s">
        <v>346</v>
      </c>
      <c r="C31" s="2524"/>
      <c r="D31" s="1593">
        <f t="shared" ref="D31:M31" si="20">+D80+D128+D176+D225+D273+D321+D371+D419+D467+D515+D563+D611+D659+D707+D755+D803</f>
        <v>-1953361.4749699999</v>
      </c>
      <c r="E31" s="925">
        <f t="shared" si="20"/>
        <v>0</v>
      </c>
      <c r="F31" s="926">
        <f t="shared" si="20"/>
        <v>-78974.914736000006</v>
      </c>
      <c r="G31" s="925">
        <f t="shared" si="20"/>
        <v>-1574489.3305439998</v>
      </c>
      <c r="H31" s="926">
        <f t="shared" si="20"/>
        <v>-255113.92069</v>
      </c>
      <c r="I31" s="2249">
        <f t="shared" si="20"/>
        <v>-1908578.16597</v>
      </c>
      <c r="J31" s="926">
        <f t="shared" si="20"/>
        <v>-36640.309000000001</v>
      </c>
      <c r="K31" s="925">
        <f t="shared" si="20"/>
        <v>0</v>
      </c>
      <c r="L31" s="926">
        <f t="shared" si="20"/>
        <v>-8143</v>
      </c>
      <c r="M31" s="1366">
        <f t="shared" si="20"/>
        <v>-44783.309000000001</v>
      </c>
      <c r="N31" s="922"/>
      <c r="O31" s="922"/>
      <c r="Q31" s="706"/>
      <c r="R31" s="179"/>
      <c r="S31" s="923"/>
      <c r="T31" s="924"/>
      <c r="U31" s="706"/>
      <c r="V31" s="706"/>
      <c r="W31" s="706"/>
      <c r="X31" s="699"/>
      <c r="Y31" s="699"/>
      <c r="Z31" s="699"/>
      <c r="AA31" s="699"/>
    </row>
    <row r="32" spans="2:27" ht="15">
      <c r="B32" s="2468" t="s">
        <v>347</v>
      </c>
      <c r="C32" s="2524"/>
      <c r="D32" s="1593">
        <f t="shared" ref="D32:M32" si="21">+D81+D129+D177+D226+D274+D322+D372+D420+D468+D516+D564+D612+D660+D708+D756+D804</f>
        <v>6772970.4602399999</v>
      </c>
      <c r="E32" s="925">
        <f t="shared" si="21"/>
        <v>0</v>
      </c>
      <c r="F32" s="926">
        <f t="shared" si="21"/>
        <v>38024.080492598514</v>
      </c>
      <c r="G32" s="925">
        <f t="shared" si="21"/>
        <v>120931.73967740146</v>
      </c>
      <c r="H32" s="926">
        <f t="shared" si="21"/>
        <v>6510031.7901499998</v>
      </c>
      <c r="I32" s="2249">
        <f t="shared" si="21"/>
        <v>6668987.61032</v>
      </c>
      <c r="J32" s="926">
        <f t="shared" si="21"/>
        <v>103982.84991999999</v>
      </c>
      <c r="K32" s="925">
        <f t="shared" si="21"/>
        <v>0</v>
      </c>
      <c r="L32" s="926">
        <f t="shared" si="21"/>
        <v>0</v>
      </c>
      <c r="M32" s="1366">
        <f t="shared" si="21"/>
        <v>103982.84991999999</v>
      </c>
      <c r="N32" s="922"/>
      <c r="O32" s="922"/>
      <c r="Q32" s="706"/>
      <c r="R32" s="179"/>
      <c r="S32" s="923"/>
      <c r="T32" s="924"/>
      <c r="U32" s="706"/>
      <c r="V32" s="706"/>
      <c r="W32" s="706"/>
      <c r="X32" s="699"/>
      <c r="Y32" s="699"/>
      <c r="Z32" s="699"/>
      <c r="AA32" s="699"/>
    </row>
    <row r="33" spans="2:27" ht="24.75" customHeight="1">
      <c r="B33" s="2479" t="s">
        <v>348</v>
      </c>
      <c r="C33" s="2524"/>
      <c r="D33" s="1593">
        <f t="shared" ref="D33:M33" si="22">+D82+D130+D178+D227+D275+D323+D373+D421+D469+D517+D565+D613+D661+D709+D757+D805</f>
        <v>65633.543539999984</v>
      </c>
      <c r="E33" s="925">
        <f t="shared" si="22"/>
        <v>0</v>
      </c>
      <c r="F33" s="926">
        <f t="shared" si="22"/>
        <v>21787.581340000001</v>
      </c>
      <c r="G33" s="925">
        <f t="shared" si="22"/>
        <v>-11046.778500000008</v>
      </c>
      <c r="H33" s="926">
        <f t="shared" si="22"/>
        <v>53948.740700000002</v>
      </c>
      <c r="I33" s="2249">
        <f t="shared" si="22"/>
        <v>64689.543539999991</v>
      </c>
      <c r="J33" s="926">
        <f t="shared" si="22"/>
        <v>944</v>
      </c>
      <c r="K33" s="925">
        <f t="shared" si="22"/>
        <v>0</v>
      </c>
      <c r="L33" s="926">
        <f t="shared" si="22"/>
        <v>0</v>
      </c>
      <c r="M33" s="1366">
        <f t="shared" si="22"/>
        <v>944</v>
      </c>
      <c r="N33" s="922"/>
      <c r="O33" s="922"/>
      <c r="Q33" s="706"/>
      <c r="R33" s="179"/>
      <c r="S33" s="923"/>
      <c r="T33" s="924"/>
      <c r="U33" s="706"/>
      <c r="V33" s="706"/>
      <c r="W33" s="706"/>
      <c r="X33" s="699"/>
      <c r="Y33" s="699"/>
      <c r="Z33" s="699"/>
      <c r="AA33" s="699"/>
    </row>
    <row r="34" spans="2:27" ht="15">
      <c r="B34" s="2468" t="s">
        <v>349</v>
      </c>
      <c r="C34" s="2524"/>
      <c r="D34" s="1593">
        <f t="shared" ref="D34:M34" si="23">+D83+D131+D179+D228+D276+D324+D374+D422+D470+D518+D566+D614+D662+D710+D758+D806</f>
        <v>42424429.632505074</v>
      </c>
      <c r="E34" s="925">
        <f t="shared" si="23"/>
        <v>451206.06092999998</v>
      </c>
      <c r="F34" s="926">
        <f t="shared" si="23"/>
        <v>15298672.797459468</v>
      </c>
      <c r="G34" s="925">
        <f t="shared" si="23"/>
        <v>12940391.764358174</v>
      </c>
      <c r="H34" s="926">
        <f t="shared" si="23"/>
        <v>13434089.443677437</v>
      </c>
      <c r="I34" s="2249">
        <f t="shared" si="23"/>
        <v>41673154.005495071</v>
      </c>
      <c r="J34" s="926">
        <f t="shared" si="23"/>
        <v>163629.43608000001</v>
      </c>
      <c r="K34" s="925">
        <f t="shared" si="23"/>
        <v>0</v>
      </c>
      <c r="L34" s="926">
        <f t="shared" si="23"/>
        <v>136440.13</v>
      </c>
      <c r="M34" s="1366">
        <f t="shared" si="23"/>
        <v>300069.56608000002</v>
      </c>
      <c r="N34" s="922"/>
      <c r="O34" s="922"/>
      <c r="Q34" s="706"/>
      <c r="R34" s="179"/>
      <c r="S34" s="923"/>
      <c r="T34" s="924"/>
      <c r="U34" s="706"/>
      <c r="V34" s="706"/>
      <c r="W34" s="706"/>
      <c r="X34" s="699"/>
      <c r="Y34" s="699"/>
      <c r="Z34" s="699"/>
      <c r="AA34" s="699"/>
    </row>
    <row r="35" spans="2:27" ht="25.5">
      <c r="B35" s="2479" t="s">
        <v>350</v>
      </c>
      <c r="C35" s="2524"/>
      <c r="D35" s="1593">
        <f t="shared" ref="D35:M35" si="24">+D84+D132+D180+D229+D277+D325+D375+D423+D471+D519+D567+D615+D663+D711+D759+D807</f>
        <v>0</v>
      </c>
      <c r="E35" s="925">
        <f t="shared" si="24"/>
        <v>0</v>
      </c>
      <c r="F35" s="926">
        <f t="shared" si="24"/>
        <v>0</v>
      </c>
      <c r="G35" s="925">
        <f t="shared" si="24"/>
        <v>0</v>
      </c>
      <c r="H35" s="926">
        <f t="shared" si="24"/>
        <v>0</v>
      </c>
      <c r="I35" s="2249">
        <f t="shared" si="24"/>
        <v>0</v>
      </c>
      <c r="J35" s="926">
        <f t="shared" si="24"/>
        <v>0</v>
      </c>
      <c r="K35" s="925">
        <f t="shared" si="24"/>
        <v>0</v>
      </c>
      <c r="L35" s="926">
        <f t="shared" si="24"/>
        <v>0</v>
      </c>
      <c r="M35" s="1366">
        <f t="shared" si="24"/>
        <v>0</v>
      </c>
      <c r="N35" s="922"/>
      <c r="O35" s="922"/>
      <c r="Q35" s="706"/>
      <c r="R35" s="179"/>
      <c r="S35" s="923"/>
      <c r="T35" s="924"/>
      <c r="U35" s="706"/>
      <c r="V35" s="706"/>
      <c r="W35" s="706"/>
      <c r="X35" s="699"/>
      <c r="Y35" s="699"/>
      <c r="Z35" s="699"/>
      <c r="AA35" s="699"/>
    </row>
    <row r="36" spans="2:27" ht="15">
      <c r="B36" s="2478" t="s">
        <v>351</v>
      </c>
      <c r="C36" s="2525"/>
      <c r="D36" s="1593">
        <f t="shared" ref="D36:M36" si="25">+D85+D133+D181+D230+D278+D326+D376+D424+D472+D520+D568+D616+D664+D712+D760+D808</f>
        <v>87172204.668205097</v>
      </c>
      <c r="E36" s="925">
        <f t="shared" si="25"/>
        <v>451206.06092999998</v>
      </c>
      <c r="F36" s="926">
        <f t="shared" si="25"/>
        <v>31463389.163336284</v>
      </c>
      <c r="G36" s="925">
        <f t="shared" si="25"/>
        <v>24976489.155331366</v>
      </c>
      <c r="H36" s="926">
        <f t="shared" si="25"/>
        <v>29024092.008607432</v>
      </c>
      <c r="I36" s="2249">
        <f t="shared" si="25"/>
        <v>85463970.327275082</v>
      </c>
      <c r="J36" s="926">
        <f t="shared" si="25"/>
        <v>725544.65800000005</v>
      </c>
      <c r="K36" s="925">
        <f t="shared" si="25"/>
        <v>0</v>
      </c>
      <c r="L36" s="926">
        <f t="shared" si="25"/>
        <v>531483.62199999997</v>
      </c>
      <c r="M36" s="1366">
        <f t="shared" si="25"/>
        <v>1257028.28</v>
      </c>
      <c r="N36" s="927"/>
      <c r="O36" s="922"/>
      <c r="Q36" s="706"/>
      <c r="R36" s="179"/>
      <c r="S36" s="923"/>
      <c r="T36" s="924"/>
      <c r="U36" s="706"/>
      <c r="V36" s="706"/>
      <c r="W36" s="706"/>
      <c r="X36" s="699"/>
      <c r="Y36" s="699"/>
      <c r="Z36" s="699"/>
      <c r="AA36" s="699"/>
    </row>
    <row r="37" spans="2:27" ht="15">
      <c r="B37" s="2468"/>
      <c r="C37" s="2524"/>
      <c r="D37" s="1593">
        <f t="shared" ref="D37:M37" si="26">+D86+D134+D182+D231+D279+D327+D377+D425+D473+D521+D569+D617+D665+D713+D761+D809</f>
        <v>0</v>
      </c>
      <c r="E37" s="925">
        <f t="shared" si="26"/>
        <v>0</v>
      </c>
      <c r="F37" s="926">
        <f t="shared" si="26"/>
        <v>0</v>
      </c>
      <c r="G37" s="925">
        <f t="shared" si="26"/>
        <v>0</v>
      </c>
      <c r="H37" s="926">
        <f t="shared" si="26"/>
        <v>0</v>
      </c>
      <c r="I37" s="2249">
        <f t="shared" si="26"/>
        <v>0</v>
      </c>
      <c r="J37" s="926">
        <f t="shared" si="26"/>
        <v>0</v>
      </c>
      <c r="K37" s="925">
        <f t="shared" si="26"/>
        <v>0</v>
      </c>
      <c r="L37" s="926">
        <f t="shared" si="26"/>
        <v>0</v>
      </c>
      <c r="M37" s="1366">
        <f t="shared" si="26"/>
        <v>0</v>
      </c>
      <c r="O37" s="922"/>
      <c r="Q37" s="706"/>
      <c r="R37" s="179"/>
      <c r="S37" s="923"/>
      <c r="T37" s="924"/>
      <c r="U37" s="706"/>
      <c r="V37" s="706"/>
      <c r="W37" s="706"/>
      <c r="X37" s="699"/>
      <c r="Y37" s="699"/>
      <c r="Z37" s="699"/>
      <c r="AA37" s="699"/>
    </row>
    <row r="38" spans="2:27" ht="25.5">
      <c r="B38" s="2467" t="s">
        <v>352</v>
      </c>
      <c r="C38" s="2524"/>
      <c r="D38" s="1593">
        <f t="shared" ref="D38:M38" si="27">+D87+D135+D183+D232+D280+D328+D378+D426+D474+D522+D570+D618+D666+D714+D762+D810</f>
        <v>14572931.958005765</v>
      </c>
      <c r="E38" s="925">
        <f t="shared" si="27"/>
        <v>101852.126</v>
      </c>
      <c r="F38" s="926">
        <f t="shared" si="27"/>
        <v>3344184.3485835707</v>
      </c>
      <c r="G38" s="925">
        <f t="shared" si="27"/>
        <v>4956418.1536282953</v>
      </c>
      <c r="H38" s="926">
        <f t="shared" si="27"/>
        <v>6103413.3297938984</v>
      </c>
      <c r="I38" s="2249">
        <f t="shared" si="27"/>
        <v>14404015.832005765</v>
      </c>
      <c r="J38" s="926">
        <f t="shared" si="27"/>
        <v>46517</v>
      </c>
      <c r="K38" s="925">
        <f t="shared" si="27"/>
        <v>0</v>
      </c>
      <c r="L38" s="926">
        <f t="shared" si="27"/>
        <v>20547</v>
      </c>
      <c r="M38" s="1366">
        <f t="shared" si="27"/>
        <v>67064</v>
      </c>
      <c r="N38" s="922"/>
      <c r="O38" s="922"/>
      <c r="Q38" s="706"/>
      <c r="R38" s="179"/>
      <c r="S38" s="923"/>
      <c r="T38" s="924"/>
      <c r="U38" s="706"/>
      <c r="V38" s="706"/>
      <c r="W38" s="706"/>
      <c r="X38" s="699"/>
      <c r="Y38" s="699"/>
      <c r="Z38" s="699"/>
      <c r="AA38" s="699"/>
    </row>
    <row r="39" spans="2:27" ht="15">
      <c r="B39" s="2468"/>
      <c r="C39" s="2524"/>
      <c r="D39" s="1593">
        <f t="shared" ref="D39:M39" si="28">+D88+D136+D184+D233+D281+D329+D379+D427+D475+D523+D571+D619+D667+D715+D763+D811</f>
        <v>0</v>
      </c>
      <c r="E39" s="925">
        <f t="shared" si="28"/>
        <v>0</v>
      </c>
      <c r="F39" s="926">
        <f t="shared" si="28"/>
        <v>0</v>
      </c>
      <c r="G39" s="925">
        <f t="shared" si="28"/>
        <v>0</v>
      </c>
      <c r="H39" s="926">
        <f t="shared" si="28"/>
        <v>0</v>
      </c>
      <c r="I39" s="2249">
        <f t="shared" si="28"/>
        <v>0</v>
      </c>
      <c r="J39" s="926">
        <f t="shared" si="28"/>
        <v>0</v>
      </c>
      <c r="K39" s="925">
        <f t="shared" si="28"/>
        <v>0</v>
      </c>
      <c r="L39" s="926">
        <f t="shared" si="28"/>
        <v>0</v>
      </c>
      <c r="M39" s="1366">
        <f t="shared" si="28"/>
        <v>0</v>
      </c>
      <c r="N39" s="922"/>
      <c r="O39" s="922"/>
      <c r="Q39" s="706"/>
      <c r="R39" s="179"/>
      <c r="S39" s="923"/>
      <c r="T39" s="924"/>
      <c r="U39" s="706"/>
      <c r="V39" s="706"/>
      <c r="W39" s="706"/>
      <c r="X39" s="699"/>
      <c r="Y39" s="699"/>
      <c r="Z39" s="699"/>
      <c r="AA39" s="699"/>
    </row>
    <row r="40" spans="2:27" ht="26.25" customHeight="1">
      <c r="B40" s="2479" t="s">
        <v>353</v>
      </c>
      <c r="C40" s="2524"/>
      <c r="D40" s="1593">
        <f t="shared" ref="D40:M40" si="29">+D89+D137+D185+D234+D282+D330+D380+D428+D476+D524+D572+D620+D668+D716+D764+D812</f>
        <v>28220998.622110855</v>
      </c>
      <c r="E40" s="925">
        <f t="shared" si="29"/>
        <v>495417.8051900001</v>
      </c>
      <c r="F40" s="926">
        <f t="shared" si="29"/>
        <v>8109388.2764328085</v>
      </c>
      <c r="G40" s="925">
        <f t="shared" si="29"/>
        <v>7726756.3225525469</v>
      </c>
      <c r="H40" s="926">
        <f t="shared" si="29"/>
        <v>11524013.339705493</v>
      </c>
      <c r="I40" s="2249">
        <f t="shared" si="29"/>
        <v>27360157.938690856</v>
      </c>
      <c r="J40" s="926">
        <f t="shared" si="29"/>
        <v>221804.52100000001</v>
      </c>
      <c r="K40" s="925">
        <f t="shared" si="29"/>
        <v>1210</v>
      </c>
      <c r="L40" s="926">
        <f t="shared" si="29"/>
        <v>142408.35722999999</v>
      </c>
      <c r="M40" s="1366">
        <f t="shared" si="29"/>
        <v>365422.87823000003</v>
      </c>
      <c r="N40" s="922"/>
      <c r="O40" s="922"/>
      <c r="P40" s="679"/>
      <c r="Q40" s="706"/>
      <c r="R40" s="179"/>
      <c r="S40" s="923"/>
      <c r="T40" s="924"/>
      <c r="U40" s="706"/>
      <c r="V40" s="706"/>
      <c r="W40" s="706"/>
      <c r="X40" s="699"/>
      <c r="Y40" s="699"/>
      <c r="Z40" s="699"/>
      <c r="AA40" s="699"/>
    </row>
    <row r="41" spans="2:27" ht="15">
      <c r="B41" s="2468" t="s">
        <v>354</v>
      </c>
      <c r="C41" s="2524"/>
      <c r="D41" s="1593">
        <f t="shared" ref="D41:M41" si="30">+D90+D138+D186+D235+D283+D331+D381+D429+D477+D525+D573+D621+D669+D717+D765+D813</f>
        <v>125271</v>
      </c>
      <c r="E41" s="925">
        <f t="shared" si="30"/>
        <v>0</v>
      </c>
      <c r="F41" s="926">
        <f t="shared" si="30"/>
        <v>0</v>
      </c>
      <c r="G41" s="925">
        <f t="shared" si="30"/>
        <v>0</v>
      </c>
      <c r="H41" s="926">
        <f t="shared" si="30"/>
        <v>0</v>
      </c>
      <c r="I41" s="2249">
        <f t="shared" si="30"/>
        <v>0</v>
      </c>
      <c r="J41" s="926">
        <f t="shared" si="30"/>
        <v>0</v>
      </c>
      <c r="K41" s="925">
        <f t="shared" si="30"/>
        <v>6172</v>
      </c>
      <c r="L41" s="926">
        <f t="shared" si="30"/>
        <v>119099</v>
      </c>
      <c r="M41" s="1366">
        <f t="shared" si="30"/>
        <v>125271</v>
      </c>
      <c r="N41" s="922"/>
      <c r="O41" s="922"/>
      <c r="Q41" s="706"/>
      <c r="R41" s="179"/>
      <c r="S41" s="923"/>
      <c r="T41" s="924"/>
      <c r="U41" s="706"/>
      <c r="V41" s="706"/>
      <c r="W41" s="706"/>
      <c r="X41" s="699"/>
      <c r="Y41" s="699"/>
      <c r="Z41" s="699"/>
      <c r="AA41" s="699"/>
    </row>
    <row r="42" spans="2:27" ht="15">
      <c r="B42" s="2468" t="s">
        <v>355</v>
      </c>
      <c r="C42" s="2524"/>
      <c r="D42" s="1593">
        <f t="shared" ref="D42:M42" si="31">+D91+D139+D187+D236+D284+D332+D382+D430+D478+D526+D574+D622+D670+D718+D766+D814</f>
        <v>520693.39465239999</v>
      </c>
      <c r="E42" s="925">
        <f t="shared" si="31"/>
        <v>68558.481650000002</v>
      </c>
      <c r="F42" s="926">
        <f t="shared" si="31"/>
        <v>100422.08204405275</v>
      </c>
      <c r="G42" s="925">
        <f t="shared" si="31"/>
        <v>181901.95232655524</v>
      </c>
      <c r="H42" s="926">
        <f t="shared" si="31"/>
        <v>169810.878631792</v>
      </c>
      <c r="I42" s="2249">
        <f t="shared" si="31"/>
        <v>452134.91300239996</v>
      </c>
      <c r="J42" s="926">
        <f t="shared" si="31"/>
        <v>0</v>
      </c>
      <c r="K42" s="925">
        <f t="shared" si="31"/>
        <v>0</v>
      </c>
      <c r="L42" s="926">
        <f t="shared" si="31"/>
        <v>0</v>
      </c>
      <c r="M42" s="1366">
        <f t="shared" si="31"/>
        <v>0</v>
      </c>
      <c r="N42" s="922"/>
      <c r="O42" s="922"/>
      <c r="Q42" s="706"/>
      <c r="R42" s="179"/>
      <c r="S42" s="923"/>
      <c r="T42" s="924"/>
      <c r="U42" s="706"/>
      <c r="V42" s="706"/>
      <c r="W42" s="706"/>
      <c r="X42" s="699"/>
      <c r="Y42" s="699"/>
      <c r="Z42" s="699"/>
      <c r="AA42" s="699"/>
    </row>
    <row r="43" spans="2:27" ht="15">
      <c r="B43" s="2478" t="s">
        <v>356</v>
      </c>
      <c r="C43" s="2525"/>
      <c r="D43" s="1593">
        <f t="shared" ref="D43:M43" si="32">+D92+D140+D188+D237+D285+D333+D383+D431+D479+D527+D575+D623+D671+D719+D767+D815</f>
        <v>28866963.016763255</v>
      </c>
      <c r="E43" s="925">
        <f t="shared" si="32"/>
        <v>563976.28683999996</v>
      </c>
      <c r="F43" s="926">
        <f t="shared" si="32"/>
        <v>8209810.3584768623</v>
      </c>
      <c r="G43" s="925">
        <f t="shared" si="32"/>
        <v>7908658.2748791035</v>
      </c>
      <c r="H43" s="926">
        <f t="shared" si="32"/>
        <v>11693824.218337286</v>
      </c>
      <c r="I43" s="2249">
        <f t="shared" si="32"/>
        <v>27812292.85169325</v>
      </c>
      <c r="J43" s="926">
        <f t="shared" si="32"/>
        <v>221804.52100000001</v>
      </c>
      <c r="K43" s="925">
        <f t="shared" si="32"/>
        <v>7382</v>
      </c>
      <c r="L43" s="926">
        <f t="shared" si="32"/>
        <v>261507.35723000002</v>
      </c>
      <c r="M43" s="1366">
        <f t="shared" si="32"/>
        <v>490693.87823000003</v>
      </c>
      <c r="N43" s="927"/>
      <c r="O43" s="922"/>
      <c r="Q43" s="706"/>
      <c r="R43" s="179"/>
      <c r="S43" s="923"/>
      <c r="T43" s="924"/>
      <c r="U43" s="706"/>
      <c r="V43" s="706"/>
      <c r="W43" s="706"/>
      <c r="X43" s="699"/>
      <c r="Y43" s="699"/>
      <c r="Z43" s="699"/>
      <c r="AA43" s="699"/>
    </row>
    <row r="44" spans="2:27" ht="15">
      <c r="B44" s="2478"/>
      <c r="C44" s="2525"/>
      <c r="D44" s="1593">
        <f t="shared" ref="D44:M44" si="33">+D93+D141+D189+D238+D286+D334+D384+D432+D480+D528+D576+D624+D672+D720+D768+D816</f>
        <v>0</v>
      </c>
      <c r="E44" s="925">
        <f t="shared" si="33"/>
        <v>0</v>
      </c>
      <c r="F44" s="926">
        <f t="shared" si="33"/>
        <v>0</v>
      </c>
      <c r="G44" s="925">
        <f t="shared" si="33"/>
        <v>0</v>
      </c>
      <c r="H44" s="926">
        <f t="shared" si="33"/>
        <v>0</v>
      </c>
      <c r="I44" s="2249">
        <f t="shared" si="33"/>
        <v>0</v>
      </c>
      <c r="J44" s="926">
        <f t="shared" si="33"/>
        <v>0</v>
      </c>
      <c r="K44" s="925">
        <f t="shared" si="33"/>
        <v>0</v>
      </c>
      <c r="L44" s="926">
        <f t="shared" si="33"/>
        <v>0</v>
      </c>
      <c r="M44" s="1366">
        <f t="shared" si="33"/>
        <v>0</v>
      </c>
      <c r="Q44" s="706"/>
      <c r="R44" s="179"/>
      <c r="S44" s="923"/>
      <c r="T44" s="924"/>
      <c r="U44" s="706"/>
      <c r="V44" s="706"/>
      <c r="W44" s="706"/>
      <c r="X44" s="699"/>
      <c r="Y44" s="699"/>
      <c r="Z44" s="699"/>
      <c r="AA44" s="699"/>
    </row>
    <row r="45" spans="2:27" ht="15">
      <c r="B45" s="2466" t="s">
        <v>357</v>
      </c>
      <c r="C45" s="2519"/>
      <c r="D45" s="1594">
        <f t="shared" ref="D45:M45" si="34">+D94+D142+D190+D239+D287+D335+D385+D433+D481+D529+D577+D625+D673+D721+D769+D817</f>
        <v>19143355.143232577</v>
      </c>
      <c r="E45" s="928">
        <f t="shared" si="34"/>
        <v>8166174.8838396715</v>
      </c>
      <c r="F45" s="929">
        <f t="shared" si="34"/>
        <v>1465878.7770728059</v>
      </c>
      <c r="G45" s="928">
        <f t="shared" si="34"/>
        <v>7813200.0360804293</v>
      </c>
      <c r="H45" s="929">
        <f t="shared" si="34"/>
        <v>1711116.7636496709</v>
      </c>
      <c r="I45" s="2526">
        <f t="shared" si="34"/>
        <v>10990195.576802906</v>
      </c>
      <c r="J45" s="929">
        <f t="shared" si="34"/>
        <v>524</v>
      </c>
      <c r="K45" s="928">
        <f t="shared" si="34"/>
        <v>0</v>
      </c>
      <c r="L45" s="929">
        <f t="shared" si="34"/>
        <v>-13539.317409999989</v>
      </c>
      <c r="M45" s="1660">
        <f t="shared" si="34"/>
        <v>-13015.317409999989</v>
      </c>
      <c r="N45" s="927"/>
      <c r="O45" s="922"/>
      <c r="P45" s="930"/>
      <c r="Q45" s="706"/>
      <c r="R45" s="179"/>
      <c r="S45" s="923"/>
      <c r="T45" s="924"/>
      <c r="U45" s="706"/>
      <c r="V45" s="706"/>
      <c r="W45" s="706"/>
      <c r="X45" s="699"/>
      <c r="Y45" s="699"/>
      <c r="Z45" s="699"/>
      <c r="AA45" s="699"/>
    </row>
    <row r="46" spans="2:27" ht="15">
      <c r="B46" s="2468" t="s">
        <v>358</v>
      </c>
      <c r="C46" s="2518"/>
      <c r="D46" s="1593">
        <f t="shared" ref="D46:M46" si="35">+D95+D143+D191+D240+D288+D336+D386+D434+D482+D530+D578+D626+D674+D722+D770+D818</f>
        <v>5449893.4960505804</v>
      </c>
      <c r="E46" s="931">
        <f t="shared" si="35"/>
        <v>3359533.7415105803</v>
      </c>
      <c r="F46" s="932">
        <f t="shared" si="35"/>
        <v>657211.68000000005</v>
      </c>
      <c r="G46" s="931">
        <f t="shared" si="35"/>
        <v>1433148.0745399999</v>
      </c>
      <c r="H46" s="932">
        <f t="shared" si="35"/>
        <v>0</v>
      </c>
      <c r="I46" s="2249">
        <f t="shared" si="35"/>
        <v>2090359.7545400001</v>
      </c>
      <c r="J46" s="932">
        <f t="shared" si="35"/>
        <v>0</v>
      </c>
      <c r="K46" s="931">
        <f t="shared" si="35"/>
        <v>0</v>
      </c>
      <c r="L46" s="932">
        <f t="shared" si="35"/>
        <v>0</v>
      </c>
      <c r="M46" s="1366">
        <f t="shared" si="35"/>
        <v>0</v>
      </c>
      <c r="N46" s="922"/>
      <c r="O46" s="922"/>
      <c r="Q46" s="706"/>
      <c r="R46" s="179"/>
      <c r="S46" s="923"/>
      <c r="T46" s="924"/>
      <c r="U46" s="706"/>
      <c r="V46" s="706"/>
      <c r="W46" s="699"/>
      <c r="X46" s="699"/>
      <c r="Y46" s="699"/>
      <c r="Z46" s="699"/>
      <c r="AA46" s="699"/>
    </row>
    <row r="47" spans="2:27" ht="15">
      <c r="B47" s="2468"/>
      <c r="C47" s="2518"/>
      <c r="D47" s="1593">
        <f t="shared" ref="D47:M47" si="36">+D96+D144+D192+D241+D289+D337+D387+D435+D483+D531+D579+D627+D675+D723+D771+D819</f>
        <v>0</v>
      </c>
      <c r="E47" s="931">
        <f t="shared" si="36"/>
        <v>0</v>
      </c>
      <c r="F47" s="932">
        <f t="shared" si="36"/>
        <v>0</v>
      </c>
      <c r="G47" s="931">
        <f t="shared" si="36"/>
        <v>0</v>
      </c>
      <c r="H47" s="932">
        <f t="shared" si="36"/>
        <v>0</v>
      </c>
      <c r="I47" s="2249">
        <f t="shared" si="36"/>
        <v>0</v>
      </c>
      <c r="J47" s="932">
        <f t="shared" si="36"/>
        <v>0</v>
      </c>
      <c r="K47" s="931">
        <f t="shared" si="36"/>
        <v>0</v>
      </c>
      <c r="L47" s="932">
        <f t="shared" si="36"/>
        <v>0</v>
      </c>
      <c r="M47" s="1366">
        <f t="shared" si="36"/>
        <v>0</v>
      </c>
      <c r="Q47" s="706"/>
      <c r="R47" s="179"/>
      <c r="S47" s="923"/>
      <c r="T47" s="924"/>
      <c r="U47" s="706"/>
      <c r="V47" s="706"/>
      <c r="W47" s="699"/>
      <c r="X47" s="699"/>
      <c r="Y47" s="699"/>
      <c r="Z47" s="699"/>
      <c r="AA47" s="699"/>
    </row>
    <row r="48" spans="2:27" ht="15.75" thickBot="1">
      <c r="B48" s="1646" t="s">
        <v>359</v>
      </c>
      <c r="C48" s="1654"/>
      <c r="D48" s="1604">
        <f t="shared" ref="D48:M48" si="37">+D97+D145+D193+D242+D290+D338+D388+D436+D484+D532+D580+D628+D676+D724+D772+D820</f>
        <v>13693461.647181999</v>
      </c>
      <c r="E48" s="1604">
        <f t="shared" si="37"/>
        <v>4806641.1423290912</v>
      </c>
      <c r="F48" s="1969">
        <f t="shared" si="37"/>
        <v>808667.09707280586</v>
      </c>
      <c r="G48" s="1604">
        <f t="shared" si="37"/>
        <v>6380051.9615404289</v>
      </c>
      <c r="H48" s="1969">
        <f t="shared" si="37"/>
        <v>1711116.7636496709</v>
      </c>
      <c r="I48" s="1661">
        <f t="shared" si="37"/>
        <v>8899835.8222629055</v>
      </c>
      <c r="J48" s="1969">
        <f t="shared" si="37"/>
        <v>524</v>
      </c>
      <c r="K48" s="1604">
        <f t="shared" si="37"/>
        <v>0</v>
      </c>
      <c r="L48" s="1969">
        <f t="shared" si="37"/>
        <v>-13539.317409999989</v>
      </c>
      <c r="M48" s="1604">
        <f t="shared" si="37"/>
        <v>-13015.317409999989</v>
      </c>
      <c r="N48" s="927"/>
      <c r="O48" s="922"/>
      <c r="Q48" s="706"/>
      <c r="R48" s="179"/>
      <c r="S48" s="923"/>
      <c r="T48" s="924"/>
      <c r="U48" s="706"/>
      <c r="V48" s="706"/>
      <c r="W48" s="699"/>
      <c r="X48" s="699"/>
      <c r="Y48" s="699"/>
      <c r="Z48" s="699"/>
      <c r="AA48" s="699"/>
    </row>
    <row r="49" spans="1:27" ht="15">
      <c r="B49" s="933"/>
      <c r="C49" s="934"/>
      <c r="D49" s="935"/>
      <c r="E49" s="935"/>
      <c r="F49" s="935"/>
      <c r="G49" s="935"/>
      <c r="H49" s="935"/>
      <c r="I49" s="935"/>
      <c r="J49" s="935"/>
      <c r="K49" s="935"/>
      <c r="L49" s="935"/>
      <c r="M49" s="935"/>
      <c r="N49" s="927"/>
      <c r="O49" s="922"/>
      <c r="R49" s="710"/>
      <c r="S49" s="923"/>
      <c r="T49" s="924"/>
      <c r="U49" s="706"/>
      <c r="V49" s="706"/>
      <c r="W49" s="699"/>
      <c r="X49" s="699"/>
      <c r="Y49" s="699"/>
      <c r="Z49" s="699"/>
      <c r="AA49" s="699"/>
    </row>
    <row r="50" spans="1:27">
      <c r="M50" s="912"/>
      <c r="N50" s="927"/>
      <c r="O50" s="922"/>
      <c r="R50" s="699"/>
      <c r="S50" s="699"/>
      <c r="T50" s="699"/>
      <c r="U50" s="699"/>
      <c r="V50" s="699"/>
      <c r="W50" s="699"/>
      <c r="X50" s="699"/>
      <c r="Y50" s="699"/>
      <c r="Z50" s="699"/>
      <c r="AA50" s="699"/>
    </row>
    <row r="51" spans="1:27">
      <c r="M51" s="912">
        <v>64</v>
      </c>
      <c r="N51" s="927"/>
      <c r="O51" s="922"/>
      <c r="R51" s="699"/>
      <c r="S51" s="699"/>
      <c r="T51" s="699"/>
      <c r="U51" s="699"/>
      <c r="V51" s="699"/>
      <c r="W51" s="699"/>
      <c r="X51" s="699"/>
      <c r="Y51" s="699"/>
      <c r="Z51" s="699"/>
      <c r="AA51" s="699"/>
    </row>
    <row r="52" spans="1:27">
      <c r="R52" s="699"/>
      <c r="S52" s="699"/>
      <c r="T52" s="699"/>
      <c r="U52" s="699"/>
      <c r="V52" s="699"/>
      <c r="W52" s="699"/>
      <c r="X52" s="699"/>
      <c r="Y52" s="699"/>
      <c r="Z52" s="699"/>
      <c r="AA52" s="699"/>
    </row>
    <row r="53" spans="1:27" ht="13.5" thickBot="1">
      <c r="R53" s="699"/>
      <c r="S53" s="699"/>
      <c r="T53" s="699"/>
      <c r="U53" s="699"/>
      <c r="V53" s="699"/>
      <c r="W53" s="699"/>
      <c r="X53" s="699"/>
      <c r="Y53" s="699"/>
      <c r="Z53" s="699"/>
      <c r="AA53" s="699"/>
    </row>
    <row r="54" spans="1:27" ht="17.25" customHeight="1" thickBot="1">
      <c r="A54" s="1607" t="s">
        <v>116</v>
      </c>
      <c r="B54" s="1608" t="s">
        <v>116</v>
      </c>
      <c r="C54" s="937"/>
      <c r="L54" s="3538" t="s">
        <v>251</v>
      </c>
      <c r="M54" s="3538"/>
      <c r="R54" s="699"/>
      <c r="S54" s="699"/>
      <c r="T54" s="699"/>
      <c r="U54" s="699"/>
      <c r="V54" s="699"/>
      <c r="W54" s="699"/>
      <c r="X54" s="699"/>
      <c r="Y54" s="699"/>
      <c r="Z54" s="699"/>
      <c r="AA54" s="699"/>
    </row>
    <row r="55" spans="1:27" ht="17.25" customHeight="1" thickBot="1">
      <c r="B55" s="3578" t="s">
        <v>116</v>
      </c>
      <c r="C55" s="3523" t="s">
        <v>325</v>
      </c>
      <c r="D55" s="3518" t="s">
        <v>255</v>
      </c>
      <c r="E55" s="3518" t="s">
        <v>326</v>
      </c>
      <c r="F55" s="3574" t="s">
        <v>258</v>
      </c>
      <c r="G55" s="3574"/>
      <c r="H55" s="3574"/>
      <c r="I55" s="3574"/>
      <c r="J55" s="3574"/>
      <c r="K55" s="3574"/>
      <c r="L55" s="3574"/>
      <c r="M55" s="3574"/>
      <c r="R55" s="699"/>
      <c r="S55" s="699"/>
      <c r="T55" s="699"/>
      <c r="U55" s="699"/>
      <c r="V55" s="699"/>
      <c r="W55" s="699"/>
      <c r="X55" s="699"/>
      <c r="Y55" s="699"/>
      <c r="Z55" s="699"/>
      <c r="AA55" s="699"/>
    </row>
    <row r="56" spans="1:27" ht="53.25" customHeight="1">
      <c r="B56" s="3571"/>
      <c r="C56" s="3524"/>
      <c r="D56" s="3520"/>
      <c r="E56" s="3520"/>
      <c r="F56" s="3575" t="s">
        <v>259</v>
      </c>
      <c r="G56" s="3576"/>
      <c r="H56" s="3576"/>
      <c r="I56" s="3577"/>
      <c r="J56" s="3574" t="s">
        <v>327</v>
      </c>
      <c r="K56" s="3574"/>
      <c r="L56" s="3574"/>
      <c r="M56" s="3574"/>
      <c r="R56" s="699"/>
      <c r="S56" s="699"/>
      <c r="T56" s="699"/>
      <c r="U56" s="699"/>
      <c r="V56" s="699"/>
      <c r="W56" s="699"/>
      <c r="X56" s="699"/>
      <c r="Y56" s="699"/>
      <c r="Z56" s="699"/>
      <c r="AA56" s="699"/>
    </row>
    <row r="57" spans="1:27" ht="57.75" customHeight="1" thickBot="1">
      <c r="B57" s="3571"/>
      <c r="C57" s="3524"/>
      <c r="D57" s="3519"/>
      <c r="E57" s="3519"/>
      <c r="F57" s="1339" t="s">
        <v>261</v>
      </c>
      <c r="G57" s="1339" t="s">
        <v>262</v>
      </c>
      <c r="H57" s="1339" t="s">
        <v>263</v>
      </c>
      <c r="I57" s="1339" t="s">
        <v>158</v>
      </c>
      <c r="J57" s="1588" t="s">
        <v>328</v>
      </c>
      <c r="K57" s="1588" t="s">
        <v>265</v>
      </c>
      <c r="L57" s="1588" t="s">
        <v>329</v>
      </c>
      <c r="M57" s="1588" t="s">
        <v>158</v>
      </c>
      <c r="R57" s="699"/>
      <c r="S57" s="699"/>
      <c r="T57" s="699"/>
      <c r="U57" s="699"/>
      <c r="V57" s="699"/>
      <c r="W57" s="699"/>
      <c r="X57" s="699"/>
      <c r="Y57" s="699"/>
      <c r="Z57" s="699"/>
      <c r="AA57" s="699"/>
    </row>
    <row r="58" spans="1:27" ht="21" customHeight="1" thickBot="1">
      <c r="B58" s="3571"/>
      <c r="C58" s="3524"/>
      <c r="D58" s="1589">
        <v>1</v>
      </c>
      <c r="E58" s="3518">
        <v>2</v>
      </c>
      <c r="F58" s="3518">
        <v>3</v>
      </c>
      <c r="G58" s="3518">
        <v>4</v>
      </c>
      <c r="H58" s="3518">
        <v>5</v>
      </c>
      <c r="I58" s="1589">
        <v>6</v>
      </c>
      <c r="J58" s="3518">
        <v>7</v>
      </c>
      <c r="K58" s="3518">
        <v>8</v>
      </c>
      <c r="L58" s="3518">
        <v>9</v>
      </c>
      <c r="M58" s="1589">
        <v>10</v>
      </c>
      <c r="R58" s="699"/>
      <c r="S58" s="699"/>
      <c r="T58" s="699"/>
      <c r="U58" s="699"/>
      <c r="V58" s="699"/>
      <c r="W58" s="699"/>
      <c r="X58" s="699"/>
      <c r="Y58" s="699"/>
      <c r="Z58" s="699"/>
      <c r="AA58" s="699"/>
    </row>
    <row r="59" spans="1:27" ht="20.25" customHeight="1" thickBot="1">
      <c r="B59" s="3572"/>
      <c r="C59" s="3525"/>
      <c r="D59" s="1590" t="s">
        <v>330</v>
      </c>
      <c r="E59" s="3519"/>
      <c r="F59" s="3519"/>
      <c r="G59" s="3519"/>
      <c r="H59" s="3519"/>
      <c r="I59" s="1590" t="s">
        <v>331</v>
      </c>
      <c r="J59" s="3519"/>
      <c r="K59" s="3519"/>
      <c r="L59" s="3519"/>
      <c r="M59" s="1590" t="s">
        <v>332</v>
      </c>
      <c r="N59" s="703"/>
      <c r="O59" s="703"/>
      <c r="R59" s="706"/>
      <c r="S59" s="706"/>
      <c r="T59" s="706"/>
      <c r="U59" s="706"/>
      <c r="V59" s="706"/>
      <c r="W59" s="706"/>
      <c r="X59" s="706"/>
      <c r="Y59" s="706"/>
      <c r="Z59" s="706"/>
      <c r="AA59" s="706"/>
    </row>
    <row r="60" spans="1:27">
      <c r="B60" s="1635" t="s">
        <v>333</v>
      </c>
      <c r="C60" s="971"/>
      <c r="D60" s="1592">
        <f t="shared" ref="D60:D97" si="38">E60+I60+M60</f>
        <v>15660116</v>
      </c>
      <c r="E60" s="949"/>
      <c r="F60" s="947">
        <v>3336775</v>
      </c>
      <c r="G60" s="949">
        <v>11458481.67007</v>
      </c>
      <c r="H60" s="947">
        <v>864859.32993000001</v>
      </c>
      <c r="I60" s="1636">
        <f t="shared" ref="I60:I97" si="39">F60+G60+H60</f>
        <v>15660116</v>
      </c>
      <c r="J60" s="947"/>
      <c r="K60" s="949"/>
      <c r="L60" s="947"/>
      <c r="M60" s="1637">
        <f t="shared" ref="M60:M77" si="40">L60+K60+J60</f>
        <v>0</v>
      </c>
      <c r="N60" s="922"/>
      <c r="O60" s="922"/>
      <c r="P60" s="679"/>
      <c r="Q60" s="706"/>
      <c r="R60" s="707"/>
      <c r="S60" s="706"/>
      <c r="T60" s="706"/>
      <c r="U60" s="706"/>
      <c r="V60" s="706"/>
      <c r="W60" s="706"/>
      <c r="X60" s="706"/>
      <c r="Y60" s="706"/>
      <c r="Z60" s="706"/>
      <c r="AA60" s="706"/>
    </row>
    <row r="61" spans="1:27">
      <c r="B61" s="2460"/>
      <c r="C61" s="2527"/>
      <c r="D61" s="2481">
        <f t="shared" si="38"/>
        <v>0</v>
      </c>
      <c r="E61" s="2528"/>
      <c r="F61" s="2529"/>
      <c r="G61" s="2528"/>
      <c r="H61" s="2529"/>
      <c r="I61" s="2499">
        <f t="shared" si="39"/>
        <v>0</v>
      </c>
      <c r="J61" s="2529"/>
      <c r="K61" s="2528"/>
      <c r="L61" s="2529"/>
      <c r="M61" s="2500">
        <f t="shared" si="40"/>
        <v>0</v>
      </c>
      <c r="P61" s="679"/>
      <c r="Q61" s="706"/>
      <c r="R61" s="179"/>
      <c r="S61" s="706"/>
      <c r="T61" s="706"/>
      <c r="U61" s="706"/>
      <c r="V61" s="706"/>
      <c r="W61" s="706"/>
      <c r="X61" s="706"/>
      <c r="Y61" s="706"/>
      <c r="Z61" s="706"/>
      <c r="AA61" s="706"/>
    </row>
    <row r="62" spans="1:27">
      <c r="B62" s="2462" t="s">
        <v>334</v>
      </c>
      <c r="C62" s="2527"/>
      <c r="D62" s="2481">
        <f t="shared" si="38"/>
        <v>1872616</v>
      </c>
      <c r="E62" s="2528"/>
      <c r="F62" s="2529">
        <v>53505</v>
      </c>
      <c r="G62" s="2528">
        <v>1816702.2818499999</v>
      </c>
      <c r="H62" s="2529">
        <v>2408.7181499999997</v>
      </c>
      <c r="I62" s="2499">
        <f t="shared" si="39"/>
        <v>1872616</v>
      </c>
      <c r="J62" s="2529"/>
      <c r="K62" s="2528"/>
      <c r="L62" s="2529"/>
      <c r="M62" s="2500">
        <f t="shared" si="40"/>
        <v>0</v>
      </c>
      <c r="N62" s="922"/>
      <c r="O62" s="922"/>
      <c r="P62" s="679"/>
      <c r="Q62" s="706"/>
      <c r="R62" s="707"/>
      <c r="S62" s="706"/>
      <c r="T62" s="706"/>
      <c r="U62" s="706"/>
      <c r="V62" s="706"/>
      <c r="W62" s="706"/>
      <c r="X62" s="706"/>
      <c r="Y62" s="706"/>
      <c r="Z62" s="706"/>
      <c r="AA62" s="706"/>
    </row>
    <row r="63" spans="1:27">
      <c r="B63" s="2462"/>
      <c r="C63" s="2527"/>
      <c r="D63" s="2481">
        <f t="shared" si="38"/>
        <v>0</v>
      </c>
      <c r="E63" s="2528"/>
      <c r="F63" s="2529"/>
      <c r="G63" s="2528"/>
      <c r="H63" s="2529"/>
      <c r="I63" s="2499">
        <f t="shared" si="39"/>
        <v>0</v>
      </c>
      <c r="J63" s="2529"/>
      <c r="K63" s="2528"/>
      <c r="L63" s="2529"/>
      <c r="M63" s="2500">
        <f t="shared" si="40"/>
        <v>0</v>
      </c>
      <c r="P63" s="679"/>
      <c r="Q63" s="706"/>
      <c r="R63" s="389"/>
      <c r="S63" s="706"/>
      <c r="T63" s="706"/>
      <c r="U63" s="706"/>
      <c r="V63" s="706"/>
      <c r="W63" s="706"/>
      <c r="X63" s="706"/>
      <c r="Y63" s="706"/>
      <c r="Z63" s="706"/>
      <c r="AA63" s="706"/>
    </row>
    <row r="64" spans="1:27" ht="12.75" customHeight="1">
      <c r="B64" s="2463" t="s">
        <v>335</v>
      </c>
      <c r="C64" s="2527"/>
      <c r="D64" s="2481">
        <f t="shared" si="38"/>
        <v>0</v>
      </c>
      <c r="E64" s="2528"/>
      <c r="F64" s="2529"/>
      <c r="G64" s="2528"/>
      <c r="H64" s="2529"/>
      <c r="I64" s="2499">
        <f t="shared" si="39"/>
        <v>0</v>
      </c>
      <c r="J64" s="2529"/>
      <c r="K64" s="2528"/>
      <c r="L64" s="2529"/>
      <c r="M64" s="2500">
        <f t="shared" si="40"/>
        <v>0</v>
      </c>
      <c r="N64" s="922"/>
      <c r="O64" s="922"/>
      <c r="P64" s="679"/>
      <c r="Q64" s="706"/>
      <c r="R64" s="389"/>
      <c r="S64" s="706"/>
      <c r="T64" s="706"/>
      <c r="U64" s="706"/>
      <c r="V64" s="706"/>
      <c r="W64" s="706"/>
      <c r="X64" s="706"/>
      <c r="Y64" s="706"/>
      <c r="Z64" s="706"/>
      <c r="AA64" s="706"/>
    </row>
    <row r="65" spans="2:27">
      <c r="B65" s="2460"/>
      <c r="C65" s="2527"/>
      <c r="D65" s="2481">
        <f t="shared" si="38"/>
        <v>0</v>
      </c>
      <c r="E65" s="2528"/>
      <c r="F65" s="2529"/>
      <c r="G65" s="2528"/>
      <c r="H65" s="2529"/>
      <c r="I65" s="2499">
        <f t="shared" si="39"/>
        <v>0</v>
      </c>
      <c r="J65" s="2529"/>
      <c r="K65" s="2528"/>
      <c r="L65" s="2529"/>
      <c r="M65" s="2500">
        <f t="shared" si="40"/>
        <v>0</v>
      </c>
      <c r="P65" s="679"/>
      <c r="Q65" s="706"/>
      <c r="R65" s="389"/>
      <c r="S65" s="706"/>
      <c r="T65" s="706"/>
      <c r="U65" s="706"/>
      <c r="V65" s="706"/>
      <c r="W65" s="706"/>
      <c r="X65" s="706"/>
      <c r="Y65" s="706"/>
      <c r="Z65" s="706"/>
      <c r="AA65" s="706"/>
    </row>
    <row r="66" spans="2:27">
      <c r="B66" s="2464" t="s">
        <v>336</v>
      </c>
      <c r="C66" s="2530"/>
      <c r="D66" s="2481">
        <f t="shared" si="38"/>
        <v>13787500.000000002</v>
      </c>
      <c r="E66" s="2528">
        <f>E60-E62+E64</f>
        <v>0</v>
      </c>
      <c r="F66" s="2529">
        <f>F60-F62+F64</f>
        <v>3283270</v>
      </c>
      <c r="G66" s="2528">
        <f>G60-G62+G64</f>
        <v>9641779.388220001</v>
      </c>
      <c r="H66" s="2529">
        <f>H60-H62+H64</f>
        <v>862450.61178000004</v>
      </c>
      <c r="I66" s="2499">
        <f t="shared" si="39"/>
        <v>13787500.000000002</v>
      </c>
      <c r="J66" s="2529">
        <f>J60-J62+J64</f>
        <v>0</v>
      </c>
      <c r="K66" s="2528">
        <f>K60-K62+K64</f>
        <v>0</v>
      </c>
      <c r="L66" s="2529">
        <f>L60-L62+L64</f>
        <v>0</v>
      </c>
      <c r="M66" s="2500">
        <f t="shared" si="40"/>
        <v>0</v>
      </c>
      <c r="N66" s="927"/>
      <c r="O66" s="922"/>
      <c r="P66" s="679"/>
      <c r="Q66" s="706"/>
      <c r="R66" s="707"/>
      <c r="S66" s="706"/>
      <c r="T66" s="706"/>
      <c r="U66" s="706"/>
      <c r="V66" s="706"/>
      <c r="W66" s="706"/>
      <c r="X66" s="706"/>
      <c r="Y66" s="706"/>
      <c r="Z66" s="706"/>
      <c r="AA66" s="706"/>
    </row>
    <row r="67" spans="2:27">
      <c r="B67" s="2464"/>
      <c r="C67" s="2530"/>
      <c r="D67" s="2481">
        <f t="shared" si="38"/>
        <v>0</v>
      </c>
      <c r="E67" s="2528"/>
      <c r="F67" s="2529"/>
      <c r="G67" s="2528"/>
      <c r="H67" s="2529"/>
      <c r="I67" s="2499">
        <f t="shared" si="39"/>
        <v>0</v>
      </c>
      <c r="J67" s="2529"/>
      <c r="K67" s="2528"/>
      <c r="L67" s="2529"/>
      <c r="M67" s="2500">
        <f t="shared" si="40"/>
        <v>0</v>
      </c>
      <c r="P67" s="679"/>
      <c r="Q67" s="706"/>
      <c r="R67" s="389"/>
      <c r="S67" s="706"/>
      <c r="T67" s="706"/>
      <c r="U67" s="706"/>
      <c r="V67" s="706"/>
      <c r="W67" s="706"/>
      <c r="X67" s="706"/>
      <c r="Y67" s="706"/>
      <c r="Z67" s="706"/>
      <c r="AA67" s="706"/>
    </row>
    <row r="68" spans="2:27">
      <c r="B68" s="2464" t="s">
        <v>337</v>
      </c>
      <c r="C68" s="2530"/>
      <c r="D68" s="2481">
        <f t="shared" si="38"/>
        <v>2276114</v>
      </c>
      <c r="E68" s="2528">
        <f>SUM(E69:E73)</f>
        <v>572641</v>
      </c>
      <c r="F68" s="2529">
        <f>SUM(F69:F73)</f>
        <v>928942</v>
      </c>
      <c r="G68" s="2528">
        <f>SUM(G69:G73)</f>
        <v>734332.24024999992</v>
      </c>
      <c r="H68" s="2529">
        <f>SUM(H69:H73)</f>
        <v>40198.759750000005</v>
      </c>
      <c r="I68" s="2499">
        <f t="shared" si="39"/>
        <v>1703472.9999999998</v>
      </c>
      <c r="J68" s="2529">
        <f>SUM(J69:J73)</f>
        <v>0</v>
      </c>
      <c r="K68" s="2528">
        <f>SUM(K69:K73)</f>
        <v>0</v>
      </c>
      <c r="L68" s="2529">
        <f>SUM(L69:L73)</f>
        <v>0</v>
      </c>
      <c r="M68" s="2500">
        <f t="shared" si="40"/>
        <v>0</v>
      </c>
      <c r="N68" s="927"/>
      <c r="O68" s="922"/>
      <c r="P68" s="679"/>
      <c r="Q68" s="706"/>
      <c r="R68" s="707"/>
      <c r="S68" s="706"/>
      <c r="T68" s="706"/>
      <c r="U68" s="706"/>
      <c r="V68" s="706"/>
      <c r="W68" s="706"/>
      <c r="X68" s="706"/>
      <c r="Y68" s="706"/>
      <c r="Z68" s="706"/>
      <c r="AA68" s="706"/>
    </row>
    <row r="69" spans="2:27">
      <c r="B69" s="2460" t="s">
        <v>338</v>
      </c>
      <c r="C69" s="2527">
        <v>1</v>
      </c>
      <c r="D69" s="2481">
        <f t="shared" si="38"/>
        <v>1634453</v>
      </c>
      <c r="E69" s="2528">
        <v>369331</v>
      </c>
      <c r="F69" s="2529">
        <v>610454</v>
      </c>
      <c r="G69" s="2528">
        <v>620475.24650999997</v>
      </c>
      <c r="H69" s="2529">
        <v>34192.753490000003</v>
      </c>
      <c r="I69" s="2499">
        <f t="shared" si="39"/>
        <v>1265122</v>
      </c>
      <c r="J69" s="2529"/>
      <c r="K69" s="2528"/>
      <c r="L69" s="2529"/>
      <c r="M69" s="2500">
        <f t="shared" si="40"/>
        <v>0</v>
      </c>
      <c r="N69" s="922"/>
      <c r="O69" s="922"/>
      <c r="P69" s="679"/>
      <c r="Q69" s="706"/>
      <c r="R69" s="707"/>
      <c r="S69" s="706"/>
      <c r="T69" s="706"/>
      <c r="U69" s="706"/>
      <c r="V69" s="706"/>
      <c r="W69" s="706"/>
      <c r="X69" s="706"/>
      <c r="Y69" s="706"/>
      <c r="Z69" s="706"/>
      <c r="AA69" s="706"/>
    </row>
    <row r="70" spans="2:27">
      <c r="B70" s="2460" t="s">
        <v>339</v>
      </c>
      <c r="C70" s="2527">
        <v>2</v>
      </c>
      <c r="D70" s="2481">
        <f t="shared" si="38"/>
        <v>0</v>
      </c>
      <c r="E70" s="2528"/>
      <c r="F70" s="2529"/>
      <c r="G70" s="2528"/>
      <c r="H70" s="2529"/>
      <c r="I70" s="2499">
        <f t="shared" si="39"/>
        <v>0</v>
      </c>
      <c r="J70" s="2529"/>
      <c r="K70" s="2528"/>
      <c r="L70" s="2529"/>
      <c r="M70" s="2500">
        <f t="shared" si="40"/>
        <v>0</v>
      </c>
      <c r="N70" s="922"/>
      <c r="O70" s="922"/>
      <c r="P70" s="679"/>
      <c r="Q70" s="706"/>
      <c r="R70" s="389"/>
      <c r="S70" s="706"/>
      <c r="T70" s="706"/>
      <c r="U70" s="706"/>
      <c r="V70" s="706"/>
      <c r="W70" s="706"/>
      <c r="X70" s="706"/>
      <c r="Y70" s="706"/>
      <c r="Z70" s="706"/>
      <c r="AA70" s="706"/>
    </row>
    <row r="71" spans="2:27">
      <c r="B71" s="2460" t="s">
        <v>340</v>
      </c>
      <c r="C71" s="2527"/>
      <c r="D71" s="2481">
        <f t="shared" si="38"/>
        <v>171253</v>
      </c>
      <c r="E71" s="2528">
        <v>111718</v>
      </c>
      <c r="F71" s="2529">
        <v>34939</v>
      </c>
      <c r="G71" s="2528">
        <v>18617.789559999997</v>
      </c>
      <c r="H71" s="2529">
        <v>5978.2104400000007</v>
      </c>
      <c r="I71" s="2499">
        <f t="shared" si="39"/>
        <v>59535</v>
      </c>
      <c r="J71" s="2529"/>
      <c r="K71" s="2528"/>
      <c r="L71" s="2529"/>
      <c r="M71" s="2500">
        <f t="shared" si="40"/>
        <v>0</v>
      </c>
      <c r="N71" s="922"/>
      <c r="O71" s="922"/>
      <c r="P71" s="679"/>
      <c r="Q71" s="706"/>
      <c r="R71" s="707"/>
      <c r="S71" s="706"/>
      <c r="T71" s="706"/>
      <c r="U71" s="706"/>
      <c r="V71" s="706"/>
      <c r="W71" s="706"/>
      <c r="X71" s="706"/>
      <c r="Y71" s="706"/>
      <c r="Z71" s="706"/>
      <c r="AA71" s="706"/>
    </row>
    <row r="72" spans="2:27">
      <c r="B72" s="2460" t="s">
        <v>341</v>
      </c>
      <c r="C72" s="2527"/>
      <c r="D72" s="2481">
        <f t="shared" si="38"/>
        <v>464044</v>
      </c>
      <c r="E72" s="2528">
        <v>91592</v>
      </c>
      <c r="F72" s="2529">
        <v>283549</v>
      </c>
      <c r="G72" s="2528">
        <v>88875.204180000001</v>
      </c>
      <c r="H72" s="2529">
        <v>27.795819999999999</v>
      </c>
      <c r="I72" s="2499">
        <f t="shared" si="39"/>
        <v>372452</v>
      </c>
      <c r="J72" s="2529"/>
      <c r="K72" s="2528"/>
      <c r="L72" s="2529"/>
      <c r="M72" s="2500">
        <f t="shared" si="40"/>
        <v>0</v>
      </c>
      <c r="N72" s="922"/>
      <c r="O72" s="922"/>
      <c r="P72" s="679"/>
      <c r="Q72" s="706"/>
      <c r="R72" s="707"/>
      <c r="S72" s="706"/>
      <c r="T72" s="706"/>
      <c r="U72" s="706"/>
      <c r="V72" s="706"/>
      <c r="W72" s="706"/>
      <c r="X72" s="706"/>
      <c r="Y72" s="706"/>
      <c r="Z72" s="706"/>
      <c r="AA72" s="706"/>
    </row>
    <row r="73" spans="2:27">
      <c r="B73" s="2460" t="s">
        <v>342</v>
      </c>
      <c r="C73" s="2527">
        <v>3</v>
      </c>
      <c r="D73" s="2481">
        <f t="shared" si="38"/>
        <v>6364</v>
      </c>
      <c r="E73" s="2528">
        <v>0</v>
      </c>
      <c r="F73" s="2529">
        <v>0</v>
      </c>
      <c r="G73" s="2528">
        <v>6364</v>
      </c>
      <c r="H73" s="2529">
        <v>0</v>
      </c>
      <c r="I73" s="2499">
        <f t="shared" si="39"/>
        <v>6364</v>
      </c>
      <c r="J73" s="2529"/>
      <c r="K73" s="2528"/>
      <c r="L73" s="2529"/>
      <c r="M73" s="2500">
        <f t="shared" si="40"/>
        <v>0</v>
      </c>
      <c r="N73" s="922"/>
      <c r="O73" s="922"/>
      <c r="P73" s="679"/>
      <c r="Q73" s="706"/>
      <c r="R73" s="707"/>
      <c r="S73" s="706"/>
      <c r="T73" s="706"/>
      <c r="U73" s="706"/>
      <c r="V73" s="706"/>
      <c r="W73" s="706"/>
      <c r="X73" s="706"/>
      <c r="Y73" s="706"/>
      <c r="Z73" s="706"/>
      <c r="AA73" s="706"/>
    </row>
    <row r="74" spans="2:27">
      <c r="B74" s="2460" t="s">
        <v>343</v>
      </c>
      <c r="C74" s="2527"/>
      <c r="D74" s="2481">
        <f t="shared" si="38"/>
        <v>6364</v>
      </c>
      <c r="E74" s="2528"/>
      <c r="F74" s="2529">
        <v>0</v>
      </c>
      <c r="G74" s="2528">
        <v>6364</v>
      </c>
      <c r="H74" s="2529">
        <v>0</v>
      </c>
      <c r="I74" s="2499">
        <f t="shared" si="39"/>
        <v>6364</v>
      </c>
      <c r="J74" s="2529"/>
      <c r="K74" s="2528"/>
      <c r="L74" s="2529"/>
      <c r="M74" s="2500">
        <f t="shared" si="40"/>
        <v>0</v>
      </c>
      <c r="P74" s="679"/>
      <c r="Q74" s="706"/>
      <c r="R74" s="179"/>
      <c r="S74" s="706"/>
      <c r="T74" s="706"/>
      <c r="U74" s="706"/>
      <c r="V74" s="706"/>
      <c r="W74" s="706"/>
      <c r="X74" s="706"/>
      <c r="Y74" s="706"/>
      <c r="Z74" s="706"/>
      <c r="AA74" s="706"/>
    </row>
    <row r="75" spans="2:27">
      <c r="B75" s="2460" t="s">
        <v>343</v>
      </c>
      <c r="C75" s="2527"/>
      <c r="D75" s="2481">
        <f t="shared" si="38"/>
        <v>0</v>
      </c>
      <c r="E75" s="2528"/>
      <c r="F75" s="2529"/>
      <c r="G75" s="2528"/>
      <c r="H75" s="2529"/>
      <c r="I75" s="2499">
        <f t="shared" si="39"/>
        <v>0</v>
      </c>
      <c r="J75" s="2529"/>
      <c r="K75" s="2528"/>
      <c r="L75" s="2529"/>
      <c r="M75" s="2500">
        <f t="shared" si="40"/>
        <v>0</v>
      </c>
      <c r="P75" s="679"/>
      <c r="Q75" s="706"/>
      <c r="R75" s="389"/>
      <c r="S75" s="706"/>
      <c r="T75" s="706"/>
      <c r="U75" s="706"/>
      <c r="V75" s="706"/>
      <c r="W75" s="706"/>
      <c r="X75" s="706"/>
      <c r="Y75" s="706"/>
      <c r="Z75" s="706"/>
      <c r="AA75" s="706"/>
    </row>
    <row r="76" spans="2:27">
      <c r="B76" s="2460"/>
      <c r="C76" s="2527"/>
      <c r="D76" s="2481">
        <f t="shared" si="38"/>
        <v>0</v>
      </c>
      <c r="E76" s="2528"/>
      <c r="F76" s="2529"/>
      <c r="G76" s="2528"/>
      <c r="H76" s="2529"/>
      <c r="I76" s="2499">
        <f t="shared" si="39"/>
        <v>0</v>
      </c>
      <c r="J76" s="2529"/>
      <c r="K76" s="2528"/>
      <c r="L76" s="2529"/>
      <c r="M76" s="2500">
        <f t="shared" si="40"/>
        <v>0</v>
      </c>
      <c r="P76" s="679"/>
      <c r="Q76" s="706"/>
      <c r="R76" s="389"/>
      <c r="S76" s="706"/>
      <c r="T76" s="706"/>
      <c r="U76" s="706"/>
      <c r="V76" s="706"/>
      <c r="W76" s="706"/>
      <c r="X76" s="706"/>
      <c r="Y76" s="706"/>
      <c r="Z76" s="706"/>
      <c r="AA76" s="706"/>
    </row>
    <row r="77" spans="2:27">
      <c r="B77" s="2466" t="s">
        <v>344</v>
      </c>
      <c r="C77" s="2530"/>
      <c r="D77" s="2481">
        <f t="shared" si="38"/>
        <v>16063614.000000002</v>
      </c>
      <c r="E77" s="2528">
        <f>E66+E68</f>
        <v>572641</v>
      </c>
      <c r="F77" s="2529">
        <f>F66+F68</f>
        <v>4212212</v>
      </c>
      <c r="G77" s="2528">
        <f>G66+G68</f>
        <v>10376111.628470002</v>
      </c>
      <c r="H77" s="2529">
        <f>H66+H68</f>
        <v>902649.37153</v>
      </c>
      <c r="I77" s="2499">
        <f t="shared" si="39"/>
        <v>15490973.000000002</v>
      </c>
      <c r="J77" s="2529">
        <f>J66+J68</f>
        <v>0</v>
      </c>
      <c r="K77" s="2528">
        <f>K66+K68</f>
        <v>0</v>
      </c>
      <c r="L77" s="2529">
        <f>L66+L68</f>
        <v>0</v>
      </c>
      <c r="M77" s="2500">
        <f t="shared" si="40"/>
        <v>0</v>
      </c>
      <c r="N77" s="927"/>
      <c r="O77" s="922"/>
      <c r="P77" s="679"/>
      <c r="Q77" s="706"/>
      <c r="R77" s="707"/>
      <c r="S77" s="706"/>
      <c r="T77" s="706"/>
      <c r="U77" s="706"/>
      <c r="V77" s="706"/>
      <c r="W77" s="706"/>
      <c r="X77" s="706"/>
      <c r="Y77" s="706"/>
      <c r="Z77" s="706"/>
      <c r="AA77" s="706"/>
    </row>
    <row r="78" spans="2:27">
      <c r="B78" s="2466"/>
      <c r="C78" s="2530"/>
      <c r="D78" s="2481">
        <f t="shared" si="38"/>
        <v>0</v>
      </c>
      <c r="E78" s="2528"/>
      <c r="F78" s="2529"/>
      <c r="G78" s="2528"/>
      <c r="H78" s="2529"/>
      <c r="I78" s="2499">
        <f t="shared" si="39"/>
        <v>0</v>
      </c>
      <c r="J78" s="2529"/>
      <c r="K78" s="2528"/>
      <c r="L78" s="2529"/>
      <c r="M78" s="2500"/>
      <c r="P78" s="679"/>
      <c r="Q78" s="706"/>
      <c r="R78" s="389"/>
      <c r="S78" s="706"/>
      <c r="T78" s="706"/>
      <c r="U78" s="706"/>
      <c r="V78" s="706"/>
      <c r="W78" s="706"/>
      <c r="X78" s="706"/>
      <c r="Y78" s="706"/>
      <c r="Z78" s="706"/>
      <c r="AA78" s="706"/>
    </row>
    <row r="79" spans="2:27">
      <c r="B79" s="2460" t="s">
        <v>345</v>
      </c>
      <c r="C79" s="2527"/>
      <c r="D79" s="2481">
        <f t="shared" si="38"/>
        <v>4202432</v>
      </c>
      <c r="E79" s="2528">
        <v>0</v>
      </c>
      <c r="F79" s="2529">
        <v>547515</v>
      </c>
      <c r="G79" s="2528">
        <v>3654938.9670000002</v>
      </c>
      <c r="H79" s="2529">
        <v>-21.966999999999999</v>
      </c>
      <c r="I79" s="2499">
        <f t="shared" si="39"/>
        <v>4202432</v>
      </c>
      <c r="J79" s="2529"/>
      <c r="K79" s="2528"/>
      <c r="L79" s="2529"/>
      <c r="M79" s="2500">
        <f t="shared" ref="M79:M97" si="41">L79+K79+J79</f>
        <v>0</v>
      </c>
      <c r="N79" s="922"/>
      <c r="O79" s="922"/>
      <c r="P79" s="679"/>
      <c r="Q79" s="706"/>
      <c r="R79" s="707"/>
      <c r="S79" s="706"/>
      <c r="T79" s="706"/>
      <c r="U79" s="706"/>
      <c r="V79" s="706"/>
      <c r="W79" s="706"/>
      <c r="X79" s="706"/>
      <c r="Y79" s="706"/>
      <c r="Z79" s="706"/>
      <c r="AA79" s="706"/>
    </row>
    <row r="80" spans="2:27">
      <c r="B80" s="2460" t="s">
        <v>346</v>
      </c>
      <c r="C80" s="2527"/>
      <c r="D80" s="2481">
        <f t="shared" si="38"/>
        <v>-656625</v>
      </c>
      <c r="E80" s="2528">
        <v>0</v>
      </c>
      <c r="F80" s="2529">
        <v>-26666</v>
      </c>
      <c r="G80" s="2528">
        <v>-629959</v>
      </c>
      <c r="H80" s="2529">
        <v>0</v>
      </c>
      <c r="I80" s="2499">
        <f t="shared" si="39"/>
        <v>-656625</v>
      </c>
      <c r="J80" s="2529"/>
      <c r="K80" s="2528"/>
      <c r="L80" s="2529"/>
      <c r="M80" s="2500">
        <f t="shared" si="41"/>
        <v>0</v>
      </c>
      <c r="N80" s="922"/>
      <c r="O80" s="922"/>
      <c r="P80" s="679"/>
      <c r="Q80" s="706"/>
      <c r="R80" s="707"/>
      <c r="S80" s="706"/>
      <c r="T80" s="706"/>
      <c r="U80" s="706"/>
      <c r="V80" s="706"/>
      <c r="W80" s="706"/>
      <c r="X80" s="706"/>
      <c r="Y80" s="706"/>
      <c r="Z80" s="706"/>
      <c r="AA80" s="706"/>
    </row>
    <row r="81" spans="2:27">
      <c r="B81" s="2460" t="s">
        <v>347</v>
      </c>
      <c r="C81" s="2527"/>
      <c r="D81" s="2481">
        <f t="shared" si="38"/>
        <v>-27349</v>
      </c>
      <c r="E81" s="2528">
        <v>0</v>
      </c>
      <c r="F81" s="2529">
        <v>11063</v>
      </c>
      <c r="G81" s="2528">
        <v>-39084</v>
      </c>
      <c r="H81" s="2529">
        <v>672</v>
      </c>
      <c r="I81" s="2499">
        <f t="shared" si="39"/>
        <v>-27349</v>
      </c>
      <c r="J81" s="2529"/>
      <c r="K81" s="2528"/>
      <c r="L81" s="2529"/>
      <c r="M81" s="2500">
        <f t="shared" si="41"/>
        <v>0</v>
      </c>
      <c r="N81" s="922"/>
      <c r="O81" s="922"/>
      <c r="P81" s="679"/>
      <c r="Q81" s="706"/>
      <c r="R81" s="707"/>
      <c r="S81" s="706"/>
      <c r="T81" s="706"/>
      <c r="U81" s="706"/>
      <c r="V81" s="706"/>
      <c r="W81" s="706"/>
      <c r="X81" s="706"/>
      <c r="Y81" s="706"/>
      <c r="Z81" s="706"/>
      <c r="AA81" s="706"/>
    </row>
    <row r="82" spans="2:27" ht="12.75" customHeight="1">
      <c r="B82" s="2467" t="s">
        <v>348</v>
      </c>
      <c r="C82" s="2527"/>
      <c r="D82" s="2481">
        <f t="shared" si="38"/>
        <v>48339</v>
      </c>
      <c r="E82" s="2528">
        <v>0</v>
      </c>
      <c r="F82" s="2529">
        <v>-5274</v>
      </c>
      <c r="G82" s="2528">
        <v>53613</v>
      </c>
      <c r="H82" s="2529">
        <v>0</v>
      </c>
      <c r="I82" s="2499">
        <f t="shared" si="39"/>
        <v>48339</v>
      </c>
      <c r="J82" s="2529"/>
      <c r="K82" s="2528"/>
      <c r="L82" s="2529"/>
      <c r="M82" s="2500">
        <f t="shared" si="41"/>
        <v>0</v>
      </c>
      <c r="N82" s="922"/>
      <c r="O82" s="922"/>
      <c r="P82" s="679"/>
      <c r="Q82" s="706"/>
      <c r="R82" s="707"/>
      <c r="S82" s="706"/>
      <c r="T82" s="706"/>
      <c r="U82" s="706"/>
      <c r="V82" s="706"/>
      <c r="W82" s="706"/>
      <c r="X82" s="706"/>
      <c r="Y82" s="706"/>
      <c r="Z82" s="706"/>
      <c r="AA82" s="706"/>
    </row>
    <row r="83" spans="2:27">
      <c r="B83" s="2460" t="s">
        <v>349</v>
      </c>
      <c r="C83" s="2527"/>
      <c r="D83" s="2481">
        <f t="shared" si="38"/>
        <v>3599969</v>
      </c>
      <c r="E83" s="2528">
        <v>0</v>
      </c>
      <c r="F83" s="2529">
        <v>1295861</v>
      </c>
      <c r="G83" s="2528">
        <v>1550663.19246</v>
      </c>
      <c r="H83" s="2529">
        <v>753444.80754000007</v>
      </c>
      <c r="I83" s="2499">
        <f t="shared" si="39"/>
        <v>3599969</v>
      </c>
      <c r="J83" s="2529"/>
      <c r="K83" s="2528"/>
      <c r="L83" s="2529"/>
      <c r="M83" s="2500">
        <f t="shared" si="41"/>
        <v>0</v>
      </c>
      <c r="N83" s="922"/>
      <c r="O83" s="922"/>
      <c r="P83" s="679"/>
      <c r="Q83" s="706"/>
      <c r="R83" s="707"/>
      <c r="S83" s="706"/>
      <c r="T83" s="706"/>
      <c r="U83" s="706"/>
      <c r="V83" s="706"/>
      <c r="W83" s="706"/>
      <c r="X83" s="706"/>
      <c r="Y83" s="706"/>
      <c r="Z83" s="706"/>
      <c r="AA83" s="706"/>
    </row>
    <row r="84" spans="2:27" ht="25.5">
      <c r="B84" s="2467" t="s">
        <v>350</v>
      </c>
      <c r="C84" s="2527"/>
      <c r="D84" s="2481">
        <f t="shared" si="38"/>
        <v>0</v>
      </c>
      <c r="E84" s="2528"/>
      <c r="F84" s="2529">
        <v>0</v>
      </c>
      <c r="G84" s="2528">
        <v>0</v>
      </c>
      <c r="H84" s="2529"/>
      <c r="I84" s="2499">
        <f t="shared" si="39"/>
        <v>0</v>
      </c>
      <c r="J84" s="2529"/>
      <c r="K84" s="2528"/>
      <c r="L84" s="2529"/>
      <c r="M84" s="2500">
        <f t="shared" si="41"/>
        <v>0</v>
      </c>
      <c r="N84" s="922"/>
      <c r="O84" s="922"/>
      <c r="P84" s="679"/>
      <c r="Q84" s="706"/>
      <c r="R84" s="389"/>
      <c r="S84" s="706"/>
      <c r="T84" s="706"/>
      <c r="U84" s="706"/>
      <c r="V84" s="706"/>
      <c r="W84" s="706"/>
      <c r="X84" s="706"/>
      <c r="Y84" s="706"/>
      <c r="Z84" s="706"/>
      <c r="AA84" s="706"/>
    </row>
    <row r="85" spans="2:27">
      <c r="B85" s="2466" t="s">
        <v>351</v>
      </c>
      <c r="C85" s="2530"/>
      <c r="D85" s="2481">
        <f t="shared" si="38"/>
        <v>7166766.0000000009</v>
      </c>
      <c r="E85" s="2528">
        <f>SUM(E79:E84)</f>
        <v>0</v>
      </c>
      <c r="F85" s="2529">
        <f>SUM(F79:F84)</f>
        <v>1822499</v>
      </c>
      <c r="G85" s="2528">
        <f>SUM(G79:G84)</f>
        <v>4590172.1594600007</v>
      </c>
      <c r="H85" s="2529">
        <f>SUM(H79:H84)</f>
        <v>754094.84054000012</v>
      </c>
      <c r="I85" s="2499">
        <f t="shared" si="39"/>
        <v>7166766.0000000009</v>
      </c>
      <c r="J85" s="2529">
        <f>SUM(J79:J84)</f>
        <v>0</v>
      </c>
      <c r="K85" s="2528">
        <f>SUM(K79:K84)</f>
        <v>0</v>
      </c>
      <c r="L85" s="2529">
        <f>SUM(L79:L84)</f>
        <v>0</v>
      </c>
      <c r="M85" s="2500">
        <f t="shared" si="41"/>
        <v>0</v>
      </c>
      <c r="N85" s="927"/>
      <c r="O85" s="922"/>
      <c r="P85" s="679"/>
      <c r="Q85" s="706"/>
      <c r="R85" s="707"/>
      <c r="S85" s="706"/>
      <c r="T85" s="706"/>
      <c r="U85" s="706"/>
      <c r="V85" s="706"/>
      <c r="W85" s="706"/>
      <c r="X85" s="706"/>
      <c r="Y85" s="706"/>
      <c r="Z85" s="706"/>
      <c r="AA85" s="706"/>
    </row>
    <row r="86" spans="2:27">
      <c r="B86" s="2460"/>
      <c r="C86" s="2527"/>
      <c r="D86" s="2481">
        <f t="shared" si="38"/>
        <v>0</v>
      </c>
      <c r="E86" s="2528"/>
      <c r="F86" s="2529"/>
      <c r="G86" s="2528"/>
      <c r="H86" s="2529"/>
      <c r="I86" s="2499">
        <f t="shared" si="39"/>
        <v>0</v>
      </c>
      <c r="J86" s="2529"/>
      <c r="K86" s="2528"/>
      <c r="L86" s="2529"/>
      <c r="M86" s="2500">
        <f t="shared" si="41"/>
        <v>0</v>
      </c>
      <c r="O86" s="922"/>
      <c r="P86" s="679"/>
      <c r="Q86" s="706"/>
      <c r="R86" s="389"/>
      <c r="S86" s="706"/>
      <c r="T86" s="706"/>
      <c r="U86" s="706"/>
      <c r="V86" s="706"/>
      <c r="W86" s="706"/>
      <c r="X86" s="706"/>
      <c r="Y86" s="706"/>
      <c r="Z86" s="706"/>
      <c r="AA86" s="706"/>
    </row>
    <row r="87" spans="2:27" ht="25.5">
      <c r="B87" s="2467" t="s">
        <v>352</v>
      </c>
      <c r="C87" s="2527"/>
      <c r="D87" s="2481">
        <f t="shared" si="38"/>
        <v>3269454</v>
      </c>
      <c r="E87" s="2528">
        <v>0</v>
      </c>
      <c r="F87" s="2529">
        <v>1003812</v>
      </c>
      <c r="G87" s="2528">
        <v>2127361.0254299999</v>
      </c>
      <c r="H87" s="2529">
        <v>138280.97456999999</v>
      </c>
      <c r="I87" s="2499">
        <f t="shared" si="39"/>
        <v>3269454</v>
      </c>
      <c r="J87" s="2529"/>
      <c r="K87" s="2528"/>
      <c r="L87" s="2529"/>
      <c r="M87" s="2500">
        <f t="shared" si="41"/>
        <v>0</v>
      </c>
      <c r="N87" s="922"/>
      <c r="O87" s="922"/>
      <c r="P87" s="679"/>
      <c r="Q87" s="706"/>
      <c r="R87" s="707"/>
      <c r="S87" s="706"/>
      <c r="T87" s="706"/>
      <c r="U87" s="706"/>
      <c r="V87" s="706"/>
      <c r="W87" s="706"/>
      <c r="X87" s="706"/>
      <c r="Y87" s="706"/>
      <c r="Z87" s="706"/>
      <c r="AA87" s="706"/>
    </row>
    <row r="88" spans="2:27">
      <c r="B88" s="2460"/>
      <c r="C88" s="2527"/>
      <c r="D88" s="2481">
        <f t="shared" si="38"/>
        <v>0</v>
      </c>
      <c r="E88" s="2528"/>
      <c r="F88" s="2529"/>
      <c r="G88" s="2528"/>
      <c r="H88" s="2529"/>
      <c r="I88" s="2499">
        <f t="shared" si="39"/>
        <v>0</v>
      </c>
      <c r="J88" s="2529"/>
      <c r="K88" s="2528"/>
      <c r="L88" s="2529"/>
      <c r="M88" s="2500">
        <f t="shared" si="41"/>
        <v>0</v>
      </c>
      <c r="N88" s="922"/>
      <c r="O88" s="922"/>
      <c r="P88" s="679"/>
      <c r="Q88" s="706"/>
      <c r="R88" s="389"/>
      <c r="S88" s="706"/>
      <c r="T88" s="706"/>
      <c r="U88" s="706"/>
      <c r="V88" s="706"/>
      <c r="W88" s="706"/>
      <c r="X88" s="706"/>
      <c r="Y88" s="706"/>
      <c r="Z88" s="706"/>
      <c r="AA88" s="706"/>
    </row>
    <row r="89" spans="2:27" ht="12.75" customHeight="1">
      <c r="B89" s="2467" t="s">
        <v>353</v>
      </c>
      <c r="C89" s="2527">
        <v>4</v>
      </c>
      <c r="D89" s="2481">
        <f t="shared" si="38"/>
        <v>3324870</v>
      </c>
      <c r="E89" s="2528">
        <v>168861</v>
      </c>
      <c r="F89" s="2529">
        <v>1340513</v>
      </c>
      <c r="G89" s="2528">
        <v>1805453.8887199999</v>
      </c>
      <c r="H89" s="2529">
        <v>10042.111279999999</v>
      </c>
      <c r="I89" s="2499">
        <f t="shared" si="39"/>
        <v>3156009</v>
      </c>
      <c r="J89" s="2529"/>
      <c r="K89" s="2528"/>
      <c r="L89" s="2529"/>
      <c r="M89" s="2500">
        <f t="shared" si="41"/>
        <v>0</v>
      </c>
      <c r="N89" s="922"/>
      <c r="O89" s="922"/>
      <c r="P89" s="679"/>
      <c r="Q89" s="706"/>
      <c r="R89" s="707"/>
      <c r="S89" s="706"/>
      <c r="T89" s="706"/>
      <c r="U89" s="706"/>
      <c r="V89" s="706"/>
      <c r="W89" s="706"/>
      <c r="X89" s="706"/>
      <c r="Y89" s="706"/>
      <c r="Z89" s="706"/>
      <c r="AA89" s="706"/>
    </row>
    <row r="90" spans="2:27">
      <c r="B90" s="2460" t="s">
        <v>354</v>
      </c>
      <c r="C90" s="2527"/>
      <c r="D90" s="2481">
        <f t="shared" si="38"/>
        <v>0</v>
      </c>
      <c r="E90" s="2528">
        <v>0</v>
      </c>
      <c r="F90" s="2529"/>
      <c r="G90" s="2528"/>
      <c r="H90" s="2529"/>
      <c r="I90" s="2499">
        <f t="shared" si="39"/>
        <v>0</v>
      </c>
      <c r="J90" s="2529"/>
      <c r="K90" s="2528"/>
      <c r="L90" s="2529"/>
      <c r="M90" s="2500">
        <f t="shared" si="41"/>
        <v>0</v>
      </c>
      <c r="N90" s="922"/>
      <c r="O90" s="922"/>
      <c r="P90" s="679"/>
      <c r="Q90" s="706"/>
      <c r="R90" s="389"/>
      <c r="S90" s="706"/>
      <c r="T90" s="706"/>
      <c r="U90" s="706"/>
      <c r="V90" s="706"/>
      <c r="W90" s="706"/>
      <c r="X90" s="706"/>
      <c r="Y90" s="706"/>
      <c r="Z90" s="706"/>
      <c r="AA90" s="706"/>
    </row>
    <row r="91" spans="2:27">
      <c r="B91" s="2460" t="s">
        <v>355</v>
      </c>
      <c r="C91" s="2527"/>
      <c r="D91" s="2481">
        <f t="shared" si="38"/>
        <v>172177</v>
      </c>
      <c r="E91" s="2528">
        <v>52233</v>
      </c>
      <c r="F91" s="2529">
        <v>45388</v>
      </c>
      <c r="G91" s="2528">
        <v>74324.554860000004</v>
      </c>
      <c r="H91" s="2529">
        <v>231.44514000000001</v>
      </c>
      <c r="I91" s="2499">
        <f t="shared" si="39"/>
        <v>119944</v>
      </c>
      <c r="J91" s="2529"/>
      <c r="K91" s="2528"/>
      <c r="L91" s="2529"/>
      <c r="M91" s="2500">
        <f t="shared" si="41"/>
        <v>0</v>
      </c>
      <c r="N91" s="922"/>
      <c r="O91" s="922"/>
      <c r="P91" s="679"/>
      <c r="Q91" s="706"/>
      <c r="R91" s="707"/>
      <c r="S91" s="706"/>
      <c r="T91" s="706"/>
      <c r="U91" s="706"/>
      <c r="V91" s="706"/>
      <c r="W91" s="706"/>
      <c r="X91" s="706"/>
      <c r="Y91" s="706"/>
      <c r="Z91" s="706"/>
      <c r="AA91" s="706"/>
    </row>
    <row r="92" spans="2:27">
      <c r="B92" s="2466" t="s">
        <v>356</v>
      </c>
      <c r="C92" s="2530"/>
      <c r="D92" s="2481">
        <f t="shared" si="38"/>
        <v>3497046.9999999995</v>
      </c>
      <c r="E92" s="2528">
        <f>SUM(E89:E91)</f>
        <v>221094</v>
      </c>
      <c r="F92" s="2529">
        <f>SUM(F89:F91)</f>
        <v>1385901</v>
      </c>
      <c r="G92" s="2528">
        <f>SUM(G89:G91)</f>
        <v>1879778.44358</v>
      </c>
      <c r="H92" s="2529">
        <f>SUM(H89:H91)</f>
        <v>10273.556419999999</v>
      </c>
      <c r="I92" s="2499">
        <f t="shared" si="39"/>
        <v>3275952.9999999995</v>
      </c>
      <c r="J92" s="2529">
        <f>SUM(J89:J91)</f>
        <v>0</v>
      </c>
      <c r="K92" s="2528">
        <f>SUM(K89:K91)</f>
        <v>0</v>
      </c>
      <c r="L92" s="2529">
        <f>SUM(L89:L91)</f>
        <v>0</v>
      </c>
      <c r="M92" s="2500">
        <f t="shared" si="41"/>
        <v>0</v>
      </c>
      <c r="N92" s="927"/>
      <c r="O92" s="922"/>
      <c r="P92" s="679"/>
      <c r="Q92" s="706"/>
      <c r="R92" s="707"/>
      <c r="S92" s="706"/>
      <c r="T92" s="706"/>
      <c r="U92" s="706"/>
      <c r="V92" s="706"/>
      <c r="W92" s="706"/>
      <c r="X92" s="706"/>
      <c r="Y92" s="706"/>
      <c r="Z92" s="706"/>
      <c r="AA92" s="706"/>
    </row>
    <row r="93" spans="2:27">
      <c r="B93" s="2466"/>
      <c r="C93" s="2530"/>
      <c r="D93" s="2481">
        <f t="shared" si="38"/>
        <v>0</v>
      </c>
      <c r="E93" s="2528"/>
      <c r="F93" s="2529"/>
      <c r="G93" s="2528"/>
      <c r="H93" s="2529"/>
      <c r="I93" s="2499">
        <f t="shared" si="39"/>
        <v>0</v>
      </c>
      <c r="J93" s="2529"/>
      <c r="K93" s="2528"/>
      <c r="L93" s="2529"/>
      <c r="M93" s="2500">
        <f t="shared" si="41"/>
        <v>0</v>
      </c>
      <c r="P93" s="679"/>
      <c r="Q93" s="706"/>
      <c r="R93" s="389"/>
      <c r="S93" s="706"/>
      <c r="T93" s="706"/>
      <c r="U93" s="706"/>
      <c r="V93" s="706"/>
      <c r="W93" s="706"/>
      <c r="X93" s="706"/>
      <c r="Y93" s="706"/>
      <c r="Z93" s="706"/>
      <c r="AA93" s="706"/>
    </row>
    <row r="94" spans="2:27">
      <c r="B94" s="2466" t="s">
        <v>357</v>
      </c>
      <c r="C94" s="2531"/>
      <c r="D94" s="2481">
        <f t="shared" si="38"/>
        <v>2130347.0000000009</v>
      </c>
      <c r="E94" s="2528">
        <f>E77-E85-E87-E92</f>
        <v>351547</v>
      </c>
      <c r="F94" s="2529">
        <f>F77-F85-F87-F92</f>
        <v>0</v>
      </c>
      <c r="G94" s="2528">
        <f>G77-G85-G87-G92</f>
        <v>1778800.0000000012</v>
      </c>
      <c r="H94" s="2529">
        <f>H77-H85-H87-H92</f>
        <v>-1.0732037480920553E-10</v>
      </c>
      <c r="I94" s="2499">
        <f t="shared" si="39"/>
        <v>1778800.0000000012</v>
      </c>
      <c r="J94" s="2529">
        <f>J77-J85-J87-J92</f>
        <v>0</v>
      </c>
      <c r="K94" s="2528">
        <f>K77-K85-K87-K92</f>
        <v>0</v>
      </c>
      <c r="L94" s="2529">
        <f>L77-L85-L87-L92</f>
        <v>0</v>
      </c>
      <c r="M94" s="2500">
        <f t="shared" si="41"/>
        <v>0</v>
      </c>
      <c r="N94" s="927"/>
      <c r="O94" s="922"/>
      <c r="P94" s="679"/>
      <c r="Q94" s="706"/>
      <c r="R94" s="707"/>
      <c r="S94" s="706"/>
      <c r="T94" s="706"/>
      <c r="U94" s="706"/>
      <c r="V94" s="706"/>
      <c r="W94" s="706"/>
      <c r="X94" s="706"/>
      <c r="Y94" s="706"/>
      <c r="Z94" s="706"/>
      <c r="AA94" s="706"/>
    </row>
    <row r="95" spans="2:27">
      <c r="B95" s="2460" t="s">
        <v>358</v>
      </c>
      <c r="C95" s="2527"/>
      <c r="D95" s="2481">
        <f t="shared" si="38"/>
        <v>608864</v>
      </c>
      <c r="E95" s="2528">
        <v>608864</v>
      </c>
      <c r="F95" s="2529"/>
      <c r="G95" s="2528"/>
      <c r="H95" s="2529"/>
      <c r="I95" s="2499">
        <f t="shared" si="39"/>
        <v>0</v>
      </c>
      <c r="J95" s="2529"/>
      <c r="K95" s="2528"/>
      <c r="L95" s="2529"/>
      <c r="M95" s="2500">
        <f t="shared" si="41"/>
        <v>0</v>
      </c>
      <c r="N95" s="922"/>
      <c r="O95" s="922"/>
      <c r="P95" s="679"/>
      <c r="Q95" s="706"/>
      <c r="R95" s="707"/>
      <c r="S95" s="706"/>
      <c r="T95" s="706"/>
      <c r="U95" s="706"/>
      <c r="V95" s="706"/>
      <c r="W95" s="706"/>
      <c r="X95" s="706"/>
      <c r="Y95" s="706"/>
      <c r="Z95" s="706"/>
      <c r="AA95" s="706"/>
    </row>
    <row r="96" spans="2:27">
      <c r="B96" s="2532"/>
      <c r="C96" s="2498"/>
      <c r="D96" s="2481">
        <f t="shared" si="38"/>
        <v>0</v>
      </c>
      <c r="E96" s="2528"/>
      <c r="F96" s="2529"/>
      <c r="G96" s="2528"/>
      <c r="H96" s="2529"/>
      <c r="I96" s="2499">
        <f t="shared" si="39"/>
        <v>0</v>
      </c>
      <c r="J96" s="2529"/>
      <c r="K96" s="2528"/>
      <c r="L96" s="2529"/>
      <c r="M96" s="2500">
        <f t="shared" si="41"/>
        <v>0</v>
      </c>
      <c r="P96" s="679"/>
      <c r="Q96" s="706"/>
      <c r="R96" s="389"/>
      <c r="S96" s="706"/>
      <c r="T96" s="706"/>
      <c r="U96" s="706"/>
      <c r="V96" s="706"/>
      <c r="W96" s="706"/>
      <c r="X96" s="706"/>
      <c r="Y96" s="706"/>
      <c r="Z96" s="706"/>
      <c r="AA96" s="706"/>
    </row>
    <row r="97" spans="1:27" ht="13.5" thickBot="1">
      <c r="B97" s="1602" t="s">
        <v>359</v>
      </c>
      <c r="C97" s="1638"/>
      <c r="D97" s="1614">
        <f t="shared" si="38"/>
        <v>1521483.0000000012</v>
      </c>
      <c r="E97" s="1624">
        <f>E94-E95</f>
        <v>-257317</v>
      </c>
      <c r="F97" s="1614">
        <f>F94-F95</f>
        <v>0</v>
      </c>
      <c r="G97" s="1624">
        <f>G94-G95</f>
        <v>1778800.0000000012</v>
      </c>
      <c r="H97" s="1614">
        <f>H94-H95</f>
        <v>-1.0732037480920553E-10</v>
      </c>
      <c r="I97" s="1624">
        <f t="shared" si="39"/>
        <v>1778800.0000000012</v>
      </c>
      <c r="J97" s="1614">
        <f>J94-J95</f>
        <v>0</v>
      </c>
      <c r="K97" s="1624">
        <f>K94-K95</f>
        <v>0</v>
      </c>
      <c r="L97" s="1614">
        <f>L94-L95</f>
        <v>0</v>
      </c>
      <c r="M97" s="1639">
        <f t="shared" si="41"/>
        <v>0</v>
      </c>
      <c r="N97" s="927"/>
      <c r="O97" s="922"/>
      <c r="P97" s="679"/>
      <c r="Q97" s="706"/>
      <c r="R97" s="707"/>
      <c r="S97" s="706"/>
      <c r="T97" s="706"/>
      <c r="U97" s="706"/>
      <c r="V97" s="706"/>
      <c r="W97" s="706"/>
      <c r="X97" s="706"/>
      <c r="Y97" s="706"/>
      <c r="Z97" s="706"/>
      <c r="AA97" s="706"/>
    </row>
    <row r="98" spans="1:27">
      <c r="O98" s="922"/>
      <c r="R98" s="699"/>
      <c r="S98" s="706"/>
      <c r="T98" s="699"/>
      <c r="U98" s="699"/>
      <c r="V98" s="699"/>
      <c r="W98" s="699"/>
      <c r="X98" s="699"/>
      <c r="Y98" s="699"/>
      <c r="Z98" s="699"/>
      <c r="AA98" s="699"/>
    </row>
    <row r="99" spans="1:27">
      <c r="D99" s="684"/>
      <c r="E99" s="684"/>
      <c r="F99" s="684"/>
      <c r="G99" s="684"/>
      <c r="H99" s="684"/>
      <c r="I99" s="684"/>
      <c r="J99" s="684"/>
      <c r="K99" s="684"/>
      <c r="L99" s="684"/>
      <c r="M99" s="679">
        <v>65</v>
      </c>
      <c r="R99" s="699"/>
      <c r="S99" s="706"/>
      <c r="T99" s="699"/>
      <c r="U99" s="699"/>
      <c r="V99" s="699"/>
      <c r="W99" s="699"/>
      <c r="X99" s="699"/>
      <c r="Y99" s="699"/>
      <c r="Z99" s="699"/>
      <c r="AA99" s="699"/>
    </row>
    <row r="100" spans="1:27">
      <c r="R100" s="699"/>
      <c r="S100" s="699"/>
      <c r="T100" s="699"/>
      <c r="U100" s="699"/>
      <c r="V100" s="699"/>
      <c r="W100" s="699"/>
      <c r="X100" s="699"/>
      <c r="Y100" s="699"/>
      <c r="Z100" s="699"/>
      <c r="AA100" s="699"/>
    </row>
    <row r="101" spans="1:27" ht="13.5" thickBot="1">
      <c r="R101" s="699"/>
      <c r="S101" s="699"/>
      <c r="T101" s="699"/>
      <c r="U101" s="699"/>
      <c r="V101" s="699"/>
      <c r="W101" s="699"/>
      <c r="X101" s="699"/>
      <c r="Y101" s="699"/>
      <c r="Z101" s="699"/>
      <c r="AA101" s="699"/>
    </row>
    <row r="102" spans="1:27" ht="17.25" customHeight="1" thickBot="1">
      <c r="A102" s="1626" t="s">
        <v>176</v>
      </c>
      <c r="B102" s="1368" t="s">
        <v>314</v>
      </c>
      <c r="C102" s="937"/>
      <c r="L102" s="3580" t="s">
        <v>251</v>
      </c>
      <c r="M102" s="3580"/>
      <c r="R102" s="699"/>
      <c r="S102" s="699"/>
      <c r="T102" s="699"/>
      <c r="U102" s="699"/>
      <c r="V102" s="699"/>
      <c r="W102" s="699"/>
      <c r="X102" s="699"/>
      <c r="Y102" s="699"/>
      <c r="Z102" s="699"/>
      <c r="AA102" s="699"/>
    </row>
    <row r="103" spans="1:27" ht="17.25" customHeight="1" thickBot="1">
      <c r="B103" s="3578" t="s">
        <v>314</v>
      </c>
      <c r="C103" s="3523" t="s">
        <v>325</v>
      </c>
      <c r="D103" s="3518" t="s">
        <v>255</v>
      </c>
      <c r="E103" s="3518" t="s">
        <v>326</v>
      </c>
      <c r="F103" s="3574" t="s">
        <v>258</v>
      </c>
      <c r="G103" s="3574"/>
      <c r="H103" s="3574"/>
      <c r="I103" s="3574"/>
      <c r="J103" s="3574"/>
      <c r="K103" s="3574"/>
      <c r="L103" s="3574"/>
      <c r="M103" s="3574"/>
      <c r="R103" s="699"/>
      <c r="S103" s="699"/>
      <c r="T103" s="699"/>
      <c r="U103" s="699"/>
      <c r="V103" s="699"/>
      <c r="W103" s="699"/>
      <c r="X103" s="699"/>
      <c r="Y103" s="699"/>
      <c r="Z103" s="699"/>
      <c r="AA103" s="699"/>
    </row>
    <row r="104" spans="1:27" ht="23.25" customHeight="1">
      <c r="B104" s="3571"/>
      <c r="C104" s="3524"/>
      <c r="D104" s="3520"/>
      <c r="E104" s="3520"/>
      <c r="F104" s="3575" t="s">
        <v>259</v>
      </c>
      <c r="G104" s="3576"/>
      <c r="H104" s="3576"/>
      <c r="I104" s="3577"/>
      <c r="J104" s="3574" t="s">
        <v>327</v>
      </c>
      <c r="K104" s="3574"/>
      <c r="L104" s="3574"/>
      <c r="M104" s="3574"/>
      <c r="R104" s="699"/>
      <c r="S104" s="699"/>
      <c r="T104" s="699"/>
      <c r="U104" s="699"/>
      <c r="V104" s="699"/>
      <c r="W104" s="699"/>
      <c r="X104" s="699"/>
      <c r="Y104" s="699"/>
      <c r="Z104" s="699"/>
      <c r="AA104" s="699"/>
    </row>
    <row r="105" spans="1:27" ht="60" customHeight="1" thickBot="1">
      <c r="B105" s="3571"/>
      <c r="C105" s="3524"/>
      <c r="D105" s="3519"/>
      <c r="E105" s="3519"/>
      <c r="F105" s="1339" t="s">
        <v>261</v>
      </c>
      <c r="G105" s="1339" t="s">
        <v>262</v>
      </c>
      <c r="H105" s="1339" t="s">
        <v>263</v>
      </c>
      <c r="I105" s="1339" t="s">
        <v>158</v>
      </c>
      <c r="J105" s="1588" t="s">
        <v>328</v>
      </c>
      <c r="K105" s="1588" t="s">
        <v>265</v>
      </c>
      <c r="L105" s="1588" t="s">
        <v>329</v>
      </c>
      <c r="M105" s="1588" t="s">
        <v>158</v>
      </c>
      <c r="R105" s="699"/>
      <c r="S105" s="699"/>
      <c r="T105" s="699"/>
      <c r="U105" s="699"/>
      <c r="V105" s="699"/>
      <c r="W105" s="699"/>
      <c r="X105" s="699"/>
      <c r="Y105" s="699"/>
      <c r="Z105" s="699"/>
      <c r="AA105" s="699"/>
    </row>
    <row r="106" spans="1:27" ht="12.75" customHeight="1" thickBot="1">
      <c r="B106" s="3571"/>
      <c r="C106" s="3524"/>
      <c r="D106" s="1589">
        <v>1</v>
      </c>
      <c r="E106" s="3518">
        <v>2</v>
      </c>
      <c r="F106" s="3518">
        <v>3</v>
      </c>
      <c r="G106" s="3518">
        <v>4</v>
      </c>
      <c r="H106" s="3518">
        <v>5</v>
      </c>
      <c r="I106" s="1589">
        <v>6</v>
      </c>
      <c r="J106" s="3518">
        <v>7</v>
      </c>
      <c r="K106" s="3518">
        <v>8</v>
      </c>
      <c r="L106" s="3518">
        <v>9</v>
      </c>
      <c r="M106" s="1589">
        <v>10</v>
      </c>
      <c r="R106" s="699"/>
      <c r="S106" s="699"/>
      <c r="T106" s="699"/>
      <c r="U106" s="699"/>
      <c r="V106" s="699"/>
      <c r="W106" s="699"/>
      <c r="X106" s="699"/>
      <c r="Y106" s="699"/>
      <c r="Z106" s="699"/>
      <c r="AA106" s="699"/>
    </row>
    <row r="107" spans="1:27" ht="13.5" thickBot="1">
      <c r="B107" s="3572"/>
      <c r="C107" s="3525"/>
      <c r="D107" s="1590" t="s">
        <v>330</v>
      </c>
      <c r="E107" s="3519"/>
      <c r="F107" s="3519"/>
      <c r="G107" s="3519"/>
      <c r="H107" s="3519"/>
      <c r="I107" s="1590" t="s">
        <v>331</v>
      </c>
      <c r="J107" s="3519"/>
      <c r="K107" s="3519"/>
      <c r="L107" s="3519"/>
      <c r="M107" s="1590" t="s">
        <v>332</v>
      </c>
      <c r="N107" s="703"/>
      <c r="O107" s="703"/>
      <c r="R107" s="699"/>
      <c r="S107" s="699"/>
      <c r="T107" s="699"/>
      <c r="U107" s="699"/>
      <c r="V107" s="699"/>
      <c r="W107" s="699"/>
      <c r="X107" s="699"/>
      <c r="Y107" s="699"/>
      <c r="Z107" s="699"/>
      <c r="AA107" s="699"/>
    </row>
    <row r="108" spans="1:27">
      <c r="B108" s="1591" t="s">
        <v>333</v>
      </c>
      <c r="C108" s="951"/>
      <c r="D108" s="1592">
        <f t="shared" ref="D108:D145" si="42">E108+I108+M108</f>
        <v>1836100.2600100003</v>
      </c>
      <c r="E108" s="949"/>
      <c r="F108" s="947"/>
      <c r="G108" s="949">
        <v>1836100.2600100003</v>
      </c>
      <c r="H108" s="947"/>
      <c r="I108" s="1636">
        <f t="shared" ref="I108:I145" si="43">F108+G108+H108</f>
        <v>1836100.2600100003</v>
      </c>
      <c r="J108" s="947"/>
      <c r="K108" s="949"/>
      <c r="L108" s="947"/>
      <c r="M108" s="1637">
        <f t="shared" ref="M108:M125" si="44">L108+K108+J108</f>
        <v>0</v>
      </c>
      <c r="N108" s="922"/>
      <c r="O108" s="922"/>
      <c r="P108" s="109"/>
      <c r="Q108" s="706"/>
      <c r="R108" s="707"/>
      <c r="S108" s="706"/>
      <c r="T108" s="708"/>
      <c r="U108" s="706"/>
      <c r="V108" s="706"/>
      <c r="W108" s="706"/>
      <c r="X108" s="706"/>
      <c r="Y108" s="706"/>
      <c r="Z108" s="706"/>
      <c r="AA108" s="706"/>
    </row>
    <row r="109" spans="1:27">
      <c r="B109" s="2460"/>
      <c r="C109" s="2527"/>
      <c r="D109" s="2481">
        <f t="shared" si="42"/>
        <v>0</v>
      </c>
      <c r="E109" s="2528"/>
      <c r="F109" s="2529"/>
      <c r="G109" s="2528"/>
      <c r="H109" s="2529"/>
      <c r="I109" s="2499">
        <f t="shared" si="43"/>
        <v>0</v>
      </c>
      <c r="J109" s="2529"/>
      <c r="K109" s="2528"/>
      <c r="L109" s="2529"/>
      <c r="M109" s="2500">
        <f t="shared" si="44"/>
        <v>0</v>
      </c>
      <c r="P109" s="109"/>
      <c r="Q109" s="706"/>
      <c r="R109" s="109"/>
      <c r="S109" s="706"/>
      <c r="T109" s="708"/>
      <c r="U109" s="706"/>
      <c r="V109" s="706"/>
      <c r="W109" s="706"/>
      <c r="X109" s="706"/>
      <c r="Y109" s="706"/>
      <c r="Z109" s="706"/>
      <c r="AA109" s="706"/>
    </row>
    <row r="110" spans="1:27" ht="13.5" thickBot="1">
      <c r="B110" s="2462" t="s">
        <v>334</v>
      </c>
      <c r="C110" s="2527"/>
      <c r="D110" s="2481">
        <f t="shared" si="42"/>
        <v>91424.656449999995</v>
      </c>
      <c r="E110" s="2528"/>
      <c r="F110" s="2529"/>
      <c r="G110" s="2528">
        <v>91424.656449999995</v>
      </c>
      <c r="H110" s="2529"/>
      <c r="I110" s="2499">
        <f t="shared" si="43"/>
        <v>91424.656449999995</v>
      </c>
      <c r="J110" s="2529"/>
      <c r="K110" s="2528"/>
      <c r="L110" s="2529"/>
      <c r="M110" s="2500">
        <f t="shared" si="44"/>
        <v>0</v>
      </c>
      <c r="N110" s="922"/>
      <c r="O110" s="922"/>
      <c r="P110" s="109"/>
      <c r="Q110" s="706"/>
      <c r="R110" s="707"/>
      <c r="S110" s="706"/>
      <c r="T110" s="708"/>
      <c r="U110" s="706"/>
      <c r="V110" s="706"/>
      <c r="W110" s="706"/>
      <c r="X110" s="706"/>
      <c r="Y110" s="706"/>
      <c r="Z110" s="706"/>
      <c r="AA110" s="706"/>
    </row>
    <row r="111" spans="1:27" ht="13.5" thickBot="1">
      <c r="B111" s="2462"/>
      <c r="C111" s="2527"/>
      <c r="D111" s="2481">
        <f t="shared" si="42"/>
        <v>0</v>
      </c>
      <c r="E111" s="2528"/>
      <c r="F111" s="2529"/>
      <c r="G111" s="2528"/>
      <c r="H111" s="2529"/>
      <c r="I111" s="2499">
        <f t="shared" si="43"/>
        <v>0</v>
      </c>
      <c r="J111" s="2529"/>
      <c r="K111" s="2528"/>
      <c r="L111" s="2529"/>
      <c r="M111" s="2500">
        <f t="shared" si="44"/>
        <v>0</v>
      </c>
      <c r="O111" s="939"/>
      <c r="P111" s="109"/>
      <c r="Q111" s="706"/>
      <c r="R111" s="109"/>
      <c r="S111" s="706"/>
      <c r="T111" s="708"/>
      <c r="U111" s="706"/>
      <c r="V111" s="706"/>
      <c r="W111" s="706"/>
      <c r="X111" s="706"/>
      <c r="Y111" s="706"/>
      <c r="Z111" s="706"/>
      <c r="AA111" s="706"/>
    </row>
    <row r="112" spans="1:27" ht="12.75" customHeight="1">
      <c r="B112" s="2463" t="s">
        <v>335</v>
      </c>
      <c r="C112" s="2527"/>
      <c r="D112" s="2481">
        <f t="shared" si="42"/>
        <v>0</v>
      </c>
      <c r="E112" s="2528"/>
      <c r="F112" s="2529"/>
      <c r="G112" s="2528"/>
      <c r="H112" s="2529"/>
      <c r="I112" s="2499">
        <f t="shared" si="43"/>
        <v>0</v>
      </c>
      <c r="J112" s="2529"/>
      <c r="K112" s="2528"/>
      <c r="L112" s="2529"/>
      <c r="M112" s="2500">
        <f t="shared" si="44"/>
        <v>0</v>
      </c>
      <c r="N112" s="922"/>
      <c r="O112" s="922"/>
      <c r="P112" s="109"/>
      <c r="Q112" s="706"/>
      <c r="R112" s="109"/>
      <c r="S112" s="706"/>
      <c r="T112" s="708"/>
      <c r="U112" s="706"/>
      <c r="V112" s="706"/>
      <c r="W112" s="706"/>
      <c r="X112" s="706"/>
      <c r="Y112" s="706"/>
      <c r="Z112" s="706"/>
      <c r="AA112" s="706"/>
    </row>
    <row r="113" spans="2:27">
      <c r="B113" s="2460"/>
      <c r="C113" s="2527"/>
      <c r="D113" s="2481">
        <f t="shared" si="42"/>
        <v>0</v>
      </c>
      <c r="E113" s="2528"/>
      <c r="F113" s="2529"/>
      <c r="G113" s="2528"/>
      <c r="H113" s="2529"/>
      <c r="I113" s="2499">
        <f t="shared" si="43"/>
        <v>0</v>
      </c>
      <c r="J113" s="2529"/>
      <c r="K113" s="2528"/>
      <c r="L113" s="2529"/>
      <c r="M113" s="2500">
        <f t="shared" si="44"/>
        <v>0</v>
      </c>
      <c r="P113" s="109"/>
      <c r="Q113" s="706"/>
      <c r="R113" s="109"/>
      <c r="S113" s="706"/>
      <c r="T113" s="708"/>
      <c r="U113" s="706"/>
      <c r="V113" s="706"/>
      <c r="W113" s="706"/>
      <c r="X113" s="706"/>
      <c r="Y113" s="706"/>
      <c r="Z113" s="706"/>
      <c r="AA113" s="706"/>
    </row>
    <row r="114" spans="2:27">
      <c r="B114" s="2464" t="s">
        <v>336</v>
      </c>
      <c r="C114" s="2530"/>
      <c r="D114" s="2481">
        <f t="shared" si="42"/>
        <v>1744675.6035600004</v>
      </c>
      <c r="E114" s="2528">
        <f>E108-E110+E112</f>
        <v>0</v>
      </c>
      <c r="F114" s="2529">
        <f>F108-F110+F112</f>
        <v>0</v>
      </c>
      <c r="G114" s="2528">
        <f>G108-G110+G112</f>
        <v>1744675.6035600004</v>
      </c>
      <c r="H114" s="2529">
        <f>H108-H110+H112</f>
        <v>0</v>
      </c>
      <c r="I114" s="2499">
        <f t="shared" si="43"/>
        <v>1744675.6035600004</v>
      </c>
      <c r="J114" s="2529">
        <f>J108-J110+J112</f>
        <v>0</v>
      </c>
      <c r="K114" s="2528">
        <f>K108-K110+K112</f>
        <v>0</v>
      </c>
      <c r="L114" s="2529">
        <f>L108-L110+L112</f>
        <v>0</v>
      </c>
      <c r="M114" s="2500">
        <f t="shared" si="44"/>
        <v>0</v>
      </c>
      <c r="N114" s="927"/>
      <c r="O114" s="922"/>
      <c r="P114" s="109"/>
      <c r="Q114" s="706"/>
      <c r="R114" s="707"/>
      <c r="S114" s="706"/>
      <c r="T114" s="708"/>
      <c r="U114" s="706"/>
      <c r="V114" s="706"/>
      <c r="W114" s="706"/>
      <c r="X114" s="706"/>
      <c r="Y114" s="706"/>
      <c r="Z114" s="706"/>
      <c r="AA114" s="706"/>
    </row>
    <row r="115" spans="2:27">
      <c r="B115" s="2464"/>
      <c r="C115" s="2530"/>
      <c r="D115" s="2481">
        <f t="shared" si="42"/>
        <v>0</v>
      </c>
      <c r="E115" s="2528"/>
      <c r="F115" s="2529"/>
      <c r="G115" s="2528"/>
      <c r="H115" s="2529"/>
      <c r="I115" s="2499">
        <f t="shared" si="43"/>
        <v>0</v>
      </c>
      <c r="J115" s="2529"/>
      <c r="K115" s="2528"/>
      <c r="L115" s="2529"/>
      <c r="M115" s="2500">
        <f t="shared" si="44"/>
        <v>0</v>
      </c>
      <c r="P115" s="109"/>
      <c r="Q115" s="706"/>
      <c r="R115" s="109"/>
      <c r="S115" s="706"/>
      <c r="T115" s="708"/>
      <c r="U115" s="706"/>
      <c r="V115" s="706"/>
      <c r="W115" s="706"/>
      <c r="X115" s="706"/>
      <c r="Y115" s="706"/>
      <c r="Z115" s="706"/>
      <c r="AA115" s="706"/>
    </row>
    <row r="116" spans="2:27">
      <c r="B116" s="2464" t="s">
        <v>337</v>
      </c>
      <c r="C116" s="2530"/>
      <c r="D116" s="2481">
        <f t="shared" si="42"/>
        <v>296651.14774999995</v>
      </c>
      <c r="E116" s="2528">
        <f>SUM(E117:E121)</f>
        <v>79254.146339999992</v>
      </c>
      <c r="F116" s="2529">
        <f>SUM(F117:F121)</f>
        <v>0</v>
      </c>
      <c r="G116" s="2528">
        <f>SUM(G117:G121)</f>
        <v>217397.00140999997</v>
      </c>
      <c r="H116" s="2529">
        <f>SUM(H117:H121)</f>
        <v>0</v>
      </c>
      <c r="I116" s="2499">
        <f t="shared" si="43"/>
        <v>217397.00140999997</v>
      </c>
      <c r="J116" s="2529">
        <f>SUM(J117:J121)</f>
        <v>0</v>
      </c>
      <c r="K116" s="2528">
        <f>SUM(K117:K121)</f>
        <v>0</v>
      </c>
      <c r="L116" s="2529">
        <f>SUM(L117:L121)</f>
        <v>0</v>
      </c>
      <c r="M116" s="2500">
        <f t="shared" si="44"/>
        <v>0</v>
      </c>
      <c r="N116" s="927"/>
      <c r="O116" s="922"/>
      <c r="P116" s="109"/>
      <c r="Q116" s="706"/>
      <c r="R116" s="707"/>
      <c r="S116" s="706"/>
      <c r="T116" s="708"/>
      <c r="U116" s="706"/>
      <c r="V116" s="706"/>
      <c r="W116" s="706"/>
      <c r="X116" s="706"/>
      <c r="Y116" s="706"/>
      <c r="Z116" s="706"/>
      <c r="AA116" s="706"/>
    </row>
    <row r="117" spans="2:27">
      <c r="B117" s="2460" t="s">
        <v>338</v>
      </c>
      <c r="C117" s="2527">
        <v>1</v>
      </c>
      <c r="D117" s="2481">
        <f t="shared" si="42"/>
        <v>253389.34279999998</v>
      </c>
      <c r="E117" s="2528">
        <v>79254.146339999992</v>
      </c>
      <c r="F117" s="2529"/>
      <c r="G117" s="2528">
        <v>174135.19645999998</v>
      </c>
      <c r="H117" s="2533">
        <f>SUM(H118:H121)</f>
        <v>0</v>
      </c>
      <c r="I117" s="2499">
        <f t="shared" si="43"/>
        <v>174135.19645999998</v>
      </c>
      <c r="J117" s="2529"/>
      <c r="K117" s="2528"/>
      <c r="L117" s="2529"/>
      <c r="M117" s="2500">
        <f t="shared" si="44"/>
        <v>0</v>
      </c>
      <c r="N117" s="922"/>
      <c r="O117" s="922"/>
      <c r="P117" s="109"/>
      <c r="Q117" s="706"/>
      <c r="R117" s="707"/>
      <c r="S117" s="706"/>
      <c r="T117" s="708"/>
      <c r="U117" s="706"/>
      <c r="V117" s="706"/>
      <c r="W117" s="706"/>
      <c r="X117" s="706"/>
      <c r="Y117" s="706"/>
      <c r="Z117" s="706"/>
      <c r="AA117" s="706"/>
    </row>
    <row r="118" spans="2:27">
      <c r="B118" s="2460" t="s">
        <v>339</v>
      </c>
      <c r="C118" s="2527">
        <v>2</v>
      </c>
      <c r="D118" s="2481">
        <f t="shared" si="42"/>
        <v>34222.629750000007</v>
      </c>
      <c r="E118" s="2528"/>
      <c r="F118" s="2529"/>
      <c r="G118" s="2528">
        <v>34222.629750000007</v>
      </c>
      <c r="H118" s="2533"/>
      <c r="I118" s="2499">
        <f t="shared" si="43"/>
        <v>34222.629750000007</v>
      </c>
      <c r="J118" s="2529"/>
      <c r="K118" s="2528"/>
      <c r="L118" s="2529"/>
      <c r="M118" s="2500">
        <f t="shared" si="44"/>
        <v>0</v>
      </c>
      <c r="N118" s="922"/>
      <c r="O118" s="922"/>
      <c r="P118" s="109"/>
      <c r="Q118" s="706"/>
      <c r="R118" s="707"/>
      <c r="S118" s="706"/>
      <c r="T118" s="708"/>
      <c r="U118" s="706"/>
      <c r="V118" s="706"/>
      <c r="W118" s="706"/>
      <c r="X118" s="706"/>
      <c r="Y118" s="706"/>
      <c r="Z118" s="706"/>
      <c r="AA118" s="706"/>
    </row>
    <row r="119" spans="2:27">
      <c r="B119" s="2460" t="s">
        <v>340</v>
      </c>
      <c r="C119" s="2527"/>
      <c r="D119" s="2481">
        <f t="shared" si="42"/>
        <v>0</v>
      </c>
      <c r="E119" s="2534"/>
      <c r="F119" s="2529"/>
      <c r="G119" s="2534"/>
      <c r="H119" s="2533"/>
      <c r="I119" s="2499">
        <f t="shared" si="43"/>
        <v>0</v>
      </c>
      <c r="J119" s="2529"/>
      <c r="K119" s="2528"/>
      <c r="L119" s="2529"/>
      <c r="M119" s="2500">
        <f t="shared" si="44"/>
        <v>0</v>
      </c>
      <c r="N119" s="922"/>
      <c r="O119" s="922"/>
      <c r="P119" s="109"/>
      <c r="Q119" s="706"/>
      <c r="R119" s="109"/>
      <c r="S119" s="706"/>
      <c r="T119" s="708"/>
      <c r="U119" s="706"/>
      <c r="V119" s="706"/>
      <c r="W119" s="706"/>
      <c r="X119" s="706"/>
      <c r="Y119" s="706"/>
      <c r="Z119" s="706"/>
      <c r="AA119" s="706"/>
    </row>
    <row r="120" spans="2:27">
      <c r="B120" s="2460" t="s">
        <v>341</v>
      </c>
      <c r="C120" s="2527"/>
      <c r="D120" s="2481">
        <f t="shared" si="42"/>
        <v>0</v>
      </c>
      <c r="E120" s="2534"/>
      <c r="F120" s="2529"/>
      <c r="G120" s="2534"/>
      <c r="H120" s="2533"/>
      <c r="I120" s="2499">
        <f t="shared" si="43"/>
        <v>0</v>
      </c>
      <c r="J120" s="2529"/>
      <c r="K120" s="2528"/>
      <c r="L120" s="2529"/>
      <c r="M120" s="2500">
        <f t="shared" si="44"/>
        <v>0</v>
      </c>
      <c r="N120" s="922"/>
      <c r="O120" s="922"/>
      <c r="P120" s="109"/>
      <c r="Q120" s="706"/>
      <c r="R120" s="109"/>
      <c r="S120" s="706"/>
      <c r="T120" s="708"/>
      <c r="U120" s="706"/>
      <c r="V120" s="706"/>
      <c r="W120" s="706"/>
      <c r="X120" s="706"/>
      <c r="Y120" s="706"/>
      <c r="Z120" s="706"/>
      <c r="AA120" s="706"/>
    </row>
    <row r="121" spans="2:27">
      <c r="B121" s="2460" t="s">
        <v>342</v>
      </c>
      <c r="C121" s="2527">
        <v>3</v>
      </c>
      <c r="D121" s="2481">
        <f t="shared" si="42"/>
        <v>9039.1751999999997</v>
      </c>
      <c r="E121" s="2534"/>
      <c r="F121" s="2529"/>
      <c r="G121" s="2528">
        <v>9039.1751999999997</v>
      </c>
      <c r="H121" s="2533"/>
      <c r="I121" s="2499">
        <f t="shared" si="43"/>
        <v>9039.1751999999997</v>
      </c>
      <c r="J121" s="2529"/>
      <c r="K121" s="2528"/>
      <c r="L121" s="2529"/>
      <c r="M121" s="2500">
        <f t="shared" si="44"/>
        <v>0</v>
      </c>
      <c r="N121" s="922"/>
      <c r="O121" s="922"/>
      <c r="P121" s="109"/>
      <c r="Q121" s="706"/>
      <c r="R121" s="707"/>
      <c r="S121" s="706"/>
      <c r="T121" s="708"/>
      <c r="U121" s="706"/>
      <c r="V121" s="706"/>
      <c r="W121" s="706"/>
      <c r="X121" s="706"/>
      <c r="Y121" s="706"/>
      <c r="Z121" s="706"/>
      <c r="AA121" s="706"/>
    </row>
    <row r="122" spans="2:27">
      <c r="B122" s="2460" t="s">
        <v>343</v>
      </c>
      <c r="C122" s="2527"/>
      <c r="D122" s="2481">
        <f t="shared" si="42"/>
        <v>0</v>
      </c>
      <c r="E122" s="2528"/>
      <c r="F122" s="2529"/>
      <c r="G122" s="2528"/>
      <c r="H122" s="2529"/>
      <c r="I122" s="2499">
        <f t="shared" si="43"/>
        <v>0</v>
      </c>
      <c r="J122" s="2529"/>
      <c r="K122" s="2528"/>
      <c r="L122" s="2529"/>
      <c r="M122" s="2500">
        <f t="shared" si="44"/>
        <v>0</v>
      </c>
      <c r="P122" s="109"/>
      <c r="Q122" s="706"/>
      <c r="R122" s="109"/>
      <c r="S122" s="706"/>
      <c r="T122" s="708"/>
      <c r="U122" s="706"/>
      <c r="V122" s="706"/>
      <c r="W122" s="706"/>
      <c r="X122" s="706"/>
      <c r="Y122" s="706"/>
      <c r="Z122" s="706"/>
      <c r="AA122" s="706"/>
    </row>
    <row r="123" spans="2:27">
      <c r="B123" s="2460" t="s">
        <v>343</v>
      </c>
      <c r="C123" s="2527"/>
      <c r="D123" s="2481">
        <f t="shared" si="42"/>
        <v>0</v>
      </c>
      <c r="E123" s="2528"/>
      <c r="F123" s="2529"/>
      <c r="G123" s="2528"/>
      <c r="H123" s="2529"/>
      <c r="I123" s="2499">
        <f t="shared" si="43"/>
        <v>0</v>
      </c>
      <c r="J123" s="2529"/>
      <c r="K123" s="2528"/>
      <c r="L123" s="2529"/>
      <c r="M123" s="2500">
        <f t="shared" si="44"/>
        <v>0</v>
      </c>
      <c r="P123" s="109"/>
      <c r="Q123" s="706"/>
      <c r="R123" s="109"/>
      <c r="S123" s="706"/>
      <c r="T123" s="708"/>
      <c r="U123" s="706"/>
      <c r="V123" s="706"/>
      <c r="W123" s="706"/>
      <c r="X123" s="706"/>
      <c r="Y123" s="706"/>
      <c r="Z123" s="706"/>
      <c r="AA123" s="706"/>
    </row>
    <row r="124" spans="2:27">
      <c r="B124" s="2460"/>
      <c r="C124" s="2527"/>
      <c r="D124" s="2481">
        <f t="shared" si="42"/>
        <v>0</v>
      </c>
      <c r="E124" s="2528"/>
      <c r="F124" s="2529"/>
      <c r="G124" s="2528"/>
      <c r="H124" s="2529"/>
      <c r="I124" s="2499">
        <f t="shared" si="43"/>
        <v>0</v>
      </c>
      <c r="J124" s="2529"/>
      <c r="K124" s="2528"/>
      <c r="L124" s="2529"/>
      <c r="M124" s="2500">
        <f t="shared" si="44"/>
        <v>0</v>
      </c>
      <c r="P124" s="109"/>
      <c r="Q124" s="706"/>
      <c r="R124" s="109"/>
      <c r="S124" s="706"/>
      <c r="T124" s="708"/>
      <c r="U124" s="706"/>
      <c r="V124" s="706"/>
      <c r="W124" s="706"/>
      <c r="X124" s="706"/>
      <c r="Y124" s="706"/>
      <c r="Z124" s="706"/>
      <c r="AA124" s="706"/>
    </row>
    <row r="125" spans="2:27">
      <c r="B125" s="2466" t="s">
        <v>344</v>
      </c>
      <c r="C125" s="2530"/>
      <c r="D125" s="2481">
        <f t="shared" si="42"/>
        <v>2041326.7513100004</v>
      </c>
      <c r="E125" s="2528">
        <f>E114+E116</f>
        <v>79254.146339999992</v>
      </c>
      <c r="F125" s="2529">
        <f>F114+F116</f>
        <v>0</v>
      </c>
      <c r="G125" s="2528">
        <f>G114+G116</f>
        <v>1962072.6049700005</v>
      </c>
      <c r="H125" s="2529">
        <f>H114+H116</f>
        <v>0</v>
      </c>
      <c r="I125" s="2499">
        <f t="shared" si="43"/>
        <v>1962072.6049700005</v>
      </c>
      <c r="J125" s="2529">
        <f>J114+J116</f>
        <v>0</v>
      </c>
      <c r="K125" s="2528">
        <f>K114+K116</f>
        <v>0</v>
      </c>
      <c r="L125" s="2529">
        <f>L114+L116</f>
        <v>0</v>
      </c>
      <c r="M125" s="2500">
        <f t="shared" si="44"/>
        <v>0</v>
      </c>
      <c r="N125" s="927"/>
      <c r="O125" s="922"/>
      <c r="P125" s="109"/>
      <c r="Q125" s="706"/>
      <c r="R125" s="707"/>
      <c r="S125" s="706"/>
      <c r="T125" s="708"/>
      <c r="U125" s="706"/>
      <c r="V125" s="706"/>
      <c r="W125" s="706"/>
      <c r="X125" s="706"/>
      <c r="Y125" s="706"/>
      <c r="Z125" s="706"/>
      <c r="AA125" s="706"/>
    </row>
    <row r="126" spans="2:27">
      <c r="B126" s="2466"/>
      <c r="C126" s="2530"/>
      <c r="D126" s="2481">
        <f t="shared" si="42"/>
        <v>0</v>
      </c>
      <c r="E126" s="2528"/>
      <c r="F126" s="2529"/>
      <c r="G126" s="2528"/>
      <c r="H126" s="2529"/>
      <c r="I126" s="2499">
        <f t="shared" si="43"/>
        <v>0</v>
      </c>
      <c r="J126" s="2529"/>
      <c r="K126" s="2528"/>
      <c r="L126" s="2529"/>
      <c r="M126" s="2500"/>
      <c r="P126" s="109"/>
      <c r="Q126" s="706"/>
      <c r="R126" s="109"/>
      <c r="S126" s="706"/>
      <c r="T126" s="708"/>
      <c r="U126" s="706"/>
      <c r="V126" s="706"/>
      <c r="W126" s="706"/>
      <c r="X126" s="706"/>
      <c r="Y126" s="706"/>
      <c r="Z126" s="706"/>
      <c r="AA126" s="706"/>
    </row>
    <row r="127" spans="2:27">
      <c r="B127" s="2460" t="s">
        <v>345</v>
      </c>
      <c r="C127" s="2527"/>
      <c r="D127" s="2481">
        <f t="shared" si="42"/>
        <v>425060.57</v>
      </c>
      <c r="E127" s="2423"/>
      <c r="F127" s="2437"/>
      <c r="G127" s="2528">
        <v>425060.57</v>
      </c>
      <c r="H127" s="2424"/>
      <c r="I127" s="2499">
        <f t="shared" si="43"/>
        <v>425060.57</v>
      </c>
      <c r="J127" s="2529"/>
      <c r="K127" s="2528"/>
      <c r="L127" s="2529"/>
      <c r="M127" s="2500">
        <f t="shared" ref="M127:M145" si="45">L127+K127+J127</f>
        <v>0</v>
      </c>
      <c r="N127" s="922"/>
      <c r="O127" s="922"/>
      <c r="P127" s="109"/>
      <c r="Q127" s="706"/>
      <c r="R127" s="707"/>
      <c r="S127" s="706"/>
      <c r="T127" s="708"/>
      <c r="U127" s="706"/>
      <c r="V127" s="706"/>
      <c r="W127" s="706"/>
      <c r="X127" s="706"/>
      <c r="Y127" s="706"/>
      <c r="Z127" s="706"/>
      <c r="AA127" s="706"/>
    </row>
    <row r="128" spans="2:27">
      <c r="B128" s="2460" t="s">
        <v>346</v>
      </c>
      <c r="C128" s="2527"/>
      <c r="D128" s="2481">
        <f t="shared" si="42"/>
        <v>-30007.094209999999</v>
      </c>
      <c r="E128" s="2423"/>
      <c r="F128" s="2437"/>
      <c r="G128" s="2528">
        <v>-30007.094209999999</v>
      </c>
      <c r="H128" s="2424"/>
      <c r="I128" s="2499">
        <f t="shared" si="43"/>
        <v>-30007.094209999999</v>
      </c>
      <c r="J128" s="2529"/>
      <c r="K128" s="2528"/>
      <c r="L128" s="2529"/>
      <c r="M128" s="2500">
        <f t="shared" si="45"/>
        <v>0</v>
      </c>
      <c r="N128" s="922"/>
      <c r="O128" s="922"/>
      <c r="P128" s="109"/>
      <c r="Q128" s="706"/>
      <c r="R128" s="707"/>
      <c r="S128" s="706"/>
      <c r="T128" s="708"/>
      <c r="U128" s="706"/>
      <c r="V128" s="706"/>
      <c r="W128" s="706"/>
      <c r="X128" s="706"/>
      <c r="Y128" s="706"/>
      <c r="Z128" s="706"/>
      <c r="AA128" s="706"/>
    </row>
    <row r="129" spans="2:27">
      <c r="B129" s="2460" t="s">
        <v>347</v>
      </c>
      <c r="C129" s="2527"/>
      <c r="D129" s="2481">
        <f t="shared" si="42"/>
        <v>27656.101500000001</v>
      </c>
      <c r="E129" s="2423"/>
      <c r="F129" s="2437"/>
      <c r="G129" s="2528">
        <v>27656.101500000001</v>
      </c>
      <c r="H129" s="2424"/>
      <c r="I129" s="2499">
        <f t="shared" si="43"/>
        <v>27656.101500000001</v>
      </c>
      <c r="J129" s="2529"/>
      <c r="K129" s="2528"/>
      <c r="L129" s="2529"/>
      <c r="M129" s="2500">
        <f t="shared" si="45"/>
        <v>0</v>
      </c>
      <c r="N129" s="922"/>
      <c r="O129" s="922"/>
      <c r="P129" s="109"/>
      <c r="Q129" s="706"/>
      <c r="R129" s="707"/>
      <c r="S129" s="706"/>
      <c r="T129" s="708"/>
      <c r="U129" s="706"/>
      <c r="V129" s="706"/>
      <c r="W129" s="706"/>
      <c r="X129" s="706"/>
      <c r="Y129" s="706"/>
      <c r="Z129" s="706"/>
      <c r="AA129" s="706"/>
    </row>
    <row r="130" spans="2:27" ht="12.75" customHeight="1">
      <c r="B130" s="2467" t="s">
        <v>348</v>
      </c>
      <c r="C130" s="2527"/>
      <c r="D130" s="2481">
        <f t="shared" si="42"/>
        <v>-19700.542150000005</v>
      </c>
      <c r="E130" s="2423"/>
      <c r="F130" s="2437"/>
      <c r="G130" s="2528">
        <v>-19700.542150000005</v>
      </c>
      <c r="H130" s="2424"/>
      <c r="I130" s="2499">
        <f t="shared" si="43"/>
        <v>-19700.542150000005</v>
      </c>
      <c r="J130" s="2529"/>
      <c r="K130" s="2528"/>
      <c r="L130" s="2529"/>
      <c r="M130" s="2500">
        <f t="shared" si="45"/>
        <v>0</v>
      </c>
      <c r="N130" s="922"/>
      <c r="O130" s="922"/>
      <c r="P130" s="109"/>
      <c r="Q130" s="706"/>
      <c r="R130" s="707"/>
      <c r="S130" s="706"/>
      <c r="T130" s="708"/>
      <c r="U130" s="706"/>
      <c r="V130" s="706"/>
      <c r="W130" s="706"/>
      <c r="X130" s="706"/>
      <c r="Y130" s="706"/>
      <c r="Z130" s="706"/>
      <c r="AA130" s="706"/>
    </row>
    <row r="131" spans="2:27">
      <c r="B131" s="2460" t="s">
        <v>349</v>
      </c>
      <c r="C131" s="2527"/>
      <c r="D131" s="2481">
        <f t="shared" si="42"/>
        <v>296040.67183000001</v>
      </c>
      <c r="E131" s="2528">
        <v>-199037.03013999999</v>
      </c>
      <c r="F131" s="2437"/>
      <c r="G131" s="2528">
        <v>495077.70196999999</v>
      </c>
      <c r="H131" s="2437"/>
      <c r="I131" s="2499">
        <f t="shared" si="43"/>
        <v>495077.70196999999</v>
      </c>
      <c r="J131" s="2529"/>
      <c r="K131" s="2528"/>
      <c r="L131" s="2529"/>
      <c r="M131" s="2500">
        <f t="shared" si="45"/>
        <v>0</v>
      </c>
      <c r="N131" s="922"/>
      <c r="O131" s="922"/>
      <c r="P131" s="109"/>
      <c r="Q131" s="706"/>
      <c r="R131" s="707"/>
      <c r="S131" s="706"/>
      <c r="T131" s="708"/>
      <c r="U131" s="706"/>
      <c r="V131" s="706"/>
      <c r="W131" s="706"/>
      <c r="X131" s="706"/>
      <c r="Y131" s="706"/>
      <c r="Z131" s="706"/>
      <c r="AA131" s="706"/>
    </row>
    <row r="132" spans="2:27" ht="25.5">
      <c r="B132" s="2467" t="s">
        <v>350</v>
      </c>
      <c r="C132" s="2527"/>
      <c r="D132" s="2481">
        <f t="shared" si="42"/>
        <v>0</v>
      </c>
      <c r="E132" s="2528"/>
      <c r="F132" s="2437"/>
      <c r="G132" s="2436"/>
      <c r="H132" s="2437"/>
      <c r="I132" s="2499">
        <f t="shared" si="43"/>
        <v>0</v>
      </c>
      <c r="J132" s="2529"/>
      <c r="K132" s="2528"/>
      <c r="L132" s="2529"/>
      <c r="M132" s="2500">
        <f t="shared" si="45"/>
        <v>0</v>
      </c>
      <c r="N132" s="922"/>
      <c r="O132" s="922"/>
      <c r="P132" s="109"/>
      <c r="Q132" s="706"/>
      <c r="R132" s="109"/>
      <c r="S132" s="706"/>
      <c r="T132" s="708"/>
      <c r="U132" s="706"/>
      <c r="V132" s="706"/>
      <c r="W132" s="706"/>
      <c r="X132" s="706"/>
      <c r="Y132" s="706"/>
      <c r="Z132" s="706"/>
      <c r="AA132" s="706"/>
    </row>
    <row r="133" spans="2:27">
      <c r="B133" s="2466" t="s">
        <v>351</v>
      </c>
      <c r="C133" s="2530"/>
      <c r="D133" s="2481">
        <f t="shared" si="42"/>
        <v>699049.70696999994</v>
      </c>
      <c r="E133" s="2528">
        <f>SUM(E127:E132)</f>
        <v>-199037.03013999999</v>
      </c>
      <c r="F133" s="2529">
        <f>SUM(F127:F132)</f>
        <v>0</v>
      </c>
      <c r="G133" s="2528">
        <f>SUM(G127:G132)</f>
        <v>898086.73710999999</v>
      </c>
      <c r="H133" s="2529">
        <f>SUM(H127:H132)</f>
        <v>0</v>
      </c>
      <c r="I133" s="2499">
        <f t="shared" si="43"/>
        <v>898086.73710999999</v>
      </c>
      <c r="J133" s="2529">
        <f>SUM(J127:J132)</f>
        <v>0</v>
      </c>
      <c r="K133" s="2528">
        <f>SUM(K127:K132)</f>
        <v>0</v>
      </c>
      <c r="L133" s="2529">
        <f>SUM(L127:L132)</f>
        <v>0</v>
      </c>
      <c r="M133" s="2500">
        <f t="shared" si="45"/>
        <v>0</v>
      </c>
      <c r="N133" s="927"/>
      <c r="O133" s="922"/>
      <c r="P133" s="109"/>
      <c r="Q133" s="706"/>
      <c r="R133" s="707"/>
      <c r="S133" s="706"/>
      <c r="T133" s="708"/>
      <c r="U133" s="706"/>
      <c r="V133" s="706"/>
      <c r="W133" s="706"/>
      <c r="X133" s="706"/>
      <c r="Y133" s="706"/>
      <c r="Z133" s="706"/>
      <c r="AA133" s="706"/>
    </row>
    <row r="134" spans="2:27">
      <c r="B134" s="2460"/>
      <c r="C134" s="2527"/>
      <c r="D134" s="2481">
        <f t="shared" si="42"/>
        <v>0</v>
      </c>
      <c r="E134" s="2528"/>
      <c r="F134" s="2529"/>
      <c r="G134" s="2528"/>
      <c r="H134" s="2529"/>
      <c r="I134" s="2499">
        <f t="shared" si="43"/>
        <v>0</v>
      </c>
      <c r="J134" s="2529"/>
      <c r="K134" s="2528"/>
      <c r="L134" s="2529"/>
      <c r="M134" s="2500">
        <f t="shared" si="45"/>
        <v>0</v>
      </c>
      <c r="O134" s="922"/>
      <c r="P134" s="109"/>
      <c r="Q134" s="706"/>
      <c r="R134" s="109"/>
      <c r="S134" s="706"/>
      <c r="T134" s="708"/>
      <c r="U134" s="706"/>
      <c r="V134" s="706"/>
      <c r="W134" s="706"/>
      <c r="X134" s="706"/>
      <c r="Y134" s="706"/>
      <c r="Z134" s="706"/>
      <c r="AA134" s="706"/>
    </row>
    <row r="135" spans="2:27" ht="25.5">
      <c r="B135" s="2467" t="s">
        <v>352</v>
      </c>
      <c r="C135" s="2527"/>
      <c r="D135" s="2481">
        <f t="shared" si="42"/>
        <v>684711.11118999997</v>
      </c>
      <c r="E135" s="2423"/>
      <c r="F135" s="2424"/>
      <c r="G135" s="2528">
        <v>684711.11118999997</v>
      </c>
      <c r="H135" s="2424"/>
      <c r="I135" s="2499">
        <f t="shared" si="43"/>
        <v>684711.11118999997</v>
      </c>
      <c r="J135" s="2529"/>
      <c r="K135" s="2528"/>
      <c r="L135" s="2529"/>
      <c r="M135" s="2500">
        <f t="shared" si="45"/>
        <v>0</v>
      </c>
      <c r="N135" s="922"/>
      <c r="O135" s="922"/>
      <c r="P135" s="109"/>
      <c r="Q135" s="706"/>
      <c r="R135" s="707"/>
      <c r="S135" s="706"/>
      <c r="T135" s="708"/>
      <c r="U135" s="706"/>
      <c r="V135" s="706"/>
      <c r="W135" s="706"/>
      <c r="X135" s="706"/>
      <c r="Y135" s="706"/>
      <c r="Z135" s="706"/>
      <c r="AA135" s="706"/>
    </row>
    <row r="136" spans="2:27">
      <c r="B136" s="2460"/>
      <c r="C136" s="2527"/>
      <c r="D136" s="2481">
        <f t="shared" si="42"/>
        <v>0</v>
      </c>
      <c r="E136" s="2423"/>
      <c r="F136" s="2424"/>
      <c r="G136" s="2528"/>
      <c r="H136" s="2424"/>
      <c r="I136" s="2499">
        <f t="shared" si="43"/>
        <v>0</v>
      </c>
      <c r="J136" s="2529"/>
      <c r="K136" s="2528"/>
      <c r="L136" s="2529"/>
      <c r="M136" s="2500">
        <f t="shared" si="45"/>
        <v>0</v>
      </c>
      <c r="N136" s="922"/>
      <c r="O136" s="922"/>
      <c r="P136" s="109"/>
      <c r="Q136" s="706"/>
      <c r="R136" s="109"/>
      <c r="S136" s="706"/>
      <c r="T136" s="708"/>
      <c r="U136" s="706"/>
      <c r="V136" s="706"/>
      <c r="W136" s="706"/>
      <c r="X136" s="706"/>
      <c r="Y136" s="706"/>
      <c r="Z136" s="706"/>
      <c r="AA136" s="706"/>
    </row>
    <row r="137" spans="2:27" ht="12.75" customHeight="1">
      <c r="B137" s="2467" t="s">
        <v>353</v>
      </c>
      <c r="C137" s="2527">
        <v>4</v>
      </c>
      <c r="D137" s="2481">
        <f t="shared" si="42"/>
        <v>378971.02056999999</v>
      </c>
      <c r="E137" s="2528">
        <v>10.199999999999999</v>
      </c>
      <c r="F137" s="2424"/>
      <c r="G137" s="2528">
        <v>378960.82056999998</v>
      </c>
      <c r="H137" s="2424"/>
      <c r="I137" s="2499">
        <f t="shared" si="43"/>
        <v>378960.82056999998</v>
      </c>
      <c r="J137" s="2529"/>
      <c r="K137" s="2528"/>
      <c r="L137" s="2529"/>
      <c r="M137" s="2500">
        <f t="shared" si="45"/>
        <v>0</v>
      </c>
      <c r="N137" s="922"/>
      <c r="O137" s="922"/>
      <c r="P137" s="109"/>
      <c r="Q137" s="706"/>
      <c r="R137" s="707"/>
      <c r="S137" s="706"/>
      <c r="T137" s="708"/>
      <c r="U137" s="706"/>
      <c r="V137" s="706"/>
      <c r="W137" s="706"/>
      <c r="X137" s="706"/>
      <c r="Y137" s="706"/>
      <c r="Z137" s="706"/>
      <c r="AA137" s="706"/>
    </row>
    <row r="138" spans="2:27">
      <c r="B138" s="2460" t="s">
        <v>354</v>
      </c>
      <c r="C138" s="2527"/>
      <c r="D138" s="2481">
        <f t="shared" si="42"/>
        <v>0</v>
      </c>
      <c r="E138" s="2423"/>
      <c r="F138" s="2424"/>
      <c r="G138" s="2423"/>
      <c r="H138" s="2424"/>
      <c r="I138" s="2499">
        <f t="shared" si="43"/>
        <v>0</v>
      </c>
      <c r="J138" s="2529"/>
      <c r="K138" s="2528"/>
      <c r="L138" s="2529"/>
      <c r="M138" s="2500">
        <f t="shared" si="45"/>
        <v>0</v>
      </c>
      <c r="N138" s="922"/>
      <c r="O138" s="922"/>
      <c r="P138" s="109"/>
      <c r="Q138" s="706"/>
      <c r="R138" s="109"/>
      <c r="S138" s="706"/>
      <c r="T138" s="708"/>
      <c r="U138" s="706"/>
      <c r="V138" s="706"/>
      <c r="W138" s="706"/>
      <c r="X138" s="706"/>
      <c r="Y138" s="706"/>
      <c r="Z138" s="706"/>
      <c r="AA138" s="706"/>
    </row>
    <row r="139" spans="2:27">
      <c r="B139" s="2460" t="s">
        <v>355</v>
      </c>
      <c r="C139" s="2527"/>
      <c r="D139" s="2481">
        <f t="shared" si="42"/>
        <v>0</v>
      </c>
      <c r="E139" s="2423"/>
      <c r="F139" s="2424"/>
      <c r="G139" s="2423"/>
      <c r="H139" s="2424"/>
      <c r="I139" s="2499">
        <f t="shared" si="43"/>
        <v>0</v>
      </c>
      <c r="J139" s="2529"/>
      <c r="K139" s="2528"/>
      <c r="L139" s="2529"/>
      <c r="M139" s="2500">
        <f t="shared" si="45"/>
        <v>0</v>
      </c>
      <c r="N139" s="922"/>
      <c r="O139" s="922"/>
      <c r="P139" s="109"/>
      <c r="Q139" s="706"/>
      <c r="R139" s="109"/>
      <c r="S139" s="706"/>
      <c r="T139" s="708"/>
      <c r="U139" s="706"/>
      <c r="V139" s="706"/>
      <c r="W139" s="706"/>
      <c r="X139" s="706"/>
      <c r="Y139" s="706"/>
      <c r="Z139" s="706"/>
      <c r="AA139" s="706"/>
    </row>
    <row r="140" spans="2:27">
      <c r="B140" s="2466" t="s">
        <v>356</v>
      </c>
      <c r="C140" s="2530"/>
      <c r="D140" s="2481">
        <f t="shared" si="42"/>
        <v>378971.02056999999</v>
      </c>
      <c r="E140" s="2528">
        <f>SUM(E137:E139)</f>
        <v>10.199999999999999</v>
      </c>
      <c r="F140" s="2529">
        <f>SUM(F137:F139)</f>
        <v>0</v>
      </c>
      <c r="G140" s="2528">
        <f>SUM(G137:G139)</f>
        <v>378960.82056999998</v>
      </c>
      <c r="H140" s="2529">
        <f>SUM(H137:H139)</f>
        <v>0</v>
      </c>
      <c r="I140" s="2499">
        <f t="shared" si="43"/>
        <v>378960.82056999998</v>
      </c>
      <c r="J140" s="2529">
        <f>SUM(J137:J139)</f>
        <v>0</v>
      </c>
      <c r="K140" s="2528">
        <f>SUM(K137:K139)</f>
        <v>0</v>
      </c>
      <c r="L140" s="2529">
        <f>SUM(L137:L139)</f>
        <v>0</v>
      </c>
      <c r="M140" s="2500">
        <f t="shared" si="45"/>
        <v>0</v>
      </c>
      <c r="N140" s="927"/>
      <c r="O140" s="922"/>
      <c r="P140" s="109"/>
      <c r="Q140" s="706"/>
      <c r="R140" s="707"/>
      <c r="S140" s="706"/>
      <c r="T140" s="708"/>
      <c r="U140" s="706"/>
      <c r="V140" s="706"/>
      <c r="W140" s="706"/>
      <c r="X140" s="706"/>
      <c r="Y140" s="706"/>
      <c r="Z140" s="706"/>
      <c r="AA140" s="706"/>
    </row>
    <row r="141" spans="2:27">
      <c r="B141" s="2466"/>
      <c r="C141" s="2530"/>
      <c r="D141" s="2481">
        <f t="shared" si="42"/>
        <v>0</v>
      </c>
      <c r="E141" s="2528"/>
      <c r="F141" s="2529"/>
      <c r="G141" s="2528"/>
      <c r="H141" s="2529"/>
      <c r="I141" s="2499">
        <f t="shared" si="43"/>
        <v>0</v>
      </c>
      <c r="J141" s="2529"/>
      <c r="K141" s="2528"/>
      <c r="L141" s="2529"/>
      <c r="M141" s="2500">
        <f t="shared" si="45"/>
        <v>0</v>
      </c>
      <c r="P141" s="109"/>
      <c r="Q141" s="706"/>
      <c r="R141" s="109"/>
      <c r="S141" s="706"/>
      <c r="T141" s="708"/>
      <c r="U141" s="706"/>
      <c r="V141" s="706"/>
      <c r="W141" s="706"/>
      <c r="X141" s="706"/>
      <c r="Y141" s="706"/>
      <c r="Z141" s="706"/>
      <c r="AA141" s="706"/>
    </row>
    <row r="142" spans="2:27">
      <c r="B142" s="2466" t="s">
        <v>357</v>
      </c>
      <c r="C142" s="2531"/>
      <c r="D142" s="2481">
        <f t="shared" si="42"/>
        <v>278594.91258000059</v>
      </c>
      <c r="E142" s="2528">
        <f>E125-E133-E135-E140</f>
        <v>278280.97647999995</v>
      </c>
      <c r="F142" s="2529">
        <f>F125-F133-F135-F140</f>
        <v>0</v>
      </c>
      <c r="G142" s="2528">
        <f>G125-G133-G135-G140</f>
        <v>313.936100000632</v>
      </c>
      <c r="H142" s="2529">
        <f>H125-H133-H135-H140</f>
        <v>0</v>
      </c>
      <c r="I142" s="2499">
        <f t="shared" si="43"/>
        <v>313.936100000632</v>
      </c>
      <c r="J142" s="2529">
        <f>J125-J133-J135-J140</f>
        <v>0</v>
      </c>
      <c r="K142" s="2528">
        <f>K125-K133-K135-K140</f>
        <v>0</v>
      </c>
      <c r="L142" s="2529">
        <f>L125-L133-L135-L140</f>
        <v>0</v>
      </c>
      <c r="M142" s="2500">
        <f t="shared" si="45"/>
        <v>0</v>
      </c>
      <c r="N142" s="927"/>
      <c r="O142" s="922"/>
      <c r="P142" s="109"/>
      <c r="Q142" s="706"/>
      <c r="R142" s="707"/>
      <c r="S142" s="706"/>
      <c r="T142" s="708"/>
      <c r="U142" s="706"/>
      <c r="V142" s="706"/>
      <c r="W142" s="706"/>
      <c r="X142" s="706"/>
      <c r="Y142" s="706"/>
      <c r="Z142" s="706"/>
      <c r="AA142" s="706"/>
    </row>
    <row r="143" spans="2:27">
      <c r="B143" s="2460" t="s">
        <v>358</v>
      </c>
      <c r="C143" s="2527"/>
      <c r="D143" s="2481">
        <f t="shared" si="42"/>
        <v>77918.673999999999</v>
      </c>
      <c r="E143" s="2423">
        <v>77918.673999999999</v>
      </c>
      <c r="F143" s="2529"/>
      <c r="G143" s="2528"/>
      <c r="H143" s="2529"/>
      <c r="I143" s="2499">
        <f t="shared" si="43"/>
        <v>0</v>
      </c>
      <c r="J143" s="2529"/>
      <c r="K143" s="2528"/>
      <c r="L143" s="2529"/>
      <c r="M143" s="2500">
        <f t="shared" si="45"/>
        <v>0</v>
      </c>
      <c r="N143" s="922"/>
      <c r="O143" s="922"/>
      <c r="P143" s="109"/>
      <c r="Q143" s="706"/>
      <c r="R143" s="109"/>
      <c r="S143" s="706"/>
      <c r="T143" s="708"/>
      <c r="U143" s="706"/>
      <c r="V143" s="706"/>
      <c r="W143" s="706"/>
      <c r="X143" s="706"/>
      <c r="Y143" s="706"/>
      <c r="Z143" s="706"/>
      <c r="AA143" s="706"/>
    </row>
    <row r="144" spans="2:27">
      <c r="B144" s="2460"/>
      <c r="C144" s="2527"/>
      <c r="D144" s="2487">
        <f t="shared" si="42"/>
        <v>0</v>
      </c>
      <c r="E144" s="953"/>
      <c r="F144" s="2535"/>
      <c r="G144" s="953"/>
      <c r="H144" s="2535"/>
      <c r="I144" s="1662">
        <f t="shared" si="43"/>
        <v>0</v>
      </c>
      <c r="J144" s="2529"/>
      <c r="K144" s="2528"/>
      <c r="L144" s="2529"/>
      <c r="M144" s="2500">
        <f t="shared" si="45"/>
        <v>0</v>
      </c>
      <c r="P144" s="109"/>
      <c r="Q144" s="706"/>
      <c r="R144" s="109"/>
      <c r="S144" s="706"/>
      <c r="T144" s="708"/>
      <c r="U144" s="706"/>
      <c r="V144" s="706"/>
      <c r="W144" s="706"/>
      <c r="X144" s="706"/>
      <c r="Y144" s="706"/>
      <c r="Z144" s="706"/>
      <c r="AA144" s="706"/>
    </row>
    <row r="145" spans="1:27" ht="13.5" thickBot="1">
      <c r="B145" s="1602" t="s">
        <v>359</v>
      </c>
      <c r="C145" s="1638"/>
      <c r="D145" s="1618">
        <f t="shared" si="42"/>
        <v>200676.23858000059</v>
      </c>
      <c r="E145" s="1630">
        <f>E142-E143</f>
        <v>200362.30247999995</v>
      </c>
      <c r="F145" s="1618">
        <f>F142-F143</f>
        <v>0</v>
      </c>
      <c r="G145" s="1630">
        <f>G142-G143</f>
        <v>313.936100000632</v>
      </c>
      <c r="H145" s="1618">
        <f>H142-H143</f>
        <v>0</v>
      </c>
      <c r="I145" s="1630">
        <f t="shared" si="43"/>
        <v>313.936100000632</v>
      </c>
      <c r="J145" s="1614">
        <f>J142-J143</f>
        <v>0</v>
      </c>
      <c r="K145" s="1624">
        <f>K142-K143</f>
        <v>0</v>
      </c>
      <c r="L145" s="1614">
        <f>L142-L143</f>
        <v>0</v>
      </c>
      <c r="M145" s="1639">
        <f t="shared" si="45"/>
        <v>0</v>
      </c>
      <c r="N145" s="927"/>
      <c r="O145" s="922"/>
      <c r="P145" s="109"/>
      <c r="Q145" s="706"/>
      <c r="R145" s="707"/>
      <c r="S145" s="706"/>
      <c r="T145" s="708"/>
      <c r="U145" s="706"/>
      <c r="V145" s="706"/>
      <c r="W145" s="706"/>
      <c r="X145" s="706"/>
      <c r="Y145" s="706"/>
      <c r="Z145" s="706"/>
      <c r="AA145" s="706"/>
    </row>
    <row r="146" spans="1:27">
      <c r="D146" s="940"/>
      <c r="E146" s="940"/>
      <c r="F146" s="940"/>
      <c r="G146" s="940"/>
      <c r="H146" s="940"/>
      <c r="I146" s="940"/>
      <c r="R146" s="109"/>
      <c r="S146" s="699"/>
      <c r="T146" s="699"/>
      <c r="U146" s="699"/>
      <c r="V146" s="699"/>
      <c r="W146" s="699"/>
      <c r="X146" s="699"/>
      <c r="Y146" s="699"/>
      <c r="Z146" s="699"/>
      <c r="AA146" s="699"/>
    </row>
    <row r="147" spans="1:27">
      <c r="M147" s="673">
        <v>66</v>
      </c>
      <c r="R147" s="109"/>
      <c r="S147" s="699"/>
      <c r="T147" s="699"/>
      <c r="U147" s="699"/>
      <c r="V147" s="699"/>
      <c r="W147" s="699"/>
      <c r="X147" s="699"/>
      <c r="Y147" s="699"/>
      <c r="Z147" s="699"/>
      <c r="AA147" s="699"/>
    </row>
    <row r="148" spans="1:27">
      <c r="R148" s="109"/>
      <c r="S148" s="699"/>
      <c r="T148" s="699"/>
      <c r="U148" s="699"/>
      <c r="V148" s="699"/>
      <c r="W148" s="699"/>
      <c r="X148" s="699"/>
      <c r="Y148" s="699"/>
      <c r="Z148" s="699"/>
      <c r="AA148" s="699"/>
    </row>
    <row r="149" spans="1:27" ht="13.5" thickBot="1">
      <c r="R149" s="109"/>
      <c r="S149" s="699"/>
      <c r="T149" s="699"/>
      <c r="U149" s="699"/>
      <c r="V149" s="699"/>
      <c r="W149" s="699"/>
      <c r="X149" s="699"/>
      <c r="Y149" s="699"/>
      <c r="Z149" s="699"/>
      <c r="AA149" s="699"/>
    </row>
    <row r="150" spans="1:27" ht="15" customHeight="1" thickBot="1">
      <c r="A150" s="1626" t="s">
        <v>178</v>
      </c>
      <c r="B150" s="1663" t="s">
        <v>93</v>
      </c>
      <c r="L150" s="3538" t="s">
        <v>251</v>
      </c>
      <c r="M150" s="3538"/>
      <c r="R150" s="109"/>
      <c r="S150" s="699"/>
      <c r="T150" s="699"/>
      <c r="U150" s="699"/>
      <c r="V150" s="699"/>
      <c r="W150" s="699"/>
      <c r="X150" s="699"/>
      <c r="Y150" s="699"/>
      <c r="Z150" s="699"/>
      <c r="AA150" s="699"/>
    </row>
    <row r="151" spans="1:27" ht="14.25" customHeight="1" thickBot="1">
      <c r="B151" s="3578" t="s">
        <v>93</v>
      </c>
      <c r="C151" s="3523" t="s">
        <v>325</v>
      </c>
      <c r="D151" s="3518" t="s">
        <v>255</v>
      </c>
      <c r="E151" s="3518" t="s">
        <v>326</v>
      </c>
      <c r="F151" s="3574" t="s">
        <v>258</v>
      </c>
      <c r="G151" s="3574"/>
      <c r="H151" s="3574"/>
      <c r="I151" s="3574"/>
      <c r="J151" s="3574"/>
      <c r="K151" s="3574"/>
      <c r="L151" s="3574"/>
      <c r="M151" s="3574"/>
      <c r="R151" s="699"/>
      <c r="S151" s="699"/>
      <c r="T151" s="699"/>
      <c r="U151" s="699"/>
      <c r="V151" s="699"/>
      <c r="W151" s="699"/>
      <c r="X151" s="699"/>
      <c r="Y151" s="699"/>
      <c r="Z151" s="699"/>
      <c r="AA151" s="699"/>
    </row>
    <row r="152" spans="1:27" ht="15" customHeight="1" thickBot="1">
      <c r="B152" s="3571"/>
      <c r="C152" s="3524"/>
      <c r="D152" s="3520"/>
      <c r="E152" s="3520"/>
      <c r="F152" s="3575" t="s">
        <v>259</v>
      </c>
      <c r="G152" s="3576"/>
      <c r="H152" s="3576"/>
      <c r="I152" s="3577"/>
      <c r="J152" s="3574" t="s">
        <v>327</v>
      </c>
      <c r="K152" s="3574"/>
      <c r="L152" s="3574"/>
      <c r="M152" s="3574"/>
      <c r="R152" s="699"/>
      <c r="S152" s="699"/>
      <c r="T152" s="699"/>
      <c r="U152" s="699"/>
      <c r="V152" s="699"/>
      <c r="W152" s="699"/>
      <c r="X152" s="699"/>
      <c r="Y152" s="699"/>
      <c r="Z152" s="699"/>
      <c r="AA152" s="699"/>
    </row>
    <row r="153" spans="1:27" ht="64.5" customHeight="1" thickBot="1">
      <c r="B153" s="3571"/>
      <c r="C153" s="3524"/>
      <c r="D153" s="3519"/>
      <c r="E153" s="3519"/>
      <c r="F153" s="1339" t="s">
        <v>261</v>
      </c>
      <c r="G153" s="1339" t="s">
        <v>262</v>
      </c>
      <c r="H153" s="1339" t="s">
        <v>263</v>
      </c>
      <c r="I153" s="1339" t="s">
        <v>158</v>
      </c>
      <c r="J153" s="1588" t="s">
        <v>328</v>
      </c>
      <c r="K153" s="1588" t="s">
        <v>265</v>
      </c>
      <c r="L153" s="1588" t="s">
        <v>329</v>
      </c>
      <c r="M153" s="1588" t="s">
        <v>158</v>
      </c>
      <c r="R153" s="699"/>
      <c r="S153" s="699"/>
      <c r="T153" s="699"/>
      <c r="U153" s="699"/>
      <c r="V153" s="699"/>
      <c r="W153" s="699"/>
      <c r="X153" s="699"/>
      <c r="Y153" s="699"/>
      <c r="Z153" s="699"/>
      <c r="AA153" s="699"/>
    </row>
    <row r="154" spans="1:27" ht="12.75" customHeight="1" thickBot="1">
      <c r="B154" s="3571"/>
      <c r="C154" s="3524"/>
      <c r="D154" s="1589">
        <v>1</v>
      </c>
      <c r="E154" s="3518">
        <v>2</v>
      </c>
      <c r="F154" s="3518">
        <v>3</v>
      </c>
      <c r="G154" s="3518">
        <v>4</v>
      </c>
      <c r="H154" s="1339"/>
      <c r="I154" s="1652">
        <v>6</v>
      </c>
      <c r="J154" s="3518">
        <v>7</v>
      </c>
      <c r="K154" s="3551">
        <v>8</v>
      </c>
      <c r="L154" s="3518">
        <v>9</v>
      </c>
      <c r="M154" s="1589">
        <v>10</v>
      </c>
      <c r="R154" s="699"/>
      <c r="S154" s="699"/>
      <c r="T154" s="699"/>
      <c r="U154" s="699"/>
      <c r="V154" s="699"/>
      <c r="W154" s="699"/>
      <c r="X154" s="699"/>
      <c r="Y154" s="699"/>
      <c r="Z154" s="699"/>
      <c r="AA154" s="699"/>
    </row>
    <row r="155" spans="1:27" ht="13.5" thickBot="1">
      <c r="B155" s="3572"/>
      <c r="C155" s="3525"/>
      <c r="D155" s="1588" t="s">
        <v>330</v>
      </c>
      <c r="E155" s="3520"/>
      <c r="F155" s="3520"/>
      <c r="G155" s="3520"/>
      <c r="H155" s="1588">
        <v>5</v>
      </c>
      <c r="I155" s="1664" t="s">
        <v>331</v>
      </c>
      <c r="J155" s="3520"/>
      <c r="K155" s="3552"/>
      <c r="L155" s="3520"/>
      <c r="M155" s="1588" t="s">
        <v>332</v>
      </c>
      <c r="N155" s="703"/>
      <c r="O155" s="703"/>
      <c r="R155" s="699"/>
      <c r="S155" s="699"/>
      <c r="T155" s="699"/>
      <c r="U155" s="699"/>
      <c r="V155" s="699"/>
      <c r="W155" s="699"/>
      <c r="X155" s="699"/>
      <c r="Y155" s="699"/>
      <c r="Z155" s="699"/>
      <c r="AA155" s="699"/>
    </row>
    <row r="156" spans="1:27">
      <c r="B156" s="1635" t="s">
        <v>333</v>
      </c>
      <c r="C156" s="971"/>
      <c r="D156" s="1592">
        <f t="shared" ref="D156:D193" si="46">E156+I156+M156</f>
        <v>1476069.0338000001</v>
      </c>
      <c r="E156" s="949"/>
      <c r="F156" s="947"/>
      <c r="G156" s="949">
        <v>142364.0338</v>
      </c>
      <c r="H156" s="947">
        <v>1168930</v>
      </c>
      <c r="I156" s="1636">
        <f t="shared" ref="I156:I193" si="47">F156+G156+H156</f>
        <v>1311294.0338000001</v>
      </c>
      <c r="J156" s="947"/>
      <c r="K156" s="949"/>
      <c r="L156" s="947">
        <v>164775</v>
      </c>
      <c r="M156" s="950">
        <f t="shared" ref="M156:M173" si="48">L156+K156+J156</f>
        <v>164775</v>
      </c>
      <c r="N156" s="922"/>
      <c r="O156" s="922"/>
      <c r="P156" s="109"/>
      <c r="Q156" s="706"/>
      <c r="R156" s="707"/>
      <c r="S156" s="706"/>
      <c r="T156" s="708"/>
      <c r="U156" s="706"/>
      <c r="V156" s="706"/>
      <c r="W156" s="706"/>
      <c r="X156" s="706"/>
      <c r="Y156" s="706"/>
      <c r="Z156" s="706"/>
      <c r="AA156" s="706"/>
    </row>
    <row r="157" spans="1:27">
      <c r="B157" s="2460"/>
      <c r="C157" s="2527"/>
      <c r="D157" s="2481">
        <f t="shared" si="46"/>
        <v>0</v>
      </c>
      <c r="E157" s="2528"/>
      <c r="F157" s="2529"/>
      <c r="G157" s="2528"/>
      <c r="H157" s="2529"/>
      <c r="I157" s="2499">
        <f t="shared" si="47"/>
        <v>0</v>
      </c>
      <c r="J157" s="2529"/>
      <c r="K157" s="2528"/>
      <c r="L157" s="2529"/>
      <c r="M157" s="2500">
        <f t="shared" si="48"/>
        <v>0</v>
      </c>
      <c r="P157" s="109"/>
      <c r="Q157" s="706"/>
      <c r="R157" s="707"/>
      <c r="S157" s="706"/>
      <c r="T157" s="708"/>
      <c r="U157" s="706"/>
      <c r="V157" s="706"/>
      <c r="W157" s="706"/>
      <c r="X157" s="706"/>
      <c r="Y157" s="706"/>
      <c r="Z157" s="706"/>
      <c r="AA157" s="706"/>
    </row>
    <row r="158" spans="1:27">
      <c r="B158" s="2462" t="s">
        <v>334</v>
      </c>
      <c r="C158" s="2527"/>
      <c r="D158" s="2481">
        <f t="shared" si="46"/>
        <v>106651.60588999989</v>
      </c>
      <c r="E158" s="2528"/>
      <c r="F158" s="2529"/>
      <c r="G158" s="2528">
        <v>37978.605889999897</v>
      </c>
      <c r="H158" s="2529">
        <v>57491</v>
      </c>
      <c r="I158" s="2499">
        <f t="shared" si="47"/>
        <v>95469.60588999989</v>
      </c>
      <c r="J158" s="2529"/>
      <c r="K158" s="2528"/>
      <c r="L158" s="2529">
        <v>11182</v>
      </c>
      <c r="M158" s="2500">
        <f t="shared" si="48"/>
        <v>11182</v>
      </c>
      <c r="N158" s="922"/>
      <c r="O158" s="922"/>
      <c r="P158" s="109"/>
      <c r="Q158" s="706"/>
      <c r="R158" s="707"/>
      <c r="S158" s="706"/>
      <c r="T158" s="708"/>
      <c r="U158" s="706"/>
      <c r="V158" s="706"/>
      <c r="W158" s="706"/>
      <c r="X158" s="706"/>
      <c r="Y158" s="706"/>
      <c r="Z158" s="706"/>
      <c r="AA158" s="706"/>
    </row>
    <row r="159" spans="1:27">
      <c r="B159" s="2462"/>
      <c r="C159" s="2527"/>
      <c r="D159" s="2481">
        <f t="shared" si="46"/>
        <v>0</v>
      </c>
      <c r="E159" s="2528"/>
      <c r="F159" s="2529"/>
      <c r="G159" s="2528"/>
      <c r="H159" s="2529"/>
      <c r="I159" s="2499">
        <f t="shared" si="47"/>
        <v>0</v>
      </c>
      <c r="J159" s="2529"/>
      <c r="K159" s="2528"/>
      <c r="L159" s="2529"/>
      <c r="M159" s="2500">
        <f t="shared" si="48"/>
        <v>0</v>
      </c>
      <c r="P159" s="109"/>
      <c r="Q159" s="706"/>
      <c r="R159" s="707"/>
      <c r="S159" s="706"/>
      <c r="T159" s="708"/>
      <c r="U159" s="706"/>
      <c r="V159" s="706"/>
      <c r="W159" s="706"/>
      <c r="X159" s="706"/>
      <c r="Y159" s="706"/>
      <c r="Z159" s="706"/>
      <c r="AA159" s="706"/>
    </row>
    <row r="160" spans="1:27" ht="12.75" customHeight="1">
      <c r="B160" s="2463" t="s">
        <v>335</v>
      </c>
      <c r="C160" s="2527"/>
      <c r="D160" s="2481">
        <f t="shared" si="46"/>
        <v>0</v>
      </c>
      <c r="E160" s="2528"/>
      <c r="F160" s="2529"/>
      <c r="G160" s="2528"/>
      <c r="H160" s="2529"/>
      <c r="I160" s="2499">
        <f t="shared" si="47"/>
        <v>0</v>
      </c>
      <c r="J160" s="2529"/>
      <c r="K160" s="2528"/>
      <c r="L160" s="2529"/>
      <c r="M160" s="2500">
        <f t="shared" si="48"/>
        <v>0</v>
      </c>
      <c r="N160" s="922"/>
      <c r="O160" s="922"/>
      <c r="P160" s="109"/>
      <c r="Q160" s="706"/>
      <c r="R160" s="707"/>
      <c r="S160" s="706"/>
      <c r="T160" s="708"/>
      <c r="U160" s="706"/>
      <c r="V160" s="706"/>
      <c r="W160" s="706"/>
      <c r="X160" s="706"/>
      <c r="Y160" s="706"/>
      <c r="Z160" s="706"/>
      <c r="AA160" s="706"/>
    </row>
    <row r="161" spans="2:27">
      <c r="B161" s="2460"/>
      <c r="C161" s="2527"/>
      <c r="D161" s="2481">
        <f t="shared" si="46"/>
        <v>0</v>
      </c>
      <c r="E161" s="2528"/>
      <c r="F161" s="2529"/>
      <c r="G161" s="2528"/>
      <c r="H161" s="2529"/>
      <c r="I161" s="2499">
        <f t="shared" si="47"/>
        <v>0</v>
      </c>
      <c r="J161" s="2529"/>
      <c r="K161" s="2528"/>
      <c r="L161" s="2529"/>
      <c r="M161" s="2500">
        <f t="shared" si="48"/>
        <v>0</v>
      </c>
      <c r="P161" s="109"/>
      <c r="Q161" s="706"/>
      <c r="R161" s="707"/>
      <c r="S161" s="706"/>
      <c r="T161" s="708"/>
      <c r="U161" s="706"/>
      <c r="V161" s="706"/>
      <c r="W161" s="706"/>
      <c r="X161" s="706"/>
      <c r="Y161" s="706"/>
      <c r="Z161" s="706"/>
      <c r="AA161" s="706"/>
    </row>
    <row r="162" spans="2:27">
      <c r="B162" s="2464" t="s">
        <v>336</v>
      </c>
      <c r="C162" s="2530"/>
      <c r="D162" s="2481">
        <f t="shared" si="46"/>
        <v>1369417.4279100001</v>
      </c>
      <c r="E162" s="2528">
        <f>E156-E158+E160</f>
        <v>0</v>
      </c>
      <c r="F162" s="2529">
        <f>F156-F158+F160</f>
        <v>0</v>
      </c>
      <c r="G162" s="2528">
        <f>G156-G158+G160</f>
        <v>104385.42791000011</v>
      </c>
      <c r="H162" s="2529">
        <f>H156-H158+H160</f>
        <v>1111439</v>
      </c>
      <c r="I162" s="2499">
        <f t="shared" si="47"/>
        <v>1215824.4279100001</v>
      </c>
      <c r="J162" s="2529">
        <f>J156-J158+J160</f>
        <v>0</v>
      </c>
      <c r="K162" s="2528">
        <f>K156-K158+K160</f>
        <v>0</v>
      </c>
      <c r="L162" s="2529">
        <f>L156-L158+L160</f>
        <v>153593</v>
      </c>
      <c r="M162" s="2500">
        <f t="shared" si="48"/>
        <v>153593</v>
      </c>
      <c r="N162" s="927"/>
      <c r="O162" s="922"/>
      <c r="P162" s="109"/>
      <c r="Q162" s="706"/>
      <c r="R162" s="707"/>
      <c r="S162" s="706"/>
      <c r="T162" s="708"/>
      <c r="U162" s="706"/>
      <c r="V162" s="706"/>
      <c r="W162" s="706"/>
      <c r="X162" s="706"/>
      <c r="Y162" s="706"/>
      <c r="Z162" s="706"/>
      <c r="AA162" s="706"/>
    </row>
    <row r="163" spans="2:27">
      <c r="B163" s="2464"/>
      <c r="C163" s="2530"/>
      <c r="D163" s="2481">
        <f t="shared" si="46"/>
        <v>0</v>
      </c>
      <c r="E163" s="2528"/>
      <c r="F163" s="2529"/>
      <c r="G163" s="2528"/>
      <c r="H163" s="2529"/>
      <c r="I163" s="2499">
        <f t="shared" si="47"/>
        <v>0</v>
      </c>
      <c r="J163" s="2529"/>
      <c r="K163" s="2528"/>
      <c r="L163" s="2529"/>
      <c r="M163" s="2500">
        <f t="shared" si="48"/>
        <v>0</v>
      </c>
      <c r="P163" s="109"/>
      <c r="Q163" s="706"/>
      <c r="R163" s="707"/>
      <c r="S163" s="706"/>
      <c r="T163" s="708"/>
      <c r="U163" s="706"/>
      <c r="V163" s="706"/>
      <c r="W163" s="706"/>
      <c r="X163" s="706"/>
      <c r="Y163" s="706"/>
      <c r="Z163" s="706"/>
      <c r="AA163" s="706"/>
    </row>
    <row r="164" spans="2:27">
      <c r="B164" s="2464" t="s">
        <v>337</v>
      </c>
      <c r="C164" s="2530"/>
      <c r="D164" s="2481">
        <f t="shared" si="46"/>
        <v>436604.31928841706</v>
      </c>
      <c r="E164" s="2528">
        <f>SUM(E165:E169)</f>
        <v>1271.6714199999999</v>
      </c>
      <c r="F164" s="2529">
        <f>SUM(F165:F169)</f>
        <v>0</v>
      </c>
      <c r="G164" s="2528">
        <f>SUM(G165:G169)</f>
        <v>21946</v>
      </c>
      <c r="H164" s="2529">
        <f>SUM(H165:H169)</f>
        <v>411060.96527841705</v>
      </c>
      <c r="I164" s="2499">
        <f t="shared" si="47"/>
        <v>433006.96527841705</v>
      </c>
      <c r="J164" s="2529">
        <f>SUM(J165:J169)</f>
        <v>0</v>
      </c>
      <c r="K164" s="2528">
        <f>SUM(K165:K169)</f>
        <v>0</v>
      </c>
      <c r="L164" s="2529">
        <f>SUM(L165:L169)</f>
        <v>2325.6825899999999</v>
      </c>
      <c r="M164" s="2500">
        <f t="shared" si="48"/>
        <v>2325.6825899999999</v>
      </c>
      <c r="N164" s="927"/>
      <c r="O164" s="922"/>
      <c r="P164" s="109"/>
      <c r="Q164" s="706"/>
      <c r="R164" s="707"/>
      <c r="S164" s="706"/>
      <c r="T164" s="708"/>
      <c r="U164" s="706"/>
      <c r="V164" s="706"/>
      <c r="W164" s="706"/>
      <c r="X164" s="706"/>
      <c r="Y164" s="706"/>
      <c r="Z164" s="706"/>
      <c r="AA164" s="706"/>
    </row>
    <row r="165" spans="2:27">
      <c r="B165" s="2460" t="s">
        <v>338</v>
      </c>
      <c r="C165" s="2527">
        <v>1</v>
      </c>
      <c r="D165" s="2481">
        <f t="shared" si="46"/>
        <v>433686.07661841705</v>
      </c>
      <c r="E165" s="2528">
        <v>1271.6714199999999</v>
      </c>
      <c r="F165" s="2529"/>
      <c r="G165" s="2528">
        <v>21946</v>
      </c>
      <c r="H165" s="2529">
        <v>410468.40519841702</v>
      </c>
      <c r="I165" s="2499">
        <f t="shared" si="47"/>
        <v>432414.40519841702</v>
      </c>
      <c r="J165" s="2529"/>
      <c r="K165" s="2528"/>
      <c r="L165" s="2529"/>
      <c r="M165" s="2500">
        <f t="shared" si="48"/>
        <v>0</v>
      </c>
      <c r="N165" s="922"/>
      <c r="O165" s="922"/>
      <c r="P165" s="109"/>
      <c r="Q165" s="706"/>
      <c r="R165" s="707"/>
      <c r="S165" s="706"/>
      <c r="T165" s="708"/>
      <c r="U165" s="706"/>
      <c r="V165" s="706"/>
      <c r="W165" s="706"/>
      <c r="X165" s="706"/>
      <c r="Y165" s="706"/>
      <c r="Z165" s="706"/>
      <c r="AA165" s="706"/>
    </row>
    <row r="166" spans="2:27">
      <c r="B166" s="2460" t="s">
        <v>339</v>
      </c>
      <c r="C166" s="2527">
        <v>2</v>
      </c>
      <c r="D166" s="2481">
        <f t="shared" si="46"/>
        <v>0</v>
      </c>
      <c r="E166" s="2528"/>
      <c r="F166" s="2529"/>
      <c r="G166" s="2528"/>
      <c r="H166" s="2529"/>
      <c r="I166" s="2499">
        <f t="shared" si="47"/>
        <v>0</v>
      </c>
      <c r="J166" s="2529"/>
      <c r="K166" s="2528"/>
      <c r="L166" s="2529"/>
      <c r="M166" s="2500">
        <f t="shared" si="48"/>
        <v>0</v>
      </c>
      <c r="N166" s="922"/>
      <c r="O166" s="922"/>
      <c r="P166" s="109"/>
      <c r="Q166" s="706"/>
      <c r="R166" s="707"/>
      <c r="S166" s="706"/>
      <c r="T166" s="708"/>
      <c r="U166" s="706"/>
      <c r="V166" s="706"/>
      <c r="W166" s="706"/>
      <c r="X166" s="706"/>
      <c r="Y166" s="706"/>
      <c r="Z166" s="706"/>
      <c r="AA166" s="706"/>
    </row>
    <row r="167" spans="2:27">
      <c r="B167" s="2460" t="s">
        <v>340</v>
      </c>
      <c r="C167" s="2527"/>
      <c r="D167" s="2481">
        <f t="shared" si="46"/>
        <v>0</v>
      </c>
      <c r="E167" s="2528"/>
      <c r="F167" s="2529"/>
      <c r="G167" s="2528"/>
      <c r="H167" s="2529"/>
      <c r="I167" s="2499">
        <f t="shared" si="47"/>
        <v>0</v>
      </c>
      <c r="J167" s="2529"/>
      <c r="K167" s="2528"/>
      <c r="L167" s="2529"/>
      <c r="M167" s="2500">
        <f t="shared" si="48"/>
        <v>0</v>
      </c>
      <c r="N167" s="922"/>
      <c r="O167" s="922"/>
      <c r="P167" s="109"/>
      <c r="Q167" s="706"/>
      <c r="R167" s="707"/>
      <c r="S167" s="706"/>
      <c r="T167" s="708"/>
      <c r="U167" s="706"/>
      <c r="V167" s="706"/>
      <c r="W167" s="706"/>
      <c r="X167" s="706"/>
      <c r="Y167" s="706"/>
      <c r="Z167" s="706"/>
      <c r="AA167" s="706"/>
    </row>
    <row r="168" spans="2:27">
      <c r="B168" s="2460" t="s">
        <v>341</v>
      </c>
      <c r="C168" s="2527"/>
      <c r="D168" s="2481">
        <f t="shared" si="46"/>
        <v>0</v>
      </c>
      <c r="E168" s="2528"/>
      <c r="F168" s="2529"/>
      <c r="G168" s="2528"/>
      <c r="H168" s="2529"/>
      <c r="I168" s="2499">
        <f t="shared" si="47"/>
        <v>0</v>
      </c>
      <c r="J168" s="2529"/>
      <c r="K168" s="2528"/>
      <c r="L168" s="2529"/>
      <c r="M168" s="2500">
        <f t="shared" si="48"/>
        <v>0</v>
      </c>
      <c r="N168" s="922"/>
      <c r="O168" s="922"/>
      <c r="P168" s="109"/>
      <c r="Q168" s="706"/>
      <c r="R168" s="707"/>
      <c r="S168" s="706"/>
      <c r="T168" s="708"/>
      <c r="U168" s="706"/>
      <c r="V168" s="706"/>
      <c r="W168" s="706"/>
      <c r="X168" s="706"/>
      <c r="Y168" s="706"/>
      <c r="Z168" s="706"/>
      <c r="AA168" s="706"/>
    </row>
    <row r="169" spans="2:27">
      <c r="B169" s="2460" t="s">
        <v>342</v>
      </c>
      <c r="C169" s="2527">
        <v>3</v>
      </c>
      <c r="D169" s="2481">
        <f t="shared" si="46"/>
        <v>2918.2426700000005</v>
      </c>
      <c r="E169" s="2528"/>
      <c r="F169" s="2529"/>
      <c r="G169" s="2528"/>
      <c r="H169" s="2529">
        <v>592.56008000000065</v>
      </c>
      <c r="I169" s="2499">
        <f t="shared" si="47"/>
        <v>592.56008000000065</v>
      </c>
      <c r="J169" s="2529"/>
      <c r="K169" s="2528"/>
      <c r="L169" s="2529">
        <v>2325.6825899999999</v>
      </c>
      <c r="M169" s="2500">
        <f t="shared" si="48"/>
        <v>2325.6825899999999</v>
      </c>
      <c r="N169" s="922"/>
      <c r="O169" s="922"/>
      <c r="P169" s="109"/>
      <c r="Q169" s="706"/>
      <c r="R169" s="707"/>
      <c r="S169" s="706"/>
      <c r="T169" s="708"/>
      <c r="U169" s="706"/>
      <c r="V169" s="706"/>
      <c r="W169" s="706"/>
      <c r="X169" s="706"/>
      <c r="Y169" s="706"/>
      <c r="Z169" s="706"/>
      <c r="AA169" s="706"/>
    </row>
    <row r="170" spans="2:27">
      <c r="B170" s="2460" t="s">
        <v>343</v>
      </c>
      <c r="C170" s="2527"/>
      <c r="D170" s="2481">
        <f t="shared" si="46"/>
        <v>0</v>
      </c>
      <c r="E170" s="2528"/>
      <c r="F170" s="2529"/>
      <c r="G170" s="2528"/>
      <c r="H170" s="2529"/>
      <c r="I170" s="2499">
        <f t="shared" si="47"/>
        <v>0</v>
      </c>
      <c r="J170" s="2529"/>
      <c r="K170" s="2528"/>
      <c r="L170" s="2529"/>
      <c r="M170" s="2500">
        <f t="shared" si="48"/>
        <v>0</v>
      </c>
      <c r="P170" s="109"/>
      <c r="Q170" s="706"/>
      <c r="R170" s="707"/>
      <c r="S170" s="706"/>
      <c r="T170" s="708"/>
      <c r="U170" s="706"/>
      <c r="V170" s="706"/>
      <c r="W170" s="706"/>
      <c r="X170" s="706"/>
      <c r="Y170" s="706"/>
      <c r="Z170" s="706"/>
      <c r="AA170" s="706"/>
    </row>
    <row r="171" spans="2:27">
      <c r="B171" s="2460" t="s">
        <v>343</v>
      </c>
      <c r="C171" s="2527"/>
      <c r="D171" s="2481">
        <f t="shared" si="46"/>
        <v>0</v>
      </c>
      <c r="E171" s="2528"/>
      <c r="F171" s="2529"/>
      <c r="G171" s="2528"/>
      <c r="H171" s="2529"/>
      <c r="I171" s="2499">
        <f t="shared" si="47"/>
        <v>0</v>
      </c>
      <c r="J171" s="2529"/>
      <c r="K171" s="2528"/>
      <c r="L171" s="2529"/>
      <c r="M171" s="2500">
        <f t="shared" si="48"/>
        <v>0</v>
      </c>
      <c r="P171" s="109"/>
      <c r="Q171" s="706"/>
      <c r="R171" s="707"/>
      <c r="S171" s="706"/>
      <c r="T171" s="708"/>
      <c r="U171" s="706"/>
      <c r="V171" s="706"/>
      <c r="W171" s="706"/>
      <c r="X171" s="706"/>
      <c r="Y171" s="706"/>
      <c r="Z171" s="706"/>
      <c r="AA171" s="706"/>
    </row>
    <row r="172" spans="2:27">
      <c r="B172" s="2460"/>
      <c r="C172" s="2527"/>
      <c r="D172" s="2481">
        <f t="shared" si="46"/>
        <v>0</v>
      </c>
      <c r="E172" s="2528"/>
      <c r="F172" s="2529"/>
      <c r="G172" s="2528"/>
      <c r="H172" s="2529"/>
      <c r="I172" s="2499">
        <f t="shared" si="47"/>
        <v>0</v>
      </c>
      <c r="J172" s="2529"/>
      <c r="K172" s="2528"/>
      <c r="L172" s="2529"/>
      <c r="M172" s="2500">
        <f t="shared" si="48"/>
        <v>0</v>
      </c>
      <c r="P172" s="109"/>
      <c r="Q172" s="706"/>
      <c r="R172" s="707"/>
      <c r="S172" s="706"/>
      <c r="T172" s="708"/>
      <c r="U172" s="706"/>
      <c r="V172" s="706"/>
      <c r="W172" s="706"/>
      <c r="X172" s="706"/>
      <c r="Y172" s="706"/>
      <c r="Z172" s="706"/>
      <c r="AA172" s="706"/>
    </row>
    <row r="173" spans="2:27">
      <c r="B173" s="2466" t="s">
        <v>344</v>
      </c>
      <c r="C173" s="2530"/>
      <c r="D173" s="2481">
        <f t="shared" si="46"/>
        <v>1806021.7471984173</v>
      </c>
      <c r="E173" s="2528">
        <f>E162+E164</f>
        <v>1271.6714199999999</v>
      </c>
      <c r="F173" s="2529">
        <f>F162+F164</f>
        <v>0</v>
      </c>
      <c r="G173" s="2528">
        <f>G162+G164</f>
        <v>126331.42791000011</v>
      </c>
      <c r="H173" s="2529">
        <f>H162+H164</f>
        <v>1522499.9652784171</v>
      </c>
      <c r="I173" s="2499">
        <f t="shared" si="47"/>
        <v>1648831.3931884172</v>
      </c>
      <c r="J173" s="2529">
        <f>J162+J164</f>
        <v>0</v>
      </c>
      <c r="K173" s="2528">
        <f>K162+K164</f>
        <v>0</v>
      </c>
      <c r="L173" s="2529">
        <f>L162+L164</f>
        <v>155918.68259000001</v>
      </c>
      <c r="M173" s="2500">
        <f t="shared" si="48"/>
        <v>155918.68259000001</v>
      </c>
      <c r="N173" s="927"/>
      <c r="O173" s="922"/>
      <c r="P173" s="109"/>
      <c r="Q173" s="706"/>
      <c r="R173" s="707"/>
      <c r="S173" s="706"/>
      <c r="T173" s="708"/>
      <c r="U173" s="706"/>
      <c r="V173" s="706"/>
      <c r="W173" s="706"/>
      <c r="X173" s="706"/>
      <c r="Y173" s="706"/>
      <c r="Z173" s="706"/>
      <c r="AA173" s="706"/>
    </row>
    <row r="174" spans="2:27">
      <c r="B174" s="2466"/>
      <c r="C174" s="2530"/>
      <c r="D174" s="2481">
        <f t="shared" si="46"/>
        <v>0</v>
      </c>
      <c r="E174" s="2528"/>
      <c r="F174" s="2529"/>
      <c r="G174" s="2528"/>
      <c r="H174" s="2529"/>
      <c r="I174" s="2499">
        <f t="shared" si="47"/>
        <v>0</v>
      </c>
      <c r="J174" s="2529"/>
      <c r="K174" s="2528"/>
      <c r="L174" s="2529"/>
      <c r="M174" s="2500"/>
      <c r="P174" s="109"/>
      <c r="Q174" s="706"/>
      <c r="R174" s="707"/>
      <c r="S174" s="706"/>
      <c r="T174" s="708"/>
      <c r="U174" s="706"/>
      <c r="V174" s="706"/>
      <c r="W174" s="706"/>
      <c r="X174" s="706"/>
      <c r="Y174" s="706"/>
      <c r="Z174" s="706"/>
      <c r="AA174" s="706"/>
    </row>
    <row r="175" spans="2:27">
      <c r="B175" s="2460" t="s">
        <v>345</v>
      </c>
      <c r="C175" s="2527"/>
      <c r="D175" s="2481">
        <f t="shared" si="46"/>
        <v>375733.60730000003</v>
      </c>
      <c r="E175" s="2528"/>
      <c r="F175" s="2529"/>
      <c r="G175" s="2528">
        <v>113805.60730000002</v>
      </c>
      <c r="H175" s="2529">
        <v>179142</v>
      </c>
      <c r="I175" s="2499">
        <f t="shared" si="47"/>
        <v>292947.60730000003</v>
      </c>
      <c r="J175" s="2529"/>
      <c r="K175" s="2528"/>
      <c r="L175" s="2529">
        <v>82786</v>
      </c>
      <c r="M175" s="2500">
        <f t="shared" ref="M175:M193" si="49">L175+K175+J175</f>
        <v>82786</v>
      </c>
      <c r="N175" s="922"/>
      <c r="O175" s="922"/>
      <c r="P175" s="109"/>
      <c r="Q175" s="706"/>
      <c r="R175" s="707"/>
      <c r="S175" s="706"/>
      <c r="T175" s="708"/>
      <c r="U175" s="706"/>
      <c r="V175" s="706"/>
      <c r="W175" s="706"/>
      <c r="X175" s="706"/>
      <c r="Y175" s="706"/>
      <c r="Z175" s="706"/>
      <c r="AA175" s="706"/>
    </row>
    <row r="176" spans="2:27">
      <c r="B176" s="2460" t="s">
        <v>346</v>
      </c>
      <c r="C176" s="2527"/>
      <c r="D176" s="2481">
        <f t="shared" si="46"/>
        <v>-64921.471810000003</v>
      </c>
      <c r="E176" s="2528"/>
      <c r="F176" s="2529"/>
      <c r="G176" s="2528">
        <v>-32460.471809999999</v>
      </c>
      <c r="H176" s="2529">
        <v>-24318</v>
      </c>
      <c r="I176" s="2499">
        <f t="shared" si="47"/>
        <v>-56778.471810000003</v>
      </c>
      <c r="J176" s="2529"/>
      <c r="K176" s="2528"/>
      <c r="L176" s="2529">
        <v>-8143</v>
      </c>
      <c r="M176" s="2500">
        <f t="shared" si="49"/>
        <v>-8143</v>
      </c>
      <c r="N176" s="922"/>
      <c r="O176" s="922"/>
      <c r="P176" s="109"/>
      <c r="Q176" s="706"/>
      <c r="R176" s="707"/>
      <c r="S176" s="706"/>
      <c r="T176" s="708"/>
      <c r="U176" s="706"/>
      <c r="V176" s="706"/>
      <c r="W176" s="706"/>
      <c r="X176" s="706"/>
      <c r="Y176" s="706"/>
      <c r="Z176" s="706"/>
      <c r="AA176" s="706"/>
    </row>
    <row r="177" spans="2:27">
      <c r="B177" s="2460" t="s">
        <v>347</v>
      </c>
      <c r="C177" s="2527"/>
      <c r="D177" s="2481">
        <f t="shared" si="46"/>
        <v>0</v>
      </c>
      <c r="E177" s="2528"/>
      <c r="F177" s="2529"/>
      <c r="G177" s="2528"/>
      <c r="H177" s="2529"/>
      <c r="I177" s="2499">
        <f t="shared" si="47"/>
        <v>0</v>
      </c>
      <c r="J177" s="2529"/>
      <c r="K177" s="2528"/>
      <c r="L177" s="2529"/>
      <c r="M177" s="2500">
        <f t="shared" si="49"/>
        <v>0</v>
      </c>
      <c r="N177" s="922"/>
      <c r="O177" s="922"/>
      <c r="P177" s="109"/>
      <c r="Q177" s="706"/>
      <c r="R177" s="707"/>
      <c r="S177" s="706"/>
      <c r="T177" s="708"/>
      <c r="U177" s="706"/>
      <c r="V177" s="706"/>
      <c r="W177" s="706"/>
      <c r="X177" s="706"/>
      <c r="Y177" s="706"/>
      <c r="Z177" s="706"/>
      <c r="AA177" s="706"/>
    </row>
    <row r="178" spans="2:27" ht="12.75" customHeight="1">
      <c r="B178" s="2467" t="s">
        <v>348</v>
      </c>
      <c r="C178" s="2527"/>
      <c r="D178" s="2481">
        <f t="shared" si="46"/>
        <v>0</v>
      </c>
      <c r="E178" s="2528"/>
      <c r="F178" s="2529"/>
      <c r="G178" s="2528"/>
      <c r="H178" s="2529"/>
      <c r="I178" s="2499">
        <f t="shared" si="47"/>
        <v>0</v>
      </c>
      <c r="J178" s="2529"/>
      <c r="K178" s="2528"/>
      <c r="L178" s="2529"/>
      <c r="M178" s="2500">
        <f t="shared" si="49"/>
        <v>0</v>
      </c>
      <c r="N178" s="922"/>
      <c r="O178" s="922"/>
      <c r="P178" s="109"/>
      <c r="Q178" s="706"/>
      <c r="R178" s="707"/>
      <c r="S178" s="706"/>
      <c r="T178" s="708"/>
      <c r="U178" s="706"/>
      <c r="V178" s="706"/>
      <c r="W178" s="706"/>
      <c r="X178" s="706"/>
      <c r="Y178" s="706"/>
      <c r="Z178" s="706"/>
      <c r="AA178" s="706"/>
    </row>
    <row r="179" spans="2:27">
      <c r="B179" s="2460" t="s">
        <v>349</v>
      </c>
      <c r="C179" s="2527"/>
      <c r="D179" s="2481">
        <f t="shared" si="46"/>
        <v>876914.69588999997</v>
      </c>
      <c r="E179" s="2528"/>
      <c r="F179" s="2529"/>
      <c r="G179" s="2528">
        <v>14550</v>
      </c>
      <c r="H179" s="2529">
        <v>838543.69588999997</v>
      </c>
      <c r="I179" s="2499">
        <f t="shared" si="47"/>
        <v>853093.69588999997</v>
      </c>
      <c r="J179" s="2529"/>
      <c r="K179" s="2528"/>
      <c r="L179" s="2529">
        <v>23821</v>
      </c>
      <c r="M179" s="2500">
        <f t="shared" si="49"/>
        <v>23821</v>
      </c>
      <c r="N179" s="922"/>
      <c r="O179" s="922"/>
      <c r="P179" s="109"/>
      <c r="Q179" s="706"/>
      <c r="R179" s="707"/>
      <c r="S179" s="706"/>
      <c r="T179" s="708"/>
      <c r="U179" s="706"/>
      <c r="V179" s="706"/>
      <c r="W179" s="706"/>
      <c r="X179" s="706"/>
      <c r="Y179" s="706"/>
      <c r="Z179" s="706"/>
      <c r="AA179" s="706"/>
    </row>
    <row r="180" spans="2:27" ht="25.5">
      <c r="B180" s="2467" t="s">
        <v>350</v>
      </c>
      <c r="C180" s="2527"/>
      <c r="D180" s="2481">
        <f t="shared" si="46"/>
        <v>0</v>
      </c>
      <c r="E180" s="2528"/>
      <c r="F180" s="2529"/>
      <c r="G180" s="2528"/>
      <c r="H180" s="2529"/>
      <c r="I180" s="2499">
        <f t="shared" si="47"/>
        <v>0</v>
      </c>
      <c r="J180" s="2529"/>
      <c r="K180" s="2528"/>
      <c r="L180" s="2529"/>
      <c r="M180" s="2500">
        <f t="shared" si="49"/>
        <v>0</v>
      </c>
      <c r="N180" s="922"/>
      <c r="O180" s="922"/>
      <c r="P180" s="109"/>
      <c r="Q180" s="706"/>
      <c r="R180" s="707"/>
      <c r="S180" s="706"/>
      <c r="T180" s="708"/>
      <c r="U180" s="706"/>
      <c r="V180" s="706"/>
      <c r="W180" s="706"/>
      <c r="X180" s="706"/>
      <c r="Y180" s="706"/>
      <c r="Z180" s="706"/>
      <c r="AA180" s="706"/>
    </row>
    <row r="181" spans="2:27">
      <c r="B181" s="2466" t="s">
        <v>351</v>
      </c>
      <c r="C181" s="2530"/>
      <c r="D181" s="2481">
        <f t="shared" si="46"/>
        <v>1187726.8313799999</v>
      </c>
      <c r="E181" s="2528">
        <f>SUM(E175:E180)</f>
        <v>0</v>
      </c>
      <c r="F181" s="2529">
        <f>SUM(F175:F180)</f>
        <v>0</v>
      </c>
      <c r="G181" s="2528">
        <f>SUM(G175:G180)</f>
        <v>95895.135490000015</v>
      </c>
      <c r="H181" s="2529">
        <f>SUM(H175:H180)</f>
        <v>993367.69588999997</v>
      </c>
      <c r="I181" s="2499">
        <f t="shared" si="47"/>
        <v>1089262.8313799999</v>
      </c>
      <c r="J181" s="2529">
        <f>SUM(J175:J180)</f>
        <v>0</v>
      </c>
      <c r="K181" s="2528">
        <f>SUM(K175:K180)</f>
        <v>0</v>
      </c>
      <c r="L181" s="2529">
        <f>SUM(L175:L180)</f>
        <v>98464</v>
      </c>
      <c r="M181" s="2500">
        <f t="shared" si="49"/>
        <v>98464</v>
      </c>
      <c r="N181" s="927"/>
      <c r="O181" s="922"/>
      <c r="P181" s="109"/>
      <c r="Q181" s="706"/>
      <c r="R181" s="707"/>
      <c r="S181" s="706"/>
      <c r="T181" s="708"/>
      <c r="U181" s="706"/>
      <c r="V181" s="706"/>
      <c r="W181" s="706"/>
      <c r="X181" s="706"/>
      <c r="Y181" s="706"/>
      <c r="Z181" s="706"/>
      <c r="AA181" s="706"/>
    </row>
    <row r="182" spans="2:27">
      <c r="B182" s="2460"/>
      <c r="C182" s="2527"/>
      <c r="D182" s="2481">
        <f t="shared" si="46"/>
        <v>0</v>
      </c>
      <c r="E182" s="2528"/>
      <c r="F182" s="2529"/>
      <c r="G182" s="2528"/>
      <c r="H182" s="2529"/>
      <c r="I182" s="2499">
        <f t="shared" si="47"/>
        <v>0</v>
      </c>
      <c r="J182" s="2529"/>
      <c r="K182" s="2528"/>
      <c r="L182" s="2529"/>
      <c r="M182" s="2500">
        <f t="shared" si="49"/>
        <v>0</v>
      </c>
      <c r="O182" s="922"/>
      <c r="P182" s="109"/>
      <c r="Q182" s="706"/>
      <c r="R182" s="707"/>
      <c r="S182" s="706"/>
      <c r="T182" s="708"/>
      <c r="U182" s="706"/>
      <c r="V182" s="706"/>
      <c r="W182" s="706"/>
      <c r="X182" s="706"/>
      <c r="Y182" s="706"/>
      <c r="Z182" s="706"/>
      <c r="AA182" s="706"/>
    </row>
    <row r="183" spans="2:27" ht="25.5">
      <c r="B183" s="2467" t="s">
        <v>352</v>
      </c>
      <c r="C183" s="2527"/>
      <c r="D183" s="2481">
        <f t="shared" si="46"/>
        <v>209028.372205686</v>
      </c>
      <c r="E183" s="2528"/>
      <c r="F183" s="2529"/>
      <c r="G183" s="2528">
        <v>14192.161358579389</v>
      </c>
      <c r="H183" s="2529">
        <v>174289.21084710662</v>
      </c>
      <c r="I183" s="2499">
        <f t="shared" si="47"/>
        <v>188481.372205686</v>
      </c>
      <c r="J183" s="2529"/>
      <c r="K183" s="2528"/>
      <c r="L183" s="2529">
        <v>20547</v>
      </c>
      <c r="M183" s="2500">
        <f t="shared" si="49"/>
        <v>20547</v>
      </c>
      <c r="N183" s="922"/>
      <c r="O183" s="922"/>
      <c r="P183" s="109"/>
      <c r="Q183" s="706"/>
      <c r="R183" s="707"/>
      <c r="S183" s="706"/>
      <c r="T183" s="708"/>
      <c r="U183" s="706"/>
      <c r="V183" s="706"/>
      <c r="W183" s="706"/>
      <c r="X183" s="706"/>
      <c r="Y183" s="706"/>
      <c r="Z183" s="706"/>
      <c r="AA183" s="706"/>
    </row>
    <row r="184" spans="2:27">
      <c r="B184" s="2460"/>
      <c r="C184" s="2527"/>
      <c r="D184" s="2481">
        <f t="shared" si="46"/>
        <v>0</v>
      </c>
      <c r="E184" s="2528"/>
      <c r="F184" s="2529"/>
      <c r="G184" s="2528"/>
      <c r="H184" s="2529"/>
      <c r="I184" s="2499">
        <f t="shared" si="47"/>
        <v>0</v>
      </c>
      <c r="J184" s="2529"/>
      <c r="K184" s="2528"/>
      <c r="L184" s="2529"/>
      <c r="M184" s="2500">
        <f t="shared" si="49"/>
        <v>0</v>
      </c>
      <c r="N184" s="922"/>
      <c r="O184" s="922"/>
      <c r="P184" s="109"/>
      <c r="Q184" s="706"/>
      <c r="R184" s="707"/>
      <c r="S184" s="706"/>
      <c r="T184" s="708"/>
      <c r="U184" s="706"/>
      <c r="V184" s="706"/>
      <c r="W184" s="706"/>
      <c r="X184" s="706"/>
      <c r="Y184" s="706"/>
      <c r="Z184" s="706"/>
      <c r="AA184" s="706"/>
    </row>
    <row r="185" spans="2:27" ht="12.75" customHeight="1">
      <c r="B185" s="2467" t="s">
        <v>353</v>
      </c>
      <c r="C185" s="2527">
        <v>4</v>
      </c>
      <c r="D185" s="2481">
        <f t="shared" si="46"/>
        <v>328515.46364992601</v>
      </c>
      <c r="E185" s="2528">
        <v>12453</v>
      </c>
      <c r="F185" s="2529"/>
      <c r="G185" s="2528">
        <v>30803.1225039479</v>
      </c>
      <c r="H185" s="2529">
        <v>235336.34114597811</v>
      </c>
      <c r="I185" s="2499">
        <f t="shared" si="47"/>
        <v>266139.46364992601</v>
      </c>
      <c r="J185" s="2529"/>
      <c r="K185" s="2528"/>
      <c r="L185" s="2529">
        <v>49923</v>
      </c>
      <c r="M185" s="2500">
        <f t="shared" si="49"/>
        <v>49923</v>
      </c>
      <c r="N185" s="922"/>
      <c r="O185" s="922"/>
      <c r="P185" s="109"/>
      <c r="Q185" s="706"/>
      <c r="R185" s="707"/>
      <c r="S185" s="706"/>
      <c r="T185" s="708"/>
      <c r="U185" s="706"/>
      <c r="V185" s="706"/>
      <c r="W185" s="706"/>
      <c r="X185" s="706"/>
      <c r="Y185" s="706"/>
      <c r="Z185" s="706"/>
      <c r="AA185" s="706"/>
    </row>
    <row r="186" spans="2:27">
      <c r="B186" s="2460" t="s">
        <v>354</v>
      </c>
      <c r="C186" s="2527"/>
      <c r="D186" s="2481">
        <f t="shared" si="46"/>
        <v>0</v>
      </c>
      <c r="E186" s="2528"/>
      <c r="F186" s="2529"/>
      <c r="G186" s="2528"/>
      <c r="H186" s="2529"/>
      <c r="I186" s="2499">
        <f t="shared" si="47"/>
        <v>0</v>
      </c>
      <c r="J186" s="2529"/>
      <c r="K186" s="2528"/>
      <c r="L186" s="2529"/>
      <c r="M186" s="2500">
        <f t="shared" si="49"/>
        <v>0</v>
      </c>
      <c r="N186" s="922"/>
      <c r="O186" s="922"/>
      <c r="P186" s="109"/>
      <c r="Q186" s="706"/>
      <c r="R186" s="707"/>
      <c r="S186" s="706"/>
      <c r="T186" s="708"/>
      <c r="U186" s="706"/>
      <c r="V186" s="706"/>
      <c r="W186" s="706"/>
      <c r="X186" s="706"/>
      <c r="Y186" s="706"/>
      <c r="Z186" s="706"/>
      <c r="AA186" s="706"/>
    </row>
    <row r="187" spans="2:27">
      <c r="B187" s="2460" t="s">
        <v>355</v>
      </c>
      <c r="C187" s="2527"/>
      <c r="D187" s="2481">
        <f t="shared" si="46"/>
        <v>0</v>
      </c>
      <c r="E187" s="2528"/>
      <c r="F187" s="2529"/>
      <c r="G187" s="2528"/>
      <c r="H187" s="2529"/>
      <c r="I187" s="2499">
        <f t="shared" si="47"/>
        <v>0</v>
      </c>
      <c r="J187" s="2529"/>
      <c r="K187" s="2528"/>
      <c r="L187" s="2529"/>
      <c r="M187" s="2500">
        <f t="shared" si="49"/>
        <v>0</v>
      </c>
      <c r="N187" s="922"/>
      <c r="O187" s="922"/>
      <c r="P187" s="109"/>
      <c r="Q187" s="706"/>
      <c r="R187" s="707"/>
      <c r="S187" s="706"/>
      <c r="T187" s="708"/>
      <c r="U187" s="706"/>
      <c r="V187" s="706"/>
      <c r="W187" s="706"/>
      <c r="X187" s="706"/>
      <c r="Y187" s="706"/>
      <c r="Z187" s="706"/>
      <c r="AA187" s="706"/>
    </row>
    <row r="188" spans="2:27">
      <c r="B188" s="2466" t="s">
        <v>356</v>
      </c>
      <c r="C188" s="2530"/>
      <c r="D188" s="2481">
        <f t="shared" si="46"/>
        <v>328515.46364992601</v>
      </c>
      <c r="E188" s="2528">
        <f>SUM(E185:E187)</f>
        <v>12453</v>
      </c>
      <c r="F188" s="2529">
        <f>SUM(F185:F187)</f>
        <v>0</v>
      </c>
      <c r="G188" s="2528">
        <f>SUM(G185:G187)</f>
        <v>30803.1225039479</v>
      </c>
      <c r="H188" s="2529">
        <f>SUM(H185:H187)</f>
        <v>235336.34114597811</v>
      </c>
      <c r="I188" s="2499">
        <f t="shared" si="47"/>
        <v>266139.46364992601</v>
      </c>
      <c r="J188" s="2529">
        <f>SUM(J185:J187)</f>
        <v>0</v>
      </c>
      <c r="K188" s="2528">
        <f>SUM(K185:K187)</f>
        <v>0</v>
      </c>
      <c r="L188" s="2529">
        <f>SUM(L185:L187)</f>
        <v>49923</v>
      </c>
      <c r="M188" s="2500">
        <f t="shared" si="49"/>
        <v>49923</v>
      </c>
      <c r="N188" s="927"/>
      <c r="O188" s="922"/>
      <c r="P188" s="109"/>
      <c r="Q188" s="706"/>
      <c r="R188" s="707"/>
      <c r="S188" s="706"/>
      <c r="T188" s="708"/>
      <c r="U188" s="706"/>
      <c r="V188" s="706"/>
      <c r="W188" s="706"/>
      <c r="X188" s="706"/>
      <c r="Y188" s="706"/>
      <c r="Z188" s="706"/>
      <c r="AA188" s="706"/>
    </row>
    <row r="189" spans="2:27">
      <c r="B189" s="2466"/>
      <c r="C189" s="2530"/>
      <c r="D189" s="2481">
        <f t="shared" si="46"/>
        <v>0</v>
      </c>
      <c r="E189" s="2528"/>
      <c r="F189" s="2529"/>
      <c r="G189" s="2528"/>
      <c r="H189" s="2529"/>
      <c r="I189" s="2499">
        <f t="shared" si="47"/>
        <v>0</v>
      </c>
      <c r="J189" s="2529"/>
      <c r="K189" s="2528"/>
      <c r="L189" s="2529"/>
      <c r="M189" s="2500">
        <f t="shared" si="49"/>
        <v>0</v>
      </c>
      <c r="P189" s="109"/>
      <c r="Q189" s="706"/>
      <c r="R189" s="707"/>
      <c r="S189" s="706"/>
      <c r="T189" s="708"/>
      <c r="U189" s="706"/>
      <c r="V189" s="706"/>
      <c r="W189" s="706"/>
      <c r="X189" s="706"/>
      <c r="Y189" s="706"/>
      <c r="Z189" s="706"/>
      <c r="AA189" s="706"/>
    </row>
    <row r="190" spans="2:27">
      <c r="B190" s="2466" t="s">
        <v>357</v>
      </c>
      <c r="C190" s="2530"/>
      <c r="D190" s="2536">
        <f t="shared" si="46"/>
        <v>80751.079962805205</v>
      </c>
      <c r="E190" s="2528">
        <f>E173-E181-E183-E188</f>
        <v>-11181.328579999999</v>
      </c>
      <c r="F190" s="2529">
        <f>F173-F181-F183-F188</f>
        <v>0</v>
      </c>
      <c r="G190" s="2528">
        <f>G173-G181-G183-G188</f>
        <v>-14558.991442527189</v>
      </c>
      <c r="H190" s="2529">
        <f>H173-H181-H183-H188</f>
        <v>119506.71739533238</v>
      </c>
      <c r="I190" s="2499">
        <f t="shared" si="47"/>
        <v>104947.72595280519</v>
      </c>
      <c r="J190" s="2529">
        <f>J173-J181-J183-J188</f>
        <v>0</v>
      </c>
      <c r="K190" s="2528">
        <f>K173-K181-K183-K188</f>
        <v>0</v>
      </c>
      <c r="L190" s="2529">
        <f>L173-L181-L183-L188</f>
        <v>-13015.317409999989</v>
      </c>
      <c r="M190" s="2500">
        <f t="shared" si="49"/>
        <v>-13015.317409999989</v>
      </c>
      <c r="N190" s="927"/>
      <c r="O190" s="922"/>
      <c r="P190" s="109"/>
      <c r="Q190" s="706"/>
      <c r="R190" s="707"/>
      <c r="S190" s="706"/>
      <c r="T190" s="708"/>
      <c r="U190" s="706"/>
      <c r="V190" s="706"/>
      <c r="W190" s="706"/>
      <c r="X190" s="706"/>
      <c r="Y190" s="706"/>
      <c r="Z190" s="706"/>
      <c r="AA190" s="706"/>
    </row>
    <row r="191" spans="2:27">
      <c r="B191" s="2460" t="s">
        <v>358</v>
      </c>
      <c r="C191" s="2527"/>
      <c r="D191" s="2481">
        <f t="shared" si="46"/>
        <v>67567.34</v>
      </c>
      <c r="E191" s="2528">
        <v>67567.34</v>
      </c>
      <c r="F191" s="2529"/>
      <c r="G191" s="2528"/>
      <c r="H191" s="2529"/>
      <c r="I191" s="2499">
        <f t="shared" si="47"/>
        <v>0</v>
      </c>
      <c r="J191" s="2529"/>
      <c r="K191" s="2528"/>
      <c r="L191" s="2529"/>
      <c r="M191" s="2500">
        <f t="shared" si="49"/>
        <v>0</v>
      </c>
      <c r="N191" s="922"/>
      <c r="O191" s="922"/>
      <c r="P191" s="109"/>
      <c r="Q191" s="706"/>
      <c r="R191" s="707"/>
      <c r="S191" s="706"/>
      <c r="T191" s="708"/>
      <c r="U191" s="706"/>
      <c r="V191" s="706"/>
      <c r="W191" s="706"/>
      <c r="X191" s="706"/>
      <c r="Y191" s="706"/>
      <c r="Z191" s="706"/>
      <c r="AA191" s="706"/>
    </row>
    <row r="192" spans="2:27">
      <c r="B192" s="2460"/>
      <c r="C192" s="2527"/>
      <c r="D192" s="2481">
        <f t="shared" si="46"/>
        <v>0</v>
      </c>
      <c r="E192" s="2528"/>
      <c r="F192" s="2529"/>
      <c r="G192" s="2528"/>
      <c r="H192" s="2529"/>
      <c r="I192" s="2499">
        <f t="shared" si="47"/>
        <v>0</v>
      </c>
      <c r="J192" s="2529"/>
      <c r="K192" s="2528"/>
      <c r="L192" s="2529"/>
      <c r="M192" s="2500">
        <f t="shared" si="49"/>
        <v>0</v>
      </c>
      <c r="P192" s="109"/>
      <c r="Q192" s="706"/>
      <c r="R192" s="707"/>
      <c r="S192" s="706"/>
      <c r="T192" s="708"/>
      <c r="U192" s="706"/>
      <c r="V192" s="706"/>
      <c r="W192" s="706"/>
      <c r="X192" s="706"/>
      <c r="Y192" s="706"/>
      <c r="Z192" s="706"/>
      <c r="AA192" s="706"/>
    </row>
    <row r="193" spans="1:38" ht="13.5" thickBot="1">
      <c r="B193" s="1602" t="s">
        <v>359</v>
      </c>
      <c r="C193" s="1638"/>
      <c r="D193" s="1614">
        <f t="shared" si="46"/>
        <v>13183.739962805208</v>
      </c>
      <c r="E193" s="1624">
        <f>E190-E191</f>
        <v>-78748.668579999998</v>
      </c>
      <c r="F193" s="1614">
        <f>F190-F191</f>
        <v>0</v>
      </c>
      <c r="G193" s="1624">
        <f>G190-G191</f>
        <v>-14558.991442527189</v>
      </c>
      <c r="H193" s="1614">
        <f>H190-H191</f>
        <v>119506.71739533238</v>
      </c>
      <c r="I193" s="1624">
        <f t="shared" si="47"/>
        <v>104947.72595280519</v>
      </c>
      <c r="J193" s="1614">
        <f>J190-J191</f>
        <v>0</v>
      </c>
      <c r="K193" s="1624">
        <f>K190-K191</f>
        <v>0</v>
      </c>
      <c r="L193" s="1614">
        <f>L190-L191</f>
        <v>-13015.317409999989</v>
      </c>
      <c r="M193" s="1639">
        <f t="shared" si="49"/>
        <v>-13015.317409999989</v>
      </c>
      <c r="N193" s="927"/>
      <c r="O193" s="922"/>
      <c r="P193" s="109"/>
      <c r="Q193" s="706"/>
      <c r="R193" s="707"/>
      <c r="S193" s="706"/>
      <c r="T193" s="708"/>
      <c r="U193" s="706"/>
      <c r="V193" s="706"/>
      <c r="W193" s="706"/>
      <c r="X193" s="706"/>
      <c r="Y193" s="706"/>
      <c r="Z193" s="706"/>
      <c r="AA193" s="706"/>
    </row>
    <row r="194" spans="1:38">
      <c r="D194" s="715"/>
      <c r="E194" s="715"/>
      <c r="F194" s="715"/>
      <c r="G194" s="715"/>
      <c r="H194" s="715"/>
      <c r="I194" s="715"/>
      <c r="J194" s="715"/>
      <c r="K194" s="715"/>
      <c r="L194" s="715"/>
      <c r="M194" s="715"/>
      <c r="O194" s="927"/>
      <c r="P194" s="109"/>
      <c r="R194" s="707"/>
      <c r="S194" s="706"/>
      <c r="T194" s="699"/>
      <c r="U194" s="699"/>
      <c r="V194" s="699"/>
      <c r="W194" s="699"/>
      <c r="X194" s="699"/>
      <c r="Y194" s="699"/>
      <c r="Z194" s="699"/>
      <c r="AA194" s="699"/>
    </row>
    <row r="195" spans="1:38">
      <c r="M195" s="912">
        <v>67</v>
      </c>
      <c r="R195" s="109"/>
      <c r="S195" s="699"/>
      <c r="T195" s="699"/>
      <c r="U195" s="699"/>
      <c r="V195" s="699"/>
      <c r="W195" s="699"/>
      <c r="X195" s="699"/>
      <c r="Y195" s="699"/>
      <c r="Z195" s="699"/>
      <c r="AA195" s="699"/>
    </row>
    <row r="196" spans="1:38" ht="15.75" customHeight="1" thickBot="1">
      <c r="C196" s="934"/>
      <c r="R196" s="109"/>
      <c r="S196" s="699"/>
      <c r="T196" s="699"/>
      <c r="U196" s="699"/>
      <c r="V196" s="699"/>
      <c r="W196" s="699"/>
      <c r="X196" s="699"/>
      <c r="Y196" s="699"/>
      <c r="Z196" s="699"/>
      <c r="AA196" s="699"/>
    </row>
    <row r="197" spans="1:38" ht="15.75" customHeight="1" thickBot="1">
      <c r="A197" s="1626" t="s">
        <v>125</v>
      </c>
      <c r="B197" s="1368" t="s">
        <v>312</v>
      </c>
      <c r="C197" s="934"/>
      <c r="L197" s="3538" t="s">
        <v>251</v>
      </c>
      <c r="M197" s="3538"/>
      <c r="R197" s="109"/>
      <c r="S197" s="699"/>
      <c r="T197" s="699"/>
      <c r="U197" s="699"/>
      <c r="V197" s="699"/>
      <c r="W197" s="699"/>
      <c r="X197" s="699"/>
      <c r="Y197" s="699"/>
      <c r="Z197" s="699"/>
      <c r="AA197" s="699"/>
    </row>
    <row r="198" spans="1:38" ht="17.25" customHeight="1" thickBot="1">
      <c r="B198" s="3578" t="s">
        <v>312</v>
      </c>
      <c r="C198" s="3523" t="s">
        <v>325</v>
      </c>
      <c r="D198" s="3518" t="s">
        <v>255</v>
      </c>
      <c r="E198" s="3518" t="s">
        <v>326</v>
      </c>
      <c r="F198" s="3574" t="s">
        <v>258</v>
      </c>
      <c r="G198" s="3574"/>
      <c r="H198" s="3574"/>
      <c r="I198" s="3574"/>
      <c r="J198" s="3574"/>
      <c r="K198" s="3574"/>
      <c r="L198" s="3574"/>
      <c r="M198" s="3574"/>
      <c r="R198" s="109"/>
      <c r="S198" s="699"/>
      <c r="T198" s="699"/>
      <c r="U198" s="699"/>
      <c r="V198" s="699"/>
      <c r="W198" s="699"/>
      <c r="X198" s="699"/>
      <c r="Y198" s="699"/>
      <c r="Z198" s="699"/>
      <c r="AA198" s="699"/>
    </row>
    <row r="199" spans="1:38" ht="17.25" customHeight="1">
      <c r="B199" s="3571"/>
      <c r="C199" s="3524"/>
      <c r="D199" s="3520"/>
      <c r="E199" s="3520"/>
      <c r="F199" s="3575" t="s">
        <v>259</v>
      </c>
      <c r="G199" s="3576"/>
      <c r="H199" s="3576"/>
      <c r="I199" s="3577"/>
      <c r="J199" s="3574" t="s">
        <v>327</v>
      </c>
      <c r="K199" s="3574"/>
      <c r="L199" s="3574"/>
      <c r="M199" s="3574"/>
      <c r="R199" s="109"/>
      <c r="S199" s="699"/>
      <c r="T199" s="699"/>
      <c r="U199" s="699"/>
      <c r="V199" s="699"/>
      <c r="W199" s="699"/>
      <c r="X199" s="699"/>
      <c r="Y199" s="699"/>
      <c r="Z199" s="699"/>
      <c r="AA199" s="699"/>
    </row>
    <row r="200" spans="1:38" ht="59.25" customHeight="1">
      <c r="B200" s="3571"/>
      <c r="C200" s="3524"/>
      <c r="D200" s="3519"/>
      <c r="E200" s="3519"/>
      <c r="F200" s="1339" t="s">
        <v>261</v>
      </c>
      <c r="G200" s="1339" t="s">
        <v>262</v>
      </c>
      <c r="H200" s="1339" t="s">
        <v>263</v>
      </c>
      <c r="I200" s="1339" t="s">
        <v>158</v>
      </c>
      <c r="J200" s="1588" t="s">
        <v>328</v>
      </c>
      <c r="K200" s="1588" t="s">
        <v>265</v>
      </c>
      <c r="L200" s="1588" t="s">
        <v>329</v>
      </c>
      <c r="M200" s="1588" t="s">
        <v>158</v>
      </c>
      <c r="R200" s="109"/>
      <c r="S200" s="699"/>
      <c r="T200" s="699"/>
      <c r="U200" s="699"/>
      <c r="V200" s="699"/>
      <c r="W200" s="699"/>
      <c r="X200" s="699"/>
      <c r="Y200" s="699"/>
      <c r="Z200" s="699"/>
      <c r="AA200" s="699"/>
    </row>
    <row r="201" spans="1:38" ht="13.9" customHeight="1">
      <c r="B201" s="3571"/>
      <c r="C201" s="3524"/>
      <c r="D201" s="1589">
        <v>1</v>
      </c>
      <c r="E201" s="3518">
        <v>2</v>
      </c>
      <c r="F201" s="3518">
        <v>3</v>
      </c>
      <c r="G201" s="3518">
        <v>4</v>
      </c>
      <c r="H201" s="1339"/>
      <c r="I201" s="1589">
        <v>6</v>
      </c>
      <c r="J201" s="3518">
        <v>7</v>
      </c>
      <c r="K201" s="3518">
        <v>8</v>
      </c>
      <c r="L201" s="3518">
        <v>9</v>
      </c>
      <c r="M201" s="1589">
        <v>10</v>
      </c>
      <c r="R201" s="109"/>
      <c r="S201" s="699"/>
      <c r="T201" s="699"/>
      <c r="U201" s="699"/>
      <c r="V201" s="699"/>
      <c r="W201" s="699"/>
      <c r="X201" s="699"/>
      <c r="Y201" s="699"/>
      <c r="Z201" s="699"/>
      <c r="AA201" s="699"/>
    </row>
    <row r="202" spans="1:38" ht="13.5" thickBot="1">
      <c r="B202" s="3572"/>
      <c r="C202" s="3525"/>
      <c r="D202" s="1590" t="s">
        <v>330</v>
      </c>
      <c r="E202" s="3519"/>
      <c r="F202" s="3519"/>
      <c r="G202" s="3519"/>
      <c r="H202" s="1590">
        <v>5</v>
      </c>
      <c r="I202" s="1590" t="s">
        <v>331</v>
      </c>
      <c r="J202" s="3519"/>
      <c r="K202" s="3519"/>
      <c r="L202" s="3519"/>
      <c r="M202" s="1590" t="s">
        <v>332</v>
      </c>
      <c r="N202" s="703"/>
      <c r="O202" s="703"/>
      <c r="R202" s="109"/>
      <c r="S202" s="699"/>
      <c r="T202" s="699"/>
      <c r="U202" s="699"/>
      <c r="V202" s="699"/>
      <c r="W202" s="699"/>
      <c r="X202" s="699"/>
      <c r="Y202" s="699"/>
      <c r="Z202" s="699"/>
      <c r="AA202" s="699"/>
    </row>
    <row r="203" spans="1:38">
      <c r="B203" s="1609" t="s">
        <v>333</v>
      </c>
      <c r="C203" s="970"/>
      <c r="D203" s="1665">
        <f t="shared" ref="D203:D216" si="50">E203+I203+M203</f>
        <v>14049559</v>
      </c>
      <c r="E203" s="967">
        <v>0</v>
      </c>
      <c r="F203" s="968">
        <v>0</v>
      </c>
      <c r="G203" s="967">
        <v>119800</v>
      </c>
      <c r="H203" s="969">
        <v>13143799</v>
      </c>
      <c r="I203" s="1441">
        <f t="shared" ref="I203:I216" si="51">F203+G203+H203</f>
        <v>13263599</v>
      </c>
      <c r="J203" s="969">
        <v>785960</v>
      </c>
      <c r="K203" s="967">
        <v>0</v>
      </c>
      <c r="L203" s="969">
        <v>0</v>
      </c>
      <c r="M203" s="1441">
        <f t="shared" ref="M203:M216" si="52">L203+K203+J203</f>
        <v>785960</v>
      </c>
      <c r="N203" s="922"/>
      <c r="O203" s="922"/>
      <c r="P203" s="679"/>
      <c r="Q203" s="706"/>
      <c r="R203" s="707"/>
      <c r="S203" s="706"/>
      <c r="T203" s="706"/>
      <c r="U203" s="706"/>
      <c r="V203" s="706"/>
      <c r="W203" s="706"/>
      <c r="X203" s="706"/>
      <c r="Y203" s="706"/>
      <c r="Z203" s="706"/>
      <c r="AA203" s="706"/>
      <c r="AC203" s="705"/>
      <c r="AD203" s="705"/>
      <c r="AE203" s="705"/>
      <c r="AF203" s="705"/>
      <c r="AG203" s="705"/>
      <c r="AH203" s="705"/>
      <c r="AI203" s="705"/>
      <c r="AJ203" s="705"/>
      <c r="AK203" s="705"/>
      <c r="AL203" s="705"/>
    </row>
    <row r="204" spans="1:38">
      <c r="B204" s="2468"/>
      <c r="C204" s="2537"/>
      <c r="D204" s="2538">
        <f t="shared" si="50"/>
        <v>0</v>
      </c>
      <c r="E204" s="2424"/>
      <c r="F204" s="2436"/>
      <c r="G204" s="2424"/>
      <c r="H204" s="2423"/>
      <c r="I204" s="2249">
        <f t="shared" si="51"/>
        <v>0</v>
      </c>
      <c r="J204" s="2423"/>
      <c r="K204" s="2424"/>
      <c r="L204" s="2423"/>
      <c r="M204" s="2249">
        <f t="shared" si="52"/>
        <v>0</v>
      </c>
      <c r="P204" s="679"/>
      <c r="Q204" s="706"/>
      <c r="R204" s="707"/>
      <c r="S204" s="706"/>
      <c r="T204" s="706"/>
      <c r="U204" s="706"/>
      <c r="V204" s="706"/>
      <c r="W204" s="706"/>
      <c r="X204" s="706"/>
      <c r="Y204" s="706"/>
      <c r="Z204" s="706"/>
      <c r="AA204" s="706"/>
      <c r="AC204" s="705"/>
      <c r="AD204" s="705"/>
      <c r="AE204" s="705"/>
      <c r="AF204" s="705"/>
      <c r="AG204" s="705"/>
      <c r="AH204" s="705"/>
      <c r="AI204" s="705"/>
      <c r="AJ204" s="705"/>
      <c r="AK204" s="705"/>
      <c r="AL204" s="705"/>
    </row>
    <row r="205" spans="1:38">
      <c r="B205" s="2473" t="s">
        <v>334</v>
      </c>
      <c r="C205" s="2537"/>
      <c r="D205" s="2538">
        <f t="shared" si="50"/>
        <v>408860</v>
      </c>
      <c r="E205" s="2424">
        <v>0</v>
      </c>
      <c r="F205" s="2436">
        <v>0</v>
      </c>
      <c r="G205" s="2424">
        <v>28290</v>
      </c>
      <c r="H205" s="2423">
        <v>335747</v>
      </c>
      <c r="I205" s="2249">
        <f t="shared" si="51"/>
        <v>364037</v>
      </c>
      <c r="J205" s="2423">
        <v>44823</v>
      </c>
      <c r="K205" s="2437">
        <v>0</v>
      </c>
      <c r="L205" s="2423">
        <v>0</v>
      </c>
      <c r="M205" s="2249">
        <f t="shared" si="52"/>
        <v>44823</v>
      </c>
      <c r="N205" s="922"/>
      <c r="O205" s="922"/>
      <c r="P205" s="679"/>
      <c r="Q205" s="706"/>
      <c r="R205" s="707"/>
      <c r="S205" s="706"/>
      <c r="T205" s="706"/>
      <c r="U205" s="706"/>
      <c r="V205" s="706"/>
      <c r="W205" s="706"/>
      <c r="X205" s="706"/>
      <c r="Y205" s="706"/>
      <c r="Z205" s="706"/>
      <c r="AA205" s="706"/>
      <c r="AC205" s="705"/>
      <c r="AD205" s="705"/>
      <c r="AE205" s="705"/>
      <c r="AF205" s="705"/>
      <c r="AG205" s="705"/>
      <c r="AH205" s="705"/>
      <c r="AI205" s="705"/>
      <c r="AJ205" s="705"/>
      <c r="AK205" s="705"/>
      <c r="AL205" s="705"/>
    </row>
    <row r="206" spans="1:38">
      <c r="B206" s="2473"/>
      <c r="C206" s="2537"/>
      <c r="D206" s="2538">
        <f t="shared" si="50"/>
        <v>0</v>
      </c>
      <c r="E206" s="2424"/>
      <c r="F206" s="2436"/>
      <c r="G206" s="2424"/>
      <c r="H206" s="2423"/>
      <c r="I206" s="2249">
        <f t="shared" si="51"/>
        <v>0</v>
      </c>
      <c r="J206" s="2423"/>
      <c r="K206" s="2424"/>
      <c r="L206" s="2423"/>
      <c r="M206" s="2249">
        <f t="shared" si="52"/>
        <v>0</v>
      </c>
      <c r="P206" s="679"/>
      <c r="Q206" s="706"/>
      <c r="R206" s="707"/>
      <c r="S206" s="706"/>
      <c r="T206" s="706"/>
      <c r="U206" s="706"/>
      <c r="V206" s="706"/>
      <c r="W206" s="706"/>
      <c r="X206" s="706"/>
      <c r="Y206" s="706"/>
      <c r="Z206" s="706"/>
      <c r="AA206" s="706"/>
      <c r="AC206" s="705"/>
      <c r="AD206" s="705"/>
      <c r="AE206" s="705"/>
      <c r="AF206" s="705"/>
      <c r="AG206" s="705"/>
      <c r="AH206" s="705"/>
      <c r="AI206" s="705"/>
      <c r="AJ206" s="705"/>
      <c r="AK206" s="705"/>
      <c r="AL206" s="705"/>
    </row>
    <row r="207" spans="1:38" ht="12.75" customHeight="1">
      <c r="B207" s="2474" t="s">
        <v>335</v>
      </c>
      <c r="C207" s="2537"/>
      <c r="D207" s="2538">
        <f t="shared" si="50"/>
        <v>0</v>
      </c>
      <c r="E207" s="2424"/>
      <c r="F207" s="2436"/>
      <c r="G207" s="2424"/>
      <c r="H207" s="2423"/>
      <c r="I207" s="2249">
        <f t="shared" si="51"/>
        <v>0</v>
      </c>
      <c r="J207" s="2423"/>
      <c r="K207" s="2424"/>
      <c r="L207" s="2423"/>
      <c r="M207" s="2249">
        <f t="shared" si="52"/>
        <v>0</v>
      </c>
      <c r="N207" s="922"/>
      <c r="O207" s="922"/>
      <c r="P207" s="679"/>
      <c r="Q207" s="706"/>
      <c r="R207" s="707"/>
      <c r="S207" s="706"/>
      <c r="T207" s="706"/>
      <c r="U207" s="706"/>
      <c r="V207" s="706"/>
      <c r="W207" s="706"/>
      <c r="X207" s="706"/>
      <c r="Y207" s="706"/>
      <c r="Z207" s="706"/>
      <c r="AA207" s="706"/>
      <c r="AC207" s="705"/>
      <c r="AD207" s="705"/>
      <c r="AE207" s="705"/>
      <c r="AF207" s="705"/>
      <c r="AG207" s="705"/>
      <c r="AH207" s="705"/>
      <c r="AI207" s="705"/>
      <c r="AJ207" s="705"/>
      <c r="AK207" s="705"/>
      <c r="AL207" s="705"/>
    </row>
    <row r="208" spans="1:38">
      <c r="B208" s="2468"/>
      <c r="C208" s="2537"/>
      <c r="D208" s="2538">
        <f t="shared" si="50"/>
        <v>0</v>
      </c>
      <c r="E208" s="2529"/>
      <c r="F208" s="2528"/>
      <c r="G208" s="2529"/>
      <c r="H208" s="2528"/>
      <c r="I208" s="2249">
        <f t="shared" si="51"/>
        <v>0</v>
      </c>
      <c r="J208" s="2528"/>
      <c r="K208" s="2529"/>
      <c r="L208" s="2528"/>
      <c r="M208" s="2249">
        <f t="shared" si="52"/>
        <v>0</v>
      </c>
      <c r="P208" s="679"/>
      <c r="Q208" s="706"/>
      <c r="R208" s="707"/>
      <c r="S208" s="706"/>
      <c r="T208" s="706"/>
      <c r="U208" s="706"/>
      <c r="V208" s="706"/>
      <c r="W208" s="706"/>
      <c r="X208" s="706"/>
      <c r="Y208" s="706"/>
      <c r="Z208" s="706"/>
      <c r="AA208" s="706"/>
      <c r="AC208" s="705"/>
      <c r="AD208" s="705"/>
      <c r="AE208" s="705"/>
      <c r="AF208" s="705"/>
      <c r="AG208" s="705"/>
      <c r="AH208" s="705"/>
      <c r="AI208" s="705"/>
      <c r="AJ208" s="705"/>
      <c r="AK208" s="705"/>
      <c r="AL208" s="705"/>
    </row>
    <row r="209" spans="2:38">
      <c r="B209" s="2475" t="s">
        <v>336</v>
      </c>
      <c r="C209" s="2539"/>
      <c r="D209" s="2538">
        <f t="shared" si="50"/>
        <v>13640699</v>
      </c>
      <c r="E209" s="2529">
        <f>E203-E205+E207</f>
        <v>0</v>
      </c>
      <c r="F209" s="2528">
        <f>F203-F205+F207</f>
        <v>0</v>
      </c>
      <c r="G209" s="2529">
        <f>G203-G205+G207</f>
        <v>91510</v>
      </c>
      <c r="H209" s="2528">
        <f>H203-H205+H207</f>
        <v>12808052</v>
      </c>
      <c r="I209" s="2249">
        <f t="shared" si="51"/>
        <v>12899562</v>
      </c>
      <c r="J209" s="2528">
        <f>J203-J205+J207</f>
        <v>741137</v>
      </c>
      <c r="K209" s="2529">
        <f>K203-K205+K207</f>
        <v>0</v>
      </c>
      <c r="L209" s="2528">
        <f>L203-L205+L207</f>
        <v>0</v>
      </c>
      <c r="M209" s="2249">
        <f t="shared" si="52"/>
        <v>741137</v>
      </c>
      <c r="N209" s="927"/>
      <c r="O209" s="922"/>
      <c r="P209" s="679"/>
      <c r="Q209" s="706"/>
      <c r="R209" s="707"/>
      <c r="S209" s="706"/>
      <c r="T209" s="706"/>
      <c r="U209" s="706"/>
      <c r="V209" s="706"/>
      <c r="W209" s="706"/>
      <c r="X209" s="706"/>
      <c r="Y209" s="706"/>
      <c r="Z209" s="706"/>
      <c r="AA209" s="706"/>
      <c r="AC209" s="705"/>
      <c r="AD209" s="705"/>
      <c r="AE209" s="705"/>
      <c r="AF209" s="705"/>
      <c r="AG209" s="705"/>
      <c r="AH209" s="705"/>
      <c r="AI209" s="705"/>
      <c r="AJ209" s="705"/>
      <c r="AK209" s="705"/>
      <c r="AL209" s="705"/>
    </row>
    <row r="210" spans="2:38">
      <c r="B210" s="2475"/>
      <c r="C210" s="2539"/>
      <c r="D210" s="2538">
        <f t="shared" si="50"/>
        <v>0</v>
      </c>
      <c r="E210" s="2529"/>
      <c r="F210" s="2528"/>
      <c r="G210" s="2529"/>
      <c r="H210" s="2528"/>
      <c r="I210" s="2249">
        <f t="shared" si="51"/>
        <v>0</v>
      </c>
      <c r="J210" s="2528"/>
      <c r="K210" s="2529"/>
      <c r="L210" s="2528"/>
      <c r="M210" s="2249">
        <f t="shared" si="52"/>
        <v>0</v>
      </c>
      <c r="P210" s="679"/>
      <c r="Q210" s="706"/>
      <c r="R210" s="707"/>
      <c r="S210" s="706"/>
      <c r="T210" s="706"/>
      <c r="U210" s="706"/>
      <c r="V210" s="706"/>
      <c r="W210" s="706"/>
      <c r="X210" s="706"/>
      <c r="Y210" s="706"/>
      <c r="Z210" s="706"/>
      <c r="AA210" s="706"/>
      <c r="AC210" s="705"/>
      <c r="AD210" s="705"/>
      <c r="AE210" s="705"/>
      <c r="AF210" s="705"/>
      <c r="AG210" s="705"/>
      <c r="AH210" s="705"/>
      <c r="AI210" s="705"/>
      <c r="AJ210" s="705"/>
      <c r="AK210" s="705"/>
      <c r="AL210" s="705"/>
    </row>
    <row r="211" spans="2:38">
      <c r="B211" s="2475" t="s">
        <v>337</v>
      </c>
      <c r="C211" s="2539"/>
      <c r="D211" s="2538">
        <f t="shared" si="50"/>
        <v>6405835</v>
      </c>
      <c r="E211" s="2529">
        <f>SUM(E212:E216)</f>
        <v>1687235</v>
      </c>
      <c r="F211" s="2528">
        <f>SUM(F212:F216)</f>
        <v>0</v>
      </c>
      <c r="G211" s="2529">
        <f>SUM(G212:G216)</f>
        <v>30069</v>
      </c>
      <c r="H211" s="2528">
        <f>SUM(H212:H216)</f>
        <v>4394733</v>
      </c>
      <c r="I211" s="2249">
        <f t="shared" si="51"/>
        <v>4424802</v>
      </c>
      <c r="J211" s="2528">
        <f>SUM(J212:J216)</f>
        <v>116709</v>
      </c>
      <c r="K211" s="2529">
        <f>SUM(K212:K216)</f>
        <v>7382</v>
      </c>
      <c r="L211" s="2528">
        <f>SUM(L212:L216)</f>
        <v>169707</v>
      </c>
      <c r="M211" s="2249">
        <f t="shared" si="52"/>
        <v>293798</v>
      </c>
      <c r="N211" s="927"/>
      <c r="O211" s="922"/>
      <c r="P211" s="679"/>
      <c r="Q211" s="706"/>
      <c r="R211" s="707"/>
      <c r="S211" s="706"/>
      <c r="T211" s="706"/>
      <c r="U211" s="706"/>
      <c r="V211" s="706"/>
      <c r="W211" s="706"/>
      <c r="X211" s="706"/>
      <c r="Y211" s="706"/>
      <c r="Z211" s="706"/>
      <c r="AA211" s="706"/>
      <c r="AC211" s="705"/>
      <c r="AD211" s="705"/>
      <c r="AE211" s="705"/>
      <c r="AF211" s="705"/>
      <c r="AG211" s="705"/>
      <c r="AH211" s="705"/>
      <c r="AI211" s="705"/>
      <c r="AJ211" s="705"/>
      <c r="AK211" s="705"/>
      <c r="AL211" s="705"/>
    </row>
    <row r="212" spans="2:38">
      <c r="B212" s="2468" t="s">
        <v>338</v>
      </c>
      <c r="C212" s="2537">
        <v>1</v>
      </c>
      <c r="D212" s="2538">
        <f t="shared" si="50"/>
        <v>5585205</v>
      </c>
      <c r="E212" s="2424">
        <v>1653568</v>
      </c>
      <c r="F212" s="2423">
        <v>0</v>
      </c>
      <c r="G212" s="2424">
        <v>30016</v>
      </c>
      <c r="H212" s="2423">
        <v>3548367</v>
      </c>
      <c r="I212" s="2249">
        <f t="shared" si="51"/>
        <v>3578383</v>
      </c>
      <c r="J212" s="2423">
        <v>16789</v>
      </c>
      <c r="K212" s="2424">
        <v>7380</v>
      </c>
      <c r="L212" s="2423">
        <v>329085</v>
      </c>
      <c r="M212" s="2249">
        <f t="shared" si="52"/>
        <v>353254</v>
      </c>
      <c r="N212" s="922"/>
      <c r="O212" s="922"/>
      <c r="P212" s="679"/>
      <c r="Q212" s="706"/>
      <c r="R212" s="707"/>
      <c r="S212" s="706"/>
      <c r="T212" s="706"/>
      <c r="U212" s="706"/>
      <c r="V212" s="706"/>
      <c r="W212" s="706"/>
      <c r="X212" s="706"/>
      <c r="Y212" s="706"/>
      <c r="Z212" s="706"/>
      <c r="AA212" s="706"/>
      <c r="AC212" s="705"/>
      <c r="AD212" s="705"/>
      <c r="AE212" s="705"/>
      <c r="AF212" s="705"/>
      <c r="AG212" s="705"/>
      <c r="AH212" s="705"/>
      <c r="AI212" s="705"/>
      <c r="AJ212" s="705"/>
      <c r="AK212" s="705"/>
      <c r="AL212" s="705"/>
    </row>
    <row r="213" spans="2:38">
      <c r="B213" s="2468" t="s">
        <v>339</v>
      </c>
      <c r="C213" s="2537">
        <v>2</v>
      </c>
      <c r="D213" s="2538">
        <f t="shared" si="50"/>
        <v>842682</v>
      </c>
      <c r="E213" s="2424">
        <v>0</v>
      </c>
      <c r="F213" s="2423">
        <v>0</v>
      </c>
      <c r="G213" s="2424">
        <v>46</v>
      </c>
      <c r="H213" s="2423">
        <v>742812</v>
      </c>
      <c r="I213" s="2249">
        <f t="shared" si="51"/>
        <v>742858</v>
      </c>
      <c r="J213" s="2423">
        <v>99824</v>
      </c>
      <c r="K213" s="2424">
        <v>0</v>
      </c>
      <c r="L213" s="2423">
        <v>0</v>
      </c>
      <c r="M213" s="2249">
        <f t="shared" si="52"/>
        <v>99824</v>
      </c>
      <c r="N213" s="922"/>
      <c r="O213" s="922"/>
      <c r="P213" s="679"/>
      <c r="Q213" s="706"/>
      <c r="R213" s="707"/>
      <c r="S213" s="706"/>
      <c r="T213" s="706"/>
      <c r="U213" s="706"/>
      <c r="V213" s="706"/>
      <c r="W213" s="706"/>
      <c r="X213" s="706"/>
      <c r="Y213" s="706"/>
      <c r="Z213" s="706"/>
      <c r="AA213" s="706"/>
      <c r="AC213" s="705"/>
      <c r="AD213" s="705"/>
      <c r="AE213" s="705"/>
      <c r="AF213" s="705"/>
      <c r="AG213" s="705"/>
      <c r="AH213" s="705"/>
      <c r="AI213" s="705"/>
      <c r="AJ213" s="705"/>
      <c r="AK213" s="705"/>
      <c r="AL213" s="705"/>
    </row>
    <row r="214" spans="2:38">
      <c r="B214" s="2468" t="s">
        <v>340</v>
      </c>
      <c r="C214" s="2537"/>
      <c r="D214" s="2538">
        <f t="shared" si="50"/>
        <v>-123510</v>
      </c>
      <c r="E214" s="2424">
        <v>14444</v>
      </c>
      <c r="F214" s="2423">
        <v>0</v>
      </c>
      <c r="G214" s="2424">
        <v>0</v>
      </c>
      <c r="H214" s="2423">
        <v>0</v>
      </c>
      <c r="I214" s="2249">
        <f t="shared" si="51"/>
        <v>0</v>
      </c>
      <c r="J214" s="2423">
        <v>0</v>
      </c>
      <c r="K214" s="2424">
        <v>0</v>
      </c>
      <c r="L214" s="2423">
        <v>-137954</v>
      </c>
      <c r="M214" s="2249">
        <f t="shared" si="52"/>
        <v>-137954</v>
      </c>
      <c r="N214" s="922"/>
      <c r="O214" s="922"/>
      <c r="P214" s="679"/>
      <c r="Q214" s="706"/>
      <c r="R214" s="707"/>
      <c r="S214" s="706"/>
      <c r="T214" s="706"/>
      <c r="U214" s="706"/>
      <c r="V214" s="706"/>
      <c r="W214" s="706"/>
      <c r="X214" s="706"/>
      <c r="Y214" s="706"/>
      <c r="Z214" s="706"/>
      <c r="AA214" s="706"/>
      <c r="AC214" s="705"/>
      <c r="AD214" s="705"/>
      <c r="AE214" s="705"/>
      <c r="AF214" s="705"/>
      <c r="AG214" s="705"/>
      <c r="AH214" s="705"/>
      <c r="AI214" s="705"/>
      <c r="AJ214" s="705"/>
      <c r="AK214" s="705"/>
      <c r="AL214" s="705"/>
    </row>
    <row r="215" spans="2:38">
      <c r="B215" s="2468" t="s">
        <v>341</v>
      </c>
      <c r="C215" s="2537"/>
      <c r="D215" s="2538">
        <f t="shared" si="50"/>
        <v>-21538</v>
      </c>
      <c r="E215" s="2424">
        <v>0</v>
      </c>
      <c r="F215" s="2423">
        <v>0</v>
      </c>
      <c r="G215" s="2424">
        <v>0</v>
      </c>
      <c r="H215" s="2423">
        <v>0</v>
      </c>
      <c r="I215" s="2249">
        <f t="shared" si="51"/>
        <v>0</v>
      </c>
      <c r="J215" s="2423">
        <v>0</v>
      </c>
      <c r="K215" s="2424">
        <v>0</v>
      </c>
      <c r="L215" s="2423">
        <v>-21538</v>
      </c>
      <c r="M215" s="2249">
        <f t="shared" si="52"/>
        <v>-21538</v>
      </c>
      <c r="N215" s="922"/>
      <c r="O215" s="922"/>
      <c r="P215" s="679"/>
      <c r="Q215" s="706"/>
      <c r="R215" s="707"/>
      <c r="S215" s="706"/>
      <c r="T215" s="706"/>
      <c r="U215" s="706"/>
      <c r="V215" s="706"/>
      <c r="W215" s="706"/>
      <c r="X215" s="706"/>
      <c r="Y215" s="706"/>
      <c r="Z215" s="706"/>
      <c r="AA215" s="706"/>
      <c r="AC215" s="705"/>
      <c r="AD215" s="705"/>
      <c r="AE215" s="705"/>
      <c r="AF215" s="705"/>
      <c r="AG215" s="705"/>
      <c r="AH215" s="705"/>
      <c r="AI215" s="705"/>
      <c r="AJ215" s="705"/>
      <c r="AK215" s="705"/>
      <c r="AL215" s="705"/>
    </row>
    <row r="216" spans="2:38">
      <c r="B216" s="2468" t="s">
        <v>342</v>
      </c>
      <c r="C216" s="2537">
        <v>3</v>
      </c>
      <c r="D216" s="2538">
        <f t="shared" si="50"/>
        <v>122996</v>
      </c>
      <c r="E216" s="2424">
        <v>19223</v>
      </c>
      <c r="F216" s="2423">
        <v>0</v>
      </c>
      <c r="G216" s="2424">
        <v>7</v>
      </c>
      <c r="H216" s="2423">
        <v>103554</v>
      </c>
      <c r="I216" s="2249">
        <f t="shared" si="51"/>
        <v>103561</v>
      </c>
      <c r="J216" s="2423">
        <v>96</v>
      </c>
      <c r="K216" s="2424">
        <v>2</v>
      </c>
      <c r="L216" s="2423">
        <v>114</v>
      </c>
      <c r="M216" s="2249">
        <f t="shared" si="52"/>
        <v>212</v>
      </c>
      <c r="N216" s="922"/>
      <c r="O216" s="922"/>
      <c r="P216" s="679"/>
      <c r="Q216" s="706"/>
      <c r="R216" s="707"/>
      <c r="S216" s="706"/>
      <c r="T216" s="706"/>
      <c r="U216" s="706"/>
      <c r="V216" s="706"/>
      <c r="W216" s="706"/>
      <c r="X216" s="706"/>
      <c r="Y216" s="706"/>
      <c r="Z216" s="706"/>
      <c r="AA216" s="706"/>
      <c r="AC216" s="705"/>
      <c r="AD216" s="705"/>
      <c r="AE216" s="705"/>
      <c r="AF216" s="705"/>
      <c r="AG216" s="705"/>
      <c r="AH216" s="705"/>
      <c r="AI216" s="705"/>
      <c r="AJ216" s="705"/>
      <c r="AK216" s="705"/>
      <c r="AL216" s="705"/>
    </row>
    <row r="217" spans="2:38">
      <c r="B217" s="2468"/>
      <c r="C217" s="2537"/>
      <c r="D217" s="2538"/>
      <c r="E217" s="2424">
        <v>18817</v>
      </c>
      <c r="F217" s="2423">
        <v>0</v>
      </c>
      <c r="G217" s="2424">
        <v>0</v>
      </c>
      <c r="H217" s="2423">
        <v>108829</v>
      </c>
      <c r="I217" s="2249"/>
      <c r="J217" s="2423">
        <v>0</v>
      </c>
      <c r="K217" s="2424">
        <v>0</v>
      </c>
      <c r="L217" s="2423">
        <v>0</v>
      </c>
      <c r="M217" s="2249"/>
      <c r="N217" s="922"/>
      <c r="O217" s="922"/>
      <c r="P217" s="679"/>
      <c r="Q217" s="706"/>
      <c r="R217" s="707"/>
      <c r="S217" s="706"/>
      <c r="T217" s="706"/>
      <c r="U217" s="706"/>
      <c r="V217" s="706"/>
      <c r="W217" s="706"/>
      <c r="X217" s="706"/>
      <c r="Y217" s="706"/>
      <c r="Z217" s="706"/>
      <c r="AA217" s="706"/>
      <c r="AC217" s="705"/>
      <c r="AD217" s="705"/>
      <c r="AE217" s="705"/>
      <c r="AF217" s="705"/>
      <c r="AG217" s="705"/>
      <c r="AH217" s="705"/>
      <c r="AI217" s="705"/>
      <c r="AJ217" s="705"/>
      <c r="AK217" s="705"/>
      <c r="AL217" s="705"/>
    </row>
    <row r="218" spans="2:38">
      <c r="B218" s="2468"/>
      <c r="C218" s="2537"/>
      <c r="D218" s="2538"/>
      <c r="E218" s="2424">
        <v>46</v>
      </c>
      <c r="F218" s="2423">
        <v>0</v>
      </c>
      <c r="G218" s="2424">
        <v>7</v>
      </c>
      <c r="H218" s="2423">
        <v>24830</v>
      </c>
      <c r="I218" s="2249"/>
      <c r="J218" s="2423">
        <v>96</v>
      </c>
      <c r="K218" s="2424">
        <v>2</v>
      </c>
      <c r="L218" s="2423">
        <v>114</v>
      </c>
      <c r="M218" s="2249"/>
      <c r="N218" s="922"/>
      <c r="O218" s="922"/>
      <c r="P218" s="679"/>
      <c r="Q218" s="706"/>
      <c r="R218" s="707"/>
      <c r="S218" s="706"/>
      <c r="T218" s="706"/>
      <c r="U218" s="706"/>
      <c r="V218" s="706"/>
      <c r="W218" s="706"/>
      <c r="X218" s="706"/>
      <c r="Y218" s="706"/>
      <c r="Z218" s="706"/>
      <c r="AA218" s="706"/>
      <c r="AC218" s="705"/>
      <c r="AD218" s="705"/>
      <c r="AE218" s="705"/>
      <c r="AF218" s="705"/>
      <c r="AG218" s="705"/>
      <c r="AH218" s="705"/>
      <c r="AI218" s="705"/>
      <c r="AJ218" s="705"/>
      <c r="AK218" s="705"/>
      <c r="AL218" s="705"/>
    </row>
    <row r="219" spans="2:38">
      <c r="B219" s="2468" t="s">
        <v>343</v>
      </c>
      <c r="C219" s="2537"/>
      <c r="D219" s="2538">
        <f t="shared" ref="D219:D242" si="53">E219+I219+M219</f>
        <v>-33206</v>
      </c>
      <c r="E219" s="2529">
        <v>360</v>
      </c>
      <c r="F219" s="2528">
        <v>0</v>
      </c>
      <c r="G219" s="2529">
        <v>0</v>
      </c>
      <c r="H219" s="2528">
        <v>-33566</v>
      </c>
      <c r="I219" s="2249">
        <f t="shared" ref="I219:I242" si="54">F219+G219+H219</f>
        <v>-33566</v>
      </c>
      <c r="J219" s="2528">
        <v>0</v>
      </c>
      <c r="K219" s="2529">
        <v>0</v>
      </c>
      <c r="L219" s="2528">
        <v>0</v>
      </c>
      <c r="M219" s="2249">
        <f>L219+K219+J219</f>
        <v>0</v>
      </c>
      <c r="P219" s="679"/>
      <c r="Q219" s="706"/>
      <c r="R219" s="707"/>
      <c r="S219" s="706"/>
      <c r="T219" s="706"/>
      <c r="U219" s="706"/>
      <c r="V219" s="706"/>
      <c r="W219" s="706"/>
      <c r="X219" s="706"/>
      <c r="Y219" s="706"/>
      <c r="Z219" s="706"/>
      <c r="AA219" s="706"/>
      <c r="AC219" s="705"/>
      <c r="AD219" s="705"/>
      <c r="AE219" s="705"/>
      <c r="AF219" s="705"/>
      <c r="AG219" s="705"/>
      <c r="AH219" s="705"/>
      <c r="AI219" s="705"/>
      <c r="AJ219" s="705"/>
      <c r="AK219" s="705"/>
      <c r="AL219" s="705"/>
    </row>
    <row r="220" spans="2:38">
      <c r="B220" s="2468" t="s">
        <v>343</v>
      </c>
      <c r="C220" s="2537"/>
      <c r="D220" s="2538">
        <f t="shared" si="53"/>
        <v>3461</v>
      </c>
      <c r="E220" s="2529">
        <v>0</v>
      </c>
      <c r="F220" s="2528">
        <v>0</v>
      </c>
      <c r="G220" s="2529">
        <v>0</v>
      </c>
      <c r="H220" s="2528">
        <v>3461</v>
      </c>
      <c r="I220" s="2249">
        <f t="shared" si="54"/>
        <v>3461</v>
      </c>
      <c r="J220" s="2528">
        <v>0</v>
      </c>
      <c r="K220" s="2529">
        <v>0</v>
      </c>
      <c r="L220" s="2528">
        <v>0</v>
      </c>
      <c r="M220" s="2249">
        <f>L220+K220+J220</f>
        <v>0</v>
      </c>
      <c r="P220" s="679"/>
      <c r="Q220" s="706"/>
      <c r="R220" s="707"/>
      <c r="S220" s="706"/>
      <c r="T220" s="706"/>
      <c r="U220" s="706"/>
      <c r="V220" s="706"/>
      <c r="W220" s="706"/>
      <c r="X220" s="706"/>
      <c r="Y220" s="706"/>
      <c r="Z220" s="706"/>
      <c r="AA220" s="706"/>
      <c r="AC220" s="705"/>
      <c r="AD220" s="705"/>
      <c r="AE220" s="705"/>
      <c r="AF220" s="705"/>
      <c r="AG220" s="705"/>
      <c r="AH220" s="705"/>
      <c r="AI220" s="705"/>
      <c r="AJ220" s="705"/>
      <c r="AK220" s="705"/>
      <c r="AL220" s="705"/>
    </row>
    <row r="221" spans="2:38">
      <c r="B221" s="2468"/>
      <c r="C221" s="2537"/>
      <c r="D221" s="2538">
        <f t="shared" si="53"/>
        <v>0</v>
      </c>
      <c r="E221" s="2529"/>
      <c r="F221" s="2528"/>
      <c r="G221" s="2529"/>
      <c r="H221" s="2528"/>
      <c r="I221" s="2249">
        <f t="shared" si="54"/>
        <v>0</v>
      </c>
      <c r="J221" s="2528"/>
      <c r="K221" s="2529"/>
      <c r="L221" s="2528"/>
      <c r="M221" s="2249">
        <f>L221+K221+J221</f>
        <v>0</v>
      </c>
      <c r="P221" s="679"/>
      <c r="Q221" s="706"/>
      <c r="R221" s="707"/>
      <c r="S221" s="706"/>
      <c r="T221" s="706"/>
      <c r="U221" s="706"/>
      <c r="V221" s="706"/>
      <c r="W221" s="706"/>
      <c r="X221" s="706"/>
      <c r="Y221" s="706"/>
      <c r="Z221" s="706"/>
      <c r="AA221" s="706"/>
      <c r="AC221" s="705"/>
      <c r="AD221" s="705"/>
      <c r="AE221" s="705"/>
      <c r="AF221" s="705"/>
      <c r="AG221" s="705"/>
      <c r="AH221" s="705"/>
      <c r="AI221" s="705"/>
      <c r="AJ221" s="705"/>
      <c r="AK221" s="705"/>
      <c r="AL221" s="705"/>
    </row>
    <row r="222" spans="2:38">
      <c r="B222" s="2478" t="s">
        <v>344</v>
      </c>
      <c r="C222" s="2539"/>
      <c r="D222" s="2538">
        <f t="shared" si="53"/>
        <v>20046534</v>
      </c>
      <c r="E222" s="2529">
        <f>E209+E211</f>
        <v>1687235</v>
      </c>
      <c r="F222" s="2528">
        <f>F209+F211</f>
        <v>0</v>
      </c>
      <c r="G222" s="2529">
        <f>G209+G211</f>
        <v>121579</v>
      </c>
      <c r="H222" s="2528">
        <f>H209+H211</f>
        <v>17202785</v>
      </c>
      <c r="I222" s="2249">
        <f t="shared" si="54"/>
        <v>17324364</v>
      </c>
      <c r="J222" s="2528">
        <f>J209+J211</f>
        <v>857846</v>
      </c>
      <c r="K222" s="2529">
        <f>K209+K211</f>
        <v>7382</v>
      </c>
      <c r="L222" s="2528">
        <f>L209+L211</f>
        <v>169707</v>
      </c>
      <c r="M222" s="2249">
        <f>L222+K222+J222</f>
        <v>1034935</v>
      </c>
      <c r="N222" s="927"/>
      <c r="O222" s="922"/>
      <c r="P222" s="679"/>
      <c r="Q222" s="706"/>
      <c r="R222" s="707"/>
      <c r="S222" s="706"/>
      <c r="T222" s="706"/>
      <c r="U222" s="706"/>
      <c r="V222" s="706"/>
      <c r="W222" s="706"/>
      <c r="X222" s="706"/>
      <c r="Y222" s="706"/>
      <c r="Z222" s="706"/>
      <c r="AA222" s="706"/>
      <c r="AC222" s="705"/>
      <c r="AD222" s="705"/>
      <c r="AE222" s="705"/>
      <c r="AF222" s="705"/>
      <c r="AG222" s="705"/>
      <c r="AH222" s="705"/>
      <c r="AI222" s="705"/>
      <c r="AJ222" s="705"/>
      <c r="AK222" s="705"/>
      <c r="AL222" s="705"/>
    </row>
    <row r="223" spans="2:38">
      <c r="B223" s="2478"/>
      <c r="C223" s="2539"/>
      <c r="D223" s="2538">
        <f t="shared" si="53"/>
        <v>0</v>
      </c>
      <c r="E223" s="2529"/>
      <c r="F223" s="2528"/>
      <c r="G223" s="2529"/>
      <c r="H223" s="2528"/>
      <c r="I223" s="2249">
        <f t="shared" si="54"/>
        <v>0</v>
      </c>
      <c r="J223" s="2528"/>
      <c r="K223" s="2529"/>
      <c r="L223" s="2528"/>
      <c r="M223" s="2249"/>
      <c r="P223" s="679"/>
      <c r="Q223" s="706"/>
      <c r="R223" s="707"/>
      <c r="S223" s="706"/>
      <c r="T223" s="706"/>
      <c r="U223" s="706"/>
      <c r="V223" s="706"/>
      <c r="W223" s="706"/>
      <c r="X223" s="706"/>
      <c r="Y223" s="706"/>
      <c r="Z223" s="706"/>
      <c r="AA223" s="706"/>
      <c r="AC223" s="705"/>
      <c r="AD223" s="705"/>
      <c r="AE223" s="705"/>
      <c r="AF223" s="705"/>
      <c r="AG223" s="705"/>
      <c r="AH223" s="705"/>
      <c r="AI223" s="705"/>
      <c r="AJ223" s="705"/>
      <c r="AK223" s="705"/>
      <c r="AL223" s="705"/>
    </row>
    <row r="224" spans="2:38">
      <c r="B224" s="2468" t="s">
        <v>345</v>
      </c>
      <c r="C224" s="2537"/>
      <c r="D224" s="2538">
        <f t="shared" si="53"/>
        <v>4638747</v>
      </c>
      <c r="E224" s="2424">
        <v>0</v>
      </c>
      <c r="F224" s="2436">
        <v>0</v>
      </c>
      <c r="G224" s="2424">
        <v>71627</v>
      </c>
      <c r="H224" s="2423">
        <v>4116101</v>
      </c>
      <c r="I224" s="2249">
        <f t="shared" si="54"/>
        <v>4187728</v>
      </c>
      <c r="J224" s="2423">
        <v>451019</v>
      </c>
      <c r="K224" s="2424"/>
      <c r="L224" s="2423"/>
      <c r="M224" s="2249">
        <f t="shared" ref="M224:M242" si="55">L224+K224+J224</f>
        <v>451019</v>
      </c>
      <c r="N224" s="922"/>
      <c r="O224" s="922"/>
      <c r="P224" s="679"/>
      <c r="Q224" s="706"/>
      <c r="R224" s="707"/>
      <c r="S224" s="706"/>
      <c r="T224" s="706"/>
      <c r="U224" s="706"/>
      <c r="V224" s="706"/>
      <c r="W224" s="706"/>
      <c r="X224" s="706"/>
      <c r="Y224" s="706"/>
      <c r="Z224" s="706"/>
      <c r="AA224" s="706"/>
      <c r="AC224" s="705"/>
      <c r="AD224" s="705"/>
      <c r="AE224" s="705"/>
      <c r="AF224" s="705"/>
      <c r="AG224" s="705"/>
      <c r="AH224" s="705"/>
      <c r="AI224" s="705"/>
      <c r="AJ224" s="705"/>
      <c r="AK224" s="705"/>
      <c r="AL224" s="705"/>
    </row>
    <row r="225" spans="2:38">
      <c r="B225" s="2468" t="s">
        <v>346</v>
      </c>
      <c r="C225" s="2537"/>
      <c r="D225" s="2538">
        <f t="shared" si="53"/>
        <v>-185007</v>
      </c>
      <c r="E225" s="2424">
        <v>0</v>
      </c>
      <c r="F225" s="2436">
        <v>0</v>
      </c>
      <c r="G225" s="2424">
        <v>-4135</v>
      </c>
      <c r="H225" s="2423">
        <v>-151243</v>
      </c>
      <c r="I225" s="2249">
        <f t="shared" si="54"/>
        <v>-155378</v>
      </c>
      <c r="J225" s="2423">
        <v>-29629</v>
      </c>
      <c r="K225" s="2424"/>
      <c r="L225" s="2423"/>
      <c r="M225" s="2249">
        <f t="shared" si="55"/>
        <v>-29629</v>
      </c>
      <c r="N225" s="922"/>
      <c r="O225" s="922"/>
      <c r="P225" s="679"/>
      <c r="Q225" s="706"/>
      <c r="R225" s="707"/>
      <c r="S225" s="706"/>
      <c r="T225" s="706"/>
      <c r="U225" s="706"/>
      <c r="V225" s="706"/>
      <c r="W225" s="706"/>
      <c r="X225" s="706"/>
      <c r="Y225" s="706"/>
      <c r="Z225" s="706"/>
      <c r="AA225" s="706"/>
      <c r="AC225" s="705"/>
      <c r="AD225" s="705"/>
      <c r="AE225" s="705"/>
      <c r="AF225" s="705"/>
      <c r="AG225" s="705"/>
      <c r="AH225" s="705"/>
      <c r="AI225" s="705"/>
      <c r="AJ225" s="705"/>
      <c r="AK225" s="705"/>
      <c r="AL225" s="705"/>
    </row>
    <row r="226" spans="2:38">
      <c r="B226" s="2468" t="s">
        <v>347</v>
      </c>
      <c r="C226" s="2537"/>
      <c r="D226" s="2538">
        <f t="shared" si="53"/>
        <v>6623588.0910700001</v>
      </c>
      <c r="E226" s="2424">
        <v>0</v>
      </c>
      <c r="F226" s="2436">
        <v>0</v>
      </c>
      <c r="G226" s="2424">
        <v>-136343</v>
      </c>
      <c r="H226" s="2423">
        <v>6658524.2411500001</v>
      </c>
      <c r="I226" s="2249">
        <f t="shared" si="54"/>
        <v>6522181.2411500001</v>
      </c>
      <c r="J226" s="2423">
        <v>101406.84991999999</v>
      </c>
      <c r="K226" s="2424"/>
      <c r="L226" s="2423"/>
      <c r="M226" s="2249">
        <f t="shared" si="55"/>
        <v>101406.84991999999</v>
      </c>
      <c r="N226" s="922"/>
      <c r="O226" s="922"/>
      <c r="P226" s="679"/>
      <c r="Q226" s="706"/>
      <c r="R226" s="707"/>
      <c r="S226" s="706"/>
      <c r="T226" s="706"/>
      <c r="U226" s="706"/>
      <c r="V226" s="706"/>
      <c r="W226" s="706"/>
      <c r="X226" s="706"/>
      <c r="Y226" s="706"/>
      <c r="Z226" s="706"/>
      <c r="AA226" s="706"/>
      <c r="AC226" s="705"/>
      <c r="AD226" s="705"/>
      <c r="AE226" s="705"/>
      <c r="AF226" s="705"/>
      <c r="AG226" s="705"/>
      <c r="AH226" s="705"/>
      <c r="AI226" s="705"/>
      <c r="AJ226" s="705"/>
      <c r="AK226" s="705"/>
      <c r="AL226" s="705"/>
    </row>
    <row r="227" spans="2:38" ht="12.75" customHeight="1">
      <c r="B227" s="2479" t="s">
        <v>348</v>
      </c>
      <c r="C227" s="2537"/>
      <c r="D227" s="2538">
        <f t="shared" si="53"/>
        <v>0</v>
      </c>
      <c r="E227" s="2424">
        <v>0</v>
      </c>
      <c r="F227" s="2436">
        <v>0</v>
      </c>
      <c r="G227" s="2424">
        <v>0</v>
      </c>
      <c r="H227" s="2423">
        <v>0</v>
      </c>
      <c r="I227" s="2249">
        <f t="shared" si="54"/>
        <v>0</v>
      </c>
      <c r="J227" s="2423">
        <v>0</v>
      </c>
      <c r="K227" s="2424"/>
      <c r="L227" s="2423"/>
      <c r="M227" s="2249">
        <f t="shared" si="55"/>
        <v>0</v>
      </c>
      <c r="N227" s="922"/>
      <c r="O227" s="922"/>
      <c r="P227" s="679"/>
      <c r="Q227" s="706"/>
      <c r="R227" s="707"/>
      <c r="S227" s="706"/>
      <c r="T227" s="706"/>
      <c r="U227" s="706"/>
      <c r="V227" s="706"/>
      <c r="W227" s="706"/>
      <c r="X227" s="706"/>
      <c r="Y227" s="706"/>
      <c r="Z227" s="706"/>
      <c r="AA227" s="706"/>
      <c r="AC227" s="705"/>
      <c r="AD227" s="705"/>
      <c r="AE227" s="705"/>
      <c r="AF227" s="705"/>
      <c r="AG227" s="705"/>
      <c r="AH227" s="705"/>
      <c r="AI227" s="705"/>
      <c r="AJ227" s="705"/>
      <c r="AK227" s="705"/>
      <c r="AL227" s="705"/>
    </row>
    <row r="228" spans="2:38">
      <c r="B228" s="2468" t="s">
        <v>349</v>
      </c>
      <c r="C228" s="2537"/>
      <c r="D228" s="2538">
        <f t="shared" si="53"/>
        <v>0</v>
      </c>
      <c r="E228" s="2424">
        <v>660093.09106999997</v>
      </c>
      <c r="F228" s="2436">
        <v>0</v>
      </c>
      <c r="G228" s="2437">
        <v>0</v>
      </c>
      <c r="H228" s="2436">
        <v>-799788.24115000002</v>
      </c>
      <c r="I228" s="2249">
        <f t="shared" si="54"/>
        <v>-799788.24115000002</v>
      </c>
      <c r="J228" s="2423">
        <v>139695.15007999999</v>
      </c>
      <c r="K228" s="2424"/>
      <c r="L228" s="2423"/>
      <c r="M228" s="2249">
        <f t="shared" si="55"/>
        <v>139695.15007999999</v>
      </c>
      <c r="N228" s="922"/>
      <c r="O228" s="922"/>
      <c r="P228" s="679"/>
      <c r="Q228" s="706"/>
      <c r="R228" s="707"/>
      <c r="S228" s="706"/>
      <c r="T228" s="706"/>
      <c r="U228" s="706"/>
      <c r="V228" s="706"/>
      <c r="W228" s="706"/>
      <c r="X228" s="706"/>
      <c r="Y228" s="706"/>
      <c r="Z228" s="706"/>
      <c r="AA228" s="706"/>
      <c r="AC228" s="705"/>
      <c r="AD228" s="705"/>
      <c r="AE228" s="705"/>
      <c r="AF228" s="705"/>
      <c r="AG228" s="705"/>
      <c r="AH228" s="705"/>
      <c r="AI228" s="705"/>
      <c r="AJ228" s="705"/>
      <c r="AK228" s="705"/>
      <c r="AL228" s="705"/>
    </row>
    <row r="229" spans="2:38">
      <c r="B229" s="2468" t="s">
        <v>350</v>
      </c>
      <c r="C229" s="2537"/>
      <c r="D229" s="2538">
        <f t="shared" si="53"/>
        <v>0</v>
      </c>
      <c r="E229" s="2424">
        <v>0</v>
      </c>
      <c r="F229" s="2436">
        <v>0</v>
      </c>
      <c r="G229" s="2437">
        <v>0</v>
      </c>
      <c r="H229" s="2436">
        <v>0</v>
      </c>
      <c r="I229" s="2249">
        <f t="shared" si="54"/>
        <v>0</v>
      </c>
      <c r="J229" s="2423">
        <v>0</v>
      </c>
      <c r="K229" s="2424">
        <v>0</v>
      </c>
      <c r="L229" s="2423">
        <v>0</v>
      </c>
      <c r="M229" s="2249">
        <f t="shared" si="55"/>
        <v>0</v>
      </c>
      <c r="N229" s="922"/>
      <c r="O229" s="922"/>
      <c r="P229" s="679"/>
      <c r="Q229" s="706"/>
      <c r="R229" s="707"/>
      <c r="S229" s="706"/>
      <c r="T229" s="706"/>
      <c r="U229" s="706"/>
      <c r="V229" s="706"/>
      <c r="W229" s="706"/>
      <c r="X229" s="706"/>
      <c r="Y229" s="706"/>
      <c r="Z229" s="706"/>
      <c r="AA229" s="706"/>
      <c r="AC229" s="705"/>
      <c r="AD229" s="705"/>
      <c r="AE229" s="705"/>
      <c r="AF229" s="705"/>
      <c r="AG229" s="705"/>
      <c r="AH229" s="705"/>
      <c r="AI229" s="705"/>
      <c r="AJ229" s="705"/>
      <c r="AK229" s="705"/>
      <c r="AL229" s="705"/>
    </row>
    <row r="230" spans="2:38">
      <c r="B230" s="2478" t="s">
        <v>351</v>
      </c>
      <c r="C230" s="2539"/>
      <c r="D230" s="2538">
        <f t="shared" si="53"/>
        <v>11077328.09107</v>
      </c>
      <c r="E230" s="2529">
        <f>SUM(E224:E229)</f>
        <v>660093.09106999997</v>
      </c>
      <c r="F230" s="2528">
        <f>SUM(F224:F229)</f>
        <v>0</v>
      </c>
      <c r="G230" s="2529">
        <f>SUM(G224:G229)</f>
        <v>-68851</v>
      </c>
      <c r="H230" s="2528">
        <f>SUM(H224:H229)</f>
        <v>9823594</v>
      </c>
      <c r="I230" s="2249">
        <f t="shared" si="54"/>
        <v>9754743</v>
      </c>
      <c r="J230" s="2528">
        <f>SUM(J224:J229)</f>
        <v>662492</v>
      </c>
      <c r="K230" s="2529">
        <f>SUM(K224:K229)</f>
        <v>0</v>
      </c>
      <c r="L230" s="2528">
        <f>SUM(L224:L229)</f>
        <v>0</v>
      </c>
      <c r="M230" s="2249">
        <f t="shared" si="55"/>
        <v>662492</v>
      </c>
      <c r="N230" s="927"/>
      <c r="O230" s="922"/>
      <c r="P230" s="679"/>
      <c r="Q230" s="706"/>
      <c r="R230" s="707"/>
      <c r="S230" s="706"/>
      <c r="T230" s="706"/>
      <c r="U230" s="706"/>
      <c r="V230" s="706"/>
      <c r="W230" s="706"/>
      <c r="X230" s="706"/>
      <c r="Y230" s="706"/>
      <c r="Z230" s="706"/>
      <c r="AA230" s="706"/>
      <c r="AC230" s="705"/>
      <c r="AD230" s="705"/>
      <c r="AE230" s="705"/>
      <c r="AF230" s="705"/>
      <c r="AG230" s="705"/>
      <c r="AH230" s="705"/>
      <c r="AI230" s="705"/>
      <c r="AJ230" s="705"/>
      <c r="AK230" s="705"/>
      <c r="AL230" s="705"/>
    </row>
    <row r="231" spans="2:38">
      <c r="B231" s="2468"/>
      <c r="C231" s="2537"/>
      <c r="D231" s="2538">
        <f t="shared" si="53"/>
        <v>0</v>
      </c>
      <c r="E231" s="2529"/>
      <c r="F231" s="2528"/>
      <c r="G231" s="2529"/>
      <c r="H231" s="2528"/>
      <c r="I231" s="2249">
        <f t="shared" si="54"/>
        <v>0</v>
      </c>
      <c r="J231" s="2528"/>
      <c r="K231" s="2529"/>
      <c r="L231" s="2528"/>
      <c r="M231" s="2249">
        <f t="shared" si="55"/>
        <v>0</v>
      </c>
      <c r="O231" s="922"/>
      <c r="P231" s="679"/>
      <c r="Q231" s="706"/>
      <c r="R231" s="707"/>
      <c r="S231" s="706"/>
      <c r="T231" s="706"/>
      <c r="U231" s="706"/>
      <c r="V231" s="706"/>
      <c r="W231" s="706"/>
      <c r="X231" s="706"/>
      <c r="Y231" s="706"/>
      <c r="Z231" s="706"/>
      <c r="AA231" s="706"/>
      <c r="AC231" s="705"/>
      <c r="AD231" s="705"/>
      <c r="AE231" s="705"/>
      <c r="AF231" s="705"/>
      <c r="AG231" s="705"/>
      <c r="AH231" s="705"/>
      <c r="AI231" s="705"/>
      <c r="AJ231" s="705"/>
      <c r="AK231" s="705"/>
      <c r="AL231" s="705"/>
    </row>
    <row r="232" spans="2:38" ht="25.5">
      <c r="B232" s="2479" t="s">
        <v>352</v>
      </c>
      <c r="C232" s="2537"/>
      <c r="D232" s="2538">
        <f t="shared" si="53"/>
        <v>1688611</v>
      </c>
      <c r="E232" s="2424">
        <v>0</v>
      </c>
      <c r="F232" s="2423">
        <v>0</v>
      </c>
      <c r="G232" s="2424">
        <v>8356</v>
      </c>
      <c r="H232" s="2423">
        <v>1634960</v>
      </c>
      <c r="I232" s="2249">
        <f t="shared" si="54"/>
        <v>1643316</v>
      </c>
      <c r="J232" s="2534">
        <v>45295</v>
      </c>
      <c r="K232" s="2529"/>
      <c r="L232" s="2528"/>
      <c r="M232" s="2249">
        <f t="shared" si="55"/>
        <v>45295</v>
      </c>
      <c r="N232" s="922"/>
      <c r="O232" s="922"/>
      <c r="P232" s="679"/>
      <c r="Q232" s="706"/>
      <c r="R232" s="707"/>
      <c r="S232" s="706"/>
      <c r="T232" s="706"/>
      <c r="U232" s="706"/>
      <c r="V232" s="706"/>
      <c r="W232" s="706"/>
      <c r="X232" s="706"/>
      <c r="Y232" s="706"/>
      <c r="Z232" s="706"/>
      <c r="AA232" s="706"/>
      <c r="AC232" s="705"/>
      <c r="AD232" s="705"/>
      <c r="AE232" s="705"/>
      <c r="AF232" s="705"/>
      <c r="AG232" s="705"/>
      <c r="AH232" s="705"/>
      <c r="AI232" s="705"/>
      <c r="AJ232" s="705"/>
      <c r="AK232" s="705"/>
      <c r="AL232" s="705"/>
    </row>
    <row r="233" spans="2:38">
      <c r="B233" s="2468"/>
      <c r="C233" s="2537"/>
      <c r="D233" s="2538">
        <f t="shared" si="53"/>
        <v>0</v>
      </c>
      <c r="E233" s="2529"/>
      <c r="F233" s="2528"/>
      <c r="G233" s="2529"/>
      <c r="H233" s="2528"/>
      <c r="I233" s="2249">
        <f t="shared" si="54"/>
        <v>0</v>
      </c>
      <c r="J233" s="2528"/>
      <c r="K233" s="2529"/>
      <c r="L233" s="2528"/>
      <c r="M233" s="2249">
        <f t="shared" si="55"/>
        <v>0</v>
      </c>
      <c r="N233" s="922"/>
      <c r="O233" s="922"/>
      <c r="P233" s="684"/>
      <c r="Q233" s="706"/>
      <c r="R233" s="707"/>
      <c r="S233" s="706"/>
      <c r="T233" s="706"/>
      <c r="U233" s="706"/>
      <c r="V233" s="706"/>
      <c r="W233" s="706"/>
      <c r="X233" s="706"/>
      <c r="Y233" s="706"/>
      <c r="Z233" s="706"/>
      <c r="AA233" s="706"/>
      <c r="AC233" s="705"/>
      <c r="AD233" s="705"/>
      <c r="AE233" s="705"/>
      <c r="AF233" s="705"/>
      <c r="AG233" s="705"/>
      <c r="AH233" s="705"/>
      <c r="AI233" s="705"/>
      <c r="AJ233" s="705"/>
      <c r="AK233" s="705"/>
      <c r="AL233" s="705"/>
    </row>
    <row r="234" spans="2:38" ht="12.75" customHeight="1">
      <c r="B234" s="2479" t="s">
        <v>353</v>
      </c>
      <c r="C234" s="2537">
        <v>4</v>
      </c>
      <c r="D234" s="2538">
        <f t="shared" si="53"/>
        <v>6316364</v>
      </c>
      <c r="E234" s="2424">
        <v>302714</v>
      </c>
      <c r="F234" s="2423">
        <v>0</v>
      </c>
      <c r="G234" s="2424">
        <v>182074</v>
      </c>
      <c r="H234" s="2423">
        <v>5629699</v>
      </c>
      <c r="I234" s="2249">
        <f t="shared" si="54"/>
        <v>5811773</v>
      </c>
      <c r="J234" s="2423">
        <v>149535</v>
      </c>
      <c r="K234" s="2424">
        <v>1210</v>
      </c>
      <c r="L234" s="2423">
        <v>51132</v>
      </c>
      <c r="M234" s="2249">
        <f t="shared" si="55"/>
        <v>201877</v>
      </c>
      <c r="N234" s="922"/>
      <c r="O234" s="922"/>
      <c r="P234" s="684"/>
      <c r="Q234" s="706"/>
      <c r="R234" s="707"/>
      <c r="S234" s="706"/>
      <c r="T234" s="706"/>
      <c r="U234" s="706"/>
      <c r="V234" s="706"/>
      <c r="W234" s="706"/>
      <c r="X234" s="706"/>
      <c r="Y234" s="706"/>
      <c r="Z234" s="706"/>
      <c r="AA234" s="706"/>
      <c r="AC234" s="705"/>
      <c r="AD234" s="705"/>
      <c r="AE234" s="705"/>
      <c r="AF234" s="705"/>
      <c r="AG234" s="705"/>
      <c r="AH234" s="705"/>
      <c r="AI234" s="705"/>
      <c r="AJ234" s="705"/>
      <c r="AK234" s="705"/>
      <c r="AL234" s="705"/>
    </row>
    <row r="235" spans="2:38">
      <c r="B235" s="2468" t="s">
        <v>354</v>
      </c>
      <c r="C235" s="2469"/>
      <c r="D235" s="2538">
        <f t="shared" si="53"/>
        <v>125271</v>
      </c>
      <c r="E235" s="2424">
        <v>0</v>
      </c>
      <c r="F235" s="2423">
        <v>0</v>
      </c>
      <c r="G235" s="2424">
        <v>0</v>
      </c>
      <c r="H235" s="2423">
        <v>0</v>
      </c>
      <c r="I235" s="2249">
        <f t="shared" si="54"/>
        <v>0</v>
      </c>
      <c r="J235" s="2423">
        <v>0</v>
      </c>
      <c r="K235" s="2424">
        <v>6172</v>
      </c>
      <c r="L235" s="2423">
        <v>119099</v>
      </c>
      <c r="M235" s="2249">
        <f t="shared" si="55"/>
        <v>125271</v>
      </c>
      <c r="N235" s="922"/>
      <c r="O235" s="922"/>
      <c r="P235" s="684"/>
      <c r="Q235" s="706"/>
      <c r="R235" s="707"/>
      <c r="S235" s="706"/>
      <c r="T235" s="706"/>
      <c r="U235" s="706"/>
      <c r="V235" s="706"/>
      <c r="W235" s="706"/>
      <c r="X235" s="706"/>
      <c r="Y235" s="706"/>
      <c r="Z235" s="706"/>
      <c r="AA235" s="706"/>
      <c r="AC235" s="705"/>
      <c r="AD235" s="705"/>
      <c r="AE235" s="705"/>
      <c r="AF235" s="705"/>
      <c r="AG235" s="705"/>
      <c r="AH235" s="705"/>
      <c r="AI235" s="705"/>
      <c r="AJ235" s="705"/>
      <c r="AK235" s="705"/>
      <c r="AL235" s="705"/>
    </row>
    <row r="236" spans="2:38">
      <c r="B236" s="2468" t="s">
        <v>355</v>
      </c>
      <c r="C236" s="2537"/>
      <c r="D236" s="2538">
        <f t="shared" si="53"/>
        <v>114532</v>
      </c>
      <c r="E236" s="2424">
        <v>0</v>
      </c>
      <c r="F236" s="2423">
        <v>0</v>
      </c>
      <c r="G236" s="2424">
        <v>0</v>
      </c>
      <c r="H236" s="2423">
        <v>114532</v>
      </c>
      <c r="I236" s="2249">
        <f t="shared" si="54"/>
        <v>114532</v>
      </c>
      <c r="J236" s="2423">
        <v>0</v>
      </c>
      <c r="K236" s="2424">
        <v>0</v>
      </c>
      <c r="L236" s="2423">
        <v>0</v>
      </c>
      <c r="M236" s="2249">
        <f t="shared" si="55"/>
        <v>0</v>
      </c>
      <c r="N236" s="922"/>
      <c r="O236" s="922"/>
      <c r="P236" s="684"/>
      <c r="Q236" s="706"/>
      <c r="R236" s="707"/>
      <c r="S236" s="706"/>
      <c r="T236" s="706"/>
      <c r="U236" s="706"/>
      <c r="V236" s="706"/>
      <c r="W236" s="706"/>
      <c r="X236" s="706"/>
      <c r="Y236" s="706"/>
      <c r="Z236" s="706"/>
      <c r="AA236" s="706"/>
      <c r="AC236" s="705"/>
      <c r="AD236" s="705"/>
      <c r="AE236" s="705"/>
      <c r="AF236" s="705"/>
      <c r="AG236" s="705"/>
      <c r="AH236" s="705"/>
      <c r="AI236" s="705"/>
      <c r="AJ236" s="705"/>
      <c r="AK236" s="705"/>
      <c r="AL236" s="705"/>
    </row>
    <row r="237" spans="2:38">
      <c r="B237" s="2478" t="s">
        <v>356</v>
      </c>
      <c r="C237" s="2539"/>
      <c r="D237" s="2538">
        <f t="shared" si="53"/>
        <v>6556167</v>
      </c>
      <c r="E237" s="2529">
        <f>SUM(E234:E236)</f>
        <v>302714</v>
      </c>
      <c r="F237" s="2528">
        <f>SUM(F234:F236)</f>
        <v>0</v>
      </c>
      <c r="G237" s="2529">
        <f>SUM(G234:G236)</f>
        <v>182074</v>
      </c>
      <c r="H237" s="2528">
        <f>SUM(H234:H236)</f>
        <v>5744231</v>
      </c>
      <c r="I237" s="2249">
        <f t="shared" si="54"/>
        <v>5926305</v>
      </c>
      <c r="J237" s="2528">
        <f>SUM(J234:J236)</f>
        <v>149535</v>
      </c>
      <c r="K237" s="2529">
        <f>SUM(K234:K236)</f>
        <v>7382</v>
      </c>
      <c r="L237" s="2528">
        <f>SUM(L234:L236)</f>
        <v>170231</v>
      </c>
      <c r="M237" s="2249">
        <f t="shared" si="55"/>
        <v>327148</v>
      </c>
      <c r="N237" s="927"/>
      <c r="O237" s="922"/>
      <c r="P237" s="684"/>
      <c r="Q237" s="706"/>
      <c r="R237" s="707"/>
      <c r="S237" s="706"/>
      <c r="T237" s="706"/>
      <c r="U237" s="706"/>
      <c r="V237" s="706"/>
      <c r="W237" s="706"/>
      <c r="X237" s="706"/>
      <c r="Y237" s="706"/>
      <c r="Z237" s="706"/>
      <c r="AA237" s="706"/>
      <c r="AC237" s="705"/>
      <c r="AD237" s="705"/>
      <c r="AE237" s="705"/>
      <c r="AF237" s="705"/>
      <c r="AG237" s="705"/>
      <c r="AH237" s="705"/>
      <c r="AI237" s="705"/>
      <c r="AJ237" s="705"/>
      <c r="AK237" s="705"/>
      <c r="AL237" s="705"/>
    </row>
    <row r="238" spans="2:38">
      <c r="B238" s="2478"/>
      <c r="C238" s="2539"/>
      <c r="D238" s="2538">
        <f t="shared" si="53"/>
        <v>0</v>
      </c>
      <c r="E238" s="2529"/>
      <c r="F238" s="2528"/>
      <c r="G238" s="2529"/>
      <c r="H238" s="2528"/>
      <c r="I238" s="2249">
        <f t="shared" si="54"/>
        <v>0</v>
      </c>
      <c r="J238" s="2528"/>
      <c r="K238" s="2529"/>
      <c r="L238" s="2528"/>
      <c r="M238" s="2249">
        <f t="shared" si="55"/>
        <v>0</v>
      </c>
      <c r="P238" s="684"/>
      <c r="Q238" s="706"/>
      <c r="R238" s="707"/>
      <c r="S238" s="706"/>
      <c r="T238" s="706"/>
      <c r="U238" s="706"/>
      <c r="V238" s="706"/>
      <c r="W238" s="706"/>
      <c r="X238" s="706"/>
      <c r="Y238" s="706"/>
      <c r="Z238" s="706"/>
      <c r="AA238" s="706"/>
      <c r="AC238" s="705"/>
      <c r="AD238" s="705"/>
      <c r="AE238" s="705"/>
      <c r="AF238" s="705"/>
      <c r="AG238" s="705"/>
      <c r="AH238" s="705"/>
      <c r="AI238" s="705"/>
      <c r="AJ238" s="705"/>
      <c r="AK238" s="705"/>
      <c r="AL238" s="705"/>
    </row>
    <row r="239" spans="2:38">
      <c r="B239" s="2478" t="s">
        <v>357</v>
      </c>
      <c r="C239" s="2539"/>
      <c r="D239" s="2538">
        <f t="shared" si="53"/>
        <v>724427.90893000003</v>
      </c>
      <c r="E239" s="2529">
        <f>E222-E230-E232-E237</f>
        <v>724427.90893000003</v>
      </c>
      <c r="F239" s="2528">
        <f>F222-F230-F232-F237</f>
        <v>0</v>
      </c>
      <c r="G239" s="2529">
        <f>G222-G230-G232-G237</f>
        <v>0</v>
      </c>
      <c r="H239" s="2528">
        <f>H222-H230-H232-H237</f>
        <v>0</v>
      </c>
      <c r="I239" s="2249">
        <f t="shared" si="54"/>
        <v>0</v>
      </c>
      <c r="J239" s="2528">
        <f>J222-J230-J232-J237</f>
        <v>524</v>
      </c>
      <c r="K239" s="2529">
        <f>K222-K230-K232-K237</f>
        <v>0</v>
      </c>
      <c r="L239" s="2528">
        <f>L222-L230-L232-L237</f>
        <v>-524</v>
      </c>
      <c r="M239" s="2249">
        <f t="shared" si="55"/>
        <v>0</v>
      </c>
      <c r="N239" s="927"/>
      <c r="O239" s="922"/>
      <c r="P239" s="684"/>
      <c r="Q239" s="706"/>
      <c r="R239" s="707"/>
      <c r="S239" s="706"/>
      <c r="T239" s="706"/>
      <c r="U239" s="706"/>
      <c r="V239" s="706"/>
      <c r="W239" s="706"/>
      <c r="X239" s="706"/>
      <c r="Y239" s="706"/>
      <c r="Z239" s="706"/>
      <c r="AA239" s="706"/>
      <c r="AC239" s="705"/>
      <c r="AD239" s="705"/>
      <c r="AE239" s="705"/>
      <c r="AF239" s="705"/>
      <c r="AG239" s="705"/>
      <c r="AH239" s="705"/>
      <c r="AI239" s="705"/>
      <c r="AJ239" s="705"/>
      <c r="AK239" s="705"/>
      <c r="AL239" s="705"/>
    </row>
    <row r="240" spans="2:38">
      <c r="B240" s="2468" t="s">
        <v>358</v>
      </c>
      <c r="C240" s="2537"/>
      <c r="D240" s="2538">
        <f t="shared" si="53"/>
        <v>275826</v>
      </c>
      <c r="E240" s="2533">
        <v>275826</v>
      </c>
      <c r="F240" s="2423"/>
      <c r="G240" s="2424"/>
      <c r="H240" s="2423"/>
      <c r="I240" s="2249">
        <f t="shared" si="54"/>
        <v>0</v>
      </c>
      <c r="J240" s="2423"/>
      <c r="K240" s="2424"/>
      <c r="L240" s="2423"/>
      <c r="M240" s="2249">
        <f t="shared" si="55"/>
        <v>0</v>
      </c>
      <c r="N240" s="922"/>
      <c r="O240" s="922"/>
      <c r="P240" s="684"/>
      <c r="Q240" s="706"/>
      <c r="R240" s="707"/>
      <c r="S240" s="706"/>
      <c r="T240" s="706"/>
      <c r="U240" s="706"/>
      <c r="V240" s="706"/>
      <c r="W240" s="706"/>
      <c r="X240" s="706"/>
      <c r="Y240" s="706"/>
      <c r="Z240" s="706"/>
      <c r="AA240" s="706"/>
      <c r="AC240" s="705"/>
      <c r="AD240" s="705"/>
      <c r="AE240" s="705"/>
      <c r="AF240" s="705"/>
      <c r="AG240" s="705"/>
      <c r="AH240" s="705"/>
      <c r="AI240" s="705"/>
      <c r="AJ240" s="705"/>
      <c r="AK240" s="705"/>
      <c r="AL240" s="705"/>
    </row>
    <row r="241" spans="1:38">
      <c r="B241" s="2468"/>
      <c r="C241" s="2537"/>
      <c r="D241" s="1666">
        <f t="shared" si="53"/>
        <v>0</v>
      </c>
      <c r="E241" s="2535"/>
      <c r="F241" s="953"/>
      <c r="G241" s="2535"/>
      <c r="H241" s="953"/>
      <c r="I241" s="2496">
        <f t="shared" si="54"/>
        <v>0</v>
      </c>
      <c r="J241" s="953"/>
      <c r="K241" s="2535"/>
      <c r="L241" s="953"/>
      <c r="M241" s="2496">
        <f t="shared" si="55"/>
        <v>0</v>
      </c>
      <c r="P241" s="684"/>
      <c r="Q241" s="706"/>
      <c r="R241" s="707"/>
      <c r="S241" s="706"/>
      <c r="T241" s="706"/>
      <c r="U241" s="706"/>
      <c r="V241" s="706"/>
      <c r="W241" s="706"/>
      <c r="X241" s="706"/>
      <c r="Y241" s="706"/>
      <c r="Z241" s="706"/>
      <c r="AA241" s="706"/>
      <c r="AC241" s="705"/>
      <c r="AD241" s="705"/>
      <c r="AE241" s="705"/>
      <c r="AF241" s="705"/>
      <c r="AG241" s="705"/>
      <c r="AH241" s="705"/>
      <c r="AI241" s="705"/>
      <c r="AJ241" s="705"/>
      <c r="AK241" s="705"/>
      <c r="AL241" s="705"/>
    </row>
    <row r="242" spans="1:38" ht="13.5" thickBot="1">
      <c r="B242" s="1611" t="s">
        <v>359</v>
      </c>
      <c r="C242" s="1622"/>
      <c r="D242" s="1667">
        <f t="shared" si="53"/>
        <v>448601.90893000003</v>
      </c>
      <c r="E242" s="1618">
        <f>E239-E240</f>
        <v>448601.90893000003</v>
      </c>
      <c r="F242" s="1630">
        <f>F239-F240</f>
        <v>0</v>
      </c>
      <c r="G242" s="1618">
        <f>G239-G240</f>
        <v>0</v>
      </c>
      <c r="H242" s="1630">
        <f>H239-H240</f>
        <v>0</v>
      </c>
      <c r="I242" s="1618">
        <f t="shared" si="54"/>
        <v>0</v>
      </c>
      <c r="J242" s="1630">
        <f>J239-J240</f>
        <v>524</v>
      </c>
      <c r="K242" s="1618">
        <f>K239-K240</f>
        <v>0</v>
      </c>
      <c r="L242" s="1630">
        <f>L239-L240</f>
        <v>-524</v>
      </c>
      <c r="M242" s="1618">
        <f t="shared" si="55"/>
        <v>0</v>
      </c>
      <c r="N242" s="927"/>
      <c r="O242" s="922"/>
      <c r="P242" s="684"/>
      <c r="Q242" s="706"/>
      <c r="R242" s="707"/>
      <c r="S242" s="706"/>
      <c r="T242" s="706"/>
      <c r="U242" s="706"/>
      <c r="V242" s="706"/>
      <c r="W242" s="706"/>
      <c r="X242" s="706"/>
      <c r="Y242" s="706"/>
      <c r="Z242" s="706"/>
      <c r="AA242" s="706"/>
      <c r="AC242" s="705"/>
      <c r="AD242" s="705"/>
      <c r="AE242" s="705"/>
      <c r="AF242" s="705"/>
      <c r="AG242" s="705"/>
      <c r="AH242" s="705"/>
      <c r="AI242" s="705"/>
      <c r="AJ242" s="705"/>
      <c r="AK242" s="705"/>
      <c r="AL242" s="705"/>
    </row>
    <row r="243" spans="1:38">
      <c r="R243" s="179"/>
      <c r="S243" s="699"/>
      <c r="T243" s="699"/>
      <c r="U243" s="699"/>
      <c r="V243" s="699"/>
      <c r="W243" s="699"/>
      <c r="X243" s="699"/>
      <c r="Y243" s="699"/>
      <c r="Z243" s="699"/>
      <c r="AA243" s="699"/>
    </row>
    <row r="244" spans="1:38">
      <c r="M244" s="912">
        <v>68</v>
      </c>
      <c r="R244" s="179"/>
      <c r="S244" s="699"/>
      <c r="T244" s="699"/>
      <c r="U244" s="699"/>
      <c r="V244" s="699"/>
      <c r="W244" s="699"/>
      <c r="X244" s="699"/>
      <c r="Y244" s="699"/>
      <c r="Z244" s="699"/>
      <c r="AA244" s="699"/>
    </row>
    <row r="245" spans="1:38">
      <c r="R245" s="179"/>
      <c r="S245" s="699"/>
      <c r="T245" s="699"/>
      <c r="U245" s="699"/>
      <c r="V245" s="699"/>
      <c r="W245" s="699"/>
      <c r="X245" s="699"/>
      <c r="Y245" s="699"/>
      <c r="Z245" s="699"/>
      <c r="AA245" s="699"/>
    </row>
    <row r="246" spans="1:38" ht="12.75" customHeight="1" thickBot="1">
      <c r="C246" s="937"/>
      <c r="R246" s="179"/>
      <c r="S246" s="699"/>
      <c r="T246" s="699"/>
      <c r="U246" s="699"/>
      <c r="V246" s="699"/>
      <c r="W246" s="699"/>
      <c r="X246" s="699"/>
      <c r="Y246" s="699"/>
      <c r="Z246" s="699"/>
      <c r="AA246" s="699"/>
    </row>
    <row r="247" spans="1:38" ht="15.75" customHeight="1" thickBot="1">
      <c r="A247" s="1368" t="s">
        <v>180</v>
      </c>
      <c r="B247" s="1368" t="s">
        <v>321</v>
      </c>
      <c r="C247" s="937"/>
      <c r="L247" s="3538" t="s">
        <v>251</v>
      </c>
      <c r="M247" s="3538"/>
      <c r="R247" s="179"/>
      <c r="S247" s="699"/>
      <c r="T247" s="699"/>
      <c r="U247" s="699"/>
      <c r="V247" s="699"/>
      <c r="W247" s="699"/>
      <c r="X247" s="699"/>
      <c r="Y247" s="699"/>
      <c r="Z247" s="699"/>
      <c r="AA247" s="699"/>
    </row>
    <row r="248" spans="1:38" ht="12.75" customHeight="1" thickBot="1">
      <c r="B248" s="3578" t="s">
        <v>321</v>
      </c>
      <c r="C248" s="3523" t="s">
        <v>325</v>
      </c>
      <c r="D248" s="3518" t="s">
        <v>255</v>
      </c>
      <c r="E248" s="3518" t="s">
        <v>326</v>
      </c>
      <c r="F248" s="3574" t="s">
        <v>258</v>
      </c>
      <c r="G248" s="3574"/>
      <c r="H248" s="3574"/>
      <c r="I248" s="3574"/>
      <c r="J248" s="3574"/>
      <c r="K248" s="3574"/>
      <c r="L248" s="3574"/>
      <c r="M248" s="3574"/>
      <c r="R248" s="179"/>
      <c r="S248" s="699"/>
      <c r="T248" s="699"/>
      <c r="U248" s="699"/>
      <c r="V248" s="699"/>
      <c r="W248" s="699"/>
      <c r="X248" s="699"/>
      <c r="Y248" s="699"/>
      <c r="Z248" s="699"/>
      <c r="AA248" s="699"/>
    </row>
    <row r="249" spans="1:38" ht="12.75" customHeight="1" thickBot="1">
      <c r="B249" s="3571"/>
      <c r="C249" s="3524"/>
      <c r="D249" s="3520"/>
      <c r="E249" s="3520"/>
      <c r="F249" s="3575" t="s">
        <v>259</v>
      </c>
      <c r="G249" s="3576"/>
      <c r="H249" s="3576"/>
      <c r="I249" s="3577"/>
      <c r="J249" s="3574" t="s">
        <v>327</v>
      </c>
      <c r="K249" s="3574"/>
      <c r="L249" s="3574"/>
      <c r="M249" s="3574"/>
      <c r="R249" s="179"/>
      <c r="S249" s="699"/>
      <c r="T249" s="699"/>
      <c r="U249" s="699"/>
      <c r="V249" s="699"/>
      <c r="W249" s="699"/>
      <c r="X249" s="699"/>
      <c r="Y249" s="699"/>
      <c r="Z249" s="699"/>
      <c r="AA249" s="699"/>
    </row>
    <row r="250" spans="1:38" ht="57" customHeight="1" thickBot="1">
      <c r="B250" s="3571"/>
      <c r="C250" s="3524"/>
      <c r="D250" s="3519"/>
      <c r="E250" s="3519"/>
      <c r="F250" s="1339" t="s">
        <v>261</v>
      </c>
      <c r="G250" s="1339" t="s">
        <v>262</v>
      </c>
      <c r="H250" s="1339" t="s">
        <v>263</v>
      </c>
      <c r="I250" s="1339" t="s">
        <v>158</v>
      </c>
      <c r="J250" s="1588" t="s">
        <v>328</v>
      </c>
      <c r="K250" s="1588" t="s">
        <v>265</v>
      </c>
      <c r="L250" s="1588" t="s">
        <v>329</v>
      </c>
      <c r="M250" s="1588" t="s">
        <v>158</v>
      </c>
      <c r="R250" s="179"/>
      <c r="S250" s="699"/>
      <c r="T250" s="699"/>
      <c r="U250" s="699"/>
      <c r="V250" s="699"/>
      <c r="W250" s="699"/>
      <c r="X250" s="699"/>
      <c r="Y250" s="699"/>
      <c r="Z250" s="699"/>
      <c r="AA250" s="699"/>
    </row>
    <row r="251" spans="1:38" ht="12.75" customHeight="1" thickBot="1">
      <c r="B251" s="3571"/>
      <c r="C251" s="3524"/>
      <c r="D251" s="1589">
        <v>1</v>
      </c>
      <c r="E251" s="3518">
        <v>2</v>
      </c>
      <c r="F251" s="3518">
        <v>3</v>
      </c>
      <c r="G251" s="3518">
        <v>4</v>
      </c>
      <c r="H251" s="1339"/>
      <c r="I251" s="1589">
        <v>6</v>
      </c>
      <c r="J251" s="3518">
        <v>7</v>
      </c>
      <c r="K251" s="3518">
        <v>8</v>
      </c>
      <c r="L251" s="3518">
        <v>9</v>
      </c>
      <c r="M251" s="1589">
        <v>10</v>
      </c>
      <c r="P251" s="679"/>
      <c r="R251" s="179"/>
      <c r="S251" s="699"/>
      <c r="T251" s="699"/>
      <c r="U251" s="699"/>
      <c r="V251" s="699"/>
      <c r="W251" s="699"/>
      <c r="X251" s="699"/>
      <c r="Y251" s="699"/>
      <c r="Z251" s="699"/>
      <c r="AA251" s="699"/>
    </row>
    <row r="252" spans="1:38" ht="13.5" thickBot="1">
      <c r="B252" s="3572"/>
      <c r="C252" s="3525"/>
      <c r="D252" s="1590" t="s">
        <v>330</v>
      </c>
      <c r="E252" s="3519"/>
      <c r="F252" s="3519"/>
      <c r="G252" s="3519"/>
      <c r="H252" s="1590">
        <v>5</v>
      </c>
      <c r="I252" s="1590" t="s">
        <v>331</v>
      </c>
      <c r="J252" s="3519"/>
      <c r="K252" s="3519"/>
      <c r="L252" s="3519"/>
      <c r="M252" s="1590" t="s">
        <v>332</v>
      </c>
      <c r="N252" s="703"/>
      <c r="O252" s="703"/>
      <c r="P252" s="679"/>
      <c r="R252" s="179"/>
      <c r="S252" s="699"/>
      <c r="T252" s="699"/>
      <c r="U252" s="699"/>
      <c r="V252" s="699"/>
      <c r="W252" s="699"/>
      <c r="X252" s="699"/>
      <c r="Y252" s="699"/>
      <c r="Z252" s="699"/>
      <c r="AA252" s="699"/>
    </row>
    <row r="253" spans="1:38">
      <c r="B253" s="1609" t="s">
        <v>333</v>
      </c>
      <c r="C253" s="2540"/>
      <c r="D253" s="1621">
        <f t="shared" ref="D253:D290" si="56">E253+I253+M253</f>
        <v>767231.68499999994</v>
      </c>
      <c r="E253" s="967">
        <v>0</v>
      </c>
      <c r="F253" s="968"/>
      <c r="G253" s="967">
        <v>71471.426000000007</v>
      </c>
      <c r="H253" s="969"/>
      <c r="I253" s="1441">
        <f t="shared" ref="I253:I290" si="57">F253+G253+H253</f>
        <v>71471.426000000007</v>
      </c>
      <c r="J253" s="969">
        <v>156709.81600000002</v>
      </c>
      <c r="K253" s="967"/>
      <c r="L253" s="969">
        <v>539050.44299999997</v>
      </c>
      <c r="M253" s="1441">
        <f t="shared" ref="M253:M270" si="58">L253+K253+J253</f>
        <v>695760.25899999996</v>
      </c>
      <c r="N253" s="922"/>
      <c r="O253" s="922"/>
      <c r="P253" s="109"/>
      <c r="Q253" s="706"/>
      <c r="R253" s="707"/>
      <c r="S253" s="706"/>
      <c r="T253" s="708"/>
      <c r="U253" s="706"/>
      <c r="V253" s="706"/>
      <c r="W253" s="706"/>
      <c r="X253" s="706"/>
      <c r="Y253" s="706"/>
      <c r="Z253" s="706"/>
      <c r="AA253" s="706"/>
    </row>
    <row r="254" spans="1:38">
      <c r="B254" s="2468"/>
      <c r="C254" s="2540"/>
      <c r="D254" s="2493">
        <f t="shared" si="56"/>
        <v>0</v>
      </c>
      <c r="E254" s="2424"/>
      <c r="F254" s="2436"/>
      <c r="G254" s="2424"/>
      <c r="H254" s="2423"/>
      <c r="I254" s="2249">
        <f t="shared" si="57"/>
        <v>0</v>
      </c>
      <c r="J254" s="2423"/>
      <c r="K254" s="2424"/>
      <c r="L254" s="2423"/>
      <c r="M254" s="2249">
        <f t="shared" si="58"/>
        <v>0</v>
      </c>
      <c r="P254" s="109"/>
      <c r="Q254" s="706"/>
      <c r="R254" s="707"/>
      <c r="S254" s="706"/>
      <c r="T254" s="708"/>
      <c r="U254" s="706"/>
      <c r="V254" s="706"/>
      <c r="W254" s="706"/>
      <c r="X254" s="706"/>
      <c r="Y254" s="706"/>
      <c r="Z254" s="706"/>
      <c r="AA254" s="706"/>
    </row>
    <row r="255" spans="1:38">
      <c r="B255" s="2473" t="s">
        <v>334</v>
      </c>
      <c r="C255" s="2540"/>
      <c r="D255" s="2493">
        <f t="shared" si="56"/>
        <v>23837.484000000004</v>
      </c>
      <c r="E255" s="2424">
        <v>0</v>
      </c>
      <c r="F255" s="2436"/>
      <c r="G255" s="2424">
        <v>9389.0540000000019</v>
      </c>
      <c r="H255" s="2423"/>
      <c r="I255" s="2249">
        <f t="shared" si="57"/>
        <v>9389.0540000000019</v>
      </c>
      <c r="J255" s="2423">
        <v>14448.43</v>
      </c>
      <c r="K255" s="2424"/>
      <c r="L255" s="2423">
        <v>0</v>
      </c>
      <c r="M255" s="2249">
        <f t="shared" si="58"/>
        <v>14448.43</v>
      </c>
      <c r="N255" s="922"/>
      <c r="O255" s="922"/>
      <c r="P255" s="109"/>
      <c r="Q255" s="706"/>
      <c r="R255" s="707"/>
      <c r="S255" s="706"/>
      <c r="T255" s="708"/>
      <c r="U255" s="706"/>
      <c r="V255" s="706"/>
      <c r="W255" s="706"/>
      <c r="X255" s="706"/>
      <c r="Y255" s="706"/>
      <c r="Z255" s="706"/>
      <c r="AA255" s="706"/>
    </row>
    <row r="256" spans="1:38">
      <c r="B256" s="2473"/>
      <c r="C256" s="2540"/>
      <c r="D256" s="2493">
        <f t="shared" si="56"/>
        <v>0</v>
      </c>
      <c r="E256" s="2424"/>
      <c r="F256" s="2436"/>
      <c r="G256" s="2424"/>
      <c r="H256" s="2423"/>
      <c r="I256" s="2249">
        <f t="shared" si="57"/>
        <v>0</v>
      </c>
      <c r="J256" s="2423"/>
      <c r="K256" s="2424"/>
      <c r="L256" s="2423"/>
      <c r="M256" s="2249">
        <f t="shared" si="58"/>
        <v>0</v>
      </c>
      <c r="P256" s="109"/>
      <c r="Q256" s="706"/>
      <c r="R256" s="707"/>
      <c r="S256" s="706"/>
      <c r="T256" s="708"/>
      <c r="U256" s="706"/>
      <c r="V256" s="706"/>
      <c r="W256" s="706"/>
      <c r="X256" s="706"/>
      <c r="Y256" s="706"/>
      <c r="Z256" s="706"/>
      <c r="AA256" s="706"/>
    </row>
    <row r="257" spans="2:27" ht="12.75" customHeight="1">
      <c r="B257" s="2474" t="s">
        <v>335</v>
      </c>
      <c r="C257" s="2540"/>
      <c r="D257" s="2493">
        <f t="shared" si="56"/>
        <v>-641.32399999999996</v>
      </c>
      <c r="E257" s="2424">
        <v>0</v>
      </c>
      <c r="F257" s="2436"/>
      <c r="G257" s="2424">
        <v>-641.32399999999996</v>
      </c>
      <c r="H257" s="2423"/>
      <c r="I257" s="2249">
        <f t="shared" si="57"/>
        <v>-641.32399999999996</v>
      </c>
      <c r="J257" s="2423">
        <v>0</v>
      </c>
      <c r="K257" s="2424"/>
      <c r="L257" s="2423">
        <v>0</v>
      </c>
      <c r="M257" s="2249">
        <f t="shared" si="58"/>
        <v>0</v>
      </c>
      <c r="N257" s="922"/>
      <c r="O257" s="922"/>
      <c r="P257" s="109"/>
      <c r="Q257" s="706"/>
      <c r="R257" s="707"/>
      <c r="S257" s="706"/>
      <c r="T257" s="708"/>
      <c r="U257" s="706"/>
      <c r="V257" s="706"/>
      <c r="W257" s="706"/>
      <c r="X257" s="706"/>
      <c r="Y257" s="706"/>
      <c r="Z257" s="706"/>
      <c r="AA257" s="706"/>
    </row>
    <row r="258" spans="2:27">
      <c r="B258" s="2468"/>
      <c r="C258" s="2540"/>
      <c r="D258" s="2493">
        <f t="shared" si="56"/>
        <v>0</v>
      </c>
      <c r="E258" s="2424"/>
      <c r="F258" s="2436"/>
      <c r="G258" s="2424"/>
      <c r="H258" s="2423"/>
      <c r="I258" s="2249">
        <f t="shared" si="57"/>
        <v>0</v>
      </c>
      <c r="J258" s="2423"/>
      <c r="K258" s="2424"/>
      <c r="L258" s="2423"/>
      <c r="M258" s="2249">
        <f t="shared" si="58"/>
        <v>0</v>
      </c>
      <c r="P258" s="109"/>
      <c r="Q258" s="706"/>
      <c r="R258" s="707"/>
      <c r="S258" s="706"/>
      <c r="T258" s="708"/>
      <c r="U258" s="706"/>
      <c r="V258" s="706"/>
      <c r="W258" s="706"/>
      <c r="X258" s="706"/>
      <c r="Y258" s="706"/>
      <c r="Z258" s="706"/>
      <c r="AA258" s="706"/>
    </row>
    <row r="259" spans="2:27">
      <c r="B259" s="2475" t="s">
        <v>336</v>
      </c>
      <c r="C259" s="2541"/>
      <c r="D259" s="2493">
        <f t="shared" si="56"/>
        <v>742752.87699999998</v>
      </c>
      <c r="E259" s="2529">
        <f>E253-E255+E257</f>
        <v>0</v>
      </c>
      <c r="F259" s="2528">
        <f>F253-F255+F257</f>
        <v>0</v>
      </c>
      <c r="G259" s="2529">
        <f>G253-G255+G257</f>
        <v>61441.048000000003</v>
      </c>
      <c r="H259" s="2528">
        <f>H253-H255+H257</f>
        <v>0</v>
      </c>
      <c r="I259" s="2249">
        <f t="shared" si="57"/>
        <v>61441.048000000003</v>
      </c>
      <c r="J259" s="2528">
        <f>J253-J255+J257</f>
        <v>142261.38600000003</v>
      </c>
      <c r="K259" s="2529">
        <f>K253-K255+K257</f>
        <v>0</v>
      </c>
      <c r="L259" s="2528">
        <f>L253-L255+L257</f>
        <v>539050.44299999997</v>
      </c>
      <c r="M259" s="2249">
        <f t="shared" si="58"/>
        <v>681311.82900000003</v>
      </c>
      <c r="N259" s="927"/>
      <c r="O259" s="922"/>
      <c r="P259" s="109"/>
      <c r="Q259" s="706"/>
      <c r="R259" s="707"/>
      <c r="S259" s="706"/>
      <c r="T259" s="708"/>
      <c r="U259" s="706"/>
      <c r="V259" s="706"/>
      <c r="W259" s="706"/>
      <c r="X259" s="706"/>
      <c r="Y259" s="706"/>
      <c r="Z259" s="706"/>
      <c r="AA259" s="706"/>
    </row>
    <row r="260" spans="2:27">
      <c r="B260" s="2475"/>
      <c r="C260" s="2541"/>
      <c r="D260" s="2493">
        <f t="shared" si="56"/>
        <v>0</v>
      </c>
      <c r="E260" s="2529"/>
      <c r="F260" s="2528"/>
      <c r="G260" s="2529"/>
      <c r="H260" s="2528"/>
      <c r="I260" s="2249">
        <f t="shared" si="57"/>
        <v>0</v>
      </c>
      <c r="J260" s="2528"/>
      <c r="K260" s="2529"/>
      <c r="L260" s="2528"/>
      <c r="M260" s="2249">
        <f t="shared" si="58"/>
        <v>0</v>
      </c>
      <c r="P260" s="109"/>
      <c r="Q260" s="706"/>
      <c r="R260" s="707"/>
      <c r="S260" s="706"/>
      <c r="T260" s="708"/>
      <c r="U260" s="706"/>
      <c r="V260" s="706"/>
      <c r="W260" s="706"/>
      <c r="X260" s="706"/>
      <c r="Y260" s="706"/>
      <c r="Z260" s="706"/>
      <c r="AA260" s="706"/>
    </row>
    <row r="261" spans="2:27">
      <c r="B261" s="2475" t="s">
        <v>337</v>
      </c>
      <c r="C261" s="2541"/>
      <c r="D261" s="2493">
        <f t="shared" si="56"/>
        <v>313942.79399999999</v>
      </c>
      <c r="E261" s="2529">
        <f>SUM(E262:E266)</f>
        <v>405097.609</v>
      </c>
      <c r="F261" s="2528">
        <f>SUM(F262:F266)</f>
        <v>0</v>
      </c>
      <c r="G261" s="2529">
        <f>SUM(G262:G266)</f>
        <v>7434.3719999999958</v>
      </c>
      <c r="H261" s="2528"/>
      <c r="I261" s="2249">
        <f t="shared" si="57"/>
        <v>7434.3719999999958</v>
      </c>
      <c r="J261" s="2528">
        <f>SUM(J262:J266)</f>
        <v>-72519.206999999995</v>
      </c>
      <c r="K261" s="2529">
        <f>SUM(K262:K266)</f>
        <v>0</v>
      </c>
      <c r="L261" s="2528">
        <f>SUM(L262:L266)</f>
        <v>-26069.98000000001</v>
      </c>
      <c r="M261" s="2249">
        <f t="shared" si="58"/>
        <v>-98589.187000000005</v>
      </c>
      <c r="N261" s="927"/>
      <c r="O261" s="922"/>
      <c r="P261" s="109"/>
      <c r="Q261" s="706"/>
      <c r="R261" s="707"/>
      <c r="S261" s="706"/>
      <c r="T261" s="708"/>
      <c r="U261" s="706"/>
      <c r="V261" s="706"/>
      <c r="W261" s="706"/>
      <c r="X261" s="706"/>
      <c r="Y261" s="706"/>
      <c r="Z261" s="706"/>
      <c r="AA261" s="706"/>
    </row>
    <row r="262" spans="2:27">
      <c r="B262" s="2468" t="s">
        <v>338</v>
      </c>
      <c r="C262" s="2540">
        <v>1</v>
      </c>
      <c r="D262" s="2493">
        <f t="shared" si="56"/>
        <v>272161.49699999997</v>
      </c>
      <c r="E262" s="2424">
        <v>47889.306000000004</v>
      </c>
      <c r="F262" s="2436"/>
      <c r="G262" s="2424">
        <v>39985.841999999997</v>
      </c>
      <c r="H262" s="2423"/>
      <c r="I262" s="2249">
        <f t="shared" si="57"/>
        <v>39985.841999999997</v>
      </c>
      <c r="J262" s="2423">
        <v>1804.47</v>
      </c>
      <c r="K262" s="2424"/>
      <c r="L262" s="2423">
        <v>182481.87899999999</v>
      </c>
      <c r="M262" s="2249">
        <f t="shared" si="58"/>
        <v>184286.34899999999</v>
      </c>
      <c r="N262" s="922"/>
      <c r="O262" s="922"/>
      <c r="P262" s="109"/>
      <c r="Q262" s="706"/>
      <c r="R262" s="707"/>
      <c r="S262" s="706"/>
      <c r="T262" s="708"/>
      <c r="U262" s="706"/>
      <c r="V262" s="706"/>
      <c r="W262" s="706"/>
      <c r="X262" s="706"/>
      <c r="Y262" s="706"/>
      <c r="Z262" s="706"/>
      <c r="AA262" s="706"/>
    </row>
    <row r="263" spans="2:27">
      <c r="B263" s="2468" t="s">
        <v>339</v>
      </c>
      <c r="C263" s="2540">
        <v>2</v>
      </c>
      <c r="D263" s="2493">
        <f t="shared" si="56"/>
        <v>0</v>
      </c>
      <c r="E263" s="2424">
        <v>303378.58100000001</v>
      </c>
      <c r="F263" s="2436"/>
      <c r="G263" s="2424">
        <v>-32551.47</v>
      </c>
      <c r="H263" s="2423"/>
      <c r="I263" s="2249">
        <f t="shared" si="57"/>
        <v>-32551.47</v>
      </c>
      <c r="J263" s="2423">
        <v>-62275.252</v>
      </c>
      <c r="K263" s="2424"/>
      <c r="L263" s="2423">
        <v>-208551.859</v>
      </c>
      <c r="M263" s="2249">
        <f t="shared" si="58"/>
        <v>-270827.11099999998</v>
      </c>
      <c r="N263" s="922"/>
      <c r="O263" s="922"/>
      <c r="P263" s="109"/>
      <c r="Q263" s="706"/>
      <c r="R263" s="707"/>
      <c r="S263" s="706"/>
      <c r="T263" s="708"/>
      <c r="U263" s="706"/>
      <c r="V263" s="706"/>
      <c r="W263" s="706"/>
      <c r="X263" s="706"/>
      <c r="Y263" s="706"/>
      <c r="Z263" s="706"/>
      <c r="AA263" s="706"/>
    </row>
    <row r="264" spans="2:27">
      <c r="B264" s="2468" t="s">
        <v>340</v>
      </c>
      <c r="C264" s="2540"/>
      <c r="D264" s="2493">
        <f t="shared" si="56"/>
        <v>0</v>
      </c>
      <c r="E264" s="2424">
        <v>0</v>
      </c>
      <c r="F264" s="2436"/>
      <c r="G264" s="2424">
        <v>0</v>
      </c>
      <c r="H264" s="2423"/>
      <c r="I264" s="2249">
        <f t="shared" si="57"/>
        <v>0</v>
      </c>
      <c r="J264" s="2423">
        <v>0</v>
      </c>
      <c r="K264" s="2424"/>
      <c r="L264" s="2423">
        <v>0</v>
      </c>
      <c r="M264" s="2249">
        <f t="shared" si="58"/>
        <v>0</v>
      </c>
      <c r="N264" s="922"/>
      <c r="O264" s="922"/>
      <c r="P264" s="109"/>
      <c r="Q264" s="706"/>
      <c r="R264" s="707"/>
      <c r="S264" s="706"/>
      <c r="T264" s="708"/>
      <c r="U264" s="706"/>
      <c r="V264" s="706"/>
      <c r="W264" s="706"/>
      <c r="X264" s="706"/>
      <c r="Y264" s="706"/>
      <c r="Z264" s="706"/>
      <c r="AA264" s="706"/>
    </row>
    <row r="265" spans="2:27">
      <c r="B265" s="2468" t="s">
        <v>341</v>
      </c>
      <c r="C265" s="2540"/>
      <c r="D265" s="2493">
        <f t="shared" si="56"/>
        <v>0</v>
      </c>
      <c r="E265" s="2424">
        <v>0</v>
      </c>
      <c r="F265" s="2436"/>
      <c r="G265" s="2424">
        <v>0</v>
      </c>
      <c r="H265" s="2423">
        <v>0</v>
      </c>
      <c r="I265" s="2249">
        <f t="shared" si="57"/>
        <v>0</v>
      </c>
      <c r="J265" s="2423">
        <v>0</v>
      </c>
      <c r="K265" s="2424"/>
      <c r="L265" s="2423">
        <v>0</v>
      </c>
      <c r="M265" s="2249">
        <f t="shared" si="58"/>
        <v>0</v>
      </c>
      <c r="N265" s="922"/>
      <c r="O265" s="922"/>
      <c r="P265" s="109"/>
      <c r="Q265" s="706"/>
      <c r="R265" s="707"/>
      <c r="S265" s="706"/>
      <c r="T265" s="708"/>
      <c r="U265" s="706"/>
      <c r="V265" s="706"/>
      <c r="W265" s="706"/>
      <c r="X265" s="706"/>
      <c r="Y265" s="706"/>
      <c r="Z265" s="706"/>
      <c r="AA265" s="706"/>
    </row>
    <row r="266" spans="2:27">
      <c r="B266" s="2468" t="s">
        <v>342</v>
      </c>
      <c r="C266" s="2540">
        <v>3</v>
      </c>
      <c r="D266" s="2493">
        <f t="shared" si="56"/>
        <v>41781.296999999991</v>
      </c>
      <c r="E266" s="2424">
        <v>53829.721999999994</v>
      </c>
      <c r="F266" s="2436"/>
      <c r="G266" s="2424">
        <v>0</v>
      </c>
      <c r="H266" s="2423">
        <v>0</v>
      </c>
      <c r="I266" s="2249">
        <f t="shared" si="57"/>
        <v>0</v>
      </c>
      <c r="J266" s="2423">
        <v>-12048.424999999999</v>
      </c>
      <c r="K266" s="2424"/>
      <c r="L266" s="2423">
        <v>0</v>
      </c>
      <c r="M266" s="2249">
        <f t="shared" si="58"/>
        <v>-12048.424999999999</v>
      </c>
      <c r="N266" s="922"/>
      <c r="O266" s="922"/>
      <c r="P266" s="109"/>
      <c r="Q266" s="706"/>
      <c r="R266" s="707"/>
      <c r="S266" s="706"/>
      <c r="T266" s="708"/>
      <c r="U266" s="706"/>
      <c r="V266" s="706"/>
      <c r="W266" s="706"/>
      <c r="X266" s="706"/>
      <c r="Y266" s="706"/>
      <c r="Z266" s="706"/>
      <c r="AA266" s="706"/>
    </row>
    <row r="267" spans="2:27">
      <c r="B267" s="2468" t="s">
        <v>343</v>
      </c>
      <c r="C267" s="2540"/>
      <c r="D267" s="2493">
        <f t="shared" si="56"/>
        <v>0</v>
      </c>
      <c r="E267" s="2424">
        <v>0</v>
      </c>
      <c r="F267" s="2436"/>
      <c r="G267" s="2424">
        <v>0</v>
      </c>
      <c r="H267" s="2423">
        <v>0</v>
      </c>
      <c r="I267" s="2249">
        <f t="shared" si="57"/>
        <v>0</v>
      </c>
      <c r="J267" s="2423">
        <v>0</v>
      </c>
      <c r="K267" s="2424"/>
      <c r="L267" s="2423">
        <v>0</v>
      </c>
      <c r="M267" s="2249">
        <f t="shared" si="58"/>
        <v>0</v>
      </c>
      <c r="P267" s="109"/>
      <c r="Q267" s="706"/>
      <c r="R267" s="707"/>
      <c r="S267" s="706"/>
      <c r="T267" s="708"/>
      <c r="U267" s="706"/>
      <c r="V267" s="706"/>
      <c r="W267" s="706"/>
      <c r="X267" s="706"/>
      <c r="Y267" s="706"/>
      <c r="Z267" s="706"/>
      <c r="AA267" s="706"/>
    </row>
    <row r="268" spans="2:27">
      <c r="B268" s="2468" t="s">
        <v>343</v>
      </c>
      <c r="C268" s="2540"/>
      <c r="D268" s="2493">
        <f t="shared" si="56"/>
        <v>0</v>
      </c>
      <c r="E268" s="2529"/>
      <c r="F268" s="2528"/>
      <c r="G268" s="2529"/>
      <c r="H268" s="2528"/>
      <c r="I268" s="2249">
        <f t="shared" si="57"/>
        <v>0</v>
      </c>
      <c r="J268" s="2528"/>
      <c r="K268" s="2529"/>
      <c r="L268" s="2528"/>
      <c r="M268" s="2249">
        <f t="shared" si="58"/>
        <v>0</v>
      </c>
      <c r="P268" s="109"/>
      <c r="Q268" s="706"/>
      <c r="R268" s="707"/>
      <c r="S268" s="706"/>
      <c r="T268" s="708"/>
      <c r="U268" s="706"/>
      <c r="V268" s="706"/>
      <c r="W268" s="706"/>
      <c r="X268" s="706"/>
      <c r="Y268" s="706"/>
      <c r="Z268" s="706"/>
      <c r="AA268" s="706"/>
    </row>
    <row r="269" spans="2:27">
      <c r="B269" s="2468"/>
      <c r="C269" s="2540"/>
      <c r="D269" s="2493">
        <f t="shared" si="56"/>
        <v>0</v>
      </c>
      <c r="E269" s="2529"/>
      <c r="F269" s="2528"/>
      <c r="G269" s="2529"/>
      <c r="H269" s="2528"/>
      <c r="I269" s="2249">
        <f t="shared" si="57"/>
        <v>0</v>
      </c>
      <c r="J269" s="2528"/>
      <c r="K269" s="2529"/>
      <c r="L269" s="2528"/>
      <c r="M269" s="2249">
        <f t="shared" si="58"/>
        <v>0</v>
      </c>
      <c r="P269" s="109"/>
      <c r="Q269" s="706"/>
      <c r="R269" s="707"/>
      <c r="S269" s="706"/>
      <c r="T269" s="708"/>
      <c r="U269" s="706"/>
      <c r="V269" s="706"/>
      <c r="W269" s="706"/>
      <c r="X269" s="706"/>
      <c r="Y269" s="706"/>
      <c r="Z269" s="706"/>
      <c r="AA269" s="706"/>
    </row>
    <row r="270" spans="2:27">
      <c r="B270" s="2478" t="s">
        <v>344</v>
      </c>
      <c r="C270" s="2541"/>
      <c r="D270" s="2493">
        <f t="shared" si="56"/>
        <v>1056695.6710000001</v>
      </c>
      <c r="E270" s="2529">
        <f>E259+E261</f>
        <v>405097.609</v>
      </c>
      <c r="F270" s="2528">
        <f>F259+F261</f>
        <v>0</v>
      </c>
      <c r="G270" s="2529">
        <f>G259+G261</f>
        <v>68875.42</v>
      </c>
      <c r="H270" s="2528">
        <f>H259+H261</f>
        <v>0</v>
      </c>
      <c r="I270" s="2249">
        <f t="shared" si="57"/>
        <v>68875.42</v>
      </c>
      <c r="J270" s="2528">
        <f>J259+J261</f>
        <v>69742.179000000033</v>
      </c>
      <c r="K270" s="2529">
        <f>K259+K261</f>
        <v>0</v>
      </c>
      <c r="L270" s="2528">
        <f>L259+L261</f>
        <v>512980.46299999999</v>
      </c>
      <c r="M270" s="2249">
        <f t="shared" si="58"/>
        <v>582722.64199999999</v>
      </c>
      <c r="N270" s="927"/>
      <c r="O270" s="922"/>
      <c r="P270" s="109"/>
      <c r="Q270" s="706"/>
      <c r="R270" s="707"/>
      <c r="S270" s="706"/>
      <c r="T270" s="708"/>
      <c r="U270" s="706"/>
      <c r="V270" s="706"/>
      <c r="W270" s="706"/>
      <c r="X270" s="706"/>
      <c r="Y270" s="706"/>
      <c r="Z270" s="706"/>
      <c r="AA270" s="706"/>
    </row>
    <row r="271" spans="2:27">
      <c r="B271" s="2478"/>
      <c r="C271" s="2541"/>
      <c r="D271" s="2493">
        <f t="shared" si="56"/>
        <v>0</v>
      </c>
      <c r="E271" s="2529"/>
      <c r="F271" s="2528"/>
      <c r="G271" s="2529"/>
      <c r="H271" s="2528"/>
      <c r="I271" s="2249">
        <f t="shared" si="57"/>
        <v>0</v>
      </c>
      <c r="J271" s="2528"/>
      <c r="K271" s="2529"/>
      <c r="L271" s="2528"/>
      <c r="M271" s="2249"/>
      <c r="P271" s="109"/>
      <c r="Q271" s="706"/>
      <c r="R271" s="707"/>
      <c r="S271" s="706"/>
      <c r="T271" s="708"/>
      <c r="U271" s="706"/>
      <c r="V271" s="706"/>
      <c r="W271" s="706"/>
      <c r="X271" s="706"/>
      <c r="Y271" s="706"/>
      <c r="Z271" s="706"/>
      <c r="AA271" s="706"/>
    </row>
    <row r="272" spans="2:27">
      <c r="B272" s="2468" t="s">
        <v>345</v>
      </c>
      <c r="C272" s="2540"/>
      <c r="D272" s="2493">
        <f t="shared" si="56"/>
        <v>458669.56399999995</v>
      </c>
      <c r="E272" s="2424">
        <v>0</v>
      </c>
      <c r="F272" s="2436"/>
      <c r="G272" s="2424">
        <v>92325.391000000003</v>
      </c>
      <c r="H272" s="2423"/>
      <c r="I272" s="2249">
        <f t="shared" si="57"/>
        <v>92325.391000000003</v>
      </c>
      <c r="J272" s="2423">
        <v>45943.680999999997</v>
      </c>
      <c r="K272" s="2424"/>
      <c r="L272" s="2423">
        <v>320400.49199999997</v>
      </c>
      <c r="M272" s="2249">
        <f t="shared" ref="M272:M290" si="59">L272+K272+J272</f>
        <v>366344.17299999995</v>
      </c>
      <c r="N272" s="922"/>
      <c r="O272" s="922"/>
      <c r="P272" s="109"/>
      <c r="Q272" s="706"/>
      <c r="R272" s="707"/>
      <c r="S272" s="706"/>
      <c r="T272" s="708"/>
      <c r="U272" s="706"/>
      <c r="V272" s="706"/>
      <c r="W272" s="706"/>
      <c r="X272" s="706"/>
      <c r="Y272" s="706"/>
      <c r="Z272" s="706"/>
      <c r="AA272" s="706"/>
    </row>
    <row r="273" spans="2:27">
      <c r="B273" s="2468" t="s">
        <v>346</v>
      </c>
      <c r="C273" s="2540"/>
      <c r="D273" s="2493">
        <f t="shared" si="56"/>
        <v>-11449.308999999999</v>
      </c>
      <c r="E273" s="2424">
        <v>0</v>
      </c>
      <c r="F273" s="2436"/>
      <c r="G273" s="2424">
        <v>-5547.9999999999991</v>
      </c>
      <c r="H273" s="2423"/>
      <c r="I273" s="2249">
        <f t="shared" si="57"/>
        <v>-5547.9999999999991</v>
      </c>
      <c r="J273" s="2423">
        <v>-5901.3090000000002</v>
      </c>
      <c r="K273" s="2424"/>
      <c r="L273" s="2423">
        <v>0</v>
      </c>
      <c r="M273" s="2249">
        <f t="shared" si="59"/>
        <v>-5901.3090000000002</v>
      </c>
      <c r="N273" s="922"/>
      <c r="O273" s="922"/>
      <c r="P273" s="109"/>
      <c r="Q273" s="706"/>
      <c r="R273" s="707"/>
      <c r="S273" s="706"/>
      <c r="T273" s="708"/>
      <c r="U273" s="706"/>
      <c r="V273" s="706"/>
      <c r="W273" s="706"/>
      <c r="X273" s="706"/>
      <c r="Y273" s="706"/>
      <c r="Z273" s="706"/>
      <c r="AA273" s="706"/>
    </row>
    <row r="274" spans="2:27">
      <c r="B274" s="2468" t="s">
        <v>347</v>
      </c>
      <c r="C274" s="2540"/>
      <c r="D274" s="2493">
        <f t="shared" si="56"/>
        <v>0</v>
      </c>
      <c r="E274" s="2424">
        <v>0</v>
      </c>
      <c r="F274" s="2436"/>
      <c r="G274" s="2424">
        <v>0</v>
      </c>
      <c r="H274" s="2423"/>
      <c r="I274" s="2249">
        <f t="shared" si="57"/>
        <v>0</v>
      </c>
      <c r="J274" s="2423">
        <v>0</v>
      </c>
      <c r="K274" s="2424"/>
      <c r="L274" s="2423">
        <v>0</v>
      </c>
      <c r="M274" s="2249">
        <f t="shared" si="59"/>
        <v>0</v>
      </c>
      <c r="N274" s="922"/>
      <c r="O274" s="922"/>
      <c r="P274" s="109"/>
      <c r="Q274" s="706"/>
      <c r="R274" s="707"/>
      <c r="S274" s="706"/>
      <c r="T274" s="708"/>
      <c r="U274" s="706"/>
      <c r="V274" s="706"/>
      <c r="W274" s="706"/>
      <c r="X274" s="706"/>
      <c r="Y274" s="706"/>
      <c r="Z274" s="706"/>
      <c r="AA274" s="706"/>
    </row>
    <row r="275" spans="2:27" ht="12.75" customHeight="1">
      <c r="B275" s="2479" t="s">
        <v>348</v>
      </c>
      <c r="C275" s="2540"/>
      <c r="D275" s="2493">
        <f t="shared" si="56"/>
        <v>0</v>
      </c>
      <c r="E275" s="2424">
        <v>0</v>
      </c>
      <c r="F275" s="2436"/>
      <c r="G275" s="2424">
        <v>0</v>
      </c>
      <c r="H275" s="2423"/>
      <c r="I275" s="2249">
        <f t="shared" si="57"/>
        <v>0</v>
      </c>
      <c r="J275" s="2423">
        <v>0</v>
      </c>
      <c r="K275" s="2424"/>
      <c r="L275" s="2423">
        <v>0</v>
      </c>
      <c r="M275" s="2249">
        <f t="shared" si="59"/>
        <v>0</v>
      </c>
      <c r="N275" s="922"/>
      <c r="O275" s="922"/>
      <c r="P275" s="109"/>
      <c r="Q275" s="706"/>
      <c r="R275" s="707"/>
      <c r="S275" s="706"/>
      <c r="T275" s="708"/>
      <c r="U275" s="706"/>
      <c r="V275" s="706"/>
      <c r="W275" s="706"/>
      <c r="X275" s="706"/>
      <c r="Y275" s="706"/>
      <c r="Z275" s="706"/>
      <c r="AA275" s="706"/>
    </row>
    <row r="276" spans="2:27">
      <c r="B276" s="2468" t="s">
        <v>349</v>
      </c>
      <c r="C276" s="2540"/>
      <c r="D276" s="2493">
        <f t="shared" si="56"/>
        <v>140186.36200000002</v>
      </c>
      <c r="E276" s="2424">
        <v>0</v>
      </c>
      <c r="F276" s="2436"/>
      <c r="G276" s="2424">
        <v>-25438.054</v>
      </c>
      <c r="H276" s="2423"/>
      <c r="I276" s="2249">
        <f t="shared" si="57"/>
        <v>-25438.054</v>
      </c>
      <c r="J276" s="2423">
        <v>1586.2860000000364</v>
      </c>
      <c r="K276" s="2424"/>
      <c r="L276" s="2423">
        <v>164038.13</v>
      </c>
      <c r="M276" s="2249">
        <f t="shared" si="59"/>
        <v>165624.41600000003</v>
      </c>
      <c r="N276" s="922"/>
      <c r="O276" s="922"/>
      <c r="P276" s="109"/>
      <c r="Q276" s="706"/>
      <c r="R276" s="707"/>
      <c r="S276" s="706"/>
      <c r="T276" s="708"/>
      <c r="U276" s="706"/>
      <c r="V276" s="706"/>
      <c r="W276" s="706"/>
      <c r="X276" s="706"/>
      <c r="Y276" s="706"/>
      <c r="Z276" s="706"/>
      <c r="AA276" s="706"/>
    </row>
    <row r="277" spans="2:27">
      <c r="B277" s="2468" t="s">
        <v>350</v>
      </c>
      <c r="C277" s="2540"/>
      <c r="D277" s="2493">
        <f t="shared" si="56"/>
        <v>0</v>
      </c>
      <c r="E277" s="2424">
        <v>0</v>
      </c>
      <c r="F277" s="2436"/>
      <c r="G277" s="2424">
        <v>0</v>
      </c>
      <c r="H277" s="2423"/>
      <c r="I277" s="2249">
        <f t="shared" si="57"/>
        <v>0</v>
      </c>
      <c r="J277" s="2423">
        <v>0</v>
      </c>
      <c r="K277" s="2424"/>
      <c r="L277" s="2423">
        <v>0</v>
      </c>
      <c r="M277" s="2249">
        <f t="shared" si="59"/>
        <v>0</v>
      </c>
      <c r="N277" s="922"/>
      <c r="O277" s="922"/>
      <c r="P277" s="109"/>
      <c r="Q277" s="706"/>
      <c r="R277" s="707"/>
      <c r="S277" s="706"/>
      <c r="T277" s="708"/>
      <c r="U277" s="706"/>
      <c r="V277" s="706"/>
      <c r="W277" s="706"/>
      <c r="X277" s="706"/>
      <c r="Y277" s="706"/>
      <c r="Z277" s="706"/>
      <c r="AA277" s="706"/>
    </row>
    <row r="278" spans="2:27">
      <c r="B278" s="2478" t="s">
        <v>351</v>
      </c>
      <c r="C278" s="2541"/>
      <c r="D278" s="2493">
        <f t="shared" si="56"/>
        <v>587406.61700000009</v>
      </c>
      <c r="E278" s="2529">
        <f>SUM(E272:E277)</f>
        <v>0</v>
      </c>
      <c r="F278" s="2528">
        <f>SUM(F272:F277)</f>
        <v>0</v>
      </c>
      <c r="G278" s="2529">
        <f>SUM(G272:G277)</f>
        <v>61339.337</v>
      </c>
      <c r="H278" s="2528">
        <f>SUM(H272:H277)</f>
        <v>0</v>
      </c>
      <c r="I278" s="2249">
        <f t="shared" si="57"/>
        <v>61339.337</v>
      </c>
      <c r="J278" s="2528">
        <f>SUM(J272:J277)</f>
        <v>41628.658000000032</v>
      </c>
      <c r="K278" s="2529">
        <f>SUM(K272:K277)</f>
        <v>0</v>
      </c>
      <c r="L278" s="2528">
        <f>SUM(L272:L277)</f>
        <v>484438.62199999997</v>
      </c>
      <c r="M278" s="2249">
        <f t="shared" si="59"/>
        <v>526067.28</v>
      </c>
      <c r="N278" s="927"/>
      <c r="O278" s="922"/>
      <c r="P278" s="109"/>
      <c r="Q278" s="706"/>
      <c r="R278" s="707"/>
      <c r="S278" s="706"/>
      <c r="T278" s="708"/>
      <c r="U278" s="706"/>
      <c r="V278" s="706"/>
      <c r="W278" s="706"/>
      <c r="X278" s="706"/>
      <c r="Y278" s="706"/>
      <c r="Z278" s="706"/>
      <c r="AA278" s="706"/>
    </row>
    <row r="279" spans="2:27">
      <c r="B279" s="2468"/>
      <c r="C279" s="2540"/>
      <c r="D279" s="2493">
        <f t="shared" si="56"/>
        <v>0</v>
      </c>
      <c r="E279" s="2529"/>
      <c r="F279" s="2528"/>
      <c r="G279" s="2529"/>
      <c r="H279" s="2528"/>
      <c r="I279" s="2249">
        <f t="shared" si="57"/>
        <v>0</v>
      </c>
      <c r="J279" s="2528"/>
      <c r="K279" s="2529"/>
      <c r="L279" s="2528"/>
      <c r="M279" s="2249">
        <f t="shared" si="59"/>
        <v>0</v>
      </c>
      <c r="O279" s="922"/>
      <c r="P279" s="109"/>
      <c r="Q279" s="706"/>
      <c r="R279" s="707"/>
      <c r="S279" s="706"/>
      <c r="T279" s="708"/>
      <c r="U279" s="706"/>
      <c r="V279" s="706"/>
      <c r="W279" s="706"/>
      <c r="X279" s="706"/>
      <c r="Y279" s="706"/>
      <c r="Z279" s="706"/>
      <c r="AA279" s="706"/>
    </row>
    <row r="280" spans="2:27" ht="25.5">
      <c r="B280" s="2479" t="s">
        <v>352</v>
      </c>
      <c r="C280" s="2540"/>
      <c r="D280" s="2493">
        <f t="shared" si="56"/>
        <v>103131.92600000001</v>
      </c>
      <c r="E280" s="2424">
        <v>101852.126</v>
      </c>
      <c r="F280" s="2436"/>
      <c r="G280" s="2424">
        <v>1279.8</v>
      </c>
      <c r="H280" s="2423"/>
      <c r="I280" s="2249">
        <f t="shared" si="57"/>
        <v>1279.8</v>
      </c>
      <c r="J280" s="2423">
        <v>0</v>
      </c>
      <c r="K280" s="2424"/>
      <c r="L280" s="2423">
        <v>0</v>
      </c>
      <c r="M280" s="2249">
        <f t="shared" si="59"/>
        <v>0</v>
      </c>
      <c r="N280" s="922"/>
      <c r="O280" s="922"/>
      <c r="P280" s="109"/>
      <c r="Q280" s="706"/>
      <c r="R280" s="707"/>
      <c r="S280" s="706"/>
      <c r="T280" s="708"/>
      <c r="U280" s="706"/>
      <c r="V280" s="706"/>
      <c r="W280" s="706"/>
      <c r="X280" s="706"/>
      <c r="Y280" s="706"/>
      <c r="Z280" s="706"/>
      <c r="AA280" s="706"/>
    </row>
    <row r="281" spans="2:27">
      <c r="B281" s="2468"/>
      <c r="C281" s="2540"/>
      <c r="D281" s="2493">
        <f t="shared" si="56"/>
        <v>0</v>
      </c>
      <c r="E281" s="2191"/>
      <c r="F281" s="2423"/>
      <c r="G281" s="2424"/>
      <c r="H281" s="2423"/>
      <c r="I281" s="2249">
        <f t="shared" si="57"/>
        <v>0</v>
      </c>
      <c r="J281" s="2423"/>
      <c r="K281" s="2424"/>
      <c r="L281" s="2423"/>
      <c r="M281" s="2249">
        <f t="shared" si="59"/>
        <v>0</v>
      </c>
      <c r="N281" s="922"/>
      <c r="O281" s="922"/>
      <c r="P281" s="109"/>
      <c r="Q281" s="706"/>
      <c r="R281" s="707"/>
      <c r="S281" s="706"/>
      <c r="T281" s="708"/>
      <c r="U281" s="706"/>
      <c r="V281" s="706"/>
      <c r="W281" s="706"/>
      <c r="X281" s="706"/>
      <c r="Y281" s="706"/>
      <c r="Z281" s="706"/>
      <c r="AA281" s="706"/>
    </row>
    <row r="282" spans="2:27" ht="12.75" customHeight="1">
      <c r="B282" s="2479" t="s">
        <v>353</v>
      </c>
      <c r="C282" s="2540">
        <v>4</v>
      </c>
      <c r="D282" s="2493">
        <f t="shared" si="56"/>
        <v>392673.47400000005</v>
      </c>
      <c r="E282" s="2191">
        <f>-170.81+329932.639</f>
        <v>329761.82900000003</v>
      </c>
      <c r="F282" s="2436"/>
      <c r="G282" s="2424">
        <v>6256.2830000000004</v>
      </c>
      <c r="H282" s="2423"/>
      <c r="I282" s="2249">
        <f t="shared" si="57"/>
        <v>6256.2830000000004</v>
      </c>
      <c r="J282" s="2423">
        <v>28113.521000000001</v>
      </c>
      <c r="K282" s="2424"/>
      <c r="L282" s="2423">
        <v>28541.841</v>
      </c>
      <c r="M282" s="2249">
        <f t="shared" si="59"/>
        <v>56655.362000000001</v>
      </c>
      <c r="N282" s="922"/>
      <c r="O282" s="922"/>
      <c r="P282" s="109"/>
      <c r="Q282" s="706"/>
      <c r="R282" s="707"/>
      <c r="S282" s="706"/>
      <c r="T282" s="708"/>
      <c r="U282" s="706"/>
      <c r="V282" s="706"/>
      <c r="W282" s="706"/>
      <c r="X282" s="706"/>
      <c r="Y282" s="706"/>
      <c r="Z282" s="706"/>
      <c r="AA282" s="706"/>
    </row>
    <row r="283" spans="2:27">
      <c r="B283" s="2468" t="s">
        <v>354</v>
      </c>
      <c r="C283" s="2540"/>
      <c r="D283" s="2493">
        <f t="shared" si="56"/>
        <v>0</v>
      </c>
      <c r="E283" s="2191">
        <v>0</v>
      </c>
      <c r="F283" s="2436"/>
      <c r="G283" s="2424">
        <v>0</v>
      </c>
      <c r="H283" s="2423"/>
      <c r="I283" s="2249">
        <f t="shared" si="57"/>
        <v>0</v>
      </c>
      <c r="J283" s="2423">
        <v>0</v>
      </c>
      <c r="K283" s="2424"/>
      <c r="L283" s="2423">
        <v>0</v>
      </c>
      <c r="M283" s="2249">
        <f t="shared" si="59"/>
        <v>0</v>
      </c>
      <c r="N283" s="922"/>
      <c r="O283" s="922"/>
      <c r="P283" s="109"/>
      <c r="Q283" s="706"/>
      <c r="R283" s="707"/>
      <c r="S283" s="706"/>
      <c r="T283" s="708"/>
      <c r="U283" s="706"/>
      <c r="V283" s="706"/>
      <c r="W283" s="706"/>
      <c r="X283" s="706"/>
      <c r="Y283" s="706"/>
      <c r="Z283" s="706"/>
      <c r="AA283" s="706"/>
    </row>
    <row r="284" spans="2:27">
      <c r="B284" s="2468" t="s">
        <v>355</v>
      </c>
      <c r="C284" s="2540"/>
      <c r="D284" s="2493">
        <f t="shared" si="56"/>
        <v>8196.1039999999994</v>
      </c>
      <c r="E284" s="2191">
        <f>7572.908*0+8196.104</f>
        <v>8196.1039999999994</v>
      </c>
      <c r="F284" s="2436"/>
      <c r="G284" s="2424">
        <v>0</v>
      </c>
      <c r="H284" s="2423"/>
      <c r="I284" s="2249">
        <f t="shared" si="57"/>
        <v>0</v>
      </c>
      <c r="J284" s="2423">
        <v>0</v>
      </c>
      <c r="K284" s="2424"/>
      <c r="L284" s="2423">
        <v>0</v>
      </c>
      <c r="M284" s="2249">
        <f t="shared" si="59"/>
        <v>0</v>
      </c>
      <c r="N284" s="922"/>
      <c r="O284" s="922"/>
      <c r="P284" s="109"/>
      <c r="Q284" s="706"/>
      <c r="R284" s="707"/>
      <c r="S284" s="706"/>
      <c r="T284" s="708"/>
      <c r="U284" s="706"/>
      <c r="V284" s="706"/>
      <c r="W284" s="706"/>
      <c r="X284" s="706"/>
      <c r="Y284" s="706"/>
      <c r="Z284" s="706"/>
      <c r="AA284" s="706"/>
    </row>
    <row r="285" spans="2:27">
      <c r="B285" s="2478" t="s">
        <v>356</v>
      </c>
      <c r="C285" s="2541"/>
      <c r="D285" s="2493">
        <f t="shared" si="56"/>
        <v>400869.57800000004</v>
      </c>
      <c r="E285" s="2471">
        <f>SUM(E282:E284)</f>
        <v>337957.93300000002</v>
      </c>
      <c r="F285" s="2528">
        <f>SUM(F282:F284)</f>
        <v>0</v>
      </c>
      <c r="G285" s="2529">
        <f>SUM(G282:G284)</f>
        <v>6256.2830000000004</v>
      </c>
      <c r="H285" s="2528">
        <f>SUM(H282:H284)</f>
        <v>0</v>
      </c>
      <c r="I285" s="2249">
        <f t="shared" si="57"/>
        <v>6256.2830000000004</v>
      </c>
      <c r="J285" s="2528">
        <f>SUM(J282:J284)</f>
        <v>28113.521000000001</v>
      </c>
      <c r="K285" s="2529">
        <f>SUM(K282:K284)</f>
        <v>0</v>
      </c>
      <c r="L285" s="2528">
        <f>SUM(L282:L284)</f>
        <v>28541.841</v>
      </c>
      <c r="M285" s="2249">
        <f t="shared" si="59"/>
        <v>56655.362000000001</v>
      </c>
      <c r="N285" s="927"/>
      <c r="O285" s="922"/>
      <c r="P285" s="109"/>
      <c r="Q285" s="706"/>
      <c r="R285" s="707"/>
      <c r="S285" s="706"/>
      <c r="T285" s="708"/>
      <c r="U285" s="706"/>
      <c r="V285" s="706"/>
      <c r="W285" s="706"/>
      <c r="X285" s="706"/>
      <c r="Y285" s="706"/>
      <c r="Z285" s="706"/>
      <c r="AA285" s="706"/>
    </row>
    <row r="286" spans="2:27">
      <c r="B286" s="2478"/>
      <c r="C286" s="2541"/>
      <c r="D286" s="2493">
        <f t="shared" si="56"/>
        <v>0</v>
      </c>
      <c r="E286" s="2529"/>
      <c r="F286" s="2528"/>
      <c r="G286" s="2529"/>
      <c r="H286" s="2528"/>
      <c r="I286" s="2249">
        <f t="shared" si="57"/>
        <v>0</v>
      </c>
      <c r="J286" s="2528"/>
      <c r="K286" s="2529"/>
      <c r="L286" s="2528"/>
      <c r="M286" s="2249">
        <f t="shared" si="59"/>
        <v>0</v>
      </c>
      <c r="P286" s="109"/>
      <c r="Q286" s="706"/>
      <c r="R286" s="707"/>
      <c r="S286" s="706"/>
      <c r="T286" s="708"/>
      <c r="U286" s="706"/>
      <c r="V286" s="706"/>
      <c r="W286" s="706"/>
      <c r="X286" s="706"/>
      <c r="Y286" s="706"/>
      <c r="Z286" s="706"/>
      <c r="AA286" s="706"/>
    </row>
    <row r="287" spans="2:27">
      <c r="B287" s="2478" t="s">
        <v>357</v>
      </c>
      <c r="C287" s="2541"/>
      <c r="D287" s="2493">
        <f t="shared" si="56"/>
        <v>-34712.450000000012</v>
      </c>
      <c r="E287" s="2529">
        <f>E270-E278-E280-E285</f>
        <v>-34712.450000000012</v>
      </c>
      <c r="F287" s="2528">
        <f>F270-F278-F280-F285</f>
        <v>0</v>
      </c>
      <c r="G287" s="2529">
        <f>G270-G278-G280-G285</f>
        <v>0</v>
      </c>
      <c r="H287" s="2528">
        <f>H270-H278-H280-H285</f>
        <v>0</v>
      </c>
      <c r="I287" s="2249">
        <f t="shared" si="57"/>
        <v>0</v>
      </c>
      <c r="J287" s="2528">
        <f>J270-J278-J280-J285</f>
        <v>0</v>
      </c>
      <c r="K287" s="2529">
        <f>K270-K278-K280-K285</f>
        <v>0</v>
      </c>
      <c r="L287" s="2528">
        <f>L270-L278-L280-L285</f>
        <v>0</v>
      </c>
      <c r="M287" s="2249">
        <f t="shared" si="59"/>
        <v>0</v>
      </c>
      <c r="N287" s="927"/>
      <c r="O287" s="922"/>
      <c r="P287" s="109"/>
      <c r="Q287" s="706"/>
      <c r="R287" s="707"/>
      <c r="S287" s="706"/>
      <c r="T287" s="708"/>
      <c r="U287" s="706"/>
      <c r="V287" s="706"/>
      <c r="W287" s="706"/>
      <c r="X287" s="706"/>
      <c r="Y287" s="706"/>
      <c r="Z287" s="706"/>
      <c r="AA287" s="706"/>
    </row>
    <row r="288" spans="2:27">
      <c r="B288" s="2468" t="s">
        <v>358</v>
      </c>
      <c r="C288" s="2540"/>
      <c r="D288" s="2493">
        <f t="shared" si="56"/>
        <v>0</v>
      </c>
      <c r="E288" s="2529"/>
      <c r="F288" s="2528"/>
      <c r="G288" s="2529"/>
      <c r="H288" s="2528"/>
      <c r="I288" s="2249">
        <f t="shared" si="57"/>
        <v>0</v>
      </c>
      <c r="J288" s="2528"/>
      <c r="K288" s="2529"/>
      <c r="L288" s="2528"/>
      <c r="M288" s="2249">
        <f t="shared" si="59"/>
        <v>0</v>
      </c>
      <c r="N288" s="922"/>
      <c r="O288" s="922"/>
      <c r="P288" s="109"/>
      <c r="Q288" s="706"/>
      <c r="R288" s="707"/>
      <c r="S288" s="706"/>
      <c r="T288" s="708"/>
      <c r="U288" s="706"/>
      <c r="V288" s="706"/>
      <c r="W288" s="706"/>
      <c r="X288" s="706"/>
      <c r="Y288" s="706"/>
      <c r="Z288" s="706"/>
      <c r="AA288" s="706"/>
    </row>
    <row r="289" spans="1:27">
      <c r="B289" s="2468"/>
      <c r="C289" s="2540"/>
      <c r="D289" s="2493">
        <f t="shared" si="56"/>
        <v>0</v>
      </c>
      <c r="E289" s="2529"/>
      <c r="F289" s="2528"/>
      <c r="G289" s="2529"/>
      <c r="H289" s="2528"/>
      <c r="I289" s="2249">
        <f t="shared" si="57"/>
        <v>0</v>
      </c>
      <c r="J289" s="2528"/>
      <c r="K289" s="2529"/>
      <c r="L289" s="2528"/>
      <c r="M289" s="2249">
        <f t="shared" si="59"/>
        <v>0</v>
      </c>
      <c r="P289" s="109"/>
      <c r="Q289" s="706"/>
      <c r="R289" s="707"/>
      <c r="S289" s="706"/>
      <c r="T289" s="708"/>
      <c r="U289" s="706"/>
      <c r="V289" s="706"/>
      <c r="W289" s="706"/>
      <c r="X289" s="706"/>
      <c r="Y289" s="706"/>
      <c r="Z289" s="706"/>
      <c r="AA289" s="706"/>
    </row>
    <row r="290" spans="1:27" ht="13.5" thickBot="1">
      <c r="B290" s="1611" t="s">
        <v>359</v>
      </c>
      <c r="C290" s="1622"/>
      <c r="D290" s="1623">
        <f t="shared" si="56"/>
        <v>-34712.450000000012</v>
      </c>
      <c r="E290" s="1614">
        <f>E287-E288</f>
        <v>-34712.450000000012</v>
      </c>
      <c r="F290" s="1624">
        <f>F287-F288</f>
        <v>0</v>
      </c>
      <c r="G290" s="1614">
        <f>G287-G288</f>
        <v>0</v>
      </c>
      <c r="H290" s="1624">
        <f>H287-H288</f>
        <v>0</v>
      </c>
      <c r="I290" s="1614">
        <f t="shared" si="57"/>
        <v>0</v>
      </c>
      <c r="J290" s="1624">
        <f>J287-J288</f>
        <v>0</v>
      </c>
      <c r="K290" s="1614">
        <f>K287-K288</f>
        <v>0</v>
      </c>
      <c r="L290" s="1624">
        <f>L287-L288</f>
        <v>0</v>
      </c>
      <c r="M290" s="1614">
        <f t="shared" si="59"/>
        <v>0</v>
      </c>
      <c r="N290" s="927"/>
      <c r="O290" s="922"/>
      <c r="P290" s="109"/>
      <c r="Q290" s="706"/>
      <c r="R290" s="707"/>
      <c r="S290" s="706"/>
      <c r="T290" s="708"/>
      <c r="U290" s="706"/>
      <c r="V290" s="706"/>
      <c r="W290" s="706"/>
      <c r="X290" s="706"/>
      <c r="Y290" s="706"/>
      <c r="Z290" s="706"/>
      <c r="AA290" s="706"/>
    </row>
    <row r="291" spans="1:27">
      <c r="P291" s="109"/>
      <c r="Q291" s="706"/>
      <c r="R291" s="109"/>
      <c r="S291" s="699"/>
      <c r="T291" s="699"/>
      <c r="U291" s="699"/>
      <c r="V291" s="699"/>
      <c r="W291" s="699"/>
      <c r="X291" s="699"/>
      <c r="Y291" s="699"/>
      <c r="Z291" s="699"/>
      <c r="AA291" s="699"/>
    </row>
    <row r="292" spans="1:27">
      <c r="M292" s="912">
        <v>69</v>
      </c>
      <c r="R292" s="109"/>
      <c r="S292" s="699"/>
      <c r="T292" s="699"/>
      <c r="U292" s="699"/>
      <c r="V292" s="699"/>
      <c r="W292" s="699"/>
      <c r="X292" s="699"/>
      <c r="Y292" s="699"/>
      <c r="Z292" s="699"/>
      <c r="AA292" s="699"/>
    </row>
    <row r="293" spans="1:27">
      <c r="R293" s="109"/>
      <c r="S293" s="699"/>
      <c r="T293" s="699"/>
      <c r="U293" s="699"/>
      <c r="V293" s="699"/>
      <c r="W293" s="699"/>
      <c r="X293" s="699"/>
      <c r="Y293" s="699"/>
      <c r="Z293" s="699"/>
      <c r="AA293" s="699"/>
    </row>
    <row r="294" spans="1:27" ht="13.5" thickBot="1">
      <c r="R294" s="109"/>
      <c r="S294" s="699"/>
      <c r="T294" s="699"/>
      <c r="U294" s="699"/>
      <c r="V294" s="699"/>
      <c r="W294" s="699"/>
      <c r="X294" s="699"/>
      <c r="Y294" s="699"/>
      <c r="Z294" s="699"/>
      <c r="AA294" s="699"/>
    </row>
    <row r="295" spans="1:27" ht="12.75" customHeight="1" thickBot="1">
      <c r="A295" s="1626" t="s">
        <v>183</v>
      </c>
      <c r="B295" s="1368" t="s">
        <v>97</v>
      </c>
      <c r="C295" s="937"/>
      <c r="L295" s="3538" t="s">
        <v>251</v>
      </c>
      <c r="M295" s="3538"/>
      <c r="R295" s="109"/>
      <c r="S295" s="699"/>
      <c r="T295" s="699"/>
      <c r="U295" s="699"/>
      <c r="V295" s="699"/>
      <c r="W295" s="699"/>
      <c r="X295" s="699"/>
      <c r="Y295" s="699"/>
      <c r="Z295" s="699"/>
      <c r="AA295" s="699"/>
    </row>
    <row r="296" spans="1:27" ht="12.75" customHeight="1" thickBot="1">
      <c r="B296" s="3578" t="s">
        <v>97</v>
      </c>
      <c r="C296" s="3523" t="s">
        <v>325</v>
      </c>
      <c r="D296" s="3518" t="s">
        <v>255</v>
      </c>
      <c r="E296" s="3518" t="s">
        <v>326</v>
      </c>
      <c r="F296" s="3574" t="s">
        <v>258</v>
      </c>
      <c r="G296" s="3574"/>
      <c r="H296" s="3574"/>
      <c r="I296" s="3574"/>
      <c r="J296" s="3574"/>
      <c r="K296" s="3574"/>
      <c r="L296" s="3574"/>
      <c r="M296" s="3574"/>
      <c r="R296" s="109"/>
      <c r="S296" s="699"/>
      <c r="T296" s="699"/>
      <c r="U296" s="699"/>
      <c r="V296" s="699"/>
      <c r="W296" s="699"/>
      <c r="X296" s="699"/>
      <c r="Y296" s="699"/>
      <c r="Z296" s="699"/>
      <c r="AA296" s="699"/>
    </row>
    <row r="297" spans="1:27" ht="13.9" customHeight="1">
      <c r="B297" s="3571"/>
      <c r="C297" s="3524"/>
      <c r="D297" s="3520"/>
      <c r="E297" s="3520"/>
      <c r="F297" s="3575" t="s">
        <v>259</v>
      </c>
      <c r="G297" s="3576"/>
      <c r="H297" s="3576"/>
      <c r="I297" s="3577"/>
      <c r="J297" s="3574" t="s">
        <v>327</v>
      </c>
      <c r="K297" s="3574"/>
      <c r="L297" s="3574"/>
      <c r="M297" s="3574"/>
      <c r="R297" s="109"/>
      <c r="S297" s="699"/>
      <c r="T297" s="699"/>
      <c r="U297" s="699"/>
      <c r="V297" s="699"/>
      <c r="W297" s="699"/>
      <c r="X297" s="699"/>
      <c r="Y297" s="699"/>
      <c r="Z297" s="699"/>
      <c r="AA297" s="699"/>
    </row>
    <row r="298" spans="1:27" ht="60.75" customHeight="1" thickBot="1">
      <c r="B298" s="3571"/>
      <c r="C298" s="3524"/>
      <c r="D298" s="3519"/>
      <c r="E298" s="3519"/>
      <c r="F298" s="1339" t="s">
        <v>261</v>
      </c>
      <c r="G298" s="1339" t="s">
        <v>262</v>
      </c>
      <c r="H298" s="1339" t="s">
        <v>263</v>
      </c>
      <c r="I298" s="1339" t="s">
        <v>158</v>
      </c>
      <c r="J298" s="1588" t="s">
        <v>328</v>
      </c>
      <c r="K298" s="1588" t="s">
        <v>265</v>
      </c>
      <c r="L298" s="1588" t="s">
        <v>329</v>
      </c>
      <c r="M298" s="1588" t="s">
        <v>158</v>
      </c>
      <c r="R298" s="109"/>
      <c r="S298" s="699"/>
      <c r="T298" s="699"/>
      <c r="U298" s="699"/>
      <c r="V298" s="699"/>
      <c r="W298" s="699"/>
      <c r="X298" s="699"/>
      <c r="Y298" s="699"/>
      <c r="Z298" s="699"/>
      <c r="AA298" s="699"/>
    </row>
    <row r="299" spans="1:27" ht="19.5" customHeight="1" thickBot="1">
      <c r="B299" s="3571"/>
      <c r="C299" s="3524"/>
      <c r="D299" s="1589">
        <v>1</v>
      </c>
      <c r="E299" s="3518">
        <v>2</v>
      </c>
      <c r="F299" s="3518">
        <v>3</v>
      </c>
      <c r="G299" s="3518">
        <v>4</v>
      </c>
      <c r="H299" s="3518">
        <v>5</v>
      </c>
      <c r="I299" s="1589">
        <v>6</v>
      </c>
      <c r="J299" s="3518">
        <v>7</v>
      </c>
      <c r="K299" s="3518">
        <v>8</v>
      </c>
      <c r="L299" s="3518">
        <v>9</v>
      </c>
      <c r="M299" s="1589">
        <v>10</v>
      </c>
      <c r="R299" s="109"/>
      <c r="S299" s="699"/>
      <c r="T299" s="699"/>
      <c r="U299" s="699"/>
      <c r="V299" s="699"/>
      <c r="W299" s="699"/>
      <c r="X299" s="699"/>
      <c r="Y299" s="699"/>
      <c r="Z299" s="699"/>
      <c r="AA299" s="699"/>
    </row>
    <row r="300" spans="1:27" ht="13.5" thickBot="1">
      <c r="B300" s="3572"/>
      <c r="C300" s="3525"/>
      <c r="D300" s="1590" t="s">
        <v>330</v>
      </c>
      <c r="E300" s="3519"/>
      <c r="F300" s="3519"/>
      <c r="G300" s="3519"/>
      <c r="H300" s="3519"/>
      <c r="I300" s="1590" t="s">
        <v>331</v>
      </c>
      <c r="J300" s="3519"/>
      <c r="K300" s="3519"/>
      <c r="L300" s="3519"/>
      <c r="M300" s="1590" t="s">
        <v>332</v>
      </c>
      <c r="N300" s="703"/>
      <c r="O300" s="703"/>
      <c r="R300" s="109"/>
      <c r="S300" s="699"/>
      <c r="T300" s="699"/>
      <c r="U300" s="699"/>
      <c r="V300" s="699"/>
      <c r="W300" s="699"/>
      <c r="X300" s="699"/>
      <c r="Y300" s="699"/>
      <c r="Z300" s="699"/>
      <c r="AA300" s="699"/>
    </row>
    <row r="301" spans="1:27">
      <c r="B301" s="1609" t="s">
        <v>333</v>
      </c>
      <c r="C301" s="952"/>
      <c r="D301" s="1621">
        <f t="shared" ref="D301:D338" si="60">E301+I301+M301</f>
        <v>22076250.385849994</v>
      </c>
      <c r="E301" s="947"/>
      <c r="F301" s="949">
        <v>6052856.7699999996</v>
      </c>
      <c r="G301" s="947">
        <v>10853624.538819997</v>
      </c>
      <c r="H301" s="949">
        <v>5156668.4417099999</v>
      </c>
      <c r="I301" s="947">
        <f t="shared" ref="I301:I338" si="61">F301+G301+H301</f>
        <v>22063149.750529993</v>
      </c>
      <c r="J301" s="949"/>
      <c r="K301" s="947"/>
      <c r="L301" s="949">
        <v>13100.635319999999</v>
      </c>
      <c r="M301" s="1441">
        <f t="shared" ref="M301:M318" si="62">L301+K301+J301</f>
        <v>13100.635319999999</v>
      </c>
      <c r="N301" s="922"/>
      <c r="O301" s="922"/>
      <c r="P301" s="679"/>
      <c r="Q301" s="706"/>
      <c r="R301" s="707"/>
      <c r="S301" s="706"/>
      <c r="T301" s="706"/>
      <c r="U301" s="706"/>
      <c r="V301" s="706"/>
      <c r="W301" s="706"/>
      <c r="X301" s="706"/>
      <c r="Y301" s="706"/>
      <c r="Z301" s="706"/>
      <c r="AA301" s="706"/>
    </row>
    <row r="302" spans="1:27">
      <c r="B302" s="2468"/>
      <c r="C302" s="2540"/>
      <c r="D302" s="2493">
        <f t="shared" si="60"/>
        <v>0</v>
      </c>
      <c r="E302" s="2529"/>
      <c r="F302" s="2528"/>
      <c r="G302" s="2529"/>
      <c r="H302" s="2528"/>
      <c r="I302" s="2249">
        <f t="shared" si="61"/>
        <v>0</v>
      </c>
      <c r="J302" s="2528"/>
      <c r="K302" s="2529"/>
      <c r="L302" s="2528"/>
      <c r="M302" s="2249">
        <f t="shared" si="62"/>
        <v>0</v>
      </c>
      <c r="P302" s="679"/>
      <c r="Q302" s="706"/>
      <c r="R302" s="707"/>
      <c r="S302" s="706"/>
      <c r="T302" s="706"/>
      <c r="U302" s="706"/>
      <c r="V302" s="706"/>
      <c r="W302" s="706"/>
      <c r="X302" s="706"/>
      <c r="Y302" s="706"/>
      <c r="Z302" s="706"/>
      <c r="AA302" s="706"/>
    </row>
    <row r="303" spans="1:27">
      <c r="B303" s="2473" t="s">
        <v>334</v>
      </c>
      <c r="C303" s="2540"/>
      <c r="D303" s="2493">
        <f t="shared" si="60"/>
        <v>505462.83402999997</v>
      </c>
      <c r="E303" s="2529"/>
      <c r="F303" s="2528">
        <v>16138.73893</v>
      </c>
      <c r="G303" s="2529">
        <v>488418.56293999997</v>
      </c>
      <c r="H303" s="2528">
        <v>616.41306999999995</v>
      </c>
      <c r="I303" s="2249">
        <f t="shared" si="61"/>
        <v>505173.71493999998</v>
      </c>
      <c r="J303" s="2528"/>
      <c r="K303" s="2529"/>
      <c r="L303" s="2528">
        <v>289.11909000000003</v>
      </c>
      <c r="M303" s="2249">
        <f t="shared" si="62"/>
        <v>289.11909000000003</v>
      </c>
      <c r="N303" s="922"/>
      <c r="O303" s="922"/>
      <c r="P303" s="679"/>
      <c r="Q303" s="706"/>
      <c r="R303" s="707"/>
      <c r="S303" s="706"/>
      <c r="T303" s="706"/>
      <c r="U303" s="706"/>
      <c r="V303" s="706"/>
      <c r="W303" s="706"/>
      <c r="X303" s="706"/>
      <c r="Y303" s="706"/>
      <c r="Z303" s="706"/>
      <c r="AA303" s="706"/>
    </row>
    <row r="304" spans="1:27">
      <c r="B304" s="2473"/>
      <c r="C304" s="2540"/>
      <c r="D304" s="2493">
        <f t="shared" si="60"/>
        <v>0</v>
      </c>
      <c r="E304" s="2529"/>
      <c r="F304" s="2528"/>
      <c r="G304" s="2529"/>
      <c r="H304" s="2528"/>
      <c r="I304" s="2249">
        <f t="shared" si="61"/>
        <v>0</v>
      </c>
      <c r="J304" s="2528"/>
      <c r="K304" s="2529"/>
      <c r="L304" s="2528"/>
      <c r="M304" s="2249">
        <f t="shared" si="62"/>
        <v>0</v>
      </c>
      <c r="P304" s="679"/>
      <c r="Q304" s="706"/>
      <c r="R304" s="707"/>
      <c r="S304" s="706"/>
      <c r="T304" s="706"/>
      <c r="U304" s="706"/>
      <c r="V304" s="706"/>
      <c r="W304" s="706"/>
      <c r="X304" s="706"/>
      <c r="Y304" s="706"/>
      <c r="Z304" s="706"/>
      <c r="AA304" s="706"/>
    </row>
    <row r="305" spans="2:27" ht="12.75" customHeight="1">
      <c r="B305" s="2474" t="s">
        <v>335</v>
      </c>
      <c r="C305" s="2540"/>
      <c r="D305" s="2493">
        <f t="shared" si="60"/>
        <v>0</v>
      </c>
      <c r="E305" s="2529"/>
      <c r="F305" s="2528"/>
      <c r="G305" s="2529"/>
      <c r="H305" s="2528"/>
      <c r="I305" s="2249">
        <f t="shared" si="61"/>
        <v>0</v>
      </c>
      <c r="J305" s="2528"/>
      <c r="K305" s="2529"/>
      <c r="L305" s="2528"/>
      <c r="M305" s="2249">
        <f t="shared" si="62"/>
        <v>0</v>
      </c>
      <c r="N305" s="922"/>
      <c r="O305" s="922"/>
      <c r="P305" s="679"/>
      <c r="Q305" s="706"/>
      <c r="R305" s="707"/>
      <c r="S305" s="706"/>
      <c r="T305" s="706"/>
      <c r="U305" s="706"/>
      <c r="V305" s="706"/>
      <c r="W305" s="706"/>
      <c r="X305" s="706"/>
      <c r="Y305" s="706"/>
      <c r="Z305" s="706"/>
      <c r="AA305" s="706"/>
    </row>
    <row r="306" spans="2:27">
      <c r="B306" s="2468"/>
      <c r="C306" s="2540"/>
      <c r="D306" s="2493">
        <f t="shared" si="60"/>
        <v>0</v>
      </c>
      <c r="E306" s="2529"/>
      <c r="F306" s="2528"/>
      <c r="G306" s="2529"/>
      <c r="H306" s="2528"/>
      <c r="I306" s="2249">
        <f t="shared" si="61"/>
        <v>0</v>
      </c>
      <c r="J306" s="2528"/>
      <c r="K306" s="2529"/>
      <c r="L306" s="2528"/>
      <c r="M306" s="2249">
        <f t="shared" si="62"/>
        <v>0</v>
      </c>
      <c r="P306" s="679"/>
      <c r="Q306" s="706"/>
      <c r="R306" s="707"/>
      <c r="S306" s="706"/>
      <c r="T306" s="706"/>
      <c r="U306" s="706"/>
      <c r="V306" s="706"/>
      <c r="W306" s="706"/>
      <c r="X306" s="706"/>
      <c r="Y306" s="706"/>
      <c r="Z306" s="706"/>
      <c r="AA306" s="706"/>
    </row>
    <row r="307" spans="2:27">
      <c r="B307" s="2475" t="s">
        <v>336</v>
      </c>
      <c r="C307" s="2541"/>
      <c r="D307" s="2493">
        <f t="shared" si="60"/>
        <v>21570787.551819995</v>
      </c>
      <c r="E307" s="2529">
        <f>E301-E303+E305</f>
        <v>0</v>
      </c>
      <c r="F307" s="2528">
        <f>F301-F303+F305</f>
        <v>6036718.0310699996</v>
      </c>
      <c r="G307" s="2529">
        <f>G301-G303+G305</f>
        <v>10365205.975879997</v>
      </c>
      <c r="H307" s="2528">
        <f>H301-H303+H305</f>
        <v>5156052.0286400001</v>
      </c>
      <c r="I307" s="2249">
        <f t="shared" si="61"/>
        <v>21557976.035589997</v>
      </c>
      <c r="J307" s="2528">
        <f>J301-J303+J305</f>
        <v>0</v>
      </c>
      <c r="K307" s="2529">
        <f>K301-K303+K305</f>
        <v>0</v>
      </c>
      <c r="L307" s="2528">
        <f>L301-L303+L305</f>
        <v>12811.516229999999</v>
      </c>
      <c r="M307" s="2249">
        <f t="shared" si="62"/>
        <v>12811.516229999999</v>
      </c>
      <c r="N307" s="927"/>
      <c r="O307" s="922"/>
      <c r="P307" s="679"/>
      <c r="Q307" s="706"/>
      <c r="R307" s="707"/>
      <c r="S307" s="706"/>
      <c r="T307" s="706"/>
      <c r="U307" s="706"/>
      <c r="V307" s="706"/>
      <c r="W307" s="706"/>
      <c r="X307" s="706"/>
      <c r="Y307" s="706"/>
      <c r="Z307" s="706"/>
      <c r="AA307" s="706"/>
    </row>
    <row r="308" spans="2:27">
      <c r="B308" s="2475"/>
      <c r="C308" s="2541"/>
      <c r="D308" s="2493">
        <f t="shared" si="60"/>
        <v>0</v>
      </c>
      <c r="E308" s="2529"/>
      <c r="F308" s="2528"/>
      <c r="G308" s="2529"/>
      <c r="H308" s="2528"/>
      <c r="I308" s="2249">
        <f t="shared" si="61"/>
        <v>0</v>
      </c>
      <c r="J308" s="2528"/>
      <c r="K308" s="2529"/>
      <c r="L308" s="2528"/>
      <c r="M308" s="2249">
        <f t="shared" si="62"/>
        <v>0</v>
      </c>
      <c r="P308" s="679"/>
      <c r="Q308" s="706"/>
      <c r="R308" s="707"/>
      <c r="S308" s="706"/>
      <c r="T308" s="706"/>
      <c r="U308" s="706"/>
      <c r="V308" s="706"/>
      <c r="W308" s="706"/>
      <c r="X308" s="706"/>
      <c r="Y308" s="706"/>
      <c r="Z308" s="706"/>
      <c r="AA308" s="706"/>
    </row>
    <row r="309" spans="2:27">
      <c r="B309" s="2475" t="s">
        <v>337</v>
      </c>
      <c r="C309" s="2541"/>
      <c r="D309" s="2493">
        <f t="shared" si="60"/>
        <v>14912201.224230003</v>
      </c>
      <c r="E309" s="2529">
        <f>SUM(E310:E314)</f>
        <v>2756226.1429599999</v>
      </c>
      <c r="F309" s="2528">
        <f>SUM(F310:F314)</f>
        <v>6829017.780580001</v>
      </c>
      <c r="G309" s="2529">
        <f>SUM(G310:G314)</f>
        <v>2501725.26131</v>
      </c>
      <c r="H309" s="2528">
        <f>SUM(H310:H314)</f>
        <v>2825232.03938</v>
      </c>
      <c r="I309" s="2249">
        <f t="shared" si="61"/>
        <v>12155975.081270002</v>
      </c>
      <c r="J309" s="2528">
        <f>SUM(J310:J314)</f>
        <v>0</v>
      </c>
      <c r="K309" s="2529">
        <f>SUM(K310:K314)</f>
        <v>0</v>
      </c>
      <c r="L309" s="2528">
        <f>SUM(L310:L314)</f>
        <v>0</v>
      </c>
      <c r="M309" s="2249">
        <f t="shared" si="62"/>
        <v>0</v>
      </c>
      <c r="N309" s="927"/>
      <c r="O309" s="922"/>
      <c r="P309" s="679"/>
      <c r="Q309" s="706"/>
      <c r="R309" s="707"/>
      <c r="S309" s="706"/>
      <c r="T309" s="706"/>
      <c r="U309" s="706"/>
      <c r="V309" s="706"/>
      <c r="W309" s="706"/>
      <c r="X309" s="706"/>
      <c r="Y309" s="706"/>
      <c r="Z309" s="706"/>
      <c r="AA309" s="706"/>
    </row>
    <row r="310" spans="2:27">
      <c r="B310" s="2468" t="s">
        <v>338</v>
      </c>
      <c r="C310" s="2540">
        <v>1</v>
      </c>
      <c r="D310" s="2493">
        <f t="shared" si="60"/>
        <v>13542173.883180002</v>
      </c>
      <c r="E310" s="2529">
        <v>2512079.6651300001</v>
      </c>
      <c r="F310" s="2528">
        <v>5942535.5445700008</v>
      </c>
      <c r="G310" s="2529">
        <v>2326201.4935900001</v>
      </c>
      <c r="H310" s="2528">
        <v>2761357.1798900003</v>
      </c>
      <c r="I310" s="2249">
        <f t="shared" si="61"/>
        <v>11030094.218050001</v>
      </c>
      <c r="J310" s="2528"/>
      <c r="K310" s="2529"/>
      <c r="L310" s="2528"/>
      <c r="M310" s="2249">
        <f t="shared" si="62"/>
        <v>0</v>
      </c>
      <c r="N310" s="922"/>
      <c r="O310" s="922"/>
      <c r="P310" s="679"/>
      <c r="Q310" s="706"/>
      <c r="R310" s="707"/>
      <c r="S310" s="706"/>
      <c r="T310" s="706"/>
      <c r="U310" s="706"/>
      <c r="V310" s="706"/>
      <c r="W310" s="706"/>
      <c r="X310" s="706"/>
      <c r="Y310" s="706"/>
      <c r="Z310" s="706"/>
      <c r="AA310" s="706"/>
    </row>
    <row r="311" spans="2:27">
      <c r="B311" s="2468" t="s">
        <v>339</v>
      </c>
      <c r="C311" s="2540">
        <v>2</v>
      </c>
      <c r="D311" s="2493">
        <f t="shared" si="60"/>
        <v>131025.01655999999</v>
      </c>
      <c r="E311" s="2529">
        <v>0</v>
      </c>
      <c r="F311" s="2528">
        <v>17230.393199999999</v>
      </c>
      <c r="G311" s="2529">
        <v>113753.20306</v>
      </c>
      <c r="H311" s="2528">
        <v>41.420299999999997</v>
      </c>
      <c r="I311" s="2249">
        <f t="shared" si="61"/>
        <v>131025.01655999999</v>
      </c>
      <c r="J311" s="2528"/>
      <c r="K311" s="2529"/>
      <c r="L311" s="2528"/>
      <c r="M311" s="2249">
        <f t="shared" si="62"/>
        <v>0</v>
      </c>
      <c r="N311" s="922"/>
      <c r="O311" s="922"/>
      <c r="P311" s="679"/>
      <c r="Q311" s="706"/>
      <c r="R311" s="707"/>
      <c r="S311" s="706"/>
      <c r="T311" s="706"/>
      <c r="U311" s="706"/>
      <c r="V311" s="706"/>
      <c r="W311" s="706"/>
      <c r="X311" s="706"/>
      <c r="Y311" s="706"/>
      <c r="Z311" s="706"/>
      <c r="AA311" s="706"/>
    </row>
    <row r="312" spans="2:27">
      <c r="B312" s="2468" t="s">
        <v>340</v>
      </c>
      <c r="C312" s="2540"/>
      <c r="D312" s="2493">
        <f t="shared" si="60"/>
        <v>948286.91264999995</v>
      </c>
      <c r="E312" s="2529">
        <v>129438.61508</v>
      </c>
      <c r="F312" s="2528">
        <v>703573.64520000003</v>
      </c>
      <c r="G312" s="2529">
        <v>51441.213179999904</v>
      </c>
      <c r="H312" s="2528">
        <v>63833.439190000005</v>
      </c>
      <c r="I312" s="2249">
        <f t="shared" si="61"/>
        <v>818848.29756999994</v>
      </c>
      <c r="J312" s="2528"/>
      <c r="K312" s="2529"/>
      <c r="L312" s="2528"/>
      <c r="M312" s="2249">
        <f t="shared" si="62"/>
        <v>0</v>
      </c>
      <c r="N312" s="922"/>
      <c r="O312" s="922"/>
      <c r="P312" s="679"/>
      <c r="Q312" s="706"/>
      <c r="R312" s="707"/>
      <c r="S312" s="706"/>
      <c r="T312" s="706"/>
      <c r="U312" s="706"/>
      <c r="V312" s="706"/>
      <c r="W312" s="706"/>
      <c r="X312" s="706"/>
      <c r="Y312" s="706"/>
      <c r="Z312" s="706"/>
      <c r="AA312" s="706"/>
    </row>
    <row r="313" spans="2:27">
      <c r="B313" s="2468" t="s">
        <v>341</v>
      </c>
      <c r="C313" s="2540"/>
      <c r="D313" s="2493">
        <f t="shared" si="60"/>
        <v>280121.83234999998</v>
      </c>
      <c r="E313" s="2529">
        <v>114707.86275</v>
      </c>
      <c r="F313" s="2528">
        <v>165678.19760999997</v>
      </c>
      <c r="G313" s="2529">
        <v>-264.2280099999989</v>
      </c>
      <c r="H313" s="2528">
        <v>0</v>
      </c>
      <c r="I313" s="2249">
        <f t="shared" si="61"/>
        <v>165413.96959999998</v>
      </c>
      <c r="J313" s="2528"/>
      <c r="K313" s="2529"/>
      <c r="L313" s="2528"/>
      <c r="M313" s="2249">
        <f t="shared" si="62"/>
        <v>0</v>
      </c>
      <c r="N313" s="922"/>
      <c r="O313" s="922"/>
      <c r="P313" s="679"/>
      <c r="Q313" s="706"/>
      <c r="R313" s="707"/>
      <c r="S313" s="706"/>
      <c r="T313" s="706"/>
      <c r="U313" s="706"/>
      <c r="V313" s="706"/>
      <c r="W313" s="706"/>
      <c r="X313" s="706"/>
      <c r="Y313" s="706"/>
      <c r="Z313" s="706"/>
      <c r="AA313" s="706"/>
    </row>
    <row r="314" spans="2:27">
      <c r="B314" s="2468" t="s">
        <v>342</v>
      </c>
      <c r="C314" s="2540">
        <v>3</v>
      </c>
      <c r="D314" s="2493">
        <f t="shared" si="60"/>
        <v>10593.57949</v>
      </c>
      <c r="E314" s="2529">
        <v>0</v>
      </c>
      <c r="F314" s="2528">
        <v>0</v>
      </c>
      <c r="G314" s="2529">
        <v>10593.57949</v>
      </c>
      <c r="H314" s="2528">
        <v>0</v>
      </c>
      <c r="I314" s="2249">
        <f t="shared" si="61"/>
        <v>10593.57949</v>
      </c>
      <c r="J314" s="2528"/>
      <c r="K314" s="2529"/>
      <c r="L314" s="2528"/>
      <c r="M314" s="2249">
        <f t="shared" si="62"/>
        <v>0</v>
      </c>
      <c r="N314" s="922"/>
      <c r="O314" s="922"/>
      <c r="P314" s="679"/>
      <c r="Q314" s="706"/>
      <c r="R314" s="707"/>
      <c r="S314" s="706"/>
      <c r="T314" s="706"/>
      <c r="U314" s="706"/>
      <c r="V314" s="706"/>
      <c r="W314" s="706"/>
      <c r="X314" s="706"/>
      <c r="Y314" s="706"/>
      <c r="Z314" s="706"/>
      <c r="AA314" s="706"/>
    </row>
    <row r="315" spans="2:27">
      <c r="B315" s="2468" t="s">
        <v>343</v>
      </c>
      <c r="C315" s="2540"/>
      <c r="D315" s="2493">
        <f t="shared" si="60"/>
        <v>0</v>
      </c>
      <c r="E315" s="2529"/>
      <c r="F315" s="2528"/>
      <c r="G315" s="2529"/>
      <c r="H315" s="2528"/>
      <c r="I315" s="2249">
        <f t="shared" si="61"/>
        <v>0</v>
      </c>
      <c r="J315" s="2528"/>
      <c r="K315" s="2529"/>
      <c r="L315" s="2528"/>
      <c r="M315" s="2249">
        <f t="shared" si="62"/>
        <v>0</v>
      </c>
      <c r="P315" s="679"/>
      <c r="Q315" s="706"/>
      <c r="R315" s="707"/>
      <c r="S315" s="706"/>
      <c r="T315" s="706"/>
      <c r="U315" s="706"/>
      <c r="V315" s="706"/>
      <c r="W315" s="706"/>
      <c r="X315" s="706"/>
      <c r="Y315" s="706"/>
      <c r="Z315" s="706"/>
      <c r="AA315" s="706"/>
    </row>
    <row r="316" spans="2:27">
      <c r="B316" s="2468" t="s">
        <v>343</v>
      </c>
      <c r="C316" s="2540"/>
      <c r="D316" s="2493">
        <f t="shared" si="60"/>
        <v>0</v>
      </c>
      <c r="E316" s="2529"/>
      <c r="F316" s="2528"/>
      <c r="G316" s="2529"/>
      <c r="H316" s="2528"/>
      <c r="I316" s="2249">
        <f t="shared" si="61"/>
        <v>0</v>
      </c>
      <c r="J316" s="2528"/>
      <c r="K316" s="2529"/>
      <c r="L316" s="2528"/>
      <c r="M316" s="2249">
        <f t="shared" si="62"/>
        <v>0</v>
      </c>
      <c r="P316" s="679"/>
      <c r="Q316" s="706"/>
      <c r="R316" s="707"/>
      <c r="S316" s="706"/>
      <c r="T316" s="706"/>
      <c r="U316" s="706"/>
      <c r="V316" s="706"/>
      <c r="W316" s="706"/>
      <c r="X316" s="706"/>
      <c r="Y316" s="706"/>
      <c r="Z316" s="706"/>
      <c r="AA316" s="706"/>
    </row>
    <row r="317" spans="2:27">
      <c r="B317" s="2468"/>
      <c r="C317" s="2540"/>
      <c r="D317" s="2493">
        <f t="shared" si="60"/>
        <v>0</v>
      </c>
      <c r="E317" s="2529"/>
      <c r="F317" s="2528"/>
      <c r="G317" s="2529"/>
      <c r="H317" s="2528"/>
      <c r="I317" s="2249">
        <f t="shared" si="61"/>
        <v>0</v>
      </c>
      <c r="J317" s="2528"/>
      <c r="K317" s="2529"/>
      <c r="L317" s="2528"/>
      <c r="M317" s="2249">
        <f t="shared" si="62"/>
        <v>0</v>
      </c>
      <c r="P317" s="679"/>
      <c r="Q317" s="706"/>
      <c r="R317" s="707"/>
      <c r="S317" s="706"/>
      <c r="T317" s="706"/>
      <c r="U317" s="706"/>
      <c r="V317" s="706"/>
      <c r="W317" s="706"/>
      <c r="X317" s="706"/>
      <c r="Y317" s="706"/>
      <c r="Z317" s="706"/>
      <c r="AA317" s="706"/>
    </row>
    <row r="318" spans="2:27">
      <c r="B318" s="2478" t="s">
        <v>344</v>
      </c>
      <c r="C318" s="2541"/>
      <c r="D318" s="2493">
        <f t="shared" si="60"/>
        <v>36482988.776049994</v>
      </c>
      <c r="E318" s="2529">
        <f>E307+E309</f>
        <v>2756226.1429599999</v>
      </c>
      <c r="F318" s="2528">
        <f>F307+F309</f>
        <v>12865735.811650001</v>
      </c>
      <c r="G318" s="2529">
        <f>G307+G309</f>
        <v>12866931.237189997</v>
      </c>
      <c r="H318" s="2528">
        <f>H307+H309</f>
        <v>7981284.0680200001</v>
      </c>
      <c r="I318" s="2249">
        <f t="shared" si="61"/>
        <v>33713951.116859995</v>
      </c>
      <c r="J318" s="2528">
        <f>J307+J309</f>
        <v>0</v>
      </c>
      <c r="K318" s="2529">
        <f>K307+K309</f>
        <v>0</v>
      </c>
      <c r="L318" s="2528">
        <f>L307+L309</f>
        <v>12811.516229999999</v>
      </c>
      <c r="M318" s="2249">
        <f t="shared" si="62"/>
        <v>12811.516229999999</v>
      </c>
      <c r="N318" s="927"/>
      <c r="O318" s="922"/>
      <c r="P318" s="679"/>
      <c r="Q318" s="706"/>
      <c r="R318" s="707"/>
      <c r="S318" s="706"/>
      <c r="T318" s="706"/>
      <c r="U318" s="706"/>
      <c r="V318" s="706"/>
      <c r="W318" s="706"/>
      <c r="X318" s="706"/>
      <c r="Y318" s="706"/>
      <c r="Z318" s="706"/>
      <c r="AA318" s="706"/>
    </row>
    <row r="319" spans="2:27">
      <c r="B319" s="2478"/>
      <c r="C319" s="2541"/>
      <c r="D319" s="2493">
        <f t="shared" si="60"/>
        <v>0</v>
      </c>
      <c r="E319" s="2529"/>
      <c r="F319" s="2528"/>
      <c r="G319" s="2529"/>
      <c r="H319" s="2528"/>
      <c r="I319" s="2249">
        <f t="shared" si="61"/>
        <v>0</v>
      </c>
      <c r="J319" s="2528"/>
      <c r="K319" s="2529"/>
      <c r="L319" s="2528"/>
      <c r="M319" s="2249"/>
      <c r="P319" s="679"/>
      <c r="Q319" s="706"/>
      <c r="R319" s="707"/>
      <c r="S319" s="706"/>
      <c r="T319" s="706"/>
      <c r="U319" s="706"/>
      <c r="V319" s="706"/>
      <c r="W319" s="706"/>
      <c r="X319" s="706"/>
      <c r="Y319" s="706"/>
      <c r="Z319" s="706"/>
      <c r="AA319" s="706"/>
    </row>
    <row r="320" spans="2:27">
      <c r="B320" s="2468" t="s">
        <v>345</v>
      </c>
      <c r="C320" s="2540"/>
      <c r="D320" s="2493">
        <f t="shared" si="60"/>
        <v>12510504.90466</v>
      </c>
      <c r="E320" s="2529"/>
      <c r="F320" s="2528">
        <v>5564143.4450000003</v>
      </c>
      <c r="G320" s="2529">
        <v>4397786.5546599999</v>
      </c>
      <c r="H320" s="2528">
        <v>2548574.9049999998</v>
      </c>
      <c r="I320" s="2249">
        <f t="shared" si="61"/>
        <v>12510504.90466</v>
      </c>
      <c r="J320" s="2528"/>
      <c r="K320" s="2529"/>
      <c r="L320" s="2528"/>
      <c r="M320" s="2249">
        <f t="shared" ref="M320:M338" si="63">L320+K320+J320</f>
        <v>0</v>
      </c>
      <c r="N320" s="922"/>
      <c r="O320" s="922"/>
      <c r="P320" s="679"/>
      <c r="Q320" s="706"/>
      <c r="R320" s="707"/>
      <c r="S320" s="706"/>
      <c r="T320" s="706"/>
      <c r="U320" s="706"/>
      <c r="V320" s="706"/>
      <c r="W320" s="706"/>
      <c r="X320" s="706"/>
      <c r="Y320" s="706"/>
      <c r="Z320" s="706"/>
      <c r="AA320" s="706"/>
    </row>
    <row r="321" spans="2:27">
      <c r="B321" s="2468" t="s">
        <v>346</v>
      </c>
      <c r="C321" s="2540"/>
      <c r="D321" s="2493">
        <f t="shared" si="60"/>
        <v>-243992.00589999999</v>
      </c>
      <c r="E321" s="2529"/>
      <c r="F321" s="2528">
        <v>-11242.407279999999</v>
      </c>
      <c r="G321" s="2529">
        <v>-232275.91615</v>
      </c>
      <c r="H321" s="2528">
        <v>-473.68247000000002</v>
      </c>
      <c r="I321" s="2249">
        <f t="shared" si="61"/>
        <v>-243992.00589999999</v>
      </c>
      <c r="J321" s="2528"/>
      <c r="K321" s="2529"/>
      <c r="L321" s="2528"/>
      <c r="M321" s="2249">
        <f t="shared" si="63"/>
        <v>0</v>
      </c>
      <c r="N321" s="922"/>
      <c r="O321" s="922"/>
      <c r="P321" s="679"/>
      <c r="Q321" s="706"/>
      <c r="R321" s="707"/>
      <c r="S321" s="706"/>
      <c r="T321" s="706"/>
      <c r="U321" s="706"/>
      <c r="V321" s="706"/>
      <c r="W321" s="706"/>
      <c r="X321" s="706"/>
      <c r="Y321" s="706"/>
      <c r="Z321" s="706"/>
      <c r="AA321" s="706"/>
    </row>
    <row r="322" spans="2:27">
      <c r="B322" s="2468" t="s">
        <v>347</v>
      </c>
      <c r="C322" s="2540"/>
      <c r="D322" s="2493">
        <f t="shared" si="60"/>
        <v>0</v>
      </c>
      <c r="E322" s="2529"/>
      <c r="F322" s="2528"/>
      <c r="G322" s="2529"/>
      <c r="H322" s="2528"/>
      <c r="I322" s="2249">
        <f t="shared" si="61"/>
        <v>0</v>
      </c>
      <c r="J322" s="2528"/>
      <c r="K322" s="2529"/>
      <c r="L322" s="2528"/>
      <c r="M322" s="2249">
        <f t="shared" si="63"/>
        <v>0</v>
      </c>
      <c r="N322" s="922"/>
      <c r="O322" s="922"/>
      <c r="P322" s="679"/>
      <c r="Q322" s="706"/>
      <c r="R322" s="707"/>
      <c r="S322" s="706"/>
      <c r="T322" s="706"/>
      <c r="U322" s="706"/>
      <c r="V322" s="706"/>
      <c r="W322" s="706"/>
      <c r="X322" s="706"/>
      <c r="Y322" s="706"/>
      <c r="Z322" s="706"/>
      <c r="AA322" s="706"/>
    </row>
    <row r="323" spans="2:27" ht="15.75" customHeight="1">
      <c r="B323" s="2479" t="s">
        <v>348</v>
      </c>
      <c r="C323" s="2540"/>
      <c r="D323" s="2493">
        <f t="shared" si="60"/>
        <v>0</v>
      </c>
      <c r="E323" s="2529"/>
      <c r="F323" s="2528"/>
      <c r="G323" s="2529"/>
      <c r="H323" s="2528"/>
      <c r="I323" s="2249">
        <f t="shared" si="61"/>
        <v>0</v>
      </c>
      <c r="J323" s="2528"/>
      <c r="K323" s="2529"/>
      <c r="L323" s="2528"/>
      <c r="M323" s="2249">
        <f t="shared" si="63"/>
        <v>0</v>
      </c>
      <c r="N323" s="922"/>
      <c r="O323" s="922"/>
      <c r="P323" s="679"/>
      <c r="Q323" s="706"/>
      <c r="R323" s="707"/>
      <c r="S323" s="706"/>
      <c r="T323" s="706"/>
      <c r="U323" s="706"/>
      <c r="V323" s="706"/>
      <c r="W323" s="706"/>
      <c r="X323" s="706"/>
      <c r="Y323" s="706"/>
      <c r="Z323" s="706"/>
      <c r="AA323" s="706"/>
    </row>
    <row r="324" spans="2:27">
      <c r="B324" s="2468" t="s">
        <v>349</v>
      </c>
      <c r="C324" s="2540"/>
      <c r="D324" s="2493">
        <f t="shared" si="60"/>
        <v>9423993.888939999</v>
      </c>
      <c r="E324" s="2529"/>
      <c r="F324" s="2528">
        <v>4034342.0571505199</v>
      </c>
      <c r="G324" s="2529">
        <v>994336.53927699802</v>
      </c>
      <c r="H324" s="2528">
        <v>4395315.2925124802</v>
      </c>
      <c r="I324" s="2249">
        <f t="shared" si="61"/>
        <v>9423993.888939999</v>
      </c>
      <c r="J324" s="2528"/>
      <c r="K324" s="2529"/>
      <c r="L324" s="2528"/>
      <c r="M324" s="2249">
        <f t="shared" si="63"/>
        <v>0</v>
      </c>
      <c r="N324" s="922"/>
      <c r="O324" s="922"/>
      <c r="P324" s="679"/>
      <c r="Q324" s="706"/>
      <c r="R324" s="707"/>
      <c r="S324" s="706"/>
      <c r="T324" s="706"/>
      <c r="U324" s="706"/>
      <c r="V324" s="706"/>
      <c r="W324" s="706"/>
      <c r="X324" s="706"/>
      <c r="Y324" s="706"/>
      <c r="Z324" s="706"/>
      <c r="AA324" s="706"/>
    </row>
    <row r="325" spans="2:27">
      <c r="B325" s="2468" t="s">
        <v>350</v>
      </c>
      <c r="C325" s="2540"/>
      <c r="D325" s="2493">
        <f t="shared" si="60"/>
        <v>0</v>
      </c>
      <c r="E325" s="2529"/>
      <c r="F325" s="2528"/>
      <c r="G325" s="2529"/>
      <c r="H325" s="2528"/>
      <c r="I325" s="2249">
        <f t="shared" si="61"/>
        <v>0</v>
      </c>
      <c r="J325" s="2528"/>
      <c r="K325" s="2529"/>
      <c r="L325" s="2528"/>
      <c r="M325" s="2249">
        <f t="shared" si="63"/>
        <v>0</v>
      </c>
      <c r="N325" s="922"/>
      <c r="O325" s="922"/>
      <c r="P325" s="679"/>
      <c r="Q325" s="706"/>
      <c r="R325" s="707"/>
      <c r="S325" s="706"/>
      <c r="T325" s="706"/>
      <c r="U325" s="706"/>
      <c r="V325" s="706"/>
      <c r="W325" s="706"/>
      <c r="X325" s="706"/>
      <c r="Y325" s="706"/>
      <c r="Z325" s="706"/>
      <c r="AA325" s="706"/>
    </row>
    <row r="326" spans="2:27">
      <c r="B326" s="2478" t="s">
        <v>351</v>
      </c>
      <c r="C326" s="2541"/>
      <c r="D326" s="2493">
        <f t="shared" si="60"/>
        <v>21690506.787699997</v>
      </c>
      <c r="E326" s="2529">
        <f>SUM(E320:E325)</f>
        <v>0</v>
      </c>
      <c r="F326" s="2528">
        <f>SUM(F320:F325)</f>
        <v>9587243.0948705208</v>
      </c>
      <c r="G326" s="2529">
        <f>SUM(G320:G325)</f>
        <v>5159847.1777869985</v>
      </c>
      <c r="H326" s="2528">
        <f>SUM(H320:H325)</f>
        <v>6943416.5150424801</v>
      </c>
      <c r="I326" s="2249">
        <f t="shared" si="61"/>
        <v>21690506.787699997</v>
      </c>
      <c r="J326" s="2528">
        <f>SUM(J320:J325)</f>
        <v>0</v>
      </c>
      <c r="K326" s="2529">
        <f>SUM(K320:K325)</f>
        <v>0</v>
      </c>
      <c r="L326" s="2528">
        <f>SUM(L320:L325)</f>
        <v>0</v>
      </c>
      <c r="M326" s="2249">
        <f t="shared" si="63"/>
        <v>0</v>
      </c>
      <c r="N326" s="927"/>
      <c r="O326" s="922"/>
      <c r="P326" s="679"/>
      <c r="Q326" s="706"/>
      <c r="R326" s="707"/>
      <c r="S326" s="706"/>
      <c r="T326" s="706"/>
      <c r="U326" s="706"/>
      <c r="V326" s="706"/>
      <c r="W326" s="706"/>
      <c r="X326" s="706"/>
      <c r="Y326" s="706"/>
      <c r="Z326" s="706"/>
      <c r="AA326" s="706"/>
    </row>
    <row r="327" spans="2:27">
      <c r="B327" s="2468"/>
      <c r="C327" s="2540"/>
      <c r="D327" s="2493">
        <f t="shared" si="60"/>
        <v>0</v>
      </c>
      <c r="E327" s="2529"/>
      <c r="F327" s="2528"/>
      <c r="G327" s="2529"/>
      <c r="H327" s="2528"/>
      <c r="I327" s="2249">
        <f t="shared" si="61"/>
        <v>0</v>
      </c>
      <c r="J327" s="2528"/>
      <c r="K327" s="2529"/>
      <c r="L327" s="2528"/>
      <c r="M327" s="2249">
        <f t="shared" si="63"/>
        <v>0</v>
      </c>
      <c r="O327" s="922"/>
      <c r="P327" s="679"/>
      <c r="Q327" s="706"/>
      <c r="R327" s="707"/>
      <c r="S327" s="706"/>
      <c r="T327" s="706"/>
      <c r="U327" s="706"/>
      <c r="V327" s="706"/>
      <c r="W327" s="706"/>
      <c r="X327" s="706"/>
      <c r="Y327" s="706"/>
      <c r="Z327" s="706"/>
      <c r="AA327" s="706"/>
    </row>
    <row r="328" spans="2:27" ht="25.5">
      <c r="B328" s="2479" t="s">
        <v>352</v>
      </c>
      <c r="C328" s="2540"/>
      <c r="D328" s="2493">
        <f t="shared" si="60"/>
        <v>2123644.3647400001</v>
      </c>
      <c r="E328" s="2529"/>
      <c r="F328" s="2528">
        <v>722640.46409999998</v>
      </c>
      <c r="G328" s="2529">
        <v>793806.50312000001</v>
      </c>
      <c r="H328" s="2528">
        <v>607197.39752</v>
      </c>
      <c r="I328" s="2249">
        <f t="shared" si="61"/>
        <v>2123644.3647400001</v>
      </c>
      <c r="J328" s="2528"/>
      <c r="K328" s="2529"/>
      <c r="L328" s="2528"/>
      <c r="M328" s="2249">
        <f t="shared" si="63"/>
        <v>0</v>
      </c>
      <c r="N328" s="922"/>
      <c r="O328" s="922"/>
      <c r="P328" s="679"/>
      <c r="Q328" s="706"/>
      <c r="R328" s="707"/>
      <c r="S328" s="706"/>
      <c r="T328" s="706"/>
      <c r="U328" s="706"/>
      <c r="V328" s="706"/>
      <c r="W328" s="706"/>
      <c r="X328" s="706"/>
      <c r="Y328" s="706"/>
      <c r="Z328" s="706"/>
      <c r="AA328" s="706"/>
    </row>
    <row r="329" spans="2:27">
      <c r="B329" s="2468"/>
      <c r="C329" s="2540"/>
      <c r="D329" s="2493">
        <f t="shared" si="60"/>
        <v>0</v>
      </c>
      <c r="E329" s="2529"/>
      <c r="F329" s="2528"/>
      <c r="G329" s="2529"/>
      <c r="H329" s="2528"/>
      <c r="I329" s="2249">
        <f t="shared" si="61"/>
        <v>0</v>
      </c>
      <c r="J329" s="2528"/>
      <c r="K329" s="2529"/>
      <c r="L329" s="2528"/>
      <c r="M329" s="2249">
        <f t="shared" si="63"/>
        <v>0</v>
      </c>
      <c r="N329" s="922"/>
      <c r="O329" s="922"/>
      <c r="P329" s="679"/>
      <c r="Q329" s="706"/>
      <c r="R329" s="707"/>
      <c r="S329" s="706"/>
      <c r="T329" s="706"/>
      <c r="U329" s="706"/>
      <c r="V329" s="706"/>
      <c r="W329" s="706"/>
      <c r="X329" s="706"/>
      <c r="Y329" s="706"/>
      <c r="Z329" s="706"/>
      <c r="AA329" s="706"/>
    </row>
    <row r="330" spans="2:27" ht="12.75" customHeight="1">
      <c r="B330" s="2479" t="s">
        <v>353</v>
      </c>
      <c r="C330" s="2540">
        <v>4</v>
      </c>
      <c r="D330" s="2493">
        <f t="shared" si="60"/>
        <v>3823329.7972799982</v>
      </c>
      <c r="E330" s="2529">
        <v>-730643.82276999997</v>
      </c>
      <c r="F330" s="2528">
        <v>2187292.2710866402</v>
      </c>
      <c r="G330" s="2529">
        <v>1931073.00476763</v>
      </c>
      <c r="H330" s="2528">
        <v>422796.82796572801</v>
      </c>
      <c r="I330" s="2249">
        <f t="shared" si="61"/>
        <v>4541162.103819998</v>
      </c>
      <c r="J330" s="2528"/>
      <c r="K330" s="2529"/>
      <c r="L330" s="2528">
        <v>12811.516229999999</v>
      </c>
      <c r="M330" s="2249">
        <f t="shared" si="63"/>
        <v>12811.516229999999</v>
      </c>
      <c r="N330" s="922"/>
      <c r="O330" s="922"/>
      <c r="P330" s="679"/>
      <c r="Q330" s="706"/>
      <c r="R330" s="707"/>
      <c r="S330" s="706"/>
      <c r="T330" s="706"/>
      <c r="U330" s="706"/>
      <c r="V330" s="706"/>
      <c r="W330" s="706"/>
      <c r="X330" s="706"/>
      <c r="Y330" s="706"/>
      <c r="Z330" s="706"/>
      <c r="AA330" s="706"/>
    </row>
    <row r="331" spans="2:27">
      <c r="B331" s="2468" t="s">
        <v>354</v>
      </c>
      <c r="C331" s="2540"/>
      <c r="D331" s="2493">
        <f t="shared" si="60"/>
        <v>0</v>
      </c>
      <c r="E331" s="2529"/>
      <c r="F331" s="2528"/>
      <c r="G331" s="2529"/>
      <c r="H331" s="2528"/>
      <c r="I331" s="2249">
        <f t="shared" si="61"/>
        <v>0</v>
      </c>
      <c r="J331" s="2528"/>
      <c r="K331" s="2529"/>
      <c r="L331" s="2528"/>
      <c r="M331" s="2249">
        <f t="shared" si="63"/>
        <v>0</v>
      </c>
      <c r="N331" s="922"/>
      <c r="O331" s="922"/>
      <c r="P331" s="679"/>
      <c r="Q331" s="706"/>
      <c r="R331" s="707"/>
      <c r="S331" s="706"/>
      <c r="T331" s="706"/>
      <c r="U331" s="706"/>
      <c r="V331" s="706"/>
      <c r="W331" s="706"/>
      <c r="X331" s="706"/>
      <c r="Y331" s="706"/>
      <c r="Z331" s="706"/>
      <c r="AA331" s="706"/>
    </row>
    <row r="332" spans="2:27">
      <c r="B332" s="2468" t="s">
        <v>355</v>
      </c>
      <c r="C332" s="2540"/>
      <c r="D332" s="2493">
        <f t="shared" si="60"/>
        <v>78995.421940000015</v>
      </c>
      <c r="E332" s="2529">
        <v>2703.4888799999999</v>
      </c>
      <c r="F332" s="2528">
        <v>39214.053592839999</v>
      </c>
      <c r="G332" s="2529">
        <v>29204.551975367998</v>
      </c>
      <c r="H332" s="2528">
        <v>7873.3274917919998</v>
      </c>
      <c r="I332" s="2249">
        <f t="shared" si="61"/>
        <v>76291.93306000001</v>
      </c>
      <c r="J332" s="2528"/>
      <c r="K332" s="2529"/>
      <c r="L332" s="2528"/>
      <c r="M332" s="2249">
        <f t="shared" si="63"/>
        <v>0</v>
      </c>
      <c r="N332" s="922"/>
      <c r="O332" s="922"/>
      <c r="P332" s="679"/>
      <c r="Q332" s="706"/>
      <c r="R332" s="707"/>
      <c r="S332" s="706"/>
      <c r="T332" s="706"/>
      <c r="U332" s="706"/>
      <c r="V332" s="706"/>
      <c r="W332" s="706"/>
      <c r="X332" s="706"/>
      <c r="Y332" s="706"/>
      <c r="Z332" s="706"/>
      <c r="AA332" s="706"/>
    </row>
    <row r="333" spans="2:27">
      <c r="B333" s="2478" t="s">
        <v>356</v>
      </c>
      <c r="C333" s="2541"/>
      <c r="D333" s="2493">
        <f t="shared" si="60"/>
        <v>3902325.2192199989</v>
      </c>
      <c r="E333" s="2529">
        <f>SUM(E330:E332)</f>
        <v>-727940.33389000001</v>
      </c>
      <c r="F333" s="2528">
        <f>SUM(F330:F332)</f>
        <v>2226506.3246794804</v>
      </c>
      <c r="G333" s="2529">
        <f>SUM(G330:G332)</f>
        <v>1960277.5567429981</v>
      </c>
      <c r="H333" s="2528">
        <f>SUM(H330:H332)</f>
        <v>430670.15545751998</v>
      </c>
      <c r="I333" s="2249">
        <f t="shared" si="61"/>
        <v>4617454.0368799986</v>
      </c>
      <c r="J333" s="2528">
        <f>SUM(J330:J332)</f>
        <v>0</v>
      </c>
      <c r="K333" s="2529">
        <f>SUM(K330:K332)</f>
        <v>0</v>
      </c>
      <c r="L333" s="2528">
        <f>SUM(L330:L332)</f>
        <v>12811.516229999999</v>
      </c>
      <c r="M333" s="2249">
        <f t="shared" si="63"/>
        <v>12811.516229999999</v>
      </c>
      <c r="N333" s="927"/>
      <c r="O333" s="922"/>
      <c r="P333" s="679"/>
      <c r="Q333" s="706"/>
      <c r="R333" s="707"/>
      <c r="S333" s="706"/>
      <c r="T333" s="706"/>
      <c r="U333" s="706"/>
      <c r="V333" s="706"/>
      <c r="W333" s="706"/>
      <c r="X333" s="706"/>
      <c r="Y333" s="706"/>
      <c r="Z333" s="706"/>
      <c r="AA333" s="706"/>
    </row>
    <row r="334" spans="2:27">
      <c r="B334" s="2478"/>
      <c r="C334" s="2541"/>
      <c r="D334" s="2493">
        <f t="shared" si="60"/>
        <v>0</v>
      </c>
      <c r="E334" s="2529"/>
      <c r="F334" s="2528"/>
      <c r="G334" s="2529"/>
      <c r="H334" s="2528"/>
      <c r="I334" s="2249">
        <f t="shared" si="61"/>
        <v>0</v>
      </c>
      <c r="J334" s="2528"/>
      <c r="K334" s="2529"/>
      <c r="L334" s="2528"/>
      <c r="M334" s="2249">
        <f t="shared" si="63"/>
        <v>0</v>
      </c>
      <c r="P334" s="679"/>
      <c r="Q334" s="706"/>
      <c r="R334" s="707"/>
      <c r="S334" s="706"/>
      <c r="T334" s="706"/>
      <c r="U334" s="706"/>
      <c r="V334" s="706"/>
      <c r="W334" s="706"/>
      <c r="X334" s="706"/>
      <c r="Y334" s="706"/>
      <c r="Z334" s="706"/>
      <c r="AA334" s="706"/>
    </row>
    <row r="335" spans="2:27">
      <c r="B335" s="2478" t="s">
        <v>357</v>
      </c>
      <c r="C335" s="2542"/>
      <c r="D335" s="2493">
        <f t="shared" si="60"/>
        <v>8766512.4043899998</v>
      </c>
      <c r="E335" s="2529">
        <f>E318-E326-E328-E333</f>
        <v>3484166.4768499997</v>
      </c>
      <c r="F335" s="2528">
        <f>F318-F326-F328-F333</f>
        <v>329345.92799999937</v>
      </c>
      <c r="G335" s="2529">
        <f>G318-G326-G328-G333</f>
        <v>4952999.9995400012</v>
      </c>
      <c r="H335" s="2528">
        <f>H318-H326-H328-H333</f>
        <v>0</v>
      </c>
      <c r="I335" s="2249">
        <f t="shared" si="61"/>
        <v>5282345.9275400005</v>
      </c>
      <c r="J335" s="2528">
        <f>J318-J326-J328-J333</f>
        <v>0</v>
      </c>
      <c r="K335" s="2529">
        <f>K318-K326-K328-K333</f>
        <v>0</v>
      </c>
      <c r="L335" s="2528">
        <f>L318-L326-L328-L333</f>
        <v>0</v>
      </c>
      <c r="M335" s="2249">
        <f t="shared" si="63"/>
        <v>0</v>
      </c>
      <c r="N335" s="927"/>
      <c r="O335" s="922"/>
      <c r="P335" s="679"/>
      <c r="Q335" s="706"/>
      <c r="R335" s="707"/>
      <c r="S335" s="706"/>
      <c r="T335" s="706"/>
      <c r="U335" s="706"/>
      <c r="V335" s="706"/>
      <c r="W335" s="706"/>
      <c r="X335" s="706"/>
      <c r="Y335" s="706"/>
      <c r="Z335" s="706"/>
      <c r="AA335" s="706"/>
    </row>
    <row r="336" spans="2:27">
      <c r="B336" s="2468" t="s">
        <v>358</v>
      </c>
      <c r="C336" s="2540"/>
      <c r="D336" s="2493">
        <f t="shared" si="60"/>
        <v>1832391.4679702083</v>
      </c>
      <c r="E336" s="2529">
        <v>650894.98343020806</v>
      </c>
      <c r="F336" s="2528">
        <v>128496.485</v>
      </c>
      <c r="G336" s="2529">
        <v>1052999.99954</v>
      </c>
      <c r="H336" s="2528"/>
      <c r="I336" s="2249">
        <f t="shared" si="61"/>
        <v>1181496.4845400001</v>
      </c>
      <c r="J336" s="2528"/>
      <c r="K336" s="2529"/>
      <c r="L336" s="2528"/>
      <c r="M336" s="2249">
        <f t="shared" si="63"/>
        <v>0</v>
      </c>
      <c r="N336" s="922"/>
      <c r="O336" s="922"/>
      <c r="P336" s="679"/>
      <c r="Q336" s="706"/>
      <c r="R336" s="707"/>
      <c r="S336" s="706"/>
      <c r="T336" s="708"/>
      <c r="U336" s="706"/>
      <c r="V336" s="706"/>
      <c r="W336" s="706"/>
      <c r="X336" s="706"/>
      <c r="Y336" s="706"/>
      <c r="Z336" s="706"/>
      <c r="AA336" s="706"/>
    </row>
    <row r="337" spans="1:27">
      <c r="B337" s="2468"/>
      <c r="C337" s="2540"/>
      <c r="D337" s="2493">
        <f t="shared" si="60"/>
        <v>0</v>
      </c>
      <c r="E337" s="2529"/>
      <c r="F337" s="2528"/>
      <c r="G337" s="2529"/>
      <c r="H337" s="2528"/>
      <c r="I337" s="2249">
        <f t="shared" si="61"/>
        <v>0</v>
      </c>
      <c r="J337" s="2528"/>
      <c r="K337" s="2529"/>
      <c r="L337" s="2528"/>
      <c r="M337" s="2249">
        <f t="shared" si="63"/>
        <v>0</v>
      </c>
      <c r="P337" s="679"/>
      <c r="Q337" s="706"/>
      <c r="R337" s="707"/>
      <c r="S337" s="706"/>
      <c r="T337" s="706"/>
      <c r="U337" s="706"/>
      <c r="V337" s="706"/>
      <c r="W337" s="706"/>
      <c r="X337" s="706"/>
      <c r="Y337" s="706"/>
      <c r="Z337" s="706"/>
      <c r="AA337" s="706"/>
    </row>
    <row r="338" spans="1:27" ht="13.5" thickBot="1">
      <c r="B338" s="1611" t="s">
        <v>359</v>
      </c>
      <c r="C338" s="1622"/>
      <c r="D338" s="1623">
        <f t="shared" si="60"/>
        <v>6934120.9364197925</v>
      </c>
      <c r="E338" s="1614">
        <f>E335-E336</f>
        <v>2833271.4934197916</v>
      </c>
      <c r="F338" s="1624">
        <f>F335-F336</f>
        <v>200849.44299999939</v>
      </c>
      <c r="G338" s="1614">
        <f>G335-G336</f>
        <v>3900000.0000000009</v>
      </c>
      <c r="H338" s="1624">
        <f>H335-H336</f>
        <v>0</v>
      </c>
      <c r="I338" s="1614">
        <f t="shared" si="61"/>
        <v>4100849.4430000004</v>
      </c>
      <c r="J338" s="1624">
        <f>J335-J336</f>
        <v>0</v>
      </c>
      <c r="K338" s="1614">
        <f>K335-K336</f>
        <v>0</v>
      </c>
      <c r="L338" s="1624">
        <f>L335-L336</f>
        <v>0</v>
      </c>
      <c r="M338" s="1614">
        <f t="shared" si="63"/>
        <v>0</v>
      </c>
      <c r="N338" s="927"/>
      <c r="O338" s="922"/>
      <c r="P338" s="679"/>
      <c r="Q338" s="706"/>
      <c r="R338" s="707"/>
      <c r="S338" s="706"/>
      <c r="T338" s="706"/>
      <c r="U338" s="706"/>
      <c r="V338" s="706"/>
      <c r="W338" s="706"/>
      <c r="X338" s="706"/>
      <c r="Y338" s="706"/>
      <c r="Z338" s="706"/>
      <c r="AA338" s="706"/>
    </row>
    <row r="339" spans="1:27">
      <c r="N339" s="673"/>
      <c r="O339" s="673"/>
      <c r="R339" s="707"/>
      <c r="S339" s="699"/>
      <c r="T339" s="699"/>
      <c r="U339" s="699"/>
      <c r="V339" s="699"/>
      <c r="W339" s="699"/>
      <c r="X339" s="699"/>
      <c r="Y339" s="699"/>
      <c r="Z339" s="699"/>
      <c r="AA339" s="699"/>
    </row>
    <row r="340" spans="1:27">
      <c r="M340" s="912">
        <v>70</v>
      </c>
      <c r="R340" s="264"/>
      <c r="S340" s="699"/>
      <c r="T340" s="699"/>
      <c r="U340" s="699"/>
      <c r="V340" s="699"/>
      <c r="W340" s="699"/>
      <c r="X340" s="699"/>
      <c r="Y340" s="699"/>
      <c r="Z340" s="699"/>
      <c r="AA340" s="699"/>
    </row>
    <row r="341" spans="1:27">
      <c r="R341" s="264"/>
      <c r="S341" s="699"/>
      <c r="T341" s="699"/>
      <c r="U341" s="699"/>
      <c r="V341" s="699"/>
      <c r="W341" s="699"/>
      <c r="X341" s="699"/>
      <c r="Y341" s="699"/>
      <c r="Z341" s="699"/>
      <c r="AA341" s="699"/>
    </row>
    <row r="342" spans="1:27" ht="13.5" thickBot="1">
      <c r="R342" s="264"/>
      <c r="S342" s="699"/>
      <c r="T342" s="699"/>
      <c r="U342" s="699"/>
      <c r="V342" s="699"/>
      <c r="W342" s="699"/>
      <c r="X342" s="699"/>
      <c r="Y342" s="699"/>
      <c r="Z342" s="699"/>
      <c r="AA342" s="699"/>
    </row>
    <row r="343" spans="1:27" ht="12.75" customHeight="1" thickBot="1">
      <c r="A343" s="1626" t="s">
        <v>184</v>
      </c>
      <c r="B343" s="1368" t="s">
        <v>233</v>
      </c>
      <c r="C343" s="912"/>
      <c r="L343" s="3538" t="s">
        <v>251</v>
      </c>
      <c r="M343" s="3538"/>
      <c r="R343" s="264"/>
      <c r="S343" s="699"/>
      <c r="T343" s="699"/>
      <c r="U343" s="699"/>
      <c r="V343" s="699"/>
      <c r="W343" s="699"/>
      <c r="X343" s="699"/>
      <c r="Y343" s="699"/>
      <c r="Z343" s="699"/>
      <c r="AA343" s="699"/>
    </row>
    <row r="344" spans="1:27" ht="12.75" customHeight="1" thickBot="1">
      <c r="B344" s="3578" t="s">
        <v>233</v>
      </c>
      <c r="C344" s="3523" t="s">
        <v>325</v>
      </c>
      <c r="D344" s="3518" t="s">
        <v>255</v>
      </c>
      <c r="E344" s="3518" t="s">
        <v>326</v>
      </c>
      <c r="F344" s="3574" t="s">
        <v>258</v>
      </c>
      <c r="G344" s="3574"/>
      <c r="H344" s="3574"/>
      <c r="I344" s="3574"/>
      <c r="J344" s="3574"/>
      <c r="K344" s="3574"/>
      <c r="L344" s="3574"/>
      <c r="M344" s="3574"/>
      <c r="R344" s="264"/>
      <c r="S344" s="699"/>
      <c r="T344" s="699"/>
      <c r="U344" s="699"/>
      <c r="V344" s="699"/>
      <c r="W344" s="699"/>
      <c r="X344" s="699"/>
      <c r="Y344" s="699"/>
      <c r="Z344" s="699"/>
      <c r="AA344" s="699"/>
    </row>
    <row r="345" spans="1:27" ht="13.9" customHeight="1">
      <c r="B345" s="3571"/>
      <c r="C345" s="3524"/>
      <c r="D345" s="3520"/>
      <c r="E345" s="3520"/>
      <c r="F345" s="3575" t="s">
        <v>259</v>
      </c>
      <c r="G345" s="3576"/>
      <c r="H345" s="3576"/>
      <c r="I345" s="3577"/>
      <c r="J345" s="3574" t="s">
        <v>327</v>
      </c>
      <c r="K345" s="3574"/>
      <c r="L345" s="3574"/>
      <c r="M345" s="3574"/>
      <c r="R345" s="264"/>
      <c r="S345" s="699"/>
      <c r="T345" s="699"/>
      <c r="U345" s="699"/>
      <c r="V345" s="699"/>
      <c r="W345" s="699"/>
      <c r="X345" s="699"/>
      <c r="Y345" s="699"/>
      <c r="Z345" s="699"/>
      <c r="AA345" s="699"/>
    </row>
    <row r="346" spans="1:27" ht="55.5" customHeight="1" thickBot="1">
      <c r="B346" s="3571"/>
      <c r="C346" s="3524"/>
      <c r="D346" s="3519"/>
      <c r="E346" s="3519"/>
      <c r="F346" s="1339" t="s">
        <v>261</v>
      </c>
      <c r="G346" s="1339" t="s">
        <v>262</v>
      </c>
      <c r="H346" s="1339" t="s">
        <v>263</v>
      </c>
      <c r="I346" s="1339" t="s">
        <v>158</v>
      </c>
      <c r="J346" s="1588" t="s">
        <v>328</v>
      </c>
      <c r="K346" s="1588" t="s">
        <v>265</v>
      </c>
      <c r="L346" s="1588" t="s">
        <v>329</v>
      </c>
      <c r="M346" s="1588" t="s">
        <v>158</v>
      </c>
      <c r="R346" s="264"/>
      <c r="S346" s="699"/>
      <c r="T346" s="699"/>
      <c r="U346" s="699"/>
      <c r="V346" s="699"/>
      <c r="W346" s="699"/>
      <c r="X346" s="699"/>
      <c r="Y346" s="699"/>
      <c r="Z346" s="699"/>
      <c r="AA346" s="699"/>
    </row>
    <row r="347" spans="1:27" ht="24.75" customHeight="1" thickBot="1">
      <c r="B347" s="3571"/>
      <c r="C347" s="3524"/>
      <c r="D347" s="1589">
        <v>1</v>
      </c>
      <c r="E347" s="3518">
        <v>2</v>
      </c>
      <c r="F347" s="3518">
        <v>3</v>
      </c>
      <c r="G347" s="3518">
        <v>4</v>
      </c>
      <c r="H347" s="3518">
        <v>5</v>
      </c>
      <c r="I347" s="1589">
        <v>6</v>
      </c>
      <c r="J347" s="3518">
        <v>7</v>
      </c>
      <c r="K347" s="3518">
        <v>8</v>
      </c>
      <c r="L347" s="3518">
        <v>9</v>
      </c>
      <c r="M347" s="1589">
        <v>10</v>
      </c>
      <c r="R347" s="264"/>
      <c r="S347" s="699"/>
      <c r="T347" s="699"/>
      <c r="U347" s="699"/>
      <c r="V347" s="699"/>
      <c r="W347" s="699"/>
      <c r="X347" s="699"/>
      <c r="Y347" s="699"/>
      <c r="Z347" s="699"/>
      <c r="AA347" s="699"/>
    </row>
    <row r="348" spans="1:27" ht="13.5" thickBot="1">
      <c r="B348" s="3572"/>
      <c r="C348" s="3525"/>
      <c r="D348" s="1590" t="s">
        <v>330</v>
      </c>
      <c r="E348" s="3519"/>
      <c r="F348" s="3519"/>
      <c r="G348" s="3519"/>
      <c r="H348" s="3519"/>
      <c r="I348" s="1590" t="s">
        <v>331</v>
      </c>
      <c r="J348" s="3519"/>
      <c r="K348" s="3519"/>
      <c r="L348" s="3519"/>
      <c r="M348" s="1590" t="s">
        <v>332</v>
      </c>
      <c r="N348" s="703"/>
      <c r="O348" s="703"/>
      <c r="R348" s="264"/>
      <c r="S348" s="699"/>
      <c r="T348" s="699"/>
      <c r="U348" s="699"/>
      <c r="V348" s="699"/>
      <c r="W348" s="699"/>
      <c r="X348" s="699"/>
      <c r="Y348" s="699"/>
      <c r="Z348" s="699"/>
      <c r="AA348" s="699"/>
    </row>
    <row r="349" spans="1:27">
      <c r="B349" s="1609" t="s">
        <v>333</v>
      </c>
      <c r="C349" s="965"/>
      <c r="D349" s="1610">
        <f t="shared" ref="D349:D362" si="64">E349+I349+M349</f>
        <v>775410.10019999999</v>
      </c>
      <c r="E349" s="947">
        <v>0</v>
      </c>
      <c r="F349" s="966">
        <v>305488.83807599999</v>
      </c>
      <c r="G349" s="947">
        <v>469921.262124</v>
      </c>
      <c r="H349" s="966">
        <v>0</v>
      </c>
      <c r="I349" s="1441">
        <f t="shared" ref="I349:I388" si="65">F349+G349+H349</f>
        <v>775410.10019999999</v>
      </c>
      <c r="J349" s="966"/>
      <c r="K349" s="947"/>
      <c r="L349" s="966"/>
      <c r="M349" s="1441">
        <f t="shared" ref="M349:M362" si="66">L349+K349+J349</f>
        <v>0</v>
      </c>
      <c r="N349" s="922"/>
      <c r="O349" s="922"/>
      <c r="P349" s="679"/>
      <c r="Q349" s="706"/>
      <c r="R349" s="109"/>
      <c r="S349" s="706"/>
      <c r="T349" s="708"/>
      <c r="U349" s="706"/>
      <c r="V349" s="706"/>
      <c r="W349" s="706"/>
      <c r="X349" s="706"/>
      <c r="Y349" s="706"/>
      <c r="Z349" s="706"/>
      <c r="AA349" s="706"/>
    </row>
    <row r="350" spans="1:27">
      <c r="B350" s="2468"/>
      <c r="C350" s="2537"/>
      <c r="D350" s="2470">
        <f t="shared" si="64"/>
        <v>0</v>
      </c>
      <c r="E350" s="2529"/>
      <c r="F350" s="2543"/>
      <c r="G350" s="2529"/>
      <c r="H350" s="2543"/>
      <c r="I350" s="2249">
        <f t="shared" si="65"/>
        <v>0</v>
      </c>
      <c r="J350" s="2543"/>
      <c r="K350" s="2529"/>
      <c r="L350" s="2543"/>
      <c r="M350" s="2249">
        <f t="shared" si="66"/>
        <v>0</v>
      </c>
      <c r="P350" s="679"/>
      <c r="Q350" s="706"/>
      <c r="R350" s="109"/>
      <c r="S350" s="706"/>
      <c r="T350" s="708"/>
      <c r="U350" s="706"/>
      <c r="V350" s="706"/>
      <c r="W350" s="706"/>
      <c r="X350" s="706"/>
      <c r="Y350" s="706"/>
      <c r="Z350" s="706"/>
      <c r="AA350" s="706"/>
    </row>
    <row r="351" spans="1:27">
      <c r="B351" s="2473" t="s">
        <v>334</v>
      </c>
      <c r="C351" s="2537"/>
      <c r="D351" s="2470">
        <f t="shared" si="64"/>
        <v>46984.477720499999</v>
      </c>
      <c r="E351" s="2529">
        <v>0</v>
      </c>
      <c r="F351" s="2543">
        <v>6108</v>
      </c>
      <c r="G351" s="2529">
        <v>40876.477720499999</v>
      </c>
      <c r="H351" s="2543">
        <v>0</v>
      </c>
      <c r="I351" s="2249">
        <f t="shared" si="65"/>
        <v>46984.477720499999</v>
      </c>
      <c r="J351" s="2543"/>
      <c r="K351" s="2529"/>
      <c r="L351" s="2543"/>
      <c r="M351" s="2249">
        <f t="shared" si="66"/>
        <v>0</v>
      </c>
      <c r="N351" s="922"/>
      <c r="O351" s="922"/>
      <c r="P351" s="679"/>
      <c r="Q351" s="706"/>
      <c r="R351" s="109"/>
      <c r="S351" s="706"/>
      <c r="T351" s="708"/>
      <c r="U351" s="706"/>
      <c r="V351" s="706"/>
      <c r="W351" s="706"/>
      <c r="X351" s="706"/>
      <c r="Y351" s="706"/>
      <c r="Z351" s="706"/>
      <c r="AA351" s="706"/>
    </row>
    <row r="352" spans="1:27">
      <c r="B352" s="2473"/>
      <c r="C352" s="2537"/>
      <c r="D352" s="2470">
        <f t="shared" si="64"/>
        <v>0</v>
      </c>
      <c r="E352" s="2529"/>
      <c r="F352" s="2543"/>
      <c r="G352" s="2529"/>
      <c r="H352" s="2543"/>
      <c r="I352" s="2249">
        <f t="shared" si="65"/>
        <v>0</v>
      </c>
      <c r="J352" s="2543"/>
      <c r="K352" s="2529"/>
      <c r="L352" s="2543"/>
      <c r="M352" s="2249">
        <f t="shared" si="66"/>
        <v>0</v>
      </c>
      <c r="P352" s="679"/>
      <c r="Q352" s="706"/>
      <c r="R352" s="109"/>
      <c r="S352" s="706"/>
      <c r="T352" s="708"/>
      <c r="U352" s="706"/>
      <c r="V352" s="706"/>
      <c r="W352" s="706"/>
      <c r="X352" s="706"/>
      <c r="Y352" s="706"/>
      <c r="Z352" s="706"/>
      <c r="AA352" s="706"/>
    </row>
    <row r="353" spans="2:27" ht="12.75" customHeight="1">
      <c r="B353" s="2474" t="s">
        <v>335</v>
      </c>
      <c r="C353" s="2537"/>
      <c r="D353" s="2470">
        <f t="shared" si="64"/>
        <v>0</v>
      </c>
      <c r="E353" s="2529"/>
      <c r="F353" s="2543"/>
      <c r="G353" s="2529"/>
      <c r="H353" s="2543"/>
      <c r="I353" s="2249">
        <f t="shared" si="65"/>
        <v>0</v>
      </c>
      <c r="J353" s="2543"/>
      <c r="K353" s="2529"/>
      <c r="L353" s="2543"/>
      <c r="M353" s="2249">
        <f t="shared" si="66"/>
        <v>0</v>
      </c>
      <c r="N353" s="922"/>
      <c r="O353" s="922"/>
      <c r="P353" s="679"/>
      <c r="Q353" s="706"/>
      <c r="R353" s="109"/>
      <c r="S353" s="706"/>
      <c r="T353" s="708"/>
      <c r="U353" s="706"/>
      <c r="V353" s="706"/>
      <c r="W353" s="706"/>
      <c r="X353" s="706"/>
      <c r="Y353" s="706"/>
      <c r="Z353" s="706"/>
      <c r="AA353" s="706"/>
    </row>
    <row r="354" spans="2:27">
      <c r="B354" s="2468"/>
      <c r="C354" s="2537"/>
      <c r="D354" s="2470">
        <f t="shared" si="64"/>
        <v>0</v>
      </c>
      <c r="E354" s="2529"/>
      <c r="F354" s="2543"/>
      <c r="G354" s="2529"/>
      <c r="H354" s="2543"/>
      <c r="I354" s="2249">
        <f t="shared" si="65"/>
        <v>0</v>
      </c>
      <c r="J354" s="2543"/>
      <c r="K354" s="2529"/>
      <c r="L354" s="2543"/>
      <c r="M354" s="2249">
        <f t="shared" si="66"/>
        <v>0</v>
      </c>
      <c r="P354" s="679"/>
      <c r="Q354" s="706"/>
      <c r="R354" s="109"/>
      <c r="S354" s="706"/>
      <c r="T354" s="708"/>
      <c r="U354" s="706"/>
      <c r="V354" s="706"/>
      <c r="W354" s="706"/>
      <c r="X354" s="706"/>
      <c r="Y354" s="706"/>
      <c r="Z354" s="706"/>
      <c r="AA354" s="706"/>
    </row>
    <row r="355" spans="2:27">
      <c r="B355" s="2475" t="s">
        <v>336</v>
      </c>
      <c r="C355" s="2539"/>
      <c r="D355" s="2470">
        <f t="shared" si="64"/>
        <v>728425.62247950002</v>
      </c>
      <c r="E355" s="2529">
        <f>E349-E351+E353</f>
        <v>0</v>
      </c>
      <c r="F355" s="2543">
        <f>F349-F351+F353</f>
        <v>299380.83807599999</v>
      </c>
      <c r="G355" s="2529">
        <f>G349-G351+G353</f>
        <v>429044.78440350003</v>
      </c>
      <c r="H355" s="2543">
        <f>H349-H351+H353</f>
        <v>0</v>
      </c>
      <c r="I355" s="2249">
        <f t="shared" si="65"/>
        <v>728425.62247950002</v>
      </c>
      <c r="J355" s="2543">
        <f>J349-J351+J353</f>
        <v>0</v>
      </c>
      <c r="K355" s="2529">
        <f>K349-K351+K353</f>
        <v>0</v>
      </c>
      <c r="L355" s="2543">
        <f>L349-L351+L353</f>
        <v>0</v>
      </c>
      <c r="M355" s="2249">
        <f t="shared" si="66"/>
        <v>0</v>
      </c>
      <c r="N355" s="927"/>
      <c r="O355" s="922"/>
      <c r="P355" s="679"/>
      <c r="Q355" s="706"/>
      <c r="R355" s="109"/>
      <c r="S355" s="706"/>
      <c r="T355" s="708"/>
      <c r="U355" s="706"/>
      <c r="V355" s="706"/>
      <c r="W355" s="706"/>
      <c r="X355" s="706"/>
      <c r="Y355" s="706"/>
      <c r="Z355" s="706"/>
      <c r="AA355" s="706"/>
    </row>
    <row r="356" spans="2:27">
      <c r="B356" s="2475"/>
      <c r="C356" s="2539"/>
      <c r="D356" s="2470">
        <f t="shared" si="64"/>
        <v>0</v>
      </c>
      <c r="E356" s="2529"/>
      <c r="F356" s="2543"/>
      <c r="G356" s="2529"/>
      <c r="H356" s="2543"/>
      <c r="I356" s="2249">
        <f t="shared" si="65"/>
        <v>0</v>
      </c>
      <c r="J356" s="2543"/>
      <c r="K356" s="2529"/>
      <c r="L356" s="2543"/>
      <c r="M356" s="2249">
        <f t="shared" si="66"/>
        <v>0</v>
      </c>
      <c r="P356" s="679"/>
      <c r="Q356" s="706"/>
      <c r="R356" s="109"/>
      <c r="S356" s="706"/>
      <c r="T356" s="708"/>
      <c r="U356" s="706"/>
      <c r="V356" s="706"/>
      <c r="W356" s="706"/>
      <c r="X356" s="706"/>
      <c r="Y356" s="706"/>
      <c r="Z356" s="706"/>
      <c r="AA356" s="706"/>
    </row>
    <row r="357" spans="2:27">
      <c r="B357" s="2475" t="s">
        <v>337</v>
      </c>
      <c r="C357" s="2539"/>
      <c r="D357" s="2470">
        <f t="shared" si="64"/>
        <v>290302.88</v>
      </c>
      <c r="E357" s="2529">
        <f>SUM(E358:E362)+E365</f>
        <v>69805</v>
      </c>
      <c r="F357" s="2543">
        <f>SUM(F358:F362)+F365</f>
        <v>148810.70000000001</v>
      </c>
      <c r="G357" s="2529">
        <f>SUM(G358:G362)</f>
        <v>71687.179999999993</v>
      </c>
      <c r="H357" s="2543">
        <f>SUM(H358:H362)+H365</f>
        <v>0</v>
      </c>
      <c r="I357" s="2249">
        <f t="shared" si="65"/>
        <v>220497.88</v>
      </c>
      <c r="J357" s="2543">
        <f>SUM(J358:J362)</f>
        <v>0</v>
      </c>
      <c r="K357" s="2529">
        <f>SUM(K358:K362)</f>
        <v>0</v>
      </c>
      <c r="L357" s="2543">
        <f>SUM(L358:L362)</f>
        <v>0</v>
      </c>
      <c r="M357" s="2249">
        <f t="shared" si="66"/>
        <v>0</v>
      </c>
      <c r="N357" s="927"/>
      <c r="O357" s="922"/>
      <c r="P357" s="679"/>
      <c r="Q357" s="706"/>
      <c r="R357" s="109"/>
      <c r="S357" s="706"/>
      <c r="T357" s="708"/>
      <c r="U357" s="706"/>
      <c r="V357" s="706"/>
      <c r="W357" s="706"/>
      <c r="X357" s="706"/>
      <c r="Y357" s="706"/>
      <c r="Z357" s="706"/>
      <c r="AA357" s="706"/>
    </row>
    <row r="358" spans="2:27">
      <c r="B358" s="2468" t="s">
        <v>338</v>
      </c>
      <c r="C358" s="2537">
        <v>1</v>
      </c>
      <c r="D358" s="2470">
        <f t="shared" si="64"/>
        <v>284474.57</v>
      </c>
      <c r="E358" s="2529">
        <v>63961</v>
      </c>
      <c r="F358" s="2544">
        <v>149199.39000000001</v>
      </c>
      <c r="G358" s="2529">
        <v>71314.179999999993</v>
      </c>
      <c r="H358" s="2543">
        <v>0</v>
      </c>
      <c r="I358" s="2249">
        <f t="shared" si="65"/>
        <v>220513.57</v>
      </c>
      <c r="J358" s="2543"/>
      <c r="K358" s="2529"/>
      <c r="L358" s="2543"/>
      <c r="M358" s="2249">
        <f t="shared" si="66"/>
        <v>0</v>
      </c>
      <c r="N358" s="922"/>
      <c r="O358" s="922"/>
      <c r="P358" s="679"/>
      <c r="Q358" s="706"/>
      <c r="R358" s="109"/>
      <c r="S358" s="706"/>
      <c r="T358" s="708"/>
      <c r="U358" s="706"/>
      <c r="V358" s="706"/>
      <c r="W358" s="706"/>
      <c r="X358" s="706"/>
      <c r="Y358" s="706"/>
      <c r="Z358" s="706"/>
      <c r="AA358" s="706"/>
    </row>
    <row r="359" spans="2:27">
      <c r="B359" s="2468" t="s">
        <v>339</v>
      </c>
      <c r="C359" s="2469">
        <v>2</v>
      </c>
      <c r="D359" s="2470">
        <f t="shared" si="64"/>
        <v>0</v>
      </c>
      <c r="E359" s="2471">
        <v>0</v>
      </c>
      <c r="F359" s="2545">
        <v>0</v>
      </c>
      <c r="G359" s="2529">
        <v>0</v>
      </c>
      <c r="H359" s="2543">
        <v>0</v>
      </c>
      <c r="I359" s="2249">
        <f t="shared" si="65"/>
        <v>0</v>
      </c>
      <c r="J359" s="2543"/>
      <c r="K359" s="2529"/>
      <c r="L359" s="2543"/>
      <c r="M359" s="2249">
        <f t="shared" si="66"/>
        <v>0</v>
      </c>
      <c r="N359" s="922"/>
      <c r="O359" s="922"/>
      <c r="P359" s="679"/>
      <c r="Q359" s="706"/>
      <c r="R359" s="109"/>
      <c r="S359" s="706"/>
      <c r="T359" s="708"/>
      <c r="U359" s="706"/>
      <c r="V359" s="706"/>
      <c r="W359" s="706"/>
      <c r="X359" s="706"/>
      <c r="Y359" s="706"/>
      <c r="Z359" s="706"/>
      <c r="AA359" s="706"/>
    </row>
    <row r="360" spans="2:27">
      <c r="B360" s="2468" t="s">
        <v>340</v>
      </c>
      <c r="C360" s="2469"/>
      <c r="D360" s="2470">
        <f t="shared" si="64"/>
        <v>0</v>
      </c>
      <c r="E360" s="2471">
        <v>0</v>
      </c>
      <c r="F360" s="2545">
        <v>0</v>
      </c>
      <c r="G360" s="2529">
        <v>0</v>
      </c>
      <c r="H360" s="2543">
        <v>0</v>
      </c>
      <c r="I360" s="2249">
        <f t="shared" si="65"/>
        <v>0</v>
      </c>
      <c r="J360" s="2543"/>
      <c r="K360" s="2529"/>
      <c r="L360" s="2543"/>
      <c r="M360" s="2249">
        <f t="shared" si="66"/>
        <v>0</v>
      </c>
      <c r="N360" s="922"/>
      <c r="O360" s="922"/>
      <c r="P360" s="679"/>
      <c r="Q360" s="706"/>
      <c r="R360" s="109"/>
      <c r="S360" s="706"/>
      <c r="T360" s="708"/>
      <c r="U360" s="706"/>
      <c r="V360" s="706"/>
      <c r="W360" s="706"/>
      <c r="X360" s="706"/>
      <c r="Y360" s="706"/>
      <c r="Z360" s="706"/>
      <c r="AA360" s="706"/>
    </row>
    <row r="361" spans="2:27">
      <c r="B361" s="2468" t="s">
        <v>341</v>
      </c>
      <c r="C361" s="2469"/>
      <c r="D361" s="2470">
        <f t="shared" si="64"/>
        <v>238</v>
      </c>
      <c r="E361" s="2471"/>
      <c r="F361" s="2545">
        <v>238</v>
      </c>
      <c r="G361" s="2529">
        <v>0</v>
      </c>
      <c r="H361" s="2543">
        <v>0</v>
      </c>
      <c r="I361" s="2249">
        <f t="shared" si="65"/>
        <v>238</v>
      </c>
      <c r="J361" s="2543"/>
      <c r="K361" s="2529"/>
      <c r="L361" s="2543"/>
      <c r="M361" s="2249">
        <f t="shared" si="66"/>
        <v>0</v>
      </c>
      <c r="N361" s="922"/>
      <c r="O361" s="922"/>
      <c r="P361" s="679"/>
      <c r="Q361" s="706"/>
      <c r="R361" s="109"/>
      <c r="S361" s="706"/>
      <c r="T361" s="708"/>
      <c r="U361" s="706"/>
      <c r="V361" s="706"/>
      <c r="W361" s="706"/>
      <c r="X361" s="706"/>
      <c r="Y361" s="706"/>
      <c r="Z361" s="706"/>
      <c r="AA361" s="706"/>
    </row>
    <row r="362" spans="2:27">
      <c r="B362" s="2468" t="s">
        <v>342</v>
      </c>
      <c r="C362" s="2469">
        <v>3</v>
      </c>
      <c r="D362" s="2470">
        <f t="shared" si="64"/>
        <v>5590.3099999999995</v>
      </c>
      <c r="E362" s="2546">
        <v>4449</v>
      </c>
      <c r="F362" s="2545">
        <v>768.31</v>
      </c>
      <c r="G362" s="2547">
        <v>373</v>
      </c>
      <c r="H362" s="2543">
        <f>SUM(H363:H365)</f>
        <v>0</v>
      </c>
      <c r="I362" s="2249">
        <f t="shared" si="65"/>
        <v>1141.31</v>
      </c>
      <c r="J362" s="2543"/>
      <c r="K362" s="2529"/>
      <c r="L362" s="2543"/>
      <c r="M362" s="2249">
        <f t="shared" si="66"/>
        <v>0</v>
      </c>
      <c r="N362" s="922"/>
      <c r="O362" s="922"/>
      <c r="P362" s="679"/>
      <c r="Q362" s="706"/>
      <c r="R362" s="109"/>
      <c r="S362" s="706"/>
      <c r="T362" s="708"/>
      <c r="U362" s="706"/>
      <c r="V362" s="706"/>
      <c r="W362" s="706"/>
      <c r="X362" s="706"/>
      <c r="Y362" s="706"/>
      <c r="Z362" s="706"/>
      <c r="AA362" s="706"/>
    </row>
    <row r="363" spans="2:27">
      <c r="B363" s="2477" t="s">
        <v>362</v>
      </c>
      <c r="C363" s="2469"/>
      <c r="D363" s="2470"/>
      <c r="E363" s="2471">
        <v>4449</v>
      </c>
      <c r="F363" s="2548">
        <v>501</v>
      </c>
      <c r="G363" s="2529">
        <v>0</v>
      </c>
      <c r="H363" s="2543">
        <v>0</v>
      </c>
      <c r="I363" s="2249">
        <f t="shared" si="65"/>
        <v>501</v>
      </c>
      <c r="J363" s="2543"/>
      <c r="K363" s="2529"/>
      <c r="L363" s="2543"/>
      <c r="M363" s="2249"/>
      <c r="N363" s="922"/>
      <c r="O363" s="922"/>
      <c r="P363" s="679"/>
      <c r="Q363" s="706"/>
      <c r="R363" s="109"/>
      <c r="S363" s="706"/>
      <c r="T363" s="708"/>
      <c r="U363" s="706"/>
      <c r="V363" s="706"/>
      <c r="W363" s="706"/>
      <c r="X363" s="706"/>
      <c r="Y363" s="706"/>
      <c r="Z363" s="706"/>
      <c r="AA363" s="706"/>
    </row>
    <row r="364" spans="2:27">
      <c r="B364" s="2477" t="s">
        <v>361</v>
      </c>
      <c r="C364" s="2469"/>
      <c r="D364" s="2470"/>
      <c r="E364" s="2471">
        <v>0</v>
      </c>
      <c r="F364" s="2548">
        <v>267</v>
      </c>
      <c r="G364" s="2529">
        <v>373</v>
      </c>
      <c r="H364" s="2543">
        <v>0</v>
      </c>
      <c r="I364" s="2249">
        <f t="shared" si="65"/>
        <v>640</v>
      </c>
      <c r="J364" s="2543"/>
      <c r="K364" s="2529"/>
      <c r="L364" s="2543"/>
      <c r="M364" s="2249"/>
      <c r="N364" s="922"/>
      <c r="O364" s="922"/>
      <c r="P364" s="679"/>
      <c r="Q364" s="706"/>
      <c r="R364" s="109"/>
      <c r="S364" s="706"/>
      <c r="T364" s="708"/>
      <c r="U364" s="706"/>
      <c r="V364" s="706"/>
      <c r="W364" s="706"/>
      <c r="X364" s="706"/>
      <c r="Y364" s="706"/>
      <c r="Z364" s="706"/>
      <c r="AA364" s="706"/>
    </row>
    <row r="365" spans="2:27">
      <c r="B365" s="2477" t="s">
        <v>370</v>
      </c>
      <c r="C365" s="2469"/>
      <c r="D365" s="2470">
        <f t="shared" ref="D365:D388" si="67">E365+I365+M365</f>
        <v>0</v>
      </c>
      <c r="E365" s="2471">
        <v>1395</v>
      </c>
      <c r="F365" s="2548">
        <v>-1395</v>
      </c>
      <c r="G365" s="2529">
        <v>0</v>
      </c>
      <c r="H365" s="2543">
        <v>0</v>
      </c>
      <c r="I365" s="2249">
        <f t="shared" si="65"/>
        <v>-1395</v>
      </c>
      <c r="J365" s="2543"/>
      <c r="K365" s="2529"/>
      <c r="L365" s="2543"/>
      <c r="M365" s="2249">
        <f>L365+K365+J365</f>
        <v>0</v>
      </c>
      <c r="P365" s="679"/>
      <c r="Q365" s="706"/>
      <c r="R365" s="109"/>
      <c r="S365" s="706"/>
      <c r="T365" s="708"/>
      <c r="U365" s="706"/>
      <c r="V365" s="706"/>
      <c r="W365" s="706"/>
      <c r="X365" s="706"/>
      <c r="Y365" s="706"/>
      <c r="Z365" s="706"/>
      <c r="AA365" s="706"/>
    </row>
    <row r="366" spans="2:27">
      <c r="B366" s="2468" t="s">
        <v>343</v>
      </c>
      <c r="C366" s="2469"/>
      <c r="D366" s="2470">
        <f t="shared" si="67"/>
        <v>0</v>
      </c>
      <c r="E366" s="2471"/>
      <c r="F366" s="2472"/>
      <c r="G366" s="2529"/>
      <c r="H366" s="2543"/>
      <c r="I366" s="2249">
        <f t="shared" si="65"/>
        <v>0</v>
      </c>
      <c r="J366" s="2543"/>
      <c r="K366" s="2529"/>
      <c r="L366" s="2543"/>
      <c r="M366" s="2249">
        <f>L366+K366+J366</f>
        <v>0</v>
      </c>
      <c r="P366" s="679"/>
      <c r="Q366" s="706"/>
      <c r="R366" s="313"/>
      <c r="S366" s="706"/>
      <c r="T366" s="708"/>
      <c r="U366" s="706"/>
      <c r="V366" s="706"/>
      <c r="W366" s="706"/>
      <c r="X366" s="706"/>
      <c r="Y366" s="706"/>
      <c r="Z366" s="706"/>
      <c r="AA366" s="706"/>
    </row>
    <row r="367" spans="2:27">
      <c r="B367" s="2468"/>
      <c r="C367" s="2469"/>
      <c r="D367" s="2470">
        <f t="shared" si="67"/>
        <v>0</v>
      </c>
      <c r="E367" s="2471"/>
      <c r="F367" s="2472"/>
      <c r="G367" s="2529"/>
      <c r="H367" s="2543"/>
      <c r="I367" s="2249">
        <f t="shared" si="65"/>
        <v>0</v>
      </c>
      <c r="J367" s="2543"/>
      <c r="K367" s="2529"/>
      <c r="L367" s="2543"/>
      <c r="M367" s="2249">
        <f>L367+K367+J367</f>
        <v>0</v>
      </c>
      <c r="P367" s="679"/>
      <c r="Q367" s="706"/>
      <c r="R367" s="109"/>
      <c r="S367" s="706"/>
      <c r="T367" s="708"/>
      <c r="U367" s="706"/>
      <c r="V367" s="706"/>
      <c r="W367" s="706"/>
      <c r="X367" s="706"/>
      <c r="Y367" s="706"/>
      <c r="Z367" s="706"/>
      <c r="AA367" s="706"/>
    </row>
    <row r="368" spans="2:27">
      <c r="B368" s="2478" t="s">
        <v>344</v>
      </c>
      <c r="C368" s="2476"/>
      <c r="D368" s="2470">
        <f t="shared" si="67"/>
        <v>1018728.5024795</v>
      </c>
      <c r="E368" s="2471">
        <f>E355+E357</f>
        <v>69805</v>
      </c>
      <c r="F368" s="2472">
        <f>F355+F357</f>
        <v>448191.538076</v>
      </c>
      <c r="G368" s="2529">
        <f>G355+G357</f>
        <v>500731.96440350002</v>
      </c>
      <c r="H368" s="2543">
        <f>H355+H357</f>
        <v>0</v>
      </c>
      <c r="I368" s="2249">
        <f t="shared" si="65"/>
        <v>948923.50247950002</v>
      </c>
      <c r="J368" s="2543">
        <f>J355+J357</f>
        <v>0</v>
      </c>
      <c r="K368" s="2529">
        <f>K355+K357</f>
        <v>0</v>
      </c>
      <c r="L368" s="2543">
        <f>L355+L357</f>
        <v>0</v>
      </c>
      <c r="M368" s="2249">
        <f>L368+K368+J368</f>
        <v>0</v>
      </c>
      <c r="N368" s="927"/>
      <c r="O368" s="922"/>
      <c r="P368" s="679"/>
      <c r="Q368" s="706"/>
      <c r="R368" s="109"/>
      <c r="S368" s="706"/>
      <c r="T368" s="708"/>
      <c r="U368" s="706"/>
      <c r="V368" s="706"/>
      <c r="W368" s="706"/>
      <c r="X368" s="706"/>
      <c r="Y368" s="706"/>
      <c r="Z368" s="706"/>
      <c r="AA368" s="706"/>
    </row>
    <row r="369" spans="2:27">
      <c r="B369" s="2478"/>
      <c r="C369" s="2476"/>
      <c r="D369" s="2470">
        <f t="shared" si="67"/>
        <v>0</v>
      </c>
      <c r="E369" s="2471"/>
      <c r="F369" s="2472"/>
      <c r="G369" s="2529"/>
      <c r="H369" s="2543"/>
      <c r="I369" s="2249">
        <f t="shared" si="65"/>
        <v>0</v>
      </c>
      <c r="J369" s="2543"/>
      <c r="K369" s="2529"/>
      <c r="L369" s="2543"/>
      <c r="M369" s="2249"/>
      <c r="P369" s="679"/>
      <c r="Q369" s="706"/>
      <c r="R369" s="109"/>
      <c r="S369" s="706"/>
      <c r="T369" s="708"/>
      <c r="U369" s="706"/>
      <c r="V369" s="706"/>
      <c r="W369" s="706"/>
      <c r="X369" s="706"/>
      <c r="Y369" s="706"/>
      <c r="Z369" s="706"/>
      <c r="AA369" s="706"/>
    </row>
    <row r="370" spans="2:27">
      <c r="B370" s="2468" t="s">
        <v>345</v>
      </c>
      <c r="C370" s="2469"/>
      <c r="D370" s="2470">
        <f t="shared" si="67"/>
        <v>340965.80325</v>
      </c>
      <c r="E370" s="2471">
        <v>0</v>
      </c>
      <c r="F370" s="2472">
        <v>81831.792780000003</v>
      </c>
      <c r="G370" s="2529">
        <v>259134.01047000001</v>
      </c>
      <c r="H370" s="2543">
        <v>0</v>
      </c>
      <c r="I370" s="2249">
        <f t="shared" si="65"/>
        <v>340965.80325</v>
      </c>
      <c r="J370" s="2543"/>
      <c r="K370" s="2529"/>
      <c r="L370" s="2543"/>
      <c r="M370" s="2249">
        <f t="shared" ref="M370:M388" si="68">L370+K370+J370</f>
        <v>0</v>
      </c>
      <c r="N370" s="922"/>
      <c r="O370" s="922"/>
      <c r="P370" s="679"/>
      <c r="Q370" s="706"/>
      <c r="R370" s="109"/>
      <c r="S370" s="706"/>
      <c r="T370" s="708"/>
      <c r="U370" s="706"/>
      <c r="V370" s="706"/>
      <c r="W370" s="706"/>
      <c r="X370" s="706"/>
      <c r="Y370" s="706"/>
      <c r="Z370" s="706"/>
      <c r="AA370" s="706"/>
    </row>
    <row r="371" spans="2:27">
      <c r="B371" s="2468" t="s">
        <v>346</v>
      </c>
      <c r="C371" s="2469"/>
      <c r="D371" s="2470">
        <f t="shared" si="67"/>
        <v>-9746.6101999999992</v>
      </c>
      <c r="E371" s="2471">
        <v>0</v>
      </c>
      <c r="F371" s="2472">
        <v>-1267.0593259999998</v>
      </c>
      <c r="G371" s="2529">
        <v>-8479.5508739999987</v>
      </c>
      <c r="H371" s="2543">
        <v>0</v>
      </c>
      <c r="I371" s="2249">
        <f t="shared" si="65"/>
        <v>-9746.6101999999992</v>
      </c>
      <c r="J371" s="2543"/>
      <c r="K371" s="2529"/>
      <c r="L371" s="2543"/>
      <c r="M371" s="2249">
        <f t="shared" si="68"/>
        <v>0</v>
      </c>
      <c r="N371" s="922"/>
      <c r="O371" s="922"/>
      <c r="P371" s="679"/>
      <c r="Q371" s="706"/>
      <c r="R371" s="109"/>
      <c r="S371" s="706"/>
      <c r="T371" s="708"/>
      <c r="U371" s="706"/>
      <c r="V371" s="706"/>
      <c r="W371" s="706"/>
      <c r="X371" s="706"/>
      <c r="Y371" s="706"/>
      <c r="Z371" s="706"/>
      <c r="AA371" s="706"/>
    </row>
    <row r="372" spans="2:27">
      <c r="B372" s="2468" t="s">
        <v>347</v>
      </c>
      <c r="C372" s="2469"/>
      <c r="D372" s="2470">
        <f t="shared" si="67"/>
        <v>0</v>
      </c>
      <c r="E372" s="2471">
        <v>0</v>
      </c>
      <c r="F372" s="2472">
        <v>0</v>
      </c>
      <c r="G372" s="2529">
        <v>0</v>
      </c>
      <c r="H372" s="2543">
        <v>0</v>
      </c>
      <c r="I372" s="2249">
        <f t="shared" si="65"/>
        <v>0</v>
      </c>
      <c r="J372" s="2543"/>
      <c r="K372" s="2529"/>
      <c r="L372" s="2543"/>
      <c r="M372" s="2249">
        <f t="shared" si="68"/>
        <v>0</v>
      </c>
      <c r="N372" s="922"/>
      <c r="O372" s="922"/>
      <c r="P372" s="679"/>
      <c r="Q372" s="706"/>
      <c r="R372" s="109"/>
      <c r="S372" s="706"/>
      <c r="T372" s="708"/>
      <c r="U372" s="706"/>
      <c r="V372" s="706"/>
      <c r="W372" s="706"/>
      <c r="X372" s="706"/>
      <c r="Y372" s="706"/>
      <c r="Z372" s="706"/>
      <c r="AA372" s="706"/>
    </row>
    <row r="373" spans="2:27" ht="12.75" customHeight="1">
      <c r="B373" s="2479" t="s">
        <v>348</v>
      </c>
      <c r="C373" s="2469"/>
      <c r="D373" s="2470">
        <f t="shared" si="67"/>
        <v>0</v>
      </c>
      <c r="E373" s="2471">
        <v>0</v>
      </c>
      <c r="F373" s="2472">
        <v>0</v>
      </c>
      <c r="G373" s="2529">
        <v>0</v>
      </c>
      <c r="H373" s="2543">
        <v>0</v>
      </c>
      <c r="I373" s="2249">
        <f t="shared" si="65"/>
        <v>0</v>
      </c>
      <c r="J373" s="2543"/>
      <c r="K373" s="2529"/>
      <c r="L373" s="2543"/>
      <c r="M373" s="2249">
        <f t="shared" si="68"/>
        <v>0</v>
      </c>
      <c r="N373" s="922"/>
      <c r="O373" s="922"/>
      <c r="P373" s="679"/>
      <c r="Q373" s="706"/>
      <c r="R373" s="109"/>
      <c r="S373" s="706"/>
      <c r="T373" s="708"/>
      <c r="U373" s="706"/>
      <c r="V373" s="706"/>
      <c r="W373" s="706"/>
      <c r="X373" s="706"/>
      <c r="Y373" s="706"/>
      <c r="Z373" s="706"/>
      <c r="AA373" s="706"/>
    </row>
    <row r="374" spans="2:27">
      <c r="B374" s="2468" t="s">
        <v>349</v>
      </c>
      <c r="C374" s="2469"/>
      <c r="D374" s="2470">
        <f t="shared" si="67"/>
        <v>237965.77688000025</v>
      </c>
      <c r="E374" s="2471">
        <v>0</v>
      </c>
      <c r="F374" s="2472">
        <v>235043.27688000025</v>
      </c>
      <c r="G374" s="2529">
        <v>2922.5</v>
      </c>
      <c r="H374" s="2543">
        <v>0</v>
      </c>
      <c r="I374" s="2249">
        <f t="shared" si="65"/>
        <v>237965.77688000025</v>
      </c>
      <c r="J374" s="2543"/>
      <c r="K374" s="2529"/>
      <c r="L374" s="2543"/>
      <c r="M374" s="2249">
        <f t="shared" si="68"/>
        <v>0</v>
      </c>
      <c r="N374" s="922"/>
      <c r="O374" s="922"/>
      <c r="P374" s="679"/>
      <c r="Q374" s="706"/>
      <c r="R374" s="313"/>
      <c r="S374" s="706"/>
      <c r="T374" s="708"/>
      <c r="U374" s="706"/>
      <c r="V374" s="706"/>
      <c r="W374" s="706"/>
      <c r="X374" s="706"/>
      <c r="Y374" s="706"/>
      <c r="Z374" s="706"/>
      <c r="AA374" s="706"/>
    </row>
    <row r="375" spans="2:27">
      <c r="B375" s="2468" t="s">
        <v>350</v>
      </c>
      <c r="C375" s="2469"/>
      <c r="D375" s="2470">
        <f t="shared" si="67"/>
        <v>0</v>
      </c>
      <c r="E375" s="2471">
        <v>0</v>
      </c>
      <c r="F375" s="2472">
        <v>0</v>
      </c>
      <c r="G375" s="2529">
        <v>0</v>
      </c>
      <c r="H375" s="2543">
        <v>0</v>
      </c>
      <c r="I375" s="2249">
        <f t="shared" si="65"/>
        <v>0</v>
      </c>
      <c r="J375" s="2543"/>
      <c r="K375" s="2529"/>
      <c r="L375" s="2543"/>
      <c r="M375" s="2249">
        <f t="shared" si="68"/>
        <v>0</v>
      </c>
      <c r="N375" s="922"/>
      <c r="O375" s="922"/>
      <c r="P375" s="679"/>
      <c r="Q375" s="706"/>
      <c r="R375" s="109"/>
      <c r="S375" s="706"/>
      <c r="T375" s="708"/>
      <c r="U375" s="706"/>
      <c r="V375" s="706"/>
      <c r="W375" s="706"/>
      <c r="X375" s="706"/>
      <c r="Y375" s="706"/>
      <c r="Z375" s="706"/>
      <c r="AA375" s="706"/>
    </row>
    <row r="376" spans="2:27">
      <c r="B376" s="2478" t="s">
        <v>351</v>
      </c>
      <c r="C376" s="2476"/>
      <c r="D376" s="2470">
        <f t="shared" si="67"/>
        <v>569184.96993000025</v>
      </c>
      <c r="E376" s="2471">
        <f>SUM(E370:E375)</f>
        <v>0</v>
      </c>
      <c r="F376" s="2472">
        <f>SUM(F370:F375)</f>
        <v>315608.01033400022</v>
      </c>
      <c r="G376" s="2529">
        <f>SUM(G370:G375)</f>
        <v>253576.959596</v>
      </c>
      <c r="H376" s="2543">
        <f>SUM(H370:H375)</f>
        <v>0</v>
      </c>
      <c r="I376" s="2249">
        <f t="shared" si="65"/>
        <v>569184.96993000025</v>
      </c>
      <c r="J376" s="2543">
        <f>SUM(J370:J375)</f>
        <v>0</v>
      </c>
      <c r="K376" s="2529">
        <f>SUM(K370:K375)</f>
        <v>0</v>
      </c>
      <c r="L376" s="2543">
        <f>SUM(L370:L375)</f>
        <v>0</v>
      </c>
      <c r="M376" s="2249">
        <f t="shared" si="68"/>
        <v>0</v>
      </c>
      <c r="N376" s="927"/>
      <c r="O376" s="922"/>
      <c r="P376" s="679"/>
      <c r="Q376" s="706"/>
      <c r="R376" s="109"/>
      <c r="S376" s="706"/>
      <c r="T376" s="708"/>
      <c r="U376" s="706"/>
      <c r="V376" s="706"/>
      <c r="W376" s="706"/>
      <c r="X376" s="706"/>
      <c r="Y376" s="706"/>
      <c r="Z376" s="706"/>
      <c r="AA376" s="706"/>
    </row>
    <row r="377" spans="2:27">
      <c r="B377" s="2468"/>
      <c r="C377" s="2469"/>
      <c r="D377" s="2470">
        <f t="shared" si="67"/>
        <v>0</v>
      </c>
      <c r="E377" s="2471"/>
      <c r="F377" s="2472"/>
      <c r="G377" s="2529"/>
      <c r="H377" s="2543"/>
      <c r="I377" s="2249">
        <f t="shared" si="65"/>
        <v>0</v>
      </c>
      <c r="J377" s="2543"/>
      <c r="K377" s="2529"/>
      <c r="L377" s="2543"/>
      <c r="M377" s="2249">
        <f t="shared" si="68"/>
        <v>0</v>
      </c>
      <c r="O377" s="922"/>
      <c r="P377" s="679"/>
      <c r="Q377" s="706"/>
      <c r="R377" s="109"/>
      <c r="S377" s="706"/>
      <c r="T377" s="708"/>
      <c r="U377" s="706"/>
      <c r="V377" s="706"/>
      <c r="W377" s="706"/>
      <c r="X377" s="706"/>
      <c r="Y377" s="706"/>
      <c r="Z377" s="706"/>
      <c r="AA377" s="706"/>
    </row>
    <row r="378" spans="2:27" ht="25.5">
      <c r="B378" s="2479" t="s">
        <v>352</v>
      </c>
      <c r="C378" s="2469"/>
      <c r="D378" s="2470">
        <f t="shared" si="67"/>
        <v>97645.435750000004</v>
      </c>
      <c r="E378" s="2471">
        <v>0</v>
      </c>
      <c r="F378" s="2472">
        <v>25387.813295000004</v>
      </c>
      <c r="G378" s="2529">
        <v>72257.622455000004</v>
      </c>
      <c r="H378" s="2543"/>
      <c r="I378" s="2249">
        <f t="shared" si="65"/>
        <v>97645.435750000004</v>
      </c>
      <c r="J378" s="2543"/>
      <c r="K378" s="2529"/>
      <c r="L378" s="2543"/>
      <c r="M378" s="2249">
        <f t="shared" si="68"/>
        <v>0</v>
      </c>
      <c r="N378" s="922"/>
      <c r="O378" s="922"/>
      <c r="P378" s="679"/>
      <c r="Q378" s="706"/>
      <c r="R378" s="109"/>
      <c r="S378" s="706"/>
      <c r="T378" s="708"/>
      <c r="U378" s="706"/>
      <c r="V378" s="706"/>
      <c r="W378" s="706"/>
      <c r="X378" s="706"/>
      <c r="Y378" s="706"/>
      <c r="Z378" s="706"/>
      <c r="AA378" s="706"/>
    </row>
    <row r="379" spans="2:27">
      <c r="B379" s="2468"/>
      <c r="C379" s="2469"/>
      <c r="D379" s="2470">
        <f t="shared" si="67"/>
        <v>0</v>
      </c>
      <c r="E379" s="2471"/>
      <c r="F379" s="2472"/>
      <c r="G379" s="2529"/>
      <c r="H379" s="2543"/>
      <c r="I379" s="2249">
        <f t="shared" si="65"/>
        <v>0</v>
      </c>
      <c r="J379" s="2543"/>
      <c r="K379" s="2529"/>
      <c r="L379" s="2543"/>
      <c r="M379" s="2249">
        <f t="shared" si="68"/>
        <v>0</v>
      </c>
      <c r="N379" s="922"/>
      <c r="O379" s="922"/>
      <c r="P379" s="679"/>
      <c r="Q379" s="706"/>
      <c r="R379" s="109"/>
      <c r="S379" s="706"/>
      <c r="T379" s="708"/>
      <c r="U379" s="706"/>
      <c r="V379" s="706"/>
      <c r="W379" s="706"/>
      <c r="X379" s="706"/>
      <c r="Y379" s="706"/>
      <c r="Z379" s="706"/>
      <c r="AA379" s="706"/>
    </row>
    <row r="380" spans="2:27" ht="12.75" customHeight="1">
      <c r="B380" s="2479" t="s">
        <v>353</v>
      </c>
      <c r="C380" s="2469">
        <v>4</v>
      </c>
      <c r="D380" s="2470">
        <f t="shared" si="67"/>
        <v>270641.58</v>
      </c>
      <c r="E380" s="2471">
        <v>0</v>
      </c>
      <c r="F380" s="2472">
        <v>102844.23</v>
      </c>
      <c r="G380" s="2529">
        <v>167797.35</v>
      </c>
      <c r="H380" s="2543"/>
      <c r="I380" s="2249">
        <f t="shared" si="65"/>
        <v>270641.58</v>
      </c>
      <c r="J380" s="2543"/>
      <c r="K380" s="2529"/>
      <c r="L380" s="2543"/>
      <c r="M380" s="2249">
        <f t="shared" si="68"/>
        <v>0</v>
      </c>
      <c r="N380" s="922"/>
      <c r="O380" s="922"/>
      <c r="P380" s="679"/>
      <c r="Q380" s="706"/>
      <c r="R380" s="109"/>
      <c r="S380" s="706"/>
      <c r="T380" s="708"/>
      <c r="U380" s="706"/>
      <c r="V380" s="706"/>
      <c r="W380" s="706"/>
      <c r="X380" s="706"/>
      <c r="Y380" s="706"/>
      <c r="Z380" s="706"/>
      <c r="AA380" s="706"/>
    </row>
    <row r="381" spans="2:27">
      <c r="B381" s="2468" t="s">
        <v>354</v>
      </c>
      <c r="C381" s="2469"/>
      <c r="D381" s="2470">
        <f t="shared" si="67"/>
        <v>0</v>
      </c>
      <c r="E381" s="2471">
        <v>0</v>
      </c>
      <c r="F381" s="2472">
        <v>0</v>
      </c>
      <c r="G381" s="2529">
        <v>0</v>
      </c>
      <c r="H381" s="2543"/>
      <c r="I381" s="2249">
        <f t="shared" si="65"/>
        <v>0</v>
      </c>
      <c r="J381" s="2543"/>
      <c r="K381" s="2529"/>
      <c r="L381" s="2543"/>
      <c r="M381" s="2249">
        <f t="shared" si="68"/>
        <v>0</v>
      </c>
      <c r="N381" s="922"/>
      <c r="O381" s="922"/>
      <c r="P381" s="679"/>
      <c r="Q381" s="706"/>
      <c r="R381" s="313"/>
      <c r="S381" s="706"/>
      <c r="T381" s="708"/>
      <c r="U381" s="706"/>
      <c r="V381" s="706"/>
      <c r="W381" s="706"/>
      <c r="X381" s="706"/>
      <c r="Y381" s="706"/>
      <c r="Z381" s="706"/>
      <c r="AA381" s="706"/>
    </row>
    <row r="382" spans="2:27">
      <c r="B382" s="2468" t="s">
        <v>355</v>
      </c>
      <c r="C382" s="2469"/>
      <c r="D382" s="2470">
        <f t="shared" si="67"/>
        <v>11451.294519999999</v>
      </c>
      <c r="E382" s="2471">
        <v>0</v>
      </c>
      <c r="F382" s="2472">
        <v>4351.4919175999994</v>
      </c>
      <c r="G382" s="2529">
        <v>7099.8026024000001</v>
      </c>
      <c r="H382" s="2543"/>
      <c r="I382" s="2249">
        <f t="shared" si="65"/>
        <v>11451.294519999999</v>
      </c>
      <c r="J382" s="2543"/>
      <c r="K382" s="2529"/>
      <c r="L382" s="2543"/>
      <c r="M382" s="2249">
        <f t="shared" si="68"/>
        <v>0</v>
      </c>
      <c r="N382" s="922"/>
      <c r="O382" s="922"/>
      <c r="P382" s="679"/>
      <c r="Q382" s="706"/>
      <c r="R382" s="109"/>
      <c r="S382" s="706"/>
      <c r="T382" s="708"/>
      <c r="U382" s="706"/>
      <c r="V382" s="706"/>
      <c r="W382" s="706"/>
      <c r="X382" s="706"/>
      <c r="Y382" s="706"/>
      <c r="Z382" s="706"/>
      <c r="AA382" s="706"/>
    </row>
    <row r="383" spans="2:27">
      <c r="B383" s="2478" t="s">
        <v>356</v>
      </c>
      <c r="C383" s="2476"/>
      <c r="D383" s="2470">
        <f t="shared" si="67"/>
        <v>282092.87452000001</v>
      </c>
      <c r="E383" s="2471">
        <f>SUM(E380:E382)</f>
        <v>0</v>
      </c>
      <c r="F383" s="2472">
        <f>SUM(F380:F382)</f>
        <v>107195.72191759999</v>
      </c>
      <c r="G383" s="2529">
        <f>SUM(G380:G382)</f>
        <v>174897.15260240002</v>
      </c>
      <c r="H383" s="2543">
        <f>SUM(H380:H382)</f>
        <v>0</v>
      </c>
      <c r="I383" s="2249">
        <f t="shared" si="65"/>
        <v>282092.87452000001</v>
      </c>
      <c r="J383" s="2543">
        <f>SUM(J380:J382)</f>
        <v>0</v>
      </c>
      <c r="K383" s="2529">
        <f>SUM(K380:K382)</f>
        <v>0</v>
      </c>
      <c r="L383" s="2543">
        <f>SUM(L380:L382)</f>
        <v>0</v>
      </c>
      <c r="M383" s="2249">
        <f t="shared" si="68"/>
        <v>0</v>
      </c>
      <c r="N383" s="927"/>
      <c r="O383" s="922"/>
      <c r="P383" s="679"/>
      <c r="Q383" s="706"/>
      <c r="R383" s="313"/>
      <c r="S383" s="706"/>
      <c r="T383" s="708"/>
      <c r="U383" s="706"/>
      <c r="V383" s="706"/>
      <c r="W383" s="706"/>
      <c r="X383" s="706"/>
      <c r="Y383" s="706"/>
      <c r="Z383" s="706"/>
      <c r="AA383" s="706"/>
    </row>
    <row r="384" spans="2:27">
      <c r="B384" s="2478"/>
      <c r="C384" s="2476"/>
      <c r="D384" s="2470">
        <f t="shared" si="67"/>
        <v>0</v>
      </c>
      <c r="E384" s="2471"/>
      <c r="F384" s="2472"/>
      <c r="G384" s="2529"/>
      <c r="H384" s="2543"/>
      <c r="I384" s="2249">
        <f t="shared" si="65"/>
        <v>0</v>
      </c>
      <c r="J384" s="2543"/>
      <c r="K384" s="2529"/>
      <c r="L384" s="2543"/>
      <c r="M384" s="2249">
        <f t="shared" si="68"/>
        <v>0</v>
      </c>
      <c r="P384" s="679"/>
      <c r="Q384" s="706"/>
      <c r="R384" s="109"/>
      <c r="S384" s="706"/>
      <c r="T384" s="708"/>
      <c r="U384" s="706"/>
      <c r="V384" s="706"/>
      <c r="W384" s="706"/>
      <c r="X384" s="706"/>
      <c r="Y384" s="706"/>
      <c r="Z384" s="706"/>
      <c r="AA384" s="706"/>
    </row>
    <row r="385" spans="1:27">
      <c r="B385" s="2478" t="s">
        <v>357</v>
      </c>
      <c r="C385" s="2539"/>
      <c r="D385" s="2470">
        <f t="shared" si="67"/>
        <v>69805.22227949978</v>
      </c>
      <c r="E385" s="2529">
        <f>E368-E376-E378-E383</f>
        <v>69805</v>
      </c>
      <c r="F385" s="2549">
        <f>F368-F376-F378-F383</f>
        <v>-7.4706002196762711E-3</v>
      </c>
      <c r="G385" s="2437">
        <f>G368-G376-G378-G383</f>
        <v>0.22975009999936447</v>
      </c>
      <c r="H385" s="2549">
        <f>H368-H376-H378-H383</f>
        <v>0</v>
      </c>
      <c r="I385" s="2206">
        <f t="shared" si="65"/>
        <v>0.22227949977968819</v>
      </c>
      <c r="J385" s="2549">
        <f>J368-J376-J378-J383</f>
        <v>0</v>
      </c>
      <c r="K385" s="2529">
        <f>K368-K376-K378-K383</f>
        <v>0</v>
      </c>
      <c r="L385" s="2543">
        <f>L368-L376-L378-L383</f>
        <v>0</v>
      </c>
      <c r="M385" s="2249">
        <f t="shared" si="68"/>
        <v>0</v>
      </c>
      <c r="N385" s="927"/>
      <c r="O385" s="922"/>
      <c r="P385" s="679"/>
      <c r="Q385" s="706"/>
      <c r="R385" s="109"/>
      <c r="S385" s="706"/>
      <c r="T385" s="708"/>
      <c r="U385" s="706"/>
      <c r="V385" s="706"/>
      <c r="W385" s="706"/>
      <c r="X385" s="706"/>
      <c r="Y385" s="706"/>
      <c r="Z385" s="706"/>
      <c r="AA385" s="706"/>
    </row>
    <row r="386" spans="1:27">
      <c r="B386" s="2468" t="s">
        <v>358</v>
      </c>
      <c r="C386" s="2537"/>
      <c r="D386" s="2470">
        <f t="shared" si="67"/>
        <v>19430.787740371899</v>
      </c>
      <c r="E386" s="2529">
        <v>19430.787740371899</v>
      </c>
      <c r="F386" s="2549"/>
      <c r="G386" s="2437"/>
      <c r="H386" s="2549"/>
      <c r="I386" s="2206">
        <f t="shared" si="65"/>
        <v>0</v>
      </c>
      <c r="J386" s="2549"/>
      <c r="K386" s="2529"/>
      <c r="L386" s="2543"/>
      <c r="M386" s="2249">
        <f t="shared" si="68"/>
        <v>0</v>
      </c>
      <c r="N386" s="922"/>
      <c r="O386" s="922"/>
      <c r="P386" s="679"/>
      <c r="Q386" s="706"/>
      <c r="R386" s="313"/>
      <c r="S386" s="706"/>
      <c r="T386" s="708"/>
      <c r="U386" s="706"/>
      <c r="V386" s="706"/>
      <c r="W386" s="706"/>
      <c r="X386" s="706"/>
      <c r="Y386" s="706"/>
      <c r="Z386" s="706"/>
      <c r="AA386" s="706"/>
    </row>
    <row r="387" spans="1:27">
      <c r="B387" s="2468"/>
      <c r="C387" s="2537"/>
      <c r="D387" s="2470">
        <f t="shared" si="67"/>
        <v>0</v>
      </c>
      <c r="E387" s="2529"/>
      <c r="F387" s="2549"/>
      <c r="G387" s="2437"/>
      <c r="H387" s="2549"/>
      <c r="I387" s="2206">
        <f t="shared" si="65"/>
        <v>0</v>
      </c>
      <c r="J387" s="2549"/>
      <c r="K387" s="2529"/>
      <c r="L387" s="2543"/>
      <c r="M387" s="2249">
        <f t="shared" si="68"/>
        <v>0</v>
      </c>
      <c r="P387" s="679"/>
      <c r="Q387" s="706"/>
      <c r="R387" s="109"/>
      <c r="S387" s="706"/>
      <c r="T387" s="708"/>
      <c r="U387" s="706"/>
      <c r="V387" s="706"/>
      <c r="W387" s="706"/>
      <c r="X387" s="706"/>
      <c r="Y387" s="706"/>
      <c r="Z387" s="706"/>
      <c r="AA387" s="706"/>
    </row>
    <row r="388" spans="1:27" ht="13.5" thickBot="1">
      <c r="B388" s="1611" t="s">
        <v>359</v>
      </c>
      <c r="C388" s="1612"/>
      <c r="D388" s="1613">
        <f t="shared" si="67"/>
        <v>50374.434539127877</v>
      </c>
      <c r="E388" s="1614">
        <f>E385-E386</f>
        <v>50374.212259628097</v>
      </c>
      <c r="F388" s="1668">
        <f>F385-F386</f>
        <v>-7.4706002196762711E-3</v>
      </c>
      <c r="G388" s="1669">
        <f>G385-G386</f>
        <v>0.22975009999936447</v>
      </c>
      <c r="H388" s="1668">
        <f>H385-H386</f>
        <v>0</v>
      </c>
      <c r="I388" s="1669">
        <f t="shared" si="65"/>
        <v>0.22227949977968819</v>
      </c>
      <c r="J388" s="1668">
        <f>J385-J386</f>
        <v>0</v>
      </c>
      <c r="K388" s="1614">
        <f>K385-K386</f>
        <v>0</v>
      </c>
      <c r="L388" s="1615">
        <f>L385-L386</f>
        <v>0</v>
      </c>
      <c r="M388" s="1614">
        <f t="shared" si="68"/>
        <v>0</v>
      </c>
      <c r="N388" s="927"/>
      <c r="O388" s="922"/>
      <c r="P388" s="679"/>
      <c r="Q388" s="706"/>
      <c r="R388" s="109"/>
      <c r="S388" s="706"/>
      <c r="T388" s="708"/>
      <c r="U388" s="706"/>
      <c r="V388" s="706"/>
      <c r="W388" s="706"/>
      <c r="X388" s="706"/>
      <c r="Y388" s="706"/>
      <c r="Z388" s="706"/>
      <c r="AA388" s="706"/>
    </row>
    <row r="389" spans="1:27">
      <c r="D389" s="715"/>
      <c r="E389" s="715"/>
      <c r="F389" s="715"/>
      <c r="G389" s="715"/>
      <c r="H389" s="715"/>
      <c r="I389" s="715"/>
      <c r="R389" s="109"/>
      <c r="S389" s="699"/>
      <c r="T389" s="699"/>
      <c r="U389" s="699"/>
      <c r="V389" s="699"/>
      <c r="W389" s="699"/>
      <c r="X389" s="699"/>
      <c r="Y389" s="699"/>
      <c r="Z389" s="699"/>
      <c r="AA389" s="699"/>
    </row>
    <row r="390" spans="1:27">
      <c r="D390" s="715"/>
      <c r="E390" s="715"/>
      <c r="F390" s="715"/>
      <c r="G390" s="715"/>
      <c r="H390" s="715"/>
      <c r="I390" s="715"/>
      <c r="M390" s="912">
        <v>71</v>
      </c>
      <c r="R390" s="109"/>
      <c r="S390" s="699"/>
      <c r="T390" s="699"/>
      <c r="U390" s="699"/>
      <c r="V390" s="699"/>
      <c r="W390" s="699"/>
      <c r="X390" s="699"/>
      <c r="Y390" s="699"/>
      <c r="Z390" s="699"/>
      <c r="AA390" s="699"/>
    </row>
    <row r="391" spans="1:27">
      <c r="D391" s="941"/>
      <c r="E391" s="941"/>
      <c r="F391" s="941"/>
      <c r="G391" s="941"/>
      <c r="H391" s="941"/>
      <c r="I391" s="941"/>
      <c r="J391" s="941"/>
      <c r="R391" s="109"/>
      <c r="S391" s="699"/>
      <c r="T391" s="699"/>
      <c r="U391" s="699"/>
      <c r="V391" s="699"/>
      <c r="W391" s="699"/>
      <c r="X391" s="699"/>
      <c r="Y391" s="699"/>
      <c r="Z391" s="699"/>
      <c r="AA391" s="699"/>
    </row>
    <row r="392" spans="1:27" ht="13.5" thickBot="1">
      <c r="E392" s="941"/>
      <c r="F392" s="941"/>
      <c r="G392" s="941"/>
      <c r="H392" s="941"/>
      <c r="I392" s="941"/>
      <c r="J392" s="941"/>
      <c r="K392" s="941"/>
      <c r="L392" s="941"/>
      <c r="M392" s="941"/>
      <c r="R392" s="109"/>
      <c r="S392" s="699"/>
      <c r="T392" s="699"/>
      <c r="U392" s="699"/>
      <c r="V392" s="699"/>
      <c r="W392" s="699"/>
      <c r="X392" s="699"/>
      <c r="Y392" s="699"/>
      <c r="Z392" s="699"/>
      <c r="AA392" s="699"/>
    </row>
    <row r="393" spans="1:27" ht="12.75" customHeight="1" thickBot="1">
      <c r="A393" s="1626" t="s">
        <v>131</v>
      </c>
      <c r="B393" s="1368" t="s">
        <v>103</v>
      </c>
      <c r="C393" s="937"/>
      <c r="E393" s="941"/>
      <c r="F393" s="941"/>
      <c r="G393" s="941"/>
      <c r="H393" s="941"/>
      <c r="I393" s="941"/>
      <c r="J393" s="941"/>
      <c r="K393" s="941"/>
      <c r="L393" s="3538" t="s">
        <v>251</v>
      </c>
      <c r="M393" s="3538"/>
      <c r="R393" s="109"/>
      <c r="S393" s="699"/>
      <c r="T393" s="699"/>
      <c r="U393" s="699"/>
      <c r="V393" s="699"/>
      <c r="W393" s="699"/>
      <c r="X393" s="699"/>
      <c r="Y393" s="699"/>
      <c r="Z393" s="699"/>
      <c r="AA393" s="699"/>
    </row>
    <row r="394" spans="1:27" ht="14.25" customHeight="1" thickBot="1">
      <c r="B394" s="3578" t="s">
        <v>103</v>
      </c>
      <c r="C394" s="3523" t="s">
        <v>325</v>
      </c>
      <c r="D394" s="3518" t="s">
        <v>255</v>
      </c>
      <c r="E394" s="3518" t="s">
        <v>326</v>
      </c>
      <c r="F394" s="3574" t="s">
        <v>258</v>
      </c>
      <c r="G394" s="3574"/>
      <c r="H394" s="3574"/>
      <c r="I394" s="3574"/>
      <c r="J394" s="3574"/>
      <c r="K394" s="3574"/>
      <c r="L394" s="3574"/>
      <c r="M394" s="3574"/>
      <c r="R394" s="109"/>
      <c r="S394" s="699"/>
      <c r="T394" s="699"/>
      <c r="U394" s="699"/>
      <c r="V394" s="699"/>
      <c r="W394" s="699"/>
      <c r="X394" s="699"/>
      <c r="Y394" s="699"/>
      <c r="Z394" s="699"/>
      <c r="AA394" s="699"/>
    </row>
    <row r="395" spans="1:27" ht="13.5" customHeight="1">
      <c r="B395" s="3571"/>
      <c r="C395" s="3524"/>
      <c r="D395" s="3520"/>
      <c r="E395" s="3520"/>
      <c r="F395" s="3575" t="s">
        <v>259</v>
      </c>
      <c r="G395" s="3576"/>
      <c r="H395" s="3576"/>
      <c r="I395" s="3577"/>
      <c r="J395" s="3574" t="s">
        <v>327</v>
      </c>
      <c r="K395" s="3574"/>
      <c r="L395" s="3574"/>
      <c r="M395" s="3574"/>
      <c r="R395" s="109"/>
      <c r="S395" s="699"/>
      <c r="T395" s="699"/>
      <c r="U395" s="699"/>
      <c r="V395" s="699"/>
      <c r="W395" s="699"/>
      <c r="X395" s="699"/>
      <c r="Y395" s="699"/>
      <c r="Z395" s="699"/>
      <c r="AA395" s="699"/>
    </row>
    <row r="396" spans="1:27" ht="56.25" customHeight="1" thickBot="1">
      <c r="B396" s="3571"/>
      <c r="C396" s="3524"/>
      <c r="D396" s="3519"/>
      <c r="E396" s="3519"/>
      <c r="F396" s="1339" t="s">
        <v>261</v>
      </c>
      <c r="G396" s="1339" t="s">
        <v>262</v>
      </c>
      <c r="H396" s="1339" t="s">
        <v>263</v>
      </c>
      <c r="I396" s="1339" t="s">
        <v>158</v>
      </c>
      <c r="J396" s="1588" t="s">
        <v>328</v>
      </c>
      <c r="K396" s="1588" t="s">
        <v>265</v>
      </c>
      <c r="L396" s="1588" t="s">
        <v>329</v>
      </c>
      <c r="M396" s="1588" t="s">
        <v>158</v>
      </c>
      <c r="R396" s="109"/>
      <c r="S396" s="699"/>
      <c r="T396" s="699"/>
      <c r="U396" s="699"/>
      <c r="V396" s="699"/>
      <c r="W396" s="699"/>
      <c r="X396" s="699"/>
      <c r="Y396" s="699"/>
      <c r="Z396" s="699"/>
      <c r="AA396" s="699"/>
    </row>
    <row r="397" spans="1:27" ht="12.75" customHeight="1" thickBot="1">
      <c r="B397" s="3571"/>
      <c r="C397" s="3524"/>
      <c r="D397" s="1589">
        <v>1</v>
      </c>
      <c r="E397" s="3518">
        <v>2</v>
      </c>
      <c r="F397" s="3518">
        <v>3</v>
      </c>
      <c r="G397" s="3518">
        <v>4</v>
      </c>
      <c r="H397" s="3518">
        <v>5</v>
      </c>
      <c r="I397" s="1589">
        <v>6</v>
      </c>
      <c r="J397" s="3518">
        <v>7</v>
      </c>
      <c r="K397" s="3518">
        <v>8</v>
      </c>
      <c r="L397" s="3518">
        <v>9</v>
      </c>
      <c r="M397" s="1589">
        <v>10</v>
      </c>
      <c r="R397" s="109"/>
      <c r="S397" s="699"/>
      <c r="T397" s="699"/>
      <c r="U397" s="699"/>
      <c r="V397" s="699"/>
      <c r="W397" s="699"/>
      <c r="X397" s="699"/>
      <c r="Y397" s="699"/>
      <c r="Z397" s="699"/>
      <c r="AA397" s="699"/>
    </row>
    <row r="398" spans="1:27" ht="13.5" thickBot="1">
      <c r="B398" s="3572"/>
      <c r="C398" s="3525"/>
      <c r="D398" s="1590" t="s">
        <v>330</v>
      </c>
      <c r="E398" s="3519"/>
      <c r="F398" s="3519"/>
      <c r="G398" s="3519"/>
      <c r="H398" s="3519"/>
      <c r="I398" s="1590" t="s">
        <v>331</v>
      </c>
      <c r="J398" s="3519"/>
      <c r="K398" s="3519"/>
      <c r="L398" s="3519"/>
      <c r="M398" s="1590" t="s">
        <v>332</v>
      </c>
      <c r="N398" s="703"/>
      <c r="O398" s="703"/>
      <c r="R398" s="109"/>
      <c r="S398" s="699"/>
      <c r="T398" s="699"/>
      <c r="U398" s="699"/>
      <c r="V398" s="699"/>
      <c r="W398" s="699"/>
      <c r="X398" s="699"/>
      <c r="Y398" s="699"/>
      <c r="Z398" s="699"/>
      <c r="AA398" s="699"/>
    </row>
    <row r="399" spans="1:27">
      <c r="B399" s="1591" t="s">
        <v>333</v>
      </c>
      <c r="C399" s="962"/>
      <c r="D399" s="1592">
        <f t="shared" ref="D399:D436" si="69">E399+I399+M399</f>
        <v>5487039</v>
      </c>
      <c r="E399" s="964"/>
      <c r="F399" s="963">
        <v>475982</v>
      </c>
      <c r="G399" s="964">
        <v>1324066</v>
      </c>
      <c r="H399" s="963">
        <v>3686991</v>
      </c>
      <c r="I399" s="1595">
        <f t="shared" ref="I399:I436" si="70">F399+G399+H399</f>
        <v>5487039</v>
      </c>
      <c r="J399" s="963"/>
      <c r="K399" s="964"/>
      <c r="L399" s="963"/>
      <c r="M399" s="1598">
        <f t="shared" ref="M399:M416" si="71">L399+K399+J399</f>
        <v>0</v>
      </c>
      <c r="N399" s="922"/>
      <c r="O399" s="922"/>
      <c r="P399" s="679"/>
      <c r="Q399" s="706"/>
      <c r="R399" s="109"/>
      <c r="S399" s="706"/>
      <c r="T399" s="708"/>
      <c r="U399" s="706"/>
      <c r="V399" s="706"/>
      <c r="W399" s="706"/>
      <c r="X399" s="706"/>
      <c r="Y399" s="706"/>
      <c r="Z399" s="706"/>
      <c r="AA399" s="706"/>
    </row>
    <row r="400" spans="1:27">
      <c r="B400" s="2460"/>
      <c r="C400" s="2461"/>
      <c r="D400" s="2481">
        <f t="shared" si="69"/>
        <v>0</v>
      </c>
      <c r="E400" s="2483"/>
      <c r="F400" s="2471"/>
      <c r="G400" s="2483"/>
      <c r="H400" s="2471"/>
      <c r="I400" s="2482">
        <f t="shared" si="70"/>
        <v>0</v>
      </c>
      <c r="J400" s="2471"/>
      <c r="K400" s="2483"/>
      <c r="L400" s="2471"/>
      <c r="M400" s="2484">
        <f t="shared" si="71"/>
        <v>0</v>
      </c>
      <c r="O400" s="922"/>
      <c r="P400" s="679"/>
      <c r="Q400" s="706"/>
      <c r="R400" s="109"/>
      <c r="S400" s="706"/>
      <c r="T400" s="708"/>
      <c r="U400" s="706"/>
      <c r="V400" s="706"/>
      <c r="W400" s="706"/>
      <c r="X400" s="706"/>
      <c r="Y400" s="706"/>
      <c r="Z400" s="706"/>
      <c r="AA400" s="706"/>
    </row>
    <row r="401" spans="2:27">
      <c r="B401" s="2462" t="s">
        <v>334</v>
      </c>
      <c r="C401" s="2461"/>
      <c r="D401" s="2481">
        <f t="shared" si="69"/>
        <v>265164</v>
      </c>
      <c r="E401" s="2483"/>
      <c r="F401" s="2471">
        <v>4222</v>
      </c>
      <c r="G401" s="2483">
        <v>246989</v>
      </c>
      <c r="H401" s="2471">
        <v>13953</v>
      </c>
      <c r="I401" s="2482">
        <f t="shared" si="70"/>
        <v>265164</v>
      </c>
      <c r="J401" s="2471"/>
      <c r="K401" s="2483"/>
      <c r="L401" s="2471"/>
      <c r="M401" s="2484">
        <f t="shared" si="71"/>
        <v>0</v>
      </c>
      <c r="N401" s="922"/>
      <c r="O401" s="922"/>
      <c r="P401" s="679"/>
      <c r="Q401" s="706"/>
      <c r="R401" s="109"/>
      <c r="S401" s="706"/>
      <c r="T401" s="708"/>
      <c r="U401" s="706"/>
      <c r="V401" s="706"/>
      <c r="W401" s="706"/>
      <c r="X401" s="706"/>
      <c r="Y401" s="706"/>
      <c r="Z401" s="706"/>
      <c r="AA401" s="706"/>
    </row>
    <row r="402" spans="2:27">
      <c r="B402" s="2462"/>
      <c r="C402" s="2461"/>
      <c r="D402" s="2481">
        <f t="shared" si="69"/>
        <v>0</v>
      </c>
      <c r="E402" s="2483"/>
      <c r="F402" s="2471"/>
      <c r="G402" s="2483"/>
      <c r="H402" s="2471"/>
      <c r="I402" s="2482">
        <f t="shared" si="70"/>
        <v>0</v>
      </c>
      <c r="J402" s="2471"/>
      <c r="K402" s="2483"/>
      <c r="L402" s="2471"/>
      <c r="M402" s="2484">
        <f t="shared" si="71"/>
        <v>0</v>
      </c>
      <c r="O402" s="922"/>
      <c r="P402" s="679"/>
      <c r="Q402" s="706"/>
      <c r="R402" s="109"/>
      <c r="S402" s="706"/>
      <c r="T402" s="708"/>
      <c r="U402" s="706"/>
      <c r="V402" s="706"/>
      <c r="W402" s="706"/>
      <c r="X402" s="706"/>
      <c r="Y402" s="706"/>
      <c r="Z402" s="706"/>
      <c r="AA402" s="706"/>
    </row>
    <row r="403" spans="2:27" ht="12.75" customHeight="1">
      <c r="B403" s="2463" t="s">
        <v>335</v>
      </c>
      <c r="C403" s="2461"/>
      <c r="D403" s="2481">
        <f t="shared" si="69"/>
        <v>0</v>
      </c>
      <c r="E403" s="2483"/>
      <c r="F403" s="2471"/>
      <c r="G403" s="2483"/>
      <c r="H403" s="2471"/>
      <c r="I403" s="2482">
        <f t="shared" si="70"/>
        <v>0</v>
      </c>
      <c r="J403" s="2471"/>
      <c r="K403" s="2483"/>
      <c r="L403" s="2471"/>
      <c r="M403" s="2484">
        <f t="shared" si="71"/>
        <v>0</v>
      </c>
      <c r="N403" s="922"/>
      <c r="O403" s="922"/>
      <c r="P403" s="679"/>
      <c r="Q403" s="706"/>
      <c r="R403" s="109"/>
      <c r="S403" s="706"/>
      <c r="T403" s="708"/>
      <c r="U403" s="706"/>
      <c r="V403" s="706"/>
      <c r="W403" s="706"/>
      <c r="X403" s="706"/>
      <c r="Y403" s="706"/>
      <c r="Z403" s="706"/>
      <c r="AA403" s="706"/>
    </row>
    <row r="404" spans="2:27">
      <c r="B404" s="2460"/>
      <c r="C404" s="2461"/>
      <c r="D404" s="2481">
        <f t="shared" si="69"/>
        <v>0</v>
      </c>
      <c r="E404" s="2483"/>
      <c r="F404" s="2471"/>
      <c r="G404" s="2483"/>
      <c r="H404" s="2471"/>
      <c r="I404" s="2482">
        <f t="shared" si="70"/>
        <v>0</v>
      </c>
      <c r="J404" s="2471"/>
      <c r="K404" s="2483"/>
      <c r="L404" s="2471"/>
      <c r="M404" s="2484">
        <f t="shared" si="71"/>
        <v>0</v>
      </c>
      <c r="O404" s="922"/>
      <c r="P404" s="679"/>
      <c r="Q404" s="706"/>
      <c r="R404" s="109"/>
      <c r="S404" s="706"/>
      <c r="T404" s="708"/>
      <c r="U404" s="706"/>
      <c r="V404" s="706"/>
      <c r="W404" s="706"/>
      <c r="X404" s="706"/>
      <c r="Y404" s="706"/>
      <c r="Z404" s="706"/>
      <c r="AA404" s="706"/>
    </row>
    <row r="405" spans="2:27">
      <c r="B405" s="2464" t="s">
        <v>336</v>
      </c>
      <c r="C405" s="2465"/>
      <c r="D405" s="2481">
        <f t="shared" si="69"/>
        <v>5221875</v>
      </c>
      <c r="E405" s="2483">
        <f>E399-E401+E403</f>
        <v>0</v>
      </c>
      <c r="F405" s="2471">
        <f>F399-F401+F403</f>
        <v>471760</v>
      </c>
      <c r="G405" s="2483">
        <f>G399-G401+G403</f>
        <v>1077077</v>
      </c>
      <c r="H405" s="2471">
        <f>H399-H401+H403</f>
        <v>3673038</v>
      </c>
      <c r="I405" s="2482">
        <f t="shared" si="70"/>
        <v>5221875</v>
      </c>
      <c r="J405" s="2471">
        <f>J399-J401+J403</f>
        <v>0</v>
      </c>
      <c r="K405" s="2483">
        <f>K399-K401+K403</f>
        <v>0</v>
      </c>
      <c r="L405" s="2471">
        <f>L399-L401+L403</f>
        <v>0</v>
      </c>
      <c r="M405" s="2484">
        <f t="shared" si="71"/>
        <v>0</v>
      </c>
      <c r="N405" s="927"/>
      <c r="O405" s="922"/>
      <c r="P405" s="679"/>
      <c r="Q405" s="706"/>
      <c r="R405" s="109"/>
      <c r="S405" s="706"/>
      <c r="T405" s="708"/>
      <c r="U405" s="706"/>
      <c r="V405" s="706"/>
      <c r="W405" s="706"/>
      <c r="X405" s="706"/>
      <c r="Y405" s="706"/>
      <c r="Z405" s="706"/>
      <c r="AA405" s="706"/>
    </row>
    <row r="406" spans="2:27">
      <c r="B406" s="2464"/>
      <c r="C406" s="2465"/>
      <c r="D406" s="2481">
        <f t="shared" si="69"/>
        <v>0</v>
      </c>
      <c r="E406" s="2483"/>
      <c r="F406" s="2471"/>
      <c r="G406" s="2483"/>
      <c r="H406" s="2471"/>
      <c r="I406" s="2482">
        <f t="shared" si="70"/>
        <v>0</v>
      </c>
      <c r="J406" s="2471"/>
      <c r="K406" s="2483"/>
      <c r="L406" s="2471"/>
      <c r="M406" s="2484">
        <f t="shared" si="71"/>
        <v>0</v>
      </c>
      <c r="O406" s="922"/>
      <c r="P406" s="679"/>
      <c r="Q406" s="706"/>
      <c r="R406" s="109"/>
      <c r="S406" s="706"/>
      <c r="T406" s="708"/>
      <c r="U406" s="706"/>
      <c r="V406" s="706"/>
      <c r="W406" s="706"/>
      <c r="X406" s="706"/>
      <c r="Y406" s="706"/>
      <c r="Z406" s="706"/>
      <c r="AA406" s="706"/>
    </row>
    <row r="407" spans="2:27">
      <c r="B407" s="2464" t="s">
        <v>337</v>
      </c>
      <c r="C407" s="2465"/>
      <c r="D407" s="2481">
        <f t="shared" si="69"/>
        <v>2223950</v>
      </c>
      <c r="E407" s="2483">
        <f>SUM(E408:E412)</f>
        <v>403414</v>
      </c>
      <c r="F407" s="2471">
        <f>SUM(F408:F412)</f>
        <v>530782</v>
      </c>
      <c r="G407" s="2483">
        <f>SUM(G408:G412)</f>
        <v>298340</v>
      </c>
      <c r="H407" s="2471">
        <f>SUM(H408:H412)</f>
        <v>991414</v>
      </c>
      <c r="I407" s="2482">
        <f t="shared" si="70"/>
        <v>1820536</v>
      </c>
      <c r="J407" s="2471">
        <f>SUM(J408:J412)</f>
        <v>0</v>
      </c>
      <c r="K407" s="2483">
        <f>SUM(K408:K412)</f>
        <v>0</v>
      </c>
      <c r="L407" s="2471">
        <f>SUM(L408:L412)</f>
        <v>0</v>
      </c>
      <c r="M407" s="2484">
        <f t="shared" si="71"/>
        <v>0</v>
      </c>
      <c r="N407" s="927"/>
      <c r="O407" s="922"/>
      <c r="P407" s="679"/>
      <c r="Q407" s="706"/>
      <c r="R407" s="109"/>
      <c r="S407" s="706"/>
      <c r="T407" s="708"/>
      <c r="U407" s="706"/>
      <c r="V407" s="706"/>
      <c r="W407" s="706"/>
      <c r="X407" s="706"/>
      <c r="Y407" s="706"/>
      <c r="Z407" s="706"/>
      <c r="AA407" s="706"/>
    </row>
    <row r="408" spans="2:27">
      <c r="B408" s="2460" t="s">
        <v>338</v>
      </c>
      <c r="C408" s="2461">
        <v>1</v>
      </c>
      <c r="D408" s="2481">
        <f t="shared" si="69"/>
        <v>2125362</v>
      </c>
      <c r="E408" s="2483">
        <v>386332</v>
      </c>
      <c r="F408" s="2471">
        <v>518188</v>
      </c>
      <c r="G408" s="2483">
        <v>286123</v>
      </c>
      <c r="H408" s="2471">
        <v>934719</v>
      </c>
      <c r="I408" s="2482">
        <f t="shared" si="70"/>
        <v>1739030</v>
      </c>
      <c r="J408" s="2471"/>
      <c r="K408" s="2483"/>
      <c r="L408" s="2471"/>
      <c r="M408" s="2484">
        <f t="shared" si="71"/>
        <v>0</v>
      </c>
      <c r="N408" s="922"/>
      <c r="O408" s="922"/>
      <c r="P408" s="679"/>
      <c r="Q408" s="706"/>
      <c r="R408" s="109"/>
      <c r="S408" s="706"/>
      <c r="T408" s="708"/>
      <c r="U408" s="706"/>
      <c r="V408" s="706"/>
      <c r="W408" s="706"/>
      <c r="X408" s="706"/>
      <c r="Y408" s="706"/>
      <c r="Z408" s="706"/>
      <c r="AA408" s="706"/>
    </row>
    <row r="409" spans="2:27">
      <c r="B409" s="2460" t="s">
        <v>339</v>
      </c>
      <c r="C409" s="2461">
        <v>2</v>
      </c>
      <c r="D409" s="2481">
        <f t="shared" si="69"/>
        <v>34945</v>
      </c>
      <c r="E409" s="2483">
        <v>11547</v>
      </c>
      <c r="F409" s="2471">
        <v>-686</v>
      </c>
      <c r="G409" s="2483">
        <v>12057</v>
      </c>
      <c r="H409" s="2471">
        <v>12027</v>
      </c>
      <c r="I409" s="2482">
        <f t="shared" si="70"/>
        <v>23398</v>
      </c>
      <c r="J409" s="2471"/>
      <c r="K409" s="2483"/>
      <c r="L409" s="2471"/>
      <c r="M409" s="2484">
        <f t="shared" si="71"/>
        <v>0</v>
      </c>
      <c r="N409" s="922"/>
      <c r="O409" s="922"/>
      <c r="P409" s="679"/>
      <c r="Q409" s="706"/>
      <c r="R409" s="109"/>
      <c r="S409" s="706"/>
      <c r="T409" s="708"/>
      <c r="U409" s="706"/>
      <c r="V409" s="706"/>
      <c r="W409" s="706"/>
      <c r="X409" s="706"/>
      <c r="Y409" s="706"/>
      <c r="Z409" s="706"/>
      <c r="AA409" s="706"/>
    </row>
    <row r="410" spans="2:27">
      <c r="B410" s="2460" t="s">
        <v>340</v>
      </c>
      <c r="C410" s="2461"/>
      <c r="D410" s="2481">
        <f t="shared" si="69"/>
        <v>44909</v>
      </c>
      <c r="E410" s="2483">
        <v>0</v>
      </c>
      <c r="F410" s="2471">
        <v>3011</v>
      </c>
      <c r="G410" s="2483">
        <v>0</v>
      </c>
      <c r="H410" s="2471">
        <v>41898</v>
      </c>
      <c r="I410" s="2482">
        <f t="shared" si="70"/>
        <v>44909</v>
      </c>
      <c r="J410" s="2471"/>
      <c r="K410" s="2483"/>
      <c r="L410" s="2471"/>
      <c r="M410" s="2484">
        <f t="shared" si="71"/>
        <v>0</v>
      </c>
      <c r="N410" s="922"/>
      <c r="O410" s="922"/>
      <c r="P410" s="679"/>
      <c r="Q410" s="706"/>
      <c r="R410" s="109"/>
      <c r="S410" s="706"/>
      <c r="T410" s="708"/>
      <c r="U410" s="706"/>
      <c r="V410" s="706"/>
      <c r="W410" s="706"/>
      <c r="X410" s="706"/>
      <c r="Y410" s="706"/>
      <c r="Z410" s="706"/>
      <c r="AA410" s="706"/>
    </row>
    <row r="411" spans="2:27">
      <c r="B411" s="2460" t="s">
        <v>341</v>
      </c>
      <c r="C411" s="2461"/>
      <c r="D411" s="2481">
        <f t="shared" si="69"/>
        <v>12987</v>
      </c>
      <c r="E411" s="2483">
        <v>400</v>
      </c>
      <c r="F411" s="2471">
        <v>10154</v>
      </c>
      <c r="G411" s="2483">
        <v>-7</v>
      </c>
      <c r="H411" s="2471">
        <v>2440</v>
      </c>
      <c r="I411" s="2482">
        <f t="shared" si="70"/>
        <v>12587</v>
      </c>
      <c r="J411" s="2471"/>
      <c r="K411" s="2483"/>
      <c r="L411" s="2471"/>
      <c r="M411" s="2484">
        <f t="shared" si="71"/>
        <v>0</v>
      </c>
      <c r="N411" s="922"/>
      <c r="O411" s="922"/>
      <c r="P411" s="679"/>
      <c r="Q411" s="706"/>
      <c r="R411" s="109"/>
      <c r="S411" s="706"/>
      <c r="T411" s="708"/>
      <c r="U411" s="706"/>
      <c r="V411" s="706"/>
      <c r="W411" s="706"/>
      <c r="X411" s="706"/>
      <c r="Y411" s="706"/>
      <c r="Z411" s="706"/>
      <c r="AA411" s="706"/>
    </row>
    <row r="412" spans="2:27">
      <c r="B412" s="2460" t="s">
        <v>342</v>
      </c>
      <c r="C412" s="2461">
        <v>3</v>
      </c>
      <c r="D412" s="2481">
        <f t="shared" si="69"/>
        <v>5747</v>
      </c>
      <c r="E412" s="2483">
        <v>5135</v>
      </c>
      <c r="F412" s="2471">
        <v>115</v>
      </c>
      <c r="G412" s="2483">
        <v>167</v>
      </c>
      <c r="H412" s="2471">
        <v>330</v>
      </c>
      <c r="I412" s="2482">
        <f t="shared" si="70"/>
        <v>612</v>
      </c>
      <c r="J412" s="2471"/>
      <c r="K412" s="2483"/>
      <c r="L412" s="2471"/>
      <c r="M412" s="2484">
        <f t="shared" si="71"/>
        <v>0</v>
      </c>
      <c r="N412" s="922"/>
      <c r="O412" s="922"/>
      <c r="P412" s="679"/>
      <c r="Q412" s="706"/>
      <c r="R412" s="109"/>
      <c r="S412" s="706"/>
      <c r="T412" s="708"/>
      <c r="U412" s="706"/>
      <c r="V412" s="706"/>
      <c r="W412" s="706"/>
      <c r="X412" s="706"/>
      <c r="Y412" s="706"/>
      <c r="Z412" s="706"/>
      <c r="AA412" s="706"/>
    </row>
    <row r="413" spans="2:27">
      <c r="B413" s="2460" t="s">
        <v>343</v>
      </c>
      <c r="C413" s="2461"/>
      <c r="D413" s="2481">
        <f t="shared" si="69"/>
        <v>0</v>
      </c>
      <c r="E413" s="2483"/>
      <c r="F413" s="2471"/>
      <c r="G413" s="2483"/>
      <c r="H413" s="2471"/>
      <c r="I413" s="2482">
        <f t="shared" si="70"/>
        <v>0</v>
      </c>
      <c r="J413" s="2471"/>
      <c r="K413" s="2483"/>
      <c r="L413" s="2471"/>
      <c r="M413" s="2484">
        <f t="shared" si="71"/>
        <v>0</v>
      </c>
      <c r="O413" s="922"/>
      <c r="P413" s="679"/>
      <c r="Q413" s="706"/>
      <c r="R413" s="109"/>
      <c r="S413" s="706"/>
      <c r="T413" s="708"/>
      <c r="U413" s="706"/>
      <c r="V413" s="706"/>
      <c r="W413" s="706"/>
      <c r="X413" s="706"/>
      <c r="Y413" s="706"/>
      <c r="Z413" s="706"/>
      <c r="AA413" s="706"/>
    </row>
    <row r="414" spans="2:27">
      <c r="B414" s="2460" t="s">
        <v>343</v>
      </c>
      <c r="C414" s="2461"/>
      <c r="D414" s="2481">
        <f t="shared" si="69"/>
        <v>0</v>
      </c>
      <c r="E414" s="2483"/>
      <c r="F414" s="2471"/>
      <c r="G414" s="2483"/>
      <c r="H414" s="2471"/>
      <c r="I414" s="2482">
        <f t="shared" si="70"/>
        <v>0</v>
      </c>
      <c r="J414" s="2471"/>
      <c r="K414" s="2483"/>
      <c r="L414" s="2471"/>
      <c r="M414" s="2484">
        <f t="shared" si="71"/>
        <v>0</v>
      </c>
      <c r="O414" s="922"/>
      <c r="P414" s="679"/>
      <c r="Q414" s="706"/>
      <c r="R414" s="109"/>
      <c r="S414" s="706"/>
      <c r="T414" s="708"/>
      <c r="U414" s="706"/>
      <c r="V414" s="706"/>
      <c r="W414" s="706"/>
      <c r="X414" s="706"/>
      <c r="Y414" s="706"/>
      <c r="Z414" s="706"/>
      <c r="AA414" s="706"/>
    </row>
    <row r="415" spans="2:27">
      <c r="B415" s="2460"/>
      <c r="C415" s="2461"/>
      <c r="D415" s="2481">
        <f t="shared" si="69"/>
        <v>0</v>
      </c>
      <c r="E415" s="2483"/>
      <c r="F415" s="2471"/>
      <c r="G415" s="2483"/>
      <c r="H415" s="2471"/>
      <c r="I415" s="2482">
        <f t="shared" si="70"/>
        <v>0</v>
      </c>
      <c r="J415" s="2471"/>
      <c r="K415" s="2483"/>
      <c r="L415" s="2471"/>
      <c r="M415" s="2484">
        <f t="shared" si="71"/>
        <v>0</v>
      </c>
      <c r="O415" s="922"/>
      <c r="P415" s="679"/>
      <c r="Q415" s="706"/>
      <c r="R415" s="109"/>
      <c r="S415" s="706"/>
      <c r="T415" s="708"/>
      <c r="U415" s="706"/>
      <c r="V415" s="706"/>
      <c r="W415" s="706"/>
      <c r="X415" s="706"/>
      <c r="Y415" s="706"/>
      <c r="Z415" s="706"/>
      <c r="AA415" s="706"/>
    </row>
    <row r="416" spans="2:27">
      <c r="B416" s="2466" t="s">
        <v>344</v>
      </c>
      <c r="C416" s="2465"/>
      <c r="D416" s="2481">
        <f t="shared" si="69"/>
        <v>7445825</v>
      </c>
      <c r="E416" s="2483">
        <f>E405+E407</f>
        <v>403414</v>
      </c>
      <c r="F416" s="2471">
        <f>F405+F407</f>
        <v>1002542</v>
      </c>
      <c r="G416" s="2483">
        <f>G405+G407</f>
        <v>1375417</v>
      </c>
      <c r="H416" s="2471">
        <f>H405+H407</f>
        <v>4664452</v>
      </c>
      <c r="I416" s="2482">
        <f t="shared" si="70"/>
        <v>7042411</v>
      </c>
      <c r="J416" s="2471">
        <f>J405+J407</f>
        <v>0</v>
      </c>
      <c r="K416" s="2483">
        <f>K405+K407</f>
        <v>0</v>
      </c>
      <c r="L416" s="2471">
        <f>L405+L407</f>
        <v>0</v>
      </c>
      <c r="M416" s="2484">
        <f t="shared" si="71"/>
        <v>0</v>
      </c>
      <c r="N416" s="927"/>
      <c r="O416" s="922"/>
      <c r="P416" s="679"/>
      <c r="Q416" s="706"/>
      <c r="R416" s="109"/>
      <c r="S416" s="706"/>
      <c r="T416" s="708"/>
      <c r="U416" s="706"/>
      <c r="V416" s="706"/>
      <c r="W416" s="706"/>
      <c r="X416" s="706"/>
      <c r="Y416" s="706"/>
      <c r="Z416" s="706"/>
      <c r="AA416" s="706"/>
    </row>
    <row r="417" spans="2:27">
      <c r="B417" s="2466"/>
      <c r="C417" s="2465"/>
      <c r="D417" s="2481">
        <f t="shared" si="69"/>
        <v>0</v>
      </c>
      <c r="E417" s="2483"/>
      <c r="F417" s="2471"/>
      <c r="G417" s="2483"/>
      <c r="H417" s="2471"/>
      <c r="I417" s="2482">
        <f t="shared" si="70"/>
        <v>0</v>
      </c>
      <c r="J417" s="2471"/>
      <c r="K417" s="2483"/>
      <c r="L417" s="2471"/>
      <c r="M417" s="2484"/>
      <c r="O417" s="922"/>
      <c r="P417" s="679"/>
      <c r="Q417" s="706"/>
      <c r="R417" s="109"/>
      <c r="S417" s="706"/>
      <c r="T417" s="708"/>
      <c r="U417" s="706"/>
      <c r="V417" s="706"/>
      <c r="W417" s="706"/>
      <c r="X417" s="706"/>
      <c r="Y417" s="706"/>
      <c r="Z417" s="706"/>
      <c r="AA417" s="706"/>
    </row>
    <row r="418" spans="2:27">
      <c r="B418" s="2460" t="s">
        <v>345</v>
      </c>
      <c r="C418" s="2461"/>
      <c r="D418" s="2481">
        <f t="shared" si="69"/>
        <v>1520848</v>
      </c>
      <c r="E418" s="2483"/>
      <c r="F418" s="2471">
        <v>661543</v>
      </c>
      <c r="G418" s="2483">
        <v>642736</v>
      </c>
      <c r="H418" s="2471">
        <v>216569</v>
      </c>
      <c r="I418" s="2482">
        <f t="shared" si="70"/>
        <v>1520848</v>
      </c>
      <c r="J418" s="2471"/>
      <c r="K418" s="2483"/>
      <c r="L418" s="2471"/>
      <c r="M418" s="2484">
        <f t="shared" ref="M418:M436" si="72">L418+K418+J418</f>
        <v>0</v>
      </c>
      <c r="N418" s="922"/>
      <c r="O418" s="922"/>
      <c r="P418" s="679"/>
      <c r="Q418" s="706"/>
      <c r="R418" s="109"/>
      <c r="S418" s="706"/>
      <c r="T418" s="708"/>
      <c r="U418" s="706"/>
      <c r="V418" s="706"/>
      <c r="W418" s="706"/>
      <c r="X418" s="706"/>
      <c r="Y418" s="706"/>
      <c r="Z418" s="706"/>
      <c r="AA418" s="706"/>
    </row>
    <row r="419" spans="2:27">
      <c r="B419" s="2460" t="s">
        <v>346</v>
      </c>
      <c r="C419" s="2461"/>
      <c r="D419" s="2481">
        <f t="shared" si="69"/>
        <v>-92500</v>
      </c>
      <c r="E419" s="2483"/>
      <c r="F419" s="2471">
        <v>-897</v>
      </c>
      <c r="G419" s="2483">
        <v>-90233</v>
      </c>
      <c r="H419" s="2471">
        <v>-1370</v>
      </c>
      <c r="I419" s="2482">
        <f t="shared" si="70"/>
        <v>-92500</v>
      </c>
      <c r="J419" s="2471"/>
      <c r="K419" s="2483"/>
      <c r="L419" s="2471"/>
      <c r="M419" s="2484">
        <f t="shared" si="72"/>
        <v>0</v>
      </c>
      <c r="N419" s="922"/>
      <c r="O419" s="922"/>
      <c r="P419" s="679"/>
      <c r="Q419" s="706"/>
      <c r="R419" s="109"/>
      <c r="S419" s="706"/>
      <c r="T419" s="708"/>
      <c r="U419" s="706"/>
      <c r="V419" s="706"/>
      <c r="W419" s="706"/>
      <c r="X419" s="706"/>
      <c r="Y419" s="706"/>
      <c r="Z419" s="706"/>
      <c r="AA419" s="706"/>
    </row>
    <row r="420" spans="2:27">
      <c r="B420" s="2460" t="s">
        <v>347</v>
      </c>
      <c r="C420" s="2461"/>
      <c r="D420" s="2481">
        <f t="shared" si="69"/>
        <v>35687</v>
      </c>
      <c r="E420" s="2483"/>
      <c r="F420" s="2471">
        <v>28234</v>
      </c>
      <c r="G420" s="2483">
        <v>12017</v>
      </c>
      <c r="H420" s="2471">
        <v>-4564</v>
      </c>
      <c r="I420" s="2482">
        <f t="shared" si="70"/>
        <v>35687</v>
      </c>
      <c r="J420" s="2471"/>
      <c r="K420" s="2483"/>
      <c r="L420" s="2471"/>
      <c r="M420" s="2484">
        <f t="shared" si="72"/>
        <v>0</v>
      </c>
      <c r="N420" s="922"/>
      <c r="O420" s="922"/>
      <c r="P420" s="679"/>
      <c r="Q420" s="706"/>
      <c r="R420" s="109"/>
      <c r="S420" s="706"/>
      <c r="T420" s="708"/>
      <c r="U420" s="706"/>
      <c r="V420" s="706"/>
      <c r="W420" s="706"/>
      <c r="X420" s="706"/>
      <c r="Y420" s="706"/>
      <c r="Z420" s="706"/>
      <c r="AA420" s="706"/>
    </row>
    <row r="421" spans="2:27" ht="12.75" customHeight="1">
      <c r="B421" s="2467" t="s">
        <v>348</v>
      </c>
      <c r="C421" s="2461"/>
      <c r="D421" s="2481">
        <f t="shared" si="69"/>
        <v>30146</v>
      </c>
      <c r="E421" s="2483"/>
      <c r="F421" s="2471">
        <v>-3</v>
      </c>
      <c r="G421" s="2483">
        <v>27381</v>
      </c>
      <c r="H421" s="2471">
        <v>2768</v>
      </c>
      <c r="I421" s="2482">
        <f t="shared" si="70"/>
        <v>30146</v>
      </c>
      <c r="J421" s="2471"/>
      <c r="K421" s="2483"/>
      <c r="L421" s="2471"/>
      <c r="M421" s="2484">
        <f t="shared" si="72"/>
        <v>0</v>
      </c>
      <c r="N421" s="922"/>
      <c r="O421" s="922"/>
      <c r="P421" s="679"/>
      <c r="Q421" s="706"/>
      <c r="R421" s="109"/>
      <c r="S421" s="706"/>
      <c r="T421" s="708"/>
      <c r="U421" s="706"/>
      <c r="V421" s="706"/>
      <c r="W421" s="706"/>
      <c r="X421" s="706"/>
      <c r="Y421" s="706"/>
      <c r="Z421" s="706"/>
      <c r="AA421" s="706"/>
    </row>
    <row r="422" spans="2:27">
      <c r="B422" s="2460" t="s">
        <v>349</v>
      </c>
      <c r="C422" s="2461"/>
      <c r="D422" s="2481">
        <f t="shared" si="69"/>
        <v>2576169</v>
      </c>
      <c r="E422" s="2483"/>
      <c r="F422" s="2471">
        <v>11340</v>
      </c>
      <c r="G422" s="2483">
        <v>504263</v>
      </c>
      <c r="H422" s="2471">
        <v>2060566</v>
      </c>
      <c r="I422" s="2482">
        <f t="shared" si="70"/>
        <v>2576169</v>
      </c>
      <c r="J422" s="2471"/>
      <c r="K422" s="2483"/>
      <c r="L422" s="2471"/>
      <c r="M422" s="2484">
        <f t="shared" si="72"/>
        <v>0</v>
      </c>
      <c r="N422" s="922"/>
      <c r="O422" s="922"/>
      <c r="P422" s="679"/>
      <c r="Q422" s="706"/>
      <c r="R422" s="109"/>
      <c r="S422" s="706"/>
      <c r="T422" s="708"/>
      <c r="U422" s="706"/>
      <c r="V422" s="706"/>
      <c r="W422" s="706"/>
      <c r="X422" s="706"/>
      <c r="Y422" s="706"/>
      <c r="Z422" s="706"/>
      <c r="AA422" s="706"/>
    </row>
    <row r="423" spans="2:27">
      <c r="B423" s="2460" t="s">
        <v>350</v>
      </c>
      <c r="C423" s="2461"/>
      <c r="D423" s="2481">
        <f t="shared" si="69"/>
        <v>0</v>
      </c>
      <c r="E423" s="2483"/>
      <c r="F423" s="2471"/>
      <c r="G423" s="2483"/>
      <c r="H423" s="2471"/>
      <c r="I423" s="2482">
        <f t="shared" si="70"/>
        <v>0</v>
      </c>
      <c r="J423" s="2471"/>
      <c r="K423" s="2483"/>
      <c r="L423" s="2471"/>
      <c r="M423" s="2484">
        <f t="shared" si="72"/>
        <v>0</v>
      </c>
      <c r="N423" s="922"/>
      <c r="O423" s="922"/>
      <c r="P423" s="679"/>
      <c r="Q423" s="706"/>
      <c r="R423" s="109"/>
      <c r="S423" s="706"/>
      <c r="T423" s="708"/>
      <c r="U423" s="706"/>
      <c r="V423" s="706"/>
      <c r="W423" s="706"/>
      <c r="X423" s="706"/>
      <c r="Y423" s="706"/>
      <c r="Z423" s="706"/>
      <c r="AA423" s="706"/>
    </row>
    <row r="424" spans="2:27">
      <c r="B424" s="2466" t="s">
        <v>351</v>
      </c>
      <c r="C424" s="2465"/>
      <c r="D424" s="2481">
        <f t="shared" si="69"/>
        <v>4070350</v>
      </c>
      <c r="E424" s="2483">
        <f>SUM(E418:E423)</f>
        <v>0</v>
      </c>
      <c r="F424" s="2471">
        <f>SUM(F418:F423)</f>
        <v>700217</v>
      </c>
      <c r="G424" s="2483">
        <f>SUM(G418:G423)</f>
        <v>1096164</v>
      </c>
      <c r="H424" s="2471">
        <f>SUM(H418:H423)</f>
        <v>2273969</v>
      </c>
      <c r="I424" s="2482">
        <f t="shared" si="70"/>
        <v>4070350</v>
      </c>
      <c r="J424" s="2471">
        <f>SUM(J418:J423)</f>
        <v>0</v>
      </c>
      <c r="K424" s="2483">
        <f>SUM(K418:K423)</f>
        <v>0</v>
      </c>
      <c r="L424" s="2471">
        <f>SUM(L418:L423)</f>
        <v>0</v>
      </c>
      <c r="M424" s="2484">
        <f t="shared" si="72"/>
        <v>0</v>
      </c>
      <c r="N424" s="927"/>
      <c r="O424" s="922"/>
      <c r="P424" s="679"/>
      <c r="Q424" s="706"/>
      <c r="R424" s="109"/>
      <c r="S424" s="706"/>
      <c r="T424" s="708"/>
      <c r="U424" s="706"/>
      <c r="V424" s="706"/>
      <c r="W424" s="706"/>
      <c r="X424" s="706"/>
      <c r="Y424" s="706"/>
      <c r="Z424" s="706"/>
      <c r="AA424" s="706"/>
    </row>
    <row r="425" spans="2:27">
      <c r="B425" s="2460"/>
      <c r="C425" s="2461"/>
      <c r="D425" s="2481">
        <f t="shared" si="69"/>
        <v>0</v>
      </c>
      <c r="E425" s="2483"/>
      <c r="F425" s="2471"/>
      <c r="G425" s="2483"/>
      <c r="H425" s="2471"/>
      <c r="I425" s="2482">
        <f t="shared" si="70"/>
        <v>0</v>
      </c>
      <c r="J425" s="2471"/>
      <c r="K425" s="2483"/>
      <c r="L425" s="2471"/>
      <c r="M425" s="2484">
        <f t="shared" si="72"/>
        <v>0</v>
      </c>
      <c r="O425" s="922"/>
      <c r="P425" s="679"/>
      <c r="Q425" s="706"/>
      <c r="R425" s="109"/>
      <c r="S425" s="706"/>
      <c r="T425" s="708"/>
      <c r="U425" s="706"/>
      <c r="V425" s="706"/>
      <c r="W425" s="706"/>
      <c r="X425" s="706"/>
      <c r="Y425" s="706"/>
      <c r="Z425" s="706"/>
      <c r="AA425" s="706"/>
    </row>
    <row r="426" spans="2:27" ht="25.5">
      <c r="B426" s="2467" t="s">
        <v>352</v>
      </c>
      <c r="C426" s="2461"/>
      <c r="D426" s="2481">
        <f t="shared" si="69"/>
        <v>888527</v>
      </c>
      <c r="E426" s="2483"/>
      <c r="F426" s="2471">
        <v>40190</v>
      </c>
      <c r="G426" s="2483">
        <v>199823</v>
      </c>
      <c r="H426" s="2471">
        <v>648514</v>
      </c>
      <c r="I426" s="2482">
        <f t="shared" si="70"/>
        <v>888527</v>
      </c>
      <c r="J426" s="2471"/>
      <c r="K426" s="2483"/>
      <c r="L426" s="2471"/>
      <c r="M426" s="2484">
        <f t="shared" si="72"/>
        <v>0</v>
      </c>
      <c r="N426" s="922"/>
      <c r="O426" s="922"/>
      <c r="P426" s="679"/>
      <c r="Q426" s="706"/>
      <c r="R426" s="109"/>
      <c r="S426" s="706"/>
      <c r="T426" s="708"/>
      <c r="U426" s="706"/>
      <c r="V426" s="706"/>
      <c r="W426" s="706"/>
      <c r="X426" s="706"/>
      <c r="Y426" s="706"/>
      <c r="Z426" s="706"/>
      <c r="AA426" s="706"/>
    </row>
    <row r="427" spans="2:27">
      <c r="B427" s="2460"/>
      <c r="C427" s="2461"/>
      <c r="D427" s="2481">
        <f t="shared" si="69"/>
        <v>0</v>
      </c>
      <c r="E427" s="2483"/>
      <c r="F427" s="2471"/>
      <c r="G427" s="2483"/>
      <c r="H427" s="2471"/>
      <c r="I427" s="2482">
        <f t="shared" si="70"/>
        <v>0</v>
      </c>
      <c r="J427" s="2471"/>
      <c r="K427" s="2483"/>
      <c r="L427" s="2471"/>
      <c r="M427" s="2484">
        <f t="shared" si="72"/>
        <v>0</v>
      </c>
      <c r="N427" s="922"/>
      <c r="O427" s="922"/>
      <c r="Q427" s="706"/>
      <c r="R427" s="109"/>
      <c r="S427" s="706"/>
      <c r="T427" s="708"/>
      <c r="U427" s="706"/>
      <c r="V427" s="706"/>
      <c r="W427" s="706"/>
      <c r="X427" s="706"/>
      <c r="Y427" s="706"/>
      <c r="Z427" s="706"/>
      <c r="AA427" s="706"/>
    </row>
    <row r="428" spans="2:27" ht="12.75" customHeight="1">
      <c r="B428" s="2467" t="s">
        <v>353</v>
      </c>
      <c r="C428" s="2461">
        <v>4</v>
      </c>
      <c r="D428" s="2481">
        <f t="shared" si="69"/>
        <v>1430742</v>
      </c>
      <c r="E428" s="2483">
        <v>14836</v>
      </c>
      <c r="F428" s="2471">
        <v>246250</v>
      </c>
      <c r="G428" s="2483">
        <v>399445</v>
      </c>
      <c r="H428" s="2471">
        <v>770211</v>
      </c>
      <c r="I428" s="2482">
        <f t="shared" si="70"/>
        <v>1415906</v>
      </c>
      <c r="J428" s="2471"/>
      <c r="K428" s="2483"/>
      <c r="L428" s="2471"/>
      <c r="M428" s="2484">
        <f t="shared" si="72"/>
        <v>0</v>
      </c>
      <c r="N428" s="922"/>
      <c r="O428" s="922"/>
      <c r="P428" s="679"/>
      <c r="Q428" s="706"/>
      <c r="R428" s="109"/>
      <c r="S428" s="706"/>
      <c r="T428" s="708"/>
      <c r="U428" s="706"/>
      <c r="V428" s="706"/>
      <c r="W428" s="706"/>
      <c r="X428" s="706"/>
      <c r="Y428" s="706"/>
      <c r="Z428" s="706"/>
      <c r="AA428" s="706"/>
    </row>
    <row r="429" spans="2:27">
      <c r="B429" s="2460" t="s">
        <v>354</v>
      </c>
      <c r="C429" s="2461"/>
      <c r="D429" s="2481">
        <f t="shared" si="69"/>
        <v>0</v>
      </c>
      <c r="E429" s="2483"/>
      <c r="F429" s="2471"/>
      <c r="G429" s="2483"/>
      <c r="H429" s="2471"/>
      <c r="I429" s="2482">
        <f t="shared" si="70"/>
        <v>0</v>
      </c>
      <c r="J429" s="2471"/>
      <c r="K429" s="2483"/>
      <c r="L429" s="2471"/>
      <c r="M429" s="2484">
        <f t="shared" si="72"/>
        <v>0</v>
      </c>
      <c r="N429" s="922"/>
      <c r="O429" s="922"/>
      <c r="P429" s="679"/>
      <c r="Q429" s="706"/>
      <c r="R429" s="109"/>
      <c r="S429" s="706"/>
      <c r="T429" s="708"/>
      <c r="U429" s="706"/>
      <c r="V429" s="706"/>
      <c r="W429" s="706"/>
      <c r="X429" s="706"/>
      <c r="Y429" s="706"/>
      <c r="Z429" s="706"/>
      <c r="AA429" s="706"/>
    </row>
    <row r="430" spans="2:27">
      <c r="B430" s="2460" t="s">
        <v>355</v>
      </c>
      <c r="C430" s="2461"/>
      <c r="D430" s="2481">
        <f t="shared" si="69"/>
        <v>56843</v>
      </c>
      <c r="E430" s="2483">
        <v>1418</v>
      </c>
      <c r="F430" s="2471">
        <v>6126</v>
      </c>
      <c r="G430" s="2483">
        <v>20960</v>
      </c>
      <c r="H430" s="2471">
        <v>28339</v>
      </c>
      <c r="I430" s="2482">
        <f t="shared" si="70"/>
        <v>55425</v>
      </c>
      <c r="J430" s="2471"/>
      <c r="K430" s="2483"/>
      <c r="L430" s="2471"/>
      <c r="M430" s="2484">
        <f t="shared" si="72"/>
        <v>0</v>
      </c>
      <c r="N430" s="922"/>
      <c r="O430" s="922"/>
      <c r="P430" s="679"/>
      <c r="Q430" s="706"/>
      <c r="R430" s="109"/>
      <c r="S430" s="706"/>
      <c r="T430" s="708"/>
      <c r="U430" s="706"/>
      <c r="V430" s="706"/>
      <c r="W430" s="706"/>
      <c r="X430" s="706"/>
      <c r="Y430" s="706"/>
      <c r="Z430" s="706"/>
      <c r="AA430" s="706"/>
    </row>
    <row r="431" spans="2:27">
      <c r="B431" s="2466" t="s">
        <v>356</v>
      </c>
      <c r="C431" s="2465"/>
      <c r="D431" s="2481">
        <f t="shared" si="69"/>
        <v>1487585</v>
      </c>
      <c r="E431" s="2483">
        <f>SUM(E428:E430)</f>
        <v>16254</v>
      </c>
      <c r="F431" s="2471">
        <f>SUM(F428:F430)</f>
        <v>252376</v>
      </c>
      <c r="G431" s="2483">
        <f>SUM(G428:G430)</f>
        <v>420405</v>
      </c>
      <c r="H431" s="2471">
        <f>SUM(H428:H430)</f>
        <v>798550</v>
      </c>
      <c r="I431" s="2482">
        <f t="shared" si="70"/>
        <v>1471331</v>
      </c>
      <c r="J431" s="2471">
        <f>SUM(J428:J430)</f>
        <v>0</v>
      </c>
      <c r="K431" s="2483">
        <f>SUM(K428:K430)</f>
        <v>0</v>
      </c>
      <c r="L431" s="2471">
        <f>SUM(L428:L430)</f>
        <v>0</v>
      </c>
      <c r="M431" s="2484">
        <f t="shared" si="72"/>
        <v>0</v>
      </c>
      <c r="N431" s="927"/>
      <c r="O431" s="922"/>
      <c r="P431" s="679"/>
      <c r="Q431" s="706"/>
      <c r="R431" s="109"/>
      <c r="S431" s="706"/>
      <c r="T431" s="708"/>
      <c r="U431" s="706"/>
      <c r="V431" s="706"/>
      <c r="W431" s="706"/>
      <c r="X431" s="706"/>
      <c r="Y431" s="706"/>
      <c r="Z431" s="706"/>
      <c r="AA431" s="706"/>
    </row>
    <row r="432" spans="2:27">
      <c r="B432" s="2466"/>
      <c r="C432" s="2465"/>
      <c r="D432" s="2481">
        <f t="shared" si="69"/>
        <v>0</v>
      </c>
      <c r="E432" s="2483"/>
      <c r="F432" s="2471"/>
      <c r="G432" s="2483"/>
      <c r="H432" s="2471"/>
      <c r="I432" s="2482">
        <f t="shared" si="70"/>
        <v>0</v>
      </c>
      <c r="J432" s="2471"/>
      <c r="K432" s="2483"/>
      <c r="L432" s="2471"/>
      <c r="M432" s="2484">
        <f t="shared" si="72"/>
        <v>0</v>
      </c>
      <c r="O432" s="922"/>
      <c r="P432" s="679"/>
      <c r="Q432" s="706"/>
      <c r="R432" s="109"/>
      <c r="S432" s="706"/>
      <c r="T432" s="708"/>
      <c r="U432" s="706"/>
      <c r="V432" s="706"/>
      <c r="W432" s="706"/>
      <c r="X432" s="706"/>
      <c r="Y432" s="706"/>
      <c r="Z432" s="706"/>
      <c r="AA432" s="706"/>
    </row>
    <row r="433" spans="1:27">
      <c r="B433" s="2466" t="s">
        <v>357</v>
      </c>
      <c r="C433" s="2465"/>
      <c r="D433" s="2481">
        <f t="shared" si="69"/>
        <v>999363</v>
      </c>
      <c r="E433" s="2483">
        <f>E416-E424-E426-E431</f>
        <v>387160</v>
      </c>
      <c r="F433" s="2471">
        <f>F416-F424-F426-F431</f>
        <v>9759</v>
      </c>
      <c r="G433" s="2483">
        <f>G416-G424-G426-G431</f>
        <v>-340975</v>
      </c>
      <c r="H433" s="2471">
        <f>H416-H424-H426-H431</f>
        <v>943419</v>
      </c>
      <c r="I433" s="2482">
        <f t="shared" si="70"/>
        <v>612203</v>
      </c>
      <c r="J433" s="2471">
        <f>J416-J424-J426-J431</f>
        <v>0</v>
      </c>
      <c r="K433" s="2483">
        <f>K416-K424-K426-K431</f>
        <v>0</v>
      </c>
      <c r="L433" s="2471">
        <f>L416-L424-L426-L431</f>
        <v>0</v>
      </c>
      <c r="M433" s="2484">
        <f t="shared" si="72"/>
        <v>0</v>
      </c>
      <c r="N433" s="927"/>
      <c r="O433" s="922"/>
      <c r="P433" s="679"/>
      <c r="Q433" s="706"/>
      <c r="R433" s="109"/>
      <c r="S433" s="706"/>
      <c r="T433" s="708"/>
      <c r="U433" s="706"/>
      <c r="V433" s="706"/>
      <c r="W433" s="706"/>
      <c r="X433" s="706"/>
      <c r="Y433" s="706"/>
      <c r="Z433" s="706"/>
      <c r="AA433" s="706"/>
    </row>
    <row r="434" spans="1:27">
      <c r="B434" s="2460" t="s">
        <v>358</v>
      </c>
      <c r="C434" s="2461"/>
      <c r="D434" s="2481">
        <f t="shared" si="69"/>
        <v>275418</v>
      </c>
      <c r="E434" s="1981">
        <v>275418</v>
      </c>
      <c r="F434" s="2471"/>
      <c r="G434" s="2483"/>
      <c r="H434" s="2471"/>
      <c r="I434" s="2482">
        <f t="shared" si="70"/>
        <v>0</v>
      </c>
      <c r="J434" s="2471"/>
      <c r="K434" s="2483"/>
      <c r="L434" s="2471"/>
      <c r="M434" s="2484">
        <f t="shared" si="72"/>
        <v>0</v>
      </c>
      <c r="N434" s="922"/>
      <c r="O434" s="922"/>
      <c r="P434" s="679"/>
      <c r="Q434" s="706"/>
      <c r="R434" s="109"/>
      <c r="S434" s="706"/>
      <c r="T434" s="708"/>
      <c r="U434" s="706"/>
      <c r="V434" s="706"/>
      <c r="W434" s="706"/>
      <c r="X434" s="706"/>
      <c r="Y434" s="706"/>
      <c r="Z434" s="706"/>
      <c r="AA434" s="706"/>
    </row>
    <row r="435" spans="1:27">
      <c r="B435" s="2460"/>
      <c r="C435" s="2461"/>
      <c r="D435" s="2481">
        <f t="shared" si="69"/>
        <v>0</v>
      </c>
      <c r="E435" s="2483"/>
      <c r="F435" s="2471"/>
      <c r="G435" s="2483"/>
      <c r="H435" s="2471"/>
      <c r="I435" s="2482">
        <f t="shared" si="70"/>
        <v>0</v>
      </c>
      <c r="J435" s="2471"/>
      <c r="K435" s="2483"/>
      <c r="L435" s="2471"/>
      <c r="M435" s="2484">
        <f t="shared" si="72"/>
        <v>0</v>
      </c>
      <c r="O435" s="922"/>
      <c r="P435" s="679"/>
      <c r="Q435" s="706"/>
      <c r="R435" s="109"/>
      <c r="S435" s="706"/>
      <c r="T435" s="708"/>
      <c r="U435" s="706"/>
      <c r="V435" s="706"/>
      <c r="W435" s="706"/>
      <c r="X435" s="706"/>
      <c r="Y435" s="706"/>
      <c r="Z435" s="706"/>
      <c r="AA435" s="706"/>
    </row>
    <row r="436" spans="1:27" ht="13.5" thickBot="1">
      <c r="B436" s="1602" t="s">
        <v>359</v>
      </c>
      <c r="C436" s="1603"/>
      <c r="D436" s="1614">
        <f t="shared" si="69"/>
        <v>723945</v>
      </c>
      <c r="E436" s="1640">
        <f>E433-E434</f>
        <v>111742</v>
      </c>
      <c r="F436" s="1614">
        <f>F433-F434</f>
        <v>9759</v>
      </c>
      <c r="G436" s="1640">
        <f>G433-G434</f>
        <v>-340975</v>
      </c>
      <c r="H436" s="1614">
        <f>H433-H434</f>
        <v>943419</v>
      </c>
      <c r="I436" s="1640">
        <f t="shared" si="70"/>
        <v>612203</v>
      </c>
      <c r="J436" s="1614">
        <f>J433-J434</f>
        <v>0</v>
      </c>
      <c r="K436" s="1640">
        <f>K433-K434</f>
        <v>0</v>
      </c>
      <c r="L436" s="1614">
        <f>L433-L434</f>
        <v>0</v>
      </c>
      <c r="M436" s="1641">
        <f t="shared" si="72"/>
        <v>0</v>
      </c>
      <c r="N436" s="927"/>
      <c r="O436" s="922"/>
      <c r="P436" s="679"/>
      <c r="Q436" s="706"/>
      <c r="R436" s="109"/>
      <c r="S436" s="706"/>
      <c r="T436" s="708"/>
      <c r="U436" s="706"/>
      <c r="V436" s="706"/>
      <c r="W436" s="706"/>
      <c r="X436" s="706"/>
      <c r="Y436" s="706"/>
      <c r="Z436" s="706"/>
      <c r="AA436" s="706"/>
    </row>
    <row r="437" spans="1:27">
      <c r="R437" s="109"/>
      <c r="S437" s="706"/>
      <c r="T437" s="706"/>
      <c r="U437" s="706"/>
      <c r="V437" s="706"/>
      <c r="W437" s="706"/>
      <c r="X437" s="706"/>
      <c r="Y437" s="706"/>
      <c r="Z437" s="706"/>
      <c r="AA437" s="706"/>
    </row>
    <row r="438" spans="1:27">
      <c r="D438" s="684"/>
      <c r="E438" s="684"/>
      <c r="F438" s="684"/>
      <c r="G438" s="684"/>
      <c r="H438" s="684"/>
      <c r="I438" s="684"/>
      <c r="M438" s="912">
        <v>72</v>
      </c>
      <c r="O438" s="943"/>
      <c r="R438" s="109"/>
      <c r="S438" s="706"/>
      <c r="T438" s="706"/>
      <c r="U438" s="706"/>
      <c r="V438" s="706"/>
      <c r="W438" s="706"/>
      <c r="X438" s="706"/>
      <c r="Y438" s="706"/>
      <c r="Z438" s="706"/>
      <c r="AA438" s="706"/>
    </row>
    <row r="439" spans="1:27">
      <c r="R439" s="109"/>
      <c r="S439" s="699"/>
      <c r="T439" s="699"/>
      <c r="U439" s="699"/>
      <c r="V439" s="699"/>
      <c r="W439" s="699"/>
      <c r="X439" s="699"/>
      <c r="Y439" s="699"/>
      <c r="Z439" s="699"/>
      <c r="AA439" s="699"/>
    </row>
    <row r="440" spans="1:27" ht="13.5" thickBot="1">
      <c r="R440" s="109"/>
      <c r="S440" s="699"/>
      <c r="T440" s="699"/>
      <c r="U440" s="699"/>
      <c r="V440" s="699"/>
      <c r="W440" s="699"/>
      <c r="X440" s="699"/>
      <c r="Y440" s="699"/>
      <c r="Z440" s="699"/>
      <c r="AA440" s="699"/>
    </row>
    <row r="441" spans="1:27" ht="12.75" customHeight="1" thickBot="1">
      <c r="A441" s="1626" t="s">
        <v>187</v>
      </c>
      <c r="B441" s="1368" t="s">
        <v>132</v>
      </c>
      <c r="C441" s="937"/>
      <c r="L441" s="3538" t="s">
        <v>251</v>
      </c>
      <c r="M441" s="3538"/>
      <c r="R441" s="109"/>
      <c r="S441" s="699"/>
      <c r="T441" s="699"/>
      <c r="U441" s="699"/>
      <c r="V441" s="699"/>
      <c r="W441" s="699"/>
      <c r="X441" s="699"/>
      <c r="Y441" s="699"/>
      <c r="Z441" s="699"/>
      <c r="AA441" s="699"/>
    </row>
    <row r="442" spans="1:27" ht="14.25" customHeight="1" thickBot="1">
      <c r="B442" s="3578" t="s">
        <v>132</v>
      </c>
      <c r="C442" s="3523" t="s">
        <v>325</v>
      </c>
      <c r="D442" s="3518" t="s">
        <v>255</v>
      </c>
      <c r="E442" s="3518" t="s">
        <v>326</v>
      </c>
      <c r="F442" s="3574" t="s">
        <v>258</v>
      </c>
      <c r="G442" s="3574"/>
      <c r="H442" s="3574"/>
      <c r="I442" s="3574"/>
      <c r="J442" s="3574"/>
      <c r="K442" s="3574"/>
      <c r="L442" s="3574"/>
      <c r="M442" s="3574"/>
      <c r="R442" s="109"/>
      <c r="S442" s="699"/>
      <c r="T442" s="699"/>
      <c r="U442" s="699"/>
      <c r="V442" s="699"/>
      <c r="W442" s="699"/>
      <c r="X442" s="699"/>
      <c r="Y442" s="699"/>
      <c r="Z442" s="699"/>
      <c r="AA442" s="699"/>
    </row>
    <row r="443" spans="1:27" ht="13.9" customHeight="1">
      <c r="B443" s="3571"/>
      <c r="C443" s="3524"/>
      <c r="D443" s="3520"/>
      <c r="E443" s="3520"/>
      <c r="F443" s="3575" t="s">
        <v>259</v>
      </c>
      <c r="G443" s="3576"/>
      <c r="H443" s="3576"/>
      <c r="I443" s="3577"/>
      <c r="J443" s="3574" t="s">
        <v>327</v>
      </c>
      <c r="K443" s="3574"/>
      <c r="L443" s="3574"/>
      <c r="M443" s="3574"/>
      <c r="R443" s="109"/>
      <c r="S443" s="699"/>
      <c r="T443" s="699"/>
      <c r="U443" s="699"/>
      <c r="V443" s="699"/>
      <c r="W443" s="699"/>
      <c r="X443" s="699"/>
      <c r="Y443" s="699"/>
      <c r="Z443" s="699"/>
      <c r="AA443" s="699"/>
    </row>
    <row r="444" spans="1:27" ht="60" customHeight="1" thickBot="1">
      <c r="B444" s="3571"/>
      <c r="C444" s="3524"/>
      <c r="D444" s="3519"/>
      <c r="E444" s="3519"/>
      <c r="F444" s="1339" t="s">
        <v>261</v>
      </c>
      <c r="G444" s="1339" t="s">
        <v>262</v>
      </c>
      <c r="H444" s="1339" t="s">
        <v>263</v>
      </c>
      <c r="I444" s="1339" t="s">
        <v>158</v>
      </c>
      <c r="J444" s="1588" t="s">
        <v>328</v>
      </c>
      <c r="K444" s="1588" t="s">
        <v>265</v>
      </c>
      <c r="L444" s="1588" t="s">
        <v>329</v>
      </c>
      <c r="M444" s="1588" t="s">
        <v>158</v>
      </c>
      <c r="R444" s="109"/>
      <c r="S444" s="699"/>
      <c r="T444" s="699"/>
      <c r="U444" s="699"/>
      <c r="V444" s="699"/>
      <c r="W444" s="699"/>
      <c r="X444" s="699"/>
      <c r="Y444" s="699"/>
      <c r="Z444" s="699"/>
      <c r="AA444" s="699"/>
    </row>
    <row r="445" spans="1:27" ht="29.25" customHeight="1" thickBot="1">
      <c r="B445" s="3571"/>
      <c r="C445" s="3524"/>
      <c r="D445" s="1589">
        <v>1</v>
      </c>
      <c r="E445" s="3518">
        <v>2</v>
      </c>
      <c r="F445" s="3518">
        <v>3</v>
      </c>
      <c r="G445" s="3518">
        <v>4</v>
      </c>
      <c r="H445" s="3518">
        <v>5</v>
      </c>
      <c r="I445" s="1589">
        <v>6</v>
      </c>
      <c r="J445" s="3518">
        <v>7</v>
      </c>
      <c r="K445" s="3518">
        <v>8</v>
      </c>
      <c r="L445" s="3518">
        <v>9</v>
      </c>
      <c r="M445" s="1589">
        <v>10</v>
      </c>
      <c r="R445" s="109"/>
      <c r="S445" s="699"/>
      <c r="T445" s="699"/>
      <c r="U445" s="699"/>
      <c r="V445" s="699"/>
      <c r="W445" s="699"/>
      <c r="X445" s="699"/>
      <c r="Y445" s="699"/>
      <c r="Z445" s="699"/>
      <c r="AA445" s="699"/>
    </row>
    <row r="446" spans="1:27" ht="13.5" thickBot="1">
      <c r="B446" s="3572"/>
      <c r="C446" s="3525"/>
      <c r="D446" s="1590" t="s">
        <v>330</v>
      </c>
      <c r="E446" s="3519"/>
      <c r="F446" s="3519"/>
      <c r="G446" s="3519"/>
      <c r="H446" s="3519"/>
      <c r="I446" s="1590" t="s">
        <v>331</v>
      </c>
      <c r="J446" s="3519"/>
      <c r="K446" s="3519"/>
      <c r="L446" s="3519"/>
      <c r="M446" s="1590" t="s">
        <v>332</v>
      </c>
      <c r="N446" s="703"/>
      <c r="O446" s="703"/>
      <c r="R446" s="109"/>
      <c r="S446" s="699"/>
      <c r="T446" s="708"/>
      <c r="U446" s="699"/>
      <c r="V446" s="699"/>
      <c r="W446" s="699"/>
      <c r="X446" s="699"/>
      <c r="Y446" s="699"/>
      <c r="Z446" s="699"/>
      <c r="AA446" s="699"/>
    </row>
    <row r="447" spans="1:27">
      <c r="B447" s="1591" t="s">
        <v>333</v>
      </c>
      <c r="C447" s="962"/>
      <c r="D447" s="1592">
        <f t="shared" ref="D447:D484" si="73">E447+I447+M447</f>
        <v>3817456.38081</v>
      </c>
      <c r="E447" s="964"/>
      <c r="F447" s="963">
        <v>86883.312000000005</v>
      </c>
      <c r="G447" s="964">
        <v>2218424.4867099999</v>
      </c>
      <c r="H447" s="963">
        <v>1512148.5821</v>
      </c>
      <c r="I447" s="1595">
        <f t="shared" ref="I447:I484" si="74">F447+G447+H447</f>
        <v>3817456.38081</v>
      </c>
      <c r="J447" s="963"/>
      <c r="K447" s="964"/>
      <c r="L447" s="963"/>
      <c r="M447" s="1598">
        <f t="shared" ref="M447:M464" si="75">L447+K447+J447</f>
        <v>0</v>
      </c>
      <c r="N447" s="922"/>
      <c r="O447" s="922"/>
      <c r="P447" s="679"/>
      <c r="Q447" s="706"/>
      <c r="R447" s="944"/>
      <c r="S447" s="706"/>
      <c r="T447" s="708"/>
      <c r="U447" s="706"/>
      <c r="V447" s="706"/>
      <c r="W447" s="706"/>
      <c r="X447" s="706"/>
      <c r="Y447" s="706"/>
      <c r="Z447" s="706"/>
      <c r="AA447" s="706"/>
    </row>
    <row r="448" spans="1:27">
      <c r="B448" s="2460"/>
      <c r="C448" s="2461"/>
      <c r="D448" s="2481">
        <f t="shared" si="73"/>
        <v>0</v>
      </c>
      <c r="E448" s="2483"/>
      <c r="F448" s="2471"/>
      <c r="G448" s="2483"/>
      <c r="H448" s="2471"/>
      <c r="I448" s="2482">
        <f t="shared" si="74"/>
        <v>0</v>
      </c>
      <c r="J448" s="2471"/>
      <c r="K448" s="2483"/>
      <c r="L448" s="2471"/>
      <c r="M448" s="2484">
        <f t="shared" si="75"/>
        <v>0</v>
      </c>
      <c r="O448" s="922"/>
      <c r="P448" s="679"/>
      <c r="Q448" s="706"/>
      <c r="R448" s="944"/>
      <c r="S448" s="706"/>
      <c r="T448" s="708"/>
      <c r="U448" s="706"/>
      <c r="V448" s="706"/>
      <c r="W448" s="706"/>
      <c r="X448" s="706"/>
      <c r="Y448" s="706"/>
      <c r="Z448" s="706"/>
      <c r="AA448" s="706"/>
    </row>
    <row r="449" spans="2:27">
      <c r="B449" s="2462" t="s">
        <v>334</v>
      </c>
      <c r="C449" s="2461"/>
      <c r="D449" s="2481">
        <f t="shared" si="73"/>
        <v>122180.19173000001</v>
      </c>
      <c r="E449" s="2483"/>
      <c r="F449" s="2471">
        <v>1154.4066400000002</v>
      </c>
      <c r="G449" s="2483">
        <v>94499.540810000006</v>
      </c>
      <c r="H449" s="2471">
        <v>26526.244280000003</v>
      </c>
      <c r="I449" s="2482">
        <f t="shared" si="74"/>
        <v>122180.19173000001</v>
      </c>
      <c r="J449" s="2471"/>
      <c r="K449" s="2483"/>
      <c r="L449" s="2471"/>
      <c r="M449" s="2484">
        <f t="shared" si="75"/>
        <v>0</v>
      </c>
      <c r="N449" s="922"/>
      <c r="O449" s="922"/>
      <c r="P449" s="679"/>
      <c r="Q449" s="706"/>
      <c r="R449" s="944"/>
      <c r="S449" s="706"/>
      <c r="T449" s="708"/>
      <c r="U449" s="706"/>
      <c r="V449" s="706"/>
      <c r="W449" s="706"/>
      <c r="X449" s="706"/>
      <c r="Y449" s="706"/>
      <c r="Z449" s="706"/>
      <c r="AA449" s="706"/>
    </row>
    <row r="450" spans="2:27">
      <c r="B450" s="2462"/>
      <c r="C450" s="2461"/>
      <c r="D450" s="2481">
        <f t="shared" si="73"/>
        <v>0</v>
      </c>
      <c r="E450" s="2483"/>
      <c r="F450" s="2471"/>
      <c r="G450" s="2483"/>
      <c r="H450" s="2471"/>
      <c r="I450" s="2482">
        <f t="shared" si="74"/>
        <v>0</v>
      </c>
      <c r="J450" s="2471"/>
      <c r="K450" s="2483"/>
      <c r="L450" s="2471"/>
      <c r="M450" s="2484">
        <f t="shared" si="75"/>
        <v>0</v>
      </c>
      <c r="O450" s="922"/>
      <c r="P450" s="679"/>
      <c r="Q450" s="706"/>
      <c r="R450" s="944"/>
      <c r="S450" s="706"/>
      <c r="T450" s="708"/>
      <c r="U450" s="706"/>
      <c r="V450" s="706"/>
      <c r="W450" s="706"/>
      <c r="X450" s="706"/>
      <c r="Y450" s="706"/>
      <c r="Z450" s="706"/>
      <c r="AA450" s="706"/>
    </row>
    <row r="451" spans="2:27" ht="12.75" customHeight="1">
      <c r="B451" s="2463" t="s">
        <v>335</v>
      </c>
      <c r="C451" s="2461"/>
      <c r="D451" s="2481">
        <f t="shared" si="73"/>
        <v>0</v>
      </c>
      <c r="E451" s="2483"/>
      <c r="F451" s="2471">
        <v>0</v>
      </c>
      <c r="G451" s="2483">
        <v>0</v>
      </c>
      <c r="H451" s="2471"/>
      <c r="I451" s="2482">
        <f t="shared" si="74"/>
        <v>0</v>
      </c>
      <c r="J451" s="2471"/>
      <c r="K451" s="2483"/>
      <c r="L451" s="2471"/>
      <c r="M451" s="2484">
        <f t="shared" si="75"/>
        <v>0</v>
      </c>
      <c r="N451" s="922"/>
      <c r="O451" s="922"/>
      <c r="P451" s="679"/>
      <c r="Q451" s="706"/>
      <c r="R451" s="944"/>
      <c r="S451" s="706"/>
      <c r="T451" s="708"/>
      <c r="U451" s="706"/>
      <c r="V451" s="706"/>
      <c r="W451" s="706"/>
      <c r="X451" s="706"/>
      <c r="Y451" s="706"/>
      <c r="Z451" s="706"/>
      <c r="AA451" s="706"/>
    </row>
    <row r="452" spans="2:27">
      <c r="B452" s="2460"/>
      <c r="C452" s="2461"/>
      <c r="D452" s="2481">
        <f t="shared" si="73"/>
        <v>0</v>
      </c>
      <c r="E452" s="2483"/>
      <c r="F452" s="2471"/>
      <c r="G452" s="2483"/>
      <c r="H452" s="2471"/>
      <c r="I452" s="2482">
        <f t="shared" si="74"/>
        <v>0</v>
      </c>
      <c r="J452" s="2471"/>
      <c r="K452" s="2483"/>
      <c r="L452" s="2471"/>
      <c r="M452" s="2484">
        <f t="shared" si="75"/>
        <v>0</v>
      </c>
      <c r="O452" s="922"/>
      <c r="P452" s="679"/>
      <c r="Q452" s="706"/>
      <c r="R452" s="944"/>
      <c r="S452" s="706"/>
      <c r="T452" s="708"/>
      <c r="U452" s="706"/>
      <c r="V452" s="706"/>
      <c r="W452" s="706"/>
      <c r="X452" s="706"/>
      <c r="Y452" s="706"/>
      <c r="Z452" s="706"/>
      <c r="AA452" s="706"/>
    </row>
    <row r="453" spans="2:27">
      <c r="B453" s="2464" t="s">
        <v>336</v>
      </c>
      <c r="C453" s="2465"/>
      <c r="D453" s="2481">
        <f t="shared" si="73"/>
        <v>3695276.1890799999</v>
      </c>
      <c r="E453" s="2483">
        <f>E447-E449+E451</f>
        <v>0</v>
      </c>
      <c r="F453" s="2471">
        <f>F447-F449+F451</f>
        <v>85728.905360000004</v>
      </c>
      <c r="G453" s="2483">
        <f>G447-G449+G451</f>
        <v>2123924.9458999997</v>
      </c>
      <c r="H453" s="2471">
        <f>H447-H449+H451</f>
        <v>1485622.33782</v>
      </c>
      <c r="I453" s="2482">
        <f t="shared" si="74"/>
        <v>3695276.1890799999</v>
      </c>
      <c r="J453" s="2471">
        <f>J447-J449+J451</f>
        <v>0</v>
      </c>
      <c r="K453" s="2483">
        <f>K447-K449+K451</f>
        <v>0</v>
      </c>
      <c r="L453" s="2471">
        <f>L447-L449+L451</f>
        <v>0</v>
      </c>
      <c r="M453" s="2484">
        <f t="shared" si="75"/>
        <v>0</v>
      </c>
      <c r="N453" s="927"/>
      <c r="O453" s="922"/>
      <c r="P453" s="679"/>
      <c r="Q453" s="706"/>
      <c r="R453" s="944"/>
      <c r="S453" s="706"/>
      <c r="T453" s="708"/>
      <c r="U453" s="706"/>
      <c r="V453" s="706"/>
      <c r="W453" s="706"/>
      <c r="X453" s="706"/>
      <c r="Y453" s="706"/>
      <c r="Z453" s="706"/>
      <c r="AA453" s="706"/>
    </row>
    <row r="454" spans="2:27">
      <c r="B454" s="2464"/>
      <c r="C454" s="2465"/>
      <c r="D454" s="2481">
        <f t="shared" si="73"/>
        <v>0</v>
      </c>
      <c r="E454" s="2483"/>
      <c r="F454" s="2471"/>
      <c r="G454" s="2483"/>
      <c r="H454" s="2471"/>
      <c r="I454" s="2482">
        <f t="shared" si="74"/>
        <v>0</v>
      </c>
      <c r="J454" s="2471"/>
      <c r="K454" s="2483"/>
      <c r="L454" s="2471"/>
      <c r="M454" s="2484">
        <f t="shared" si="75"/>
        <v>0</v>
      </c>
      <c r="O454" s="922"/>
      <c r="P454" s="679"/>
      <c r="Q454" s="706"/>
      <c r="R454" s="944"/>
      <c r="S454" s="706"/>
      <c r="T454" s="708"/>
      <c r="U454" s="706"/>
      <c r="V454" s="706"/>
      <c r="W454" s="706"/>
      <c r="X454" s="706"/>
      <c r="Y454" s="706"/>
      <c r="Z454" s="706"/>
      <c r="AA454" s="706"/>
    </row>
    <row r="455" spans="2:27">
      <c r="B455" s="2464" t="s">
        <v>337</v>
      </c>
      <c r="C455" s="2465"/>
      <c r="D455" s="2481">
        <f t="shared" si="73"/>
        <v>2740355.0075499997</v>
      </c>
      <c r="E455" s="2483">
        <f>SUM(E456:E460)</f>
        <v>975630.12705999997</v>
      </c>
      <c r="F455" s="2471">
        <f>SUM(F456:F460)</f>
        <v>376523.82500999997</v>
      </c>
      <c r="G455" s="2483">
        <f>SUM(G456:G460)</f>
        <v>693471.33756879997</v>
      </c>
      <c r="H455" s="2471">
        <f>SUM(H456:H460)</f>
        <v>694729.71791120002</v>
      </c>
      <c r="I455" s="2482">
        <f t="shared" si="74"/>
        <v>1764724.8804899999</v>
      </c>
      <c r="J455" s="2471">
        <f>SUM(J456:J460)</f>
        <v>0</v>
      </c>
      <c r="K455" s="2483">
        <f>SUM(K456:K460)</f>
        <v>0</v>
      </c>
      <c r="L455" s="2471">
        <f>SUM(L456:L460)</f>
        <v>0</v>
      </c>
      <c r="M455" s="2484">
        <f t="shared" si="75"/>
        <v>0</v>
      </c>
      <c r="N455" s="927"/>
      <c r="O455" s="922"/>
      <c r="P455" s="679"/>
      <c r="Q455" s="706"/>
      <c r="R455" s="944"/>
      <c r="S455" s="706"/>
      <c r="T455" s="708"/>
      <c r="U455" s="706"/>
      <c r="V455" s="706"/>
      <c r="W455" s="706"/>
      <c r="X455" s="706"/>
      <c r="Y455" s="706"/>
      <c r="Z455" s="706"/>
      <c r="AA455" s="706"/>
    </row>
    <row r="456" spans="2:27">
      <c r="B456" s="2460" t="s">
        <v>338</v>
      </c>
      <c r="C456" s="2461">
        <v>1</v>
      </c>
      <c r="D456" s="2481">
        <f t="shared" si="73"/>
        <v>1843175.71603</v>
      </c>
      <c r="E456" s="2483">
        <v>556427.26902000001</v>
      </c>
      <c r="F456" s="2471">
        <v>155016.91824</v>
      </c>
      <c r="G456" s="2483">
        <v>540216.52408999996</v>
      </c>
      <c r="H456" s="2471">
        <v>591515.00468000001</v>
      </c>
      <c r="I456" s="2482">
        <f t="shared" si="74"/>
        <v>1286748.44701</v>
      </c>
      <c r="J456" s="2471"/>
      <c r="K456" s="2483"/>
      <c r="L456" s="2471"/>
      <c r="M456" s="2484">
        <f t="shared" si="75"/>
        <v>0</v>
      </c>
      <c r="N456" s="922"/>
      <c r="O456" s="922"/>
      <c r="P456" s="679"/>
      <c r="Q456" s="706"/>
      <c r="R456" s="944"/>
      <c r="S456" s="706"/>
      <c r="T456" s="708"/>
      <c r="U456" s="706"/>
      <c r="V456" s="706"/>
      <c r="W456" s="706"/>
      <c r="X456" s="706"/>
      <c r="Y456" s="706"/>
      <c r="Z456" s="706"/>
      <c r="AA456" s="706"/>
    </row>
    <row r="457" spans="2:27">
      <c r="B457" s="2460" t="s">
        <v>339</v>
      </c>
      <c r="C457" s="2461">
        <v>2</v>
      </c>
      <c r="D457" s="2481">
        <f t="shared" si="73"/>
        <v>50644.697170000007</v>
      </c>
      <c r="E457" s="2483">
        <v>0</v>
      </c>
      <c r="F457" s="2471">
        <v>336.05500000000001</v>
      </c>
      <c r="G457" s="2483">
        <v>42225.417170000008</v>
      </c>
      <c r="H457" s="2471">
        <v>8083.2250000000004</v>
      </c>
      <c r="I457" s="2482">
        <f t="shared" si="74"/>
        <v>50644.697170000007</v>
      </c>
      <c r="J457" s="2471"/>
      <c r="K457" s="2483"/>
      <c r="L457" s="2471"/>
      <c r="M457" s="2484">
        <f t="shared" si="75"/>
        <v>0</v>
      </c>
      <c r="N457" s="922"/>
      <c r="O457" s="922"/>
      <c r="P457" s="679"/>
      <c r="Q457" s="706"/>
      <c r="R457" s="944"/>
      <c r="S457" s="706"/>
      <c r="T457" s="708"/>
      <c r="U457" s="706"/>
      <c r="V457" s="706"/>
      <c r="W457" s="706"/>
      <c r="X457" s="706"/>
      <c r="Y457" s="706"/>
      <c r="Z457" s="706"/>
      <c r="AA457" s="706"/>
    </row>
    <row r="458" spans="2:27">
      <c r="B458" s="2460" t="s">
        <v>340</v>
      </c>
      <c r="C458" s="2461"/>
      <c r="D458" s="2481">
        <f t="shared" si="73"/>
        <v>293870.56690999999</v>
      </c>
      <c r="E458" s="2483">
        <v>71631.852109999993</v>
      </c>
      <c r="F458" s="2471">
        <v>132006.55463</v>
      </c>
      <c r="G458" s="2483">
        <v>43311.436881599999</v>
      </c>
      <c r="H458" s="2471">
        <v>46920.723288400004</v>
      </c>
      <c r="I458" s="2482">
        <f t="shared" si="74"/>
        <v>222238.71480000002</v>
      </c>
      <c r="J458" s="2471"/>
      <c r="K458" s="2483"/>
      <c r="L458" s="2471"/>
      <c r="M458" s="2484">
        <f t="shared" si="75"/>
        <v>0</v>
      </c>
      <c r="N458" s="922"/>
      <c r="O458" s="922"/>
      <c r="P458" s="679"/>
      <c r="Q458" s="706"/>
      <c r="R458" s="944"/>
      <c r="S458" s="706"/>
      <c r="T458" s="708"/>
      <c r="U458" s="706"/>
      <c r="V458" s="706"/>
      <c r="W458" s="706"/>
      <c r="X458" s="706"/>
      <c r="Y458" s="706"/>
      <c r="Z458" s="706"/>
      <c r="AA458" s="706"/>
    </row>
    <row r="459" spans="2:27">
      <c r="B459" s="2460" t="s">
        <v>341</v>
      </c>
      <c r="C459" s="2461"/>
      <c r="D459" s="2481">
        <f t="shared" si="73"/>
        <v>214561.84909</v>
      </c>
      <c r="E459" s="2483">
        <v>33370.928090000001</v>
      </c>
      <c r="F459" s="2471">
        <v>89069.182860000001</v>
      </c>
      <c r="G459" s="2483">
        <v>44218.434307200012</v>
      </c>
      <c r="H459" s="2471">
        <v>47903.303832799989</v>
      </c>
      <c r="I459" s="2482">
        <f t="shared" si="74"/>
        <v>181190.921</v>
      </c>
      <c r="J459" s="2471"/>
      <c r="K459" s="2483"/>
      <c r="L459" s="2471"/>
      <c r="M459" s="2484">
        <f t="shared" si="75"/>
        <v>0</v>
      </c>
      <c r="N459" s="922"/>
      <c r="O459" s="922"/>
      <c r="P459" s="679"/>
      <c r="Q459" s="706"/>
      <c r="R459" s="944"/>
      <c r="S459" s="706"/>
      <c r="T459" s="708"/>
      <c r="U459" s="706"/>
      <c r="V459" s="706"/>
      <c r="W459" s="706"/>
      <c r="X459" s="706"/>
      <c r="Y459" s="706"/>
      <c r="Z459" s="706"/>
      <c r="AA459" s="706"/>
    </row>
    <row r="460" spans="2:27">
      <c r="B460" s="2460" t="s">
        <v>342</v>
      </c>
      <c r="C460" s="2461">
        <v>3</v>
      </c>
      <c r="D460" s="2481">
        <f t="shared" si="73"/>
        <v>338102.17835000006</v>
      </c>
      <c r="E460" s="2483">
        <v>314200.07784000004</v>
      </c>
      <c r="F460" s="2471">
        <v>95.114279999999994</v>
      </c>
      <c r="G460" s="2483">
        <v>23499.525119999998</v>
      </c>
      <c r="H460" s="2471">
        <v>307.46110999999996</v>
      </c>
      <c r="I460" s="2482">
        <f t="shared" si="74"/>
        <v>23902.10051</v>
      </c>
      <c r="J460" s="2471"/>
      <c r="K460" s="2483"/>
      <c r="L460" s="2471"/>
      <c r="M460" s="2484">
        <f t="shared" si="75"/>
        <v>0</v>
      </c>
      <c r="N460" s="922"/>
      <c r="O460" s="922"/>
      <c r="P460" s="679"/>
      <c r="Q460" s="706"/>
      <c r="R460" s="944"/>
      <c r="S460" s="706"/>
      <c r="T460" s="708"/>
      <c r="U460" s="706"/>
      <c r="V460" s="706"/>
      <c r="W460" s="706"/>
      <c r="X460" s="706"/>
      <c r="Y460" s="706"/>
      <c r="Z460" s="706"/>
      <c r="AA460" s="706"/>
    </row>
    <row r="461" spans="2:27">
      <c r="B461" s="2460" t="s">
        <v>343</v>
      </c>
      <c r="C461" s="2461"/>
      <c r="D461" s="2481">
        <f t="shared" si="73"/>
        <v>0</v>
      </c>
      <c r="E461" s="2483"/>
      <c r="F461" s="2471"/>
      <c r="G461" s="2483"/>
      <c r="H461" s="2471"/>
      <c r="I461" s="2482">
        <f t="shared" si="74"/>
        <v>0</v>
      </c>
      <c r="J461" s="2471"/>
      <c r="K461" s="2483"/>
      <c r="L461" s="2471"/>
      <c r="M461" s="2484">
        <f t="shared" si="75"/>
        <v>0</v>
      </c>
      <c r="O461" s="922"/>
      <c r="P461" s="679"/>
      <c r="Q461" s="706"/>
      <c r="R461" s="944"/>
      <c r="S461" s="706"/>
      <c r="T461" s="708"/>
      <c r="U461" s="706"/>
      <c r="V461" s="706"/>
      <c r="W461" s="706"/>
      <c r="X461" s="706"/>
      <c r="Y461" s="706"/>
      <c r="Z461" s="706"/>
      <c r="AA461" s="706"/>
    </row>
    <row r="462" spans="2:27">
      <c r="B462" s="2460" t="s">
        <v>343</v>
      </c>
      <c r="C462" s="2461"/>
      <c r="D462" s="2481">
        <f t="shared" si="73"/>
        <v>0</v>
      </c>
      <c r="E462" s="2483"/>
      <c r="F462" s="2471"/>
      <c r="G462" s="2483"/>
      <c r="H462" s="2471"/>
      <c r="I462" s="2482">
        <f t="shared" si="74"/>
        <v>0</v>
      </c>
      <c r="J462" s="2471"/>
      <c r="K462" s="2483"/>
      <c r="L462" s="2471"/>
      <c r="M462" s="2484">
        <f t="shared" si="75"/>
        <v>0</v>
      </c>
      <c r="O462" s="922"/>
      <c r="P462" s="679"/>
      <c r="Q462" s="706"/>
      <c r="R462" s="944"/>
      <c r="S462" s="706"/>
      <c r="T462" s="708"/>
      <c r="U462" s="706"/>
      <c r="V462" s="706"/>
      <c r="W462" s="706"/>
      <c r="X462" s="706"/>
      <c r="Y462" s="706"/>
      <c r="Z462" s="706"/>
      <c r="AA462" s="706"/>
    </row>
    <row r="463" spans="2:27">
      <c r="B463" s="2460"/>
      <c r="C463" s="2461"/>
      <c r="D463" s="2481">
        <f t="shared" si="73"/>
        <v>0</v>
      </c>
      <c r="E463" s="2483"/>
      <c r="F463" s="2471"/>
      <c r="G463" s="2483"/>
      <c r="H463" s="2471"/>
      <c r="I463" s="2482">
        <f t="shared" si="74"/>
        <v>0</v>
      </c>
      <c r="J463" s="2471"/>
      <c r="K463" s="2483"/>
      <c r="L463" s="2471"/>
      <c r="M463" s="2484">
        <f t="shared" si="75"/>
        <v>0</v>
      </c>
      <c r="O463" s="922"/>
      <c r="P463" s="679"/>
      <c r="Q463" s="706"/>
      <c r="R463" s="944"/>
      <c r="S463" s="706"/>
      <c r="T463" s="708"/>
      <c r="U463" s="706"/>
      <c r="V463" s="706"/>
      <c r="W463" s="706"/>
      <c r="X463" s="706"/>
      <c r="Y463" s="706"/>
      <c r="Z463" s="706"/>
      <c r="AA463" s="706"/>
    </row>
    <row r="464" spans="2:27">
      <c r="B464" s="2466" t="s">
        <v>344</v>
      </c>
      <c r="C464" s="2465"/>
      <c r="D464" s="2481">
        <f t="shared" si="73"/>
        <v>6435631.1966299992</v>
      </c>
      <c r="E464" s="2483">
        <f>E453+E455</f>
        <v>975630.12705999997</v>
      </c>
      <c r="F464" s="2471">
        <f>F453+F455</f>
        <v>462252.73037</v>
      </c>
      <c r="G464" s="2483">
        <f>G453+G455</f>
        <v>2817396.2834687997</v>
      </c>
      <c r="H464" s="2471">
        <f>H453+H455</f>
        <v>2180352.0557312001</v>
      </c>
      <c r="I464" s="2482">
        <f t="shared" si="74"/>
        <v>5460001.0695699994</v>
      </c>
      <c r="J464" s="2471">
        <f>J453+J455</f>
        <v>0</v>
      </c>
      <c r="K464" s="2483">
        <f>K453+K455</f>
        <v>0</v>
      </c>
      <c r="L464" s="2471">
        <f>L453+L455</f>
        <v>0</v>
      </c>
      <c r="M464" s="2484">
        <f t="shared" si="75"/>
        <v>0</v>
      </c>
      <c r="N464" s="927"/>
      <c r="O464" s="922"/>
      <c r="P464" s="679"/>
      <c r="Q464" s="706"/>
      <c r="R464" s="944"/>
      <c r="S464" s="706"/>
      <c r="T464" s="708"/>
      <c r="U464" s="706"/>
      <c r="V464" s="706"/>
      <c r="W464" s="706"/>
      <c r="X464" s="706"/>
      <c r="Y464" s="706"/>
      <c r="Z464" s="706"/>
      <c r="AA464" s="706"/>
    </row>
    <row r="465" spans="2:27">
      <c r="B465" s="2466"/>
      <c r="C465" s="2465"/>
      <c r="D465" s="2481">
        <f t="shared" si="73"/>
        <v>0</v>
      </c>
      <c r="E465" s="2483"/>
      <c r="F465" s="2471"/>
      <c r="G465" s="2483"/>
      <c r="H465" s="2471"/>
      <c r="I465" s="2482">
        <f t="shared" si="74"/>
        <v>0</v>
      </c>
      <c r="J465" s="2471"/>
      <c r="K465" s="2483"/>
      <c r="L465" s="2471"/>
      <c r="M465" s="2484"/>
      <c r="O465" s="922"/>
      <c r="P465" s="679"/>
      <c r="Q465" s="706"/>
      <c r="R465" s="944"/>
      <c r="S465" s="706"/>
      <c r="T465" s="708"/>
      <c r="U465" s="706"/>
      <c r="V465" s="706"/>
      <c r="W465" s="706"/>
      <c r="X465" s="706"/>
      <c r="Y465" s="706"/>
      <c r="Z465" s="706"/>
      <c r="AA465" s="706"/>
    </row>
    <row r="466" spans="2:27">
      <c r="B466" s="2460" t="s">
        <v>345</v>
      </c>
      <c r="C466" s="2461"/>
      <c r="D466" s="2481">
        <f t="shared" si="73"/>
        <v>1750163.2236800001</v>
      </c>
      <c r="E466" s="2483">
        <v>0</v>
      </c>
      <c r="F466" s="2471">
        <v>234928.62653999997</v>
      </c>
      <c r="G466" s="2483">
        <v>998534.66995000024</v>
      </c>
      <c r="H466" s="2471">
        <v>516699.92719000002</v>
      </c>
      <c r="I466" s="2482">
        <f t="shared" si="74"/>
        <v>1750163.2236800001</v>
      </c>
      <c r="J466" s="2471"/>
      <c r="K466" s="2483"/>
      <c r="L466" s="2471"/>
      <c r="M466" s="2484">
        <f t="shared" ref="M466:M484" si="76">L466+K466+J466</f>
        <v>0</v>
      </c>
      <c r="N466" s="922"/>
      <c r="O466" s="922"/>
      <c r="P466" s="679"/>
      <c r="Q466" s="706"/>
      <c r="R466" s="944"/>
      <c r="S466" s="706"/>
      <c r="T466" s="708"/>
      <c r="U466" s="706"/>
      <c r="V466" s="706"/>
      <c r="W466" s="706"/>
      <c r="X466" s="706"/>
      <c r="Y466" s="706"/>
      <c r="Z466" s="706"/>
      <c r="AA466" s="706"/>
    </row>
    <row r="467" spans="2:27">
      <c r="B467" s="2460" t="s">
        <v>346</v>
      </c>
      <c r="C467" s="2461"/>
      <c r="D467" s="2481">
        <f t="shared" si="73"/>
        <v>-80142.528040000005</v>
      </c>
      <c r="E467" s="2483">
        <v>0</v>
      </c>
      <c r="F467" s="2471">
        <v>0</v>
      </c>
      <c r="G467" s="2483">
        <v>-80142.528040000005</v>
      </c>
      <c r="H467" s="2471"/>
      <c r="I467" s="2482">
        <f t="shared" si="74"/>
        <v>-80142.528040000005</v>
      </c>
      <c r="J467" s="2471"/>
      <c r="K467" s="2483"/>
      <c r="L467" s="2471"/>
      <c r="M467" s="2484">
        <f t="shared" si="76"/>
        <v>0</v>
      </c>
      <c r="N467" s="922"/>
      <c r="O467" s="922"/>
      <c r="P467" s="679"/>
      <c r="Q467" s="706"/>
      <c r="R467" s="944"/>
      <c r="S467" s="706"/>
      <c r="T467" s="708"/>
      <c r="U467" s="706"/>
      <c r="V467" s="706"/>
      <c r="W467" s="706"/>
      <c r="X467" s="706"/>
      <c r="Y467" s="706"/>
      <c r="Z467" s="706"/>
      <c r="AA467" s="706"/>
    </row>
    <row r="468" spans="2:27">
      <c r="B468" s="2460" t="s">
        <v>347</v>
      </c>
      <c r="C468" s="2461"/>
      <c r="D468" s="2481">
        <f t="shared" si="73"/>
        <v>39063.080719999991</v>
      </c>
      <c r="E468" s="2483">
        <v>0</v>
      </c>
      <c r="F468" s="2471">
        <v>0</v>
      </c>
      <c r="G468" s="2483">
        <v>39063.080719999991</v>
      </c>
      <c r="H468" s="2471"/>
      <c r="I468" s="2482">
        <f t="shared" si="74"/>
        <v>39063.080719999991</v>
      </c>
      <c r="J468" s="2471"/>
      <c r="K468" s="2483"/>
      <c r="L468" s="2471"/>
      <c r="M468" s="2484">
        <f t="shared" si="76"/>
        <v>0</v>
      </c>
      <c r="N468" s="922"/>
      <c r="O468" s="922"/>
      <c r="P468" s="679"/>
      <c r="Q468" s="706"/>
      <c r="R468" s="944"/>
      <c r="S468" s="706"/>
      <c r="T468" s="708"/>
      <c r="U468" s="706"/>
      <c r="V468" s="706"/>
      <c r="W468" s="706"/>
      <c r="X468" s="706"/>
      <c r="Y468" s="706"/>
      <c r="Z468" s="706"/>
      <c r="AA468" s="706"/>
    </row>
    <row r="469" spans="2:27" ht="12.75" customHeight="1">
      <c r="B469" s="2467" t="s">
        <v>348</v>
      </c>
      <c r="C469" s="2461"/>
      <c r="D469" s="2481">
        <f t="shared" si="73"/>
        <v>-9693.8827999999994</v>
      </c>
      <c r="E469" s="2483">
        <v>0</v>
      </c>
      <c r="F469" s="2471">
        <v>2396.0813399999997</v>
      </c>
      <c r="G469" s="2483">
        <v>-12089.964139999998</v>
      </c>
      <c r="H469" s="2471"/>
      <c r="I469" s="2482">
        <f t="shared" si="74"/>
        <v>-9693.8827999999994</v>
      </c>
      <c r="J469" s="2471"/>
      <c r="K469" s="2483"/>
      <c r="L469" s="2471"/>
      <c r="M469" s="2484">
        <f t="shared" si="76"/>
        <v>0</v>
      </c>
      <c r="N469" s="922"/>
      <c r="O469" s="922"/>
      <c r="P469" s="679"/>
      <c r="Q469" s="706"/>
      <c r="R469" s="944"/>
      <c r="S469" s="706"/>
      <c r="T469" s="708"/>
      <c r="U469" s="706"/>
      <c r="V469" s="706"/>
      <c r="W469" s="706"/>
      <c r="X469" s="706"/>
      <c r="Y469" s="706"/>
      <c r="Z469" s="706"/>
      <c r="AA469" s="706"/>
    </row>
    <row r="470" spans="2:27">
      <c r="B470" s="2460" t="s">
        <v>349</v>
      </c>
      <c r="C470" s="2461"/>
      <c r="D470" s="2481">
        <f t="shared" si="73"/>
        <v>1656662.9978499997</v>
      </c>
      <c r="E470" s="2483">
        <v>0</v>
      </c>
      <c r="F470" s="2471">
        <v>111703.65407293724</v>
      </c>
      <c r="G470" s="2483">
        <v>1089002.6357177666</v>
      </c>
      <c r="H470" s="2471">
        <v>455956.70805929578</v>
      </c>
      <c r="I470" s="2482">
        <f t="shared" si="74"/>
        <v>1656662.9978499997</v>
      </c>
      <c r="J470" s="2471"/>
      <c r="K470" s="2483"/>
      <c r="L470" s="2471"/>
      <c r="M470" s="2484">
        <f t="shared" si="76"/>
        <v>0</v>
      </c>
      <c r="N470" s="922"/>
      <c r="O470" s="922"/>
      <c r="P470" s="679"/>
      <c r="Q470" s="706"/>
      <c r="R470" s="944"/>
      <c r="S470" s="706"/>
      <c r="T470" s="708"/>
      <c r="U470" s="706"/>
      <c r="V470" s="706"/>
      <c r="W470" s="706"/>
      <c r="X470" s="706"/>
      <c r="Y470" s="706"/>
      <c r="Z470" s="706"/>
      <c r="AA470" s="706"/>
    </row>
    <row r="471" spans="2:27" ht="25.5">
      <c r="B471" s="2467" t="s">
        <v>350</v>
      </c>
      <c r="C471" s="2461"/>
      <c r="D471" s="2481">
        <f t="shared" si="73"/>
        <v>0</v>
      </c>
      <c r="E471" s="2483"/>
      <c r="F471" s="2471"/>
      <c r="G471" s="2483"/>
      <c r="H471" s="2471"/>
      <c r="I471" s="2482">
        <f t="shared" si="74"/>
        <v>0</v>
      </c>
      <c r="J471" s="2471"/>
      <c r="K471" s="2483"/>
      <c r="L471" s="2471"/>
      <c r="M471" s="2484">
        <f t="shared" si="76"/>
        <v>0</v>
      </c>
      <c r="N471" s="922"/>
      <c r="O471" s="922"/>
      <c r="P471" s="679"/>
      <c r="Q471" s="706"/>
      <c r="R471" s="944"/>
      <c r="S471" s="706"/>
      <c r="T471" s="708"/>
      <c r="U471" s="706"/>
      <c r="V471" s="706"/>
      <c r="W471" s="706"/>
      <c r="X471" s="706"/>
      <c r="Y471" s="706"/>
      <c r="Z471" s="706"/>
      <c r="AA471" s="706"/>
    </row>
    <row r="472" spans="2:27">
      <c r="B472" s="2466" t="s">
        <v>351</v>
      </c>
      <c r="C472" s="2465"/>
      <c r="D472" s="2481">
        <f t="shared" si="73"/>
        <v>3356052.8914099997</v>
      </c>
      <c r="E472" s="2483">
        <f>SUM(E466:E471)</f>
        <v>0</v>
      </c>
      <c r="F472" s="2471">
        <f>SUM(F466:F471)</f>
        <v>349028.36195293721</v>
      </c>
      <c r="G472" s="2483">
        <f>SUM(G466:G471)</f>
        <v>2034367.8942077667</v>
      </c>
      <c r="H472" s="2471">
        <f>SUM(H466:H471)</f>
        <v>972656.63524929574</v>
      </c>
      <c r="I472" s="2482">
        <f t="shared" si="74"/>
        <v>3356052.8914099997</v>
      </c>
      <c r="J472" s="2471">
        <f>SUM(J466:J471)</f>
        <v>0</v>
      </c>
      <c r="K472" s="2483">
        <f>SUM(K466:K471)</f>
        <v>0</v>
      </c>
      <c r="L472" s="2471">
        <f>SUM(L466:L471)</f>
        <v>0</v>
      </c>
      <c r="M472" s="2484">
        <f t="shared" si="76"/>
        <v>0</v>
      </c>
      <c r="N472" s="927"/>
      <c r="O472" s="922"/>
      <c r="P472" s="679"/>
      <c r="Q472" s="706"/>
      <c r="R472" s="944"/>
      <c r="S472" s="706"/>
      <c r="T472" s="708"/>
      <c r="U472" s="706"/>
      <c r="V472" s="706"/>
      <c r="W472" s="706"/>
      <c r="X472" s="706"/>
      <c r="Y472" s="706"/>
      <c r="Z472" s="706"/>
      <c r="AA472" s="706"/>
    </row>
    <row r="473" spans="2:27">
      <c r="B473" s="2460"/>
      <c r="C473" s="2461"/>
      <c r="D473" s="2481">
        <f t="shared" si="73"/>
        <v>0</v>
      </c>
      <c r="E473" s="2483"/>
      <c r="F473" s="2471"/>
      <c r="G473" s="2483"/>
      <c r="H473" s="2471"/>
      <c r="I473" s="2482">
        <f t="shared" si="74"/>
        <v>0</v>
      </c>
      <c r="J473" s="2471"/>
      <c r="K473" s="2483"/>
      <c r="L473" s="2471"/>
      <c r="M473" s="2484">
        <f t="shared" si="76"/>
        <v>0</v>
      </c>
      <c r="O473" s="922"/>
      <c r="P473" s="679"/>
      <c r="Q473" s="706"/>
      <c r="R473" s="944"/>
      <c r="S473" s="706"/>
      <c r="T473" s="708"/>
      <c r="U473" s="706"/>
      <c r="V473" s="706"/>
      <c r="W473" s="706"/>
      <c r="X473" s="706"/>
      <c r="Y473" s="706"/>
      <c r="Z473" s="706"/>
      <c r="AA473" s="706"/>
    </row>
    <row r="474" spans="2:27" ht="25.5">
      <c r="B474" s="2467" t="s">
        <v>352</v>
      </c>
      <c r="C474" s="2461"/>
      <c r="D474" s="2481">
        <f t="shared" si="73"/>
        <v>860857.51775999996</v>
      </c>
      <c r="E474" s="2483">
        <v>0</v>
      </c>
      <c r="F474" s="2471">
        <v>29.426099999999998</v>
      </c>
      <c r="G474" s="2483">
        <v>344976.18873060006</v>
      </c>
      <c r="H474" s="2471">
        <v>515851.90292939998</v>
      </c>
      <c r="I474" s="2482">
        <f t="shared" si="74"/>
        <v>860857.51775999996</v>
      </c>
      <c r="J474" s="2471"/>
      <c r="K474" s="2483"/>
      <c r="L474" s="2471"/>
      <c r="M474" s="2484">
        <f t="shared" si="76"/>
        <v>0</v>
      </c>
      <c r="N474" s="922"/>
      <c r="O474" s="922"/>
      <c r="P474" s="679"/>
      <c r="Q474" s="706"/>
      <c r="R474" s="944"/>
      <c r="S474" s="706"/>
      <c r="T474" s="708"/>
      <c r="U474" s="706"/>
      <c r="V474" s="706"/>
      <c r="W474" s="706"/>
      <c r="X474" s="706"/>
      <c r="Y474" s="706"/>
      <c r="Z474" s="706"/>
      <c r="AA474" s="706"/>
    </row>
    <row r="475" spans="2:27">
      <c r="B475" s="2460"/>
      <c r="C475" s="2461"/>
      <c r="D475" s="2481">
        <f t="shared" si="73"/>
        <v>0</v>
      </c>
      <c r="E475" s="2483"/>
      <c r="F475" s="2471"/>
      <c r="G475" s="2483"/>
      <c r="H475" s="2471"/>
      <c r="I475" s="2482">
        <f t="shared" si="74"/>
        <v>0</v>
      </c>
      <c r="J475" s="2471"/>
      <c r="K475" s="2483"/>
      <c r="L475" s="2471"/>
      <c r="M475" s="2484">
        <f t="shared" si="76"/>
        <v>0</v>
      </c>
      <c r="N475" s="922"/>
      <c r="O475" s="922"/>
      <c r="P475" s="679"/>
      <c r="Q475" s="706"/>
      <c r="R475" s="944"/>
      <c r="S475" s="706"/>
      <c r="T475" s="708"/>
      <c r="U475" s="706"/>
      <c r="V475" s="706"/>
      <c r="W475" s="706"/>
      <c r="X475" s="706"/>
      <c r="Y475" s="706"/>
      <c r="Z475" s="706"/>
      <c r="AA475" s="706"/>
    </row>
    <row r="476" spans="2:27" ht="12.75" customHeight="1">
      <c r="B476" s="2467" t="s">
        <v>353</v>
      </c>
      <c r="C476" s="2461">
        <v>4</v>
      </c>
      <c r="D476" s="2481">
        <f t="shared" si="73"/>
        <v>1159518.7917800001</v>
      </c>
      <c r="E476" s="2483">
        <v>179720.83921000001</v>
      </c>
      <c r="F476" s="2471">
        <v>108968.46664952638</v>
      </c>
      <c r="G476" s="2483">
        <v>393308.57453127555</v>
      </c>
      <c r="H476" s="2471">
        <v>477520.91138919804</v>
      </c>
      <c r="I476" s="2482">
        <f t="shared" si="74"/>
        <v>979797.95256999996</v>
      </c>
      <c r="J476" s="2471"/>
      <c r="K476" s="2483"/>
      <c r="L476" s="2471"/>
      <c r="M476" s="2484">
        <f t="shared" si="76"/>
        <v>0</v>
      </c>
      <c r="N476" s="922"/>
      <c r="O476" s="922"/>
      <c r="P476" s="679"/>
      <c r="Q476" s="706"/>
      <c r="R476" s="944"/>
      <c r="S476" s="706"/>
      <c r="T476" s="708"/>
      <c r="U476" s="706"/>
      <c r="V476" s="706"/>
      <c r="W476" s="706"/>
      <c r="X476" s="706"/>
      <c r="Y476" s="706"/>
      <c r="Z476" s="706"/>
      <c r="AA476" s="706"/>
    </row>
    <row r="477" spans="2:27">
      <c r="B477" s="2460" t="s">
        <v>354</v>
      </c>
      <c r="C477" s="2461"/>
      <c r="D477" s="2481">
        <f t="shared" si="73"/>
        <v>0</v>
      </c>
      <c r="E477" s="2483">
        <v>0</v>
      </c>
      <c r="F477" s="2471">
        <v>0</v>
      </c>
      <c r="G477" s="2483">
        <v>0</v>
      </c>
      <c r="H477" s="2471"/>
      <c r="I477" s="2482">
        <f t="shared" si="74"/>
        <v>0</v>
      </c>
      <c r="J477" s="2471"/>
      <c r="K477" s="2483"/>
      <c r="L477" s="2471"/>
      <c r="M477" s="2484">
        <f t="shared" si="76"/>
        <v>0</v>
      </c>
      <c r="N477" s="922"/>
      <c r="O477" s="922"/>
      <c r="P477" s="679"/>
      <c r="Q477" s="706"/>
      <c r="R477" s="944"/>
      <c r="S477" s="706"/>
      <c r="T477" s="708"/>
      <c r="U477" s="706"/>
      <c r="V477" s="706"/>
      <c r="W477" s="706"/>
      <c r="X477" s="706"/>
      <c r="Y477" s="706"/>
      <c r="Z477" s="706"/>
      <c r="AA477" s="706"/>
    </row>
    <row r="478" spans="2:27">
      <c r="B478" s="2460" t="s">
        <v>355</v>
      </c>
      <c r="C478" s="2461"/>
      <c r="D478" s="2481">
        <f t="shared" si="73"/>
        <v>38299.049599999984</v>
      </c>
      <c r="E478" s="2483">
        <v>6.3417700000000004</v>
      </c>
      <c r="F478" s="2471">
        <v>4226.475667536386</v>
      </c>
      <c r="G478" s="2483">
        <v>34066.232162463602</v>
      </c>
      <c r="H478" s="2471"/>
      <c r="I478" s="2482">
        <f t="shared" si="74"/>
        <v>38292.707829999985</v>
      </c>
      <c r="J478" s="2471"/>
      <c r="K478" s="2483"/>
      <c r="L478" s="2471"/>
      <c r="M478" s="2484">
        <f t="shared" si="76"/>
        <v>0</v>
      </c>
      <c r="N478" s="922"/>
      <c r="O478" s="922"/>
      <c r="P478" s="679"/>
      <c r="Q478" s="706"/>
      <c r="R478" s="944"/>
      <c r="S478" s="706"/>
      <c r="T478" s="708"/>
      <c r="U478" s="706"/>
      <c r="V478" s="706"/>
      <c r="W478" s="706"/>
      <c r="X478" s="706"/>
      <c r="Y478" s="706"/>
      <c r="Z478" s="706"/>
      <c r="AA478" s="706"/>
    </row>
    <row r="479" spans="2:27">
      <c r="B479" s="2466" t="s">
        <v>356</v>
      </c>
      <c r="C479" s="2465"/>
      <c r="D479" s="2481">
        <f t="shared" si="73"/>
        <v>1197817.8413799999</v>
      </c>
      <c r="E479" s="2483">
        <f>SUM(E476:E478)</f>
        <v>179727.18098</v>
      </c>
      <c r="F479" s="2471">
        <f>SUM(F476:F478)</f>
        <v>113194.94231706277</v>
      </c>
      <c r="G479" s="2483">
        <f>SUM(G476:G478)</f>
        <v>427374.80669373914</v>
      </c>
      <c r="H479" s="2471">
        <f>SUM(H476:H478)</f>
        <v>477520.91138919804</v>
      </c>
      <c r="I479" s="2482">
        <f t="shared" si="74"/>
        <v>1018090.6603999999</v>
      </c>
      <c r="J479" s="2471">
        <f>SUM(J476:J478)</f>
        <v>0</v>
      </c>
      <c r="K479" s="2483">
        <f>SUM(K476:K478)</f>
        <v>0</v>
      </c>
      <c r="L479" s="2471">
        <f>SUM(L476:L478)</f>
        <v>0</v>
      </c>
      <c r="M479" s="2484">
        <f t="shared" si="76"/>
        <v>0</v>
      </c>
      <c r="N479" s="927"/>
      <c r="O479" s="922"/>
      <c r="P479" s="679"/>
      <c r="Q479" s="706"/>
      <c r="R479" s="944"/>
      <c r="S479" s="706"/>
      <c r="T479" s="708"/>
      <c r="U479" s="706"/>
      <c r="V479" s="706"/>
      <c r="W479" s="706"/>
      <c r="X479" s="706"/>
      <c r="Y479" s="706"/>
      <c r="Z479" s="706"/>
      <c r="AA479" s="706"/>
    </row>
    <row r="480" spans="2:27">
      <c r="B480" s="2466"/>
      <c r="C480" s="2465"/>
      <c r="D480" s="2481">
        <f t="shared" si="73"/>
        <v>0</v>
      </c>
      <c r="E480" s="2483"/>
      <c r="F480" s="2471"/>
      <c r="G480" s="2483"/>
      <c r="H480" s="2471"/>
      <c r="I480" s="2482">
        <f t="shared" si="74"/>
        <v>0</v>
      </c>
      <c r="J480" s="2471"/>
      <c r="K480" s="2483"/>
      <c r="L480" s="2471"/>
      <c r="M480" s="2484">
        <f t="shared" si="76"/>
        <v>0</v>
      </c>
      <c r="O480" s="922"/>
      <c r="P480" s="679"/>
      <c r="Q480" s="706"/>
      <c r="R480" s="944"/>
      <c r="S480" s="706"/>
      <c r="T480" s="708"/>
      <c r="U480" s="706"/>
      <c r="V480" s="706"/>
      <c r="W480" s="706"/>
      <c r="X480" s="706"/>
      <c r="Y480" s="706"/>
      <c r="Z480" s="706"/>
      <c r="AA480" s="706"/>
    </row>
    <row r="481" spans="1:27">
      <c r="B481" s="2466" t="s">
        <v>357</v>
      </c>
      <c r="C481" s="2465"/>
      <c r="D481" s="2481">
        <f t="shared" si="73"/>
        <v>1020902.94608</v>
      </c>
      <c r="E481" s="2483">
        <f>E464-E472-E474-E479</f>
        <v>795902.94607999991</v>
      </c>
      <c r="F481" s="2471">
        <f>F464-F472-F474-F479</f>
        <v>0</v>
      </c>
      <c r="G481" s="2483">
        <f>G464-G472-G474-G479</f>
        <v>10677.393836693722</v>
      </c>
      <c r="H481" s="2471">
        <f>H464-H472-H474-H479</f>
        <v>214322.60616330639</v>
      </c>
      <c r="I481" s="2482">
        <f t="shared" si="74"/>
        <v>225000.00000000012</v>
      </c>
      <c r="J481" s="2471">
        <f>J464-J472-J474-J479</f>
        <v>0</v>
      </c>
      <c r="K481" s="2483">
        <f>K464-K472-K474-K479</f>
        <v>0</v>
      </c>
      <c r="L481" s="2471">
        <f>L464-L472-L474-L479</f>
        <v>0</v>
      </c>
      <c r="M481" s="2484">
        <f t="shared" si="76"/>
        <v>0</v>
      </c>
      <c r="N481" s="927"/>
      <c r="O481" s="922"/>
      <c r="P481" s="679"/>
      <c r="Q481" s="706"/>
      <c r="R481" s="944"/>
      <c r="S481" s="706"/>
      <c r="T481" s="708"/>
      <c r="U481" s="706"/>
      <c r="V481" s="706"/>
      <c r="W481" s="706"/>
      <c r="X481" s="706"/>
      <c r="Y481" s="706"/>
      <c r="Z481" s="706"/>
      <c r="AA481" s="706"/>
    </row>
    <row r="482" spans="1:27">
      <c r="B482" s="2460" t="s">
        <v>358</v>
      </c>
      <c r="C482" s="2461"/>
      <c r="D482" s="2481">
        <f t="shared" si="73"/>
        <v>261586.43088</v>
      </c>
      <c r="E482" s="2483">
        <v>261586.43088</v>
      </c>
      <c r="F482" s="2471"/>
      <c r="G482" s="2483"/>
      <c r="H482" s="2471"/>
      <c r="I482" s="2482">
        <f t="shared" si="74"/>
        <v>0</v>
      </c>
      <c r="J482" s="2471"/>
      <c r="K482" s="2483"/>
      <c r="L482" s="2471"/>
      <c r="M482" s="2484">
        <f t="shared" si="76"/>
        <v>0</v>
      </c>
      <c r="N482" s="922"/>
      <c r="O482" s="922"/>
      <c r="P482" s="679"/>
      <c r="Q482" s="706"/>
      <c r="R482" s="944"/>
      <c r="S482" s="706"/>
      <c r="T482" s="708"/>
      <c r="U482" s="706"/>
      <c r="V482" s="706"/>
      <c r="W482" s="706"/>
      <c r="X482" s="706"/>
      <c r="Y482" s="706"/>
      <c r="Z482" s="706"/>
      <c r="AA482" s="706"/>
    </row>
    <row r="483" spans="1:27">
      <c r="B483" s="2460"/>
      <c r="C483" s="2461"/>
      <c r="D483" s="2481">
        <f t="shared" si="73"/>
        <v>0</v>
      </c>
      <c r="E483" s="2483"/>
      <c r="F483" s="2471"/>
      <c r="G483" s="2483"/>
      <c r="H483" s="2471"/>
      <c r="I483" s="2482">
        <f t="shared" si="74"/>
        <v>0</v>
      </c>
      <c r="J483" s="2471"/>
      <c r="K483" s="2483"/>
      <c r="L483" s="2471"/>
      <c r="M483" s="2484">
        <f t="shared" si="76"/>
        <v>0</v>
      </c>
      <c r="O483" s="922"/>
      <c r="P483" s="679"/>
      <c r="Q483" s="706"/>
      <c r="R483" s="944"/>
      <c r="S483" s="706"/>
      <c r="T483" s="708"/>
      <c r="U483" s="706"/>
      <c r="V483" s="706"/>
      <c r="W483" s="706"/>
      <c r="X483" s="706"/>
      <c r="Y483" s="706"/>
      <c r="Z483" s="706"/>
      <c r="AA483" s="706"/>
    </row>
    <row r="484" spans="1:27" ht="13.5" thickBot="1">
      <c r="B484" s="1602" t="s">
        <v>359</v>
      </c>
      <c r="C484" s="1603"/>
      <c r="D484" s="1614">
        <f t="shared" si="73"/>
        <v>759316.51520000002</v>
      </c>
      <c r="E484" s="1640">
        <f>E481-E482</f>
        <v>534316.51519999991</v>
      </c>
      <c r="F484" s="1614">
        <f>F481-F482</f>
        <v>0</v>
      </c>
      <c r="G484" s="1640">
        <f>G481-G482</f>
        <v>10677.393836693722</v>
      </c>
      <c r="H484" s="1614">
        <f>H481-H482</f>
        <v>214322.60616330639</v>
      </c>
      <c r="I484" s="1640">
        <f t="shared" si="74"/>
        <v>225000.00000000012</v>
      </c>
      <c r="J484" s="1614">
        <f>J481-J482</f>
        <v>0</v>
      </c>
      <c r="K484" s="1640">
        <f>K481-K482</f>
        <v>0</v>
      </c>
      <c r="L484" s="1614">
        <f>L481-L482</f>
        <v>0</v>
      </c>
      <c r="M484" s="1641">
        <f t="shared" si="76"/>
        <v>0</v>
      </c>
      <c r="N484" s="927"/>
      <c r="O484" s="922"/>
      <c r="P484" s="679"/>
      <c r="Q484" s="706"/>
      <c r="R484" s="944"/>
      <c r="S484" s="706"/>
      <c r="T484" s="708"/>
      <c r="U484" s="706"/>
      <c r="V484" s="706"/>
      <c r="W484" s="706"/>
      <c r="X484" s="706"/>
      <c r="Y484" s="706"/>
      <c r="Z484" s="706"/>
      <c r="AA484" s="706"/>
    </row>
    <row r="485" spans="1:27">
      <c r="D485" s="684"/>
      <c r="E485" s="684"/>
      <c r="F485" s="684"/>
      <c r="G485" s="684"/>
      <c r="H485" s="684"/>
      <c r="I485" s="684"/>
      <c r="R485" s="944"/>
      <c r="S485" s="699"/>
      <c r="T485" s="699"/>
      <c r="U485" s="699"/>
      <c r="V485" s="699"/>
      <c r="W485" s="699"/>
      <c r="X485" s="699"/>
      <c r="Y485" s="699"/>
      <c r="Z485" s="699"/>
      <c r="AA485" s="699"/>
    </row>
    <row r="486" spans="1:27">
      <c r="M486" s="912">
        <v>73</v>
      </c>
      <c r="R486" s="699"/>
      <c r="S486" s="699"/>
      <c r="T486" s="699"/>
      <c r="U486" s="699"/>
      <c r="V486" s="699"/>
      <c r="W486" s="699"/>
      <c r="X486" s="699"/>
      <c r="Y486" s="699"/>
      <c r="Z486" s="699"/>
      <c r="AA486" s="699"/>
    </row>
    <row r="487" spans="1:27">
      <c r="R487" s="699"/>
      <c r="S487" s="699"/>
      <c r="T487" s="699"/>
      <c r="U487" s="699"/>
      <c r="V487" s="699"/>
      <c r="W487" s="699"/>
      <c r="X487" s="699"/>
      <c r="Y487" s="699"/>
      <c r="Z487" s="699"/>
      <c r="AA487" s="699"/>
    </row>
    <row r="488" spans="1:27" ht="13.5" thickBot="1">
      <c r="R488" s="699"/>
      <c r="S488" s="699"/>
      <c r="T488" s="699"/>
      <c r="U488" s="699"/>
      <c r="V488" s="699"/>
      <c r="W488" s="699"/>
      <c r="X488" s="699"/>
      <c r="Y488" s="699"/>
      <c r="Z488" s="699"/>
      <c r="AA488" s="699"/>
    </row>
    <row r="489" spans="1:27" ht="14.25" customHeight="1" thickBot="1">
      <c r="A489" s="1626" t="s">
        <v>188</v>
      </c>
      <c r="B489" s="1368" t="s">
        <v>106</v>
      </c>
      <c r="C489" s="937"/>
      <c r="L489" s="3538" t="s">
        <v>251</v>
      </c>
      <c r="M489" s="3538"/>
      <c r="R489" s="699"/>
      <c r="S489" s="699"/>
      <c r="T489" s="699"/>
      <c r="U489" s="699"/>
      <c r="V489" s="699"/>
      <c r="W489" s="699"/>
      <c r="X489" s="699"/>
      <c r="Y489" s="699"/>
      <c r="Z489" s="699"/>
      <c r="AA489" s="699"/>
    </row>
    <row r="490" spans="1:27" ht="14.25" customHeight="1" thickBot="1">
      <c r="B490" s="3578" t="s">
        <v>106</v>
      </c>
      <c r="C490" s="3523" t="s">
        <v>325</v>
      </c>
      <c r="D490" s="3518" t="s">
        <v>255</v>
      </c>
      <c r="E490" s="3518" t="s">
        <v>326</v>
      </c>
      <c r="F490" s="3574" t="s">
        <v>258</v>
      </c>
      <c r="G490" s="3574"/>
      <c r="H490" s="3574"/>
      <c r="I490" s="3574"/>
      <c r="J490" s="3574"/>
      <c r="K490" s="3574"/>
      <c r="L490" s="3574"/>
      <c r="M490" s="3574"/>
      <c r="R490" s="699"/>
      <c r="S490" s="699"/>
      <c r="T490" s="699"/>
      <c r="U490" s="699"/>
      <c r="V490" s="699"/>
      <c r="W490" s="699"/>
      <c r="X490" s="699"/>
      <c r="Y490" s="699"/>
      <c r="Z490" s="699"/>
      <c r="AA490" s="699"/>
    </row>
    <row r="491" spans="1:27" ht="12" customHeight="1">
      <c r="B491" s="3571"/>
      <c r="C491" s="3524"/>
      <c r="D491" s="3520"/>
      <c r="E491" s="3520"/>
      <c r="F491" s="3575" t="s">
        <v>259</v>
      </c>
      <c r="G491" s="3576"/>
      <c r="H491" s="3576"/>
      <c r="I491" s="3577"/>
      <c r="J491" s="3574" t="s">
        <v>327</v>
      </c>
      <c r="K491" s="3574"/>
      <c r="L491" s="3574"/>
      <c r="M491" s="3574"/>
      <c r="R491" s="699"/>
      <c r="S491" s="699"/>
      <c r="T491" s="699"/>
      <c r="U491" s="699"/>
      <c r="V491" s="699"/>
      <c r="W491" s="699"/>
      <c r="X491" s="699"/>
      <c r="Y491" s="699"/>
      <c r="Z491" s="699"/>
      <c r="AA491" s="699"/>
    </row>
    <row r="492" spans="1:27" ht="57" customHeight="1" thickBot="1">
      <c r="B492" s="3571"/>
      <c r="C492" s="3524"/>
      <c r="D492" s="3519"/>
      <c r="E492" s="3519"/>
      <c r="F492" s="1339" t="s">
        <v>261</v>
      </c>
      <c r="G492" s="1339" t="s">
        <v>262</v>
      </c>
      <c r="H492" s="1339" t="s">
        <v>263</v>
      </c>
      <c r="I492" s="1339" t="s">
        <v>158</v>
      </c>
      <c r="J492" s="1588" t="s">
        <v>328</v>
      </c>
      <c r="K492" s="1588" t="s">
        <v>265</v>
      </c>
      <c r="L492" s="1588" t="s">
        <v>329</v>
      </c>
      <c r="M492" s="1588" t="s">
        <v>158</v>
      </c>
      <c r="R492" s="699"/>
      <c r="S492" s="699"/>
      <c r="T492" s="699"/>
      <c r="U492" s="699"/>
      <c r="V492" s="699"/>
      <c r="W492" s="699"/>
      <c r="X492" s="699"/>
      <c r="Y492" s="699"/>
      <c r="Z492" s="699"/>
      <c r="AA492" s="699"/>
    </row>
    <row r="493" spans="1:27" ht="12.75" customHeight="1" thickBot="1">
      <c r="B493" s="3571"/>
      <c r="C493" s="3524"/>
      <c r="D493" s="1589">
        <v>1</v>
      </c>
      <c r="E493" s="3518">
        <v>2</v>
      </c>
      <c r="F493" s="3518">
        <v>3</v>
      </c>
      <c r="G493" s="3518">
        <v>4</v>
      </c>
      <c r="H493" s="3518">
        <v>5</v>
      </c>
      <c r="I493" s="1589">
        <v>6</v>
      </c>
      <c r="J493" s="3518">
        <v>7</v>
      </c>
      <c r="K493" s="3518">
        <v>8</v>
      </c>
      <c r="L493" s="3518">
        <v>9</v>
      </c>
      <c r="M493" s="1589">
        <v>10</v>
      </c>
      <c r="R493" s="699"/>
      <c r="S493" s="699"/>
      <c r="T493" s="699"/>
      <c r="U493" s="699"/>
      <c r="V493" s="699"/>
      <c r="W493" s="699"/>
      <c r="X493" s="699"/>
      <c r="Y493" s="699"/>
      <c r="Z493" s="699"/>
      <c r="AA493" s="699"/>
    </row>
    <row r="494" spans="1:27" ht="13.5" thickBot="1">
      <c r="B494" s="3572"/>
      <c r="C494" s="3525"/>
      <c r="D494" s="1590" t="s">
        <v>330</v>
      </c>
      <c r="E494" s="3519"/>
      <c r="F494" s="3519"/>
      <c r="G494" s="3519"/>
      <c r="H494" s="3519"/>
      <c r="I494" s="1590" t="s">
        <v>331</v>
      </c>
      <c r="J494" s="3519"/>
      <c r="K494" s="3519"/>
      <c r="L494" s="3519"/>
      <c r="M494" s="1590" t="s">
        <v>332</v>
      </c>
      <c r="N494" s="703"/>
      <c r="O494" s="703"/>
      <c r="R494" s="699"/>
      <c r="S494" s="699"/>
      <c r="T494" s="699"/>
      <c r="U494" s="699"/>
      <c r="V494" s="699"/>
      <c r="W494" s="699"/>
      <c r="X494" s="699"/>
      <c r="Y494" s="699"/>
      <c r="Z494" s="699"/>
      <c r="AA494" s="699"/>
    </row>
    <row r="495" spans="1:27">
      <c r="B495" s="1591" t="s">
        <v>333</v>
      </c>
      <c r="C495" s="962"/>
      <c r="D495" s="1592">
        <f t="shared" ref="D495:D532" si="77">E495+I495+M495</f>
        <v>714127.02539999993</v>
      </c>
      <c r="E495" s="964"/>
      <c r="F495" s="963">
        <v>360864.55003162555</v>
      </c>
      <c r="G495" s="964">
        <v>353262.47536837443</v>
      </c>
      <c r="H495" s="963"/>
      <c r="I495" s="1595">
        <f t="shared" ref="I495:I532" si="78">F495+G495+H495</f>
        <v>714127.02539999993</v>
      </c>
      <c r="J495" s="963"/>
      <c r="K495" s="964"/>
      <c r="L495" s="963"/>
      <c r="M495" s="1598">
        <f t="shared" ref="M495:M512" si="79">L495+K495+J495</f>
        <v>0</v>
      </c>
      <c r="N495" s="922"/>
      <c r="O495" s="922"/>
      <c r="P495" s="679"/>
      <c r="Q495" s="706"/>
      <c r="R495" s="179"/>
      <c r="S495" s="706"/>
      <c r="T495" s="708"/>
      <c r="U495" s="706"/>
      <c r="V495" s="706"/>
      <c r="W495" s="706"/>
      <c r="X495" s="706"/>
      <c r="Y495" s="706"/>
      <c r="Z495" s="706"/>
      <c r="AA495" s="706"/>
    </row>
    <row r="496" spans="1:27">
      <c r="B496" s="2460"/>
      <c r="C496" s="2461"/>
      <c r="D496" s="2481">
        <f t="shared" si="77"/>
        <v>0</v>
      </c>
      <c r="E496" s="2483"/>
      <c r="F496" s="2471"/>
      <c r="G496" s="2483"/>
      <c r="H496" s="2471"/>
      <c r="I496" s="2482">
        <f t="shared" si="78"/>
        <v>0</v>
      </c>
      <c r="J496" s="2471"/>
      <c r="K496" s="2483"/>
      <c r="L496" s="2471"/>
      <c r="M496" s="2484">
        <f t="shared" si="79"/>
        <v>0</v>
      </c>
      <c r="O496" s="922"/>
      <c r="P496" s="679"/>
      <c r="Q496" s="706"/>
      <c r="R496" s="179"/>
      <c r="S496" s="706"/>
      <c r="T496" s="708"/>
      <c r="U496" s="706"/>
      <c r="V496" s="706"/>
      <c r="W496" s="706"/>
      <c r="X496" s="706"/>
      <c r="Y496" s="706"/>
      <c r="Z496" s="706"/>
      <c r="AA496" s="706"/>
    </row>
    <row r="497" spans="2:27">
      <c r="B497" s="2462" t="s">
        <v>334</v>
      </c>
      <c r="C497" s="2461"/>
      <c r="D497" s="2481">
        <f t="shared" si="77"/>
        <v>3986.0920000000001</v>
      </c>
      <c r="E497" s="2483"/>
      <c r="F497" s="2471">
        <v>1457</v>
      </c>
      <c r="G497" s="2483">
        <v>2529.0920000000001</v>
      </c>
      <c r="H497" s="2471"/>
      <c r="I497" s="2482">
        <f t="shared" si="78"/>
        <v>3986.0920000000001</v>
      </c>
      <c r="J497" s="2471"/>
      <c r="K497" s="2483"/>
      <c r="L497" s="2471"/>
      <c r="M497" s="2484">
        <f t="shared" si="79"/>
        <v>0</v>
      </c>
      <c r="N497" s="922"/>
      <c r="O497" s="922"/>
      <c r="P497" s="679"/>
      <c r="Q497" s="706"/>
      <c r="R497" s="179"/>
      <c r="S497" s="706"/>
      <c r="T497" s="708"/>
      <c r="U497" s="706"/>
      <c r="V497" s="706"/>
      <c r="W497" s="706"/>
      <c r="X497" s="706"/>
      <c r="Y497" s="706"/>
      <c r="Z497" s="706"/>
      <c r="AA497" s="706"/>
    </row>
    <row r="498" spans="2:27">
      <c r="B498" s="2462"/>
      <c r="C498" s="2461"/>
      <c r="D498" s="2481">
        <f t="shared" si="77"/>
        <v>0</v>
      </c>
      <c r="E498" s="2483"/>
      <c r="F498" s="2471"/>
      <c r="G498" s="2483"/>
      <c r="H498" s="2471"/>
      <c r="I498" s="2482">
        <f t="shared" si="78"/>
        <v>0</v>
      </c>
      <c r="J498" s="2471"/>
      <c r="K498" s="2483"/>
      <c r="L498" s="2471"/>
      <c r="M498" s="2484">
        <f t="shared" si="79"/>
        <v>0</v>
      </c>
      <c r="O498" s="922"/>
      <c r="P498" s="679"/>
      <c r="Q498" s="706"/>
      <c r="R498" s="179"/>
      <c r="S498" s="706"/>
      <c r="T498" s="708"/>
      <c r="U498" s="706"/>
      <c r="V498" s="706"/>
      <c r="W498" s="706"/>
      <c r="X498" s="706"/>
      <c r="Y498" s="706"/>
      <c r="Z498" s="706"/>
      <c r="AA498" s="706"/>
    </row>
    <row r="499" spans="2:27" ht="12.75" customHeight="1">
      <c r="B499" s="2463" t="s">
        <v>335</v>
      </c>
      <c r="C499" s="2461"/>
      <c r="D499" s="2481">
        <f t="shared" si="77"/>
        <v>0</v>
      </c>
      <c r="E499" s="2483"/>
      <c r="F499" s="2471"/>
      <c r="G499" s="2483"/>
      <c r="H499" s="2471"/>
      <c r="I499" s="2482">
        <f t="shared" si="78"/>
        <v>0</v>
      </c>
      <c r="J499" s="2471"/>
      <c r="K499" s="2483"/>
      <c r="L499" s="2471"/>
      <c r="M499" s="2484">
        <f t="shared" si="79"/>
        <v>0</v>
      </c>
      <c r="N499" s="922"/>
      <c r="O499" s="922"/>
      <c r="P499" s="679"/>
      <c r="Q499" s="706"/>
      <c r="R499" s="179"/>
      <c r="S499" s="706"/>
      <c r="T499" s="708"/>
      <c r="U499" s="706"/>
      <c r="V499" s="706"/>
      <c r="W499" s="706"/>
      <c r="X499" s="706"/>
      <c r="Y499" s="706"/>
      <c r="Z499" s="706"/>
      <c r="AA499" s="706"/>
    </row>
    <row r="500" spans="2:27">
      <c r="B500" s="2460"/>
      <c r="C500" s="2461"/>
      <c r="D500" s="2481">
        <f t="shared" si="77"/>
        <v>0</v>
      </c>
      <c r="E500" s="2483"/>
      <c r="F500" s="2471"/>
      <c r="G500" s="2483"/>
      <c r="H500" s="2471"/>
      <c r="I500" s="2482">
        <f t="shared" si="78"/>
        <v>0</v>
      </c>
      <c r="J500" s="2471"/>
      <c r="K500" s="2483"/>
      <c r="L500" s="2471"/>
      <c r="M500" s="2484">
        <f t="shared" si="79"/>
        <v>0</v>
      </c>
      <c r="O500" s="922"/>
      <c r="P500" s="679"/>
      <c r="Q500" s="706"/>
      <c r="R500" s="179"/>
      <c r="S500" s="706"/>
      <c r="T500" s="708"/>
      <c r="U500" s="706"/>
      <c r="V500" s="706"/>
      <c r="W500" s="706"/>
      <c r="X500" s="706"/>
      <c r="Y500" s="706"/>
      <c r="Z500" s="706"/>
      <c r="AA500" s="706"/>
    </row>
    <row r="501" spans="2:27">
      <c r="B501" s="2464" t="s">
        <v>336</v>
      </c>
      <c r="C501" s="2465"/>
      <c r="D501" s="2481">
        <f t="shared" si="77"/>
        <v>710140.93339999998</v>
      </c>
      <c r="E501" s="2483">
        <f>E495-E497+E499</f>
        <v>0</v>
      </c>
      <c r="F501" s="2471">
        <f>F495-F497+F499</f>
        <v>359407.55003162555</v>
      </c>
      <c r="G501" s="2483">
        <f>G495-G497+G499</f>
        <v>350733.38336837443</v>
      </c>
      <c r="H501" s="2471">
        <f>H495-H497+H499</f>
        <v>0</v>
      </c>
      <c r="I501" s="2482">
        <f t="shared" si="78"/>
        <v>710140.93339999998</v>
      </c>
      <c r="J501" s="2471">
        <f>J495-J497+J499</f>
        <v>0</v>
      </c>
      <c r="K501" s="2483">
        <f>K495-K497+K499</f>
        <v>0</v>
      </c>
      <c r="L501" s="2471">
        <f>L495-L497+L499</f>
        <v>0</v>
      </c>
      <c r="M501" s="2484">
        <f t="shared" si="79"/>
        <v>0</v>
      </c>
      <c r="N501" s="927"/>
      <c r="O501" s="922"/>
      <c r="P501" s="679"/>
      <c r="Q501" s="706"/>
      <c r="R501" s="179"/>
      <c r="S501" s="706"/>
      <c r="T501" s="708"/>
      <c r="U501" s="706"/>
      <c r="V501" s="706"/>
      <c r="W501" s="706"/>
      <c r="X501" s="706"/>
      <c r="Y501" s="706"/>
      <c r="Z501" s="706"/>
      <c r="AA501" s="706"/>
    </row>
    <row r="502" spans="2:27">
      <c r="B502" s="2464"/>
      <c r="C502" s="2465"/>
      <c r="D502" s="2481">
        <f t="shared" si="77"/>
        <v>0</v>
      </c>
      <c r="E502" s="2483"/>
      <c r="F502" s="2471"/>
      <c r="G502" s="2483"/>
      <c r="H502" s="2471"/>
      <c r="I502" s="2482">
        <f t="shared" si="78"/>
        <v>0</v>
      </c>
      <c r="J502" s="2471"/>
      <c r="K502" s="2483"/>
      <c r="L502" s="2471"/>
      <c r="M502" s="2484">
        <f t="shared" si="79"/>
        <v>0</v>
      </c>
      <c r="O502" s="922"/>
      <c r="P502" s="679"/>
      <c r="Q502" s="706"/>
      <c r="R502" s="179"/>
      <c r="S502" s="706"/>
      <c r="T502" s="708"/>
      <c r="U502" s="706"/>
      <c r="V502" s="706"/>
      <c r="W502" s="706"/>
      <c r="X502" s="706"/>
      <c r="Y502" s="706"/>
      <c r="Z502" s="706"/>
      <c r="AA502" s="706"/>
    </row>
    <row r="503" spans="2:27">
      <c r="B503" s="2464" t="s">
        <v>337</v>
      </c>
      <c r="C503" s="2465"/>
      <c r="D503" s="2481">
        <f t="shared" si="77"/>
        <v>314893.74420301977</v>
      </c>
      <c r="E503" s="2483">
        <f>SUM(E504:E509)</f>
        <v>30681.772664563665</v>
      </c>
      <c r="F503" s="2471">
        <f>SUM(F504:F509)</f>
        <v>117444.59093410052</v>
      </c>
      <c r="G503" s="2483">
        <f>SUM(G504:G509)</f>
        <v>166767.3806043556</v>
      </c>
      <c r="H503" s="2471">
        <f>SUM(H504:H508)</f>
        <v>0</v>
      </c>
      <c r="I503" s="2482">
        <f t="shared" si="78"/>
        <v>284211.9715384561</v>
      </c>
      <c r="J503" s="2471">
        <f>SUM(J504:J508)</f>
        <v>0</v>
      </c>
      <c r="K503" s="2483">
        <f>SUM(K504:K508)</f>
        <v>0</v>
      </c>
      <c r="L503" s="2471">
        <f>SUM(L504:L508)</f>
        <v>0</v>
      </c>
      <c r="M503" s="2484">
        <f t="shared" si="79"/>
        <v>0</v>
      </c>
      <c r="N503" s="927"/>
      <c r="O503" s="922"/>
      <c r="P503" s="679"/>
      <c r="Q503" s="706"/>
      <c r="R503" s="179"/>
      <c r="S503" s="706"/>
      <c r="T503" s="708"/>
      <c r="U503" s="706"/>
      <c r="V503" s="706"/>
      <c r="W503" s="706"/>
      <c r="X503" s="706"/>
      <c r="Y503" s="706"/>
      <c r="Z503" s="706"/>
      <c r="AA503" s="706"/>
    </row>
    <row r="504" spans="2:27">
      <c r="B504" s="2460" t="s">
        <v>338</v>
      </c>
      <c r="C504" s="2461">
        <v>1</v>
      </c>
      <c r="D504" s="2481">
        <f t="shared" si="77"/>
        <v>276475.00172290055</v>
      </c>
      <c r="E504" s="2483">
        <v>11297</v>
      </c>
      <c r="F504" s="2471">
        <v>109082.00172290052</v>
      </c>
      <c r="G504" s="2483">
        <v>156096</v>
      </c>
      <c r="H504" s="2471"/>
      <c r="I504" s="2482">
        <f t="shared" si="78"/>
        <v>265178.00172290055</v>
      </c>
      <c r="J504" s="2471"/>
      <c r="K504" s="2483"/>
      <c r="L504" s="2471"/>
      <c r="M504" s="2484">
        <f t="shared" si="79"/>
        <v>0</v>
      </c>
      <c r="N504" s="922"/>
      <c r="O504" s="922"/>
      <c r="P504" s="679"/>
      <c r="Q504" s="706"/>
      <c r="R504" s="179"/>
      <c r="S504" s="706"/>
      <c r="T504" s="708"/>
      <c r="U504" s="706"/>
      <c r="V504" s="706"/>
      <c r="W504" s="706"/>
      <c r="X504" s="706"/>
      <c r="Y504" s="706"/>
      <c r="Z504" s="706"/>
      <c r="AA504" s="706"/>
    </row>
    <row r="505" spans="2:27">
      <c r="B505" s="2460" t="s">
        <v>339</v>
      </c>
      <c r="C505" s="2461">
        <v>2</v>
      </c>
      <c r="D505" s="2481">
        <f t="shared" si="77"/>
        <v>0</v>
      </c>
      <c r="E505" s="2483"/>
      <c r="F505" s="2471"/>
      <c r="G505" s="2483"/>
      <c r="H505" s="2471"/>
      <c r="I505" s="2482">
        <f t="shared" si="78"/>
        <v>0</v>
      </c>
      <c r="J505" s="2471"/>
      <c r="K505" s="2483"/>
      <c r="L505" s="2471"/>
      <c r="M505" s="2484">
        <f t="shared" si="79"/>
        <v>0</v>
      </c>
      <c r="N505" s="922"/>
      <c r="O505" s="922"/>
      <c r="P505" s="679"/>
      <c r="Q505" s="706"/>
      <c r="R505" s="179"/>
      <c r="S505" s="706"/>
      <c r="T505" s="708"/>
      <c r="U505" s="706"/>
      <c r="V505" s="706"/>
      <c r="W505" s="706"/>
      <c r="X505" s="706"/>
      <c r="Y505" s="706"/>
      <c r="Z505" s="706"/>
      <c r="AA505" s="706"/>
    </row>
    <row r="506" spans="2:27">
      <c r="B506" s="2460" t="s">
        <v>340</v>
      </c>
      <c r="C506" s="2461"/>
      <c r="D506" s="2481">
        <f t="shared" si="77"/>
        <v>23362.716060671697</v>
      </c>
      <c r="E506" s="2483">
        <v>-713.10629301252698</v>
      </c>
      <c r="F506" s="2471">
        <v>0</v>
      </c>
      <c r="G506" s="2483">
        <v>24075.822353684223</v>
      </c>
      <c r="H506" s="2471"/>
      <c r="I506" s="2482">
        <f t="shared" si="78"/>
        <v>24075.822353684223</v>
      </c>
      <c r="J506" s="2471"/>
      <c r="K506" s="2483"/>
      <c r="L506" s="2471"/>
      <c r="M506" s="2484">
        <f t="shared" si="79"/>
        <v>0</v>
      </c>
      <c r="N506" s="922"/>
      <c r="O506" s="922"/>
      <c r="P506" s="679"/>
      <c r="Q506" s="706"/>
      <c r="R506" s="179"/>
      <c r="S506" s="706"/>
      <c r="T506" s="708"/>
      <c r="U506" s="706"/>
      <c r="V506" s="706"/>
      <c r="W506" s="706"/>
      <c r="X506" s="706"/>
      <c r="Y506" s="706"/>
      <c r="Z506" s="706"/>
      <c r="AA506" s="706"/>
    </row>
    <row r="507" spans="2:27">
      <c r="B507" s="2460" t="s">
        <v>341</v>
      </c>
      <c r="C507" s="2461"/>
      <c r="D507" s="2481">
        <f t="shared" si="77"/>
        <v>-25366.73781975243</v>
      </c>
      <c r="E507" s="2483">
        <v>-2902.1210424238106</v>
      </c>
      <c r="F507" s="2471">
        <v>0</v>
      </c>
      <c r="G507" s="2483">
        <v>-22464.616777328622</v>
      </c>
      <c r="H507" s="2471"/>
      <c r="I507" s="2482">
        <f t="shared" si="78"/>
        <v>-22464.616777328622</v>
      </c>
      <c r="J507" s="2471"/>
      <c r="K507" s="2483"/>
      <c r="L507" s="2471"/>
      <c r="M507" s="2484">
        <f t="shared" si="79"/>
        <v>0</v>
      </c>
      <c r="N507" s="922"/>
      <c r="O507" s="922"/>
      <c r="P507" s="679"/>
      <c r="Q507" s="706"/>
      <c r="R507" s="179"/>
      <c r="S507" s="706"/>
      <c r="T507" s="708"/>
      <c r="U507" s="706"/>
      <c r="V507" s="706"/>
      <c r="W507" s="706"/>
      <c r="X507" s="706"/>
      <c r="Y507" s="706"/>
      <c r="Z507" s="706"/>
      <c r="AA507" s="706"/>
    </row>
    <row r="508" spans="2:27">
      <c r="B508" s="2460" t="s">
        <v>342</v>
      </c>
      <c r="C508" s="2461">
        <v>3</v>
      </c>
      <c r="D508" s="2481">
        <f t="shared" si="77"/>
        <v>5951.7642392000016</v>
      </c>
      <c r="E508" s="2483">
        <v>0</v>
      </c>
      <c r="F508" s="2471">
        <v>2856.5892112000001</v>
      </c>
      <c r="G508" s="2483">
        <v>3095.1750280000015</v>
      </c>
      <c r="H508" s="2471"/>
      <c r="I508" s="2482">
        <f t="shared" si="78"/>
        <v>5951.7642392000016</v>
      </c>
      <c r="J508" s="2471"/>
      <c r="K508" s="2483"/>
      <c r="L508" s="2471"/>
      <c r="M508" s="2484">
        <f t="shared" si="79"/>
        <v>0</v>
      </c>
      <c r="N508" s="922"/>
      <c r="O508" s="922"/>
      <c r="P508" s="679"/>
      <c r="Q508" s="706"/>
      <c r="R508" s="179"/>
      <c r="S508" s="706"/>
      <c r="T508" s="708"/>
      <c r="U508" s="706"/>
      <c r="V508" s="706"/>
      <c r="W508" s="706"/>
      <c r="X508" s="706"/>
      <c r="Y508" s="706"/>
      <c r="Z508" s="706"/>
      <c r="AA508" s="706"/>
    </row>
    <row r="509" spans="2:27">
      <c r="B509" s="2460" t="s">
        <v>365</v>
      </c>
      <c r="C509" s="2461"/>
      <c r="D509" s="2481">
        <f t="shared" si="77"/>
        <v>34471</v>
      </c>
      <c r="E509" s="2483">
        <v>23000</v>
      </c>
      <c r="F509" s="2471">
        <v>5506</v>
      </c>
      <c r="G509" s="2483">
        <v>5965</v>
      </c>
      <c r="H509" s="2471"/>
      <c r="I509" s="2482">
        <f t="shared" si="78"/>
        <v>11471</v>
      </c>
      <c r="J509" s="2471"/>
      <c r="K509" s="2483"/>
      <c r="L509" s="2471"/>
      <c r="M509" s="2484">
        <f t="shared" si="79"/>
        <v>0</v>
      </c>
      <c r="O509" s="922"/>
      <c r="P509" s="679"/>
      <c r="Q509" s="706"/>
      <c r="R509" s="179"/>
      <c r="S509" s="706"/>
      <c r="T509" s="708"/>
      <c r="U509" s="706"/>
      <c r="V509" s="706"/>
      <c r="W509" s="706"/>
      <c r="X509" s="706"/>
      <c r="Y509" s="706"/>
      <c r="Z509" s="706"/>
      <c r="AA509" s="706"/>
    </row>
    <row r="510" spans="2:27">
      <c r="B510" s="2460" t="s">
        <v>366</v>
      </c>
      <c r="C510" s="2461"/>
      <c r="D510" s="2481">
        <f t="shared" si="77"/>
        <v>0</v>
      </c>
      <c r="E510" s="2483"/>
      <c r="F510" s="2471"/>
      <c r="G510" s="2483"/>
      <c r="H510" s="2471"/>
      <c r="I510" s="2482">
        <f t="shared" si="78"/>
        <v>0</v>
      </c>
      <c r="J510" s="2471"/>
      <c r="K510" s="2483"/>
      <c r="L510" s="2471"/>
      <c r="M510" s="2484">
        <f t="shared" si="79"/>
        <v>0</v>
      </c>
      <c r="O510" s="922"/>
      <c r="P510" s="679"/>
      <c r="Q510" s="706"/>
      <c r="R510" s="179"/>
      <c r="S510" s="706"/>
      <c r="T510" s="708"/>
      <c r="U510" s="706"/>
      <c r="V510" s="706"/>
      <c r="W510" s="706"/>
      <c r="X510" s="706"/>
      <c r="Y510" s="706"/>
      <c r="Z510" s="706"/>
      <c r="AA510" s="706"/>
    </row>
    <row r="511" spans="2:27">
      <c r="B511" s="2460"/>
      <c r="C511" s="2461"/>
      <c r="D511" s="2481">
        <f t="shared" si="77"/>
        <v>0</v>
      </c>
      <c r="E511" s="2483"/>
      <c r="F511" s="2471"/>
      <c r="G511" s="2483"/>
      <c r="H511" s="2471"/>
      <c r="I511" s="2482">
        <f t="shared" si="78"/>
        <v>0</v>
      </c>
      <c r="J511" s="2471"/>
      <c r="K511" s="2483"/>
      <c r="L511" s="2471"/>
      <c r="M511" s="2484">
        <f t="shared" si="79"/>
        <v>0</v>
      </c>
      <c r="O511" s="922"/>
      <c r="P511" s="679"/>
      <c r="Q511" s="706"/>
      <c r="R511" s="179"/>
      <c r="S511" s="706"/>
      <c r="T511" s="708"/>
      <c r="U511" s="706"/>
      <c r="V511" s="706"/>
      <c r="W511" s="706"/>
      <c r="X511" s="706"/>
      <c r="Y511" s="706"/>
      <c r="Z511" s="706"/>
      <c r="AA511" s="706"/>
    </row>
    <row r="512" spans="2:27">
      <c r="B512" s="2466" t="s">
        <v>344</v>
      </c>
      <c r="C512" s="2465"/>
      <c r="D512" s="2481">
        <f t="shared" si="77"/>
        <v>1025034.6776030198</v>
      </c>
      <c r="E512" s="2483">
        <f>E501+E503</f>
        <v>30681.772664563665</v>
      </c>
      <c r="F512" s="2471">
        <f>F501+F503</f>
        <v>476852.14096572605</v>
      </c>
      <c r="G512" s="2483">
        <f>G501+G503</f>
        <v>517500.76397273003</v>
      </c>
      <c r="H512" s="2471">
        <f>H501+H503</f>
        <v>0</v>
      </c>
      <c r="I512" s="2482">
        <f t="shared" si="78"/>
        <v>994352.90493845614</v>
      </c>
      <c r="J512" s="2471">
        <f>J501+J503</f>
        <v>0</v>
      </c>
      <c r="K512" s="2483">
        <f>K501+K503</f>
        <v>0</v>
      </c>
      <c r="L512" s="2471">
        <f>L501+L503</f>
        <v>0</v>
      </c>
      <c r="M512" s="2484">
        <f t="shared" si="79"/>
        <v>0</v>
      </c>
      <c r="N512" s="927"/>
      <c r="O512" s="922"/>
      <c r="P512" s="679"/>
      <c r="Q512" s="706"/>
      <c r="R512" s="179"/>
      <c r="S512" s="706"/>
      <c r="T512" s="708"/>
      <c r="U512" s="706"/>
      <c r="V512" s="706"/>
      <c r="W512" s="706"/>
      <c r="X512" s="706"/>
      <c r="Y512" s="706"/>
      <c r="Z512" s="706"/>
      <c r="AA512" s="706"/>
    </row>
    <row r="513" spans="2:27">
      <c r="B513" s="2466"/>
      <c r="C513" s="2465"/>
      <c r="D513" s="2481">
        <f t="shared" si="77"/>
        <v>0</v>
      </c>
      <c r="E513" s="2483"/>
      <c r="F513" s="2471"/>
      <c r="G513" s="2483"/>
      <c r="H513" s="2471"/>
      <c r="I513" s="2482">
        <f t="shared" si="78"/>
        <v>0</v>
      </c>
      <c r="J513" s="2471"/>
      <c r="K513" s="2483"/>
      <c r="L513" s="2471"/>
      <c r="M513" s="2484"/>
      <c r="O513" s="922"/>
      <c r="P513" s="679"/>
      <c r="Q513" s="706"/>
      <c r="R513" s="179"/>
      <c r="S513" s="706"/>
      <c r="T513" s="708"/>
      <c r="U513" s="706"/>
      <c r="V513" s="706"/>
      <c r="W513" s="706"/>
      <c r="X513" s="706"/>
      <c r="Y513" s="706"/>
      <c r="Z513" s="706"/>
      <c r="AA513" s="706"/>
    </row>
    <row r="514" spans="2:27">
      <c r="B514" s="2460" t="s">
        <v>345</v>
      </c>
      <c r="C514" s="2461"/>
      <c r="D514" s="2481">
        <f t="shared" si="77"/>
        <v>632138.46663000109</v>
      </c>
      <c r="E514" s="2483"/>
      <c r="F514" s="2471">
        <v>366253.487996337</v>
      </c>
      <c r="G514" s="2483">
        <v>265884.97863366402</v>
      </c>
      <c r="H514" s="2471"/>
      <c r="I514" s="2482">
        <f t="shared" si="78"/>
        <v>632138.46663000109</v>
      </c>
      <c r="J514" s="2471"/>
      <c r="K514" s="2483"/>
      <c r="L514" s="2471"/>
      <c r="M514" s="2484">
        <f t="shared" ref="M514:M532" si="80">L514+K514+J514</f>
        <v>0</v>
      </c>
      <c r="N514" s="922"/>
      <c r="O514" s="922"/>
      <c r="P514" s="679"/>
      <c r="Q514" s="706"/>
      <c r="R514" s="179"/>
      <c r="S514" s="706"/>
      <c r="T514" s="708"/>
      <c r="U514" s="706"/>
      <c r="V514" s="706"/>
      <c r="W514" s="706"/>
      <c r="X514" s="706"/>
      <c r="Y514" s="706"/>
      <c r="Z514" s="706"/>
      <c r="AA514" s="706"/>
    </row>
    <row r="515" spans="2:27">
      <c r="B515" s="2460" t="s">
        <v>346</v>
      </c>
      <c r="C515" s="2461"/>
      <c r="D515" s="2481">
        <f t="shared" si="77"/>
        <v>-13970</v>
      </c>
      <c r="E515" s="2483"/>
      <c r="F515" s="2471"/>
      <c r="G515" s="2483">
        <v>-13970</v>
      </c>
      <c r="H515" s="2471"/>
      <c r="I515" s="2482">
        <f t="shared" si="78"/>
        <v>-13970</v>
      </c>
      <c r="J515" s="2471"/>
      <c r="K515" s="2483"/>
      <c r="L515" s="2471"/>
      <c r="M515" s="2484">
        <f t="shared" si="80"/>
        <v>0</v>
      </c>
      <c r="N515" s="922"/>
      <c r="O515" s="922"/>
      <c r="P515" s="679"/>
      <c r="Q515" s="706"/>
      <c r="R515" s="179"/>
      <c r="S515" s="706"/>
      <c r="T515" s="708"/>
      <c r="U515" s="706"/>
      <c r="V515" s="706"/>
      <c r="W515" s="706"/>
      <c r="X515" s="706"/>
      <c r="Y515" s="706"/>
      <c r="Z515" s="706"/>
      <c r="AA515" s="706"/>
    </row>
    <row r="516" spans="2:27">
      <c r="B516" s="2460" t="s">
        <v>347</v>
      </c>
      <c r="C516" s="2461"/>
      <c r="D516" s="2481">
        <f t="shared" si="77"/>
        <v>0</v>
      </c>
      <c r="E516" s="2483"/>
      <c r="F516" s="2471"/>
      <c r="G516" s="2483"/>
      <c r="H516" s="2471"/>
      <c r="I516" s="2482">
        <f t="shared" si="78"/>
        <v>0</v>
      </c>
      <c r="J516" s="2471"/>
      <c r="K516" s="2483"/>
      <c r="L516" s="2471"/>
      <c r="M516" s="2484">
        <f t="shared" si="80"/>
        <v>0</v>
      </c>
      <c r="N516" s="922"/>
      <c r="O516" s="922"/>
      <c r="P516" s="679"/>
      <c r="Q516" s="706"/>
      <c r="R516" s="179"/>
      <c r="S516" s="706"/>
      <c r="T516" s="708"/>
      <c r="U516" s="706"/>
      <c r="V516" s="706"/>
      <c r="W516" s="706"/>
      <c r="X516" s="706"/>
      <c r="Y516" s="706"/>
      <c r="Z516" s="706"/>
      <c r="AA516" s="706"/>
    </row>
    <row r="517" spans="2:27" ht="12.75" customHeight="1">
      <c r="B517" s="2467" t="s">
        <v>348</v>
      </c>
      <c r="C517" s="2461"/>
      <c r="D517" s="2481">
        <f t="shared" si="77"/>
        <v>0</v>
      </c>
      <c r="E517" s="2483"/>
      <c r="F517" s="2471"/>
      <c r="G517" s="2483"/>
      <c r="H517" s="2471"/>
      <c r="I517" s="2482">
        <f t="shared" si="78"/>
        <v>0</v>
      </c>
      <c r="J517" s="2471"/>
      <c r="K517" s="2483"/>
      <c r="L517" s="2471"/>
      <c r="M517" s="2484">
        <f t="shared" si="80"/>
        <v>0</v>
      </c>
      <c r="N517" s="922"/>
      <c r="O517" s="922"/>
      <c r="P517" s="679"/>
      <c r="Q517" s="706"/>
      <c r="R517" s="179"/>
      <c r="S517" s="706"/>
      <c r="T517" s="708"/>
      <c r="U517" s="706"/>
      <c r="V517" s="706"/>
      <c r="W517" s="706"/>
      <c r="X517" s="706"/>
      <c r="Y517" s="706"/>
      <c r="Z517" s="706"/>
      <c r="AA517" s="706"/>
    </row>
    <row r="518" spans="2:27">
      <c r="B518" s="2460" t="s">
        <v>349</v>
      </c>
      <c r="C518" s="2461"/>
      <c r="D518" s="2481">
        <f t="shared" si="77"/>
        <v>415134.42334144562</v>
      </c>
      <c r="E518" s="2483"/>
      <c r="F518" s="2471">
        <v>58626.697510712598</v>
      </c>
      <c r="G518" s="2483">
        <v>356507.72583073302</v>
      </c>
      <c r="H518" s="2471"/>
      <c r="I518" s="2482">
        <f t="shared" si="78"/>
        <v>415134.42334144562</v>
      </c>
      <c r="J518" s="2471"/>
      <c r="K518" s="2483"/>
      <c r="L518" s="2471"/>
      <c r="M518" s="2484">
        <f t="shared" si="80"/>
        <v>0</v>
      </c>
      <c r="N518" s="922"/>
      <c r="O518" s="922"/>
      <c r="P518" s="679"/>
      <c r="Q518" s="706"/>
      <c r="R518" s="179"/>
      <c r="S518" s="706"/>
      <c r="T518" s="708"/>
      <c r="U518" s="706"/>
      <c r="V518" s="706"/>
      <c r="W518" s="706"/>
      <c r="X518" s="706"/>
      <c r="Y518" s="706"/>
      <c r="Z518" s="706"/>
      <c r="AA518" s="706"/>
    </row>
    <row r="519" spans="2:27">
      <c r="B519" s="2460" t="s">
        <v>350</v>
      </c>
      <c r="C519" s="2461"/>
      <c r="D519" s="2481">
        <f t="shared" si="77"/>
        <v>0</v>
      </c>
      <c r="E519" s="2483"/>
      <c r="F519" s="2471"/>
      <c r="G519" s="2483"/>
      <c r="H519" s="2471"/>
      <c r="I519" s="2482">
        <f t="shared" si="78"/>
        <v>0</v>
      </c>
      <c r="J519" s="2471"/>
      <c r="K519" s="2483"/>
      <c r="L519" s="2471"/>
      <c r="M519" s="2484">
        <f t="shared" si="80"/>
        <v>0</v>
      </c>
      <c r="N519" s="922"/>
      <c r="O519" s="922"/>
      <c r="P519" s="679"/>
      <c r="Q519" s="706"/>
      <c r="R519" s="179"/>
      <c r="S519" s="706"/>
      <c r="T519" s="708"/>
      <c r="U519" s="706"/>
      <c r="V519" s="706"/>
      <c r="W519" s="706"/>
      <c r="X519" s="706"/>
      <c r="Y519" s="706"/>
      <c r="Z519" s="706"/>
      <c r="AA519" s="706"/>
    </row>
    <row r="520" spans="2:27">
      <c r="B520" s="2466" t="s">
        <v>351</v>
      </c>
      <c r="C520" s="2465"/>
      <c r="D520" s="2481">
        <f t="shared" si="77"/>
        <v>1033302.8899714467</v>
      </c>
      <c r="E520" s="2483">
        <f>SUM(E514:E519)</f>
        <v>0</v>
      </c>
      <c r="F520" s="2471">
        <f>SUM(F514:F519)</f>
        <v>424880.18550704961</v>
      </c>
      <c r="G520" s="2483">
        <f>SUM(G514:G519)</f>
        <v>608422.70446439704</v>
      </c>
      <c r="H520" s="2471">
        <f>SUM(H514:H519)</f>
        <v>0</v>
      </c>
      <c r="I520" s="2482">
        <f t="shared" si="78"/>
        <v>1033302.8899714467</v>
      </c>
      <c r="J520" s="2471">
        <f>SUM(J514:J519)</f>
        <v>0</v>
      </c>
      <c r="K520" s="2483">
        <f>SUM(K514:K519)</f>
        <v>0</v>
      </c>
      <c r="L520" s="2471">
        <f>SUM(L514:L519)</f>
        <v>0</v>
      </c>
      <c r="M520" s="2484">
        <f t="shared" si="80"/>
        <v>0</v>
      </c>
      <c r="N520" s="927"/>
      <c r="O520" s="922"/>
      <c r="P520" s="679"/>
      <c r="Q520" s="706"/>
      <c r="R520" s="179"/>
      <c r="S520" s="706"/>
      <c r="T520" s="708"/>
      <c r="U520" s="706"/>
      <c r="V520" s="706"/>
      <c r="W520" s="706"/>
      <c r="X520" s="706"/>
      <c r="Y520" s="706"/>
      <c r="Z520" s="706"/>
      <c r="AA520" s="706"/>
    </row>
    <row r="521" spans="2:27">
      <c r="B521" s="2460"/>
      <c r="C521" s="2461"/>
      <c r="D521" s="2481">
        <f t="shared" si="77"/>
        <v>0</v>
      </c>
      <c r="E521" s="2483"/>
      <c r="F521" s="2471"/>
      <c r="G521" s="2483"/>
      <c r="H521" s="2471"/>
      <c r="I521" s="2482">
        <f t="shared" si="78"/>
        <v>0</v>
      </c>
      <c r="J521" s="2471"/>
      <c r="K521" s="2483"/>
      <c r="L521" s="2471"/>
      <c r="M521" s="2484">
        <f t="shared" si="80"/>
        <v>0</v>
      </c>
      <c r="O521" s="922"/>
      <c r="P521" s="679"/>
      <c r="Q521" s="706"/>
      <c r="R521" s="179"/>
      <c r="S521" s="706"/>
      <c r="T521" s="708"/>
      <c r="U521" s="706"/>
      <c r="V521" s="706"/>
      <c r="W521" s="706"/>
      <c r="X521" s="706"/>
      <c r="Y521" s="706"/>
      <c r="Z521" s="706"/>
      <c r="AA521" s="706"/>
    </row>
    <row r="522" spans="2:27" ht="25.5">
      <c r="B522" s="2467" t="s">
        <v>352</v>
      </c>
      <c r="C522" s="2461"/>
      <c r="D522" s="2481">
        <f t="shared" si="77"/>
        <v>73284.954600000099</v>
      </c>
      <c r="E522" s="2483"/>
      <c r="F522" s="2471">
        <v>59537.805754229303</v>
      </c>
      <c r="G522" s="2483">
        <v>13747.1488457708</v>
      </c>
      <c r="H522" s="2471"/>
      <c r="I522" s="2482">
        <f t="shared" si="78"/>
        <v>73284.954600000099</v>
      </c>
      <c r="J522" s="2471"/>
      <c r="K522" s="2483"/>
      <c r="L522" s="2471"/>
      <c r="M522" s="2484">
        <f t="shared" si="80"/>
        <v>0</v>
      </c>
      <c r="N522" s="922"/>
      <c r="O522" s="922"/>
      <c r="P522" s="679"/>
      <c r="Q522" s="706"/>
      <c r="R522" s="179"/>
      <c r="S522" s="706"/>
      <c r="T522" s="708"/>
      <c r="U522" s="706"/>
      <c r="V522" s="706"/>
      <c r="W522" s="706"/>
      <c r="X522" s="706"/>
      <c r="Y522" s="706"/>
      <c r="Z522" s="706"/>
      <c r="AA522" s="706"/>
    </row>
    <row r="523" spans="2:27">
      <c r="B523" s="2460"/>
      <c r="C523" s="2461"/>
      <c r="D523" s="2481">
        <f t="shared" si="77"/>
        <v>0</v>
      </c>
      <c r="E523" s="2483"/>
      <c r="F523" s="2471"/>
      <c r="G523" s="2483"/>
      <c r="H523" s="2471"/>
      <c r="I523" s="2482">
        <f t="shared" si="78"/>
        <v>0</v>
      </c>
      <c r="J523" s="2471"/>
      <c r="K523" s="2483"/>
      <c r="L523" s="2471"/>
      <c r="M523" s="2484">
        <f t="shared" si="80"/>
        <v>0</v>
      </c>
      <c r="N523" s="922"/>
      <c r="O523" s="922"/>
      <c r="P523" s="679"/>
      <c r="Q523" s="706"/>
      <c r="R523" s="179"/>
      <c r="S523" s="706"/>
      <c r="T523" s="708"/>
      <c r="U523" s="706"/>
      <c r="V523" s="706"/>
      <c r="W523" s="706"/>
      <c r="X523" s="706"/>
      <c r="Y523" s="706"/>
      <c r="Z523" s="706"/>
      <c r="AA523" s="706"/>
    </row>
    <row r="524" spans="2:27" ht="12.75" customHeight="1">
      <c r="B524" s="2467" t="s">
        <v>353</v>
      </c>
      <c r="C524" s="2461">
        <v>4</v>
      </c>
      <c r="D524" s="2481">
        <f t="shared" si="77"/>
        <v>265431.94945999997</v>
      </c>
      <c r="E524" s="2483">
        <v>30208.663540000001</v>
      </c>
      <c r="F524" s="2471">
        <v>114572.8968416</v>
      </c>
      <c r="G524" s="2483">
        <v>120650.3890784</v>
      </c>
      <c r="H524" s="2471"/>
      <c r="I524" s="2482">
        <f t="shared" si="78"/>
        <v>235223.28591999999</v>
      </c>
      <c r="J524" s="2471"/>
      <c r="K524" s="2483"/>
      <c r="L524" s="2471"/>
      <c r="M524" s="2484">
        <f t="shared" si="80"/>
        <v>0</v>
      </c>
      <c r="N524" s="922"/>
      <c r="O524" s="922"/>
      <c r="P524" s="679"/>
      <c r="Q524" s="706"/>
      <c r="R524" s="179"/>
      <c r="S524" s="706"/>
      <c r="T524" s="708"/>
      <c r="U524" s="706"/>
      <c r="V524" s="706"/>
      <c r="W524" s="706"/>
      <c r="X524" s="706"/>
      <c r="Y524" s="706"/>
      <c r="Z524" s="706"/>
      <c r="AA524" s="706"/>
    </row>
    <row r="525" spans="2:27">
      <c r="B525" s="2460" t="s">
        <v>354</v>
      </c>
      <c r="C525" s="2461"/>
      <c r="D525" s="2481">
        <f t="shared" si="77"/>
        <v>0</v>
      </c>
      <c r="E525" s="2483"/>
      <c r="F525" s="2471"/>
      <c r="G525" s="2483"/>
      <c r="H525" s="2471"/>
      <c r="I525" s="2482">
        <f t="shared" si="78"/>
        <v>0</v>
      </c>
      <c r="J525" s="2471"/>
      <c r="K525" s="2483"/>
      <c r="L525" s="2471"/>
      <c r="M525" s="2484">
        <f t="shared" si="80"/>
        <v>0</v>
      </c>
      <c r="N525" s="922"/>
      <c r="O525" s="922"/>
      <c r="P525" s="679"/>
      <c r="Q525" s="706"/>
      <c r="R525" s="179"/>
      <c r="S525" s="706"/>
      <c r="T525" s="708"/>
      <c r="U525" s="706"/>
      <c r="V525" s="706"/>
      <c r="W525" s="706"/>
      <c r="X525" s="706"/>
      <c r="Y525" s="706"/>
      <c r="Z525" s="706"/>
      <c r="AA525" s="706"/>
    </row>
    <row r="526" spans="2:27">
      <c r="B526" s="2460" t="s">
        <v>355</v>
      </c>
      <c r="C526" s="2461"/>
      <c r="D526" s="2481">
        <f t="shared" si="77"/>
        <v>24159.943342400002</v>
      </c>
      <c r="E526" s="2483">
        <v>4001.547</v>
      </c>
      <c r="F526" s="2471">
        <v>273.0663424</v>
      </c>
      <c r="G526" s="2483">
        <v>19885.330000000002</v>
      </c>
      <c r="H526" s="2471"/>
      <c r="I526" s="2482">
        <f t="shared" si="78"/>
        <v>20158.396342400003</v>
      </c>
      <c r="J526" s="2471"/>
      <c r="K526" s="2483"/>
      <c r="L526" s="2471"/>
      <c r="M526" s="2484">
        <f t="shared" si="80"/>
        <v>0</v>
      </c>
      <c r="N526" s="922"/>
      <c r="O526" s="922"/>
      <c r="P526" s="679"/>
      <c r="Q526" s="706"/>
      <c r="R526" s="179"/>
      <c r="S526" s="706"/>
      <c r="T526" s="708"/>
      <c r="U526" s="706"/>
      <c r="V526" s="706"/>
      <c r="W526" s="706"/>
      <c r="X526" s="706"/>
      <c r="Y526" s="706"/>
      <c r="Z526" s="706"/>
      <c r="AA526" s="706"/>
    </row>
    <row r="527" spans="2:27">
      <c r="B527" s="2466" t="s">
        <v>356</v>
      </c>
      <c r="C527" s="2465"/>
      <c r="D527" s="2481">
        <f t="shared" si="77"/>
        <v>289591.89280239999</v>
      </c>
      <c r="E527" s="2483">
        <f>SUM(E524:E526)</f>
        <v>34210.21054</v>
      </c>
      <c r="F527" s="2471">
        <f>SUM(F524:F526)</f>
        <v>114845.96318399999</v>
      </c>
      <c r="G527" s="2483">
        <f>SUM(G524:G526)</f>
        <v>140535.7190784</v>
      </c>
      <c r="H527" s="2471">
        <f>SUM(H524:H526)</f>
        <v>0</v>
      </c>
      <c r="I527" s="2482">
        <f t="shared" si="78"/>
        <v>255381.68226239999</v>
      </c>
      <c r="J527" s="2471">
        <f>SUM(J524:J526)</f>
        <v>0</v>
      </c>
      <c r="K527" s="2483">
        <f>SUM(K524:K526)</f>
        <v>0</v>
      </c>
      <c r="L527" s="2471">
        <f>SUM(L524:L526)</f>
        <v>0</v>
      </c>
      <c r="M527" s="2484">
        <f t="shared" si="80"/>
        <v>0</v>
      </c>
      <c r="N527" s="927"/>
      <c r="O527" s="922"/>
      <c r="P527" s="679"/>
      <c r="Q527" s="706"/>
      <c r="R527" s="179"/>
      <c r="S527" s="706"/>
      <c r="T527" s="708"/>
      <c r="U527" s="706"/>
      <c r="V527" s="706"/>
      <c r="W527" s="706"/>
      <c r="X527" s="706"/>
      <c r="Y527" s="706"/>
      <c r="Z527" s="706"/>
      <c r="AA527" s="706"/>
    </row>
    <row r="528" spans="2:27">
      <c r="B528" s="2466"/>
      <c r="C528" s="2465"/>
      <c r="D528" s="2481">
        <f t="shared" si="77"/>
        <v>0</v>
      </c>
      <c r="E528" s="2483"/>
      <c r="F528" s="2471"/>
      <c r="G528" s="2483"/>
      <c r="H528" s="2471"/>
      <c r="I528" s="2482">
        <f t="shared" si="78"/>
        <v>0</v>
      </c>
      <c r="J528" s="2471"/>
      <c r="K528" s="2483"/>
      <c r="L528" s="2471"/>
      <c r="M528" s="2484">
        <f t="shared" si="80"/>
        <v>0</v>
      </c>
      <c r="O528" s="922"/>
      <c r="P528" s="679"/>
      <c r="Q528" s="706"/>
      <c r="R528" s="179"/>
      <c r="S528" s="706"/>
      <c r="T528" s="708"/>
      <c r="U528" s="706"/>
      <c r="V528" s="706"/>
      <c r="W528" s="706"/>
      <c r="X528" s="706"/>
      <c r="Y528" s="706"/>
      <c r="Z528" s="706"/>
      <c r="AA528" s="706"/>
    </row>
    <row r="529" spans="1:38">
      <c r="B529" s="2466" t="s">
        <v>357</v>
      </c>
      <c r="C529" s="2465"/>
      <c r="D529" s="2481">
        <f t="shared" si="77"/>
        <v>-371145.05977082701</v>
      </c>
      <c r="E529" s="2483">
        <f>E512-E520-E522-E527</f>
        <v>-3528.4378754363352</v>
      </c>
      <c r="F529" s="2471">
        <f>F512-F520-F522-F527</f>
        <v>-122411.81347955286</v>
      </c>
      <c r="G529" s="2483">
        <f>G512-G520-G522-G527</f>
        <v>-245204.80841583782</v>
      </c>
      <c r="H529" s="2471">
        <f>H512-H520-H522-H527</f>
        <v>0</v>
      </c>
      <c r="I529" s="2482">
        <f t="shared" si="78"/>
        <v>-367616.62189539068</v>
      </c>
      <c r="J529" s="2471">
        <f>J512-J520-J522-J527</f>
        <v>0</v>
      </c>
      <c r="K529" s="2483">
        <f>K512-K520-K522-K527</f>
        <v>0</v>
      </c>
      <c r="L529" s="2471">
        <f>L512-L520-L522-L527</f>
        <v>0</v>
      </c>
      <c r="M529" s="2484">
        <f t="shared" si="80"/>
        <v>0</v>
      </c>
      <c r="N529" s="927"/>
      <c r="O529" s="922"/>
      <c r="P529" s="679"/>
      <c r="Q529" s="706"/>
      <c r="R529" s="179"/>
      <c r="S529" s="706"/>
      <c r="T529" s="708"/>
      <c r="U529" s="706"/>
      <c r="V529" s="706"/>
      <c r="W529" s="706"/>
      <c r="X529" s="706"/>
      <c r="Y529" s="706"/>
      <c r="Z529" s="706"/>
      <c r="AA529" s="706"/>
    </row>
    <row r="530" spans="1:38">
      <c r="B530" s="2460" t="s">
        <v>358</v>
      </c>
      <c r="C530" s="2461"/>
      <c r="D530" s="2481">
        <f t="shared" si="77"/>
        <v>0</v>
      </c>
      <c r="E530" s="2483"/>
      <c r="F530" s="2471"/>
      <c r="G530" s="2483"/>
      <c r="H530" s="2471"/>
      <c r="I530" s="2482">
        <f t="shared" si="78"/>
        <v>0</v>
      </c>
      <c r="J530" s="2471"/>
      <c r="K530" s="2483"/>
      <c r="L530" s="2471"/>
      <c r="M530" s="2484">
        <f t="shared" si="80"/>
        <v>0</v>
      </c>
      <c r="N530" s="922"/>
      <c r="O530" s="922"/>
      <c r="P530" s="679"/>
      <c r="Q530" s="706"/>
      <c r="R530" s="179"/>
      <c r="S530" s="706"/>
      <c r="T530" s="708"/>
      <c r="U530" s="706"/>
      <c r="V530" s="706"/>
      <c r="W530" s="706"/>
      <c r="X530" s="706"/>
      <c r="Y530" s="706"/>
      <c r="Z530" s="706"/>
      <c r="AA530" s="706"/>
    </row>
    <row r="531" spans="1:38">
      <c r="B531" s="2460"/>
      <c r="C531" s="2461"/>
      <c r="D531" s="2481">
        <f t="shared" si="77"/>
        <v>0</v>
      </c>
      <c r="E531" s="2483"/>
      <c r="F531" s="2471"/>
      <c r="G531" s="2483"/>
      <c r="H531" s="2471"/>
      <c r="I531" s="2482">
        <f t="shared" si="78"/>
        <v>0</v>
      </c>
      <c r="J531" s="2471"/>
      <c r="K531" s="2483"/>
      <c r="L531" s="2471"/>
      <c r="M531" s="2484">
        <f t="shared" si="80"/>
        <v>0</v>
      </c>
      <c r="O531" s="922"/>
      <c r="P531" s="679"/>
      <c r="Q531" s="706"/>
      <c r="R531" s="179"/>
      <c r="S531" s="706"/>
      <c r="T531" s="708"/>
      <c r="U531" s="706"/>
      <c r="V531" s="706"/>
      <c r="W531" s="706"/>
      <c r="X531" s="706"/>
      <c r="Y531" s="706"/>
      <c r="Z531" s="706"/>
      <c r="AA531" s="706"/>
    </row>
    <row r="532" spans="1:38" ht="13.5" thickBot="1">
      <c r="B532" s="1602" t="s">
        <v>359</v>
      </c>
      <c r="C532" s="1603"/>
      <c r="D532" s="1614">
        <f t="shared" si="77"/>
        <v>-371145.05977082701</v>
      </c>
      <c r="E532" s="1640">
        <f>E529-E530</f>
        <v>-3528.4378754363352</v>
      </c>
      <c r="F532" s="1614">
        <f>F529-F530</f>
        <v>-122411.81347955286</v>
      </c>
      <c r="G532" s="1640">
        <f>G529-G530</f>
        <v>-245204.80841583782</v>
      </c>
      <c r="H532" s="1614">
        <f>H529-H530</f>
        <v>0</v>
      </c>
      <c r="I532" s="1640">
        <f t="shared" si="78"/>
        <v>-367616.62189539068</v>
      </c>
      <c r="J532" s="1614">
        <f>J529-J530</f>
        <v>0</v>
      </c>
      <c r="K532" s="1640">
        <f>K529-K530</f>
        <v>0</v>
      </c>
      <c r="L532" s="1614">
        <f>L529-L530</f>
        <v>0</v>
      </c>
      <c r="M532" s="1641">
        <f t="shared" si="80"/>
        <v>0</v>
      </c>
      <c r="N532" s="927"/>
      <c r="O532" s="922"/>
      <c r="P532" s="679"/>
      <c r="Q532" s="706"/>
      <c r="R532" s="179"/>
      <c r="S532" s="706"/>
      <c r="T532" s="708"/>
      <c r="U532" s="706"/>
      <c r="V532" s="706"/>
      <c r="W532" s="706"/>
      <c r="X532" s="706"/>
      <c r="Y532" s="706"/>
      <c r="Z532" s="706"/>
      <c r="AA532" s="706"/>
    </row>
    <row r="533" spans="1:38">
      <c r="R533" s="179"/>
      <c r="S533" s="699"/>
      <c r="T533" s="699"/>
      <c r="U533" s="699"/>
      <c r="V533" s="699"/>
      <c r="W533" s="699"/>
      <c r="X533" s="699"/>
      <c r="Y533" s="699"/>
      <c r="Z533" s="699"/>
      <c r="AA533" s="699"/>
    </row>
    <row r="534" spans="1:38">
      <c r="M534" s="912">
        <v>74</v>
      </c>
      <c r="R534" s="179"/>
      <c r="S534" s="699"/>
      <c r="T534" s="699"/>
      <c r="U534" s="699"/>
      <c r="V534" s="699"/>
      <c r="W534" s="699"/>
      <c r="X534" s="699"/>
      <c r="Y534" s="699"/>
      <c r="Z534" s="699"/>
      <c r="AA534" s="699"/>
    </row>
    <row r="535" spans="1:38" ht="14.25" customHeight="1">
      <c r="C535" s="937"/>
      <c r="R535" s="179"/>
      <c r="S535" s="699"/>
      <c r="T535" s="699"/>
      <c r="U535" s="699"/>
      <c r="V535" s="699"/>
      <c r="W535" s="699"/>
      <c r="X535" s="699"/>
      <c r="Y535" s="699"/>
      <c r="Z535" s="699"/>
      <c r="AA535" s="699"/>
    </row>
    <row r="536" spans="1:38" ht="14.25" customHeight="1" thickBot="1">
      <c r="A536" s="67"/>
      <c r="B536" s="67"/>
      <c r="C536" s="937"/>
      <c r="R536" s="179"/>
      <c r="S536" s="699"/>
      <c r="T536" s="699"/>
      <c r="U536" s="699"/>
      <c r="V536" s="699"/>
      <c r="W536" s="699"/>
      <c r="X536" s="699"/>
      <c r="Y536" s="699"/>
      <c r="Z536" s="699"/>
      <c r="AA536" s="699"/>
    </row>
    <row r="537" spans="1:38" ht="14.25" customHeight="1" thickBot="1">
      <c r="A537" s="1626" t="s">
        <v>133</v>
      </c>
      <c r="B537" s="1368" t="s">
        <v>107</v>
      </c>
      <c r="C537" s="937"/>
      <c r="L537" s="3538" t="s">
        <v>251</v>
      </c>
      <c r="M537" s="3538"/>
      <c r="R537" s="179"/>
      <c r="S537" s="699"/>
      <c r="T537" s="699"/>
      <c r="U537" s="699"/>
      <c r="V537" s="699"/>
      <c r="W537" s="699"/>
      <c r="X537" s="699"/>
      <c r="Y537" s="699"/>
      <c r="Z537" s="699"/>
      <c r="AA537" s="699"/>
    </row>
    <row r="538" spans="1:38" ht="12.75" customHeight="1" thickBot="1">
      <c r="B538" s="3578" t="s">
        <v>107</v>
      </c>
      <c r="C538" s="3523" t="s">
        <v>325</v>
      </c>
      <c r="D538" s="3518" t="s">
        <v>255</v>
      </c>
      <c r="E538" s="3518" t="s">
        <v>326</v>
      </c>
      <c r="F538" s="3574" t="s">
        <v>258</v>
      </c>
      <c r="G538" s="3574"/>
      <c r="H538" s="3574"/>
      <c r="I538" s="3574"/>
      <c r="J538" s="3574"/>
      <c r="K538" s="3574"/>
      <c r="L538" s="3574"/>
      <c r="M538" s="3574"/>
      <c r="R538" s="179"/>
      <c r="S538" s="699"/>
      <c r="T538" s="699"/>
      <c r="U538" s="699"/>
      <c r="V538" s="699"/>
      <c r="W538" s="699"/>
      <c r="X538" s="699"/>
      <c r="Y538" s="699"/>
      <c r="Z538" s="699"/>
      <c r="AA538" s="699"/>
    </row>
    <row r="539" spans="1:38" ht="12.75" customHeight="1">
      <c r="B539" s="3571"/>
      <c r="C539" s="3524"/>
      <c r="D539" s="3520"/>
      <c r="E539" s="3520"/>
      <c r="F539" s="3575" t="s">
        <v>259</v>
      </c>
      <c r="G539" s="3576"/>
      <c r="H539" s="3576"/>
      <c r="I539" s="3577"/>
      <c r="J539" s="3574" t="s">
        <v>327</v>
      </c>
      <c r="K539" s="3574"/>
      <c r="L539" s="3574"/>
      <c r="M539" s="3574"/>
      <c r="R539" s="179"/>
      <c r="S539" s="699"/>
      <c r="T539" s="699"/>
      <c r="U539" s="699"/>
      <c r="V539" s="699"/>
      <c r="W539" s="699"/>
      <c r="X539" s="699"/>
      <c r="Y539" s="699"/>
      <c r="Z539" s="699"/>
      <c r="AA539" s="699"/>
    </row>
    <row r="540" spans="1:38" ht="59.25" customHeight="1">
      <c r="B540" s="3571"/>
      <c r="C540" s="3524"/>
      <c r="D540" s="3519"/>
      <c r="E540" s="3519"/>
      <c r="F540" s="1339" t="s">
        <v>261</v>
      </c>
      <c r="G540" s="1339" t="s">
        <v>262</v>
      </c>
      <c r="H540" s="1339" t="s">
        <v>263</v>
      </c>
      <c r="I540" s="1339" t="s">
        <v>158</v>
      </c>
      <c r="J540" s="1588" t="s">
        <v>328</v>
      </c>
      <c r="K540" s="1588" t="s">
        <v>265</v>
      </c>
      <c r="L540" s="1588" t="s">
        <v>329</v>
      </c>
      <c r="M540" s="1588" t="s">
        <v>158</v>
      </c>
      <c r="O540" s="945"/>
      <c r="R540" s="179"/>
      <c r="S540" s="699"/>
      <c r="T540" s="699"/>
      <c r="U540" s="699"/>
      <c r="V540" s="699"/>
      <c r="W540" s="699"/>
      <c r="X540" s="699"/>
      <c r="Y540" s="699"/>
      <c r="Z540" s="699"/>
      <c r="AA540" s="699"/>
    </row>
    <row r="541" spans="1:38" ht="13.9" customHeight="1" thickBot="1">
      <c r="B541" s="3571"/>
      <c r="C541" s="3524"/>
      <c r="D541" s="1589">
        <v>1</v>
      </c>
      <c r="E541" s="3518">
        <v>2</v>
      </c>
      <c r="F541" s="3518">
        <v>3</v>
      </c>
      <c r="G541" s="3518">
        <v>4</v>
      </c>
      <c r="H541" s="3518">
        <v>5</v>
      </c>
      <c r="I541" s="1589">
        <v>6</v>
      </c>
      <c r="J541" s="3518">
        <v>7</v>
      </c>
      <c r="K541" s="3518">
        <v>8</v>
      </c>
      <c r="L541" s="3518">
        <v>9</v>
      </c>
      <c r="M541" s="1589">
        <v>10</v>
      </c>
      <c r="R541" s="179"/>
      <c r="S541" s="699"/>
      <c r="T541" s="699"/>
      <c r="U541" s="699"/>
      <c r="V541" s="699"/>
      <c r="W541" s="699"/>
      <c r="X541" s="699"/>
      <c r="Y541" s="699"/>
      <c r="Z541" s="699"/>
      <c r="AA541" s="699"/>
    </row>
    <row r="542" spans="1:38" ht="13.5" thickBot="1">
      <c r="B542" s="3572"/>
      <c r="C542" s="3525"/>
      <c r="D542" s="1590" t="s">
        <v>330</v>
      </c>
      <c r="E542" s="3519"/>
      <c r="F542" s="3519"/>
      <c r="G542" s="3519"/>
      <c r="H542" s="3519">
        <v>5</v>
      </c>
      <c r="I542" s="1590" t="s">
        <v>331</v>
      </c>
      <c r="J542" s="3520"/>
      <c r="K542" s="3519"/>
      <c r="L542" s="3519"/>
      <c r="M542" s="1590" t="s">
        <v>332</v>
      </c>
      <c r="N542" s="703"/>
      <c r="O542" s="703"/>
      <c r="R542" s="179"/>
      <c r="S542" s="699"/>
      <c r="T542" s="699"/>
      <c r="U542" s="699"/>
      <c r="V542" s="699"/>
      <c r="W542" s="699"/>
      <c r="X542" s="699"/>
      <c r="Y542" s="699"/>
      <c r="Z542" s="699"/>
      <c r="AA542" s="699"/>
    </row>
    <row r="543" spans="1:38">
      <c r="B543" s="1609" t="s">
        <v>333</v>
      </c>
      <c r="C543" s="952"/>
      <c r="D543" s="1592">
        <f t="shared" ref="D543:D550" si="81">E543+I543+M543</f>
        <v>3236480.3351400001</v>
      </c>
      <c r="E543" s="949"/>
      <c r="F543" s="947">
        <v>36714.428090000001</v>
      </c>
      <c r="G543" s="949">
        <v>1472793.9382</v>
      </c>
      <c r="H543" s="947">
        <v>1726971.9688499998</v>
      </c>
      <c r="I543" s="1636">
        <f t="shared" ref="I543:I580" si="82">F543+G543+H543</f>
        <v>3236480.3351400001</v>
      </c>
      <c r="J543" s="947"/>
      <c r="K543" s="949"/>
      <c r="L543" s="947"/>
      <c r="M543" s="1637">
        <f t="shared" ref="M543:M560" si="83">L543+K543+J543</f>
        <v>0</v>
      </c>
      <c r="N543" s="922"/>
      <c r="O543" s="922"/>
      <c r="P543" s="679"/>
      <c r="Q543" s="706"/>
      <c r="R543" s="109"/>
      <c r="S543" s="706"/>
      <c r="T543" s="708"/>
      <c r="U543" s="706"/>
      <c r="V543" s="706"/>
      <c r="W543" s="706"/>
      <c r="X543" s="706"/>
      <c r="Y543" s="706"/>
      <c r="Z543" s="706"/>
      <c r="AA543" s="706"/>
      <c r="AC543" s="705"/>
      <c r="AD543" s="705"/>
      <c r="AE543" s="705"/>
      <c r="AF543" s="705"/>
      <c r="AG543" s="705"/>
      <c r="AH543" s="705"/>
      <c r="AI543" s="705"/>
      <c r="AJ543" s="705"/>
      <c r="AK543" s="705"/>
      <c r="AL543" s="705"/>
    </row>
    <row r="544" spans="1:38">
      <c r="B544" s="2468"/>
      <c r="C544" s="2540"/>
      <c r="D544" s="2481">
        <f t="shared" si="81"/>
        <v>0</v>
      </c>
      <c r="E544" s="2528"/>
      <c r="F544" s="2529"/>
      <c r="G544" s="2528"/>
      <c r="H544" s="2529"/>
      <c r="I544" s="2499">
        <f t="shared" si="82"/>
        <v>0</v>
      </c>
      <c r="J544" s="2529"/>
      <c r="K544" s="2528"/>
      <c r="L544" s="2529"/>
      <c r="M544" s="2500">
        <f t="shared" si="83"/>
        <v>0</v>
      </c>
      <c r="O544" s="922"/>
      <c r="P544" s="679"/>
      <c r="Q544" s="706"/>
      <c r="R544" s="109"/>
      <c r="S544" s="706"/>
      <c r="T544" s="708"/>
      <c r="U544" s="706"/>
      <c r="V544" s="706"/>
      <c r="W544" s="706"/>
      <c r="X544" s="706"/>
      <c r="Y544" s="706"/>
      <c r="Z544" s="706"/>
      <c r="AA544" s="706"/>
      <c r="AC544" s="705"/>
      <c r="AD544" s="705"/>
      <c r="AE544" s="705"/>
      <c r="AF544" s="705"/>
      <c r="AG544" s="705"/>
      <c r="AH544" s="705"/>
      <c r="AI544" s="705"/>
      <c r="AJ544" s="705"/>
      <c r="AK544" s="705"/>
      <c r="AL544" s="705"/>
    </row>
    <row r="545" spans="2:38">
      <c r="B545" s="2473" t="s">
        <v>334</v>
      </c>
      <c r="C545" s="2540"/>
      <c r="D545" s="2481">
        <f t="shared" si="81"/>
        <v>217738.77967999998</v>
      </c>
      <c r="E545" s="2528"/>
      <c r="F545" s="2529">
        <v>1561.5541900000001</v>
      </c>
      <c r="G545" s="2528">
        <v>140671.18458</v>
      </c>
      <c r="H545" s="2529">
        <v>75506.040909999996</v>
      </c>
      <c r="I545" s="2499">
        <f t="shared" si="82"/>
        <v>217738.77967999998</v>
      </c>
      <c r="J545" s="2529"/>
      <c r="K545" s="2528"/>
      <c r="L545" s="2529"/>
      <c r="M545" s="2500">
        <f t="shared" si="83"/>
        <v>0</v>
      </c>
      <c r="N545" s="922"/>
      <c r="O545" s="922"/>
      <c r="P545" s="679"/>
      <c r="Q545" s="706"/>
      <c r="R545" s="109"/>
      <c r="S545" s="706"/>
      <c r="T545" s="708"/>
      <c r="U545" s="706"/>
      <c r="V545" s="706"/>
      <c r="W545" s="706"/>
      <c r="X545" s="706"/>
      <c r="Y545" s="706"/>
      <c r="Z545" s="706"/>
      <c r="AA545" s="706"/>
      <c r="AC545" s="705"/>
      <c r="AD545" s="705"/>
      <c r="AE545" s="705"/>
      <c r="AF545" s="705"/>
      <c r="AG545" s="705"/>
      <c r="AH545" s="705"/>
      <c r="AI545" s="705"/>
      <c r="AJ545" s="705"/>
      <c r="AK545" s="705"/>
      <c r="AL545" s="705"/>
    </row>
    <row r="546" spans="2:38">
      <c r="B546" s="2473"/>
      <c r="C546" s="2540"/>
      <c r="D546" s="2481">
        <f t="shared" si="81"/>
        <v>0</v>
      </c>
      <c r="E546" s="2528"/>
      <c r="F546" s="2529"/>
      <c r="G546" s="2528"/>
      <c r="H546" s="2529"/>
      <c r="I546" s="2499">
        <f t="shared" si="82"/>
        <v>0</v>
      </c>
      <c r="J546" s="2529"/>
      <c r="K546" s="2528"/>
      <c r="L546" s="2529"/>
      <c r="M546" s="2500">
        <f t="shared" si="83"/>
        <v>0</v>
      </c>
      <c r="O546" s="922"/>
      <c r="P546" s="679"/>
      <c r="Q546" s="706"/>
      <c r="R546" s="109"/>
      <c r="S546" s="706"/>
      <c r="T546" s="708"/>
      <c r="U546" s="706"/>
      <c r="V546" s="706"/>
      <c r="W546" s="706"/>
      <c r="X546" s="706"/>
      <c r="Y546" s="706"/>
      <c r="Z546" s="706"/>
      <c r="AA546" s="706"/>
      <c r="AC546" s="705"/>
      <c r="AD546" s="705"/>
      <c r="AE546" s="705"/>
      <c r="AF546" s="705"/>
      <c r="AG546" s="705"/>
      <c r="AH546" s="705"/>
      <c r="AI546" s="705"/>
      <c r="AJ546" s="705"/>
      <c r="AK546" s="705"/>
      <c r="AL546" s="705"/>
    </row>
    <row r="547" spans="2:38" ht="12.75" customHeight="1">
      <c r="B547" s="2474" t="s">
        <v>335</v>
      </c>
      <c r="C547" s="2540"/>
      <c r="D547" s="2481">
        <f t="shared" si="81"/>
        <v>0</v>
      </c>
      <c r="E547" s="2528"/>
      <c r="F547" s="2529"/>
      <c r="G547" s="2528"/>
      <c r="H547" s="2529"/>
      <c r="I547" s="2499">
        <f t="shared" si="82"/>
        <v>0</v>
      </c>
      <c r="J547" s="2529"/>
      <c r="K547" s="2528"/>
      <c r="L547" s="2529"/>
      <c r="M547" s="2500">
        <f t="shared" si="83"/>
        <v>0</v>
      </c>
      <c r="N547" s="922"/>
      <c r="O547" s="922"/>
      <c r="P547" s="679"/>
      <c r="Q547" s="706"/>
      <c r="R547" s="109"/>
      <c r="S547" s="706"/>
      <c r="T547" s="708"/>
      <c r="U547" s="706"/>
      <c r="V547" s="706"/>
      <c r="W547" s="706"/>
      <c r="X547" s="706"/>
      <c r="Y547" s="706"/>
      <c r="Z547" s="706"/>
      <c r="AA547" s="706"/>
      <c r="AC547" s="705"/>
      <c r="AD547" s="705"/>
      <c r="AE547" s="705"/>
      <c r="AF547" s="705"/>
      <c r="AG547" s="705"/>
      <c r="AH547" s="705"/>
      <c r="AI547" s="705"/>
      <c r="AJ547" s="705"/>
      <c r="AK547" s="705"/>
      <c r="AL547" s="705"/>
    </row>
    <row r="548" spans="2:38">
      <c r="B548" s="2468"/>
      <c r="C548" s="2540"/>
      <c r="D548" s="2481">
        <f t="shared" si="81"/>
        <v>0</v>
      </c>
      <c r="E548" s="2528"/>
      <c r="F548" s="2529"/>
      <c r="G548" s="2528"/>
      <c r="H548" s="2529"/>
      <c r="I548" s="2499">
        <f t="shared" si="82"/>
        <v>0</v>
      </c>
      <c r="J548" s="2529"/>
      <c r="K548" s="2528"/>
      <c r="L548" s="2529"/>
      <c r="M548" s="2500">
        <f t="shared" si="83"/>
        <v>0</v>
      </c>
      <c r="O548" s="922"/>
      <c r="P548" s="679"/>
      <c r="Q548" s="706"/>
      <c r="R548" s="109"/>
      <c r="S548" s="706"/>
      <c r="T548" s="708"/>
      <c r="U548" s="706"/>
      <c r="V548" s="706"/>
      <c r="W548" s="706"/>
      <c r="X548" s="706"/>
      <c r="Y548" s="706"/>
      <c r="Z548" s="706"/>
      <c r="AA548" s="706"/>
      <c r="AC548" s="705"/>
      <c r="AD548" s="705"/>
      <c r="AE548" s="705"/>
      <c r="AF548" s="705"/>
      <c r="AG548" s="705"/>
      <c r="AH548" s="705"/>
      <c r="AI548" s="705"/>
      <c r="AJ548" s="705"/>
      <c r="AK548" s="705"/>
      <c r="AL548" s="705"/>
    </row>
    <row r="549" spans="2:38">
      <c r="B549" s="2475" t="s">
        <v>336</v>
      </c>
      <c r="C549" s="2541"/>
      <c r="D549" s="2481">
        <f t="shared" si="81"/>
        <v>3018741.5554599999</v>
      </c>
      <c r="E549" s="2528">
        <f>E543-E545+E547</f>
        <v>0</v>
      </c>
      <c r="F549" s="2529">
        <f>F543-F545+F547</f>
        <v>35152.873899999999</v>
      </c>
      <c r="G549" s="2528">
        <f>G543-G545+G547</f>
        <v>1332122.7536200001</v>
      </c>
      <c r="H549" s="2529">
        <f>H543-H545+H547</f>
        <v>1651465.9279399998</v>
      </c>
      <c r="I549" s="2499">
        <f t="shared" si="82"/>
        <v>3018741.5554599999</v>
      </c>
      <c r="J549" s="2529">
        <f>J543-J545+J547</f>
        <v>0</v>
      </c>
      <c r="K549" s="2528">
        <f>K543-K545+K547</f>
        <v>0</v>
      </c>
      <c r="L549" s="2529">
        <f>L543-L545+L547</f>
        <v>0</v>
      </c>
      <c r="M549" s="2500">
        <f t="shared" si="83"/>
        <v>0</v>
      </c>
      <c r="N549" s="927"/>
      <c r="O549" s="922"/>
      <c r="P549" s="679"/>
      <c r="Q549" s="706"/>
      <c r="R549" s="313"/>
      <c r="S549" s="706"/>
      <c r="T549" s="708"/>
      <c r="U549" s="706"/>
      <c r="V549" s="706"/>
      <c r="W549" s="706"/>
      <c r="X549" s="706"/>
      <c r="Y549" s="706"/>
      <c r="Z549" s="706"/>
      <c r="AA549" s="706"/>
      <c r="AC549" s="705"/>
      <c r="AD549" s="705"/>
      <c r="AE549" s="705"/>
      <c r="AF549" s="705"/>
      <c r="AG549" s="705"/>
      <c r="AH549" s="705"/>
      <c r="AI549" s="705"/>
      <c r="AJ549" s="705"/>
      <c r="AK549" s="705"/>
      <c r="AL549" s="705"/>
    </row>
    <row r="550" spans="2:38">
      <c r="B550" s="2475"/>
      <c r="C550" s="2541"/>
      <c r="D550" s="2481">
        <f t="shared" si="81"/>
        <v>0</v>
      </c>
      <c r="E550" s="2528"/>
      <c r="F550" s="2529"/>
      <c r="G550" s="2528"/>
      <c r="H550" s="2529"/>
      <c r="I550" s="2499">
        <f t="shared" si="82"/>
        <v>0</v>
      </c>
      <c r="J550" s="2529"/>
      <c r="K550" s="2528"/>
      <c r="L550" s="2529"/>
      <c r="M550" s="2500">
        <f t="shared" si="83"/>
        <v>0</v>
      </c>
      <c r="O550" s="922"/>
      <c r="P550" s="679"/>
      <c r="Q550" s="706"/>
      <c r="R550" s="109"/>
      <c r="S550" s="706"/>
      <c r="T550" s="708"/>
      <c r="U550" s="706"/>
      <c r="V550" s="706"/>
      <c r="W550" s="706"/>
      <c r="X550" s="706"/>
      <c r="Y550" s="706"/>
      <c r="Z550" s="706"/>
      <c r="AA550" s="706"/>
      <c r="AC550" s="705"/>
      <c r="AD550" s="705"/>
      <c r="AE550" s="705"/>
      <c r="AF550" s="705"/>
      <c r="AG550" s="705"/>
      <c r="AH550" s="705"/>
      <c r="AI550" s="705"/>
      <c r="AJ550" s="705"/>
      <c r="AK550" s="705"/>
      <c r="AL550" s="705"/>
    </row>
    <row r="551" spans="2:38">
      <c r="B551" s="2475" t="s">
        <v>337</v>
      </c>
      <c r="C551" s="2541"/>
      <c r="D551" s="2481">
        <f>SUM(D552:D556)</f>
        <v>588355.93328</v>
      </c>
      <c r="E551" s="2528">
        <f>SUM(E552:E556)</f>
        <v>134457.93037999998</v>
      </c>
      <c r="F551" s="2529">
        <f>SUM(F552:F556)</f>
        <v>22174.987438168122</v>
      </c>
      <c r="G551" s="2528">
        <f>SUM(G552:G556)</f>
        <v>274743.74283213099</v>
      </c>
      <c r="H551" s="2529">
        <f>SUM(H552:H556)</f>
        <v>156979.27262970089</v>
      </c>
      <c r="I551" s="2499">
        <f t="shared" si="82"/>
        <v>453898.00290000002</v>
      </c>
      <c r="J551" s="2529">
        <f>SUM(J552:J556)</f>
        <v>0</v>
      </c>
      <c r="K551" s="2528">
        <f>SUM(K552:K556)</f>
        <v>0</v>
      </c>
      <c r="L551" s="2529">
        <f>SUM(L552:L556)</f>
        <v>0</v>
      </c>
      <c r="M551" s="2500">
        <f t="shared" si="83"/>
        <v>0</v>
      </c>
      <c r="N551" s="927"/>
      <c r="O551" s="922"/>
      <c r="P551" s="679"/>
      <c r="Q551" s="706"/>
      <c r="R551" s="313"/>
      <c r="S551" s="706"/>
      <c r="T551" s="708"/>
      <c r="U551" s="706"/>
      <c r="V551" s="706"/>
      <c r="W551" s="706"/>
      <c r="X551" s="706"/>
      <c r="Y551" s="706"/>
      <c r="Z551" s="706"/>
      <c r="AA551" s="706"/>
      <c r="AC551" s="705"/>
      <c r="AD551" s="705"/>
      <c r="AE551" s="705"/>
      <c r="AF551" s="705"/>
      <c r="AG551" s="705"/>
      <c r="AH551" s="705"/>
      <c r="AI551" s="705"/>
      <c r="AJ551" s="705"/>
      <c r="AK551" s="705"/>
      <c r="AL551" s="705"/>
    </row>
    <row r="552" spans="2:38">
      <c r="B552" s="2468" t="s">
        <v>338</v>
      </c>
      <c r="C552" s="2540">
        <v>1</v>
      </c>
      <c r="D552" s="2481">
        <f t="shared" ref="D552:D580" si="84">E552+I552+M552</f>
        <v>533353.28453000006</v>
      </c>
      <c r="E552" s="2528">
        <v>105427.66381999999</v>
      </c>
      <c r="F552" s="2529">
        <v>20039.746324799988</v>
      </c>
      <c r="G552" s="2528">
        <v>266956.46194444009</v>
      </c>
      <c r="H552" s="2529">
        <v>140929.41244075992</v>
      </c>
      <c r="I552" s="2499">
        <f t="shared" si="82"/>
        <v>427925.62071000005</v>
      </c>
      <c r="J552" s="2529"/>
      <c r="K552" s="2528"/>
      <c r="L552" s="2529"/>
      <c r="M552" s="2500">
        <f t="shared" si="83"/>
        <v>0</v>
      </c>
      <c r="N552" s="922"/>
      <c r="O552" s="922"/>
      <c r="P552" s="679"/>
      <c r="Q552" s="706"/>
      <c r="R552" s="109"/>
      <c r="S552" s="706"/>
      <c r="T552" s="708"/>
      <c r="U552" s="706"/>
      <c r="V552" s="706"/>
      <c r="W552" s="706"/>
      <c r="X552" s="706"/>
      <c r="Y552" s="706"/>
      <c r="Z552" s="706"/>
      <c r="AA552" s="706"/>
      <c r="AC552" s="705"/>
      <c r="AD552" s="705"/>
      <c r="AE552" s="705"/>
      <c r="AF552" s="705"/>
      <c r="AG552" s="705"/>
      <c r="AH552" s="705"/>
      <c r="AI552" s="705"/>
      <c r="AJ552" s="705"/>
      <c r="AK552" s="705"/>
      <c r="AL552" s="705"/>
    </row>
    <row r="553" spans="2:38">
      <c r="B553" s="2468" t="s">
        <v>339</v>
      </c>
      <c r="C553" s="2540">
        <v>2</v>
      </c>
      <c r="D553" s="2481">
        <f t="shared" si="84"/>
        <v>22671.493439999998</v>
      </c>
      <c r="E553" s="2528">
        <v>22671.493439999998</v>
      </c>
      <c r="F553" s="2529"/>
      <c r="G553" s="2528"/>
      <c r="H553" s="2529"/>
      <c r="I553" s="2499">
        <f t="shared" si="82"/>
        <v>0</v>
      </c>
      <c r="J553" s="2529"/>
      <c r="K553" s="2528"/>
      <c r="L553" s="2529"/>
      <c r="M553" s="2500">
        <f t="shared" si="83"/>
        <v>0</v>
      </c>
      <c r="N553" s="922"/>
      <c r="O553" s="922"/>
      <c r="P553" s="679"/>
      <c r="Q553" s="706"/>
      <c r="R553" s="109"/>
      <c r="S553" s="706"/>
      <c r="T553" s="708"/>
      <c r="U553" s="706"/>
      <c r="V553" s="706"/>
      <c r="W553" s="706"/>
      <c r="X553" s="706"/>
      <c r="Y553" s="706"/>
      <c r="Z553" s="706"/>
      <c r="AA553" s="706"/>
      <c r="AC553" s="705"/>
      <c r="AD553" s="705"/>
      <c r="AE553" s="705"/>
      <c r="AF553" s="705"/>
      <c r="AG553" s="705"/>
      <c r="AH553" s="705"/>
      <c r="AI553" s="705"/>
      <c r="AJ553" s="705"/>
      <c r="AK553" s="705"/>
      <c r="AL553" s="705"/>
    </row>
    <row r="554" spans="2:38">
      <c r="B554" s="2468" t="s">
        <v>340</v>
      </c>
      <c r="C554" s="2540"/>
      <c r="D554" s="2481">
        <f t="shared" si="84"/>
        <v>0</v>
      </c>
      <c r="E554" s="2528"/>
      <c r="F554" s="2529"/>
      <c r="G554" s="2528"/>
      <c r="H554" s="2529"/>
      <c r="I554" s="2499">
        <f t="shared" si="82"/>
        <v>0</v>
      </c>
      <c r="J554" s="2529"/>
      <c r="K554" s="2528"/>
      <c r="L554" s="2529"/>
      <c r="M554" s="2500">
        <f t="shared" si="83"/>
        <v>0</v>
      </c>
      <c r="N554" s="922"/>
      <c r="O554" s="922"/>
      <c r="P554" s="679"/>
      <c r="Q554" s="706"/>
      <c r="R554" s="109"/>
      <c r="S554" s="706"/>
      <c r="T554" s="708"/>
      <c r="U554" s="706"/>
      <c r="V554" s="706"/>
      <c r="W554" s="706"/>
      <c r="X554" s="706"/>
      <c r="Y554" s="706"/>
      <c r="Z554" s="706"/>
      <c r="AA554" s="706"/>
      <c r="AC554" s="705"/>
      <c r="AD554" s="705"/>
      <c r="AE554" s="705"/>
      <c r="AF554" s="705"/>
      <c r="AG554" s="705"/>
      <c r="AH554" s="705"/>
      <c r="AI554" s="705"/>
      <c r="AJ554" s="705"/>
      <c r="AK554" s="705"/>
      <c r="AL554" s="705"/>
    </row>
    <row r="555" spans="2:38">
      <c r="B555" s="2468" t="s">
        <v>341</v>
      </c>
      <c r="C555" s="2540"/>
      <c r="D555" s="2481">
        <f t="shared" si="84"/>
        <v>0</v>
      </c>
      <c r="E555" s="2528"/>
      <c r="F555" s="2529"/>
      <c r="G555" s="2528"/>
      <c r="H555" s="2529"/>
      <c r="I555" s="2499">
        <f t="shared" si="82"/>
        <v>0</v>
      </c>
      <c r="J555" s="2529"/>
      <c r="K555" s="2528"/>
      <c r="L555" s="2529"/>
      <c r="M555" s="2500">
        <f t="shared" si="83"/>
        <v>0</v>
      </c>
      <c r="N555" s="922"/>
      <c r="O555" s="922"/>
      <c r="P555" s="679"/>
      <c r="Q555" s="706"/>
      <c r="R555" s="109"/>
      <c r="S555" s="706"/>
      <c r="T555" s="708"/>
      <c r="U555" s="706"/>
      <c r="V555" s="706"/>
      <c r="W555" s="706"/>
      <c r="X555" s="706"/>
      <c r="Y555" s="706"/>
      <c r="Z555" s="706"/>
      <c r="AA555" s="706"/>
      <c r="AC555" s="705"/>
      <c r="AD555" s="705"/>
      <c r="AE555" s="705"/>
      <c r="AF555" s="705"/>
      <c r="AG555" s="705"/>
      <c r="AH555" s="705"/>
      <c r="AI555" s="705"/>
      <c r="AJ555" s="705"/>
      <c r="AK555" s="705"/>
      <c r="AL555" s="705"/>
    </row>
    <row r="556" spans="2:38">
      <c r="B556" s="2468" t="s">
        <v>342</v>
      </c>
      <c r="C556" s="2540">
        <v>3</v>
      </c>
      <c r="D556" s="2481">
        <f t="shared" si="84"/>
        <v>32331.155310000002</v>
      </c>
      <c r="E556" s="2528">
        <v>6358.7731199999998</v>
      </c>
      <c r="F556" s="2529">
        <v>2135.241113368133</v>
      </c>
      <c r="G556" s="2528">
        <v>7787.2808876908848</v>
      </c>
      <c r="H556" s="2529">
        <v>16049.860188940982</v>
      </c>
      <c r="I556" s="2499">
        <f t="shared" si="82"/>
        <v>25972.38219</v>
      </c>
      <c r="J556" s="2529"/>
      <c r="K556" s="2528"/>
      <c r="L556" s="2529"/>
      <c r="M556" s="2500">
        <f t="shared" si="83"/>
        <v>0</v>
      </c>
      <c r="N556" s="922"/>
      <c r="O556" s="922"/>
      <c r="P556" s="679"/>
      <c r="Q556" s="706"/>
      <c r="R556" s="109"/>
      <c r="S556" s="706"/>
      <c r="T556" s="708"/>
      <c r="U556" s="706"/>
      <c r="V556" s="706"/>
      <c r="W556" s="706"/>
      <c r="X556" s="706"/>
      <c r="Y556" s="706"/>
      <c r="Z556" s="706"/>
      <c r="AA556" s="706"/>
      <c r="AC556" s="705"/>
      <c r="AD556" s="705"/>
      <c r="AE556" s="705"/>
      <c r="AF556" s="705"/>
      <c r="AG556" s="705"/>
      <c r="AH556" s="705"/>
      <c r="AI556" s="705"/>
      <c r="AJ556" s="705"/>
      <c r="AK556" s="705"/>
      <c r="AL556" s="705"/>
    </row>
    <row r="557" spans="2:38">
      <c r="B557" s="2468" t="s">
        <v>343</v>
      </c>
      <c r="C557" s="2540"/>
      <c r="D557" s="2481">
        <f t="shared" si="84"/>
        <v>0</v>
      </c>
      <c r="E557" s="2528"/>
      <c r="F557" s="2529"/>
      <c r="G557" s="2528"/>
      <c r="H557" s="2529"/>
      <c r="I557" s="2499">
        <f t="shared" si="82"/>
        <v>0</v>
      </c>
      <c r="J557" s="2529"/>
      <c r="K557" s="2528"/>
      <c r="L557" s="2529"/>
      <c r="M557" s="2500">
        <f t="shared" si="83"/>
        <v>0</v>
      </c>
      <c r="O557" s="922"/>
      <c r="P557" s="679"/>
      <c r="Q557" s="706"/>
      <c r="R557" s="109"/>
      <c r="S557" s="706"/>
      <c r="T557" s="708"/>
      <c r="U557" s="706"/>
      <c r="V557" s="706"/>
      <c r="W557" s="706"/>
      <c r="X557" s="706"/>
      <c r="Y557" s="706"/>
      <c r="Z557" s="706"/>
      <c r="AA557" s="706"/>
      <c r="AC557" s="705"/>
      <c r="AD557" s="705"/>
      <c r="AE557" s="705"/>
      <c r="AF557" s="705"/>
      <c r="AG557" s="705"/>
      <c r="AH557" s="705"/>
      <c r="AI557" s="705"/>
      <c r="AJ557" s="705"/>
      <c r="AK557" s="705"/>
      <c r="AL557" s="705"/>
    </row>
    <row r="558" spans="2:38">
      <c r="B558" s="2468" t="s">
        <v>343</v>
      </c>
      <c r="C558" s="2540"/>
      <c r="D558" s="2481">
        <f t="shared" si="84"/>
        <v>0</v>
      </c>
      <c r="E558" s="2528"/>
      <c r="F558" s="2529"/>
      <c r="G558" s="2528"/>
      <c r="H558" s="2529"/>
      <c r="I558" s="2499">
        <f t="shared" si="82"/>
        <v>0</v>
      </c>
      <c r="J558" s="2529"/>
      <c r="K558" s="2528"/>
      <c r="L558" s="2529"/>
      <c r="M558" s="2500">
        <f t="shared" si="83"/>
        <v>0</v>
      </c>
      <c r="O558" s="922"/>
      <c r="P558" s="679"/>
      <c r="Q558" s="706"/>
      <c r="R558" s="109"/>
      <c r="S558" s="706"/>
      <c r="T558" s="708"/>
      <c r="U558" s="706"/>
      <c r="V558" s="706"/>
      <c r="W558" s="706"/>
      <c r="X558" s="706"/>
      <c r="Y558" s="706"/>
      <c r="Z558" s="706"/>
      <c r="AA558" s="706"/>
      <c r="AC558" s="705"/>
      <c r="AD558" s="705"/>
      <c r="AE558" s="705"/>
      <c r="AF558" s="705"/>
      <c r="AG558" s="705"/>
      <c r="AH558" s="705"/>
      <c r="AI558" s="705"/>
      <c r="AJ558" s="705"/>
      <c r="AK558" s="705"/>
      <c r="AL558" s="705"/>
    </row>
    <row r="559" spans="2:38">
      <c r="B559" s="2468"/>
      <c r="C559" s="2540"/>
      <c r="D559" s="2481">
        <f t="shared" si="84"/>
        <v>0</v>
      </c>
      <c r="E559" s="2528"/>
      <c r="F559" s="2529"/>
      <c r="G559" s="2528"/>
      <c r="H559" s="2529"/>
      <c r="I559" s="2499">
        <f t="shared" si="82"/>
        <v>0</v>
      </c>
      <c r="J559" s="2529"/>
      <c r="K559" s="2528"/>
      <c r="L559" s="2529"/>
      <c r="M559" s="2500">
        <f t="shared" si="83"/>
        <v>0</v>
      </c>
      <c r="O559" s="922"/>
      <c r="P559" s="679"/>
      <c r="Q559" s="706"/>
      <c r="R559" s="109"/>
      <c r="S559" s="706"/>
      <c r="T559" s="708"/>
      <c r="U559" s="706"/>
      <c r="V559" s="706"/>
      <c r="W559" s="706"/>
      <c r="X559" s="706"/>
      <c r="Y559" s="706"/>
      <c r="Z559" s="706"/>
      <c r="AA559" s="706"/>
      <c r="AC559" s="705"/>
      <c r="AD559" s="705"/>
      <c r="AE559" s="705"/>
      <c r="AF559" s="705"/>
      <c r="AG559" s="705"/>
      <c r="AH559" s="705"/>
      <c r="AI559" s="705"/>
      <c r="AJ559" s="705"/>
      <c r="AK559" s="705"/>
      <c r="AL559" s="705"/>
    </row>
    <row r="560" spans="2:38">
      <c r="B560" s="2478" t="s">
        <v>344</v>
      </c>
      <c r="C560" s="2541"/>
      <c r="D560" s="2481">
        <f t="shared" si="84"/>
        <v>3607097.4887399999</v>
      </c>
      <c r="E560" s="2528">
        <f>E549+E551</f>
        <v>134457.93037999998</v>
      </c>
      <c r="F560" s="2529">
        <f>F549+F551</f>
        <v>57327.861338168121</v>
      </c>
      <c r="G560" s="2528">
        <f>G549+G551</f>
        <v>1606866.4964521311</v>
      </c>
      <c r="H560" s="2529">
        <f>H549+H551</f>
        <v>1808445.2005697007</v>
      </c>
      <c r="I560" s="2499">
        <f t="shared" si="82"/>
        <v>3472639.5583600001</v>
      </c>
      <c r="J560" s="2529">
        <f>J549+J551</f>
        <v>0</v>
      </c>
      <c r="K560" s="2528">
        <f>K549+K551</f>
        <v>0</v>
      </c>
      <c r="L560" s="2529">
        <f>L549+L551</f>
        <v>0</v>
      </c>
      <c r="M560" s="2500">
        <f t="shared" si="83"/>
        <v>0</v>
      </c>
      <c r="N560" s="927"/>
      <c r="O560" s="922"/>
      <c r="P560" s="679"/>
      <c r="Q560" s="706"/>
      <c r="R560" s="313"/>
      <c r="S560" s="706"/>
      <c r="T560" s="708"/>
      <c r="U560" s="706"/>
      <c r="V560" s="706"/>
      <c r="W560" s="706"/>
      <c r="X560" s="706"/>
      <c r="Y560" s="706"/>
      <c r="Z560" s="706"/>
      <c r="AA560" s="706"/>
      <c r="AC560" s="705"/>
      <c r="AD560" s="705"/>
      <c r="AE560" s="705"/>
      <c r="AF560" s="705"/>
      <c r="AG560" s="705"/>
      <c r="AH560" s="705"/>
      <c r="AI560" s="705"/>
      <c r="AJ560" s="705"/>
      <c r="AK560" s="705"/>
      <c r="AL560" s="705"/>
    </row>
    <row r="561" spans="1:38">
      <c r="B561" s="2478"/>
      <c r="C561" s="2541"/>
      <c r="D561" s="2481">
        <f t="shared" si="84"/>
        <v>0</v>
      </c>
      <c r="E561" s="2528"/>
      <c r="F561" s="2529"/>
      <c r="G561" s="2528"/>
      <c r="H561" s="2529"/>
      <c r="I561" s="2499">
        <f t="shared" si="82"/>
        <v>0</v>
      </c>
      <c r="J561" s="2529"/>
      <c r="K561" s="2528"/>
      <c r="L561" s="2529"/>
      <c r="M561" s="2500"/>
      <c r="O561" s="922"/>
      <c r="P561" s="679"/>
      <c r="Q561" s="706"/>
      <c r="R561" s="109"/>
      <c r="S561" s="706"/>
      <c r="T561" s="708"/>
      <c r="U561" s="706"/>
      <c r="V561" s="706"/>
      <c r="W561" s="706"/>
      <c r="X561" s="706"/>
      <c r="Y561" s="706"/>
      <c r="Z561" s="706"/>
      <c r="AA561" s="706"/>
      <c r="AC561" s="705"/>
      <c r="AD561" s="705"/>
      <c r="AE561" s="705"/>
      <c r="AF561" s="705"/>
      <c r="AG561" s="705"/>
      <c r="AH561" s="705"/>
      <c r="AI561" s="705"/>
      <c r="AJ561" s="705"/>
      <c r="AK561" s="705"/>
      <c r="AL561" s="705"/>
    </row>
    <row r="562" spans="1:38">
      <c r="B562" s="2468" t="s">
        <v>345</v>
      </c>
      <c r="C562" s="2540"/>
      <c r="D562" s="2481">
        <f t="shared" si="84"/>
        <v>616430.90378999989</v>
      </c>
      <c r="E562" s="2528"/>
      <c r="F562" s="2529">
        <v>33408.53299</v>
      </c>
      <c r="G562" s="2528">
        <v>404939.27727999998</v>
      </c>
      <c r="H562" s="2529">
        <v>178083.09351999999</v>
      </c>
      <c r="I562" s="2499">
        <f t="shared" si="82"/>
        <v>616430.90378999989</v>
      </c>
      <c r="J562" s="2529"/>
      <c r="K562" s="2528"/>
      <c r="L562" s="2529"/>
      <c r="M562" s="2500">
        <f t="shared" ref="M562:M580" si="85">L562+K562+J562</f>
        <v>0</v>
      </c>
      <c r="N562" s="922"/>
      <c r="O562" s="922"/>
      <c r="P562" s="679"/>
      <c r="Q562" s="706"/>
      <c r="R562" s="109"/>
      <c r="S562" s="706"/>
      <c r="T562" s="708"/>
      <c r="U562" s="706"/>
      <c r="V562" s="706"/>
      <c r="W562" s="706"/>
      <c r="X562" s="706"/>
      <c r="Y562" s="706"/>
      <c r="Z562" s="706"/>
      <c r="AA562" s="706"/>
      <c r="AC562" s="705"/>
      <c r="AD562" s="705"/>
      <c r="AE562" s="705"/>
      <c r="AF562" s="705"/>
      <c r="AG562" s="705"/>
      <c r="AH562" s="705"/>
      <c r="AI562" s="705"/>
      <c r="AJ562" s="705"/>
      <c r="AK562" s="705"/>
      <c r="AL562" s="705"/>
    </row>
    <row r="563" spans="1:38">
      <c r="B563" s="2468" t="s">
        <v>346</v>
      </c>
      <c r="C563" s="2540"/>
      <c r="D563" s="2481">
        <f t="shared" si="84"/>
        <v>-48965.300999999992</v>
      </c>
      <c r="E563" s="2528"/>
      <c r="F563" s="2529">
        <v>-1660.11</v>
      </c>
      <c r="G563" s="2528">
        <v>-31309.371999999999</v>
      </c>
      <c r="H563" s="2529">
        <v>-15995.819</v>
      </c>
      <c r="I563" s="2499">
        <f t="shared" si="82"/>
        <v>-48965.300999999992</v>
      </c>
      <c r="J563" s="2529"/>
      <c r="K563" s="2528"/>
      <c r="L563" s="2529"/>
      <c r="M563" s="2500">
        <f t="shared" si="85"/>
        <v>0</v>
      </c>
      <c r="N563" s="922"/>
      <c r="O563" s="922"/>
      <c r="P563" s="679"/>
      <c r="Q563" s="706"/>
      <c r="R563" s="109"/>
      <c r="S563" s="706"/>
      <c r="T563" s="708"/>
      <c r="U563" s="706"/>
      <c r="V563" s="706"/>
      <c r="W563" s="706"/>
      <c r="X563" s="706"/>
      <c r="Y563" s="706"/>
      <c r="Z563" s="706"/>
      <c r="AA563" s="706"/>
      <c r="AC563" s="705"/>
      <c r="AD563" s="705"/>
      <c r="AE563" s="705"/>
      <c r="AF563" s="705"/>
      <c r="AG563" s="705"/>
      <c r="AH563" s="705"/>
      <c r="AI563" s="705"/>
      <c r="AJ563" s="705"/>
      <c r="AK563" s="705"/>
      <c r="AL563" s="705"/>
    </row>
    <row r="564" spans="1:38">
      <c r="B564" s="2468" t="s">
        <v>347</v>
      </c>
      <c r="C564" s="2540"/>
      <c r="D564" s="2481">
        <f t="shared" si="84"/>
        <v>0</v>
      </c>
      <c r="E564" s="2528"/>
      <c r="F564" s="2529"/>
      <c r="G564" s="2528"/>
      <c r="H564" s="2529"/>
      <c r="I564" s="2499">
        <f t="shared" si="82"/>
        <v>0</v>
      </c>
      <c r="J564" s="2529"/>
      <c r="K564" s="2528"/>
      <c r="L564" s="2529"/>
      <c r="M564" s="2500">
        <f t="shared" si="85"/>
        <v>0</v>
      </c>
      <c r="N564" s="922"/>
      <c r="O564" s="922"/>
      <c r="P564" s="679"/>
      <c r="Q564" s="706"/>
      <c r="R564" s="109"/>
      <c r="S564" s="706"/>
      <c r="T564" s="708"/>
      <c r="U564" s="706"/>
      <c r="V564" s="706"/>
      <c r="W564" s="706"/>
      <c r="X564" s="706"/>
      <c r="Y564" s="706"/>
      <c r="Z564" s="706"/>
      <c r="AA564" s="706"/>
      <c r="AC564" s="705"/>
      <c r="AD564" s="705"/>
      <c r="AE564" s="705"/>
      <c r="AF564" s="705"/>
      <c r="AG564" s="705"/>
      <c r="AH564" s="705"/>
      <c r="AI564" s="705"/>
      <c r="AJ564" s="705"/>
      <c r="AK564" s="705"/>
      <c r="AL564" s="705"/>
    </row>
    <row r="565" spans="1:38" ht="12.75" customHeight="1">
      <c r="B565" s="2479" t="s">
        <v>348</v>
      </c>
      <c r="C565" s="2540"/>
      <c r="D565" s="2481">
        <f t="shared" si="84"/>
        <v>0</v>
      </c>
      <c r="E565" s="2528"/>
      <c r="F565" s="2529"/>
      <c r="G565" s="2528"/>
      <c r="H565" s="2529"/>
      <c r="I565" s="2499">
        <f t="shared" si="82"/>
        <v>0</v>
      </c>
      <c r="J565" s="2529"/>
      <c r="K565" s="2528"/>
      <c r="L565" s="2529"/>
      <c r="M565" s="2500">
        <f t="shared" si="85"/>
        <v>0</v>
      </c>
      <c r="N565" s="922"/>
      <c r="O565" s="922"/>
      <c r="P565" s="679"/>
      <c r="Q565" s="706"/>
      <c r="R565" s="109"/>
      <c r="S565" s="706"/>
      <c r="T565" s="708"/>
      <c r="U565" s="706"/>
      <c r="V565" s="706"/>
      <c r="W565" s="706"/>
      <c r="X565" s="706"/>
      <c r="Y565" s="706"/>
      <c r="Z565" s="706"/>
      <c r="AA565" s="706"/>
      <c r="AC565" s="705"/>
      <c r="AD565" s="705"/>
      <c r="AE565" s="705"/>
      <c r="AF565" s="705"/>
      <c r="AG565" s="705"/>
      <c r="AH565" s="705"/>
      <c r="AI565" s="705"/>
      <c r="AJ565" s="705"/>
      <c r="AK565" s="705"/>
      <c r="AL565" s="705"/>
    </row>
    <row r="566" spans="1:38">
      <c r="B566" s="2468" t="s">
        <v>349</v>
      </c>
      <c r="C566" s="2540"/>
      <c r="D566" s="2481">
        <f t="shared" si="84"/>
        <v>966194.9783513525</v>
      </c>
      <c r="E566" s="2528"/>
      <c r="F566" s="2529">
        <v>21777.1671165425</v>
      </c>
      <c r="G566" s="2528">
        <v>563583.63040915097</v>
      </c>
      <c r="H566" s="2529">
        <v>380834.18082565902</v>
      </c>
      <c r="I566" s="2499">
        <f t="shared" si="82"/>
        <v>966194.9783513525</v>
      </c>
      <c r="J566" s="2529"/>
      <c r="K566" s="2528"/>
      <c r="L566" s="2529"/>
      <c r="M566" s="2500">
        <f t="shared" si="85"/>
        <v>0</v>
      </c>
      <c r="N566" s="922"/>
      <c r="O566" s="922"/>
      <c r="P566" s="679"/>
      <c r="Q566" s="706"/>
      <c r="R566" s="109"/>
      <c r="S566" s="706"/>
      <c r="T566" s="708"/>
      <c r="U566" s="706"/>
      <c r="V566" s="706"/>
      <c r="W566" s="706"/>
      <c r="X566" s="706"/>
      <c r="Y566" s="706"/>
      <c r="Z566" s="706"/>
      <c r="AA566" s="706"/>
      <c r="AC566" s="705"/>
      <c r="AD566" s="705"/>
      <c r="AE566" s="705"/>
      <c r="AF566" s="705"/>
      <c r="AG566" s="705"/>
      <c r="AH566" s="705"/>
      <c r="AI566" s="705"/>
      <c r="AJ566" s="705"/>
      <c r="AK566" s="705"/>
      <c r="AL566" s="705"/>
    </row>
    <row r="567" spans="1:38" ht="25.5">
      <c r="B567" s="2479" t="s">
        <v>350</v>
      </c>
      <c r="C567" s="2540"/>
      <c r="D567" s="2481">
        <f t="shared" si="84"/>
        <v>0</v>
      </c>
      <c r="E567" s="2528"/>
      <c r="F567" s="2529"/>
      <c r="G567" s="2528"/>
      <c r="H567" s="2529"/>
      <c r="I567" s="2499">
        <f t="shared" si="82"/>
        <v>0</v>
      </c>
      <c r="J567" s="2529"/>
      <c r="K567" s="2528"/>
      <c r="L567" s="2529"/>
      <c r="M567" s="2500">
        <f t="shared" si="85"/>
        <v>0</v>
      </c>
      <c r="N567" s="922"/>
      <c r="O567" s="922"/>
      <c r="P567" s="679"/>
      <c r="Q567" s="706"/>
      <c r="R567" s="109"/>
      <c r="S567" s="706"/>
      <c r="T567" s="708"/>
      <c r="U567" s="706"/>
      <c r="V567" s="706"/>
      <c r="W567" s="706"/>
      <c r="X567" s="706"/>
      <c r="Y567" s="706"/>
      <c r="Z567" s="706"/>
      <c r="AA567" s="706"/>
      <c r="AC567" s="705"/>
      <c r="AD567" s="705"/>
      <c r="AE567" s="705"/>
      <c r="AF567" s="705"/>
      <c r="AG567" s="705"/>
      <c r="AH567" s="705"/>
      <c r="AI567" s="705"/>
      <c r="AJ567" s="705"/>
      <c r="AK567" s="705"/>
      <c r="AL567" s="705"/>
    </row>
    <row r="568" spans="1:38">
      <c r="B568" s="2478" t="s">
        <v>351</v>
      </c>
      <c r="C568" s="2541"/>
      <c r="D568" s="2481">
        <f t="shared" si="84"/>
        <v>1533660.5811413524</v>
      </c>
      <c r="E568" s="2528">
        <f>SUM(E562:E567)</f>
        <v>0</v>
      </c>
      <c r="F568" s="2529">
        <f>SUM(F562:F567)</f>
        <v>53525.590106542499</v>
      </c>
      <c r="G568" s="2528">
        <f>SUM(G562:G567)</f>
        <v>937213.53568915091</v>
      </c>
      <c r="H568" s="2529">
        <f>SUM(H562:H567)</f>
        <v>542921.45534565905</v>
      </c>
      <c r="I568" s="2499">
        <f t="shared" si="82"/>
        <v>1533660.5811413524</v>
      </c>
      <c r="J568" s="2529">
        <f>SUM(J562:J567)</f>
        <v>0</v>
      </c>
      <c r="K568" s="2528">
        <f>SUM(K562:K567)</f>
        <v>0</v>
      </c>
      <c r="L568" s="2529">
        <f>SUM(L562:L567)</f>
        <v>0</v>
      </c>
      <c r="M568" s="2500">
        <f t="shared" si="85"/>
        <v>0</v>
      </c>
      <c r="N568" s="927"/>
      <c r="O568" s="922"/>
      <c r="P568" s="679"/>
      <c r="Q568" s="706"/>
      <c r="R568" s="313"/>
      <c r="S568" s="706"/>
      <c r="T568" s="708"/>
      <c r="U568" s="706"/>
      <c r="V568" s="706"/>
      <c r="W568" s="706"/>
      <c r="X568" s="706"/>
      <c r="Y568" s="706"/>
      <c r="Z568" s="706"/>
      <c r="AA568" s="706"/>
      <c r="AC568" s="705"/>
      <c r="AD568" s="705"/>
      <c r="AE568" s="705"/>
      <c r="AF568" s="705"/>
      <c r="AG568" s="705"/>
      <c r="AH568" s="705"/>
      <c r="AI568" s="705"/>
      <c r="AJ568" s="705"/>
      <c r="AK568" s="705"/>
      <c r="AL568" s="705"/>
    </row>
    <row r="569" spans="1:38">
      <c r="B569" s="2468"/>
      <c r="C569" s="2540"/>
      <c r="D569" s="2481">
        <f t="shared" si="84"/>
        <v>0</v>
      </c>
      <c r="E569" s="2528"/>
      <c r="F569" s="2529"/>
      <c r="G569" s="2528"/>
      <c r="H569" s="2529"/>
      <c r="I569" s="2499">
        <f t="shared" si="82"/>
        <v>0</v>
      </c>
      <c r="J569" s="2529"/>
      <c r="K569" s="2528"/>
      <c r="L569" s="2529"/>
      <c r="M569" s="2500">
        <f t="shared" si="85"/>
        <v>0</v>
      </c>
      <c r="O569" s="922"/>
      <c r="P569" s="679"/>
      <c r="Q569" s="706"/>
      <c r="R569" s="109"/>
      <c r="S569" s="706"/>
      <c r="T569" s="708"/>
      <c r="U569" s="706"/>
      <c r="V569" s="706"/>
      <c r="W569" s="706"/>
      <c r="X569" s="706"/>
      <c r="Y569" s="706"/>
      <c r="Z569" s="706"/>
      <c r="AA569" s="706"/>
      <c r="AC569" s="705"/>
      <c r="AD569" s="705"/>
      <c r="AE569" s="705"/>
      <c r="AF569" s="705"/>
      <c r="AG569" s="705"/>
      <c r="AH569" s="705"/>
      <c r="AI569" s="705"/>
      <c r="AJ569" s="705"/>
      <c r="AK569" s="705"/>
      <c r="AL569" s="705"/>
    </row>
    <row r="570" spans="1:38" ht="25.5">
      <c r="B570" s="2479" t="s">
        <v>352</v>
      </c>
      <c r="C570" s="2540"/>
      <c r="D570" s="2481">
        <f t="shared" si="84"/>
        <v>229641.04200000004</v>
      </c>
      <c r="E570" s="2528"/>
      <c r="F570" s="2529">
        <v>-1444.01199973146</v>
      </c>
      <c r="G570" s="2528">
        <v>-29999.522995196501</v>
      </c>
      <c r="H570" s="2529">
        <v>261084.57699492801</v>
      </c>
      <c r="I570" s="2499">
        <f t="shared" si="82"/>
        <v>229641.04200000004</v>
      </c>
      <c r="J570" s="2529"/>
      <c r="K570" s="2528"/>
      <c r="L570" s="2529"/>
      <c r="M570" s="2500">
        <f t="shared" si="85"/>
        <v>0</v>
      </c>
      <c r="N570" s="922"/>
      <c r="O570" s="922"/>
      <c r="P570" s="679"/>
      <c r="Q570" s="706"/>
      <c r="R570" s="109"/>
      <c r="S570" s="706"/>
      <c r="T570" s="708"/>
      <c r="U570" s="706"/>
      <c r="V570" s="706"/>
      <c r="W570" s="706"/>
      <c r="X570" s="706"/>
      <c r="Y570" s="706"/>
      <c r="Z570" s="706"/>
      <c r="AA570" s="706"/>
      <c r="AC570" s="705"/>
      <c r="AD570" s="705"/>
      <c r="AE570" s="705"/>
      <c r="AF570" s="705"/>
      <c r="AG570" s="705"/>
      <c r="AH570" s="705"/>
      <c r="AI570" s="705"/>
      <c r="AJ570" s="705"/>
      <c r="AK570" s="705"/>
      <c r="AL570" s="705"/>
    </row>
    <row r="571" spans="1:38">
      <c r="B571" s="2468"/>
      <c r="C571" s="2540"/>
      <c r="D571" s="2481">
        <f t="shared" si="84"/>
        <v>0</v>
      </c>
      <c r="E571" s="2528"/>
      <c r="F571" s="2529"/>
      <c r="G571" s="2528"/>
      <c r="H571" s="2529"/>
      <c r="I571" s="2499">
        <f t="shared" si="82"/>
        <v>0</v>
      </c>
      <c r="J571" s="2529"/>
      <c r="K571" s="2528"/>
      <c r="L571" s="2529"/>
      <c r="M571" s="2500">
        <f t="shared" si="85"/>
        <v>0</v>
      </c>
      <c r="N571" s="922"/>
      <c r="O571" s="922"/>
      <c r="P571" s="679"/>
      <c r="Q571" s="706"/>
      <c r="R571" s="109"/>
      <c r="S571" s="706"/>
      <c r="T571" s="708"/>
      <c r="U571" s="706"/>
      <c r="V571" s="706"/>
      <c r="W571" s="706"/>
      <c r="X571" s="706"/>
      <c r="Y571" s="706"/>
      <c r="Z571" s="706"/>
      <c r="AA571" s="706"/>
      <c r="AC571" s="705"/>
      <c r="AD571" s="705"/>
      <c r="AE571" s="705"/>
      <c r="AF571" s="705"/>
      <c r="AG571" s="705"/>
      <c r="AH571" s="705"/>
      <c r="AI571" s="705"/>
      <c r="AJ571" s="705"/>
      <c r="AK571" s="705"/>
      <c r="AL571" s="705"/>
    </row>
    <row r="572" spans="1:38" ht="12.75" customHeight="1">
      <c r="A572" s="946"/>
      <c r="B572" s="2479" t="s">
        <v>353</v>
      </c>
      <c r="C572" s="2540">
        <v>4</v>
      </c>
      <c r="D572" s="2481">
        <f t="shared" si="84"/>
        <v>1390146.0000209208</v>
      </c>
      <c r="E572" s="2528">
        <f>9996.18131+8570.9149</f>
        <v>18567.09621</v>
      </c>
      <c r="F572" s="2529">
        <v>5008.4906758015204</v>
      </c>
      <c r="G572" s="2528">
        <f>524379.12541053+92007.0268</f>
        <v>616386.15221053001</v>
      </c>
      <c r="H572" s="2529">
        <v>750184.26092458901</v>
      </c>
      <c r="I572" s="2499">
        <f t="shared" si="82"/>
        <v>1371578.9038109207</v>
      </c>
      <c r="J572" s="2529"/>
      <c r="K572" s="2528"/>
      <c r="L572" s="2529"/>
      <c r="M572" s="2500">
        <f t="shared" si="85"/>
        <v>0</v>
      </c>
      <c r="N572" s="922"/>
      <c r="O572" s="922"/>
      <c r="P572" s="679"/>
      <c r="Q572" s="706"/>
      <c r="R572" s="109"/>
      <c r="S572" s="706"/>
      <c r="T572" s="708"/>
      <c r="U572" s="706"/>
      <c r="V572" s="706"/>
      <c r="W572" s="706"/>
      <c r="X572" s="706"/>
      <c r="Y572" s="706"/>
      <c r="Z572" s="706"/>
      <c r="AA572" s="706"/>
      <c r="AC572" s="705"/>
      <c r="AD572" s="705"/>
      <c r="AE572" s="705"/>
      <c r="AF572" s="705"/>
      <c r="AG572" s="705"/>
      <c r="AH572" s="705"/>
      <c r="AI572" s="705"/>
      <c r="AJ572" s="705"/>
      <c r="AK572" s="705"/>
      <c r="AL572" s="705"/>
    </row>
    <row r="573" spans="1:38">
      <c r="A573" s="946"/>
      <c r="B573" s="2468" t="s">
        <v>354</v>
      </c>
      <c r="C573" s="2540"/>
      <c r="D573" s="2481">
        <f t="shared" si="84"/>
        <v>0</v>
      </c>
      <c r="E573" s="2528"/>
      <c r="F573" s="2529"/>
      <c r="G573" s="2528"/>
      <c r="H573" s="2529"/>
      <c r="I573" s="2499">
        <f t="shared" si="82"/>
        <v>0</v>
      </c>
      <c r="J573" s="2529"/>
      <c r="K573" s="2528"/>
      <c r="L573" s="2529"/>
      <c r="M573" s="2500">
        <f t="shared" si="85"/>
        <v>0</v>
      </c>
      <c r="N573" s="922"/>
      <c r="O573" s="922"/>
      <c r="P573" s="679"/>
      <c r="Q573" s="706"/>
      <c r="R573" s="109"/>
      <c r="S573" s="706"/>
      <c r="T573" s="708"/>
      <c r="U573" s="706"/>
      <c r="V573" s="706"/>
      <c r="W573" s="706"/>
      <c r="X573" s="706"/>
      <c r="Y573" s="706"/>
      <c r="Z573" s="706"/>
      <c r="AA573" s="706"/>
      <c r="AC573" s="705"/>
      <c r="AD573" s="705"/>
      <c r="AE573" s="705"/>
      <c r="AF573" s="705"/>
      <c r="AG573" s="705"/>
      <c r="AH573" s="705"/>
      <c r="AI573" s="705"/>
      <c r="AJ573" s="705"/>
      <c r="AK573" s="705"/>
      <c r="AL573" s="705"/>
    </row>
    <row r="574" spans="1:38">
      <c r="B574" s="2468" t="s">
        <v>355</v>
      </c>
      <c r="C574" s="2540"/>
      <c r="D574" s="2481">
        <f t="shared" si="84"/>
        <v>0</v>
      </c>
      <c r="E574" s="2528"/>
      <c r="F574" s="2529"/>
      <c r="G574" s="2528"/>
      <c r="H574" s="2529"/>
      <c r="I574" s="2499">
        <f t="shared" si="82"/>
        <v>0</v>
      </c>
      <c r="J574" s="2529"/>
      <c r="K574" s="2528"/>
      <c r="L574" s="2529"/>
      <c r="M574" s="2500">
        <f t="shared" si="85"/>
        <v>0</v>
      </c>
      <c r="N574" s="922"/>
      <c r="O574" s="922"/>
      <c r="P574" s="679"/>
      <c r="Q574" s="706"/>
      <c r="R574" s="109"/>
      <c r="S574" s="706"/>
      <c r="T574" s="708"/>
      <c r="U574" s="706"/>
      <c r="V574" s="706"/>
      <c r="W574" s="706"/>
      <c r="X574" s="706"/>
      <c r="Y574" s="706"/>
      <c r="Z574" s="706"/>
      <c r="AA574" s="706"/>
      <c r="AC574" s="705"/>
      <c r="AD574" s="705"/>
      <c r="AE574" s="705"/>
      <c r="AF574" s="705"/>
      <c r="AG574" s="705"/>
      <c r="AH574" s="705"/>
      <c r="AI574" s="705"/>
      <c r="AJ574" s="705"/>
      <c r="AK574" s="705"/>
      <c r="AL574" s="705"/>
    </row>
    <row r="575" spans="1:38">
      <c r="B575" s="2478" t="s">
        <v>356</v>
      </c>
      <c r="C575" s="2541"/>
      <c r="D575" s="2481">
        <f t="shared" si="84"/>
        <v>1390146.0000209208</v>
      </c>
      <c r="E575" s="2528">
        <f>SUM(E572:E574)</f>
        <v>18567.09621</v>
      </c>
      <c r="F575" s="2529">
        <f>SUM(F572:F574)</f>
        <v>5008.4906758015204</v>
      </c>
      <c r="G575" s="2528">
        <f>SUM(G572:G574)</f>
        <v>616386.15221053001</v>
      </c>
      <c r="H575" s="2529">
        <f>SUM(H572:H574)</f>
        <v>750184.26092458901</v>
      </c>
      <c r="I575" s="2499">
        <f t="shared" si="82"/>
        <v>1371578.9038109207</v>
      </c>
      <c r="J575" s="2529">
        <f>SUM(J572:J574)</f>
        <v>0</v>
      </c>
      <c r="K575" s="2528">
        <f>SUM(K572:K574)</f>
        <v>0</v>
      </c>
      <c r="L575" s="2529">
        <f>SUM(L572:L574)</f>
        <v>0</v>
      </c>
      <c r="M575" s="2500">
        <f t="shared" si="85"/>
        <v>0</v>
      </c>
      <c r="N575" s="927"/>
      <c r="O575" s="922"/>
      <c r="P575" s="679"/>
      <c r="Q575" s="706"/>
      <c r="R575" s="313"/>
      <c r="S575" s="706"/>
      <c r="T575" s="708"/>
      <c r="U575" s="706"/>
      <c r="V575" s="706"/>
      <c r="W575" s="706"/>
      <c r="X575" s="706"/>
      <c r="Y575" s="706"/>
      <c r="Z575" s="706"/>
      <c r="AA575" s="706"/>
      <c r="AC575" s="705"/>
      <c r="AD575" s="705"/>
      <c r="AE575" s="705"/>
      <c r="AF575" s="705"/>
      <c r="AG575" s="705"/>
      <c r="AH575" s="705"/>
      <c r="AI575" s="705"/>
      <c r="AJ575" s="705"/>
      <c r="AK575" s="705"/>
      <c r="AL575" s="705"/>
    </row>
    <row r="576" spans="1:38">
      <c r="B576" s="2478"/>
      <c r="C576" s="2541"/>
      <c r="D576" s="2481">
        <f t="shared" si="84"/>
        <v>0</v>
      </c>
      <c r="E576" s="2528"/>
      <c r="F576" s="2529"/>
      <c r="G576" s="2528"/>
      <c r="H576" s="2529"/>
      <c r="I576" s="2499">
        <f t="shared" si="82"/>
        <v>0</v>
      </c>
      <c r="J576" s="2529"/>
      <c r="K576" s="2528"/>
      <c r="L576" s="2529"/>
      <c r="M576" s="2500">
        <f t="shared" si="85"/>
        <v>0</v>
      </c>
      <c r="O576" s="922"/>
      <c r="P576" s="679"/>
      <c r="Q576" s="706"/>
      <c r="R576" s="109"/>
      <c r="S576" s="706"/>
      <c r="T576" s="708"/>
      <c r="U576" s="706"/>
      <c r="V576" s="706"/>
      <c r="W576" s="706"/>
      <c r="X576" s="706"/>
      <c r="Y576" s="706"/>
      <c r="Z576" s="706"/>
      <c r="AA576" s="706"/>
      <c r="AC576" s="705"/>
      <c r="AD576" s="705"/>
      <c r="AE576" s="705"/>
      <c r="AF576" s="705"/>
      <c r="AG576" s="705"/>
      <c r="AH576" s="705"/>
      <c r="AI576" s="705"/>
      <c r="AJ576" s="705"/>
      <c r="AK576" s="705"/>
      <c r="AL576" s="705"/>
    </row>
    <row r="577" spans="1:38">
      <c r="A577" s="679"/>
      <c r="B577" s="2478" t="s">
        <v>357</v>
      </c>
      <c r="C577" s="2541"/>
      <c r="D577" s="2481">
        <f t="shared" si="84"/>
        <v>453649.8655777268</v>
      </c>
      <c r="E577" s="2528">
        <f>E560-E568-E570-E575</f>
        <v>115890.83416999997</v>
      </c>
      <c r="F577" s="2529">
        <f>F560-F568-F570-F575</f>
        <v>237.79255555556119</v>
      </c>
      <c r="G577" s="2528">
        <f>G560-G568-G570-G575</f>
        <v>83266.331547646667</v>
      </c>
      <c r="H577" s="2529">
        <f>H560-H568-H570-H575</f>
        <v>254254.90730452456</v>
      </c>
      <c r="I577" s="2499">
        <f t="shared" si="82"/>
        <v>337759.03140772681</v>
      </c>
      <c r="J577" s="2529">
        <f>J560-J568-J570-J575</f>
        <v>0</v>
      </c>
      <c r="K577" s="2528">
        <f>K560-K568-K570-K575</f>
        <v>0</v>
      </c>
      <c r="L577" s="2529">
        <f>L560-L568-L570-L575</f>
        <v>0</v>
      </c>
      <c r="M577" s="2500">
        <f t="shared" si="85"/>
        <v>0</v>
      </c>
      <c r="N577" s="927"/>
      <c r="O577" s="922"/>
      <c r="P577" s="679"/>
      <c r="Q577" s="706"/>
      <c r="R577" s="313"/>
      <c r="S577" s="706"/>
      <c r="T577" s="708"/>
      <c r="U577" s="706"/>
      <c r="V577" s="706"/>
      <c r="W577" s="706"/>
      <c r="X577" s="706"/>
      <c r="Y577" s="706"/>
      <c r="Z577" s="706"/>
      <c r="AA577" s="706"/>
      <c r="AC577" s="705"/>
      <c r="AD577" s="705"/>
      <c r="AE577" s="705"/>
      <c r="AF577" s="705"/>
      <c r="AG577" s="705"/>
      <c r="AH577" s="705"/>
      <c r="AI577" s="705"/>
      <c r="AJ577" s="705"/>
      <c r="AK577" s="705"/>
      <c r="AL577" s="705"/>
    </row>
    <row r="578" spans="1:38">
      <c r="B578" s="2468" t="s">
        <v>358</v>
      </c>
      <c r="C578" s="2540"/>
      <c r="D578" s="2481">
        <f t="shared" si="84"/>
        <v>0</v>
      </c>
      <c r="E578" s="2528"/>
      <c r="F578" s="2529"/>
      <c r="G578" s="2528"/>
      <c r="H578" s="2529"/>
      <c r="I578" s="2499">
        <f t="shared" si="82"/>
        <v>0</v>
      </c>
      <c r="J578" s="2529"/>
      <c r="K578" s="2528"/>
      <c r="L578" s="2529"/>
      <c r="M578" s="2500">
        <f t="shared" si="85"/>
        <v>0</v>
      </c>
      <c r="N578" s="922"/>
      <c r="O578" s="922"/>
      <c r="P578" s="679"/>
      <c r="Q578" s="706"/>
      <c r="R578" s="109"/>
      <c r="S578" s="706"/>
      <c r="T578" s="708"/>
      <c r="U578" s="706"/>
      <c r="V578" s="706"/>
      <c r="W578" s="706"/>
      <c r="X578" s="706"/>
      <c r="Y578" s="706"/>
      <c r="Z578" s="706"/>
      <c r="AA578" s="706"/>
      <c r="AC578" s="705"/>
      <c r="AD578" s="705"/>
      <c r="AE578" s="705"/>
      <c r="AF578" s="705"/>
      <c r="AG578" s="705"/>
      <c r="AH578" s="705"/>
      <c r="AI578" s="705"/>
      <c r="AJ578" s="705"/>
      <c r="AK578" s="705"/>
      <c r="AL578" s="705"/>
    </row>
    <row r="579" spans="1:38">
      <c r="B579" s="2468"/>
      <c r="C579" s="2540"/>
      <c r="D579" s="2481">
        <f t="shared" si="84"/>
        <v>0</v>
      </c>
      <c r="E579" s="2528"/>
      <c r="F579" s="2529"/>
      <c r="G579" s="2528"/>
      <c r="H579" s="2529"/>
      <c r="I579" s="2499">
        <f t="shared" si="82"/>
        <v>0</v>
      </c>
      <c r="J579" s="2529"/>
      <c r="K579" s="2528"/>
      <c r="L579" s="2529"/>
      <c r="M579" s="2500">
        <f t="shared" si="85"/>
        <v>0</v>
      </c>
      <c r="O579" s="922"/>
      <c r="P579" s="679"/>
      <c r="Q579" s="706"/>
      <c r="R579" s="109"/>
      <c r="S579" s="706"/>
      <c r="T579" s="708"/>
      <c r="U579" s="706"/>
      <c r="V579" s="706"/>
      <c r="W579" s="706"/>
      <c r="X579" s="706"/>
      <c r="Y579" s="706"/>
      <c r="Z579" s="706"/>
      <c r="AA579" s="706"/>
      <c r="AC579" s="705"/>
      <c r="AD579" s="705"/>
      <c r="AE579" s="705"/>
      <c r="AF579" s="705"/>
      <c r="AG579" s="705"/>
      <c r="AH579" s="705"/>
      <c r="AI579" s="705"/>
      <c r="AJ579" s="705"/>
      <c r="AK579" s="705"/>
      <c r="AL579" s="705"/>
    </row>
    <row r="580" spans="1:38" ht="13.5" thickBot="1">
      <c r="B580" s="1611" t="s">
        <v>359</v>
      </c>
      <c r="C580" s="1622"/>
      <c r="D580" s="1614">
        <f t="shared" si="84"/>
        <v>453649.8655777268</v>
      </c>
      <c r="E580" s="1624">
        <f>E577-E578</f>
        <v>115890.83416999997</v>
      </c>
      <c r="F580" s="1614">
        <f>F577-F578</f>
        <v>237.79255555556119</v>
      </c>
      <c r="G580" s="1624">
        <f>G577-G578</f>
        <v>83266.331547646667</v>
      </c>
      <c r="H580" s="1614">
        <f>H577-H578</f>
        <v>254254.90730452456</v>
      </c>
      <c r="I580" s="1624">
        <f t="shared" si="82"/>
        <v>337759.03140772681</v>
      </c>
      <c r="J580" s="1614">
        <f>J577-J578</f>
        <v>0</v>
      </c>
      <c r="K580" s="1624">
        <f>K577-K578</f>
        <v>0</v>
      </c>
      <c r="L580" s="1614">
        <f>L577-L578</f>
        <v>0</v>
      </c>
      <c r="M580" s="1639">
        <f t="shared" si="85"/>
        <v>0</v>
      </c>
      <c r="N580" s="927"/>
      <c r="O580" s="922"/>
      <c r="P580" s="679"/>
      <c r="Q580" s="706"/>
      <c r="R580" s="313"/>
      <c r="S580" s="706"/>
      <c r="T580" s="708"/>
      <c r="U580" s="706"/>
      <c r="V580" s="706"/>
      <c r="W580" s="706"/>
      <c r="X580" s="706"/>
      <c r="Y580" s="706"/>
      <c r="Z580" s="706"/>
      <c r="AA580" s="706"/>
      <c r="AC580" s="705"/>
      <c r="AD580" s="705"/>
      <c r="AE580" s="705"/>
      <c r="AF580" s="705"/>
      <c r="AG580" s="705"/>
      <c r="AH580" s="705"/>
      <c r="AI580" s="705"/>
      <c r="AJ580" s="705"/>
      <c r="AK580" s="705"/>
      <c r="AL580" s="705"/>
    </row>
    <row r="581" spans="1:38">
      <c r="R581" s="109"/>
      <c r="S581" s="699"/>
      <c r="T581" s="699"/>
      <c r="U581" s="699"/>
      <c r="V581" s="699"/>
      <c r="W581" s="699"/>
      <c r="X581" s="699"/>
      <c r="Y581" s="699"/>
      <c r="Z581" s="699"/>
      <c r="AA581" s="699"/>
    </row>
    <row r="582" spans="1:38">
      <c r="D582" s="679"/>
      <c r="E582" s="679"/>
      <c r="F582" s="679"/>
      <c r="G582" s="679"/>
      <c r="H582" s="679"/>
      <c r="I582" s="679"/>
      <c r="J582" s="679"/>
      <c r="M582" s="673">
        <v>75</v>
      </c>
      <c r="R582" s="109"/>
      <c r="S582" s="699"/>
      <c r="T582" s="699"/>
      <c r="U582" s="699"/>
      <c r="V582" s="699"/>
      <c r="W582" s="699"/>
      <c r="X582" s="699"/>
      <c r="Y582" s="699"/>
      <c r="Z582" s="699"/>
      <c r="AA582" s="699"/>
    </row>
    <row r="583" spans="1:38">
      <c r="R583" s="109"/>
      <c r="S583" s="699"/>
      <c r="T583" s="699"/>
      <c r="U583" s="699"/>
      <c r="V583" s="699"/>
      <c r="W583" s="699"/>
      <c r="X583" s="699"/>
      <c r="Y583" s="699"/>
      <c r="Z583" s="699"/>
      <c r="AA583" s="699"/>
    </row>
    <row r="584" spans="1:38" ht="13.5" thickBot="1">
      <c r="R584" s="109"/>
      <c r="S584" s="699"/>
      <c r="T584" s="699"/>
      <c r="U584" s="699"/>
      <c r="V584" s="699"/>
      <c r="W584" s="699"/>
      <c r="X584" s="699"/>
      <c r="Y584" s="699"/>
      <c r="Z584" s="699"/>
      <c r="AA584" s="699"/>
    </row>
    <row r="585" spans="1:38" ht="14.25" customHeight="1" thickBot="1">
      <c r="A585" s="1626" t="s">
        <v>109</v>
      </c>
      <c r="B585" s="1368" t="s">
        <v>109</v>
      </c>
      <c r="C585" s="937"/>
      <c r="L585" s="3538" t="s">
        <v>251</v>
      </c>
      <c r="M585" s="3538"/>
      <c r="R585" s="109"/>
      <c r="S585" s="699"/>
      <c r="T585" s="699"/>
      <c r="U585" s="699"/>
      <c r="V585" s="699"/>
      <c r="W585" s="699"/>
      <c r="X585" s="699"/>
      <c r="Y585" s="699"/>
      <c r="Z585" s="699"/>
      <c r="AA585" s="699"/>
    </row>
    <row r="586" spans="1:38" ht="12.75" customHeight="1" thickBot="1">
      <c r="B586" s="3578" t="s">
        <v>109</v>
      </c>
      <c r="C586" s="3523" t="s">
        <v>325</v>
      </c>
      <c r="D586" s="3518" t="s">
        <v>255</v>
      </c>
      <c r="E586" s="3518" t="s">
        <v>326</v>
      </c>
      <c r="F586" s="3574" t="s">
        <v>258</v>
      </c>
      <c r="G586" s="3574"/>
      <c r="H586" s="3574"/>
      <c r="I586" s="3574"/>
      <c r="J586" s="3574"/>
      <c r="K586" s="3574"/>
      <c r="L586" s="3574"/>
      <c r="M586" s="3574"/>
      <c r="R586" s="109"/>
      <c r="S586" s="699"/>
      <c r="T586" s="699"/>
      <c r="U586" s="699"/>
      <c r="V586" s="699"/>
      <c r="W586" s="699"/>
      <c r="X586" s="699"/>
      <c r="Y586" s="699"/>
      <c r="Z586" s="699"/>
      <c r="AA586" s="699"/>
    </row>
    <row r="587" spans="1:38" ht="12.75" customHeight="1">
      <c r="B587" s="3571"/>
      <c r="C587" s="3524"/>
      <c r="D587" s="3520"/>
      <c r="E587" s="3520"/>
      <c r="F587" s="3575" t="s">
        <v>259</v>
      </c>
      <c r="G587" s="3576"/>
      <c r="H587" s="3576"/>
      <c r="I587" s="3577"/>
      <c r="J587" s="3574" t="s">
        <v>327</v>
      </c>
      <c r="K587" s="3574"/>
      <c r="L587" s="3574"/>
      <c r="M587" s="3574"/>
      <c r="R587" s="109"/>
      <c r="S587" s="699"/>
      <c r="T587" s="699"/>
      <c r="U587" s="699"/>
      <c r="V587" s="699"/>
      <c r="W587" s="699"/>
      <c r="X587" s="699"/>
      <c r="Y587" s="699"/>
      <c r="Z587" s="699"/>
      <c r="AA587" s="699"/>
    </row>
    <row r="588" spans="1:38" ht="57.75" customHeight="1" thickBot="1">
      <c r="B588" s="3571"/>
      <c r="C588" s="3524"/>
      <c r="D588" s="3519"/>
      <c r="E588" s="3519"/>
      <c r="F588" s="1339" t="s">
        <v>261</v>
      </c>
      <c r="G588" s="1339" t="s">
        <v>262</v>
      </c>
      <c r="H588" s="1339" t="s">
        <v>263</v>
      </c>
      <c r="I588" s="1339" t="s">
        <v>158</v>
      </c>
      <c r="J588" s="1588" t="s">
        <v>328</v>
      </c>
      <c r="K588" s="1588" t="s">
        <v>265</v>
      </c>
      <c r="L588" s="1588" t="s">
        <v>329</v>
      </c>
      <c r="M588" s="1588" t="s">
        <v>158</v>
      </c>
      <c r="R588" s="109"/>
      <c r="S588" s="699"/>
      <c r="T588" s="699"/>
      <c r="U588" s="699"/>
      <c r="V588" s="699"/>
      <c r="W588" s="699"/>
      <c r="X588" s="699"/>
      <c r="Y588" s="699"/>
      <c r="Z588" s="699"/>
      <c r="AA588" s="699"/>
    </row>
    <row r="589" spans="1:38" ht="14.25" customHeight="1" thickBot="1">
      <c r="B589" s="3571"/>
      <c r="C589" s="3524"/>
      <c r="D589" s="1589">
        <v>1</v>
      </c>
      <c r="E589" s="3518">
        <v>2</v>
      </c>
      <c r="F589" s="3518">
        <v>3</v>
      </c>
      <c r="G589" s="3518">
        <v>4</v>
      </c>
      <c r="H589" s="3518">
        <v>5</v>
      </c>
      <c r="I589" s="1589">
        <v>6</v>
      </c>
      <c r="J589" s="3518">
        <v>7</v>
      </c>
      <c r="K589" s="3518">
        <v>8</v>
      </c>
      <c r="L589" s="3518">
        <v>9</v>
      </c>
      <c r="M589" s="1589">
        <v>10</v>
      </c>
      <c r="R589" s="109"/>
      <c r="S589" s="699"/>
      <c r="T589" s="699"/>
      <c r="U589" s="699"/>
      <c r="V589" s="699"/>
      <c r="W589" s="699"/>
      <c r="X589" s="699"/>
      <c r="Y589" s="699"/>
      <c r="Z589" s="699"/>
      <c r="AA589" s="699"/>
    </row>
    <row r="590" spans="1:38" ht="13.5" customHeight="1" thickBot="1">
      <c r="B590" s="3572"/>
      <c r="C590" s="3525"/>
      <c r="D590" s="1590" t="s">
        <v>330</v>
      </c>
      <c r="E590" s="3519"/>
      <c r="F590" s="3519"/>
      <c r="G590" s="3519"/>
      <c r="H590" s="3519"/>
      <c r="I590" s="1590" t="s">
        <v>331</v>
      </c>
      <c r="J590" s="3519"/>
      <c r="K590" s="3519"/>
      <c r="L590" s="3519"/>
      <c r="M590" s="1590" t="s">
        <v>332</v>
      </c>
      <c r="N590" s="703"/>
      <c r="O590" s="703"/>
      <c r="R590" s="109"/>
      <c r="S590" s="699"/>
      <c r="T590" s="699"/>
      <c r="U590" s="699"/>
      <c r="V590" s="699"/>
      <c r="W590" s="699"/>
      <c r="X590" s="699"/>
      <c r="Y590" s="699"/>
      <c r="Z590" s="699"/>
      <c r="AA590" s="699"/>
    </row>
    <row r="591" spans="1:38">
      <c r="B591" s="1635" t="s">
        <v>333</v>
      </c>
      <c r="C591" s="938"/>
      <c r="D591" s="1592">
        <f t="shared" ref="D591:D628" si="86">E591+I591+M591</f>
        <v>40995.975449999998</v>
      </c>
      <c r="E591" s="948"/>
      <c r="F591" s="947">
        <v>1674.998</v>
      </c>
      <c r="G591" s="949">
        <v>39320.977449999998</v>
      </c>
      <c r="H591" s="947"/>
      <c r="I591" s="1636">
        <f t="shared" ref="I591:I628" si="87">F591+G591+H591</f>
        <v>40995.975449999998</v>
      </c>
      <c r="J591" s="947"/>
      <c r="K591" s="949"/>
      <c r="L591" s="947"/>
      <c r="M591" s="1637">
        <f t="shared" ref="M591:M608" si="88">L591+K591+J591</f>
        <v>0</v>
      </c>
      <c r="N591" s="922"/>
      <c r="O591" s="922"/>
      <c r="P591" s="679"/>
      <c r="Q591" s="706"/>
      <c r="R591" s="109"/>
      <c r="S591" s="706"/>
      <c r="T591" s="708"/>
      <c r="U591" s="706"/>
      <c r="V591" s="706"/>
      <c r="W591" s="706"/>
      <c r="X591" s="706"/>
      <c r="Y591" s="706"/>
      <c r="Z591" s="706"/>
      <c r="AA591" s="706"/>
    </row>
    <row r="592" spans="1:38">
      <c r="B592" s="2460"/>
      <c r="C592" s="2550"/>
      <c r="D592" s="2481">
        <f t="shared" si="86"/>
        <v>0</v>
      </c>
      <c r="E592" s="2551"/>
      <c r="F592" s="2529"/>
      <c r="G592" s="2528"/>
      <c r="H592" s="2529"/>
      <c r="I592" s="2499">
        <f t="shared" si="87"/>
        <v>0</v>
      </c>
      <c r="J592" s="2529"/>
      <c r="K592" s="2528"/>
      <c r="L592" s="2529"/>
      <c r="M592" s="2500">
        <f t="shared" si="88"/>
        <v>0</v>
      </c>
      <c r="O592" s="922"/>
      <c r="P592" s="679"/>
      <c r="Q592" s="706"/>
      <c r="R592" s="109"/>
      <c r="S592" s="706"/>
      <c r="T592" s="708"/>
      <c r="U592" s="706"/>
      <c r="V592" s="706"/>
      <c r="W592" s="706"/>
      <c r="X592" s="706"/>
      <c r="Y592" s="706"/>
      <c r="Z592" s="706"/>
      <c r="AA592" s="706"/>
    </row>
    <row r="593" spans="2:27">
      <c r="B593" s="2462" t="s">
        <v>334</v>
      </c>
      <c r="C593" s="2550"/>
      <c r="D593" s="2481">
        <f t="shared" si="86"/>
        <v>11314.50582</v>
      </c>
      <c r="E593" s="2551"/>
      <c r="F593" s="2529">
        <v>204.90735000000001</v>
      </c>
      <c r="G593" s="2528">
        <v>11109.598470000001</v>
      </c>
      <c r="H593" s="2529"/>
      <c r="I593" s="2499">
        <f t="shared" si="87"/>
        <v>11314.50582</v>
      </c>
      <c r="J593" s="2529"/>
      <c r="K593" s="2528"/>
      <c r="L593" s="2529"/>
      <c r="M593" s="2500">
        <f t="shared" si="88"/>
        <v>0</v>
      </c>
      <c r="N593" s="922"/>
      <c r="O593" s="922"/>
      <c r="P593" s="679"/>
      <c r="Q593" s="706"/>
      <c r="R593" s="109"/>
      <c r="S593" s="706"/>
      <c r="T593" s="708"/>
      <c r="U593" s="706"/>
      <c r="V593" s="706"/>
      <c r="W593" s="706"/>
      <c r="X593" s="706"/>
      <c r="Y593" s="706"/>
      <c r="Z593" s="706"/>
      <c r="AA593" s="706"/>
    </row>
    <row r="594" spans="2:27">
      <c r="B594" s="2462"/>
      <c r="C594" s="2550"/>
      <c r="D594" s="2481">
        <f t="shared" si="86"/>
        <v>0</v>
      </c>
      <c r="E594" s="2551"/>
      <c r="F594" s="2529"/>
      <c r="G594" s="2528"/>
      <c r="H594" s="2529"/>
      <c r="I594" s="2499">
        <f t="shared" si="87"/>
        <v>0</v>
      </c>
      <c r="J594" s="2529"/>
      <c r="K594" s="2528"/>
      <c r="L594" s="2529"/>
      <c r="M594" s="2500">
        <f t="shared" si="88"/>
        <v>0</v>
      </c>
      <c r="O594" s="922"/>
      <c r="P594" s="679"/>
      <c r="Q594" s="706"/>
      <c r="R594" s="109"/>
      <c r="S594" s="706"/>
      <c r="T594" s="708"/>
      <c r="U594" s="706"/>
      <c r="V594" s="706"/>
      <c r="W594" s="706"/>
      <c r="X594" s="706"/>
      <c r="Y594" s="706"/>
      <c r="Z594" s="706"/>
      <c r="AA594" s="706"/>
    </row>
    <row r="595" spans="2:27" ht="12.75" customHeight="1">
      <c r="B595" s="2463" t="s">
        <v>335</v>
      </c>
      <c r="C595" s="2550"/>
      <c r="D595" s="2481">
        <f t="shared" si="86"/>
        <v>0</v>
      </c>
      <c r="E595" s="2551"/>
      <c r="F595" s="2529"/>
      <c r="G595" s="2528"/>
      <c r="H595" s="2529"/>
      <c r="I595" s="2499">
        <f t="shared" si="87"/>
        <v>0</v>
      </c>
      <c r="J595" s="2529"/>
      <c r="K595" s="2528"/>
      <c r="L595" s="2529"/>
      <c r="M595" s="2500">
        <f t="shared" si="88"/>
        <v>0</v>
      </c>
      <c r="N595" s="922"/>
      <c r="O595" s="922"/>
      <c r="P595" s="679"/>
      <c r="Q595" s="706"/>
      <c r="R595" s="109"/>
      <c r="S595" s="706"/>
      <c r="T595" s="708"/>
      <c r="U595" s="706"/>
      <c r="V595" s="706"/>
      <c r="W595" s="706"/>
      <c r="X595" s="706"/>
      <c r="Y595" s="706"/>
      <c r="Z595" s="706"/>
      <c r="AA595" s="706"/>
    </row>
    <row r="596" spans="2:27">
      <c r="B596" s="2460"/>
      <c r="C596" s="2550"/>
      <c r="D596" s="2481">
        <f t="shared" si="86"/>
        <v>0</v>
      </c>
      <c r="E596" s="2551"/>
      <c r="F596" s="2529"/>
      <c r="G596" s="2528"/>
      <c r="H596" s="2529"/>
      <c r="I596" s="2499">
        <f t="shared" si="87"/>
        <v>0</v>
      </c>
      <c r="J596" s="2529"/>
      <c r="K596" s="2528"/>
      <c r="L596" s="2529"/>
      <c r="M596" s="2500">
        <f t="shared" si="88"/>
        <v>0</v>
      </c>
      <c r="O596" s="922"/>
      <c r="P596" s="679"/>
      <c r="Q596" s="706"/>
      <c r="R596" s="109"/>
      <c r="S596" s="706"/>
      <c r="T596" s="708"/>
      <c r="U596" s="706"/>
      <c r="V596" s="706"/>
      <c r="W596" s="706"/>
      <c r="X596" s="706"/>
      <c r="Y596" s="706"/>
      <c r="Z596" s="706"/>
      <c r="AA596" s="706"/>
    </row>
    <row r="597" spans="2:27">
      <c r="B597" s="2464" t="s">
        <v>336</v>
      </c>
      <c r="C597" s="2552"/>
      <c r="D597" s="2481">
        <f t="shared" si="86"/>
        <v>29681.46963</v>
      </c>
      <c r="E597" s="2551">
        <f>E591-E593+E595</f>
        <v>0</v>
      </c>
      <c r="F597" s="2529">
        <f>F591-F593+F595</f>
        <v>1470.0906500000001</v>
      </c>
      <c r="G597" s="2528">
        <f>G591-G593+G595</f>
        <v>28211.378979999998</v>
      </c>
      <c r="H597" s="2529">
        <f>H591-H593+H595</f>
        <v>0</v>
      </c>
      <c r="I597" s="2499">
        <f t="shared" si="87"/>
        <v>29681.46963</v>
      </c>
      <c r="J597" s="2529">
        <f>J591-J593+J595</f>
        <v>0</v>
      </c>
      <c r="K597" s="2528">
        <f>K591-K593+K595</f>
        <v>0</v>
      </c>
      <c r="L597" s="2529">
        <f>L591-L593+L595</f>
        <v>0</v>
      </c>
      <c r="M597" s="2500">
        <f t="shared" si="88"/>
        <v>0</v>
      </c>
      <c r="N597" s="927"/>
      <c r="O597" s="922"/>
      <c r="P597" s="679"/>
      <c r="Q597" s="706"/>
      <c r="R597" s="109"/>
      <c r="S597" s="706"/>
      <c r="T597" s="708"/>
      <c r="U597" s="706"/>
      <c r="V597" s="706"/>
      <c r="W597" s="706"/>
      <c r="X597" s="706"/>
      <c r="Y597" s="706"/>
      <c r="Z597" s="706"/>
      <c r="AA597" s="706"/>
    </row>
    <row r="598" spans="2:27">
      <c r="B598" s="2464"/>
      <c r="C598" s="2552"/>
      <c r="D598" s="2481">
        <f t="shared" si="86"/>
        <v>0</v>
      </c>
      <c r="E598" s="2551"/>
      <c r="F598" s="2529"/>
      <c r="G598" s="2528"/>
      <c r="H598" s="2529"/>
      <c r="I598" s="2499">
        <f t="shared" si="87"/>
        <v>0</v>
      </c>
      <c r="J598" s="2529"/>
      <c r="K598" s="2528"/>
      <c r="L598" s="2529"/>
      <c r="M598" s="2500">
        <f t="shared" si="88"/>
        <v>0</v>
      </c>
      <c r="O598" s="922"/>
      <c r="P598" s="679"/>
      <c r="Q598" s="706"/>
      <c r="R598" s="109"/>
      <c r="S598" s="706"/>
      <c r="T598" s="708"/>
      <c r="U598" s="706"/>
      <c r="V598" s="706"/>
      <c r="W598" s="706"/>
      <c r="X598" s="706"/>
      <c r="Y598" s="706"/>
      <c r="Z598" s="706"/>
      <c r="AA598" s="706"/>
    </row>
    <row r="599" spans="2:27">
      <c r="B599" s="2464" t="s">
        <v>337</v>
      </c>
      <c r="C599" s="2552"/>
      <c r="D599" s="2481">
        <f t="shared" si="86"/>
        <v>77467.341480000003</v>
      </c>
      <c r="E599" s="2551">
        <f>SUM(E600:E604)</f>
        <v>36696.012640000001</v>
      </c>
      <c r="F599" s="2529">
        <f>SUM(F600:F604)</f>
        <v>1976.6792405437036</v>
      </c>
      <c r="G599" s="2528">
        <f>SUM(G600:G604)</f>
        <v>38794.649599456294</v>
      </c>
      <c r="H599" s="2529">
        <f>SUM(H600:H604)</f>
        <v>0</v>
      </c>
      <c r="I599" s="2499">
        <f t="shared" si="87"/>
        <v>40771.328839999995</v>
      </c>
      <c r="J599" s="2529">
        <f>SUM(J600:J604)</f>
        <v>0</v>
      </c>
      <c r="K599" s="2528">
        <f>SUM(K600:K604)</f>
        <v>0</v>
      </c>
      <c r="L599" s="2529">
        <f>SUM(L600:L604)</f>
        <v>0</v>
      </c>
      <c r="M599" s="2500">
        <f t="shared" si="88"/>
        <v>0</v>
      </c>
      <c r="N599" s="927"/>
      <c r="O599" s="922"/>
      <c r="P599" s="679"/>
      <c r="Q599" s="706"/>
      <c r="R599" s="109"/>
      <c r="S599" s="706"/>
      <c r="T599" s="708"/>
      <c r="U599" s="706"/>
      <c r="V599" s="706"/>
      <c r="W599" s="706"/>
      <c r="X599" s="706"/>
      <c r="Y599" s="706"/>
      <c r="Z599" s="706"/>
      <c r="AA599" s="706"/>
    </row>
    <row r="600" spans="2:27">
      <c r="B600" s="2460" t="s">
        <v>338</v>
      </c>
      <c r="C600" s="2550">
        <v>1</v>
      </c>
      <c r="D600" s="2481">
        <f t="shared" si="86"/>
        <v>76283.845759999997</v>
      </c>
      <c r="E600" s="2551">
        <v>36696.012640000001</v>
      </c>
      <c r="F600" s="2529">
        <v>1976.6792405437036</v>
      </c>
      <c r="G600" s="2528">
        <v>37611.153879456295</v>
      </c>
      <c r="H600" s="2529"/>
      <c r="I600" s="2499">
        <f t="shared" si="87"/>
        <v>39587.833119999996</v>
      </c>
      <c r="J600" s="2529"/>
      <c r="K600" s="2528"/>
      <c r="L600" s="2529"/>
      <c r="M600" s="2500">
        <f t="shared" si="88"/>
        <v>0</v>
      </c>
      <c r="N600" s="922"/>
      <c r="O600" s="922"/>
      <c r="P600" s="679"/>
      <c r="Q600" s="706"/>
      <c r="R600" s="109"/>
      <c r="S600" s="706"/>
      <c r="T600" s="708"/>
      <c r="U600" s="706"/>
      <c r="V600" s="706"/>
      <c r="W600" s="706"/>
      <c r="X600" s="706"/>
      <c r="Y600" s="706"/>
      <c r="Z600" s="706"/>
      <c r="AA600" s="706"/>
    </row>
    <row r="601" spans="2:27">
      <c r="B601" s="2460" t="s">
        <v>339</v>
      </c>
      <c r="C601" s="2550">
        <v>2</v>
      </c>
      <c r="D601" s="2481">
        <f t="shared" si="86"/>
        <v>1183.4957200000001</v>
      </c>
      <c r="E601" s="2551">
        <v>0</v>
      </c>
      <c r="F601" s="2529">
        <v>0</v>
      </c>
      <c r="G601" s="2528">
        <v>1183.4957200000001</v>
      </c>
      <c r="H601" s="2529"/>
      <c r="I601" s="2499">
        <f t="shared" si="87"/>
        <v>1183.4957200000001</v>
      </c>
      <c r="J601" s="2529"/>
      <c r="K601" s="2528"/>
      <c r="L601" s="2529"/>
      <c r="M601" s="2500">
        <f t="shared" si="88"/>
        <v>0</v>
      </c>
      <c r="N601" s="922"/>
      <c r="O601" s="922"/>
      <c r="P601" s="679"/>
      <c r="Q601" s="706"/>
      <c r="R601" s="109"/>
      <c r="S601" s="706"/>
      <c r="T601" s="708"/>
      <c r="U601" s="706"/>
      <c r="V601" s="706"/>
      <c r="W601" s="706"/>
      <c r="X601" s="706"/>
      <c r="Y601" s="706"/>
      <c r="Z601" s="706"/>
      <c r="AA601" s="706"/>
    </row>
    <row r="602" spans="2:27">
      <c r="B602" s="2460" t="s">
        <v>340</v>
      </c>
      <c r="C602" s="2550"/>
      <c r="D602" s="2481">
        <f t="shared" si="86"/>
        <v>0</v>
      </c>
      <c r="E602" s="2551"/>
      <c r="F602" s="2529"/>
      <c r="G602" s="2528"/>
      <c r="H602" s="2529"/>
      <c r="I602" s="2499">
        <f t="shared" si="87"/>
        <v>0</v>
      </c>
      <c r="J602" s="2529"/>
      <c r="K602" s="2528"/>
      <c r="L602" s="2529"/>
      <c r="M602" s="2500">
        <f t="shared" si="88"/>
        <v>0</v>
      </c>
      <c r="N602" s="922"/>
      <c r="O602" s="922"/>
      <c r="P602" s="679"/>
      <c r="Q602" s="706"/>
      <c r="R602" s="109"/>
      <c r="S602" s="706"/>
      <c r="T602" s="708"/>
      <c r="U602" s="706"/>
      <c r="V602" s="706"/>
      <c r="W602" s="706"/>
      <c r="X602" s="706"/>
      <c r="Y602" s="706"/>
      <c r="Z602" s="706"/>
      <c r="AA602" s="706"/>
    </row>
    <row r="603" spans="2:27">
      <c r="B603" s="2460" t="s">
        <v>341</v>
      </c>
      <c r="C603" s="2550"/>
      <c r="D603" s="2481">
        <f t="shared" si="86"/>
        <v>0</v>
      </c>
      <c r="E603" s="2551"/>
      <c r="F603" s="2529"/>
      <c r="G603" s="2528"/>
      <c r="H603" s="2529"/>
      <c r="I603" s="2499">
        <f t="shared" si="87"/>
        <v>0</v>
      </c>
      <c r="J603" s="2529"/>
      <c r="K603" s="2528"/>
      <c r="L603" s="2529"/>
      <c r="M603" s="2500">
        <f t="shared" si="88"/>
        <v>0</v>
      </c>
      <c r="N603" s="922"/>
      <c r="O603" s="922"/>
      <c r="P603" s="679"/>
      <c r="Q603" s="706"/>
      <c r="R603" s="109"/>
      <c r="S603" s="706"/>
      <c r="T603" s="708"/>
      <c r="U603" s="706"/>
      <c r="V603" s="706"/>
      <c r="W603" s="706"/>
      <c r="X603" s="706"/>
      <c r="Y603" s="706"/>
      <c r="Z603" s="706"/>
      <c r="AA603" s="706"/>
    </row>
    <row r="604" spans="2:27">
      <c r="B604" s="2460" t="s">
        <v>342</v>
      </c>
      <c r="C604" s="2550">
        <v>3</v>
      </c>
      <c r="D604" s="2481">
        <f t="shared" si="86"/>
        <v>0</v>
      </c>
      <c r="E604" s="2551"/>
      <c r="F604" s="2529"/>
      <c r="G604" s="2528"/>
      <c r="H604" s="2529"/>
      <c r="I604" s="2499">
        <f t="shared" si="87"/>
        <v>0</v>
      </c>
      <c r="J604" s="2529"/>
      <c r="K604" s="2528"/>
      <c r="L604" s="2529"/>
      <c r="M604" s="2500">
        <f t="shared" si="88"/>
        <v>0</v>
      </c>
      <c r="N604" s="922"/>
      <c r="O604" s="922"/>
      <c r="P604" s="679"/>
      <c r="Q604" s="706"/>
      <c r="R604" s="109"/>
      <c r="S604" s="706"/>
      <c r="T604" s="708"/>
      <c r="U604" s="706"/>
      <c r="V604" s="706"/>
      <c r="W604" s="706"/>
      <c r="X604" s="706"/>
      <c r="Y604" s="706"/>
      <c r="Z604" s="706"/>
      <c r="AA604" s="706"/>
    </row>
    <row r="605" spans="2:27">
      <c r="B605" s="2460" t="s">
        <v>343</v>
      </c>
      <c r="C605" s="2550"/>
      <c r="D605" s="2481">
        <f t="shared" si="86"/>
        <v>0</v>
      </c>
      <c r="E605" s="2551"/>
      <c r="F605" s="2529"/>
      <c r="G605" s="2528"/>
      <c r="H605" s="2529"/>
      <c r="I605" s="2499">
        <f t="shared" si="87"/>
        <v>0</v>
      </c>
      <c r="J605" s="2529"/>
      <c r="K605" s="2528"/>
      <c r="L605" s="2529"/>
      <c r="M605" s="2500">
        <f t="shared" si="88"/>
        <v>0</v>
      </c>
      <c r="O605" s="922"/>
      <c r="P605" s="679"/>
      <c r="Q605" s="706"/>
      <c r="R605" s="109"/>
      <c r="S605" s="706"/>
      <c r="T605" s="708"/>
      <c r="U605" s="706"/>
      <c r="V605" s="706"/>
      <c r="W605" s="706"/>
      <c r="X605" s="706"/>
      <c r="Y605" s="706"/>
      <c r="Z605" s="706"/>
      <c r="AA605" s="706"/>
    </row>
    <row r="606" spans="2:27">
      <c r="B606" s="2460" t="s">
        <v>343</v>
      </c>
      <c r="C606" s="2550"/>
      <c r="D606" s="2481">
        <f t="shared" si="86"/>
        <v>0</v>
      </c>
      <c r="E606" s="2551"/>
      <c r="F606" s="2529"/>
      <c r="G606" s="2528"/>
      <c r="H606" s="2529"/>
      <c r="I606" s="2499">
        <f t="shared" si="87"/>
        <v>0</v>
      </c>
      <c r="J606" s="2529"/>
      <c r="K606" s="2528"/>
      <c r="L606" s="2529"/>
      <c r="M606" s="2500">
        <f t="shared" si="88"/>
        <v>0</v>
      </c>
      <c r="O606" s="922"/>
      <c r="P606" s="679"/>
      <c r="Q606" s="706"/>
      <c r="R606" s="109"/>
      <c r="S606" s="706"/>
      <c r="T606" s="708"/>
      <c r="U606" s="706"/>
      <c r="V606" s="706"/>
      <c r="W606" s="706"/>
      <c r="X606" s="706"/>
      <c r="Y606" s="706"/>
      <c r="Z606" s="706"/>
      <c r="AA606" s="706"/>
    </row>
    <row r="607" spans="2:27">
      <c r="B607" s="2460"/>
      <c r="C607" s="2550"/>
      <c r="D607" s="2481">
        <f t="shared" si="86"/>
        <v>0</v>
      </c>
      <c r="E607" s="2551"/>
      <c r="F607" s="2529"/>
      <c r="G607" s="2528"/>
      <c r="H607" s="2529"/>
      <c r="I607" s="2499">
        <f t="shared" si="87"/>
        <v>0</v>
      </c>
      <c r="J607" s="2529"/>
      <c r="K607" s="2528"/>
      <c r="L607" s="2529"/>
      <c r="M607" s="2500">
        <f t="shared" si="88"/>
        <v>0</v>
      </c>
      <c r="O607" s="922"/>
      <c r="P607" s="679"/>
      <c r="Q607" s="706"/>
      <c r="R607" s="109"/>
      <c r="S607" s="706"/>
      <c r="T607" s="708"/>
      <c r="U607" s="706"/>
      <c r="V607" s="706"/>
      <c r="W607" s="706"/>
      <c r="X607" s="706"/>
      <c r="Y607" s="706"/>
      <c r="Z607" s="706"/>
      <c r="AA607" s="706"/>
    </row>
    <row r="608" spans="2:27">
      <c r="B608" s="2466" t="s">
        <v>344</v>
      </c>
      <c r="C608" s="2552"/>
      <c r="D608" s="2481">
        <f t="shared" si="86"/>
        <v>107148.81111</v>
      </c>
      <c r="E608" s="2551">
        <f>E597+E599</f>
        <v>36696.012640000001</v>
      </c>
      <c r="F608" s="2529">
        <f>F597+F599</f>
        <v>3446.7698905437037</v>
      </c>
      <c r="G608" s="2528">
        <f>G597+G599</f>
        <v>67006.028579456295</v>
      </c>
      <c r="H608" s="2529">
        <f>H597+H599</f>
        <v>0</v>
      </c>
      <c r="I608" s="2499">
        <f t="shared" si="87"/>
        <v>70452.798469999994</v>
      </c>
      <c r="J608" s="2529">
        <f>J597+J599</f>
        <v>0</v>
      </c>
      <c r="K608" s="2528">
        <f>K597+K599</f>
        <v>0</v>
      </c>
      <c r="L608" s="2529">
        <f>L597+L599</f>
        <v>0</v>
      </c>
      <c r="M608" s="2500">
        <f t="shared" si="88"/>
        <v>0</v>
      </c>
      <c r="N608" s="927"/>
      <c r="O608" s="922"/>
      <c r="P608" s="679"/>
      <c r="Q608" s="706"/>
      <c r="R608" s="109"/>
      <c r="S608" s="706"/>
      <c r="T608" s="708"/>
      <c r="U608" s="706"/>
      <c r="V608" s="706"/>
      <c r="W608" s="706"/>
      <c r="X608" s="706"/>
      <c r="Y608" s="706"/>
      <c r="Z608" s="706"/>
      <c r="AA608" s="706"/>
    </row>
    <row r="609" spans="2:27">
      <c r="B609" s="2466"/>
      <c r="C609" s="2552"/>
      <c r="D609" s="2481">
        <f t="shared" si="86"/>
        <v>0</v>
      </c>
      <c r="E609" s="2551"/>
      <c r="F609" s="2529"/>
      <c r="G609" s="2528"/>
      <c r="H609" s="2529"/>
      <c r="I609" s="2499">
        <f t="shared" si="87"/>
        <v>0</v>
      </c>
      <c r="J609" s="2529"/>
      <c r="K609" s="2528"/>
      <c r="L609" s="2529"/>
      <c r="M609" s="2500"/>
      <c r="O609" s="922"/>
      <c r="P609" s="679"/>
      <c r="Q609" s="706"/>
      <c r="R609" s="109"/>
      <c r="S609" s="706"/>
      <c r="T609" s="708"/>
      <c r="U609" s="706"/>
      <c r="V609" s="706"/>
      <c r="W609" s="706"/>
      <c r="X609" s="706"/>
      <c r="Y609" s="706"/>
      <c r="Z609" s="706"/>
      <c r="AA609" s="706"/>
    </row>
    <row r="610" spans="2:27">
      <c r="B610" s="2460" t="s">
        <v>345</v>
      </c>
      <c r="C610" s="2550"/>
      <c r="D610" s="2481">
        <f t="shared" si="86"/>
        <v>21886.281749999998</v>
      </c>
      <c r="E610" s="2551"/>
      <c r="F610" s="2529">
        <v>0</v>
      </c>
      <c r="G610" s="2528">
        <v>21886.281749999998</v>
      </c>
      <c r="H610" s="2529"/>
      <c r="I610" s="2499">
        <f t="shared" si="87"/>
        <v>21886.281749999998</v>
      </c>
      <c r="J610" s="2529"/>
      <c r="K610" s="2528"/>
      <c r="L610" s="2529"/>
      <c r="M610" s="2500">
        <f t="shared" ref="M610:M628" si="89">L610+K610+J610</f>
        <v>0</v>
      </c>
      <c r="N610" s="922"/>
      <c r="O610" s="922"/>
      <c r="P610" s="679"/>
      <c r="Q610" s="706"/>
      <c r="R610" s="109"/>
      <c r="S610" s="706"/>
      <c r="T610" s="708"/>
      <c r="U610" s="706"/>
      <c r="V610" s="706"/>
      <c r="W610" s="706"/>
      <c r="X610" s="706"/>
      <c r="Y610" s="706"/>
      <c r="Z610" s="706"/>
      <c r="AA610" s="706"/>
    </row>
    <row r="611" spans="2:27">
      <c r="B611" s="2460" t="s">
        <v>346</v>
      </c>
      <c r="C611" s="2550"/>
      <c r="D611" s="2481">
        <f t="shared" si="86"/>
        <v>-3140.3671400000003</v>
      </c>
      <c r="E611" s="2551"/>
      <c r="F611" s="2529">
        <v>0</v>
      </c>
      <c r="G611" s="2528">
        <v>-3140.3671400000003</v>
      </c>
      <c r="H611" s="2529"/>
      <c r="I611" s="2499">
        <f t="shared" si="87"/>
        <v>-3140.3671400000003</v>
      </c>
      <c r="J611" s="2529"/>
      <c r="K611" s="2528"/>
      <c r="L611" s="2529"/>
      <c r="M611" s="2500">
        <f t="shared" si="89"/>
        <v>0</v>
      </c>
      <c r="N611" s="922"/>
      <c r="O611" s="922"/>
      <c r="P611" s="679"/>
      <c r="Q611" s="706"/>
      <c r="R611" s="109"/>
      <c r="S611" s="706"/>
      <c r="T611" s="708"/>
      <c r="U611" s="706"/>
      <c r="V611" s="706"/>
      <c r="W611" s="706"/>
      <c r="X611" s="706"/>
      <c r="Y611" s="706"/>
      <c r="Z611" s="706"/>
      <c r="AA611" s="706"/>
    </row>
    <row r="612" spans="2:27">
      <c r="B612" s="2460" t="s">
        <v>347</v>
      </c>
      <c r="C612" s="2550"/>
      <c r="D612" s="2481">
        <f t="shared" si="86"/>
        <v>2570.8738599999997</v>
      </c>
      <c r="E612" s="2551"/>
      <c r="F612" s="2529">
        <v>14.950902598520047</v>
      </c>
      <c r="G612" s="2528">
        <v>2555.9229574014798</v>
      </c>
      <c r="H612" s="2529"/>
      <c r="I612" s="2499">
        <f t="shared" si="87"/>
        <v>2570.8738599999997</v>
      </c>
      <c r="J612" s="2529"/>
      <c r="K612" s="2528"/>
      <c r="L612" s="2529"/>
      <c r="M612" s="2500">
        <f t="shared" si="89"/>
        <v>0</v>
      </c>
      <c r="N612" s="922"/>
      <c r="O612" s="922"/>
      <c r="P612" s="679"/>
      <c r="Q612" s="706"/>
      <c r="R612" s="109"/>
      <c r="S612" s="706"/>
      <c r="T612" s="708"/>
      <c r="U612" s="706"/>
      <c r="V612" s="706"/>
      <c r="W612" s="706"/>
      <c r="X612" s="706"/>
      <c r="Y612" s="706"/>
      <c r="Z612" s="706"/>
      <c r="AA612" s="706"/>
    </row>
    <row r="613" spans="2:27" ht="12.75" customHeight="1">
      <c r="B613" s="2467" t="s">
        <v>348</v>
      </c>
      <c r="C613" s="2550"/>
      <c r="D613" s="2481">
        <f t="shared" si="86"/>
        <v>652.63579000000004</v>
      </c>
      <c r="E613" s="2551"/>
      <c r="F613" s="2529">
        <v>0</v>
      </c>
      <c r="G613" s="2528">
        <v>652.63579000000004</v>
      </c>
      <c r="H613" s="2529"/>
      <c r="I613" s="2499">
        <f t="shared" si="87"/>
        <v>652.63579000000004</v>
      </c>
      <c r="J613" s="2529"/>
      <c r="K613" s="2528"/>
      <c r="L613" s="2529"/>
      <c r="M613" s="2500">
        <f t="shared" si="89"/>
        <v>0</v>
      </c>
      <c r="N613" s="922"/>
      <c r="O613" s="922"/>
      <c r="P613" s="679"/>
      <c r="Q613" s="706"/>
      <c r="R613" s="109"/>
      <c r="S613" s="706"/>
      <c r="T613" s="708"/>
      <c r="U613" s="706"/>
      <c r="V613" s="706"/>
      <c r="W613" s="706"/>
      <c r="X613" s="706"/>
      <c r="Y613" s="706"/>
      <c r="Z613" s="706"/>
      <c r="AA613" s="706"/>
    </row>
    <row r="614" spans="2:27">
      <c r="B614" s="2460" t="s">
        <v>349</v>
      </c>
      <c r="C614" s="2550"/>
      <c r="D614" s="2481">
        <f t="shared" si="86"/>
        <v>-52670.780160000009</v>
      </c>
      <c r="E614" s="2551"/>
      <c r="F614" s="2529">
        <v>472.97030261850455</v>
      </c>
      <c r="G614" s="2528">
        <v>-53143.750462618511</v>
      </c>
      <c r="H614" s="2529"/>
      <c r="I614" s="2499">
        <f t="shared" si="87"/>
        <v>-52670.780160000009</v>
      </c>
      <c r="J614" s="2529"/>
      <c r="K614" s="2528"/>
      <c r="L614" s="2529"/>
      <c r="M614" s="2500">
        <f t="shared" si="89"/>
        <v>0</v>
      </c>
      <c r="N614" s="922"/>
      <c r="O614" s="922"/>
      <c r="P614" s="679"/>
      <c r="Q614" s="706"/>
      <c r="R614" s="109"/>
      <c r="S614" s="706"/>
      <c r="T614" s="708"/>
      <c r="U614" s="706"/>
      <c r="V614" s="706"/>
      <c r="W614" s="706"/>
      <c r="X614" s="706"/>
      <c r="Y614" s="706"/>
      <c r="Z614" s="706"/>
      <c r="AA614" s="706"/>
    </row>
    <row r="615" spans="2:27" ht="25.5">
      <c r="B615" s="2467" t="s">
        <v>350</v>
      </c>
      <c r="C615" s="2550"/>
      <c r="D615" s="2481">
        <f t="shared" si="86"/>
        <v>0</v>
      </c>
      <c r="E615" s="2551"/>
      <c r="F615" s="2529"/>
      <c r="G615" s="2528"/>
      <c r="H615" s="2529"/>
      <c r="I615" s="2499">
        <f t="shared" si="87"/>
        <v>0</v>
      </c>
      <c r="J615" s="2529"/>
      <c r="K615" s="2528"/>
      <c r="L615" s="2529"/>
      <c r="M615" s="2500">
        <f t="shared" si="89"/>
        <v>0</v>
      </c>
      <c r="N615" s="922"/>
      <c r="O615" s="922"/>
      <c r="P615" s="679"/>
      <c r="Q615" s="706"/>
      <c r="R615" s="109"/>
      <c r="S615" s="706"/>
      <c r="T615" s="708"/>
      <c r="U615" s="706"/>
      <c r="V615" s="706"/>
      <c r="W615" s="706"/>
      <c r="X615" s="706"/>
      <c r="Y615" s="706"/>
      <c r="Z615" s="706"/>
      <c r="AA615" s="706"/>
    </row>
    <row r="616" spans="2:27">
      <c r="B616" s="2466" t="s">
        <v>351</v>
      </c>
      <c r="C616" s="2552"/>
      <c r="D616" s="2481">
        <f t="shared" si="86"/>
        <v>-30701.355900000006</v>
      </c>
      <c r="E616" s="2551">
        <f>SUM(E610:E615)</f>
        <v>0</v>
      </c>
      <c r="F616" s="2529">
        <f>SUM(F610:F615)</f>
        <v>487.92120521702458</v>
      </c>
      <c r="G616" s="2528">
        <f>SUM(G610:G615)</f>
        <v>-31189.277105217032</v>
      </c>
      <c r="H616" s="2529">
        <f>SUM(H610:H615)</f>
        <v>0</v>
      </c>
      <c r="I616" s="2499">
        <f t="shared" si="87"/>
        <v>-30701.355900000006</v>
      </c>
      <c r="J616" s="2529">
        <f>SUM(J610:J615)</f>
        <v>0</v>
      </c>
      <c r="K616" s="2528">
        <f>SUM(K610:K615)</f>
        <v>0</v>
      </c>
      <c r="L616" s="2529">
        <f>SUM(L610:L615)</f>
        <v>0</v>
      </c>
      <c r="M616" s="2500">
        <f t="shared" si="89"/>
        <v>0</v>
      </c>
      <c r="N616" s="927"/>
      <c r="O616" s="922"/>
      <c r="P616" s="679"/>
      <c r="Q616" s="706"/>
      <c r="R616" s="109"/>
      <c r="S616" s="706"/>
      <c r="T616" s="708"/>
      <c r="U616" s="706"/>
      <c r="V616" s="706"/>
      <c r="W616" s="706"/>
      <c r="X616" s="706"/>
      <c r="Y616" s="706"/>
      <c r="Z616" s="706"/>
      <c r="AA616" s="706"/>
    </row>
    <row r="617" spans="2:27">
      <c r="B617" s="2460"/>
      <c r="C617" s="2550"/>
      <c r="D617" s="2481">
        <f t="shared" si="86"/>
        <v>0</v>
      </c>
      <c r="E617" s="2551"/>
      <c r="F617" s="2529"/>
      <c r="G617" s="2528"/>
      <c r="H617" s="2529"/>
      <c r="I617" s="2499">
        <f t="shared" si="87"/>
        <v>0</v>
      </c>
      <c r="J617" s="2529"/>
      <c r="K617" s="2528"/>
      <c r="L617" s="2529"/>
      <c r="M617" s="2500">
        <f t="shared" si="89"/>
        <v>0</v>
      </c>
      <c r="O617" s="922"/>
      <c r="P617" s="679"/>
      <c r="Q617" s="706"/>
      <c r="R617" s="109"/>
      <c r="S617" s="706"/>
      <c r="T617" s="708"/>
      <c r="U617" s="706"/>
      <c r="V617" s="706"/>
      <c r="W617" s="706"/>
      <c r="X617" s="706"/>
      <c r="Y617" s="706"/>
      <c r="Z617" s="706"/>
      <c r="AA617" s="706"/>
    </row>
    <row r="618" spans="2:27" ht="25.5">
      <c r="B618" s="2467" t="s">
        <v>352</v>
      </c>
      <c r="C618" s="2550"/>
      <c r="D618" s="2481">
        <f t="shared" si="86"/>
        <v>-75.910739999999905</v>
      </c>
      <c r="E618" s="2551"/>
      <c r="F618" s="2529">
        <v>26.411188593472151</v>
      </c>
      <c r="G618" s="2528">
        <v>-102.32192859347205</v>
      </c>
      <c r="H618" s="2529"/>
      <c r="I618" s="2499">
        <f t="shared" si="87"/>
        <v>-75.910739999999905</v>
      </c>
      <c r="J618" s="2529"/>
      <c r="K618" s="2528"/>
      <c r="L618" s="2529"/>
      <c r="M618" s="2500">
        <f t="shared" si="89"/>
        <v>0</v>
      </c>
      <c r="N618" s="922"/>
      <c r="O618" s="922"/>
      <c r="P618" s="679"/>
      <c r="Q618" s="706"/>
      <c r="R618" s="109"/>
      <c r="S618" s="706"/>
      <c r="T618" s="708"/>
      <c r="U618" s="706"/>
      <c r="V618" s="706"/>
      <c r="W618" s="706"/>
      <c r="X618" s="706"/>
      <c r="Y618" s="706"/>
      <c r="Z618" s="706"/>
      <c r="AA618" s="706"/>
    </row>
    <row r="619" spans="2:27">
      <c r="B619" s="2460"/>
      <c r="C619" s="2550"/>
      <c r="D619" s="2481">
        <f t="shared" si="86"/>
        <v>0</v>
      </c>
      <c r="E619" s="2551"/>
      <c r="F619" s="2529"/>
      <c r="G619" s="2528"/>
      <c r="H619" s="2529"/>
      <c r="I619" s="2499">
        <f t="shared" si="87"/>
        <v>0</v>
      </c>
      <c r="J619" s="2529"/>
      <c r="K619" s="2528"/>
      <c r="L619" s="2529"/>
      <c r="M619" s="2500">
        <f t="shared" si="89"/>
        <v>0</v>
      </c>
      <c r="N619" s="922"/>
      <c r="O619" s="922"/>
      <c r="P619" s="679"/>
      <c r="Q619" s="706"/>
      <c r="R619" s="109"/>
      <c r="S619" s="706"/>
      <c r="T619" s="708"/>
      <c r="U619" s="706"/>
      <c r="V619" s="706"/>
      <c r="W619" s="706"/>
      <c r="X619" s="706"/>
      <c r="Y619" s="706"/>
      <c r="Z619" s="706"/>
      <c r="AA619" s="706"/>
    </row>
    <row r="620" spans="2:27" ht="12.75" customHeight="1">
      <c r="B620" s="2467" t="s">
        <v>353</v>
      </c>
      <c r="C620" s="2550">
        <v>4</v>
      </c>
      <c r="D620" s="2481">
        <f t="shared" si="86"/>
        <v>100781.48386000001</v>
      </c>
      <c r="E620" s="2551"/>
      <c r="F620" s="2529">
        <v>2919.4429730568459</v>
      </c>
      <c r="G620" s="2528">
        <v>97862.040886943156</v>
      </c>
      <c r="H620" s="2529"/>
      <c r="I620" s="2499">
        <f t="shared" si="87"/>
        <v>100781.48386000001</v>
      </c>
      <c r="J620" s="2529"/>
      <c r="K620" s="2528"/>
      <c r="L620" s="2529"/>
      <c r="M620" s="2500">
        <f t="shared" si="89"/>
        <v>0</v>
      </c>
      <c r="N620" s="922"/>
      <c r="O620" s="922"/>
      <c r="P620" s="679"/>
      <c r="Q620" s="706"/>
      <c r="R620" s="109"/>
      <c r="S620" s="706"/>
      <c r="T620" s="708"/>
      <c r="U620" s="706"/>
      <c r="V620" s="706"/>
      <c r="W620" s="706"/>
      <c r="X620" s="706"/>
      <c r="Y620" s="706"/>
      <c r="Z620" s="706"/>
      <c r="AA620" s="706"/>
    </row>
    <row r="621" spans="2:27">
      <c r="B621" s="2460" t="s">
        <v>354</v>
      </c>
      <c r="C621" s="2550"/>
      <c r="D621" s="2481">
        <f t="shared" si="86"/>
        <v>0</v>
      </c>
      <c r="E621" s="2551"/>
      <c r="F621" s="2529"/>
      <c r="G621" s="2528"/>
      <c r="H621" s="2529"/>
      <c r="I621" s="2499">
        <f t="shared" si="87"/>
        <v>0</v>
      </c>
      <c r="J621" s="2529"/>
      <c r="K621" s="2528"/>
      <c r="L621" s="2529"/>
      <c r="M621" s="2500">
        <f t="shared" si="89"/>
        <v>0</v>
      </c>
      <c r="N621" s="922"/>
      <c r="O621" s="922"/>
      <c r="P621" s="679"/>
      <c r="Q621" s="706"/>
      <c r="R621" s="109"/>
      <c r="S621" s="706"/>
      <c r="T621" s="708"/>
      <c r="U621" s="706"/>
      <c r="V621" s="706"/>
      <c r="W621" s="706"/>
      <c r="X621" s="706"/>
      <c r="Y621" s="706"/>
      <c r="Z621" s="706"/>
      <c r="AA621" s="706"/>
    </row>
    <row r="622" spans="2:27">
      <c r="B622" s="2460" t="s">
        <v>355</v>
      </c>
      <c r="C622" s="2550"/>
      <c r="D622" s="2536">
        <f t="shared" si="86"/>
        <v>448.58125000000001</v>
      </c>
      <c r="E622" s="2553"/>
      <c r="F622" s="2529">
        <v>12.994523676360924</v>
      </c>
      <c r="G622" s="2528">
        <v>435.58672632363908</v>
      </c>
      <c r="H622" s="2529"/>
      <c r="I622" s="2499">
        <f t="shared" si="87"/>
        <v>448.58125000000001</v>
      </c>
      <c r="J622" s="2529"/>
      <c r="K622" s="2528"/>
      <c r="L622" s="2529"/>
      <c r="M622" s="2500">
        <f t="shared" si="89"/>
        <v>0</v>
      </c>
      <c r="N622" s="922"/>
      <c r="O622" s="922"/>
      <c r="P622" s="679"/>
      <c r="Q622" s="706"/>
      <c r="R622" s="109"/>
      <c r="S622" s="706"/>
      <c r="T622" s="708"/>
      <c r="U622" s="706"/>
      <c r="V622" s="706"/>
      <c r="W622" s="706"/>
      <c r="X622" s="706"/>
      <c r="Y622" s="706"/>
      <c r="Z622" s="706"/>
      <c r="AA622" s="706"/>
    </row>
    <row r="623" spans="2:27">
      <c r="B623" s="2466" t="s">
        <v>356</v>
      </c>
      <c r="C623" s="2552"/>
      <c r="D623" s="2536">
        <f t="shared" si="86"/>
        <v>101230.06511000001</v>
      </c>
      <c r="E623" s="2553">
        <f>SUM(E620:E622)</f>
        <v>0</v>
      </c>
      <c r="F623" s="2529">
        <f>SUM(F620:F622)</f>
        <v>2932.4374967332069</v>
      </c>
      <c r="G623" s="2528">
        <f>SUM(G620:G622)</f>
        <v>98297.627613266799</v>
      </c>
      <c r="H623" s="2529">
        <f>SUM(H620:H622)</f>
        <v>0</v>
      </c>
      <c r="I623" s="2499">
        <f t="shared" si="87"/>
        <v>101230.06511000001</v>
      </c>
      <c r="J623" s="2529">
        <f>SUM(J620:J622)</f>
        <v>0</v>
      </c>
      <c r="K623" s="2528">
        <f>SUM(K620:K622)</f>
        <v>0</v>
      </c>
      <c r="L623" s="2529">
        <f>SUM(L620:L622)</f>
        <v>0</v>
      </c>
      <c r="M623" s="2500">
        <f t="shared" si="89"/>
        <v>0</v>
      </c>
      <c r="N623" s="927"/>
      <c r="O623" s="922"/>
      <c r="P623" s="679"/>
      <c r="Q623" s="706"/>
      <c r="R623" s="109"/>
      <c r="S623" s="706"/>
      <c r="T623" s="708"/>
      <c r="U623" s="706"/>
      <c r="V623" s="706"/>
      <c r="W623" s="706"/>
      <c r="X623" s="706"/>
      <c r="Y623" s="706"/>
      <c r="Z623" s="706"/>
      <c r="AA623" s="706"/>
    </row>
    <row r="624" spans="2:27">
      <c r="B624" s="2466"/>
      <c r="C624" s="2552"/>
      <c r="D624" s="2536">
        <f t="shared" si="86"/>
        <v>0</v>
      </c>
      <c r="E624" s="2553"/>
      <c r="F624" s="2529"/>
      <c r="G624" s="2528"/>
      <c r="H624" s="2529"/>
      <c r="I624" s="2499">
        <f t="shared" si="87"/>
        <v>0</v>
      </c>
      <c r="J624" s="2529"/>
      <c r="K624" s="2528"/>
      <c r="L624" s="2529"/>
      <c r="M624" s="2500">
        <f t="shared" si="89"/>
        <v>0</v>
      </c>
      <c r="O624" s="922"/>
      <c r="P624" s="679"/>
      <c r="Q624" s="706"/>
      <c r="R624" s="109"/>
      <c r="S624" s="706"/>
      <c r="T624" s="708"/>
      <c r="U624" s="706"/>
      <c r="V624" s="706"/>
      <c r="W624" s="706"/>
      <c r="X624" s="706"/>
      <c r="Y624" s="706"/>
      <c r="Z624" s="706"/>
      <c r="AA624" s="706"/>
    </row>
    <row r="625" spans="1:27">
      <c r="B625" s="2466" t="s">
        <v>357</v>
      </c>
      <c r="C625" s="2552"/>
      <c r="D625" s="2536">
        <f t="shared" si="86"/>
        <v>36696.012640000001</v>
      </c>
      <c r="E625" s="2553">
        <f>E608-E616-E618-E623</f>
        <v>36696.012640000001</v>
      </c>
      <c r="F625" s="2529">
        <f>F608-F616-F618-F623</f>
        <v>0</v>
      </c>
      <c r="G625" s="2528">
        <f>G608-G616-G618-G623</f>
        <v>0</v>
      </c>
      <c r="H625" s="2529">
        <f>H608-H616-H618-H623</f>
        <v>0</v>
      </c>
      <c r="I625" s="2499">
        <f t="shared" si="87"/>
        <v>0</v>
      </c>
      <c r="J625" s="2529">
        <f>J608-J616-J618-J623</f>
        <v>0</v>
      </c>
      <c r="K625" s="2528">
        <f>K608-K616-K618-K623</f>
        <v>0</v>
      </c>
      <c r="L625" s="2529">
        <f>L608-L616-L618-L623</f>
        <v>0</v>
      </c>
      <c r="M625" s="2500">
        <f t="shared" si="89"/>
        <v>0</v>
      </c>
      <c r="N625" s="927"/>
      <c r="O625" s="922"/>
      <c r="P625" s="679"/>
      <c r="Q625" s="706"/>
      <c r="R625" s="109"/>
      <c r="S625" s="706"/>
      <c r="T625" s="708"/>
      <c r="U625" s="706"/>
      <c r="V625" s="706"/>
      <c r="W625" s="706"/>
      <c r="X625" s="706"/>
      <c r="Y625" s="706"/>
      <c r="Z625" s="706"/>
      <c r="AA625" s="706"/>
    </row>
    <row r="626" spans="1:27">
      <c r="B626" s="2460" t="s">
        <v>358</v>
      </c>
      <c r="C626" s="2550"/>
      <c r="D626" s="2536">
        <f t="shared" si="86"/>
        <v>134395.53146</v>
      </c>
      <c r="E626" s="2553">
        <v>134395.53146</v>
      </c>
      <c r="F626" s="2529"/>
      <c r="G626" s="2528"/>
      <c r="H626" s="2529"/>
      <c r="I626" s="2499">
        <f t="shared" si="87"/>
        <v>0</v>
      </c>
      <c r="J626" s="2529"/>
      <c r="K626" s="2528"/>
      <c r="L626" s="2529"/>
      <c r="M626" s="2500">
        <f t="shared" si="89"/>
        <v>0</v>
      </c>
      <c r="N626" s="922"/>
      <c r="O626" s="922"/>
      <c r="P626" s="679"/>
      <c r="Q626" s="706"/>
      <c r="R626" s="109"/>
      <c r="S626" s="706"/>
      <c r="T626" s="708"/>
      <c r="U626" s="706"/>
      <c r="V626" s="706"/>
      <c r="W626" s="706"/>
      <c r="X626" s="706"/>
      <c r="Y626" s="706"/>
      <c r="Z626" s="706"/>
      <c r="AA626" s="706"/>
    </row>
    <row r="627" spans="1:27">
      <c r="B627" s="2460"/>
      <c r="C627" s="2550"/>
      <c r="D627" s="2536">
        <f t="shared" si="86"/>
        <v>0</v>
      </c>
      <c r="E627" s="2553"/>
      <c r="F627" s="2529"/>
      <c r="G627" s="2528"/>
      <c r="H627" s="2529"/>
      <c r="I627" s="2499">
        <f t="shared" si="87"/>
        <v>0</v>
      </c>
      <c r="J627" s="2529"/>
      <c r="K627" s="2528"/>
      <c r="L627" s="2529"/>
      <c r="M627" s="2500">
        <f t="shared" si="89"/>
        <v>0</v>
      </c>
      <c r="O627" s="922"/>
      <c r="P627" s="679"/>
      <c r="Q627" s="706"/>
      <c r="R627" s="109"/>
      <c r="S627" s="706"/>
      <c r="T627" s="708"/>
      <c r="U627" s="706"/>
      <c r="V627" s="706"/>
      <c r="W627" s="706"/>
      <c r="X627" s="706"/>
      <c r="Y627" s="706"/>
      <c r="Z627" s="706"/>
      <c r="AA627" s="706"/>
    </row>
    <row r="628" spans="1:27" ht="13.5" thickBot="1">
      <c r="B628" s="1602" t="s">
        <v>359</v>
      </c>
      <c r="C628" s="1647"/>
      <c r="D628" s="1672">
        <f t="shared" si="86"/>
        <v>-97699.518819999998</v>
      </c>
      <c r="E628" s="1673">
        <f>E625-E626</f>
        <v>-97699.518819999998</v>
      </c>
      <c r="F628" s="1614">
        <f>F625-F626</f>
        <v>0</v>
      </c>
      <c r="G628" s="1624">
        <f>G625-G626</f>
        <v>0</v>
      </c>
      <c r="H628" s="1614">
        <f>H625-H626</f>
        <v>0</v>
      </c>
      <c r="I628" s="1624">
        <f t="shared" si="87"/>
        <v>0</v>
      </c>
      <c r="J628" s="1614">
        <f>J625-J626</f>
        <v>0</v>
      </c>
      <c r="K628" s="1624">
        <f>K625-K626</f>
        <v>0</v>
      </c>
      <c r="L628" s="1614">
        <f>L625-L626</f>
        <v>0</v>
      </c>
      <c r="M628" s="1639">
        <f t="shared" si="89"/>
        <v>0</v>
      </c>
      <c r="N628" s="927"/>
      <c r="O628" s="922"/>
      <c r="P628" s="679"/>
      <c r="Q628" s="706"/>
      <c r="R628" s="109"/>
      <c r="S628" s="706"/>
      <c r="T628" s="708"/>
      <c r="U628" s="706"/>
      <c r="V628" s="706"/>
      <c r="W628" s="706"/>
      <c r="X628" s="706"/>
      <c r="Y628" s="706"/>
      <c r="Z628" s="706"/>
      <c r="AA628" s="706"/>
    </row>
    <row r="629" spans="1:27">
      <c r="D629" s="684"/>
      <c r="E629" s="684"/>
      <c r="R629" s="109"/>
      <c r="S629" s="699"/>
      <c r="T629" s="699"/>
      <c r="U629" s="699"/>
      <c r="V629" s="699"/>
      <c r="W629" s="699"/>
      <c r="X629" s="699"/>
      <c r="Y629" s="699"/>
      <c r="Z629" s="699"/>
      <c r="AA629" s="699"/>
    </row>
    <row r="630" spans="1:27">
      <c r="D630" s="684"/>
      <c r="E630" s="684"/>
      <c r="F630" s="684"/>
      <c r="G630" s="684"/>
      <c r="H630" s="684"/>
      <c r="I630" s="684"/>
      <c r="M630" s="912">
        <v>76</v>
      </c>
      <c r="R630" s="109"/>
      <c r="S630" s="699"/>
      <c r="T630" s="699"/>
      <c r="U630" s="699"/>
      <c r="V630" s="699"/>
      <c r="W630" s="699"/>
      <c r="X630" s="699"/>
      <c r="Y630" s="699"/>
      <c r="Z630" s="699"/>
      <c r="AA630" s="699"/>
    </row>
    <row r="631" spans="1:27">
      <c r="R631" s="109"/>
      <c r="S631" s="699"/>
      <c r="T631" s="699"/>
      <c r="U631" s="699"/>
      <c r="V631" s="699"/>
      <c r="W631" s="699"/>
      <c r="X631" s="699"/>
      <c r="Y631" s="699"/>
      <c r="Z631" s="699"/>
      <c r="AA631" s="699"/>
    </row>
    <row r="632" spans="1:27" ht="13.5" thickBot="1">
      <c r="R632" s="109"/>
      <c r="S632" s="699"/>
      <c r="T632" s="699"/>
      <c r="U632" s="699"/>
      <c r="V632" s="699"/>
      <c r="W632" s="699"/>
      <c r="X632" s="699"/>
      <c r="Y632" s="699"/>
      <c r="Z632" s="699"/>
      <c r="AA632" s="699"/>
    </row>
    <row r="633" spans="1:27" ht="12.75" customHeight="1" thickBot="1">
      <c r="A633" s="1368" t="s">
        <v>115</v>
      </c>
      <c r="B633" s="1633" t="s">
        <v>318</v>
      </c>
      <c r="C633" s="937"/>
      <c r="L633" s="3538" t="s">
        <v>251</v>
      </c>
      <c r="M633" s="3538"/>
      <c r="R633" s="109"/>
      <c r="S633" s="699"/>
      <c r="T633" s="699"/>
      <c r="U633" s="699"/>
      <c r="V633" s="699"/>
      <c r="W633" s="699"/>
      <c r="X633" s="699"/>
      <c r="Y633" s="699"/>
      <c r="Z633" s="699"/>
      <c r="AA633" s="699"/>
    </row>
    <row r="634" spans="1:27" ht="12.75" customHeight="1" thickBot="1">
      <c r="B634" s="3578" t="s">
        <v>318</v>
      </c>
      <c r="C634" s="3523" t="s">
        <v>325</v>
      </c>
      <c r="D634" s="3518" t="s">
        <v>255</v>
      </c>
      <c r="E634" s="3518" t="s">
        <v>326</v>
      </c>
      <c r="F634" s="3574" t="s">
        <v>258</v>
      </c>
      <c r="G634" s="3574"/>
      <c r="H634" s="3574"/>
      <c r="I634" s="3574"/>
      <c r="J634" s="3574"/>
      <c r="K634" s="3574"/>
      <c r="L634" s="3574"/>
      <c r="M634" s="3574"/>
      <c r="R634" s="109"/>
      <c r="S634" s="699"/>
      <c r="T634" s="699"/>
      <c r="U634" s="699"/>
      <c r="V634" s="699"/>
      <c r="W634" s="699"/>
      <c r="X634" s="699"/>
      <c r="Y634" s="699"/>
      <c r="Z634" s="699"/>
      <c r="AA634" s="699"/>
    </row>
    <row r="635" spans="1:27" ht="12.75" customHeight="1">
      <c r="B635" s="3571"/>
      <c r="C635" s="3524"/>
      <c r="D635" s="3520"/>
      <c r="E635" s="3520"/>
      <c r="F635" s="3575" t="s">
        <v>259</v>
      </c>
      <c r="G635" s="3576"/>
      <c r="H635" s="3576"/>
      <c r="I635" s="3577"/>
      <c r="J635" s="3574" t="s">
        <v>327</v>
      </c>
      <c r="K635" s="3574"/>
      <c r="L635" s="3574"/>
      <c r="M635" s="3574"/>
      <c r="R635" s="699"/>
      <c r="S635" s="699"/>
      <c r="T635" s="699"/>
      <c r="U635" s="699"/>
      <c r="V635" s="699"/>
      <c r="W635" s="699"/>
      <c r="X635" s="699"/>
      <c r="Y635" s="699"/>
      <c r="Z635" s="699"/>
      <c r="AA635" s="699"/>
    </row>
    <row r="636" spans="1:27" ht="61.5" customHeight="1" thickBot="1">
      <c r="B636" s="3571"/>
      <c r="C636" s="3524"/>
      <c r="D636" s="3519"/>
      <c r="E636" s="3519"/>
      <c r="F636" s="1339" t="s">
        <v>261</v>
      </c>
      <c r="G636" s="1339" t="s">
        <v>262</v>
      </c>
      <c r="H636" s="1339" t="s">
        <v>263</v>
      </c>
      <c r="I636" s="1339" t="s">
        <v>158</v>
      </c>
      <c r="J636" s="1588" t="s">
        <v>328</v>
      </c>
      <c r="K636" s="1588" t="s">
        <v>265</v>
      </c>
      <c r="L636" s="1588" t="s">
        <v>329</v>
      </c>
      <c r="M636" s="1588" t="s">
        <v>158</v>
      </c>
      <c r="R636" s="699"/>
      <c r="S636" s="699"/>
      <c r="T636" s="699"/>
      <c r="U636" s="699"/>
      <c r="V636" s="699"/>
      <c r="W636" s="699"/>
      <c r="X636" s="699"/>
      <c r="Y636" s="699"/>
      <c r="Z636" s="699"/>
      <c r="AA636" s="699"/>
    </row>
    <row r="637" spans="1:27" ht="12.75" customHeight="1" thickBot="1">
      <c r="B637" s="3571"/>
      <c r="C637" s="3524"/>
      <c r="D637" s="1589">
        <v>1</v>
      </c>
      <c r="E637" s="3518">
        <v>2</v>
      </c>
      <c r="F637" s="3518">
        <v>3</v>
      </c>
      <c r="G637" s="3518">
        <v>4</v>
      </c>
      <c r="H637" s="1339"/>
      <c r="I637" s="1589">
        <v>6</v>
      </c>
      <c r="J637" s="3518">
        <v>7</v>
      </c>
      <c r="K637" s="3518">
        <v>8</v>
      </c>
      <c r="L637" s="3518">
        <v>9</v>
      </c>
      <c r="M637" s="1589">
        <v>10</v>
      </c>
      <c r="R637" s="699"/>
      <c r="S637" s="699"/>
      <c r="T637" s="699"/>
      <c r="U637" s="699"/>
      <c r="V637" s="699"/>
      <c r="W637" s="699"/>
      <c r="X637" s="699"/>
      <c r="Y637" s="699"/>
      <c r="Z637" s="699"/>
      <c r="AA637" s="699"/>
    </row>
    <row r="638" spans="1:27" ht="13.5" thickBot="1">
      <c r="B638" s="3572"/>
      <c r="C638" s="3525"/>
      <c r="D638" s="1590" t="s">
        <v>330</v>
      </c>
      <c r="E638" s="3519"/>
      <c r="F638" s="3519"/>
      <c r="G638" s="3519"/>
      <c r="H638" s="1590">
        <v>5</v>
      </c>
      <c r="I638" s="1590" t="s">
        <v>331</v>
      </c>
      <c r="J638" s="3519"/>
      <c r="K638" s="3519"/>
      <c r="L638" s="3519"/>
      <c r="M638" s="1590" t="s">
        <v>332</v>
      </c>
      <c r="N638" s="703"/>
      <c r="O638" s="703"/>
      <c r="R638" s="699"/>
      <c r="S638" s="699"/>
      <c r="T638" s="699"/>
      <c r="U638" s="699"/>
      <c r="V638" s="699"/>
      <c r="W638" s="699"/>
      <c r="X638" s="699"/>
      <c r="Y638" s="699"/>
      <c r="Z638" s="699"/>
      <c r="AA638" s="699"/>
    </row>
    <row r="639" spans="1:27">
      <c r="B639" s="1591" t="s">
        <v>333</v>
      </c>
      <c r="C639" s="951"/>
      <c r="D639" s="1592">
        <f t="shared" ref="D639:D676" si="90">E639+I639+M639</f>
        <v>19257996.801399998</v>
      </c>
      <c r="E639" s="949">
        <v>0</v>
      </c>
      <c r="F639" s="947">
        <v>10439613.78767379</v>
      </c>
      <c r="G639" s="949">
        <v>8818383.0137262084</v>
      </c>
      <c r="H639" s="947"/>
      <c r="I639" s="1636">
        <f t="shared" ref="I639:I676" si="91">F639+G639+H639</f>
        <v>19257996.801399998</v>
      </c>
      <c r="J639" s="947"/>
      <c r="K639" s="949"/>
      <c r="L639" s="947"/>
      <c r="M639" s="1637">
        <f t="shared" ref="M639:M656" si="92">L639+K639+J639</f>
        <v>0</v>
      </c>
      <c r="N639" s="922"/>
      <c r="O639" s="922"/>
      <c r="P639" s="679"/>
      <c r="Q639" s="706"/>
      <c r="R639" s="109"/>
      <c r="S639" s="706"/>
      <c r="T639" s="708"/>
      <c r="U639" s="706"/>
      <c r="V639" s="706"/>
      <c r="W639" s="706"/>
      <c r="X639" s="706"/>
      <c r="Y639" s="706"/>
      <c r="Z639" s="706"/>
      <c r="AA639" s="706"/>
    </row>
    <row r="640" spans="1:27">
      <c r="B640" s="2460"/>
      <c r="C640" s="2527"/>
      <c r="D640" s="2481">
        <f t="shared" si="90"/>
        <v>0</v>
      </c>
      <c r="E640" s="2528"/>
      <c r="F640" s="2529"/>
      <c r="G640" s="2528"/>
      <c r="H640" s="2529"/>
      <c r="I640" s="2499">
        <f t="shared" si="91"/>
        <v>0</v>
      </c>
      <c r="J640" s="2529"/>
      <c r="K640" s="2528"/>
      <c r="L640" s="2529"/>
      <c r="M640" s="2500">
        <f t="shared" si="92"/>
        <v>0</v>
      </c>
      <c r="O640" s="922"/>
      <c r="P640" s="679"/>
      <c r="Q640" s="706"/>
      <c r="R640" s="109"/>
      <c r="S640" s="706"/>
      <c r="T640" s="708"/>
      <c r="U640" s="706"/>
      <c r="V640" s="706"/>
      <c r="W640" s="706"/>
      <c r="X640" s="706"/>
      <c r="Y640" s="706"/>
      <c r="Z640" s="706"/>
      <c r="AA640" s="706"/>
    </row>
    <row r="641" spans="2:27">
      <c r="B641" s="2462" t="s">
        <v>334</v>
      </c>
      <c r="C641" s="2527"/>
      <c r="D641" s="2481">
        <f t="shared" si="90"/>
        <v>413573.97072690999</v>
      </c>
      <c r="E641" s="2528">
        <v>0</v>
      </c>
      <c r="F641" s="2529">
        <v>66439.823865992817</v>
      </c>
      <c r="G641" s="2528">
        <v>347134.14686091716</v>
      </c>
      <c r="H641" s="2529"/>
      <c r="I641" s="2499">
        <f t="shared" si="91"/>
        <v>413573.97072690999</v>
      </c>
      <c r="J641" s="2529"/>
      <c r="K641" s="2528"/>
      <c r="L641" s="2529"/>
      <c r="M641" s="2500">
        <f t="shared" si="92"/>
        <v>0</v>
      </c>
      <c r="N641" s="922"/>
      <c r="O641" s="922"/>
      <c r="P641" s="679"/>
      <c r="Q641" s="706"/>
      <c r="R641" s="109"/>
      <c r="S641" s="706"/>
      <c r="T641" s="708"/>
      <c r="U641" s="706"/>
      <c r="V641" s="706"/>
      <c r="W641" s="706"/>
      <c r="X641" s="706"/>
      <c r="Y641" s="706"/>
      <c r="Z641" s="706"/>
      <c r="AA641" s="706"/>
    </row>
    <row r="642" spans="2:27">
      <c r="B642" s="2462"/>
      <c r="C642" s="2527"/>
      <c r="D642" s="2481">
        <f t="shared" si="90"/>
        <v>0</v>
      </c>
      <c r="E642" s="2528"/>
      <c r="F642" s="2529"/>
      <c r="G642" s="2528"/>
      <c r="H642" s="2529"/>
      <c r="I642" s="2499">
        <f t="shared" si="91"/>
        <v>0</v>
      </c>
      <c r="J642" s="2529"/>
      <c r="K642" s="2528"/>
      <c r="L642" s="2529"/>
      <c r="M642" s="2500">
        <f t="shared" si="92"/>
        <v>0</v>
      </c>
      <c r="O642" s="922"/>
      <c r="P642" s="679"/>
      <c r="Q642" s="706"/>
      <c r="R642" s="109"/>
      <c r="S642" s="706"/>
      <c r="T642" s="708"/>
      <c r="U642" s="706"/>
      <c r="V642" s="706"/>
      <c r="W642" s="706"/>
      <c r="X642" s="706"/>
      <c r="Y642" s="706"/>
      <c r="Z642" s="706"/>
      <c r="AA642" s="706"/>
    </row>
    <row r="643" spans="2:27" ht="12.75" customHeight="1">
      <c r="B643" s="2463" t="s">
        <v>335</v>
      </c>
      <c r="C643" s="2527"/>
      <c r="D643" s="2481">
        <f t="shared" si="90"/>
        <v>0</v>
      </c>
      <c r="E643" s="2528"/>
      <c r="F643" s="2529"/>
      <c r="G643" s="2528"/>
      <c r="H643" s="2529"/>
      <c r="I643" s="2499">
        <f t="shared" si="91"/>
        <v>0</v>
      </c>
      <c r="J643" s="2529"/>
      <c r="K643" s="2528"/>
      <c r="L643" s="2529"/>
      <c r="M643" s="2500">
        <f t="shared" si="92"/>
        <v>0</v>
      </c>
      <c r="N643" s="922"/>
      <c r="O643" s="922"/>
      <c r="P643" s="679"/>
      <c r="Q643" s="706"/>
      <c r="R643" s="109"/>
      <c r="S643" s="706"/>
      <c r="T643" s="708"/>
      <c r="U643" s="706"/>
      <c r="V643" s="706"/>
      <c r="W643" s="706"/>
      <c r="X643" s="706"/>
      <c r="Y643" s="706"/>
      <c r="Z643" s="706"/>
      <c r="AA643" s="706"/>
    </row>
    <row r="644" spans="2:27">
      <c r="B644" s="2460"/>
      <c r="C644" s="2527"/>
      <c r="D644" s="2481">
        <f t="shared" si="90"/>
        <v>0</v>
      </c>
      <c r="E644" s="2528"/>
      <c r="F644" s="2529"/>
      <c r="G644" s="2528"/>
      <c r="H644" s="2529"/>
      <c r="I644" s="2499">
        <f t="shared" si="91"/>
        <v>0</v>
      </c>
      <c r="J644" s="2529"/>
      <c r="K644" s="2528"/>
      <c r="L644" s="2529"/>
      <c r="M644" s="2500">
        <f t="shared" si="92"/>
        <v>0</v>
      </c>
      <c r="O644" s="922"/>
      <c r="P644" s="679"/>
      <c r="Q644" s="706"/>
      <c r="R644" s="109"/>
      <c r="S644" s="706"/>
      <c r="T644" s="708"/>
      <c r="U644" s="706"/>
      <c r="V644" s="706"/>
      <c r="W644" s="706"/>
      <c r="X644" s="706"/>
      <c r="Y644" s="706"/>
      <c r="Z644" s="706"/>
      <c r="AA644" s="706"/>
    </row>
    <row r="645" spans="2:27">
      <c r="B645" s="2464" t="s">
        <v>336</v>
      </c>
      <c r="C645" s="2530"/>
      <c r="D645" s="2481">
        <f t="shared" si="90"/>
        <v>18844422.830673087</v>
      </c>
      <c r="E645" s="2528">
        <f>E639-E641+E643</f>
        <v>0</v>
      </c>
      <c r="F645" s="2529">
        <f>F639-F641+F643</f>
        <v>10373173.963807797</v>
      </c>
      <c r="G645" s="2528">
        <f>G639-G641+G643</f>
        <v>8471248.8668652903</v>
      </c>
      <c r="H645" s="2529">
        <f>H639-H641+H643</f>
        <v>0</v>
      </c>
      <c r="I645" s="2499">
        <f t="shared" si="91"/>
        <v>18844422.830673087</v>
      </c>
      <c r="J645" s="2529">
        <f>J639-J641+J643</f>
        <v>0</v>
      </c>
      <c r="K645" s="2528">
        <f>K639-K641+K643</f>
        <v>0</v>
      </c>
      <c r="L645" s="2529">
        <f>L639-L641+L643</f>
        <v>0</v>
      </c>
      <c r="M645" s="2500">
        <f t="shared" si="92"/>
        <v>0</v>
      </c>
      <c r="N645" s="927"/>
      <c r="O645" s="922"/>
      <c r="P645" s="679"/>
      <c r="Q645" s="706"/>
      <c r="R645" s="109"/>
      <c r="S645" s="706"/>
      <c r="T645" s="708"/>
      <c r="U645" s="706"/>
      <c r="V645" s="706"/>
      <c r="W645" s="706"/>
      <c r="X645" s="706"/>
      <c r="Y645" s="706"/>
      <c r="Z645" s="706"/>
      <c r="AA645" s="706"/>
    </row>
    <row r="646" spans="2:27">
      <c r="B646" s="2464"/>
      <c r="C646" s="2530"/>
      <c r="D646" s="2481">
        <f t="shared" si="90"/>
        <v>0</v>
      </c>
      <c r="E646" s="2528"/>
      <c r="F646" s="2529"/>
      <c r="G646" s="2528"/>
      <c r="H646" s="2529"/>
      <c r="I646" s="2499">
        <f t="shared" si="91"/>
        <v>0</v>
      </c>
      <c r="J646" s="2529"/>
      <c r="K646" s="2528"/>
      <c r="L646" s="2529"/>
      <c r="M646" s="2500">
        <f t="shared" si="92"/>
        <v>0</v>
      </c>
      <c r="O646" s="922"/>
      <c r="P646" s="679"/>
      <c r="Q646" s="706"/>
      <c r="R646" s="109"/>
      <c r="S646" s="706"/>
      <c r="T646" s="708"/>
      <c r="U646" s="706"/>
      <c r="V646" s="706"/>
      <c r="W646" s="706"/>
      <c r="X646" s="706"/>
      <c r="Y646" s="706"/>
      <c r="Z646" s="706"/>
      <c r="AA646" s="706"/>
    </row>
    <row r="647" spans="2:27">
      <c r="B647" s="2464" t="s">
        <v>337</v>
      </c>
      <c r="C647" s="2530"/>
      <c r="D647" s="2481">
        <f t="shared" si="90"/>
        <v>15321241.279190278</v>
      </c>
      <c r="E647" s="2528">
        <f>SUM(E648:E652)</f>
        <v>1029309.5793210077</v>
      </c>
      <c r="F647" s="2529">
        <f>SUM(F648:F652)</f>
        <v>13136507.21932219</v>
      </c>
      <c r="G647" s="2528">
        <f>SUM(G648:G652)</f>
        <v>1155424.48054708</v>
      </c>
      <c r="H647" s="2529">
        <f>SUM(H648:H652)</f>
        <v>0</v>
      </c>
      <c r="I647" s="2499">
        <f t="shared" si="91"/>
        <v>14291931.69986927</v>
      </c>
      <c r="J647" s="2529">
        <f>SUM(J648:J652)</f>
        <v>0</v>
      </c>
      <c r="K647" s="2528">
        <f>SUM(K648:K652)</f>
        <v>0</v>
      </c>
      <c r="L647" s="2529">
        <f>SUM(L648:L652)</f>
        <v>0</v>
      </c>
      <c r="M647" s="2500">
        <f t="shared" si="92"/>
        <v>0</v>
      </c>
      <c r="N647" s="927"/>
      <c r="O647" s="922"/>
      <c r="P647" s="679"/>
      <c r="Q647" s="706"/>
      <c r="R647" s="109"/>
      <c r="S647" s="706"/>
      <c r="T647" s="708"/>
      <c r="U647" s="706"/>
      <c r="V647" s="706"/>
      <c r="W647" s="706"/>
      <c r="X647" s="706"/>
      <c r="Y647" s="706"/>
      <c r="Z647" s="706"/>
      <c r="AA647" s="706"/>
    </row>
    <row r="648" spans="2:27">
      <c r="B648" s="2460" t="s">
        <v>338</v>
      </c>
      <c r="C648" s="2527">
        <v>1</v>
      </c>
      <c r="D648" s="2481">
        <f t="shared" si="90"/>
        <v>13910152.814100001</v>
      </c>
      <c r="E648" s="2423">
        <v>1029309.5793210077</v>
      </c>
      <c r="F648" s="2437">
        <v>11850708.251572266</v>
      </c>
      <c r="G648" s="2423">
        <v>1030134.9832067257</v>
      </c>
      <c r="H648" s="2529"/>
      <c r="I648" s="2499">
        <f t="shared" si="91"/>
        <v>12880843.234778993</v>
      </c>
      <c r="J648" s="2529"/>
      <c r="K648" s="2528"/>
      <c r="L648" s="2529"/>
      <c r="M648" s="2500">
        <f t="shared" si="92"/>
        <v>0</v>
      </c>
      <c r="N648" s="922"/>
      <c r="O648" s="922"/>
      <c r="P648" s="679"/>
      <c r="Q648" s="706"/>
      <c r="R648" s="109"/>
      <c r="S648" s="706"/>
      <c r="T648" s="708"/>
      <c r="U648" s="706"/>
      <c r="V648" s="706"/>
      <c r="W648" s="706"/>
      <c r="X648" s="706"/>
      <c r="Y648" s="706"/>
      <c r="Z648" s="706"/>
      <c r="AA648" s="706"/>
    </row>
    <row r="649" spans="2:27">
      <c r="B649" s="2460" t="s">
        <v>339</v>
      </c>
      <c r="C649" s="2527">
        <v>2</v>
      </c>
      <c r="D649" s="2481">
        <f t="shared" si="90"/>
        <v>67885.902732121409</v>
      </c>
      <c r="E649" s="2423">
        <v>0</v>
      </c>
      <c r="F649" s="2437">
        <v>20833.167819107694</v>
      </c>
      <c r="G649" s="2423">
        <v>47052.734913013708</v>
      </c>
      <c r="H649" s="2529"/>
      <c r="I649" s="2499">
        <f t="shared" si="91"/>
        <v>67885.902732121409</v>
      </c>
      <c r="J649" s="2529"/>
      <c r="K649" s="2528"/>
      <c r="L649" s="2529"/>
      <c r="M649" s="2500">
        <f t="shared" si="92"/>
        <v>0</v>
      </c>
      <c r="N649" s="922"/>
      <c r="O649" s="922"/>
      <c r="P649" s="679"/>
      <c r="Q649" s="706"/>
      <c r="R649" s="109"/>
      <c r="S649" s="706"/>
      <c r="T649" s="708"/>
      <c r="U649" s="706"/>
      <c r="V649" s="706"/>
      <c r="W649" s="706"/>
      <c r="X649" s="706"/>
      <c r="Y649" s="706"/>
      <c r="Z649" s="706"/>
      <c r="AA649" s="706"/>
    </row>
    <row r="650" spans="2:27">
      <c r="B650" s="2460" t="s">
        <v>340</v>
      </c>
      <c r="C650" s="2527"/>
      <c r="D650" s="2481">
        <f t="shared" si="90"/>
        <v>0</v>
      </c>
      <c r="E650" s="2423"/>
      <c r="F650" s="2437"/>
      <c r="G650" s="2423"/>
      <c r="H650" s="2529"/>
      <c r="I650" s="2499">
        <f t="shared" si="91"/>
        <v>0</v>
      </c>
      <c r="J650" s="2529"/>
      <c r="K650" s="2528"/>
      <c r="L650" s="2529"/>
      <c r="M650" s="2500">
        <f t="shared" si="92"/>
        <v>0</v>
      </c>
      <c r="N650" s="922"/>
      <c r="O650" s="922"/>
      <c r="P650" s="679"/>
      <c r="Q650" s="706"/>
      <c r="R650" s="109"/>
      <c r="S650" s="706"/>
      <c r="T650" s="708"/>
      <c r="U650" s="706"/>
      <c r="V650" s="706"/>
      <c r="W650" s="706"/>
      <c r="X650" s="706"/>
      <c r="Y650" s="706"/>
      <c r="Z650" s="706"/>
      <c r="AA650" s="706"/>
    </row>
    <row r="651" spans="2:27">
      <c r="B651" s="2460" t="s">
        <v>341</v>
      </c>
      <c r="C651" s="2527"/>
      <c r="D651" s="2481">
        <f t="shared" si="90"/>
        <v>0</v>
      </c>
      <c r="E651" s="2423"/>
      <c r="F651" s="2437"/>
      <c r="G651" s="2423"/>
      <c r="H651" s="2529"/>
      <c r="I651" s="2499">
        <f t="shared" si="91"/>
        <v>0</v>
      </c>
      <c r="J651" s="2529"/>
      <c r="K651" s="2528"/>
      <c r="L651" s="2529"/>
      <c r="M651" s="2500">
        <f t="shared" si="92"/>
        <v>0</v>
      </c>
      <c r="N651" s="922"/>
      <c r="O651" s="922"/>
      <c r="P651" s="679"/>
      <c r="Q651" s="706"/>
      <c r="R651" s="109"/>
      <c r="S651" s="706"/>
      <c r="T651" s="708"/>
      <c r="U651" s="706"/>
      <c r="V651" s="706"/>
      <c r="W651" s="706"/>
      <c r="X651" s="706"/>
      <c r="Y651" s="706"/>
      <c r="Z651" s="706"/>
      <c r="AA651" s="706"/>
    </row>
    <row r="652" spans="2:27">
      <c r="B652" s="2460" t="s">
        <v>342</v>
      </c>
      <c r="C652" s="2527">
        <v>3</v>
      </c>
      <c r="D652" s="2481">
        <f t="shared" si="90"/>
        <v>1343202.5623581572</v>
      </c>
      <c r="E652" s="2423">
        <v>-3.2254199311410047E-15</v>
      </c>
      <c r="F652" s="2437">
        <v>1264965.7999308165</v>
      </c>
      <c r="G652" s="2423">
        <v>78236.762427340815</v>
      </c>
      <c r="H652" s="2529"/>
      <c r="I652" s="2499">
        <f t="shared" si="91"/>
        <v>1343202.5623581572</v>
      </c>
      <c r="J652" s="2529"/>
      <c r="K652" s="2528"/>
      <c r="L652" s="2529"/>
      <c r="M652" s="2500">
        <f t="shared" si="92"/>
        <v>0</v>
      </c>
      <c r="N652" s="922"/>
      <c r="O652" s="922"/>
      <c r="P652" s="679"/>
      <c r="Q652" s="706"/>
      <c r="R652" s="109"/>
      <c r="S652" s="706"/>
      <c r="T652" s="708"/>
      <c r="U652" s="706"/>
      <c r="V652" s="706"/>
      <c r="W652" s="706"/>
      <c r="X652" s="706"/>
      <c r="Y652" s="706"/>
      <c r="Z652" s="706"/>
      <c r="AA652" s="706"/>
    </row>
    <row r="653" spans="2:27">
      <c r="B653" s="2460" t="s">
        <v>343</v>
      </c>
      <c r="C653" s="2527"/>
      <c r="D653" s="2481">
        <f t="shared" si="90"/>
        <v>0</v>
      </c>
      <c r="E653" s="2528"/>
      <c r="F653" s="2529"/>
      <c r="G653" s="2528"/>
      <c r="H653" s="2529"/>
      <c r="I653" s="2499">
        <f t="shared" si="91"/>
        <v>0</v>
      </c>
      <c r="J653" s="2529"/>
      <c r="K653" s="2528"/>
      <c r="L653" s="2529"/>
      <c r="M653" s="2500">
        <f t="shared" si="92"/>
        <v>0</v>
      </c>
      <c r="O653" s="922"/>
      <c r="P653" s="679"/>
      <c r="Q653" s="706"/>
      <c r="R653" s="109"/>
      <c r="S653" s="706"/>
      <c r="T653" s="708"/>
      <c r="U653" s="706"/>
      <c r="V653" s="706"/>
      <c r="W653" s="706"/>
      <c r="X653" s="706"/>
      <c r="Y653" s="706"/>
      <c r="Z653" s="706"/>
      <c r="AA653" s="706"/>
    </row>
    <row r="654" spans="2:27">
      <c r="B654" s="2460" t="s">
        <v>343</v>
      </c>
      <c r="C654" s="2527"/>
      <c r="D654" s="2481">
        <f t="shared" si="90"/>
        <v>0</v>
      </c>
      <c r="E654" s="2528"/>
      <c r="F654" s="2529"/>
      <c r="G654" s="2528"/>
      <c r="H654" s="2529"/>
      <c r="I654" s="2499">
        <f t="shared" si="91"/>
        <v>0</v>
      </c>
      <c r="J654" s="2529"/>
      <c r="K654" s="2528"/>
      <c r="L654" s="2529"/>
      <c r="M654" s="2500">
        <f t="shared" si="92"/>
        <v>0</v>
      </c>
      <c r="O654" s="922"/>
      <c r="P654" s="679"/>
      <c r="Q654" s="706"/>
      <c r="R654" s="109"/>
      <c r="S654" s="706"/>
      <c r="T654" s="708"/>
      <c r="U654" s="706"/>
      <c r="V654" s="706"/>
      <c r="W654" s="706"/>
      <c r="X654" s="706"/>
      <c r="Y654" s="706"/>
      <c r="Z654" s="706"/>
      <c r="AA654" s="706"/>
    </row>
    <row r="655" spans="2:27">
      <c r="B655" s="2460"/>
      <c r="C655" s="2527"/>
      <c r="D655" s="2481">
        <f t="shared" si="90"/>
        <v>0</v>
      </c>
      <c r="E655" s="2528"/>
      <c r="F655" s="2529"/>
      <c r="G655" s="2528"/>
      <c r="H655" s="2529"/>
      <c r="I655" s="2499">
        <f t="shared" si="91"/>
        <v>0</v>
      </c>
      <c r="J655" s="2529"/>
      <c r="K655" s="2528"/>
      <c r="L655" s="2529"/>
      <c r="M655" s="2500">
        <f t="shared" si="92"/>
        <v>0</v>
      </c>
      <c r="O655" s="922"/>
      <c r="P655" s="679"/>
      <c r="Q655" s="706"/>
      <c r="R655" s="109"/>
      <c r="S655" s="706"/>
      <c r="T655" s="708"/>
      <c r="U655" s="706"/>
      <c r="V655" s="706"/>
      <c r="W655" s="706"/>
      <c r="X655" s="706"/>
      <c r="Y655" s="706"/>
      <c r="Z655" s="706"/>
      <c r="AA655" s="706"/>
    </row>
    <row r="656" spans="2:27">
      <c r="B656" s="2466" t="s">
        <v>344</v>
      </c>
      <c r="C656" s="2530"/>
      <c r="D656" s="2481">
        <f t="shared" si="90"/>
        <v>34165664.109863363</v>
      </c>
      <c r="E656" s="2528">
        <f>E645+E647</f>
        <v>1029309.5793210077</v>
      </c>
      <c r="F656" s="2529">
        <f>F645+F647</f>
        <v>23509681.183129989</v>
      </c>
      <c r="G656" s="2528">
        <f>G645+G647</f>
        <v>9626673.3474123701</v>
      </c>
      <c r="H656" s="2529">
        <f>H645+H647</f>
        <v>0</v>
      </c>
      <c r="I656" s="2499">
        <f t="shared" si="91"/>
        <v>33136354.530542359</v>
      </c>
      <c r="J656" s="2529">
        <f>J645+J647</f>
        <v>0</v>
      </c>
      <c r="K656" s="2528">
        <f>K645+K647</f>
        <v>0</v>
      </c>
      <c r="L656" s="2529">
        <f>L645+L647</f>
        <v>0</v>
      </c>
      <c r="M656" s="2500">
        <f t="shared" si="92"/>
        <v>0</v>
      </c>
      <c r="N656" s="927"/>
      <c r="O656" s="922"/>
      <c r="P656" s="679"/>
      <c r="Q656" s="706"/>
      <c r="R656" s="109"/>
      <c r="S656" s="706"/>
      <c r="T656" s="708"/>
      <c r="U656" s="706"/>
      <c r="V656" s="706"/>
      <c r="W656" s="706"/>
      <c r="X656" s="706"/>
      <c r="Y656" s="706"/>
      <c r="Z656" s="706"/>
      <c r="AA656" s="706"/>
    </row>
    <row r="657" spans="2:27">
      <c r="B657" s="2466"/>
      <c r="C657" s="2530"/>
      <c r="D657" s="2481">
        <f t="shared" si="90"/>
        <v>0</v>
      </c>
      <c r="E657" s="2528"/>
      <c r="F657" s="2529"/>
      <c r="G657" s="2528"/>
      <c r="H657" s="2529"/>
      <c r="I657" s="2499">
        <f t="shared" si="91"/>
        <v>0</v>
      </c>
      <c r="J657" s="2529"/>
      <c r="K657" s="2528"/>
      <c r="L657" s="2529"/>
      <c r="M657" s="2500"/>
      <c r="O657" s="922"/>
      <c r="P657" s="679"/>
      <c r="Q657" s="706"/>
      <c r="R657" s="109"/>
      <c r="S657" s="706"/>
      <c r="T657" s="708"/>
      <c r="U657" s="706"/>
      <c r="V657" s="706"/>
      <c r="W657" s="706"/>
      <c r="X657" s="706"/>
      <c r="Y657" s="706"/>
      <c r="Z657" s="706"/>
      <c r="AA657" s="706"/>
    </row>
    <row r="658" spans="2:27">
      <c r="B658" s="2460" t="s">
        <v>345</v>
      </c>
      <c r="C658" s="2527"/>
      <c r="D658" s="2481">
        <f t="shared" si="90"/>
        <v>8168306.3549000043</v>
      </c>
      <c r="E658" s="2423">
        <v>0</v>
      </c>
      <c r="F658" s="2437">
        <v>6848422.2363438793</v>
      </c>
      <c r="G658" s="2423">
        <v>1319884.1185561251</v>
      </c>
      <c r="H658" s="2529"/>
      <c r="I658" s="2499">
        <f t="shared" si="91"/>
        <v>8168306.3549000043</v>
      </c>
      <c r="J658" s="2529"/>
      <c r="K658" s="2528"/>
      <c r="L658" s="2529"/>
      <c r="M658" s="2500">
        <f t="shared" ref="M658:M676" si="93">L658+K658+J658</f>
        <v>0</v>
      </c>
      <c r="N658" s="922"/>
      <c r="O658" s="922"/>
      <c r="P658" s="679"/>
      <c r="Q658" s="706"/>
      <c r="R658" s="109"/>
      <c r="S658" s="706"/>
      <c r="T658" s="708"/>
      <c r="U658" s="706"/>
      <c r="V658" s="706"/>
      <c r="W658" s="706"/>
      <c r="X658" s="706"/>
      <c r="Y658" s="706"/>
      <c r="Z658" s="706"/>
      <c r="AA658" s="706"/>
    </row>
    <row r="659" spans="2:27">
      <c r="B659" s="2460" t="s">
        <v>346</v>
      </c>
      <c r="C659" s="2527"/>
      <c r="D659" s="2481">
        <f t="shared" si="90"/>
        <v>-182230.28552999996</v>
      </c>
      <c r="E659" s="2423">
        <v>0</v>
      </c>
      <c r="F659" s="2437">
        <v>-6960.8381300000001</v>
      </c>
      <c r="G659" s="2423">
        <v>-175269.44739999998</v>
      </c>
      <c r="H659" s="2529"/>
      <c r="I659" s="2499">
        <f t="shared" si="91"/>
        <v>-182230.28552999996</v>
      </c>
      <c r="J659" s="2529"/>
      <c r="K659" s="2528"/>
      <c r="L659" s="2529"/>
      <c r="M659" s="2500">
        <f t="shared" si="93"/>
        <v>0</v>
      </c>
      <c r="N659" s="922"/>
      <c r="O659" s="922"/>
      <c r="P659" s="679"/>
      <c r="Q659" s="706"/>
      <c r="R659" s="109"/>
      <c r="S659" s="706"/>
      <c r="T659" s="708"/>
      <c r="U659" s="706"/>
      <c r="V659" s="706"/>
      <c r="W659" s="706"/>
      <c r="X659" s="706"/>
      <c r="Y659" s="706"/>
      <c r="Z659" s="706"/>
      <c r="AA659" s="706"/>
    </row>
    <row r="660" spans="2:27">
      <c r="B660" s="2460" t="s">
        <v>347</v>
      </c>
      <c r="C660" s="2527"/>
      <c r="D660" s="2481">
        <f t="shared" si="90"/>
        <v>0</v>
      </c>
      <c r="E660" s="2423"/>
      <c r="F660" s="2437"/>
      <c r="G660" s="2423"/>
      <c r="H660" s="2529"/>
      <c r="I660" s="2499">
        <f t="shared" si="91"/>
        <v>0</v>
      </c>
      <c r="J660" s="2529"/>
      <c r="K660" s="2528"/>
      <c r="L660" s="2529"/>
      <c r="M660" s="2500">
        <f t="shared" si="93"/>
        <v>0</v>
      </c>
      <c r="N660" s="922"/>
      <c r="O660" s="922"/>
      <c r="P660" s="679"/>
      <c r="Q660" s="706"/>
      <c r="R660" s="109"/>
      <c r="S660" s="706"/>
      <c r="T660" s="708"/>
      <c r="U660" s="706"/>
      <c r="V660" s="706"/>
      <c r="W660" s="706"/>
      <c r="X660" s="706"/>
      <c r="Y660" s="706"/>
      <c r="Z660" s="706"/>
      <c r="AA660" s="706"/>
    </row>
    <row r="661" spans="2:27" ht="12.75" customHeight="1">
      <c r="B661" s="2467" t="s">
        <v>348</v>
      </c>
      <c r="C661" s="2527"/>
      <c r="D661" s="2481">
        <f t="shared" si="90"/>
        <v>0</v>
      </c>
      <c r="E661" s="2423"/>
      <c r="F661" s="2437"/>
      <c r="G661" s="2423"/>
      <c r="H661" s="2529"/>
      <c r="I661" s="2499">
        <f t="shared" si="91"/>
        <v>0</v>
      </c>
      <c r="J661" s="2529"/>
      <c r="K661" s="2528"/>
      <c r="L661" s="2529"/>
      <c r="M661" s="2500">
        <f t="shared" si="93"/>
        <v>0</v>
      </c>
      <c r="N661" s="922"/>
      <c r="O661" s="922"/>
      <c r="P661" s="679"/>
      <c r="Q661" s="706"/>
      <c r="R661" s="109"/>
      <c r="S661" s="706"/>
      <c r="T661" s="708"/>
      <c r="U661" s="706"/>
      <c r="V661" s="706"/>
      <c r="W661" s="706"/>
      <c r="X661" s="706"/>
      <c r="Y661" s="706"/>
      <c r="Z661" s="706"/>
      <c r="AA661" s="706"/>
    </row>
    <row r="662" spans="2:27">
      <c r="B662" s="2460" t="s">
        <v>349</v>
      </c>
      <c r="C662" s="2527"/>
      <c r="D662" s="2481">
        <f t="shared" si="90"/>
        <v>16118704.699012281</v>
      </c>
      <c r="E662" s="2423">
        <v>0</v>
      </c>
      <c r="F662" s="2437">
        <v>10858446.390164062</v>
      </c>
      <c r="G662" s="2436">
        <v>5260258.308848219</v>
      </c>
      <c r="H662" s="2529"/>
      <c r="I662" s="2499">
        <f t="shared" si="91"/>
        <v>16118704.699012281</v>
      </c>
      <c r="J662" s="2529"/>
      <c r="K662" s="2528"/>
      <c r="L662" s="2529"/>
      <c r="M662" s="2500">
        <f t="shared" si="93"/>
        <v>0</v>
      </c>
      <c r="N662" s="922"/>
      <c r="O662" s="922"/>
      <c r="P662" s="679"/>
      <c r="Q662" s="706"/>
      <c r="R662" s="109"/>
      <c r="S662" s="706"/>
      <c r="T662" s="708"/>
      <c r="U662" s="706"/>
      <c r="V662" s="706"/>
      <c r="W662" s="706"/>
      <c r="X662" s="706"/>
      <c r="Y662" s="706"/>
      <c r="Z662" s="706"/>
      <c r="AA662" s="706"/>
    </row>
    <row r="663" spans="2:27" ht="25.5">
      <c r="B663" s="2467" t="s">
        <v>350</v>
      </c>
      <c r="C663" s="2527"/>
      <c r="D663" s="2481">
        <f t="shared" si="90"/>
        <v>0</v>
      </c>
      <c r="E663" s="2423"/>
      <c r="F663" s="2437"/>
      <c r="G663" s="2436"/>
      <c r="H663" s="2529"/>
      <c r="I663" s="2499">
        <f t="shared" si="91"/>
        <v>0</v>
      </c>
      <c r="J663" s="2529"/>
      <c r="K663" s="2528"/>
      <c r="L663" s="2529"/>
      <c r="M663" s="2500">
        <f t="shared" si="93"/>
        <v>0</v>
      </c>
      <c r="N663" s="922"/>
      <c r="O663" s="922"/>
      <c r="P663" s="679"/>
      <c r="Q663" s="706"/>
      <c r="R663" s="109"/>
      <c r="S663" s="706"/>
      <c r="T663" s="708"/>
      <c r="U663" s="706"/>
      <c r="V663" s="706"/>
      <c r="W663" s="706"/>
      <c r="X663" s="706"/>
      <c r="Y663" s="706"/>
      <c r="Z663" s="706"/>
      <c r="AA663" s="706"/>
    </row>
    <row r="664" spans="2:27">
      <c r="B664" s="2466" t="s">
        <v>351</v>
      </c>
      <c r="C664" s="2530"/>
      <c r="D664" s="2481">
        <f t="shared" si="90"/>
        <v>24104780.768382285</v>
      </c>
      <c r="E664" s="2528">
        <f>SUM(E658:E663)</f>
        <v>0</v>
      </c>
      <c r="F664" s="2529">
        <f>SUM(F658:F663)</f>
        <v>17699907.788377941</v>
      </c>
      <c r="G664" s="2528">
        <f>SUM(G658:G663)</f>
        <v>6404872.9800043441</v>
      </c>
      <c r="H664" s="2529">
        <f>SUM(H658:H663)</f>
        <v>0</v>
      </c>
      <c r="I664" s="2499">
        <f t="shared" si="91"/>
        <v>24104780.768382285</v>
      </c>
      <c r="J664" s="2529">
        <f>SUM(J658:J663)</f>
        <v>0</v>
      </c>
      <c r="K664" s="2528">
        <f>SUM(K658:K663)</f>
        <v>0</v>
      </c>
      <c r="L664" s="2529">
        <f>SUM(L658:L663)</f>
        <v>0</v>
      </c>
      <c r="M664" s="2500">
        <f t="shared" si="93"/>
        <v>0</v>
      </c>
      <c r="N664" s="927"/>
      <c r="O664" s="922"/>
      <c r="P664" s="679"/>
      <c r="Q664" s="706"/>
      <c r="R664" s="109"/>
      <c r="S664" s="706"/>
      <c r="T664" s="708"/>
      <c r="U664" s="706"/>
      <c r="V664" s="706"/>
      <c r="W664" s="706"/>
      <c r="X664" s="706"/>
      <c r="Y664" s="706"/>
      <c r="Z664" s="706"/>
      <c r="AA664" s="706"/>
    </row>
    <row r="665" spans="2:27">
      <c r="B665" s="2460"/>
      <c r="C665" s="2527"/>
      <c r="D665" s="2481">
        <f t="shared" si="90"/>
        <v>0</v>
      </c>
      <c r="E665" s="2528"/>
      <c r="F665" s="2529"/>
      <c r="G665" s="2528"/>
      <c r="H665" s="2529"/>
      <c r="I665" s="2499">
        <f t="shared" si="91"/>
        <v>0</v>
      </c>
      <c r="J665" s="2529"/>
      <c r="K665" s="2528"/>
      <c r="L665" s="2529"/>
      <c r="M665" s="2500">
        <f t="shared" si="93"/>
        <v>0</v>
      </c>
      <c r="O665" s="922"/>
      <c r="P665" s="679"/>
      <c r="Q665" s="706"/>
      <c r="R665" s="109"/>
      <c r="S665" s="706"/>
      <c r="T665" s="708"/>
      <c r="U665" s="706"/>
      <c r="V665" s="706"/>
      <c r="W665" s="706"/>
      <c r="X665" s="706"/>
      <c r="Y665" s="706"/>
      <c r="Z665" s="706"/>
      <c r="AA665" s="706"/>
    </row>
    <row r="666" spans="2:27" ht="25.5">
      <c r="B666" s="2467" t="s">
        <v>352</v>
      </c>
      <c r="C666" s="2527"/>
      <c r="D666" s="2481">
        <f t="shared" si="90"/>
        <v>2131963.0717600049</v>
      </c>
      <c r="E666" s="2528">
        <v>0</v>
      </c>
      <c r="F666" s="2529">
        <v>1462957.8471715241</v>
      </c>
      <c r="G666" s="2528">
        <v>669005.22458848089</v>
      </c>
      <c r="H666" s="2529"/>
      <c r="I666" s="2499">
        <f t="shared" si="91"/>
        <v>2131963.0717600049</v>
      </c>
      <c r="J666" s="2529"/>
      <c r="K666" s="2528"/>
      <c r="L666" s="2529"/>
      <c r="M666" s="2500">
        <f t="shared" si="93"/>
        <v>0</v>
      </c>
      <c r="N666" s="922"/>
      <c r="O666" s="922"/>
      <c r="P666" s="679"/>
      <c r="Q666" s="706"/>
      <c r="R666" s="109"/>
      <c r="S666" s="706"/>
      <c r="T666" s="708"/>
      <c r="U666" s="706"/>
      <c r="V666" s="706"/>
      <c r="W666" s="706"/>
      <c r="X666" s="706"/>
      <c r="Y666" s="706"/>
      <c r="Z666" s="706"/>
      <c r="AA666" s="706"/>
    </row>
    <row r="667" spans="2:27">
      <c r="B667" s="2460"/>
      <c r="C667" s="2527"/>
      <c r="D667" s="2481">
        <f t="shared" si="90"/>
        <v>0</v>
      </c>
      <c r="E667" s="2528"/>
      <c r="F667" s="2529"/>
      <c r="G667" s="2528"/>
      <c r="H667" s="2529"/>
      <c r="I667" s="2499">
        <f t="shared" si="91"/>
        <v>0</v>
      </c>
      <c r="J667" s="2529"/>
      <c r="K667" s="2528"/>
      <c r="L667" s="2529"/>
      <c r="M667" s="2500">
        <f t="shared" si="93"/>
        <v>0</v>
      </c>
      <c r="N667" s="922"/>
      <c r="O667" s="922"/>
      <c r="P667" s="679"/>
      <c r="Q667" s="706"/>
      <c r="R667" s="109"/>
      <c r="S667" s="706"/>
      <c r="T667" s="708"/>
      <c r="U667" s="706"/>
      <c r="V667" s="706"/>
      <c r="W667" s="706"/>
      <c r="X667" s="706"/>
      <c r="Y667" s="706"/>
      <c r="Z667" s="706"/>
      <c r="AA667" s="706"/>
    </row>
    <row r="668" spans="2:27" ht="12.75" customHeight="1">
      <c r="B668" s="2467" t="s">
        <v>353</v>
      </c>
      <c r="C668" s="2527">
        <v>4</v>
      </c>
      <c r="D668" s="2481">
        <f t="shared" si="90"/>
        <v>4779472.5701300064</v>
      </c>
      <c r="E668" s="2528">
        <v>0</v>
      </c>
      <c r="F668" s="2529">
        <v>3797137.4473182601</v>
      </c>
      <c r="G668" s="2528">
        <v>982335.12281174597</v>
      </c>
      <c r="H668" s="2529"/>
      <c r="I668" s="2499">
        <f t="shared" si="91"/>
        <v>4779472.5701300064</v>
      </c>
      <c r="J668" s="2529"/>
      <c r="K668" s="2528"/>
      <c r="L668" s="2529"/>
      <c r="M668" s="2500">
        <f t="shared" si="93"/>
        <v>0</v>
      </c>
      <c r="N668" s="922"/>
      <c r="O668" s="922"/>
      <c r="P668" s="679"/>
      <c r="Q668" s="706"/>
      <c r="R668" s="109"/>
      <c r="S668" s="706"/>
      <c r="T668" s="708"/>
      <c r="U668" s="706"/>
      <c r="V668" s="706"/>
      <c r="W668" s="706"/>
      <c r="X668" s="706"/>
      <c r="Y668" s="706"/>
      <c r="Z668" s="706"/>
      <c r="AA668" s="706"/>
    </row>
    <row r="669" spans="2:27">
      <c r="B669" s="2460" t="s">
        <v>354</v>
      </c>
      <c r="C669" s="2527"/>
      <c r="D669" s="2481">
        <f t="shared" si="90"/>
        <v>0</v>
      </c>
      <c r="E669" s="2528"/>
      <c r="F669" s="2529"/>
      <c r="G669" s="2528"/>
      <c r="H669" s="2529"/>
      <c r="I669" s="2499">
        <f t="shared" si="91"/>
        <v>0</v>
      </c>
      <c r="J669" s="2529"/>
      <c r="K669" s="2528"/>
      <c r="L669" s="2529"/>
      <c r="M669" s="2500">
        <f t="shared" si="93"/>
        <v>0</v>
      </c>
      <c r="N669" s="922"/>
      <c r="O669" s="922"/>
      <c r="P669" s="679"/>
      <c r="Q669" s="706"/>
      <c r="R669" s="109"/>
      <c r="S669" s="706"/>
      <c r="T669" s="708"/>
      <c r="U669" s="706"/>
      <c r="V669" s="706"/>
      <c r="W669" s="706"/>
      <c r="X669" s="706"/>
      <c r="Y669" s="706"/>
      <c r="Z669" s="706"/>
      <c r="AA669" s="706"/>
    </row>
    <row r="670" spans="2:27">
      <c r="B670" s="2460" t="s">
        <v>355</v>
      </c>
      <c r="C670" s="2527"/>
      <c r="D670" s="2481">
        <f t="shared" si="90"/>
        <v>0</v>
      </c>
      <c r="E670" s="2528"/>
      <c r="F670" s="2529"/>
      <c r="G670" s="2528"/>
      <c r="H670" s="2529"/>
      <c r="I670" s="2499">
        <f t="shared" si="91"/>
        <v>0</v>
      </c>
      <c r="J670" s="2529"/>
      <c r="K670" s="2528"/>
      <c r="L670" s="2529"/>
      <c r="M670" s="2500">
        <f t="shared" si="93"/>
        <v>0</v>
      </c>
      <c r="N670" s="922"/>
      <c r="O670" s="922"/>
      <c r="P670" s="679"/>
      <c r="Q670" s="706"/>
      <c r="R670" s="109"/>
      <c r="S670" s="706"/>
      <c r="T670" s="708"/>
      <c r="U670" s="706"/>
      <c r="V670" s="706"/>
      <c r="W670" s="706"/>
      <c r="X670" s="706"/>
      <c r="Y670" s="706"/>
      <c r="Z670" s="706"/>
      <c r="AA670" s="706"/>
    </row>
    <row r="671" spans="2:27">
      <c r="B671" s="2466" t="s">
        <v>356</v>
      </c>
      <c r="C671" s="2530"/>
      <c r="D671" s="2481">
        <f t="shared" si="90"/>
        <v>4779472.5701300064</v>
      </c>
      <c r="E671" s="2528">
        <f>SUM(E668:E670)</f>
        <v>0</v>
      </c>
      <c r="F671" s="2529">
        <f>SUM(F668:F670)</f>
        <v>3797137.4473182601</v>
      </c>
      <c r="G671" s="2528">
        <f>SUM(G668:G670)</f>
        <v>982335.12281174597</v>
      </c>
      <c r="H671" s="2529">
        <f>SUM(H668:H670)</f>
        <v>0</v>
      </c>
      <c r="I671" s="2499">
        <f t="shared" si="91"/>
        <v>4779472.5701300064</v>
      </c>
      <c r="J671" s="2529">
        <f>SUM(J668:J670)</f>
        <v>0</v>
      </c>
      <c r="K671" s="2528">
        <f>SUM(K668:K670)</f>
        <v>0</v>
      </c>
      <c r="L671" s="2529">
        <f>SUM(L668:L670)</f>
        <v>0</v>
      </c>
      <c r="M671" s="2500">
        <f t="shared" si="93"/>
        <v>0</v>
      </c>
      <c r="N671" s="927"/>
      <c r="O671" s="922"/>
      <c r="P671" s="679"/>
      <c r="Q671" s="706"/>
      <c r="R671" s="109"/>
      <c r="S671" s="706"/>
      <c r="T671" s="708"/>
      <c r="U671" s="706"/>
      <c r="V671" s="706"/>
      <c r="W671" s="706"/>
      <c r="X671" s="706"/>
      <c r="Y671" s="706"/>
      <c r="Z671" s="706"/>
      <c r="AA671" s="706"/>
    </row>
    <row r="672" spans="2:27">
      <c r="B672" s="2466"/>
      <c r="C672" s="2530"/>
      <c r="D672" s="2481">
        <f t="shared" si="90"/>
        <v>0</v>
      </c>
      <c r="E672" s="2528"/>
      <c r="F672" s="2529"/>
      <c r="G672" s="2528"/>
      <c r="H672" s="2529"/>
      <c r="I672" s="2499">
        <f t="shared" si="91"/>
        <v>0</v>
      </c>
      <c r="J672" s="2529"/>
      <c r="K672" s="2528"/>
      <c r="L672" s="2529"/>
      <c r="M672" s="2500">
        <f t="shared" si="93"/>
        <v>0</v>
      </c>
      <c r="O672" s="922"/>
      <c r="P672" s="679"/>
      <c r="Q672" s="706"/>
      <c r="R672" s="109"/>
      <c r="S672" s="706"/>
      <c r="T672" s="708"/>
      <c r="U672" s="706"/>
      <c r="V672" s="706"/>
      <c r="W672" s="706"/>
      <c r="X672" s="706"/>
      <c r="Y672" s="706"/>
      <c r="Z672" s="706"/>
      <c r="AA672" s="706"/>
    </row>
    <row r="673" spans="1:27">
      <c r="B673" s="2466" t="s">
        <v>357</v>
      </c>
      <c r="C673" s="2530"/>
      <c r="D673" s="2481">
        <f t="shared" si="90"/>
        <v>3149447.6995910704</v>
      </c>
      <c r="E673" s="2528">
        <f>E656-E664-E666-E671</f>
        <v>1029309.5793210077</v>
      </c>
      <c r="F673" s="2529">
        <f>F656-F664-F666-F671</f>
        <v>549678.10026226332</v>
      </c>
      <c r="G673" s="2528">
        <f>G656-G664-G666-G671</f>
        <v>1570460.0200077994</v>
      </c>
      <c r="H673" s="2529">
        <f>H656-H664-H666-H671</f>
        <v>0</v>
      </c>
      <c r="I673" s="2499">
        <f t="shared" si="91"/>
        <v>2120138.1202700627</v>
      </c>
      <c r="J673" s="2529">
        <f>J656-J664-J666-J671</f>
        <v>0</v>
      </c>
      <c r="K673" s="2528">
        <f>K656-K664-K666-K671</f>
        <v>0</v>
      </c>
      <c r="L673" s="2529">
        <f>L656-L664-L666-L671</f>
        <v>0</v>
      </c>
      <c r="M673" s="2500">
        <f t="shared" si="93"/>
        <v>0</v>
      </c>
      <c r="N673" s="927"/>
      <c r="O673" s="922"/>
      <c r="P673" s="679"/>
      <c r="Q673" s="706"/>
      <c r="R673" s="109"/>
      <c r="S673" s="706"/>
      <c r="T673" s="708"/>
      <c r="U673" s="706"/>
      <c r="V673" s="706"/>
      <c r="W673" s="706"/>
      <c r="X673" s="706"/>
      <c r="Y673" s="706"/>
      <c r="Z673" s="706"/>
      <c r="AA673" s="706"/>
    </row>
    <row r="674" spans="1:27">
      <c r="B674" s="2460" t="s">
        <v>358</v>
      </c>
      <c r="C674" s="2527"/>
      <c r="D674" s="2481">
        <f t="shared" si="90"/>
        <v>1004178.304</v>
      </c>
      <c r="E674" s="2528">
        <v>166619.03400000001</v>
      </c>
      <c r="F674" s="2529">
        <v>457411.19500000001</v>
      </c>
      <c r="G674" s="2528">
        <v>380148.07500000001</v>
      </c>
      <c r="H674" s="2529"/>
      <c r="I674" s="2499">
        <f t="shared" si="91"/>
        <v>837559.27</v>
      </c>
      <c r="J674" s="2529"/>
      <c r="K674" s="2528"/>
      <c r="L674" s="2529"/>
      <c r="M674" s="2500">
        <f t="shared" si="93"/>
        <v>0</v>
      </c>
      <c r="N674" s="922"/>
      <c r="O674" s="922"/>
      <c r="P674" s="679"/>
      <c r="Q674" s="706"/>
      <c r="R674" s="109"/>
      <c r="S674" s="706"/>
      <c r="T674" s="708"/>
      <c r="U674" s="706"/>
      <c r="V674" s="706"/>
      <c r="W674" s="706"/>
      <c r="X674" s="706"/>
      <c r="Y674" s="706"/>
      <c r="Z674" s="706"/>
      <c r="AA674" s="706"/>
    </row>
    <row r="675" spans="1:27">
      <c r="B675" s="2460"/>
      <c r="C675" s="2527"/>
      <c r="D675" s="2481">
        <f t="shared" si="90"/>
        <v>0</v>
      </c>
      <c r="E675" s="2528"/>
      <c r="F675" s="2529"/>
      <c r="G675" s="2528"/>
      <c r="H675" s="2529"/>
      <c r="I675" s="2499">
        <f t="shared" si="91"/>
        <v>0</v>
      </c>
      <c r="J675" s="2529"/>
      <c r="K675" s="2528"/>
      <c r="L675" s="2529"/>
      <c r="M675" s="2500">
        <f t="shared" si="93"/>
        <v>0</v>
      </c>
      <c r="O675" s="922"/>
      <c r="P675" s="679"/>
      <c r="Q675" s="706"/>
      <c r="R675" s="109"/>
      <c r="S675" s="706"/>
      <c r="T675" s="708"/>
      <c r="U675" s="706"/>
      <c r="V675" s="706"/>
      <c r="W675" s="706"/>
      <c r="X675" s="706"/>
      <c r="Y675" s="706"/>
      <c r="Z675" s="706"/>
      <c r="AA675" s="706"/>
    </row>
    <row r="676" spans="1:27" ht="13.5" thickBot="1">
      <c r="B676" s="1602" t="s">
        <v>359</v>
      </c>
      <c r="C676" s="1638"/>
      <c r="D676" s="1614">
        <f t="shared" si="90"/>
        <v>2145269.3955910704</v>
      </c>
      <c r="E676" s="1624">
        <f>E673-E674</f>
        <v>862690.54532100772</v>
      </c>
      <c r="F676" s="1614">
        <f>F673-F674</f>
        <v>92266.905262263317</v>
      </c>
      <c r="G676" s="1624">
        <f>G673-G674</f>
        <v>1190311.9450077994</v>
      </c>
      <c r="H676" s="1614">
        <f>H673-H674</f>
        <v>0</v>
      </c>
      <c r="I676" s="1624">
        <f t="shared" si="91"/>
        <v>1282578.8502700627</v>
      </c>
      <c r="J676" s="1614">
        <f>J673-J674</f>
        <v>0</v>
      </c>
      <c r="K676" s="1624">
        <f>K673-K674</f>
        <v>0</v>
      </c>
      <c r="L676" s="1614">
        <f>L673-L674</f>
        <v>0</v>
      </c>
      <c r="M676" s="1639">
        <f t="shared" si="93"/>
        <v>0</v>
      </c>
      <c r="N676" s="927"/>
      <c r="O676" s="922"/>
      <c r="P676" s="679"/>
      <c r="Q676" s="706"/>
      <c r="R676" s="109"/>
      <c r="S676" s="706"/>
      <c r="T676" s="708"/>
      <c r="U676" s="706"/>
      <c r="V676" s="706"/>
      <c r="W676" s="706"/>
      <c r="X676" s="706"/>
      <c r="Y676" s="706"/>
      <c r="Z676" s="706"/>
      <c r="AA676" s="706"/>
    </row>
    <row r="677" spans="1:27">
      <c r="R677" s="109"/>
      <c r="S677" s="699"/>
      <c r="T677" s="699"/>
      <c r="U677" s="699"/>
      <c r="V677" s="699"/>
      <c r="W677" s="699"/>
      <c r="X677" s="699"/>
      <c r="Y677" s="699"/>
      <c r="Z677" s="699"/>
      <c r="AA677" s="699"/>
    </row>
    <row r="678" spans="1:27">
      <c r="D678" s="679"/>
      <c r="E678" s="679"/>
      <c r="F678" s="679"/>
      <c r="G678" s="679"/>
      <c r="H678" s="679"/>
      <c r="I678" s="679"/>
      <c r="M678" s="912">
        <v>77</v>
      </c>
      <c r="R678" s="109"/>
      <c r="S678" s="699"/>
      <c r="T678" s="699"/>
      <c r="U678" s="699"/>
      <c r="V678" s="699"/>
      <c r="W678" s="699"/>
      <c r="X678" s="699"/>
      <c r="Y678" s="699"/>
      <c r="Z678" s="699"/>
      <c r="AA678" s="699"/>
    </row>
    <row r="679" spans="1:27">
      <c r="R679" s="109"/>
      <c r="S679" s="699"/>
      <c r="T679" s="699"/>
      <c r="U679" s="699"/>
      <c r="V679" s="699"/>
      <c r="W679" s="699"/>
      <c r="X679" s="699"/>
      <c r="Y679" s="699"/>
      <c r="Z679" s="699"/>
      <c r="AA679" s="699"/>
    </row>
    <row r="680" spans="1:27" ht="13.5" thickBot="1">
      <c r="R680" s="109"/>
      <c r="S680" s="699"/>
      <c r="T680" s="699"/>
      <c r="U680" s="699"/>
      <c r="V680" s="699"/>
      <c r="W680" s="699"/>
      <c r="X680" s="699"/>
      <c r="Y680" s="699"/>
      <c r="Z680" s="699"/>
      <c r="AA680" s="699"/>
    </row>
    <row r="681" spans="1:27" ht="13.5" customHeight="1" thickBot="1">
      <c r="A681" s="1368" t="s">
        <v>194</v>
      </c>
      <c r="B681" s="1633" t="s">
        <v>134</v>
      </c>
      <c r="L681" s="3538" t="s">
        <v>251</v>
      </c>
      <c r="M681" s="3538"/>
      <c r="R681" s="109"/>
      <c r="S681" s="699"/>
      <c r="T681" s="699"/>
      <c r="U681" s="699"/>
      <c r="V681" s="699"/>
      <c r="W681" s="699"/>
      <c r="X681" s="699"/>
      <c r="Y681" s="699"/>
      <c r="Z681" s="699"/>
      <c r="AA681" s="699"/>
    </row>
    <row r="682" spans="1:27" ht="12.75" customHeight="1" thickBot="1">
      <c r="B682" s="3578" t="s">
        <v>134</v>
      </c>
      <c r="C682" s="3523" t="s">
        <v>325</v>
      </c>
      <c r="D682" s="3518" t="s">
        <v>255</v>
      </c>
      <c r="E682" s="3518" t="s">
        <v>326</v>
      </c>
      <c r="F682" s="3574" t="s">
        <v>258</v>
      </c>
      <c r="G682" s="3574"/>
      <c r="H682" s="3574"/>
      <c r="I682" s="3574"/>
      <c r="J682" s="3574"/>
      <c r="K682" s="3574"/>
      <c r="L682" s="3574"/>
      <c r="M682" s="3574"/>
      <c r="R682" s="109"/>
      <c r="S682" s="699"/>
      <c r="T682" s="699"/>
      <c r="U682" s="699"/>
      <c r="V682" s="699"/>
      <c r="W682" s="699"/>
      <c r="X682" s="699"/>
      <c r="Y682" s="699"/>
      <c r="Z682" s="699"/>
      <c r="AA682" s="699"/>
    </row>
    <row r="683" spans="1:27" ht="12.75" customHeight="1">
      <c r="B683" s="3571"/>
      <c r="C683" s="3524"/>
      <c r="D683" s="3520"/>
      <c r="E683" s="3520"/>
      <c r="F683" s="3575" t="s">
        <v>259</v>
      </c>
      <c r="G683" s="3576"/>
      <c r="H683" s="3576"/>
      <c r="I683" s="3577"/>
      <c r="J683" s="3574" t="s">
        <v>327</v>
      </c>
      <c r="K683" s="3574"/>
      <c r="L683" s="3574"/>
      <c r="M683" s="3574"/>
      <c r="R683" s="109"/>
      <c r="S683" s="699"/>
      <c r="T683" s="699"/>
      <c r="U683" s="699"/>
      <c r="V683" s="699"/>
      <c r="W683" s="699"/>
      <c r="X683" s="699"/>
      <c r="Y683" s="699"/>
      <c r="Z683" s="699"/>
      <c r="AA683" s="699"/>
    </row>
    <row r="684" spans="1:27" ht="56.25" customHeight="1">
      <c r="B684" s="3571"/>
      <c r="C684" s="3524"/>
      <c r="D684" s="3519"/>
      <c r="E684" s="3519"/>
      <c r="F684" s="1339" t="s">
        <v>261</v>
      </c>
      <c r="G684" s="1339" t="s">
        <v>262</v>
      </c>
      <c r="H684" s="1339" t="s">
        <v>263</v>
      </c>
      <c r="I684" s="1339" t="s">
        <v>158</v>
      </c>
      <c r="J684" s="1588" t="s">
        <v>328</v>
      </c>
      <c r="K684" s="1588" t="s">
        <v>265</v>
      </c>
      <c r="L684" s="1588" t="s">
        <v>329</v>
      </c>
      <c r="M684" s="1588" t="s">
        <v>158</v>
      </c>
      <c r="R684" s="109"/>
      <c r="S684" s="699"/>
      <c r="T684" s="699"/>
      <c r="U684" s="699"/>
      <c r="V684" s="699"/>
      <c r="W684" s="699"/>
      <c r="X684" s="699"/>
      <c r="Y684" s="699"/>
      <c r="Z684" s="699"/>
      <c r="AA684" s="699"/>
    </row>
    <row r="685" spans="1:27" ht="17.25" customHeight="1">
      <c r="B685" s="3571"/>
      <c r="C685" s="3524"/>
      <c r="D685" s="1589">
        <v>1</v>
      </c>
      <c r="E685" s="3518">
        <v>2</v>
      </c>
      <c r="F685" s="3518">
        <v>3</v>
      </c>
      <c r="G685" s="3518">
        <v>4</v>
      </c>
      <c r="H685" s="3518">
        <v>5</v>
      </c>
      <c r="I685" s="1589">
        <v>6</v>
      </c>
      <c r="J685" s="3518">
        <v>7</v>
      </c>
      <c r="K685" s="3518">
        <v>8</v>
      </c>
      <c r="L685" s="3518">
        <v>9</v>
      </c>
      <c r="M685" s="1589">
        <v>10</v>
      </c>
      <c r="R685" s="109"/>
      <c r="S685" s="699"/>
      <c r="T685" s="699"/>
      <c r="U685" s="699"/>
      <c r="V685" s="699"/>
      <c r="W685" s="699"/>
      <c r="X685" s="699"/>
      <c r="Y685" s="699"/>
      <c r="Z685" s="699"/>
      <c r="AA685" s="699"/>
    </row>
    <row r="686" spans="1:27" ht="13.5" thickBot="1">
      <c r="B686" s="3572"/>
      <c r="C686" s="3525"/>
      <c r="D686" s="1590" t="s">
        <v>330</v>
      </c>
      <c r="E686" s="3519"/>
      <c r="F686" s="3519"/>
      <c r="G686" s="3519"/>
      <c r="H686" s="3519">
        <v>5</v>
      </c>
      <c r="I686" s="1590" t="s">
        <v>331</v>
      </c>
      <c r="J686" s="3519"/>
      <c r="K686" s="3519"/>
      <c r="L686" s="3519"/>
      <c r="M686" s="1590" t="s">
        <v>332</v>
      </c>
      <c r="N686" s="703"/>
      <c r="O686" s="703"/>
      <c r="R686" s="109"/>
      <c r="S686" s="699"/>
      <c r="T686" s="699"/>
      <c r="U686" s="699"/>
      <c r="V686" s="699"/>
      <c r="W686" s="699"/>
      <c r="X686" s="699"/>
      <c r="Y686" s="699"/>
      <c r="Z686" s="699"/>
      <c r="AA686" s="699"/>
    </row>
    <row r="687" spans="1:27">
      <c r="B687" s="1609" t="s">
        <v>333</v>
      </c>
      <c r="C687" s="952"/>
      <c r="D687" s="1592">
        <f t="shared" ref="D687:D724" si="94">E687+I687+M687</f>
        <v>694430.13576199999</v>
      </c>
      <c r="E687" s="949"/>
      <c r="F687" s="947">
        <v>17934.815172000002</v>
      </c>
      <c r="G687" s="949">
        <v>290267.61448999995</v>
      </c>
      <c r="H687" s="947">
        <v>386227.70610000001</v>
      </c>
      <c r="I687" s="1636">
        <f t="shared" ref="I687:I724" si="95">F687+G687+H687</f>
        <v>694430.13576199999</v>
      </c>
      <c r="J687" s="947"/>
      <c r="K687" s="949"/>
      <c r="L687" s="947"/>
      <c r="M687" s="1637">
        <f t="shared" ref="M687:M704" si="96">L687+K687+J687</f>
        <v>0</v>
      </c>
      <c r="N687" s="922"/>
      <c r="O687" s="922"/>
      <c r="P687" s="679"/>
      <c r="Q687" s="706"/>
      <c r="R687" s="109"/>
      <c r="S687" s="706"/>
      <c r="T687" s="708"/>
      <c r="U687" s="706"/>
      <c r="V687" s="706"/>
      <c r="W687" s="706"/>
      <c r="X687" s="706"/>
      <c r="Y687" s="706"/>
      <c r="Z687" s="706"/>
      <c r="AA687" s="706"/>
    </row>
    <row r="688" spans="1:27">
      <c r="B688" s="2468"/>
      <c r="C688" s="2540"/>
      <c r="D688" s="2481">
        <f t="shared" si="94"/>
        <v>0</v>
      </c>
      <c r="E688" s="2528"/>
      <c r="F688" s="2529"/>
      <c r="G688" s="2528"/>
      <c r="H688" s="2529"/>
      <c r="I688" s="2499">
        <f t="shared" si="95"/>
        <v>0</v>
      </c>
      <c r="J688" s="2529"/>
      <c r="K688" s="2528"/>
      <c r="L688" s="2529"/>
      <c r="M688" s="2500">
        <f t="shared" si="96"/>
        <v>0</v>
      </c>
      <c r="O688" s="922"/>
      <c r="P688" s="679"/>
      <c r="Q688" s="706"/>
      <c r="R688" s="109"/>
      <c r="S688" s="706"/>
      <c r="T688" s="708"/>
      <c r="U688" s="706"/>
      <c r="V688" s="706"/>
      <c r="W688" s="706"/>
      <c r="X688" s="706"/>
      <c r="Y688" s="706"/>
      <c r="Z688" s="706"/>
      <c r="AA688" s="706"/>
    </row>
    <row r="689" spans="2:27">
      <c r="B689" s="2473" t="s">
        <v>334</v>
      </c>
      <c r="C689" s="2540"/>
      <c r="D689" s="2481">
        <f t="shared" si="94"/>
        <v>25571.500169999999</v>
      </c>
      <c r="E689" s="2528"/>
      <c r="F689" s="2529">
        <v>507.11342000000002</v>
      </c>
      <c r="G689" s="2528">
        <v>12456.681500000001</v>
      </c>
      <c r="H689" s="2529">
        <v>12607.705250000001</v>
      </c>
      <c r="I689" s="2499">
        <f t="shared" si="95"/>
        <v>25571.500169999999</v>
      </c>
      <c r="J689" s="2529"/>
      <c r="K689" s="2528"/>
      <c r="L689" s="2529"/>
      <c r="M689" s="2500">
        <f t="shared" si="96"/>
        <v>0</v>
      </c>
      <c r="N689" s="922"/>
      <c r="O689" s="922"/>
      <c r="P689" s="679"/>
      <c r="Q689" s="706"/>
      <c r="R689" s="109"/>
      <c r="S689" s="706"/>
      <c r="T689" s="708"/>
      <c r="U689" s="706"/>
      <c r="V689" s="706"/>
      <c r="W689" s="706"/>
      <c r="X689" s="706"/>
      <c r="Y689" s="706"/>
      <c r="Z689" s="706"/>
      <c r="AA689" s="706"/>
    </row>
    <row r="690" spans="2:27">
      <c r="B690" s="2473"/>
      <c r="C690" s="2540"/>
      <c r="D690" s="2481">
        <f t="shared" si="94"/>
        <v>0</v>
      </c>
      <c r="E690" s="2528"/>
      <c r="F690" s="2529"/>
      <c r="G690" s="2528"/>
      <c r="H690" s="2529"/>
      <c r="I690" s="2499">
        <f t="shared" si="95"/>
        <v>0</v>
      </c>
      <c r="J690" s="2529"/>
      <c r="K690" s="2528"/>
      <c r="L690" s="2529"/>
      <c r="M690" s="2500">
        <f t="shared" si="96"/>
        <v>0</v>
      </c>
      <c r="O690" s="922"/>
      <c r="P690" s="679"/>
      <c r="Q690" s="706"/>
      <c r="R690" s="109"/>
      <c r="S690" s="706"/>
      <c r="T690" s="708"/>
      <c r="U690" s="706"/>
      <c r="V690" s="706"/>
      <c r="W690" s="706"/>
      <c r="X690" s="706"/>
      <c r="Y690" s="706"/>
      <c r="Z690" s="706"/>
      <c r="AA690" s="706"/>
    </row>
    <row r="691" spans="2:27" ht="15.75" customHeight="1">
      <c r="B691" s="2474" t="s">
        <v>335</v>
      </c>
      <c r="C691" s="2540"/>
      <c r="D691" s="2481">
        <f t="shared" si="94"/>
        <v>0</v>
      </c>
      <c r="E691" s="2528"/>
      <c r="F691" s="2529"/>
      <c r="G691" s="2528"/>
      <c r="H691" s="2529"/>
      <c r="I691" s="2499">
        <f t="shared" si="95"/>
        <v>0</v>
      </c>
      <c r="J691" s="2529"/>
      <c r="K691" s="2528"/>
      <c r="L691" s="2529"/>
      <c r="M691" s="2500">
        <f t="shared" si="96"/>
        <v>0</v>
      </c>
      <c r="N691" s="922"/>
      <c r="O691" s="922"/>
      <c r="P691" s="679"/>
      <c r="Q691" s="706"/>
      <c r="R691" s="109"/>
      <c r="S691" s="706"/>
      <c r="T691" s="708"/>
      <c r="U691" s="706"/>
      <c r="V691" s="706"/>
      <c r="W691" s="706"/>
      <c r="X691" s="706"/>
      <c r="Y691" s="706"/>
      <c r="Z691" s="706"/>
      <c r="AA691" s="706"/>
    </row>
    <row r="692" spans="2:27">
      <c r="B692" s="2468"/>
      <c r="C692" s="2540"/>
      <c r="D692" s="2481">
        <f t="shared" si="94"/>
        <v>0</v>
      </c>
      <c r="E692" s="2528"/>
      <c r="F692" s="2529"/>
      <c r="G692" s="2528"/>
      <c r="H692" s="2529"/>
      <c r="I692" s="2499">
        <f t="shared" si="95"/>
        <v>0</v>
      </c>
      <c r="J692" s="2529"/>
      <c r="K692" s="2528"/>
      <c r="L692" s="2529"/>
      <c r="M692" s="2500">
        <f t="shared" si="96"/>
        <v>0</v>
      </c>
      <c r="O692" s="922"/>
      <c r="P692" s="679"/>
      <c r="Q692" s="706"/>
      <c r="R692" s="109"/>
      <c r="S692" s="706"/>
      <c r="T692" s="708"/>
      <c r="U692" s="706"/>
      <c r="V692" s="706"/>
      <c r="W692" s="706"/>
      <c r="X692" s="706"/>
      <c r="Y692" s="706"/>
      <c r="Z692" s="706"/>
      <c r="AA692" s="706"/>
    </row>
    <row r="693" spans="2:27">
      <c r="B693" s="2475" t="s">
        <v>336</v>
      </c>
      <c r="C693" s="2541"/>
      <c r="D693" s="2481">
        <f t="shared" si="94"/>
        <v>668858.63559199998</v>
      </c>
      <c r="E693" s="2528">
        <f>E687-E689+E691</f>
        <v>0</v>
      </c>
      <c r="F693" s="2529">
        <f>F687-F689+F691</f>
        <v>17427.701752000001</v>
      </c>
      <c r="G693" s="2528">
        <f>G687-G689+G691</f>
        <v>277810.93298999994</v>
      </c>
      <c r="H693" s="2529">
        <f>H687-H689+H691</f>
        <v>373620.00085000001</v>
      </c>
      <c r="I693" s="2499">
        <f t="shared" si="95"/>
        <v>668858.63559199998</v>
      </c>
      <c r="J693" s="2529">
        <f>J687-J689+J691</f>
        <v>0</v>
      </c>
      <c r="K693" s="2528">
        <f>K687-K689+K691</f>
        <v>0</v>
      </c>
      <c r="L693" s="2529">
        <f>L687-L689+L691</f>
        <v>0</v>
      </c>
      <c r="M693" s="2500">
        <f t="shared" si="96"/>
        <v>0</v>
      </c>
      <c r="N693" s="927"/>
      <c r="O693" s="922"/>
      <c r="P693" s="679"/>
      <c r="Q693" s="706"/>
      <c r="R693" s="109"/>
      <c r="S693" s="706"/>
      <c r="T693" s="708"/>
      <c r="U693" s="706"/>
      <c r="V693" s="706"/>
      <c r="W693" s="706"/>
      <c r="X693" s="706"/>
      <c r="Y693" s="706"/>
      <c r="Z693" s="706"/>
      <c r="AA693" s="706"/>
    </row>
    <row r="694" spans="2:27">
      <c r="B694" s="2475"/>
      <c r="C694" s="2541"/>
      <c r="D694" s="2481">
        <f t="shared" si="94"/>
        <v>0</v>
      </c>
      <c r="E694" s="2528"/>
      <c r="F694" s="2529"/>
      <c r="G694" s="2528"/>
      <c r="H694" s="2529"/>
      <c r="I694" s="2499">
        <f t="shared" si="95"/>
        <v>0</v>
      </c>
      <c r="J694" s="2529"/>
      <c r="K694" s="2528"/>
      <c r="L694" s="2529"/>
      <c r="M694" s="2500">
        <f t="shared" si="96"/>
        <v>0</v>
      </c>
      <c r="O694" s="922"/>
      <c r="P694" s="679"/>
      <c r="Q694" s="706"/>
      <c r="R694" s="109"/>
      <c r="S694" s="706"/>
      <c r="T694" s="708"/>
      <c r="U694" s="706"/>
      <c r="V694" s="706"/>
      <c r="W694" s="706"/>
      <c r="X694" s="706"/>
      <c r="Y694" s="706"/>
      <c r="Z694" s="706"/>
      <c r="AA694" s="706"/>
    </row>
    <row r="695" spans="2:27">
      <c r="B695" s="2475" t="s">
        <v>337</v>
      </c>
      <c r="C695" s="2541"/>
      <c r="D695" s="2481">
        <f t="shared" si="94"/>
        <v>144679.92333037383</v>
      </c>
      <c r="E695" s="2528">
        <f>SUM(E696:E700)</f>
        <v>46028.36582410043</v>
      </c>
      <c r="F695" s="2529">
        <f>SUM(F696:F700)</f>
        <v>6899.7064370963471</v>
      </c>
      <c r="G695" s="2528">
        <f>SUM(G696:G700)</f>
        <v>74734.192660205706</v>
      </c>
      <c r="H695" s="2529">
        <f>SUM(H696:H700)</f>
        <v>17017.658408971329</v>
      </c>
      <c r="I695" s="2499">
        <f t="shared" si="95"/>
        <v>98651.557506273384</v>
      </c>
      <c r="J695" s="2529">
        <f>SUM(J696:J700)</f>
        <v>0</v>
      </c>
      <c r="K695" s="2528">
        <f>SUM(K696:K700)</f>
        <v>0</v>
      </c>
      <c r="L695" s="2529">
        <f>SUM(L696:L700)</f>
        <v>0</v>
      </c>
      <c r="M695" s="2500">
        <f t="shared" si="96"/>
        <v>0</v>
      </c>
      <c r="N695" s="927"/>
      <c r="O695" s="922"/>
      <c r="P695" s="679"/>
      <c r="Q695" s="706"/>
      <c r="R695" s="109"/>
      <c r="S695" s="706"/>
      <c r="T695" s="708"/>
      <c r="U695" s="706"/>
      <c r="V695" s="706"/>
      <c r="W695" s="706"/>
      <c r="X695" s="706"/>
      <c r="Y695" s="706"/>
      <c r="Z695" s="706"/>
      <c r="AA695" s="706"/>
    </row>
    <row r="696" spans="2:27">
      <c r="B696" s="2468" t="s">
        <v>338</v>
      </c>
      <c r="C696" s="2540">
        <v>1</v>
      </c>
      <c r="D696" s="2481">
        <f t="shared" si="94"/>
        <v>113225.16140999999</v>
      </c>
      <c r="E696" s="2528">
        <v>30904.350023963012</v>
      </c>
      <c r="F696" s="2529">
        <v>6151.603617915116</v>
      </c>
      <c r="G696" s="2528">
        <v>68567.670626850886</v>
      </c>
      <c r="H696" s="2529">
        <v>7601.5371412709856</v>
      </c>
      <c r="I696" s="2499">
        <f t="shared" si="95"/>
        <v>82320.811386036978</v>
      </c>
      <c r="J696" s="2529"/>
      <c r="K696" s="2528"/>
      <c r="L696" s="2529"/>
      <c r="M696" s="2500">
        <f t="shared" si="96"/>
        <v>0</v>
      </c>
      <c r="N696" s="922"/>
      <c r="O696" s="922"/>
      <c r="P696" s="679"/>
      <c r="Q696" s="706"/>
      <c r="R696" s="109"/>
      <c r="S696" s="706"/>
      <c r="T696" s="708"/>
      <c r="U696" s="706"/>
      <c r="V696" s="706"/>
      <c r="W696" s="706"/>
      <c r="X696" s="706"/>
      <c r="Y696" s="706"/>
      <c r="Z696" s="706"/>
      <c r="AA696" s="706"/>
    </row>
    <row r="697" spans="2:27">
      <c r="B697" s="2468" t="s">
        <v>339</v>
      </c>
      <c r="C697" s="2540">
        <v>2</v>
      </c>
      <c r="D697" s="2481">
        <f t="shared" si="94"/>
        <v>26193.993830373816</v>
      </c>
      <c r="E697" s="2528">
        <v>9863.2477101374243</v>
      </c>
      <c r="F697" s="2529">
        <v>748.10281918123087</v>
      </c>
      <c r="G697" s="2528">
        <v>6166.5220333548177</v>
      </c>
      <c r="H697" s="2529">
        <v>9416.1212677003441</v>
      </c>
      <c r="I697" s="2499">
        <f t="shared" si="95"/>
        <v>16330.746120236392</v>
      </c>
      <c r="J697" s="2529"/>
      <c r="K697" s="2528"/>
      <c r="L697" s="2529"/>
      <c r="M697" s="2500">
        <f t="shared" si="96"/>
        <v>0</v>
      </c>
      <c r="N697" s="922"/>
      <c r="O697" s="922"/>
      <c r="P697" s="679"/>
      <c r="Q697" s="706"/>
      <c r="R697" s="109"/>
      <c r="S697" s="706"/>
      <c r="T697" s="708"/>
      <c r="U697" s="706"/>
      <c r="V697" s="706"/>
      <c r="W697" s="706"/>
      <c r="X697" s="706"/>
      <c r="Y697" s="706"/>
      <c r="Z697" s="706"/>
      <c r="AA697" s="706"/>
    </row>
    <row r="698" spans="2:27">
      <c r="B698" s="2468" t="s">
        <v>340</v>
      </c>
      <c r="C698" s="2540"/>
      <c r="D698" s="2481">
        <f t="shared" si="94"/>
        <v>0</v>
      </c>
      <c r="E698" s="2528"/>
      <c r="F698" s="2529"/>
      <c r="G698" s="2528"/>
      <c r="H698" s="2529"/>
      <c r="I698" s="2499">
        <f t="shared" si="95"/>
        <v>0</v>
      </c>
      <c r="J698" s="2529"/>
      <c r="K698" s="2528"/>
      <c r="L698" s="2529"/>
      <c r="M698" s="2500">
        <f t="shared" si="96"/>
        <v>0</v>
      </c>
      <c r="N698" s="922"/>
      <c r="O698" s="922"/>
      <c r="P698" s="679"/>
      <c r="Q698" s="706"/>
      <c r="R698" s="109"/>
      <c r="S698" s="706"/>
      <c r="T698" s="708"/>
      <c r="U698" s="706"/>
      <c r="V698" s="706"/>
      <c r="W698" s="706"/>
      <c r="X698" s="706"/>
      <c r="Y698" s="706"/>
      <c r="Z698" s="706"/>
      <c r="AA698" s="706"/>
    </row>
    <row r="699" spans="2:27">
      <c r="B699" s="2468" t="s">
        <v>341</v>
      </c>
      <c r="C699" s="2540"/>
      <c r="D699" s="2481">
        <f t="shared" si="94"/>
        <v>5260.7680899999996</v>
      </c>
      <c r="E699" s="2528">
        <v>5260.7680899999996</v>
      </c>
      <c r="F699" s="2529"/>
      <c r="G699" s="2528"/>
      <c r="H699" s="2529"/>
      <c r="I699" s="2499">
        <f t="shared" si="95"/>
        <v>0</v>
      </c>
      <c r="J699" s="2529"/>
      <c r="K699" s="2528"/>
      <c r="L699" s="2529"/>
      <c r="M699" s="2500">
        <f t="shared" si="96"/>
        <v>0</v>
      </c>
      <c r="N699" s="922"/>
      <c r="O699" s="922"/>
      <c r="P699" s="679"/>
      <c r="Q699" s="706"/>
      <c r="R699" s="109"/>
      <c r="S699" s="706"/>
      <c r="T699" s="708"/>
      <c r="U699" s="706"/>
      <c r="V699" s="706"/>
      <c r="W699" s="706"/>
      <c r="X699" s="706"/>
      <c r="Y699" s="706"/>
      <c r="Z699" s="706"/>
      <c r="AA699" s="706"/>
    </row>
    <row r="700" spans="2:27">
      <c r="B700" s="2468" t="s">
        <v>342</v>
      </c>
      <c r="C700" s="2540">
        <v>3</v>
      </c>
      <c r="D700" s="2481">
        <f t="shared" si="94"/>
        <v>0</v>
      </c>
      <c r="E700" s="2528"/>
      <c r="F700" s="2529"/>
      <c r="G700" s="2528"/>
      <c r="H700" s="2529"/>
      <c r="I700" s="2499">
        <f t="shared" si="95"/>
        <v>0</v>
      </c>
      <c r="J700" s="2529"/>
      <c r="K700" s="2528"/>
      <c r="L700" s="2529"/>
      <c r="M700" s="2500">
        <f t="shared" si="96"/>
        <v>0</v>
      </c>
      <c r="N700" s="922"/>
      <c r="O700" s="922"/>
      <c r="P700" s="679"/>
      <c r="Q700" s="706"/>
      <c r="R700" s="109"/>
      <c r="S700" s="706"/>
      <c r="T700" s="708"/>
      <c r="U700" s="706"/>
      <c r="V700" s="706"/>
      <c r="W700" s="706"/>
      <c r="X700" s="706"/>
      <c r="Y700" s="706"/>
      <c r="Z700" s="706"/>
      <c r="AA700" s="706"/>
    </row>
    <row r="701" spans="2:27">
      <c r="B701" s="2468" t="s">
        <v>343</v>
      </c>
      <c r="C701" s="2540"/>
      <c r="D701" s="2481">
        <f t="shared" si="94"/>
        <v>0</v>
      </c>
      <c r="E701" s="2528"/>
      <c r="F701" s="2529"/>
      <c r="G701" s="2528"/>
      <c r="H701" s="2529"/>
      <c r="I701" s="2499">
        <f t="shared" si="95"/>
        <v>0</v>
      </c>
      <c r="J701" s="2529"/>
      <c r="K701" s="2528"/>
      <c r="L701" s="2529"/>
      <c r="M701" s="2500">
        <f t="shared" si="96"/>
        <v>0</v>
      </c>
      <c r="O701" s="922"/>
      <c r="P701" s="679"/>
      <c r="Q701" s="706"/>
      <c r="R701" s="109"/>
      <c r="S701" s="706"/>
      <c r="T701" s="708"/>
      <c r="U701" s="706"/>
      <c r="V701" s="706"/>
      <c r="W701" s="706"/>
      <c r="X701" s="706"/>
      <c r="Y701" s="706"/>
      <c r="Z701" s="706"/>
      <c r="AA701" s="706"/>
    </row>
    <row r="702" spans="2:27">
      <c r="B702" s="2468" t="s">
        <v>343</v>
      </c>
      <c r="C702" s="2540"/>
      <c r="D702" s="2481">
        <f t="shared" si="94"/>
        <v>0</v>
      </c>
      <c r="E702" s="2528"/>
      <c r="F702" s="2529"/>
      <c r="G702" s="2528"/>
      <c r="H702" s="2529"/>
      <c r="I702" s="2499">
        <f t="shared" si="95"/>
        <v>0</v>
      </c>
      <c r="J702" s="2529"/>
      <c r="K702" s="2528"/>
      <c r="L702" s="2529"/>
      <c r="M702" s="2500">
        <f t="shared" si="96"/>
        <v>0</v>
      </c>
      <c r="O702" s="922"/>
      <c r="P702" s="679"/>
      <c r="Q702" s="706"/>
      <c r="R702" s="109"/>
      <c r="S702" s="706"/>
      <c r="T702" s="708"/>
      <c r="U702" s="706"/>
      <c r="V702" s="706"/>
      <c r="W702" s="706"/>
      <c r="X702" s="706"/>
      <c r="Y702" s="706"/>
      <c r="Z702" s="706"/>
      <c r="AA702" s="706"/>
    </row>
    <row r="703" spans="2:27">
      <c r="B703" s="2468"/>
      <c r="C703" s="2540"/>
      <c r="D703" s="2481">
        <f t="shared" si="94"/>
        <v>0</v>
      </c>
      <c r="E703" s="2528"/>
      <c r="F703" s="2529"/>
      <c r="G703" s="2528"/>
      <c r="H703" s="2529"/>
      <c r="I703" s="2499">
        <f t="shared" si="95"/>
        <v>0</v>
      </c>
      <c r="J703" s="2529"/>
      <c r="K703" s="2528"/>
      <c r="L703" s="2529"/>
      <c r="M703" s="2500">
        <f t="shared" si="96"/>
        <v>0</v>
      </c>
      <c r="O703" s="922"/>
      <c r="P703" s="679"/>
      <c r="Q703" s="706"/>
      <c r="R703" s="109"/>
      <c r="S703" s="706"/>
      <c r="T703" s="708"/>
      <c r="U703" s="706"/>
      <c r="V703" s="706"/>
      <c r="W703" s="706"/>
      <c r="X703" s="706"/>
      <c r="Y703" s="706"/>
      <c r="Z703" s="706"/>
      <c r="AA703" s="706"/>
    </row>
    <row r="704" spans="2:27">
      <c r="B704" s="2478" t="s">
        <v>344</v>
      </c>
      <c r="C704" s="2541"/>
      <c r="D704" s="2481">
        <f t="shared" si="94"/>
        <v>813538.55892237381</v>
      </c>
      <c r="E704" s="2528">
        <f>E693+E695</f>
        <v>46028.36582410043</v>
      </c>
      <c r="F704" s="2529">
        <f>F693+F695</f>
        <v>24327.40818909635</v>
      </c>
      <c r="G704" s="2528">
        <f>G693+G695</f>
        <v>352545.12565020565</v>
      </c>
      <c r="H704" s="2529">
        <f>H693+H695</f>
        <v>390637.65925897134</v>
      </c>
      <c r="I704" s="2499">
        <f t="shared" si="95"/>
        <v>767510.19309827336</v>
      </c>
      <c r="J704" s="2529">
        <f>J693+J695</f>
        <v>0</v>
      </c>
      <c r="K704" s="2528">
        <f>K693+K695</f>
        <v>0</v>
      </c>
      <c r="L704" s="2529">
        <f>L693+L695</f>
        <v>0</v>
      </c>
      <c r="M704" s="2500">
        <f t="shared" si="96"/>
        <v>0</v>
      </c>
      <c r="N704" s="927"/>
      <c r="O704" s="922"/>
      <c r="P704" s="679"/>
      <c r="Q704" s="706"/>
      <c r="R704" s="109"/>
      <c r="S704" s="706"/>
      <c r="T704" s="708"/>
      <c r="U704" s="706"/>
      <c r="V704" s="706"/>
      <c r="W704" s="706"/>
      <c r="X704" s="706"/>
      <c r="Y704" s="706"/>
      <c r="Z704" s="706"/>
      <c r="AA704" s="706"/>
    </row>
    <row r="705" spans="2:27">
      <c r="B705" s="2478"/>
      <c r="C705" s="2541"/>
      <c r="D705" s="2481">
        <f t="shared" si="94"/>
        <v>0</v>
      </c>
      <c r="E705" s="2528"/>
      <c r="F705" s="2529"/>
      <c r="G705" s="2528"/>
      <c r="H705" s="2529"/>
      <c r="I705" s="2499">
        <f t="shared" si="95"/>
        <v>0</v>
      </c>
      <c r="J705" s="2529"/>
      <c r="K705" s="2528"/>
      <c r="L705" s="2529"/>
      <c r="M705" s="2500"/>
      <c r="O705" s="922"/>
      <c r="P705" s="679"/>
      <c r="Q705" s="706"/>
      <c r="R705" s="109"/>
      <c r="S705" s="706"/>
      <c r="T705" s="708"/>
      <c r="U705" s="706"/>
      <c r="V705" s="706"/>
      <c r="W705" s="706"/>
      <c r="X705" s="706"/>
      <c r="Y705" s="706"/>
      <c r="Z705" s="706"/>
      <c r="AA705" s="706"/>
    </row>
    <row r="706" spans="2:27">
      <c r="B706" s="2468" t="s">
        <v>345</v>
      </c>
      <c r="C706" s="2540"/>
      <c r="D706" s="2481">
        <f t="shared" si="94"/>
        <v>112845.62442000002</v>
      </c>
      <c r="E706" s="2528"/>
      <c r="F706" s="2529">
        <v>9382.7912799999995</v>
      </c>
      <c r="G706" s="2528">
        <v>90291.837080000012</v>
      </c>
      <c r="H706" s="2529">
        <v>13170.996059999999</v>
      </c>
      <c r="I706" s="2499">
        <f t="shared" si="95"/>
        <v>112845.62442000002</v>
      </c>
      <c r="J706" s="2529"/>
      <c r="K706" s="2528"/>
      <c r="L706" s="2529"/>
      <c r="M706" s="2500">
        <f t="shared" ref="M706:M724" si="97">L706+K706+J706</f>
        <v>0</v>
      </c>
      <c r="N706" s="922"/>
      <c r="O706" s="922"/>
      <c r="P706" s="679"/>
      <c r="Q706" s="706"/>
      <c r="R706" s="109"/>
      <c r="S706" s="706"/>
      <c r="T706" s="708"/>
      <c r="U706" s="706"/>
      <c r="V706" s="706"/>
      <c r="W706" s="706"/>
      <c r="X706" s="706"/>
      <c r="Y706" s="706"/>
      <c r="Z706" s="706"/>
      <c r="AA706" s="706"/>
    </row>
    <row r="707" spans="2:27">
      <c r="B707" s="2468" t="s">
        <v>346</v>
      </c>
      <c r="C707" s="2540"/>
      <c r="D707" s="2481">
        <f t="shared" si="94"/>
        <v>-17632.502140000001</v>
      </c>
      <c r="E707" s="2528"/>
      <c r="F707" s="2535">
        <v>-62.5</v>
      </c>
      <c r="G707" s="953">
        <v>-14568.582920000001</v>
      </c>
      <c r="H707" s="2535">
        <v>-3001.4192200000002</v>
      </c>
      <c r="I707" s="2499">
        <f t="shared" si="95"/>
        <v>-17632.502140000001</v>
      </c>
      <c r="J707" s="2529"/>
      <c r="K707" s="2528"/>
      <c r="L707" s="2529"/>
      <c r="M707" s="2500">
        <f t="shared" si="97"/>
        <v>0</v>
      </c>
      <c r="N707" s="922"/>
      <c r="O707" s="922"/>
      <c r="P707" s="679"/>
      <c r="Q707" s="706"/>
      <c r="R707" s="109"/>
      <c r="S707" s="706"/>
      <c r="T707" s="708"/>
      <c r="U707" s="706"/>
      <c r="V707" s="706"/>
      <c r="W707" s="706"/>
      <c r="X707" s="706"/>
      <c r="Y707" s="706"/>
      <c r="Z707" s="706"/>
      <c r="AA707" s="706"/>
    </row>
    <row r="708" spans="2:27">
      <c r="B708" s="2468" t="s">
        <v>347</v>
      </c>
      <c r="C708" s="2540"/>
      <c r="D708" s="2481">
        <f t="shared" si="94"/>
        <v>5071.4302299999999</v>
      </c>
      <c r="E708" s="2528"/>
      <c r="F708" s="954">
        <v>594.24672999999984</v>
      </c>
      <c r="G708" s="955">
        <v>-2467.3654999999999</v>
      </c>
      <c r="H708" s="954">
        <v>6944.549</v>
      </c>
      <c r="I708" s="2499">
        <f t="shared" si="95"/>
        <v>5071.4302299999999</v>
      </c>
      <c r="J708" s="2529"/>
      <c r="K708" s="2528"/>
      <c r="L708" s="2529"/>
      <c r="M708" s="2500">
        <f t="shared" si="97"/>
        <v>0</v>
      </c>
      <c r="N708" s="922"/>
      <c r="O708" s="922"/>
      <c r="P708" s="679"/>
      <c r="Q708" s="706"/>
      <c r="R708" s="109"/>
      <c r="S708" s="706"/>
      <c r="T708" s="708"/>
      <c r="U708" s="706"/>
      <c r="V708" s="706"/>
      <c r="W708" s="706"/>
      <c r="X708" s="706"/>
      <c r="Y708" s="706"/>
      <c r="Z708" s="706"/>
      <c r="AA708" s="706"/>
    </row>
    <row r="709" spans="2:27" ht="12.75" customHeight="1">
      <c r="B709" s="2479" t="s">
        <v>348</v>
      </c>
      <c r="C709" s="2540"/>
      <c r="D709" s="2481">
        <f t="shared" si="94"/>
        <v>4926.3326999999999</v>
      </c>
      <c r="E709" s="2528"/>
      <c r="F709" s="956">
        <v>5.5</v>
      </c>
      <c r="G709" s="957">
        <v>4266.0919999999996</v>
      </c>
      <c r="H709" s="956">
        <v>654.74069999999995</v>
      </c>
      <c r="I709" s="2499">
        <f t="shared" si="95"/>
        <v>4926.3326999999999</v>
      </c>
      <c r="J709" s="2529"/>
      <c r="K709" s="2528"/>
      <c r="L709" s="2529"/>
      <c r="M709" s="2500">
        <f t="shared" si="97"/>
        <v>0</v>
      </c>
      <c r="N709" s="922"/>
      <c r="O709" s="922"/>
      <c r="P709" s="679"/>
      <c r="Q709" s="706"/>
      <c r="R709" s="109"/>
      <c r="S709" s="706"/>
      <c r="T709" s="708"/>
      <c r="U709" s="706"/>
      <c r="V709" s="706"/>
      <c r="W709" s="706"/>
      <c r="X709" s="706"/>
      <c r="Y709" s="706"/>
      <c r="Z709" s="706"/>
      <c r="AA709" s="706"/>
    </row>
    <row r="710" spans="2:27">
      <c r="B710" s="2468" t="s">
        <v>349</v>
      </c>
      <c r="C710" s="2540"/>
      <c r="D710" s="2481">
        <f t="shared" si="94"/>
        <v>33627</v>
      </c>
      <c r="E710" s="2528">
        <v>-9850</v>
      </c>
      <c r="F710" s="2529">
        <v>-16417</v>
      </c>
      <c r="G710" s="2528">
        <v>166446</v>
      </c>
      <c r="H710" s="2529">
        <v>-106552</v>
      </c>
      <c r="I710" s="2499">
        <f t="shared" si="95"/>
        <v>43477</v>
      </c>
      <c r="J710" s="2529"/>
      <c r="K710" s="2528"/>
      <c r="L710" s="2529"/>
      <c r="M710" s="2500">
        <f t="shared" si="97"/>
        <v>0</v>
      </c>
      <c r="N710" s="922"/>
      <c r="O710" s="922"/>
      <c r="P710" s="679"/>
      <c r="Q710" s="706"/>
      <c r="R710" s="109"/>
      <c r="S710" s="706"/>
      <c r="T710" s="708"/>
      <c r="U710" s="706"/>
      <c r="V710" s="706"/>
      <c r="W710" s="706"/>
      <c r="X710" s="706"/>
      <c r="Y710" s="706"/>
      <c r="Z710" s="706"/>
      <c r="AA710" s="706"/>
    </row>
    <row r="711" spans="2:27" ht="25.5">
      <c r="B711" s="2479" t="s">
        <v>350</v>
      </c>
      <c r="C711" s="2540"/>
      <c r="D711" s="2481">
        <f t="shared" si="94"/>
        <v>0</v>
      </c>
      <c r="E711" s="2528"/>
      <c r="F711" s="2529"/>
      <c r="G711" s="2528"/>
      <c r="H711" s="2529"/>
      <c r="I711" s="2499">
        <f t="shared" si="95"/>
        <v>0</v>
      </c>
      <c r="J711" s="2529"/>
      <c r="K711" s="2528"/>
      <c r="L711" s="2529"/>
      <c r="M711" s="2500">
        <f t="shared" si="97"/>
        <v>0</v>
      </c>
      <c r="N711" s="922"/>
      <c r="O711" s="922"/>
      <c r="P711" s="679"/>
      <c r="Q711" s="706"/>
      <c r="R711" s="109"/>
      <c r="S711" s="706"/>
      <c r="T711" s="708"/>
      <c r="U711" s="706"/>
      <c r="V711" s="706"/>
      <c r="W711" s="706"/>
      <c r="X711" s="706"/>
      <c r="Y711" s="706"/>
      <c r="Z711" s="706"/>
      <c r="AA711" s="706"/>
    </row>
    <row r="712" spans="2:27">
      <c r="B712" s="2478" t="s">
        <v>351</v>
      </c>
      <c r="C712" s="2541"/>
      <c r="D712" s="2481">
        <f t="shared" si="94"/>
        <v>138837.88520999998</v>
      </c>
      <c r="E712" s="2528">
        <f>SUM(E706:E711)</f>
        <v>-9850</v>
      </c>
      <c r="F712" s="2529">
        <f>SUM(F706:F711)</f>
        <v>-6496.9619899999998</v>
      </c>
      <c r="G712" s="2528">
        <f>SUM(G706:G711)</f>
        <v>243967.98066</v>
      </c>
      <c r="H712" s="2529">
        <f>SUM(H706:H711)</f>
        <v>-88783.133459999997</v>
      </c>
      <c r="I712" s="2499">
        <f t="shared" si="95"/>
        <v>148687.88520999998</v>
      </c>
      <c r="J712" s="2529">
        <f>SUM(J706:J711)</f>
        <v>0</v>
      </c>
      <c r="K712" s="2528">
        <f>SUM(K706:K711)</f>
        <v>0</v>
      </c>
      <c r="L712" s="2529">
        <f>SUM(L706:L711)</f>
        <v>0</v>
      </c>
      <c r="M712" s="2500">
        <f t="shared" si="97"/>
        <v>0</v>
      </c>
      <c r="N712" s="927"/>
      <c r="O712" s="922"/>
      <c r="P712" s="679"/>
      <c r="Q712" s="706"/>
      <c r="R712" s="109"/>
      <c r="S712" s="706"/>
      <c r="T712" s="708"/>
      <c r="U712" s="706"/>
      <c r="V712" s="706"/>
      <c r="W712" s="706"/>
      <c r="X712" s="706"/>
      <c r="Y712" s="706"/>
      <c r="Z712" s="706"/>
      <c r="AA712" s="706"/>
    </row>
    <row r="713" spans="2:27">
      <c r="B713" s="2468"/>
      <c r="C713" s="2540"/>
      <c r="D713" s="2481">
        <f t="shared" si="94"/>
        <v>0</v>
      </c>
      <c r="E713" s="2528"/>
      <c r="F713" s="2529"/>
      <c r="G713" s="2528"/>
      <c r="H713" s="2529"/>
      <c r="I713" s="2499">
        <f t="shared" si="95"/>
        <v>0</v>
      </c>
      <c r="J713" s="2529"/>
      <c r="K713" s="2528"/>
      <c r="L713" s="2529"/>
      <c r="M713" s="2500">
        <f t="shared" si="97"/>
        <v>0</v>
      </c>
      <c r="O713" s="922"/>
      <c r="P713" s="679"/>
      <c r="Q713" s="706"/>
      <c r="R713" s="109"/>
      <c r="S713" s="706"/>
      <c r="T713" s="708"/>
      <c r="U713" s="706"/>
      <c r="V713" s="706"/>
      <c r="W713" s="706"/>
      <c r="X713" s="706"/>
      <c r="Y713" s="706"/>
      <c r="Z713" s="706"/>
      <c r="AA713" s="706"/>
    </row>
    <row r="714" spans="2:27" ht="25.5">
      <c r="B714" s="2479" t="s">
        <v>352</v>
      </c>
      <c r="C714" s="2540"/>
      <c r="D714" s="2481">
        <f t="shared" si="94"/>
        <v>67378.072740073956</v>
      </c>
      <c r="E714" s="2528"/>
      <c r="F714" s="2529">
        <v>2472.5929739556418</v>
      </c>
      <c r="G714" s="2528">
        <v>13445.212833654585</v>
      </c>
      <c r="H714" s="2529">
        <v>51460.266932463732</v>
      </c>
      <c r="I714" s="2499">
        <f t="shared" si="95"/>
        <v>67378.072740073956</v>
      </c>
      <c r="J714" s="2529"/>
      <c r="K714" s="2528"/>
      <c r="L714" s="2529"/>
      <c r="M714" s="2500">
        <f t="shared" si="97"/>
        <v>0</v>
      </c>
      <c r="N714" s="922"/>
      <c r="O714" s="922"/>
      <c r="P714" s="679"/>
      <c r="Q714" s="706"/>
      <c r="R714" s="109"/>
      <c r="S714" s="706"/>
      <c r="T714" s="708"/>
      <c r="U714" s="706"/>
      <c r="V714" s="706"/>
      <c r="W714" s="706"/>
      <c r="X714" s="706"/>
      <c r="Y714" s="706"/>
      <c r="Z714" s="706"/>
      <c r="AA714" s="706"/>
    </row>
    <row r="715" spans="2:27">
      <c r="B715" s="2468"/>
      <c r="C715" s="2540"/>
      <c r="D715" s="2481">
        <f t="shared" si="94"/>
        <v>0</v>
      </c>
      <c r="E715" s="2528"/>
      <c r="F715" s="2529"/>
      <c r="G715" s="2528"/>
      <c r="H715" s="2529"/>
      <c r="I715" s="2499">
        <f t="shared" si="95"/>
        <v>0</v>
      </c>
      <c r="J715" s="2529"/>
      <c r="K715" s="2528"/>
      <c r="L715" s="2529"/>
      <c r="M715" s="2500">
        <f t="shared" si="97"/>
        <v>0</v>
      </c>
      <c r="N715" s="922"/>
      <c r="O715" s="922"/>
      <c r="P715" s="679"/>
      <c r="Q715" s="706"/>
      <c r="R715" s="109"/>
      <c r="S715" s="706"/>
      <c r="T715" s="708"/>
      <c r="U715" s="706"/>
      <c r="V715" s="706"/>
      <c r="W715" s="706"/>
      <c r="X715" s="706"/>
      <c r="Y715" s="706"/>
      <c r="Z715" s="706"/>
      <c r="AA715" s="706"/>
    </row>
    <row r="716" spans="2:27" ht="12.75" customHeight="1">
      <c r="B716" s="2479" t="s">
        <v>353</v>
      </c>
      <c r="C716" s="2540">
        <v>4</v>
      </c>
      <c r="D716" s="2481">
        <f t="shared" si="94"/>
        <v>546858</v>
      </c>
      <c r="E716" s="2528">
        <v>11005</v>
      </c>
      <c r="F716" s="2529">
        <v>27522</v>
      </c>
      <c r="G716" s="2528">
        <v>99205.113000000012</v>
      </c>
      <c r="H716" s="2529">
        <v>409125.88699999999</v>
      </c>
      <c r="I716" s="2499">
        <f t="shared" si="95"/>
        <v>535853</v>
      </c>
      <c r="J716" s="2529"/>
      <c r="K716" s="2528"/>
      <c r="L716" s="2529"/>
      <c r="M716" s="2500">
        <f t="shared" si="97"/>
        <v>0</v>
      </c>
      <c r="N716" s="922"/>
      <c r="O716" s="922"/>
      <c r="P716" s="679"/>
      <c r="Q716" s="706"/>
      <c r="R716" s="109"/>
      <c r="S716" s="706"/>
      <c r="T716" s="708"/>
      <c r="U716" s="706"/>
      <c r="V716" s="706"/>
      <c r="W716" s="706"/>
      <c r="X716" s="706"/>
      <c r="Y716" s="706"/>
      <c r="Z716" s="706"/>
      <c r="AA716" s="706"/>
    </row>
    <row r="717" spans="2:27">
      <c r="B717" s="2468" t="s">
        <v>354</v>
      </c>
      <c r="C717" s="2540"/>
      <c r="D717" s="2481">
        <f t="shared" si="94"/>
        <v>0</v>
      </c>
      <c r="E717" s="2528"/>
      <c r="F717" s="2529"/>
      <c r="G717" s="2528"/>
      <c r="H717" s="2529"/>
      <c r="I717" s="2499">
        <f t="shared" si="95"/>
        <v>0</v>
      </c>
      <c r="J717" s="2529"/>
      <c r="K717" s="2528"/>
      <c r="L717" s="2529"/>
      <c r="M717" s="2500">
        <f t="shared" si="97"/>
        <v>0</v>
      </c>
      <c r="N717" s="922"/>
      <c r="O717" s="922"/>
      <c r="P717" s="679"/>
      <c r="Q717" s="706"/>
      <c r="R717" s="109"/>
      <c r="S717" s="706"/>
      <c r="T717" s="708"/>
      <c r="U717" s="706"/>
      <c r="V717" s="706"/>
      <c r="W717" s="706"/>
      <c r="X717" s="706"/>
      <c r="Y717" s="706"/>
      <c r="Z717" s="706"/>
      <c r="AA717" s="706"/>
    </row>
    <row r="718" spans="2:27">
      <c r="B718" s="2468" t="s">
        <v>355</v>
      </c>
      <c r="C718" s="2540"/>
      <c r="D718" s="2481">
        <f t="shared" si="94"/>
        <v>15591</v>
      </c>
      <c r="E718" s="2528">
        <v>0</v>
      </c>
      <c r="F718" s="2529">
        <v>830</v>
      </c>
      <c r="G718" s="2528">
        <v>-4074.1059999999998</v>
      </c>
      <c r="H718" s="2529">
        <v>18835.106</v>
      </c>
      <c r="I718" s="2499">
        <f t="shared" si="95"/>
        <v>15591</v>
      </c>
      <c r="J718" s="2529"/>
      <c r="K718" s="2528"/>
      <c r="L718" s="2529"/>
      <c r="M718" s="2500">
        <f t="shared" si="97"/>
        <v>0</v>
      </c>
      <c r="N718" s="922"/>
      <c r="O718" s="922"/>
      <c r="P718" s="679"/>
      <c r="Q718" s="706"/>
      <c r="R718" s="109"/>
      <c r="S718" s="706"/>
      <c r="T718" s="708"/>
      <c r="U718" s="706"/>
      <c r="V718" s="706"/>
      <c r="W718" s="706"/>
      <c r="X718" s="706"/>
      <c r="Y718" s="706"/>
      <c r="Z718" s="706"/>
      <c r="AA718" s="706"/>
    </row>
    <row r="719" spans="2:27">
      <c r="B719" s="2478" t="s">
        <v>356</v>
      </c>
      <c r="C719" s="2541"/>
      <c r="D719" s="2481">
        <f t="shared" si="94"/>
        <v>562449</v>
      </c>
      <c r="E719" s="2528">
        <f>SUM(E716:E718)</f>
        <v>11005</v>
      </c>
      <c r="F719" s="2529">
        <f>SUM(F716:F718)</f>
        <v>28352</v>
      </c>
      <c r="G719" s="2528">
        <f>SUM(G716:G718)</f>
        <v>95131.007000000012</v>
      </c>
      <c r="H719" s="2529">
        <f>SUM(H716:H718)</f>
        <v>427960.99300000002</v>
      </c>
      <c r="I719" s="2499">
        <f t="shared" si="95"/>
        <v>551444</v>
      </c>
      <c r="J719" s="2529">
        <f>SUM(J716:J718)</f>
        <v>0</v>
      </c>
      <c r="K719" s="2528">
        <f>SUM(K716:K718)</f>
        <v>0</v>
      </c>
      <c r="L719" s="2529">
        <f>SUM(L716:L718)</f>
        <v>0</v>
      </c>
      <c r="M719" s="2500">
        <f t="shared" si="97"/>
        <v>0</v>
      </c>
      <c r="N719" s="927"/>
      <c r="O719" s="922"/>
      <c r="P719" s="679"/>
      <c r="Q719" s="706"/>
      <c r="R719" s="109"/>
      <c r="S719" s="706"/>
      <c r="T719" s="708"/>
      <c r="U719" s="706"/>
      <c r="V719" s="706"/>
      <c r="W719" s="706"/>
      <c r="X719" s="706"/>
      <c r="Y719" s="706"/>
      <c r="Z719" s="706"/>
      <c r="AA719" s="706"/>
    </row>
    <row r="720" spans="2:27">
      <c r="B720" s="2478"/>
      <c r="C720" s="2541"/>
      <c r="D720" s="2481">
        <f t="shared" si="94"/>
        <v>0</v>
      </c>
      <c r="E720" s="2528"/>
      <c r="F720" s="2529"/>
      <c r="G720" s="2528"/>
      <c r="H720" s="2529"/>
      <c r="I720" s="2499">
        <f t="shared" si="95"/>
        <v>0</v>
      </c>
      <c r="J720" s="2529"/>
      <c r="K720" s="2528"/>
      <c r="L720" s="2529"/>
      <c r="M720" s="2500">
        <f t="shared" si="97"/>
        <v>0</v>
      </c>
      <c r="O720" s="922"/>
      <c r="P720" s="679"/>
      <c r="Q720" s="706"/>
      <c r="R720" s="109"/>
      <c r="S720" s="706"/>
      <c r="T720" s="708"/>
      <c r="U720" s="706"/>
      <c r="V720" s="706"/>
      <c r="W720" s="706"/>
      <c r="X720" s="706"/>
      <c r="Y720" s="706"/>
      <c r="Z720" s="706"/>
      <c r="AA720" s="706"/>
    </row>
    <row r="721" spans="1:27">
      <c r="B721" s="2478" t="s">
        <v>357</v>
      </c>
      <c r="C721" s="2541"/>
      <c r="D721" s="2481">
        <f t="shared" si="94"/>
        <v>44873.600972299755</v>
      </c>
      <c r="E721" s="2528">
        <f>E704-E712-E714-E719</f>
        <v>44873.36582410043</v>
      </c>
      <c r="F721" s="2529">
        <f>F704-F712-F714-F719</f>
        <v>-0.2227948592917528</v>
      </c>
      <c r="G721" s="2528">
        <f>G704-G712-G714-G719</f>
        <v>0.92515655104944017</v>
      </c>
      <c r="H721" s="2529">
        <f>H704-H712-H714-H719</f>
        <v>-0.46721349243307486</v>
      </c>
      <c r="I721" s="2499">
        <f t="shared" si="95"/>
        <v>0.23514819932461251</v>
      </c>
      <c r="J721" s="2529">
        <f>J704-J712-J714-J719</f>
        <v>0</v>
      </c>
      <c r="K721" s="2528">
        <f>K704-K712-K714-K719</f>
        <v>0</v>
      </c>
      <c r="L721" s="2529">
        <f>L704-L712-L714-L719</f>
        <v>0</v>
      </c>
      <c r="M721" s="2500">
        <f t="shared" si="97"/>
        <v>0</v>
      </c>
      <c r="N721" s="927"/>
      <c r="O721" s="922"/>
      <c r="P721" s="679"/>
      <c r="Q721" s="706"/>
      <c r="R721" s="109"/>
      <c r="S721" s="706"/>
      <c r="T721" s="708"/>
      <c r="U721" s="706"/>
      <c r="V721" s="706"/>
      <c r="W721" s="706"/>
      <c r="X721" s="706"/>
      <c r="Y721" s="706"/>
      <c r="Z721" s="706"/>
      <c r="AA721" s="706"/>
    </row>
    <row r="722" spans="1:27">
      <c r="B722" s="2468" t="s">
        <v>358</v>
      </c>
      <c r="C722" s="2540"/>
      <c r="D722" s="2481">
        <f t="shared" si="94"/>
        <v>19071.96</v>
      </c>
      <c r="E722" s="2528">
        <v>19071.96</v>
      </c>
      <c r="F722" s="2529"/>
      <c r="G722" s="2528"/>
      <c r="H722" s="2529"/>
      <c r="I722" s="2499">
        <f t="shared" si="95"/>
        <v>0</v>
      </c>
      <c r="J722" s="2529"/>
      <c r="K722" s="2528"/>
      <c r="L722" s="2529"/>
      <c r="M722" s="2500">
        <f t="shared" si="97"/>
        <v>0</v>
      </c>
      <c r="N722" s="922"/>
      <c r="O722" s="922"/>
      <c r="P722" s="679"/>
      <c r="Q722" s="706"/>
      <c r="R722" s="109"/>
      <c r="S722" s="706"/>
      <c r="T722" s="708"/>
      <c r="U722" s="706"/>
      <c r="V722" s="706"/>
      <c r="W722" s="706"/>
      <c r="X722" s="706"/>
      <c r="Y722" s="706"/>
      <c r="Z722" s="706"/>
      <c r="AA722" s="706"/>
    </row>
    <row r="723" spans="1:27">
      <c r="B723" s="2468"/>
      <c r="C723" s="2540"/>
      <c r="D723" s="2481">
        <f t="shared" si="94"/>
        <v>0</v>
      </c>
      <c r="E723" s="2528"/>
      <c r="F723" s="2529"/>
      <c r="G723" s="2528"/>
      <c r="H723" s="2529"/>
      <c r="I723" s="2499">
        <f t="shared" si="95"/>
        <v>0</v>
      </c>
      <c r="J723" s="2529"/>
      <c r="K723" s="2528"/>
      <c r="L723" s="2529"/>
      <c r="M723" s="2500">
        <f t="shared" si="97"/>
        <v>0</v>
      </c>
      <c r="O723" s="922"/>
      <c r="P723" s="679"/>
      <c r="Q723" s="706"/>
      <c r="R723" s="109"/>
      <c r="S723" s="706"/>
      <c r="T723" s="708"/>
      <c r="U723" s="706"/>
      <c r="V723" s="706"/>
      <c r="W723" s="706"/>
      <c r="X723" s="706"/>
      <c r="Y723" s="706"/>
      <c r="Z723" s="706"/>
      <c r="AA723" s="706"/>
    </row>
    <row r="724" spans="1:27" ht="13.5" thickBot="1">
      <c r="B724" s="1611" t="s">
        <v>359</v>
      </c>
      <c r="C724" s="1622"/>
      <c r="D724" s="1614">
        <f t="shared" si="94"/>
        <v>25801.640972299756</v>
      </c>
      <c r="E724" s="1624">
        <f>E721-E722</f>
        <v>25801.405824100431</v>
      </c>
      <c r="F724" s="1614">
        <f>F721-F722</f>
        <v>-0.2227948592917528</v>
      </c>
      <c r="G724" s="1624">
        <f>G721-G722</f>
        <v>0.92515655104944017</v>
      </c>
      <c r="H724" s="1614">
        <f>H721-H722</f>
        <v>-0.46721349243307486</v>
      </c>
      <c r="I724" s="1624">
        <f t="shared" si="95"/>
        <v>0.23514819932461251</v>
      </c>
      <c r="J724" s="1614">
        <f>J721-J722</f>
        <v>0</v>
      </c>
      <c r="K724" s="1624">
        <f>K721-K722</f>
        <v>0</v>
      </c>
      <c r="L724" s="1614">
        <f>L721-L722</f>
        <v>0</v>
      </c>
      <c r="M724" s="1639">
        <f t="shared" si="97"/>
        <v>0</v>
      </c>
      <c r="N724" s="927"/>
      <c r="O724" s="922"/>
      <c r="P724" s="679"/>
      <c r="Q724" s="706"/>
      <c r="R724" s="109"/>
      <c r="S724" s="706"/>
      <c r="T724" s="708"/>
      <c r="U724" s="706"/>
      <c r="V724" s="706"/>
      <c r="W724" s="706"/>
      <c r="X724" s="706"/>
      <c r="Y724" s="706"/>
      <c r="Z724" s="706"/>
      <c r="AA724" s="706"/>
    </row>
    <row r="725" spans="1:27">
      <c r="R725" s="109"/>
      <c r="S725" s="699"/>
      <c r="T725" s="699"/>
      <c r="U725" s="699"/>
      <c r="V725" s="699"/>
      <c r="W725" s="699"/>
      <c r="X725" s="699"/>
      <c r="Y725" s="699"/>
      <c r="Z725" s="699"/>
      <c r="AA725" s="699"/>
    </row>
    <row r="726" spans="1:27">
      <c r="D726" s="684"/>
      <c r="E726" s="684"/>
      <c r="F726" s="684"/>
      <c r="G726" s="684"/>
      <c r="H726" s="684"/>
      <c r="I726" s="684"/>
      <c r="M726" s="912">
        <v>78</v>
      </c>
      <c r="R726" s="109"/>
      <c r="S726" s="699"/>
      <c r="T726" s="699"/>
      <c r="U726" s="699"/>
      <c r="V726" s="699"/>
      <c r="W726" s="699"/>
      <c r="X726" s="699"/>
      <c r="Y726" s="699"/>
      <c r="Z726" s="699"/>
      <c r="AA726" s="699"/>
    </row>
    <row r="727" spans="1:27">
      <c r="R727" s="109"/>
      <c r="S727" s="699"/>
      <c r="T727" s="699"/>
      <c r="U727" s="699"/>
      <c r="V727" s="699"/>
      <c r="W727" s="699"/>
      <c r="X727" s="699"/>
      <c r="Y727" s="699"/>
      <c r="Z727" s="699"/>
      <c r="AA727" s="699"/>
    </row>
    <row r="728" spans="1:27" ht="13.5" thickBot="1">
      <c r="R728" s="109"/>
      <c r="S728" s="699"/>
      <c r="T728" s="699"/>
      <c r="U728" s="699"/>
      <c r="V728" s="699"/>
      <c r="W728" s="699"/>
      <c r="X728" s="699"/>
      <c r="Y728" s="699"/>
      <c r="Z728" s="699"/>
      <c r="AA728" s="699"/>
    </row>
    <row r="729" spans="1:27" ht="19.5" customHeight="1" thickBot="1">
      <c r="A729" s="1368" t="s">
        <v>195</v>
      </c>
      <c r="B729" s="1633" t="s">
        <v>117</v>
      </c>
      <c r="L729" s="3538" t="s">
        <v>251</v>
      </c>
      <c r="M729" s="3538"/>
      <c r="R729" s="109"/>
      <c r="S729" s="699"/>
      <c r="T729" s="699"/>
      <c r="U729" s="699"/>
      <c r="V729" s="699"/>
      <c r="W729" s="699"/>
      <c r="X729" s="699"/>
      <c r="Y729" s="699"/>
      <c r="Z729" s="699"/>
      <c r="AA729" s="699"/>
    </row>
    <row r="730" spans="1:27" ht="12.75" customHeight="1" thickBot="1">
      <c r="B730" s="3578" t="s">
        <v>117</v>
      </c>
      <c r="C730" s="3523" t="s">
        <v>325</v>
      </c>
      <c r="D730" s="3518" t="s">
        <v>255</v>
      </c>
      <c r="E730" s="3518" t="s">
        <v>326</v>
      </c>
      <c r="F730" s="3574" t="s">
        <v>258</v>
      </c>
      <c r="G730" s="3574"/>
      <c r="H730" s="3574"/>
      <c r="I730" s="3574"/>
      <c r="J730" s="3574"/>
      <c r="K730" s="3574"/>
      <c r="L730" s="3574"/>
      <c r="M730" s="3574"/>
      <c r="R730" s="109"/>
      <c r="S730" s="699"/>
      <c r="T730" s="699"/>
      <c r="U730" s="699"/>
      <c r="V730" s="699"/>
      <c r="W730" s="699"/>
      <c r="X730" s="699"/>
      <c r="Y730" s="699"/>
      <c r="Z730" s="699"/>
      <c r="AA730" s="699"/>
    </row>
    <row r="731" spans="1:27" ht="12.75" customHeight="1">
      <c r="B731" s="3571"/>
      <c r="C731" s="3524"/>
      <c r="D731" s="3520"/>
      <c r="E731" s="3520"/>
      <c r="F731" s="3575" t="s">
        <v>259</v>
      </c>
      <c r="G731" s="3576"/>
      <c r="H731" s="3576"/>
      <c r="I731" s="3577"/>
      <c r="J731" s="3574" t="s">
        <v>327</v>
      </c>
      <c r="K731" s="3574"/>
      <c r="L731" s="3574"/>
      <c r="M731" s="3574"/>
      <c r="R731" s="699"/>
      <c r="S731" s="699"/>
      <c r="T731" s="699"/>
      <c r="U731" s="699"/>
      <c r="V731" s="699"/>
      <c r="W731" s="699"/>
      <c r="X731" s="699"/>
      <c r="Y731" s="699"/>
      <c r="Z731" s="699"/>
      <c r="AA731" s="699"/>
    </row>
    <row r="732" spans="1:27" ht="54" customHeight="1">
      <c r="B732" s="3571"/>
      <c r="C732" s="3524"/>
      <c r="D732" s="3519"/>
      <c r="E732" s="3519"/>
      <c r="F732" s="1339" t="s">
        <v>261</v>
      </c>
      <c r="G732" s="1339" t="s">
        <v>262</v>
      </c>
      <c r="H732" s="1339" t="s">
        <v>263</v>
      </c>
      <c r="I732" s="1339" t="s">
        <v>158</v>
      </c>
      <c r="J732" s="1588" t="s">
        <v>328</v>
      </c>
      <c r="K732" s="1588" t="s">
        <v>265</v>
      </c>
      <c r="L732" s="1588" t="s">
        <v>329</v>
      </c>
      <c r="M732" s="1588" t="s">
        <v>158</v>
      </c>
      <c r="R732" s="699"/>
      <c r="S732" s="699"/>
      <c r="T732" s="699"/>
      <c r="U732" s="699"/>
      <c r="V732" s="699"/>
      <c r="W732" s="699"/>
      <c r="X732" s="699"/>
      <c r="Y732" s="699"/>
      <c r="Z732" s="699"/>
      <c r="AA732" s="699"/>
    </row>
    <row r="733" spans="1:27" ht="12.75" customHeight="1" thickBot="1">
      <c r="B733" s="3571"/>
      <c r="C733" s="3524"/>
      <c r="D733" s="1589">
        <v>1</v>
      </c>
      <c r="E733" s="3518">
        <v>2</v>
      </c>
      <c r="F733" s="3518">
        <v>3</v>
      </c>
      <c r="G733" s="3518">
        <v>4</v>
      </c>
      <c r="H733" s="1339"/>
      <c r="I733" s="1589">
        <v>6</v>
      </c>
      <c r="J733" s="3518">
        <v>7</v>
      </c>
      <c r="K733" s="3518">
        <v>8</v>
      </c>
      <c r="L733" s="3518">
        <v>9</v>
      </c>
      <c r="M733" s="1589">
        <v>10</v>
      </c>
      <c r="R733" s="699"/>
      <c r="S733" s="699"/>
      <c r="T733" s="699"/>
      <c r="U733" s="699"/>
      <c r="V733" s="699"/>
      <c r="W733" s="699"/>
      <c r="X733" s="699"/>
      <c r="Y733" s="699"/>
      <c r="Z733" s="699"/>
      <c r="AA733" s="699"/>
    </row>
    <row r="734" spans="1:27" ht="13.5" thickBot="1">
      <c r="B734" s="3572"/>
      <c r="C734" s="3525"/>
      <c r="D734" s="1590" t="s">
        <v>330</v>
      </c>
      <c r="E734" s="3519"/>
      <c r="F734" s="3519"/>
      <c r="G734" s="3519"/>
      <c r="H734" s="1590">
        <v>5</v>
      </c>
      <c r="I734" s="1590" t="s">
        <v>331</v>
      </c>
      <c r="J734" s="3519"/>
      <c r="K734" s="3519"/>
      <c r="L734" s="3519"/>
      <c r="M734" s="1590" t="s">
        <v>332</v>
      </c>
      <c r="N734" s="703"/>
      <c r="O734" s="703"/>
      <c r="R734" s="699"/>
      <c r="S734" s="699"/>
      <c r="T734" s="699"/>
      <c r="U734" s="699"/>
      <c r="V734" s="699"/>
      <c r="W734" s="699"/>
      <c r="X734" s="699"/>
      <c r="Y734" s="699"/>
      <c r="Z734" s="699"/>
      <c r="AA734" s="699"/>
    </row>
    <row r="735" spans="1:27">
      <c r="B735" s="1591" t="s">
        <v>333</v>
      </c>
      <c r="C735" s="958"/>
      <c r="D735" s="1592">
        <f t="shared" ref="D735:D772" si="98">E735+I735+M735</f>
        <v>13108605</v>
      </c>
      <c r="E735" s="959"/>
      <c r="F735" s="947">
        <v>384456</v>
      </c>
      <c r="G735" s="959">
        <v>3348634</v>
      </c>
      <c r="H735" s="947">
        <v>9360748</v>
      </c>
      <c r="I735" s="1595">
        <f t="shared" ref="I735:I772" si="99">F735+G735+H735</f>
        <v>13093838</v>
      </c>
      <c r="J735" s="947">
        <v>14767</v>
      </c>
      <c r="K735" s="959"/>
      <c r="L735" s="947"/>
      <c r="M735" s="1598">
        <f t="shared" ref="M735:M752" si="100">L735+K735+J735</f>
        <v>14767</v>
      </c>
      <c r="N735" s="922"/>
      <c r="O735" s="922"/>
      <c r="P735" s="679"/>
      <c r="Q735" s="706"/>
      <c r="R735" s="411"/>
      <c r="S735" s="706"/>
      <c r="T735" s="708"/>
      <c r="U735" s="706"/>
      <c r="V735" s="706"/>
      <c r="W735" s="706"/>
      <c r="X735" s="706"/>
      <c r="Y735" s="706"/>
      <c r="Z735" s="706"/>
      <c r="AA735" s="706"/>
    </row>
    <row r="736" spans="1:27">
      <c r="B736" s="2460"/>
      <c r="C736" s="2554"/>
      <c r="D736" s="2481">
        <f t="shared" si="98"/>
        <v>0</v>
      </c>
      <c r="E736" s="2555"/>
      <c r="F736" s="2529"/>
      <c r="G736" s="2555"/>
      <c r="H736" s="2529"/>
      <c r="I736" s="2482">
        <f t="shared" si="99"/>
        <v>0</v>
      </c>
      <c r="J736" s="2529"/>
      <c r="K736" s="2555"/>
      <c r="L736" s="2529"/>
      <c r="M736" s="2484">
        <f t="shared" si="100"/>
        <v>0</v>
      </c>
      <c r="P736" s="679"/>
      <c r="Q736" s="706"/>
      <c r="R736" s="411"/>
      <c r="S736" s="706"/>
      <c r="T736" s="708"/>
      <c r="U736" s="706"/>
      <c r="V736" s="706"/>
      <c r="W736" s="706"/>
      <c r="X736" s="706"/>
      <c r="Y736" s="706"/>
      <c r="Z736" s="706"/>
      <c r="AA736" s="706"/>
    </row>
    <row r="737" spans="2:27">
      <c r="B737" s="2462" t="s">
        <v>334</v>
      </c>
      <c r="C737" s="2554"/>
      <c r="D737" s="2481">
        <f t="shared" si="98"/>
        <v>589877</v>
      </c>
      <c r="E737" s="2555"/>
      <c r="F737" s="2529">
        <v>16783</v>
      </c>
      <c r="G737" s="2555">
        <v>625655</v>
      </c>
      <c r="H737" s="2529">
        <v>-53561</v>
      </c>
      <c r="I737" s="2482">
        <f t="shared" si="99"/>
        <v>588877</v>
      </c>
      <c r="J737" s="2529">
        <v>1000</v>
      </c>
      <c r="K737" s="2555"/>
      <c r="L737" s="2529"/>
      <c r="M737" s="2484">
        <f t="shared" si="100"/>
        <v>1000</v>
      </c>
      <c r="N737" s="922"/>
      <c r="O737" s="922"/>
      <c r="P737" s="679"/>
      <c r="Q737" s="706"/>
      <c r="R737" s="411"/>
      <c r="S737" s="706"/>
      <c r="T737" s="708"/>
      <c r="U737" s="706"/>
      <c r="V737" s="706"/>
      <c r="W737" s="706"/>
      <c r="X737" s="706"/>
      <c r="Y737" s="706"/>
      <c r="Z737" s="706"/>
      <c r="AA737" s="706"/>
    </row>
    <row r="738" spans="2:27">
      <c r="B738" s="2462"/>
      <c r="C738" s="2554"/>
      <c r="D738" s="2481">
        <f t="shared" si="98"/>
        <v>0</v>
      </c>
      <c r="E738" s="2555"/>
      <c r="F738" s="2529"/>
      <c r="G738" s="2555"/>
      <c r="H738" s="2529"/>
      <c r="I738" s="2482">
        <f t="shared" si="99"/>
        <v>0</v>
      </c>
      <c r="J738" s="2529"/>
      <c r="K738" s="2555"/>
      <c r="L738" s="2529"/>
      <c r="M738" s="2484">
        <f t="shared" si="100"/>
        <v>0</v>
      </c>
      <c r="P738" s="679"/>
      <c r="Q738" s="706"/>
      <c r="R738" s="411"/>
      <c r="S738" s="706"/>
      <c r="T738" s="708"/>
      <c r="U738" s="706"/>
      <c r="V738" s="706"/>
      <c r="W738" s="706"/>
      <c r="X738" s="706"/>
      <c r="Y738" s="706"/>
      <c r="Z738" s="706"/>
      <c r="AA738" s="706"/>
    </row>
    <row r="739" spans="2:27" ht="34.5" customHeight="1">
      <c r="B739" s="2463" t="s">
        <v>335</v>
      </c>
      <c r="C739" s="2554"/>
      <c r="D739" s="2481">
        <f t="shared" si="98"/>
        <v>0</v>
      </c>
      <c r="E739" s="2555"/>
      <c r="F739" s="2529"/>
      <c r="G739" s="2555"/>
      <c r="H739" s="2529"/>
      <c r="I739" s="2482">
        <f t="shared" si="99"/>
        <v>0</v>
      </c>
      <c r="J739" s="2529"/>
      <c r="K739" s="2555"/>
      <c r="L739" s="2529"/>
      <c r="M739" s="2484">
        <f t="shared" si="100"/>
        <v>0</v>
      </c>
      <c r="N739" s="922"/>
      <c r="O739" s="922"/>
      <c r="P739" s="679"/>
      <c r="Q739" s="706"/>
      <c r="R739" s="411"/>
      <c r="S739" s="706"/>
      <c r="T739" s="708"/>
      <c r="U739" s="706"/>
      <c r="V739" s="706"/>
      <c r="W739" s="706"/>
      <c r="X739" s="706"/>
      <c r="Y739" s="706"/>
      <c r="Z739" s="706"/>
      <c r="AA739" s="706"/>
    </row>
    <row r="740" spans="2:27">
      <c r="B740" s="2460"/>
      <c r="C740" s="2554"/>
      <c r="D740" s="2481">
        <f t="shared" si="98"/>
        <v>0</v>
      </c>
      <c r="E740" s="2555"/>
      <c r="F740" s="2529"/>
      <c r="G740" s="2555"/>
      <c r="H740" s="2529"/>
      <c r="I740" s="2482">
        <f t="shared" si="99"/>
        <v>0</v>
      </c>
      <c r="J740" s="2529"/>
      <c r="K740" s="2555"/>
      <c r="L740" s="2529"/>
      <c r="M740" s="2484">
        <f t="shared" si="100"/>
        <v>0</v>
      </c>
      <c r="P740" s="679"/>
      <c r="Q740" s="706"/>
      <c r="R740" s="411"/>
      <c r="S740" s="706"/>
      <c r="T740" s="708"/>
      <c r="U740" s="706"/>
      <c r="V740" s="706"/>
      <c r="W740" s="706"/>
      <c r="X740" s="706"/>
      <c r="Y740" s="706"/>
      <c r="Z740" s="706"/>
      <c r="AA740" s="706"/>
    </row>
    <row r="741" spans="2:27">
      <c r="B741" s="2464" t="s">
        <v>336</v>
      </c>
      <c r="C741" s="2556"/>
      <c r="D741" s="2481">
        <f t="shared" si="98"/>
        <v>12518728</v>
      </c>
      <c r="E741" s="2555">
        <f>E735-E737+E739</f>
        <v>0</v>
      </c>
      <c r="F741" s="2529">
        <f>F735-F737+F739</f>
        <v>367673</v>
      </c>
      <c r="G741" s="2555">
        <f>G735-G737+G739</f>
        <v>2722979</v>
      </c>
      <c r="H741" s="2529">
        <f>H735-H737+H739</f>
        <v>9414309</v>
      </c>
      <c r="I741" s="2482">
        <f t="shared" si="99"/>
        <v>12504961</v>
      </c>
      <c r="J741" s="2529">
        <f>J735-J737+J739</f>
        <v>13767</v>
      </c>
      <c r="K741" s="2555">
        <f>K735-K737+K739</f>
        <v>0</v>
      </c>
      <c r="L741" s="2529">
        <f>L735-L737+L739</f>
        <v>0</v>
      </c>
      <c r="M741" s="2484">
        <f t="shared" si="100"/>
        <v>13767</v>
      </c>
      <c r="N741" s="927"/>
      <c r="O741" s="922"/>
      <c r="P741" s="679"/>
      <c r="Q741" s="706"/>
      <c r="R741" s="411"/>
      <c r="S741" s="706"/>
      <c r="T741" s="708"/>
      <c r="U741" s="706"/>
      <c r="V741" s="706"/>
      <c r="W741" s="706"/>
      <c r="X741" s="706"/>
      <c r="Y741" s="706"/>
      <c r="Z741" s="706"/>
      <c r="AA741" s="706"/>
    </row>
    <row r="742" spans="2:27">
      <c r="B742" s="2464"/>
      <c r="C742" s="2556"/>
      <c r="D742" s="2481">
        <f t="shared" si="98"/>
        <v>0</v>
      </c>
      <c r="E742" s="2555"/>
      <c r="F742" s="2529"/>
      <c r="G742" s="2555"/>
      <c r="H742" s="2529"/>
      <c r="I742" s="2482">
        <f t="shared" si="99"/>
        <v>0</v>
      </c>
      <c r="J742" s="2529"/>
      <c r="K742" s="2555"/>
      <c r="L742" s="2529"/>
      <c r="M742" s="2484">
        <f t="shared" si="100"/>
        <v>0</v>
      </c>
      <c r="P742" s="679"/>
      <c r="Q742" s="706"/>
      <c r="R742" s="411"/>
      <c r="S742" s="706"/>
      <c r="T742" s="708"/>
      <c r="U742" s="706"/>
      <c r="V742" s="706"/>
      <c r="W742" s="706"/>
      <c r="X742" s="706"/>
      <c r="Y742" s="706"/>
      <c r="Z742" s="706"/>
      <c r="AA742" s="706"/>
    </row>
    <row r="743" spans="2:27">
      <c r="B743" s="2464" t="s">
        <v>337</v>
      </c>
      <c r="C743" s="2556"/>
      <c r="D743" s="2481">
        <f t="shared" si="98"/>
        <v>5096619</v>
      </c>
      <c r="E743" s="2555">
        <f>SUM(E744:E748)</f>
        <v>1055461</v>
      </c>
      <c r="F743" s="2529">
        <f>SUM(F744:F748)</f>
        <v>1042124</v>
      </c>
      <c r="G743" s="2555">
        <f>SUM(G744:G748)</f>
        <v>532386</v>
      </c>
      <c r="H743" s="2529">
        <f>SUM(H744:H748)</f>
        <v>2465032</v>
      </c>
      <c r="I743" s="2482">
        <f t="shared" si="99"/>
        <v>4039542</v>
      </c>
      <c r="J743" s="2529">
        <f>SUM(J744:J748)</f>
        <v>53035</v>
      </c>
      <c r="K743" s="2555">
        <f>SUM(K744:K748)</f>
        <v>0</v>
      </c>
      <c r="L743" s="2529">
        <f>SUM(L744:L748)</f>
        <v>-51419</v>
      </c>
      <c r="M743" s="2484">
        <f t="shared" si="100"/>
        <v>1616</v>
      </c>
      <c r="N743" s="927"/>
      <c r="O743" s="922"/>
      <c r="P743" s="679"/>
      <c r="Q743" s="706"/>
      <c r="R743" s="411"/>
      <c r="S743" s="706"/>
      <c r="T743" s="708"/>
      <c r="U743" s="706"/>
      <c r="V743" s="706"/>
      <c r="W743" s="706"/>
      <c r="X743" s="706"/>
      <c r="Y743" s="706"/>
      <c r="Z743" s="706"/>
      <c r="AA743" s="706"/>
    </row>
    <row r="744" spans="2:27">
      <c r="B744" s="2460" t="s">
        <v>338</v>
      </c>
      <c r="C744" s="2554">
        <v>1</v>
      </c>
      <c r="D744" s="2481">
        <f t="shared" si="98"/>
        <v>4786514</v>
      </c>
      <c r="E744" s="2555">
        <v>889885</v>
      </c>
      <c r="F744" s="2529">
        <v>1023133</v>
      </c>
      <c r="G744" s="2555">
        <v>507788</v>
      </c>
      <c r="H744" s="2529">
        <v>2305879</v>
      </c>
      <c r="I744" s="2482">
        <f t="shared" si="99"/>
        <v>3836800</v>
      </c>
      <c r="J744" s="2529">
        <v>23896</v>
      </c>
      <c r="K744" s="2555"/>
      <c r="L744" s="2529">
        <v>35933</v>
      </c>
      <c r="M744" s="2484">
        <f t="shared" si="100"/>
        <v>59829</v>
      </c>
      <c r="N744" s="922"/>
      <c r="O744" s="922"/>
      <c r="P744" s="679"/>
      <c r="Q744" s="706"/>
      <c r="R744" s="411"/>
      <c r="S744" s="706"/>
      <c r="T744" s="708"/>
      <c r="U744" s="706"/>
      <c r="V744" s="706"/>
      <c r="W744" s="706"/>
      <c r="X744" s="706"/>
      <c r="Y744" s="706"/>
      <c r="Z744" s="706"/>
      <c r="AA744" s="706"/>
    </row>
    <row r="745" spans="2:27">
      <c r="B745" s="2460" t="s">
        <v>339</v>
      </c>
      <c r="C745" s="2554">
        <v>2</v>
      </c>
      <c r="D745" s="2481">
        <f t="shared" si="98"/>
        <v>0</v>
      </c>
      <c r="E745" s="2555"/>
      <c r="F745" s="2529"/>
      <c r="G745" s="2555"/>
      <c r="H745" s="2529"/>
      <c r="I745" s="2482">
        <f t="shared" si="99"/>
        <v>0</v>
      </c>
      <c r="J745" s="2529"/>
      <c r="K745" s="2555"/>
      <c r="L745" s="2529"/>
      <c r="M745" s="2484">
        <f t="shared" si="100"/>
        <v>0</v>
      </c>
      <c r="N745" s="922"/>
      <c r="O745" s="922"/>
      <c r="P745" s="679"/>
      <c r="Q745" s="706"/>
      <c r="R745" s="411"/>
      <c r="S745" s="706"/>
      <c r="T745" s="708"/>
      <c r="U745" s="706"/>
      <c r="V745" s="706"/>
      <c r="W745" s="706"/>
      <c r="X745" s="706"/>
      <c r="Y745" s="706"/>
      <c r="Z745" s="706"/>
      <c r="AA745" s="706"/>
    </row>
    <row r="746" spans="2:27">
      <c r="B746" s="2460" t="s">
        <v>340</v>
      </c>
      <c r="C746" s="2554"/>
      <c r="D746" s="2481">
        <f t="shared" si="98"/>
        <v>-402181</v>
      </c>
      <c r="E746" s="2555">
        <v>3243</v>
      </c>
      <c r="F746" s="2529">
        <v>-71979</v>
      </c>
      <c r="G746" s="2555">
        <v>-26560</v>
      </c>
      <c r="H746" s="2529">
        <v>-167176</v>
      </c>
      <c r="I746" s="2482">
        <f t="shared" si="99"/>
        <v>-265715</v>
      </c>
      <c r="J746" s="2529">
        <v>0</v>
      </c>
      <c r="K746" s="2555">
        <v>0</v>
      </c>
      <c r="L746" s="2529">
        <v>-139709</v>
      </c>
      <c r="M746" s="2484">
        <f t="shared" si="100"/>
        <v>-139709</v>
      </c>
      <c r="N746" s="922"/>
      <c r="O746" s="922"/>
      <c r="P746" s="679"/>
      <c r="Q746" s="706"/>
      <c r="R746" s="411"/>
      <c r="S746" s="706"/>
      <c r="T746" s="708"/>
      <c r="U746" s="706"/>
      <c r="V746" s="706"/>
      <c r="W746" s="706"/>
      <c r="X746" s="706"/>
      <c r="Y746" s="706"/>
      <c r="Z746" s="706"/>
      <c r="AA746" s="706"/>
    </row>
    <row r="747" spans="2:27">
      <c r="B747" s="2460" t="s">
        <v>341</v>
      </c>
      <c r="C747" s="2554"/>
      <c r="D747" s="2481">
        <f t="shared" si="98"/>
        <v>277179</v>
      </c>
      <c r="E747" s="2555">
        <v>10763</v>
      </c>
      <c r="F747" s="2529">
        <v>57144</v>
      </c>
      <c r="G747" s="2555">
        <v>31987</v>
      </c>
      <c r="H747" s="2529">
        <v>124399</v>
      </c>
      <c r="I747" s="2482">
        <f t="shared" si="99"/>
        <v>213530</v>
      </c>
      <c r="J747" s="2529">
        <v>529</v>
      </c>
      <c r="K747" s="2555">
        <v>0</v>
      </c>
      <c r="L747" s="2529">
        <v>52357</v>
      </c>
      <c r="M747" s="2484">
        <f t="shared" si="100"/>
        <v>52886</v>
      </c>
      <c r="N747" s="922"/>
      <c r="O747" s="922"/>
      <c r="P747" s="679"/>
      <c r="Q747" s="706"/>
      <c r="R747" s="411"/>
      <c r="S747" s="706"/>
      <c r="T747" s="708"/>
      <c r="U747" s="706"/>
      <c r="V747" s="706"/>
      <c r="W747" s="706"/>
      <c r="X747" s="706"/>
      <c r="Y747" s="706"/>
      <c r="Z747" s="706"/>
      <c r="AA747" s="706"/>
    </row>
    <row r="748" spans="2:27">
      <c r="B748" s="2460" t="s">
        <v>342</v>
      </c>
      <c r="C748" s="2554">
        <v>3</v>
      </c>
      <c r="D748" s="2481">
        <f t="shared" si="98"/>
        <v>435107</v>
      </c>
      <c r="E748" s="2555">
        <v>151570</v>
      </c>
      <c r="F748" s="2529">
        <v>33826</v>
      </c>
      <c r="G748" s="2555">
        <v>19171</v>
      </c>
      <c r="H748" s="2529">
        <v>201930</v>
      </c>
      <c r="I748" s="2482">
        <f t="shared" si="99"/>
        <v>254927</v>
      </c>
      <c r="J748" s="2529">
        <v>28610</v>
      </c>
      <c r="K748" s="2555"/>
      <c r="L748" s="2529"/>
      <c r="M748" s="2484">
        <f t="shared" si="100"/>
        <v>28610</v>
      </c>
      <c r="N748" s="922"/>
      <c r="O748" s="922"/>
      <c r="P748" s="679"/>
      <c r="Q748" s="706"/>
      <c r="R748" s="411"/>
      <c r="S748" s="706"/>
      <c r="T748" s="708"/>
      <c r="U748" s="706"/>
      <c r="V748" s="706"/>
      <c r="W748" s="706"/>
      <c r="X748" s="706"/>
      <c r="Y748" s="706"/>
      <c r="Z748" s="706"/>
      <c r="AA748" s="706"/>
    </row>
    <row r="749" spans="2:27">
      <c r="B749" s="2460" t="s">
        <v>343</v>
      </c>
      <c r="C749" s="2554"/>
      <c r="D749" s="2481">
        <f t="shared" si="98"/>
        <v>0</v>
      </c>
      <c r="E749" s="2555"/>
      <c r="F749" s="2529"/>
      <c r="G749" s="2555"/>
      <c r="H749" s="2529"/>
      <c r="I749" s="2482">
        <f t="shared" si="99"/>
        <v>0</v>
      </c>
      <c r="J749" s="2529"/>
      <c r="K749" s="2555"/>
      <c r="L749" s="2529"/>
      <c r="M749" s="2484">
        <f t="shared" si="100"/>
        <v>0</v>
      </c>
      <c r="P749" s="679"/>
      <c r="Q749" s="706"/>
      <c r="R749" s="411"/>
      <c r="S749" s="706"/>
      <c r="T749" s="708"/>
      <c r="U749" s="706"/>
      <c r="V749" s="706"/>
      <c r="W749" s="706"/>
      <c r="X749" s="706"/>
      <c r="Y749" s="706"/>
      <c r="Z749" s="706"/>
      <c r="AA749" s="706"/>
    </row>
    <row r="750" spans="2:27">
      <c r="B750" s="2460" t="s">
        <v>343</v>
      </c>
      <c r="C750" s="2554"/>
      <c r="D750" s="2481">
        <f t="shared" si="98"/>
        <v>0</v>
      </c>
      <c r="E750" s="2555"/>
      <c r="F750" s="2529"/>
      <c r="G750" s="2555"/>
      <c r="H750" s="2529"/>
      <c r="I750" s="2482">
        <f t="shared" si="99"/>
        <v>0</v>
      </c>
      <c r="J750" s="2529"/>
      <c r="K750" s="2555"/>
      <c r="L750" s="2529"/>
      <c r="M750" s="2484">
        <f t="shared" si="100"/>
        <v>0</v>
      </c>
      <c r="P750" s="679"/>
      <c r="Q750" s="706"/>
      <c r="R750" s="411"/>
      <c r="S750" s="706"/>
      <c r="T750" s="708"/>
      <c r="U750" s="706"/>
      <c r="V750" s="706"/>
      <c r="W750" s="706"/>
      <c r="X750" s="706"/>
      <c r="Y750" s="706"/>
      <c r="Z750" s="706"/>
      <c r="AA750" s="706"/>
    </row>
    <row r="751" spans="2:27">
      <c r="B751" s="2460"/>
      <c r="C751" s="2554"/>
      <c r="D751" s="2481">
        <f t="shared" si="98"/>
        <v>0</v>
      </c>
      <c r="E751" s="2555"/>
      <c r="F751" s="2529"/>
      <c r="G751" s="2555"/>
      <c r="H751" s="2529"/>
      <c r="I751" s="2482">
        <f t="shared" si="99"/>
        <v>0</v>
      </c>
      <c r="J751" s="2529"/>
      <c r="K751" s="2555"/>
      <c r="L751" s="2529"/>
      <c r="M751" s="2484">
        <f t="shared" si="100"/>
        <v>0</v>
      </c>
      <c r="P751" s="679"/>
      <c r="Q751" s="706"/>
      <c r="R751" s="411"/>
      <c r="S751" s="706"/>
      <c r="T751" s="708"/>
      <c r="U751" s="706"/>
      <c r="V751" s="706"/>
      <c r="W751" s="706"/>
      <c r="X751" s="706"/>
      <c r="Y751" s="706"/>
      <c r="Z751" s="706"/>
      <c r="AA751" s="706"/>
    </row>
    <row r="752" spans="2:27">
      <c r="B752" s="2466" t="s">
        <v>344</v>
      </c>
      <c r="C752" s="2556"/>
      <c r="D752" s="2481">
        <f t="shared" si="98"/>
        <v>17615347</v>
      </c>
      <c r="E752" s="2555">
        <f>E741+E743</f>
        <v>1055461</v>
      </c>
      <c r="F752" s="2529">
        <f>F741+F743</f>
        <v>1409797</v>
      </c>
      <c r="G752" s="2555">
        <f>G741+G743</f>
        <v>3255365</v>
      </c>
      <c r="H752" s="2529">
        <f>H741+H743</f>
        <v>11879341</v>
      </c>
      <c r="I752" s="2482">
        <f t="shared" si="99"/>
        <v>16544503</v>
      </c>
      <c r="J752" s="2529">
        <f>J741+J743</f>
        <v>66802</v>
      </c>
      <c r="K752" s="2555">
        <f>K741+K743</f>
        <v>0</v>
      </c>
      <c r="L752" s="2529">
        <f>L741+L743</f>
        <v>-51419</v>
      </c>
      <c r="M752" s="2484">
        <f t="shared" si="100"/>
        <v>15383</v>
      </c>
      <c r="N752" s="927"/>
      <c r="O752" s="922"/>
      <c r="P752" s="679"/>
      <c r="Q752" s="706"/>
      <c r="R752" s="411"/>
      <c r="S752" s="706"/>
      <c r="T752" s="708"/>
      <c r="U752" s="706"/>
      <c r="V752" s="706"/>
      <c r="W752" s="706"/>
      <c r="X752" s="706"/>
      <c r="Y752" s="706"/>
      <c r="Z752" s="706"/>
      <c r="AA752" s="706"/>
    </row>
    <row r="753" spans="2:27">
      <c r="B753" s="2466"/>
      <c r="C753" s="2556"/>
      <c r="D753" s="2481">
        <f t="shared" si="98"/>
        <v>0</v>
      </c>
      <c r="E753" s="2555"/>
      <c r="F753" s="2529"/>
      <c r="G753" s="2555"/>
      <c r="H753" s="2529"/>
      <c r="I753" s="2482">
        <f t="shared" si="99"/>
        <v>0</v>
      </c>
      <c r="J753" s="2529"/>
      <c r="K753" s="2555"/>
      <c r="L753" s="2529"/>
      <c r="M753" s="2484"/>
      <c r="P753" s="679"/>
      <c r="Q753" s="706"/>
      <c r="R753" s="411"/>
      <c r="S753" s="706"/>
      <c r="T753" s="708"/>
      <c r="U753" s="706"/>
      <c r="V753" s="706"/>
      <c r="W753" s="706"/>
      <c r="X753" s="706"/>
      <c r="Y753" s="706"/>
      <c r="Z753" s="706"/>
      <c r="AA753" s="706"/>
    </row>
    <row r="754" spans="2:27">
      <c r="B754" s="2460" t="s">
        <v>345</v>
      </c>
      <c r="C754" s="2554"/>
      <c r="D754" s="2481">
        <f t="shared" si="98"/>
        <v>4001539</v>
      </c>
      <c r="E754" s="2555">
        <v>0</v>
      </c>
      <c r="F754" s="2529">
        <v>1750982</v>
      </c>
      <c r="G754" s="2555">
        <v>741074</v>
      </c>
      <c r="H754" s="2529">
        <v>1512817</v>
      </c>
      <c r="I754" s="2482">
        <f t="shared" si="99"/>
        <v>4004873</v>
      </c>
      <c r="J754" s="2529">
        <v>-3334</v>
      </c>
      <c r="K754" s="2555">
        <v>0</v>
      </c>
      <c r="L754" s="2529">
        <v>0</v>
      </c>
      <c r="M754" s="2484">
        <f t="shared" ref="M754:M772" si="101">L754+K754+J754</f>
        <v>-3334</v>
      </c>
      <c r="N754" s="922"/>
      <c r="O754" s="922"/>
      <c r="P754" s="679"/>
      <c r="Q754" s="706"/>
      <c r="R754" s="411"/>
      <c r="S754" s="706"/>
      <c r="T754" s="708"/>
      <c r="U754" s="706"/>
      <c r="V754" s="706"/>
      <c r="W754" s="706"/>
      <c r="X754" s="706"/>
      <c r="Y754" s="706"/>
      <c r="Z754" s="706"/>
      <c r="AA754" s="706"/>
    </row>
    <row r="755" spans="2:27">
      <c r="B755" s="2460" t="s">
        <v>346</v>
      </c>
      <c r="C755" s="2554"/>
      <c r="D755" s="2481">
        <f t="shared" si="98"/>
        <v>-313032</v>
      </c>
      <c r="E755" s="2555">
        <v>0</v>
      </c>
      <c r="F755" s="2529">
        <v>-30219</v>
      </c>
      <c r="G755" s="2555">
        <v>-222991</v>
      </c>
      <c r="H755" s="2529">
        <v>-58712</v>
      </c>
      <c r="I755" s="2482">
        <f t="shared" si="99"/>
        <v>-311922</v>
      </c>
      <c r="J755" s="2529">
        <v>-1110</v>
      </c>
      <c r="K755" s="2555">
        <v>0</v>
      </c>
      <c r="L755" s="2529">
        <v>0</v>
      </c>
      <c r="M755" s="2484">
        <f t="shared" si="101"/>
        <v>-1110</v>
      </c>
      <c r="N755" s="922"/>
      <c r="O755" s="922"/>
      <c r="P755" s="679"/>
      <c r="Q755" s="706"/>
      <c r="R755" s="411"/>
      <c r="S755" s="706"/>
      <c r="T755" s="708"/>
      <c r="U755" s="706"/>
      <c r="V755" s="706"/>
      <c r="W755" s="706"/>
      <c r="X755" s="706"/>
      <c r="Y755" s="706"/>
      <c r="Z755" s="706"/>
      <c r="AA755" s="706"/>
    </row>
    <row r="756" spans="2:27">
      <c r="B756" s="2460" t="s">
        <v>347</v>
      </c>
      <c r="C756" s="2554"/>
      <c r="D756" s="2481">
        <f t="shared" si="98"/>
        <v>94108</v>
      </c>
      <c r="E756" s="2555">
        <v>0</v>
      </c>
      <c r="F756" s="2529">
        <v>25543</v>
      </c>
      <c r="G756" s="2555">
        <v>217534</v>
      </c>
      <c r="H756" s="2529">
        <v>-151545</v>
      </c>
      <c r="I756" s="2482">
        <f t="shared" si="99"/>
        <v>91532</v>
      </c>
      <c r="J756" s="2529">
        <v>2576</v>
      </c>
      <c r="K756" s="2555">
        <v>0</v>
      </c>
      <c r="L756" s="2529">
        <v>0</v>
      </c>
      <c r="M756" s="2484">
        <f t="shared" si="101"/>
        <v>2576</v>
      </c>
      <c r="N756" s="922"/>
      <c r="O756" s="922"/>
      <c r="P756" s="679"/>
      <c r="Q756" s="706"/>
      <c r="R756" s="411"/>
      <c r="S756" s="706"/>
      <c r="T756" s="708"/>
      <c r="U756" s="706"/>
      <c r="V756" s="706"/>
      <c r="W756" s="706"/>
      <c r="X756" s="706"/>
      <c r="Y756" s="706"/>
      <c r="Z756" s="706"/>
      <c r="AA756" s="706"/>
    </row>
    <row r="757" spans="2:27" ht="12.75" customHeight="1">
      <c r="B757" s="2467" t="s">
        <v>348</v>
      </c>
      <c r="C757" s="2554"/>
      <c r="D757" s="2481">
        <f t="shared" si="98"/>
        <v>10964</v>
      </c>
      <c r="E757" s="2555">
        <v>0</v>
      </c>
      <c r="F757" s="2529">
        <v>24663</v>
      </c>
      <c r="G757" s="2555">
        <v>-65169</v>
      </c>
      <c r="H757" s="2529">
        <v>50526</v>
      </c>
      <c r="I757" s="2482">
        <f t="shared" si="99"/>
        <v>10020</v>
      </c>
      <c r="J757" s="2529">
        <v>944</v>
      </c>
      <c r="K757" s="2555">
        <v>0</v>
      </c>
      <c r="L757" s="2529">
        <v>0</v>
      </c>
      <c r="M757" s="2484">
        <f t="shared" si="101"/>
        <v>944</v>
      </c>
      <c r="N757" s="922"/>
      <c r="O757" s="922"/>
      <c r="P757" s="679"/>
      <c r="Q757" s="706"/>
      <c r="R757" s="411"/>
      <c r="S757" s="706"/>
      <c r="T757" s="708"/>
      <c r="U757" s="706"/>
      <c r="V757" s="706"/>
      <c r="W757" s="706"/>
      <c r="X757" s="706"/>
      <c r="Y757" s="706"/>
      <c r="Z757" s="706"/>
      <c r="AA757" s="706"/>
    </row>
    <row r="758" spans="2:27">
      <c r="B758" s="2460" t="s">
        <v>349</v>
      </c>
      <c r="C758" s="2554"/>
      <c r="D758" s="2481">
        <f t="shared" si="98"/>
        <v>6207253</v>
      </c>
      <c r="E758" s="2555">
        <v>0</v>
      </c>
      <c r="F758" s="2529">
        <v>-1231038</v>
      </c>
      <c r="G758" s="2555">
        <v>2011593</v>
      </c>
      <c r="H758" s="2529">
        <v>5455769</v>
      </c>
      <c r="I758" s="2482">
        <f t="shared" si="99"/>
        <v>6236324</v>
      </c>
      <c r="J758" s="2529">
        <v>22348</v>
      </c>
      <c r="K758" s="2555">
        <v>0</v>
      </c>
      <c r="L758" s="2529">
        <v>-51419</v>
      </c>
      <c r="M758" s="2484">
        <f t="shared" si="101"/>
        <v>-29071</v>
      </c>
      <c r="N758" s="922"/>
      <c r="O758" s="922"/>
      <c r="P758" s="679"/>
      <c r="Q758" s="706"/>
      <c r="R758" s="411"/>
      <c r="S758" s="706"/>
      <c r="T758" s="708"/>
      <c r="U758" s="706"/>
      <c r="V758" s="706"/>
      <c r="W758" s="706"/>
      <c r="X758" s="706"/>
      <c r="Y758" s="706"/>
      <c r="Z758" s="706"/>
      <c r="AA758" s="706"/>
    </row>
    <row r="759" spans="2:27" ht="25.5">
      <c r="B759" s="2467" t="s">
        <v>350</v>
      </c>
      <c r="C759" s="2554"/>
      <c r="D759" s="2481">
        <f t="shared" si="98"/>
        <v>0</v>
      </c>
      <c r="E759" s="2555">
        <v>0</v>
      </c>
      <c r="F759" s="2529">
        <v>0</v>
      </c>
      <c r="G759" s="2555">
        <v>0</v>
      </c>
      <c r="H759" s="2529">
        <v>0</v>
      </c>
      <c r="I759" s="2482">
        <f t="shared" si="99"/>
        <v>0</v>
      </c>
      <c r="J759" s="2529"/>
      <c r="K759" s="2555"/>
      <c r="L759" s="2529"/>
      <c r="M759" s="2484">
        <f t="shared" si="101"/>
        <v>0</v>
      </c>
      <c r="N759" s="922"/>
      <c r="O759" s="922"/>
      <c r="P759" s="679"/>
      <c r="Q759" s="706"/>
      <c r="R759" s="411"/>
      <c r="S759" s="706"/>
      <c r="T759" s="708"/>
      <c r="U759" s="706"/>
      <c r="V759" s="706"/>
      <c r="W759" s="706"/>
      <c r="X759" s="706"/>
      <c r="Y759" s="706"/>
      <c r="Z759" s="706"/>
      <c r="AA759" s="706"/>
    </row>
    <row r="760" spans="2:27">
      <c r="B760" s="2466" t="s">
        <v>351</v>
      </c>
      <c r="C760" s="2556"/>
      <c r="D760" s="2481">
        <f t="shared" si="98"/>
        <v>10000832</v>
      </c>
      <c r="E760" s="2555">
        <f>SUM(E754:E759)</f>
        <v>0</v>
      </c>
      <c r="F760" s="2529">
        <f>SUM(F754:F759)</f>
        <v>539931</v>
      </c>
      <c r="G760" s="2555">
        <f>SUM(G754:G759)</f>
        <v>2682041</v>
      </c>
      <c r="H760" s="2529">
        <f>SUM(H754:H759)</f>
        <v>6808855</v>
      </c>
      <c r="I760" s="2482">
        <f t="shared" si="99"/>
        <v>10030827</v>
      </c>
      <c r="J760" s="2529">
        <f>SUM(J754:J759)</f>
        <v>21424</v>
      </c>
      <c r="K760" s="2555">
        <f>SUM(K754:K759)</f>
        <v>0</v>
      </c>
      <c r="L760" s="2529">
        <f>SUM(L754:L759)</f>
        <v>-51419</v>
      </c>
      <c r="M760" s="2484">
        <f t="shared" si="101"/>
        <v>-29995</v>
      </c>
      <c r="N760" s="927"/>
      <c r="O760" s="922"/>
      <c r="P760" s="679"/>
      <c r="Q760" s="706"/>
      <c r="R760" s="411"/>
      <c r="S760" s="706"/>
      <c r="T760" s="708"/>
      <c r="U760" s="706"/>
      <c r="V760" s="706"/>
      <c r="W760" s="706"/>
      <c r="X760" s="706"/>
      <c r="Y760" s="706"/>
      <c r="Z760" s="706"/>
      <c r="AA760" s="706"/>
    </row>
    <row r="761" spans="2:27">
      <c r="B761" s="2460"/>
      <c r="C761" s="2554"/>
      <c r="D761" s="2481">
        <f t="shared" si="98"/>
        <v>0</v>
      </c>
      <c r="E761" s="2555"/>
      <c r="F761" s="2529"/>
      <c r="G761" s="2555"/>
      <c r="H761" s="2529"/>
      <c r="I761" s="2482">
        <f t="shared" si="99"/>
        <v>0</v>
      </c>
      <c r="J761" s="2529"/>
      <c r="K761" s="2555"/>
      <c r="L761" s="2529"/>
      <c r="M761" s="2484">
        <f t="shared" si="101"/>
        <v>0</v>
      </c>
      <c r="O761" s="922"/>
      <c r="P761" s="679"/>
      <c r="Q761" s="706"/>
      <c r="R761" s="411"/>
      <c r="S761" s="706"/>
      <c r="T761" s="708"/>
      <c r="U761" s="706"/>
      <c r="V761" s="706"/>
      <c r="W761" s="706"/>
      <c r="X761" s="706"/>
      <c r="Y761" s="706"/>
      <c r="Z761" s="706"/>
      <c r="AA761" s="706"/>
    </row>
    <row r="762" spans="2:27" ht="25.5">
      <c r="B762" s="2467" t="s">
        <v>352</v>
      </c>
      <c r="C762" s="2554"/>
      <c r="D762" s="2481">
        <f t="shared" si="98"/>
        <v>2145130</v>
      </c>
      <c r="E762" s="2555">
        <v>0</v>
      </c>
      <c r="F762" s="2529">
        <v>28574</v>
      </c>
      <c r="G762" s="2555">
        <v>43559</v>
      </c>
      <c r="H762" s="2529">
        <v>2071775</v>
      </c>
      <c r="I762" s="2482">
        <f t="shared" si="99"/>
        <v>2143908</v>
      </c>
      <c r="J762" s="2529">
        <v>1222</v>
      </c>
      <c r="K762" s="2555"/>
      <c r="L762" s="2529">
        <v>0</v>
      </c>
      <c r="M762" s="2484">
        <f t="shared" si="101"/>
        <v>1222</v>
      </c>
      <c r="N762" s="922"/>
      <c r="O762" s="922"/>
      <c r="P762" s="679"/>
      <c r="Q762" s="706"/>
      <c r="R762" s="411"/>
      <c r="S762" s="706"/>
      <c r="T762" s="708"/>
      <c r="U762" s="706"/>
      <c r="V762" s="706"/>
      <c r="W762" s="706"/>
      <c r="X762" s="706"/>
      <c r="Y762" s="706"/>
      <c r="Z762" s="706"/>
      <c r="AA762" s="706"/>
    </row>
    <row r="763" spans="2:27">
      <c r="B763" s="2460"/>
      <c r="C763" s="2554"/>
      <c r="D763" s="2481">
        <f t="shared" si="98"/>
        <v>0</v>
      </c>
      <c r="E763" s="2555"/>
      <c r="F763" s="2529"/>
      <c r="G763" s="2555"/>
      <c r="H763" s="2529"/>
      <c r="I763" s="2482">
        <f t="shared" si="99"/>
        <v>0</v>
      </c>
      <c r="J763" s="2529"/>
      <c r="K763" s="2555"/>
      <c r="L763" s="2529"/>
      <c r="M763" s="2484">
        <f t="shared" si="101"/>
        <v>0</v>
      </c>
      <c r="N763" s="922"/>
      <c r="O763" s="922"/>
      <c r="P763" s="679"/>
      <c r="Q763" s="706"/>
      <c r="R763" s="411"/>
      <c r="S763" s="706"/>
      <c r="T763" s="708"/>
      <c r="U763" s="706"/>
      <c r="V763" s="706"/>
      <c r="W763" s="706"/>
      <c r="X763" s="706"/>
      <c r="Y763" s="706"/>
      <c r="Z763" s="706"/>
      <c r="AA763" s="706"/>
    </row>
    <row r="764" spans="2:27" ht="12.75" customHeight="1">
      <c r="B764" s="2467" t="s">
        <v>353</v>
      </c>
      <c r="C764" s="2554">
        <v>4</v>
      </c>
      <c r="D764" s="2481">
        <f t="shared" si="98"/>
        <v>3675544</v>
      </c>
      <c r="E764" s="2555">
        <v>157924</v>
      </c>
      <c r="F764" s="2529">
        <v>142022</v>
      </c>
      <c r="G764" s="2555">
        <v>512345</v>
      </c>
      <c r="H764" s="2529">
        <v>2819097</v>
      </c>
      <c r="I764" s="2482">
        <f t="shared" si="99"/>
        <v>3473464</v>
      </c>
      <c r="J764" s="2529">
        <v>44156</v>
      </c>
      <c r="K764" s="2555">
        <v>0</v>
      </c>
      <c r="L764" s="2529">
        <v>0</v>
      </c>
      <c r="M764" s="2484">
        <f t="shared" si="101"/>
        <v>44156</v>
      </c>
      <c r="N764" s="922"/>
      <c r="O764" s="922"/>
      <c r="P764" s="679"/>
      <c r="Q764" s="706"/>
      <c r="R764" s="411"/>
      <c r="S764" s="706"/>
      <c r="T764" s="708"/>
      <c r="U764" s="706"/>
      <c r="V764" s="706"/>
      <c r="W764" s="706"/>
      <c r="X764" s="706"/>
      <c r="Y764" s="706"/>
      <c r="Z764" s="706"/>
      <c r="AA764" s="706"/>
    </row>
    <row r="765" spans="2:27">
      <c r="B765" s="2460" t="s">
        <v>354</v>
      </c>
      <c r="C765" s="2554"/>
      <c r="D765" s="2481">
        <f t="shared" si="98"/>
        <v>0</v>
      </c>
      <c r="E765" s="2555"/>
      <c r="F765" s="2529"/>
      <c r="G765" s="2555"/>
      <c r="H765" s="2529"/>
      <c r="I765" s="2482">
        <f t="shared" si="99"/>
        <v>0</v>
      </c>
      <c r="J765" s="2529"/>
      <c r="K765" s="2555"/>
      <c r="L765" s="2529"/>
      <c r="M765" s="2484">
        <f t="shared" si="101"/>
        <v>0</v>
      </c>
      <c r="N765" s="922"/>
      <c r="O765" s="922"/>
      <c r="P765" s="679"/>
      <c r="Q765" s="706"/>
      <c r="R765" s="411"/>
      <c r="S765" s="706"/>
      <c r="T765" s="708"/>
      <c r="U765" s="706"/>
      <c r="V765" s="706"/>
      <c r="W765" s="706"/>
      <c r="X765" s="706"/>
      <c r="Y765" s="706"/>
      <c r="Z765" s="706"/>
      <c r="AA765" s="706"/>
    </row>
    <row r="766" spans="2:27">
      <c r="B766" s="2460" t="s">
        <v>355</v>
      </c>
      <c r="C766" s="2554"/>
      <c r="D766" s="2481">
        <f t="shared" si="98"/>
        <v>0</v>
      </c>
      <c r="E766" s="2555"/>
      <c r="F766" s="2529"/>
      <c r="G766" s="2555"/>
      <c r="H766" s="2529"/>
      <c r="I766" s="2482">
        <f t="shared" si="99"/>
        <v>0</v>
      </c>
      <c r="J766" s="2529"/>
      <c r="K766" s="2555"/>
      <c r="L766" s="2529"/>
      <c r="M766" s="2484">
        <f t="shared" si="101"/>
        <v>0</v>
      </c>
      <c r="N766" s="922"/>
      <c r="O766" s="922"/>
      <c r="P766" s="679"/>
      <c r="Q766" s="706"/>
      <c r="R766" s="411"/>
      <c r="S766" s="706"/>
      <c r="T766" s="708"/>
      <c r="U766" s="706"/>
      <c r="V766" s="706"/>
      <c r="W766" s="706"/>
      <c r="X766" s="706"/>
      <c r="Y766" s="706"/>
      <c r="Z766" s="706"/>
      <c r="AA766" s="706"/>
    </row>
    <row r="767" spans="2:27">
      <c r="B767" s="2466" t="s">
        <v>356</v>
      </c>
      <c r="C767" s="2556"/>
      <c r="D767" s="2481">
        <f t="shared" si="98"/>
        <v>3675544</v>
      </c>
      <c r="E767" s="2555">
        <f>SUM(E764:E766)</f>
        <v>157924</v>
      </c>
      <c r="F767" s="2529">
        <f>SUM(F764:F766)</f>
        <v>142022</v>
      </c>
      <c r="G767" s="2555">
        <f>SUM(G764:G766)</f>
        <v>512345</v>
      </c>
      <c r="H767" s="2529">
        <f>SUM(H764:H766)</f>
        <v>2819097</v>
      </c>
      <c r="I767" s="2482">
        <f t="shared" si="99"/>
        <v>3473464</v>
      </c>
      <c r="J767" s="2529">
        <f>SUM(J764:J766)</f>
        <v>44156</v>
      </c>
      <c r="K767" s="2555">
        <f>SUM(K764:K766)</f>
        <v>0</v>
      </c>
      <c r="L767" s="2529">
        <f>SUM(L764:L766)</f>
        <v>0</v>
      </c>
      <c r="M767" s="2484">
        <f t="shared" si="101"/>
        <v>44156</v>
      </c>
      <c r="N767" s="927"/>
      <c r="O767" s="922"/>
      <c r="P767" s="679"/>
      <c r="Q767" s="706"/>
      <c r="R767" s="411"/>
      <c r="S767" s="706"/>
      <c r="T767" s="708"/>
      <c r="U767" s="706"/>
      <c r="V767" s="706"/>
      <c r="W767" s="706"/>
      <c r="X767" s="706"/>
      <c r="Y767" s="706"/>
      <c r="Z767" s="706"/>
      <c r="AA767" s="706"/>
    </row>
    <row r="768" spans="2:27">
      <c r="B768" s="2466"/>
      <c r="C768" s="2556"/>
      <c r="D768" s="2481">
        <f t="shared" si="98"/>
        <v>0</v>
      </c>
      <c r="E768" s="2555"/>
      <c r="F768" s="2529"/>
      <c r="G768" s="2555"/>
      <c r="H768" s="2529"/>
      <c r="I768" s="2482">
        <f t="shared" si="99"/>
        <v>0</v>
      </c>
      <c r="J768" s="2529"/>
      <c r="K768" s="2555"/>
      <c r="L768" s="2529"/>
      <c r="M768" s="2484">
        <f t="shared" si="101"/>
        <v>0</v>
      </c>
      <c r="P768" s="679"/>
      <c r="Q768" s="706"/>
      <c r="R768" s="411"/>
      <c r="S768" s="706"/>
      <c r="T768" s="708"/>
      <c r="U768" s="706"/>
      <c r="V768" s="706"/>
      <c r="W768" s="706"/>
      <c r="X768" s="706"/>
      <c r="Y768" s="706"/>
      <c r="Z768" s="706"/>
      <c r="AA768" s="706"/>
    </row>
    <row r="769" spans="1:27">
      <c r="B769" s="2466" t="s">
        <v>357</v>
      </c>
      <c r="C769" s="2557"/>
      <c r="D769" s="2481">
        <f t="shared" si="98"/>
        <v>1793841</v>
      </c>
      <c r="E769" s="2555">
        <f>E752-E760-E762-E767</f>
        <v>897537</v>
      </c>
      <c r="F769" s="2529">
        <f>F752-F760-F762-F767</f>
        <v>699270</v>
      </c>
      <c r="G769" s="2555">
        <f>G752-G760-G762-G767</f>
        <v>17420</v>
      </c>
      <c r="H769" s="2529">
        <f>H752-H760-H762-H767</f>
        <v>179614</v>
      </c>
      <c r="I769" s="2482">
        <f t="shared" si="99"/>
        <v>896304</v>
      </c>
      <c r="J769" s="2529">
        <f>J752-J760-J762-J767</f>
        <v>0</v>
      </c>
      <c r="K769" s="2555">
        <f>K752-K760-K762-K767</f>
        <v>0</v>
      </c>
      <c r="L769" s="2529">
        <f>L752-L760-L762-L767</f>
        <v>0</v>
      </c>
      <c r="M769" s="2484">
        <f t="shared" si="101"/>
        <v>0</v>
      </c>
      <c r="N769" s="927"/>
      <c r="O769" s="922"/>
      <c r="P769" s="679"/>
      <c r="Q769" s="706"/>
      <c r="R769" s="411"/>
      <c r="S769" s="706"/>
      <c r="T769" s="708"/>
      <c r="U769" s="706"/>
      <c r="V769" s="706"/>
      <c r="W769" s="706"/>
      <c r="X769" s="706"/>
      <c r="Y769" s="706"/>
      <c r="Z769" s="706"/>
      <c r="AA769" s="706"/>
    </row>
    <row r="770" spans="1:27">
      <c r="B770" s="2460" t="s">
        <v>358</v>
      </c>
      <c r="C770" s="2554"/>
      <c r="D770" s="2481">
        <f t="shared" si="98"/>
        <v>873245</v>
      </c>
      <c r="E770" s="2555">
        <v>801941</v>
      </c>
      <c r="F770" s="2529">
        <v>71304</v>
      </c>
      <c r="G770" s="2555"/>
      <c r="H770" s="2529"/>
      <c r="I770" s="2482">
        <f t="shared" si="99"/>
        <v>71304</v>
      </c>
      <c r="J770" s="2529"/>
      <c r="K770" s="2555"/>
      <c r="L770" s="2529"/>
      <c r="M770" s="2484">
        <f t="shared" si="101"/>
        <v>0</v>
      </c>
      <c r="N770" s="922"/>
      <c r="O770" s="922"/>
      <c r="P770" s="679"/>
      <c r="Q770" s="706"/>
      <c r="R770" s="411"/>
      <c r="S770" s="706"/>
      <c r="T770" s="708"/>
      <c r="U770" s="706"/>
      <c r="V770" s="706"/>
      <c r="W770" s="706"/>
      <c r="X770" s="706"/>
      <c r="Y770" s="706"/>
      <c r="Z770" s="706"/>
      <c r="AA770" s="706"/>
    </row>
    <row r="771" spans="1:27">
      <c r="B771" s="2460"/>
      <c r="C771" s="2554"/>
      <c r="D771" s="2481">
        <f t="shared" si="98"/>
        <v>0</v>
      </c>
      <c r="E771" s="2555"/>
      <c r="F771" s="2529"/>
      <c r="G771" s="2555"/>
      <c r="H771" s="2529"/>
      <c r="I771" s="2482">
        <f t="shared" si="99"/>
        <v>0</v>
      </c>
      <c r="J771" s="2529"/>
      <c r="K771" s="2555"/>
      <c r="L771" s="2529"/>
      <c r="M771" s="2484">
        <f t="shared" si="101"/>
        <v>0</v>
      </c>
      <c r="P771" s="679"/>
      <c r="Q771" s="706"/>
      <c r="R771" s="411"/>
      <c r="S771" s="706"/>
      <c r="T771" s="708"/>
      <c r="U771" s="706"/>
      <c r="V771" s="706"/>
      <c r="W771" s="706"/>
      <c r="X771" s="706"/>
      <c r="Y771" s="706"/>
      <c r="Z771" s="706"/>
      <c r="AA771" s="706"/>
    </row>
    <row r="772" spans="1:27" ht="13.5" thickBot="1">
      <c r="B772" s="1601" t="s">
        <v>359</v>
      </c>
      <c r="C772" s="960"/>
      <c r="D772" s="1651">
        <f t="shared" si="98"/>
        <v>920596</v>
      </c>
      <c r="E772" s="1670">
        <f>E769-E770</f>
        <v>95596</v>
      </c>
      <c r="F772" s="1651">
        <f>F769-F770</f>
        <v>627966</v>
      </c>
      <c r="G772" s="1670">
        <f>G769-G770</f>
        <v>17420</v>
      </c>
      <c r="H772" s="1651">
        <f>H769-H770</f>
        <v>179614</v>
      </c>
      <c r="I772" s="1670">
        <f t="shared" si="99"/>
        <v>825000</v>
      </c>
      <c r="J772" s="1651">
        <f>J769-J770</f>
        <v>0</v>
      </c>
      <c r="K772" s="1670">
        <f>K769-K770</f>
        <v>0</v>
      </c>
      <c r="L772" s="1651">
        <f>L769-L770</f>
        <v>0</v>
      </c>
      <c r="M772" s="1671">
        <f t="shared" si="101"/>
        <v>0</v>
      </c>
      <c r="N772" s="927"/>
      <c r="O772" s="922"/>
      <c r="P772" s="679"/>
      <c r="Q772" s="706"/>
      <c r="R772" s="411"/>
      <c r="S772" s="706"/>
      <c r="T772" s="708"/>
      <c r="U772" s="706"/>
      <c r="V772" s="706"/>
      <c r="W772" s="706"/>
      <c r="X772" s="706"/>
      <c r="Y772" s="706"/>
      <c r="Z772" s="706"/>
      <c r="AA772" s="706"/>
    </row>
    <row r="773" spans="1:27">
      <c r="R773" s="699"/>
      <c r="S773" s="699"/>
      <c r="T773" s="699"/>
      <c r="U773" s="699"/>
      <c r="V773" s="699"/>
      <c r="W773" s="699"/>
      <c r="X773" s="699"/>
      <c r="Y773" s="699"/>
      <c r="Z773" s="699"/>
      <c r="AA773" s="699"/>
    </row>
    <row r="774" spans="1:27">
      <c r="D774" s="679"/>
      <c r="E774" s="679"/>
      <c r="F774" s="679"/>
      <c r="G774" s="679"/>
      <c r="H774" s="679"/>
      <c r="I774" s="679"/>
      <c r="M774" s="673">
        <v>79</v>
      </c>
      <c r="R774" s="699"/>
      <c r="S774" s="699"/>
      <c r="T774" s="699"/>
      <c r="U774" s="699"/>
      <c r="V774" s="699"/>
      <c r="W774" s="699"/>
      <c r="X774" s="699"/>
      <c r="Y774" s="699"/>
      <c r="Z774" s="699"/>
      <c r="AA774" s="699"/>
    </row>
    <row r="775" spans="1:27">
      <c r="D775" s="684"/>
      <c r="E775" s="684"/>
      <c r="F775" s="684"/>
      <c r="G775" s="684"/>
      <c r="H775" s="684"/>
      <c r="I775" s="684"/>
      <c r="J775" s="684"/>
      <c r="K775" s="684"/>
      <c r="L775" s="684"/>
      <c r="M775" s="684"/>
      <c r="R775" s="699"/>
      <c r="S775" s="699"/>
      <c r="T775" s="699"/>
      <c r="U775" s="699"/>
      <c r="V775" s="699"/>
      <c r="W775" s="699"/>
      <c r="X775" s="699"/>
      <c r="Y775" s="699"/>
      <c r="Z775" s="699"/>
      <c r="AA775" s="699"/>
    </row>
    <row r="776" spans="1:27" ht="13.5" thickBot="1">
      <c r="R776" s="699"/>
      <c r="S776" s="699"/>
      <c r="T776" s="699"/>
      <c r="U776" s="699"/>
      <c r="V776" s="699"/>
      <c r="W776" s="699"/>
      <c r="X776" s="699"/>
      <c r="Y776" s="699"/>
      <c r="Z776" s="699"/>
      <c r="AA776" s="699"/>
    </row>
    <row r="777" spans="1:27" ht="15" customHeight="1" thickBot="1">
      <c r="A777" s="1625" t="s">
        <v>317</v>
      </c>
      <c r="B777" s="1368" t="s">
        <v>367</v>
      </c>
      <c r="L777" s="3538" t="s">
        <v>251</v>
      </c>
      <c r="M777" s="3538"/>
      <c r="R777" s="699"/>
      <c r="S777" s="699"/>
      <c r="T777" s="699"/>
      <c r="U777" s="699"/>
      <c r="V777" s="699"/>
      <c r="W777" s="699"/>
      <c r="X777" s="699"/>
      <c r="Y777" s="699"/>
      <c r="Z777" s="699"/>
      <c r="AA777" s="699"/>
    </row>
    <row r="778" spans="1:27" ht="14.25" customHeight="1" thickBot="1">
      <c r="B778" s="3578" t="s">
        <v>367</v>
      </c>
      <c r="C778" s="3523" t="s">
        <v>325</v>
      </c>
      <c r="D778" s="3518" t="s">
        <v>255</v>
      </c>
      <c r="E778" s="3518" t="s">
        <v>326</v>
      </c>
      <c r="F778" s="3574" t="s">
        <v>258</v>
      </c>
      <c r="G778" s="3574"/>
      <c r="H778" s="3574"/>
      <c r="I778" s="3574"/>
      <c r="J778" s="3574"/>
      <c r="K778" s="3574"/>
      <c r="L778" s="3574"/>
      <c r="M778" s="3574"/>
      <c r="R778" s="699"/>
      <c r="S778" s="699"/>
      <c r="T778" s="699"/>
      <c r="U778" s="699"/>
      <c r="V778" s="699"/>
      <c r="W778" s="699"/>
      <c r="X778" s="699"/>
      <c r="Y778" s="699"/>
      <c r="Z778" s="699"/>
      <c r="AA778" s="699"/>
    </row>
    <row r="779" spans="1:27" ht="12.75" customHeight="1">
      <c r="B779" s="3571"/>
      <c r="C779" s="3524"/>
      <c r="D779" s="3520"/>
      <c r="E779" s="3520"/>
      <c r="F779" s="3575" t="s">
        <v>259</v>
      </c>
      <c r="G779" s="3576"/>
      <c r="H779" s="3576"/>
      <c r="I779" s="3577"/>
      <c r="J779" s="3574" t="s">
        <v>327</v>
      </c>
      <c r="K779" s="3574"/>
      <c r="L779" s="3574"/>
      <c r="M779" s="3574"/>
      <c r="R779" s="699"/>
      <c r="S779" s="699"/>
      <c r="T779" s="699"/>
      <c r="U779" s="699"/>
      <c r="V779" s="699"/>
      <c r="W779" s="699"/>
      <c r="X779" s="699"/>
      <c r="Y779" s="699"/>
      <c r="Z779" s="699"/>
      <c r="AA779" s="699"/>
    </row>
    <row r="780" spans="1:27" ht="57" customHeight="1">
      <c r="B780" s="3571"/>
      <c r="C780" s="3524"/>
      <c r="D780" s="3519"/>
      <c r="E780" s="3519"/>
      <c r="F780" s="1339" t="s">
        <v>261</v>
      </c>
      <c r="G780" s="1339" t="s">
        <v>262</v>
      </c>
      <c r="H780" s="1339" t="s">
        <v>263</v>
      </c>
      <c r="I780" s="1339" t="s">
        <v>158</v>
      </c>
      <c r="J780" s="1588" t="s">
        <v>328</v>
      </c>
      <c r="K780" s="1588" t="s">
        <v>265</v>
      </c>
      <c r="L780" s="1588" t="s">
        <v>329</v>
      </c>
      <c r="M780" s="1588" t="s">
        <v>158</v>
      </c>
      <c r="R780" s="699"/>
      <c r="S780" s="699"/>
      <c r="T780" s="699"/>
      <c r="U780" s="699"/>
      <c r="V780" s="699"/>
      <c r="W780" s="699"/>
      <c r="X780" s="699"/>
      <c r="Y780" s="699"/>
      <c r="Z780" s="699"/>
      <c r="AA780" s="699"/>
    </row>
    <row r="781" spans="1:27" ht="12.75" customHeight="1">
      <c r="B781" s="3571"/>
      <c r="C781" s="3524"/>
      <c r="D781" s="1589">
        <v>1</v>
      </c>
      <c r="E781" s="3518">
        <v>2</v>
      </c>
      <c r="F781" s="3518">
        <v>3</v>
      </c>
      <c r="G781" s="3518">
        <v>4</v>
      </c>
      <c r="H781" s="1339"/>
      <c r="I781" s="1589">
        <v>6</v>
      </c>
      <c r="J781" s="3518">
        <v>7</v>
      </c>
      <c r="K781" s="3518">
        <v>8</v>
      </c>
      <c r="L781" s="3518">
        <v>9</v>
      </c>
      <c r="M781" s="1589">
        <v>10</v>
      </c>
      <c r="R781" s="699"/>
      <c r="S781" s="699"/>
      <c r="T781" s="699"/>
      <c r="U781" s="699"/>
      <c r="V781" s="699"/>
      <c r="W781" s="699"/>
      <c r="X781" s="699"/>
      <c r="Y781" s="699"/>
      <c r="Z781" s="699"/>
      <c r="AA781" s="699"/>
    </row>
    <row r="782" spans="1:27" ht="13.5" thickBot="1">
      <c r="B782" s="3572"/>
      <c r="C782" s="3525"/>
      <c r="D782" s="1590" t="s">
        <v>330</v>
      </c>
      <c r="E782" s="3519"/>
      <c r="F782" s="3519"/>
      <c r="G782" s="3519"/>
      <c r="H782" s="1590">
        <v>5</v>
      </c>
      <c r="I782" s="1590" t="s">
        <v>331</v>
      </c>
      <c r="J782" s="3519"/>
      <c r="K782" s="3519"/>
      <c r="L782" s="3519"/>
      <c r="M782" s="1590" t="s">
        <v>332</v>
      </c>
      <c r="N782" s="703"/>
      <c r="O782" s="703"/>
      <c r="R782" s="699"/>
      <c r="S782" s="699"/>
      <c r="T782" s="699"/>
      <c r="U782" s="699"/>
      <c r="V782" s="699"/>
      <c r="W782" s="699"/>
      <c r="X782" s="699"/>
      <c r="Y782" s="699"/>
      <c r="Z782" s="699"/>
      <c r="AA782" s="699"/>
    </row>
    <row r="783" spans="1:27">
      <c r="B783" s="1591" t="s">
        <v>333</v>
      </c>
      <c r="C783" s="951"/>
      <c r="D783" s="1592">
        <f t="shared" ref="D783:D820" si="102">E783+I783+M783</f>
        <v>2360.788</v>
      </c>
      <c r="E783" s="947"/>
      <c r="F783" s="959">
        <v>2167.7660000000001</v>
      </c>
      <c r="G783" s="947">
        <v>193.02199999999999</v>
      </c>
      <c r="H783" s="959"/>
      <c r="I783" s="1441">
        <f t="shared" ref="I783:I820" si="103">F783+G783+H783</f>
        <v>2360.788</v>
      </c>
      <c r="J783" s="959"/>
      <c r="K783" s="947"/>
      <c r="L783" s="947"/>
      <c r="M783" s="1637">
        <f t="shared" ref="M783:M800" si="104">L783+K783+J783</f>
        <v>0</v>
      </c>
      <c r="N783" s="922"/>
      <c r="O783" s="922"/>
      <c r="P783" s="679"/>
      <c r="Q783" s="706"/>
      <c r="R783" s="411"/>
      <c r="S783" s="706"/>
      <c r="T783" s="708"/>
      <c r="U783" s="706"/>
      <c r="V783" s="706"/>
      <c r="W783" s="706"/>
      <c r="X783" s="706"/>
      <c r="Y783" s="706"/>
      <c r="Z783" s="706"/>
      <c r="AA783" s="706"/>
    </row>
    <row r="784" spans="1:27">
      <c r="B784" s="2460"/>
      <c r="C784" s="2527"/>
      <c r="D784" s="2481">
        <f t="shared" si="102"/>
        <v>0</v>
      </c>
      <c r="E784" s="2529"/>
      <c r="F784" s="2555"/>
      <c r="G784" s="2529"/>
      <c r="H784" s="2555"/>
      <c r="I784" s="2249">
        <f t="shared" si="103"/>
        <v>0</v>
      </c>
      <c r="J784" s="2555"/>
      <c r="K784" s="2529"/>
      <c r="L784" s="2529"/>
      <c r="M784" s="2500">
        <f t="shared" si="104"/>
        <v>0</v>
      </c>
      <c r="O784" s="922"/>
      <c r="P784" s="679"/>
      <c r="Q784" s="706"/>
      <c r="R784" s="389"/>
      <c r="S784" s="706"/>
      <c r="T784" s="708"/>
      <c r="U784" s="706"/>
      <c r="V784" s="706"/>
      <c r="W784" s="706"/>
      <c r="X784" s="706"/>
      <c r="Y784" s="706"/>
      <c r="Z784" s="706"/>
      <c r="AA784" s="706"/>
    </row>
    <row r="785" spans="2:27">
      <c r="B785" s="2462" t="s">
        <v>334</v>
      </c>
      <c r="C785" s="2527"/>
      <c r="D785" s="2481">
        <f t="shared" si="102"/>
        <v>0</v>
      </c>
      <c r="E785" s="2529"/>
      <c r="F785" s="2555">
        <v>0</v>
      </c>
      <c r="G785" s="2529">
        <v>0</v>
      </c>
      <c r="H785" s="2555"/>
      <c r="I785" s="2249">
        <f t="shared" si="103"/>
        <v>0</v>
      </c>
      <c r="J785" s="2555"/>
      <c r="K785" s="2529"/>
      <c r="L785" s="2529"/>
      <c r="M785" s="2500">
        <f t="shared" si="104"/>
        <v>0</v>
      </c>
      <c r="N785" s="922"/>
      <c r="O785" s="922"/>
      <c r="P785" s="679"/>
      <c r="Q785" s="706"/>
      <c r="R785" s="389"/>
      <c r="S785" s="706"/>
      <c r="T785" s="708"/>
      <c r="U785" s="706"/>
      <c r="V785" s="706"/>
      <c r="W785" s="706"/>
      <c r="X785" s="706"/>
      <c r="Y785" s="706"/>
      <c r="Z785" s="706"/>
      <c r="AA785" s="706"/>
    </row>
    <row r="786" spans="2:27">
      <c r="B786" s="2462"/>
      <c r="C786" s="2527"/>
      <c r="D786" s="2481">
        <f t="shared" si="102"/>
        <v>0</v>
      </c>
      <c r="E786" s="2529"/>
      <c r="F786" s="2555"/>
      <c r="G786" s="2529"/>
      <c r="H786" s="2555"/>
      <c r="I786" s="2249">
        <f t="shared" si="103"/>
        <v>0</v>
      </c>
      <c r="J786" s="2555"/>
      <c r="K786" s="2529"/>
      <c r="L786" s="2529"/>
      <c r="M786" s="2500">
        <f t="shared" si="104"/>
        <v>0</v>
      </c>
      <c r="O786" s="922"/>
      <c r="P786" s="679"/>
      <c r="Q786" s="706"/>
      <c r="R786" s="389"/>
      <c r="S786" s="706"/>
      <c r="T786" s="708"/>
      <c r="U786" s="706"/>
      <c r="V786" s="706"/>
      <c r="W786" s="706"/>
      <c r="X786" s="706"/>
      <c r="Y786" s="706"/>
      <c r="Z786" s="706"/>
      <c r="AA786" s="706"/>
    </row>
    <row r="787" spans="2:27" ht="12.75" customHeight="1">
      <c r="B787" s="2463" t="s">
        <v>335</v>
      </c>
      <c r="C787" s="2527"/>
      <c r="D787" s="2481">
        <f t="shared" si="102"/>
        <v>0</v>
      </c>
      <c r="E787" s="2529"/>
      <c r="F787" s="2555">
        <v>0</v>
      </c>
      <c r="G787" s="2529">
        <v>0</v>
      </c>
      <c r="H787" s="2555"/>
      <c r="I787" s="2249">
        <f t="shared" si="103"/>
        <v>0</v>
      </c>
      <c r="J787" s="2555"/>
      <c r="K787" s="2529"/>
      <c r="L787" s="2529"/>
      <c r="M787" s="2500">
        <f t="shared" si="104"/>
        <v>0</v>
      </c>
      <c r="N787" s="922"/>
      <c r="O787" s="922"/>
      <c r="P787" s="679"/>
      <c r="Q787" s="706"/>
      <c r="R787" s="389"/>
      <c r="S787" s="706"/>
      <c r="T787" s="708"/>
      <c r="U787" s="706"/>
      <c r="V787" s="706"/>
      <c r="W787" s="706"/>
      <c r="X787" s="706"/>
      <c r="Y787" s="706"/>
      <c r="Z787" s="706"/>
      <c r="AA787" s="706"/>
    </row>
    <row r="788" spans="2:27">
      <c r="B788" s="2460"/>
      <c r="C788" s="2527"/>
      <c r="D788" s="2481">
        <f t="shared" si="102"/>
        <v>0</v>
      </c>
      <c r="E788" s="2529"/>
      <c r="F788" s="2555"/>
      <c r="G788" s="2529"/>
      <c r="H788" s="2555"/>
      <c r="I788" s="2249">
        <f t="shared" si="103"/>
        <v>0</v>
      </c>
      <c r="J788" s="2555"/>
      <c r="K788" s="2529"/>
      <c r="L788" s="2529"/>
      <c r="M788" s="2500">
        <f t="shared" si="104"/>
        <v>0</v>
      </c>
      <c r="O788" s="922"/>
      <c r="P788" s="679"/>
      <c r="Q788" s="706"/>
      <c r="R788" s="389"/>
      <c r="S788" s="706"/>
      <c r="T788" s="708"/>
      <c r="U788" s="706"/>
      <c r="V788" s="706"/>
      <c r="W788" s="706"/>
      <c r="X788" s="706"/>
      <c r="Y788" s="706"/>
      <c r="Z788" s="706"/>
      <c r="AA788" s="706"/>
    </row>
    <row r="789" spans="2:27">
      <c r="B789" s="2464" t="s">
        <v>336</v>
      </c>
      <c r="C789" s="2530"/>
      <c r="D789" s="2481">
        <f t="shared" si="102"/>
        <v>2360.788</v>
      </c>
      <c r="E789" s="2529">
        <f>E783-E785+E787</f>
        <v>0</v>
      </c>
      <c r="F789" s="2555">
        <f>F783-F785+F787</f>
        <v>2167.7660000000001</v>
      </c>
      <c r="G789" s="2529">
        <f>G783-G785+G787</f>
        <v>193.02199999999999</v>
      </c>
      <c r="H789" s="2555">
        <f>H783-H785+H787</f>
        <v>0</v>
      </c>
      <c r="I789" s="2249">
        <f t="shared" si="103"/>
        <v>2360.788</v>
      </c>
      <c r="J789" s="2555">
        <f>J783-J785+J787</f>
        <v>0</v>
      </c>
      <c r="K789" s="2529">
        <f>K783-K785+K787</f>
        <v>0</v>
      </c>
      <c r="L789" s="2529">
        <f>L783-L785+L787</f>
        <v>0</v>
      </c>
      <c r="M789" s="2500">
        <f t="shared" si="104"/>
        <v>0</v>
      </c>
      <c r="N789" s="927"/>
      <c r="O789" s="922"/>
      <c r="P789" s="679"/>
      <c r="Q789" s="706"/>
      <c r="R789" s="411"/>
      <c r="S789" s="706"/>
      <c r="T789" s="708"/>
      <c r="U789" s="706"/>
      <c r="V789" s="706"/>
      <c r="W789" s="706"/>
      <c r="X789" s="706"/>
      <c r="Y789" s="706"/>
      <c r="Z789" s="706"/>
      <c r="AA789" s="706"/>
    </row>
    <row r="790" spans="2:27">
      <c r="B790" s="2464"/>
      <c r="C790" s="2530"/>
      <c r="D790" s="2481">
        <f t="shared" si="102"/>
        <v>0</v>
      </c>
      <c r="E790" s="2529"/>
      <c r="F790" s="2555"/>
      <c r="G790" s="2529"/>
      <c r="H790" s="2555"/>
      <c r="I790" s="2249">
        <f t="shared" si="103"/>
        <v>0</v>
      </c>
      <c r="J790" s="2555"/>
      <c r="K790" s="2529"/>
      <c r="L790" s="2529"/>
      <c r="M790" s="2500">
        <f t="shared" si="104"/>
        <v>0</v>
      </c>
      <c r="O790" s="922"/>
      <c r="P790" s="679"/>
      <c r="Q790" s="706"/>
      <c r="R790" s="389"/>
      <c r="S790" s="706"/>
      <c r="T790" s="708"/>
      <c r="U790" s="706"/>
      <c r="V790" s="706"/>
      <c r="W790" s="706"/>
      <c r="X790" s="706"/>
      <c r="Y790" s="706"/>
      <c r="Z790" s="706"/>
      <c r="AA790" s="706"/>
    </row>
    <row r="791" spans="2:27">
      <c r="B791" s="2464" t="s">
        <v>337</v>
      </c>
      <c r="C791" s="2530"/>
      <c r="D791" s="2481">
        <f t="shared" si="102"/>
        <v>21897.707300000002</v>
      </c>
      <c r="E791" s="2529">
        <f>SUM(E792:E796)</f>
        <v>0</v>
      </c>
      <c r="F791" s="2555">
        <f>SUM(F792:F796)</f>
        <v>8728.43786</v>
      </c>
      <c r="G791" s="2529">
        <f>SUM(G792:G796)</f>
        <v>13169.269440000002</v>
      </c>
      <c r="H791" s="2555">
        <f>SUM(H792:H796)</f>
        <v>0</v>
      </c>
      <c r="I791" s="2249">
        <f t="shared" si="103"/>
        <v>21897.707300000002</v>
      </c>
      <c r="J791" s="2555">
        <f>SUM(J792:J796)</f>
        <v>0</v>
      </c>
      <c r="K791" s="2529">
        <f>SUM(K792:K796)</f>
        <v>0</v>
      </c>
      <c r="L791" s="2529">
        <f>SUM(L792:L796)</f>
        <v>0</v>
      </c>
      <c r="M791" s="2500">
        <f t="shared" si="104"/>
        <v>0</v>
      </c>
      <c r="N791" s="927"/>
      <c r="O791" s="922"/>
      <c r="P791" s="679"/>
      <c r="Q791" s="706"/>
      <c r="R791" s="411"/>
      <c r="S791" s="706"/>
      <c r="T791" s="708"/>
      <c r="U791" s="706"/>
      <c r="V791" s="706"/>
      <c r="W791" s="706"/>
      <c r="X791" s="706"/>
      <c r="Y791" s="706"/>
      <c r="Z791" s="706"/>
      <c r="AA791" s="706"/>
    </row>
    <row r="792" spans="2:27">
      <c r="B792" s="2460" t="s">
        <v>338</v>
      </c>
      <c r="C792" s="2527">
        <v>1</v>
      </c>
      <c r="D792" s="2481">
        <f t="shared" si="102"/>
        <v>15734.353930000001</v>
      </c>
      <c r="E792" s="2529"/>
      <c r="F792" s="2555">
        <v>6774.0411400000003</v>
      </c>
      <c r="G792" s="2529">
        <v>8960.3127900000018</v>
      </c>
      <c r="H792" s="2555"/>
      <c r="I792" s="2249">
        <f t="shared" si="103"/>
        <v>15734.353930000001</v>
      </c>
      <c r="J792" s="2555"/>
      <c r="K792" s="2529"/>
      <c r="L792" s="2529"/>
      <c r="M792" s="2500">
        <f t="shared" si="104"/>
        <v>0</v>
      </c>
      <c r="N792" s="922"/>
      <c r="O792" s="922"/>
      <c r="P792" s="679"/>
      <c r="Q792" s="706"/>
      <c r="R792" s="411"/>
      <c r="S792" s="706"/>
      <c r="T792" s="708"/>
      <c r="U792" s="706"/>
      <c r="V792" s="706"/>
      <c r="W792" s="706"/>
      <c r="X792" s="706"/>
      <c r="Y792" s="706"/>
      <c r="Z792" s="706"/>
      <c r="AA792" s="706"/>
    </row>
    <row r="793" spans="2:27">
      <c r="B793" s="2460" t="s">
        <v>339</v>
      </c>
      <c r="C793" s="2527">
        <v>2</v>
      </c>
      <c r="D793" s="2481">
        <f t="shared" si="102"/>
        <v>0</v>
      </c>
      <c r="E793" s="2529"/>
      <c r="F793" s="2555"/>
      <c r="G793" s="2529"/>
      <c r="H793" s="2555"/>
      <c r="I793" s="2249">
        <f t="shared" si="103"/>
        <v>0</v>
      </c>
      <c r="J793" s="2555"/>
      <c r="K793" s="2529"/>
      <c r="L793" s="2529"/>
      <c r="M793" s="2500">
        <f t="shared" si="104"/>
        <v>0</v>
      </c>
      <c r="N793" s="922"/>
      <c r="O793" s="922"/>
      <c r="P793" s="679"/>
      <c r="Q793" s="706"/>
      <c r="R793" s="389"/>
      <c r="S793" s="706"/>
      <c r="T793" s="708"/>
      <c r="U793" s="706"/>
      <c r="V793" s="706"/>
      <c r="W793" s="706"/>
      <c r="X793" s="706"/>
      <c r="Y793" s="706"/>
      <c r="Z793" s="706"/>
      <c r="AA793" s="706"/>
    </row>
    <row r="794" spans="2:27">
      <c r="B794" s="2460" t="s">
        <v>340</v>
      </c>
      <c r="C794" s="2527"/>
      <c r="D794" s="2481">
        <f t="shared" si="102"/>
        <v>0</v>
      </c>
      <c r="E794" s="2529"/>
      <c r="F794" s="2555">
        <v>0</v>
      </c>
      <c r="G794" s="2529"/>
      <c r="H794" s="2555"/>
      <c r="I794" s="2249">
        <f t="shared" si="103"/>
        <v>0</v>
      </c>
      <c r="J794" s="2555"/>
      <c r="K794" s="2529"/>
      <c r="L794" s="2529"/>
      <c r="M794" s="2500">
        <f t="shared" si="104"/>
        <v>0</v>
      </c>
      <c r="N794" s="922"/>
      <c r="O794" s="922"/>
      <c r="P794" s="679"/>
      <c r="Q794" s="706"/>
      <c r="R794" s="389"/>
      <c r="S794" s="706"/>
      <c r="T794" s="708"/>
      <c r="U794" s="706"/>
      <c r="V794" s="706"/>
      <c r="W794" s="706"/>
      <c r="X794" s="706"/>
      <c r="Y794" s="706"/>
      <c r="Z794" s="706"/>
      <c r="AA794" s="706"/>
    </row>
    <row r="795" spans="2:27">
      <c r="B795" s="2460" t="s">
        <v>341</v>
      </c>
      <c r="C795" s="2527"/>
      <c r="D795" s="2481">
        <f t="shared" si="102"/>
        <v>426.56318999999985</v>
      </c>
      <c r="E795" s="2529"/>
      <c r="F795" s="2555">
        <v>1950.19372</v>
      </c>
      <c r="G795" s="2529">
        <v>-1523.6305300000001</v>
      </c>
      <c r="H795" s="2555"/>
      <c r="I795" s="2249">
        <f t="shared" si="103"/>
        <v>426.56318999999985</v>
      </c>
      <c r="J795" s="2555"/>
      <c r="K795" s="2529"/>
      <c r="L795" s="2529"/>
      <c r="M795" s="2500">
        <f t="shared" si="104"/>
        <v>0</v>
      </c>
      <c r="N795" s="922"/>
      <c r="O795" s="922"/>
      <c r="P795" s="679"/>
      <c r="Q795" s="706"/>
      <c r="R795" s="389"/>
      <c r="S795" s="706"/>
      <c r="T795" s="708"/>
      <c r="U795" s="706"/>
      <c r="V795" s="706"/>
      <c r="W795" s="706"/>
      <c r="X795" s="706"/>
      <c r="Y795" s="706"/>
      <c r="Z795" s="706"/>
      <c r="AA795" s="706"/>
    </row>
    <row r="796" spans="2:27">
      <c r="B796" s="2460" t="s">
        <v>342</v>
      </c>
      <c r="C796" s="2527">
        <v>3</v>
      </c>
      <c r="D796" s="2481">
        <f t="shared" si="102"/>
        <v>5736.7901800000009</v>
      </c>
      <c r="E796" s="2529"/>
      <c r="F796" s="2555">
        <v>4.2030000000000003</v>
      </c>
      <c r="G796" s="2529">
        <v>5732.5871800000004</v>
      </c>
      <c r="H796" s="2555"/>
      <c r="I796" s="2249">
        <f t="shared" si="103"/>
        <v>5736.7901800000009</v>
      </c>
      <c r="J796" s="2555"/>
      <c r="K796" s="2529"/>
      <c r="L796" s="2529"/>
      <c r="M796" s="2500">
        <f t="shared" si="104"/>
        <v>0</v>
      </c>
      <c r="N796" s="922"/>
      <c r="O796" s="922"/>
      <c r="P796" s="679"/>
      <c r="Q796" s="706"/>
      <c r="R796" s="411"/>
      <c r="S796" s="706"/>
      <c r="T796" s="708"/>
      <c r="U796" s="706"/>
      <c r="V796" s="706"/>
      <c r="W796" s="706"/>
      <c r="X796" s="706"/>
      <c r="Y796" s="706"/>
      <c r="Z796" s="706"/>
      <c r="AA796" s="706"/>
    </row>
    <row r="797" spans="2:27">
      <c r="B797" s="2460" t="s">
        <v>343</v>
      </c>
      <c r="C797" s="2527"/>
      <c r="D797" s="2481">
        <f t="shared" si="102"/>
        <v>0</v>
      </c>
      <c r="E797" s="2529"/>
      <c r="F797" s="2555"/>
      <c r="G797" s="2529"/>
      <c r="H797" s="2555"/>
      <c r="I797" s="2249">
        <f t="shared" si="103"/>
        <v>0</v>
      </c>
      <c r="J797" s="2555"/>
      <c r="K797" s="2529"/>
      <c r="L797" s="2529"/>
      <c r="M797" s="2500">
        <f t="shared" si="104"/>
        <v>0</v>
      </c>
      <c r="O797" s="922"/>
      <c r="P797" s="679"/>
      <c r="Q797" s="706"/>
      <c r="R797" s="389"/>
      <c r="S797" s="706"/>
      <c r="T797" s="708"/>
      <c r="U797" s="706"/>
      <c r="V797" s="706"/>
      <c r="W797" s="706"/>
      <c r="X797" s="706"/>
      <c r="Y797" s="706"/>
      <c r="Z797" s="706"/>
      <c r="AA797" s="706"/>
    </row>
    <row r="798" spans="2:27">
      <c r="B798" s="2460" t="s">
        <v>343</v>
      </c>
      <c r="C798" s="2527"/>
      <c r="D798" s="2481">
        <f t="shared" si="102"/>
        <v>0</v>
      </c>
      <c r="E798" s="2529"/>
      <c r="F798" s="2555"/>
      <c r="G798" s="2529"/>
      <c r="H798" s="2555"/>
      <c r="I798" s="2249">
        <f t="shared" si="103"/>
        <v>0</v>
      </c>
      <c r="J798" s="2555"/>
      <c r="K798" s="2529"/>
      <c r="L798" s="2529"/>
      <c r="M798" s="2500">
        <f t="shared" si="104"/>
        <v>0</v>
      </c>
      <c r="O798" s="922"/>
      <c r="P798" s="679"/>
      <c r="Q798" s="706"/>
      <c r="R798" s="389"/>
      <c r="S798" s="706"/>
      <c r="T798" s="708"/>
      <c r="U798" s="706"/>
      <c r="V798" s="706"/>
      <c r="W798" s="706"/>
      <c r="X798" s="706"/>
      <c r="Y798" s="706"/>
      <c r="Z798" s="706"/>
      <c r="AA798" s="706"/>
    </row>
    <row r="799" spans="2:27">
      <c r="B799" s="2460"/>
      <c r="C799" s="2527"/>
      <c r="D799" s="2481">
        <f t="shared" si="102"/>
        <v>0</v>
      </c>
      <c r="E799" s="2529"/>
      <c r="F799" s="2555"/>
      <c r="G799" s="2529"/>
      <c r="H799" s="2555"/>
      <c r="I799" s="2249">
        <f t="shared" si="103"/>
        <v>0</v>
      </c>
      <c r="J799" s="2555"/>
      <c r="K799" s="2529"/>
      <c r="L799" s="2529"/>
      <c r="M799" s="2500">
        <f t="shared" si="104"/>
        <v>0</v>
      </c>
      <c r="O799" s="922"/>
      <c r="P799" s="679"/>
      <c r="Q799" s="706"/>
      <c r="R799" s="389"/>
      <c r="S799" s="706"/>
      <c r="T799" s="708"/>
      <c r="U799" s="706"/>
      <c r="V799" s="706"/>
      <c r="W799" s="706"/>
      <c r="X799" s="706"/>
      <c r="Y799" s="706"/>
      <c r="Z799" s="706"/>
      <c r="AA799" s="706"/>
    </row>
    <row r="800" spans="2:27">
      <c r="B800" s="2466" t="s">
        <v>344</v>
      </c>
      <c r="C800" s="2530"/>
      <c r="D800" s="2481">
        <f t="shared" si="102"/>
        <v>24258.495300000002</v>
      </c>
      <c r="E800" s="2529">
        <f>E789+E791</f>
        <v>0</v>
      </c>
      <c r="F800" s="2555">
        <f>F789+F791</f>
        <v>10896.20386</v>
      </c>
      <c r="G800" s="2529">
        <f>G789+G791</f>
        <v>13362.291440000003</v>
      </c>
      <c r="H800" s="2555">
        <f>H789+H791</f>
        <v>0</v>
      </c>
      <c r="I800" s="2249">
        <f t="shared" si="103"/>
        <v>24258.495300000002</v>
      </c>
      <c r="J800" s="2555">
        <f>J789+J791</f>
        <v>0</v>
      </c>
      <c r="K800" s="2529">
        <f>K789+K791</f>
        <v>0</v>
      </c>
      <c r="L800" s="2529">
        <f>L789+L791</f>
        <v>0</v>
      </c>
      <c r="M800" s="2500">
        <f t="shared" si="104"/>
        <v>0</v>
      </c>
      <c r="N800" s="927"/>
      <c r="O800" s="922"/>
      <c r="P800" s="679"/>
      <c r="Q800" s="706"/>
      <c r="R800" s="411"/>
      <c r="S800" s="706"/>
      <c r="T800" s="708"/>
      <c r="U800" s="706"/>
      <c r="V800" s="706"/>
      <c r="W800" s="706"/>
      <c r="X800" s="706"/>
      <c r="Y800" s="706"/>
      <c r="Z800" s="706"/>
      <c r="AA800" s="706"/>
    </row>
    <row r="801" spans="2:27">
      <c r="B801" s="2466"/>
      <c r="C801" s="2530"/>
      <c r="D801" s="2481">
        <f t="shared" si="102"/>
        <v>0</v>
      </c>
      <c r="E801" s="2529"/>
      <c r="F801" s="2555"/>
      <c r="G801" s="2529"/>
      <c r="H801" s="2555"/>
      <c r="I801" s="2249">
        <f t="shared" si="103"/>
        <v>0</v>
      </c>
      <c r="J801" s="2555"/>
      <c r="K801" s="2529"/>
      <c r="L801" s="2529"/>
      <c r="M801" s="2500"/>
      <c r="O801" s="922"/>
      <c r="P801" s="679"/>
      <c r="Q801" s="706"/>
      <c r="R801" s="389"/>
      <c r="S801" s="706"/>
      <c r="T801" s="708"/>
      <c r="U801" s="706"/>
      <c r="V801" s="706"/>
      <c r="W801" s="706"/>
      <c r="X801" s="706"/>
      <c r="Y801" s="706"/>
      <c r="Z801" s="706"/>
      <c r="AA801" s="706"/>
    </row>
    <row r="802" spans="2:27">
      <c r="B802" s="2460" t="s">
        <v>345</v>
      </c>
      <c r="C802" s="2527"/>
      <c r="D802" s="2481">
        <f t="shared" si="102"/>
        <v>86261.202510000003</v>
      </c>
      <c r="E802" s="2529"/>
      <c r="F802" s="2555">
        <v>85468.705849999998</v>
      </c>
      <c r="G802" s="2529">
        <v>792.49666000000002</v>
      </c>
      <c r="H802" s="2555"/>
      <c r="I802" s="2249">
        <f t="shared" si="103"/>
        <v>86261.202510000003</v>
      </c>
      <c r="J802" s="2555"/>
      <c r="K802" s="2529"/>
      <c r="L802" s="2529"/>
      <c r="M802" s="2500">
        <f t="shared" ref="M802:M820" si="105">L802+K802+J802</f>
        <v>0</v>
      </c>
      <c r="N802" s="922"/>
      <c r="O802" s="922"/>
      <c r="P802" s="679"/>
      <c r="Q802" s="706"/>
      <c r="R802" s="411"/>
      <c r="S802" s="706"/>
      <c r="T802" s="708"/>
      <c r="U802" s="706"/>
      <c r="V802" s="706"/>
      <c r="W802" s="706"/>
      <c r="X802" s="706"/>
      <c r="Y802" s="706"/>
      <c r="Z802" s="706"/>
      <c r="AA802" s="706"/>
    </row>
    <row r="803" spans="2:27">
      <c r="B803" s="2460" t="s">
        <v>346</v>
      </c>
      <c r="C803" s="2527"/>
      <c r="D803" s="2481">
        <f t="shared" si="102"/>
        <v>0</v>
      </c>
      <c r="E803" s="2529"/>
      <c r="F803" s="2555"/>
      <c r="G803" s="2529"/>
      <c r="H803" s="2555"/>
      <c r="I803" s="2249">
        <f t="shared" si="103"/>
        <v>0</v>
      </c>
      <c r="J803" s="2555"/>
      <c r="K803" s="2529"/>
      <c r="L803" s="2529"/>
      <c r="M803" s="2500">
        <f t="shared" si="105"/>
        <v>0</v>
      </c>
      <c r="N803" s="922"/>
      <c r="O803" s="922"/>
      <c r="P803" s="679"/>
      <c r="Q803" s="706"/>
      <c r="R803" s="389"/>
      <c r="S803" s="706"/>
      <c r="T803" s="708"/>
      <c r="U803" s="706"/>
      <c r="V803" s="706"/>
      <c r="W803" s="706"/>
      <c r="X803" s="706"/>
      <c r="Y803" s="706"/>
      <c r="Z803" s="706"/>
      <c r="AA803" s="706"/>
    </row>
    <row r="804" spans="2:27">
      <c r="B804" s="2460" t="s">
        <v>347</v>
      </c>
      <c r="C804" s="2527"/>
      <c r="D804" s="2481">
        <f t="shared" si="102"/>
        <v>-27425.117140000002</v>
      </c>
      <c r="E804" s="2529"/>
      <c r="F804" s="2555">
        <v>-27425.117140000002</v>
      </c>
      <c r="G804" s="2529">
        <v>0</v>
      </c>
      <c r="H804" s="2555"/>
      <c r="I804" s="2249">
        <f t="shared" si="103"/>
        <v>-27425.117140000002</v>
      </c>
      <c r="J804" s="2555"/>
      <c r="K804" s="2529"/>
      <c r="L804" s="2529"/>
      <c r="M804" s="2500">
        <f t="shared" si="105"/>
        <v>0</v>
      </c>
      <c r="N804" s="922"/>
      <c r="O804" s="922"/>
      <c r="P804" s="679"/>
      <c r="Q804" s="706"/>
      <c r="R804" s="389"/>
      <c r="S804" s="706"/>
      <c r="T804" s="708"/>
      <c r="U804" s="706"/>
      <c r="V804" s="706"/>
      <c r="W804" s="706"/>
      <c r="X804" s="706"/>
      <c r="Y804" s="706"/>
      <c r="Z804" s="706"/>
      <c r="AA804" s="706"/>
    </row>
    <row r="805" spans="2:27" ht="12.75" customHeight="1">
      <c r="B805" s="2467" t="s">
        <v>348</v>
      </c>
      <c r="C805" s="2527"/>
      <c r="D805" s="2481">
        <f t="shared" si="102"/>
        <v>0</v>
      </c>
      <c r="E805" s="2529"/>
      <c r="F805" s="2555"/>
      <c r="G805" s="2529"/>
      <c r="H805" s="2555"/>
      <c r="I805" s="2249">
        <f t="shared" si="103"/>
        <v>0</v>
      </c>
      <c r="J805" s="2555"/>
      <c r="K805" s="2529"/>
      <c r="L805" s="2529"/>
      <c r="M805" s="2500">
        <f t="shared" si="105"/>
        <v>0</v>
      </c>
      <c r="N805" s="922"/>
      <c r="O805" s="922"/>
      <c r="P805" s="679"/>
      <c r="Q805" s="706"/>
      <c r="R805" s="389"/>
      <c r="S805" s="706"/>
      <c r="T805" s="708"/>
      <c r="U805" s="706"/>
      <c r="V805" s="706"/>
      <c r="W805" s="706"/>
      <c r="X805" s="706"/>
      <c r="Y805" s="706"/>
      <c r="Z805" s="706"/>
      <c r="AA805" s="706"/>
    </row>
    <row r="806" spans="2:27">
      <c r="B806" s="2460" t="s">
        <v>349</v>
      </c>
      <c r="C806" s="2527"/>
      <c r="D806" s="2481">
        <f t="shared" si="102"/>
        <v>-71716.08143000002</v>
      </c>
      <c r="E806" s="2529"/>
      <c r="F806" s="2555">
        <v>-81485.415737924341</v>
      </c>
      <c r="G806" s="2529">
        <v>9769.3343079243223</v>
      </c>
      <c r="H806" s="2555"/>
      <c r="I806" s="2249">
        <f t="shared" si="103"/>
        <v>-71716.08143000002</v>
      </c>
      <c r="J806" s="2555"/>
      <c r="K806" s="2529"/>
      <c r="L806" s="2529"/>
      <c r="M806" s="2500">
        <f t="shared" si="105"/>
        <v>0</v>
      </c>
      <c r="N806" s="922"/>
      <c r="O806" s="922"/>
      <c r="P806" s="679"/>
      <c r="Q806" s="706"/>
      <c r="R806" s="411"/>
      <c r="S806" s="706"/>
      <c r="T806" s="708"/>
      <c r="U806" s="706"/>
      <c r="V806" s="706"/>
      <c r="W806" s="706"/>
      <c r="X806" s="706"/>
      <c r="Y806" s="706"/>
      <c r="Z806" s="706"/>
      <c r="AA806" s="706"/>
    </row>
    <row r="807" spans="2:27">
      <c r="B807" s="2460" t="s">
        <v>350</v>
      </c>
      <c r="C807" s="2527"/>
      <c r="D807" s="2481">
        <f t="shared" si="102"/>
        <v>0</v>
      </c>
      <c r="E807" s="2529"/>
      <c r="F807" s="2555"/>
      <c r="G807" s="2529"/>
      <c r="H807" s="2555"/>
      <c r="I807" s="2249">
        <f t="shared" si="103"/>
        <v>0</v>
      </c>
      <c r="J807" s="2555"/>
      <c r="K807" s="2529"/>
      <c r="L807" s="2529"/>
      <c r="M807" s="2500">
        <f t="shared" si="105"/>
        <v>0</v>
      </c>
      <c r="N807" s="922"/>
      <c r="O807" s="922"/>
      <c r="P807" s="679"/>
      <c r="Q807" s="706"/>
      <c r="R807" s="389"/>
      <c r="S807" s="706"/>
      <c r="T807" s="708"/>
      <c r="U807" s="706"/>
      <c r="V807" s="706"/>
      <c r="W807" s="706"/>
      <c r="X807" s="706"/>
      <c r="Y807" s="706"/>
      <c r="Z807" s="706"/>
      <c r="AA807" s="706"/>
    </row>
    <row r="808" spans="2:27">
      <c r="B808" s="2466" t="s">
        <v>351</v>
      </c>
      <c r="C808" s="2530"/>
      <c r="D808" s="2481">
        <f t="shared" si="102"/>
        <v>-12879.996060000021</v>
      </c>
      <c r="E808" s="2529">
        <f>SUM(E802:E807)</f>
        <v>0</v>
      </c>
      <c r="F808" s="2555">
        <f>SUM(F802:F807)</f>
        <v>-23441.827027924344</v>
      </c>
      <c r="G808" s="2529">
        <f>SUM(G802:G807)</f>
        <v>10561.830967924323</v>
      </c>
      <c r="H808" s="2555">
        <f>SUM(H802:H807)</f>
        <v>0</v>
      </c>
      <c r="I808" s="2249">
        <f t="shared" si="103"/>
        <v>-12879.996060000021</v>
      </c>
      <c r="J808" s="2555">
        <f>SUM(J802:J807)</f>
        <v>0</v>
      </c>
      <c r="K808" s="2529">
        <f>SUM(K802:K807)</f>
        <v>0</v>
      </c>
      <c r="L808" s="2529">
        <f>SUM(L802:L807)</f>
        <v>0</v>
      </c>
      <c r="M808" s="2500">
        <f t="shared" si="105"/>
        <v>0</v>
      </c>
      <c r="N808" s="927"/>
      <c r="O808" s="922"/>
      <c r="P808" s="679"/>
      <c r="Q808" s="706"/>
      <c r="R808" s="411"/>
      <c r="S808" s="706"/>
      <c r="T808" s="708"/>
      <c r="U808" s="706"/>
      <c r="V808" s="706"/>
      <c r="W808" s="706"/>
      <c r="X808" s="706"/>
      <c r="Y808" s="706"/>
      <c r="Z808" s="706"/>
      <c r="AA808" s="706"/>
    </row>
    <row r="809" spans="2:27">
      <c r="B809" s="2460"/>
      <c r="C809" s="2527"/>
      <c r="D809" s="2481">
        <f t="shared" si="102"/>
        <v>0</v>
      </c>
      <c r="E809" s="2529"/>
      <c r="F809" s="2555"/>
      <c r="G809" s="2529"/>
      <c r="H809" s="2555"/>
      <c r="I809" s="2249">
        <f t="shared" si="103"/>
        <v>0</v>
      </c>
      <c r="J809" s="2555"/>
      <c r="K809" s="2529"/>
      <c r="L809" s="2529"/>
      <c r="M809" s="2500">
        <f t="shared" si="105"/>
        <v>0</v>
      </c>
      <c r="O809" s="922"/>
      <c r="P809" s="679"/>
      <c r="Q809" s="706"/>
      <c r="R809" s="389"/>
      <c r="S809" s="706"/>
      <c r="T809" s="708"/>
      <c r="U809" s="706"/>
      <c r="V809" s="706"/>
      <c r="W809" s="706"/>
      <c r="X809" s="706"/>
      <c r="Y809" s="706"/>
      <c r="Z809" s="706"/>
      <c r="AA809" s="706"/>
    </row>
    <row r="810" spans="2:27" ht="25.5">
      <c r="B810" s="2467" t="s">
        <v>352</v>
      </c>
      <c r="C810" s="2527"/>
      <c r="D810" s="2481">
        <f t="shared" si="102"/>
        <v>0</v>
      </c>
      <c r="E810" s="2529"/>
      <c r="F810" s="2555"/>
      <c r="G810" s="2529"/>
      <c r="H810" s="2555"/>
      <c r="I810" s="2249">
        <f t="shared" si="103"/>
        <v>0</v>
      </c>
      <c r="J810" s="2555"/>
      <c r="K810" s="2529"/>
      <c r="L810" s="2529"/>
      <c r="M810" s="2500">
        <f t="shared" si="105"/>
        <v>0</v>
      </c>
      <c r="N810" s="922"/>
      <c r="O810" s="922"/>
      <c r="P810" s="679"/>
      <c r="Q810" s="706"/>
      <c r="R810" s="389"/>
      <c r="S810" s="706"/>
      <c r="T810" s="708"/>
      <c r="U810" s="706"/>
      <c r="V810" s="706"/>
      <c r="W810" s="706"/>
      <c r="X810" s="706"/>
      <c r="Y810" s="706"/>
      <c r="Z810" s="706"/>
      <c r="AA810" s="706"/>
    </row>
    <row r="811" spans="2:27">
      <c r="B811" s="2460"/>
      <c r="C811" s="2527"/>
      <c r="D811" s="2481">
        <f t="shared" si="102"/>
        <v>0</v>
      </c>
      <c r="E811" s="2529"/>
      <c r="F811" s="2555"/>
      <c r="G811" s="2529"/>
      <c r="H811" s="2555"/>
      <c r="I811" s="2249">
        <f t="shared" si="103"/>
        <v>0</v>
      </c>
      <c r="J811" s="2555"/>
      <c r="K811" s="2529"/>
      <c r="L811" s="2529"/>
      <c r="M811" s="2500">
        <f t="shared" si="105"/>
        <v>0</v>
      </c>
      <c r="N811" s="922"/>
      <c r="O811" s="922"/>
      <c r="P811" s="679"/>
      <c r="Q811" s="706"/>
      <c r="R811" s="389"/>
      <c r="S811" s="706"/>
      <c r="T811" s="708"/>
      <c r="U811" s="706"/>
      <c r="V811" s="706"/>
      <c r="W811" s="706"/>
      <c r="X811" s="706"/>
      <c r="Y811" s="706"/>
      <c r="Z811" s="706"/>
      <c r="AA811" s="706"/>
    </row>
    <row r="812" spans="2:27" ht="12.75" customHeight="1">
      <c r="B812" s="2467" t="s">
        <v>353</v>
      </c>
      <c r="C812" s="2527">
        <v>4</v>
      </c>
      <c r="D812" s="2481">
        <f t="shared" si="102"/>
        <v>37138.49136</v>
      </c>
      <c r="E812" s="2529"/>
      <c r="F812" s="2555">
        <v>34338.030887924324</v>
      </c>
      <c r="G812" s="2529">
        <v>2800.4604720756793</v>
      </c>
      <c r="H812" s="2555"/>
      <c r="I812" s="2249">
        <f t="shared" si="103"/>
        <v>37138.49136</v>
      </c>
      <c r="J812" s="2555"/>
      <c r="K812" s="2529"/>
      <c r="L812" s="2529"/>
      <c r="M812" s="2500">
        <f t="shared" si="105"/>
        <v>0</v>
      </c>
      <c r="N812" s="922"/>
      <c r="O812" s="922"/>
      <c r="P812" s="679"/>
      <c r="Q812" s="706"/>
      <c r="R812" s="411"/>
      <c r="S812" s="706"/>
      <c r="T812" s="708"/>
      <c r="U812" s="706"/>
      <c r="V812" s="706"/>
      <c r="W812" s="706"/>
      <c r="X812" s="706"/>
      <c r="Y812" s="706"/>
      <c r="Z812" s="706"/>
      <c r="AA812" s="706"/>
    </row>
    <row r="813" spans="2:27">
      <c r="B813" s="2460" t="s">
        <v>354</v>
      </c>
      <c r="C813" s="2527"/>
      <c r="D813" s="2481">
        <f t="shared" si="102"/>
        <v>0</v>
      </c>
      <c r="E813" s="2529"/>
      <c r="F813" s="2555"/>
      <c r="G813" s="2529"/>
      <c r="H813" s="2555"/>
      <c r="I813" s="2249">
        <f t="shared" si="103"/>
        <v>0</v>
      </c>
      <c r="J813" s="2555"/>
      <c r="K813" s="2529"/>
      <c r="L813" s="2529"/>
      <c r="M813" s="2500">
        <f t="shared" si="105"/>
        <v>0</v>
      </c>
      <c r="N813" s="922"/>
      <c r="O813" s="922"/>
      <c r="P813" s="679"/>
      <c r="Q813" s="706"/>
      <c r="R813" s="389"/>
      <c r="S813" s="706"/>
      <c r="T813" s="708"/>
      <c r="U813" s="706"/>
      <c r="V813" s="706"/>
      <c r="W813" s="706"/>
      <c r="X813" s="706"/>
      <c r="Y813" s="706"/>
      <c r="Z813" s="706"/>
      <c r="AA813" s="706"/>
    </row>
    <row r="814" spans="2:27">
      <c r="B814" s="2460" t="s">
        <v>355</v>
      </c>
      <c r="C814" s="2527"/>
      <c r="D814" s="2481">
        <f t="shared" si="102"/>
        <v>0</v>
      </c>
      <c r="E814" s="2529"/>
      <c r="F814" s="2555"/>
      <c r="G814" s="2529"/>
      <c r="H814" s="2555"/>
      <c r="I814" s="2249">
        <f t="shared" si="103"/>
        <v>0</v>
      </c>
      <c r="J814" s="2555"/>
      <c r="K814" s="2529"/>
      <c r="L814" s="2529"/>
      <c r="M814" s="2500">
        <f t="shared" si="105"/>
        <v>0</v>
      </c>
      <c r="N814" s="922"/>
      <c r="O814" s="922"/>
      <c r="P814" s="679"/>
      <c r="Q814" s="706"/>
      <c r="R814" s="389"/>
      <c r="S814" s="706"/>
      <c r="T814" s="708"/>
      <c r="U814" s="706"/>
      <c r="V814" s="706"/>
      <c r="W814" s="706"/>
      <c r="X814" s="706"/>
      <c r="Y814" s="706"/>
      <c r="Z814" s="706"/>
      <c r="AA814" s="706"/>
    </row>
    <row r="815" spans="2:27">
      <c r="B815" s="2466" t="s">
        <v>356</v>
      </c>
      <c r="C815" s="2530"/>
      <c r="D815" s="2481">
        <f t="shared" si="102"/>
        <v>37138.49136</v>
      </c>
      <c r="E815" s="2529">
        <f>SUM(E812:E814)</f>
        <v>0</v>
      </c>
      <c r="F815" s="2555">
        <f>SUM(F812:F814)</f>
        <v>34338.030887924324</v>
      </c>
      <c r="G815" s="2529">
        <f>SUM(G812:G814)</f>
        <v>2800.4604720756793</v>
      </c>
      <c r="H815" s="2555">
        <f>SUM(H812:H814)</f>
        <v>0</v>
      </c>
      <c r="I815" s="2249">
        <f t="shared" si="103"/>
        <v>37138.49136</v>
      </c>
      <c r="J815" s="2555">
        <f>SUM(J812:J814)</f>
        <v>0</v>
      </c>
      <c r="K815" s="2529">
        <f>SUM(K812:K814)</f>
        <v>0</v>
      </c>
      <c r="L815" s="2529">
        <f>SUM(L812:L814)</f>
        <v>0</v>
      </c>
      <c r="M815" s="2500">
        <f t="shared" si="105"/>
        <v>0</v>
      </c>
      <c r="N815" s="927"/>
      <c r="O815" s="922"/>
      <c r="P815" s="679"/>
      <c r="Q815" s="706"/>
      <c r="R815" s="411"/>
      <c r="S815" s="706"/>
      <c r="T815" s="708"/>
      <c r="U815" s="706"/>
      <c r="V815" s="706"/>
      <c r="W815" s="706"/>
      <c r="X815" s="706"/>
      <c r="Y815" s="706"/>
      <c r="Z815" s="706"/>
      <c r="AA815" s="706"/>
    </row>
    <row r="816" spans="2:27">
      <c r="B816" s="2466"/>
      <c r="C816" s="2530"/>
      <c r="D816" s="2481">
        <f t="shared" si="102"/>
        <v>0</v>
      </c>
      <c r="E816" s="2529"/>
      <c r="F816" s="2555"/>
      <c r="G816" s="2529"/>
      <c r="H816" s="2555"/>
      <c r="I816" s="2249">
        <f t="shared" si="103"/>
        <v>0</v>
      </c>
      <c r="J816" s="2555"/>
      <c r="K816" s="2529"/>
      <c r="L816" s="2529"/>
      <c r="M816" s="2500">
        <f t="shared" si="105"/>
        <v>0</v>
      </c>
      <c r="O816" s="922"/>
      <c r="P816" s="679"/>
      <c r="Q816" s="706"/>
      <c r="R816" s="389"/>
      <c r="S816" s="706"/>
      <c r="T816" s="708"/>
      <c r="U816" s="706"/>
      <c r="V816" s="706"/>
      <c r="W816" s="706"/>
      <c r="X816" s="706"/>
      <c r="Y816" s="706"/>
      <c r="Z816" s="706"/>
      <c r="AA816" s="706"/>
    </row>
    <row r="817" spans="2:27">
      <c r="B817" s="2466" t="s">
        <v>357</v>
      </c>
      <c r="C817" s="2530"/>
      <c r="D817" s="2481">
        <f t="shared" si="102"/>
        <v>0</v>
      </c>
      <c r="E817" s="2529">
        <f>E800-E808-E810-E815</f>
        <v>0</v>
      </c>
      <c r="F817" s="2555">
        <f>F800-F808-F810-F815</f>
        <v>0</v>
      </c>
      <c r="G817" s="2529">
        <f>G800-G808-G810-G815</f>
        <v>0</v>
      </c>
      <c r="H817" s="2555">
        <f>H800-H808-H810-H815</f>
        <v>0</v>
      </c>
      <c r="I817" s="2249">
        <f t="shared" si="103"/>
        <v>0</v>
      </c>
      <c r="J817" s="2555">
        <f>J800-J808-J810-J815</f>
        <v>0</v>
      </c>
      <c r="K817" s="2529">
        <f>K800-K808-K810-K815</f>
        <v>0</v>
      </c>
      <c r="L817" s="2529">
        <f>L800-L808-L810-L815</f>
        <v>0</v>
      </c>
      <c r="M817" s="2500">
        <f t="shared" si="105"/>
        <v>0</v>
      </c>
      <c r="N817" s="927"/>
      <c r="O817" s="922"/>
      <c r="P817" s="679"/>
      <c r="Q817" s="706"/>
      <c r="R817" s="389"/>
      <c r="S817" s="706"/>
      <c r="T817" s="708"/>
      <c r="U817" s="706"/>
      <c r="V817" s="706"/>
      <c r="W817" s="706"/>
      <c r="X817" s="706"/>
      <c r="Y817" s="706"/>
      <c r="Z817" s="706"/>
      <c r="AA817" s="706"/>
    </row>
    <row r="818" spans="2:27">
      <c r="B818" s="2460" t="s">
        <v>358</v>
      </c>
      <c r="C818" s="2527"/>
      <c r="D818" s="2481">
        <f t="shared" si="102"/>
        <v>0</v>
      </c>
      <c r="E818" s="2529"/>
      <c r="F818" s="2555"/>
      <c r="G818" s="2529"/>
      <c r="H818" s="2555"/>
      <c r="I818" s="2249">
        <f t="shared" si="103"/>
        <v>0</v>
      </c>
      <c r="J818" s="2555"/>
      <c r="K818" s="2529"/>
      <c r="L818" s="2529"/>
      <c r="M818" s="2500">
        <f t="shared" si="105"/>
        <v>0</v>
      </c>
      <c r="N818" s="922"/>
      <c r="O818" s="922"/>
      <c r="P818" s="679"/>
      <c r="R818" s="389"/>
      <c r="S818" s="706"/>
      <c r="T818" s="708"/>
      <c r="U818" s="706"/>
      <c r="V818" s="706"/>
      <c r="W818" s="706"/>
      <c r="X818" s="706"/>
      <c r="Y818" s="706"/>
      <c r="Z818" s="706"/>
      <c r="AA818" s="706"/>
    </row>
    <row r="819" spans="2:27">
      <c r="B819" s="2460"/>
      <c r="C819" s="2527"/>
      <c r="D819" s="2481">
        <f t="shared" si="102"/>
        <v>0</v>
      </c>
      <c r="E819" s="2529"/>
      <c r="F819" s="2555"/>
      <c r="G819" s="2529"/>
      <c r="H819" s="2555"/>
      <c r="I819" s="2249">
        <f t="shared" si="103"/>
        <v>0</v>
      </c>
      <c r="J819" s="2555"/>
      <c r="K819" s="2529"/>
      <c r="L819" s="2529"/>
      <c r="M819" s="2500">
        <f t="shared" si="105"/>
        <v>0</v>
      </c>
      <c r="O819" s="922"/>
      <c r="P819" s="679"/>
      <c r="R819" s="389"/>
      <c r="S819" s="706"/>
      <c r="T819" s="708"/>
      <c r="U819" s="706"/>
      <c r="V819" s="706"/>
      <c r="W819" s="706"/>
      <c r="X819" s="706"/>
      <c r="Y819" s="706"/>
      <c r="Z819" s="706"/>
      <c r="AA819" s="706"/>
    </row>
    <row r="820" spans="2:27" ht="13.5" thickBot="1">
      <c r="B820" s="1602" t="s">
        <v>359</v>
      </c>
      <c r="C820" s="1638"/>
      <c r="D820" s="1614">
        <f t="shared" si="102"/>
        <v>0</v>
      </c>
      <c r="E820" s="1614">
        <f>E817-E818</f>
        <v>0</v>
      </c>
      <c r="F820" s="1640">
        <f>F817-F818</f>
        <v>0</v>
      </c>
      <c r="G820" s="1614">
        <f>G817-G818</f>
        <v>0</v>
      </c>
      <c r="H820" s="1640">
        <f>H817-H818</f>
        <v>0</v>
      </c>
      <c r="I820" s="1614">
        <f t="shared" si="103"/>
        <v>0</v>
      </c>
      <c r="J820" s="1640">
        <f>J817-J818</f>
        <v>0</v>
      </c>
      <c r="K820" s="1614">
        <f>K817-K818</f>
        <v>0</v>
      </c>
      <c r="L820" s="1614">
        <f>L817-L818</f>
        <v>0</v>
      </c>
      <c r="M820" s="1639">
        <f t="shared" si="105"/>
        <v>0</v>
      </c>
      <c r="N820" s="927"/>
      <c r="O820" s="922"/>
      <c r="P820" s="679"/>
      <c r="R820" s="389"/>
      <c r="S820" s="706"/>
      <c r="T820" s="708"/>
      <c r="U820" s="706"/>
      <c r="V820" s="706"/>
      <c r="W820" s="706"/>
      <c r="X820" s="706"/>
      <c r="Y820" s="706"/>
      <c r="Z820" s="706"/>
      <c r="AA820" s="706"/>
    </row>
    <row r="821" spans="2:27">
      <c r="R821" s="699"/>
      <c r="S821" s="699"/>
      <c r="T821" s="699"/>
      <c r="U821" s="699"/>
      <c r="V821" s="699"/>
      <c r="W821" s="699"/>
      <c r="X821" s="699"/>
      <c r="Y821" s="699"/>
      <c r="Z821" s="699"/>
      <c r="AA821" s="699"/>
    </row>
    <row r="822" spans="2:27" ht="13.5" thickBot="1">
      <c r="L822" s="1970"/>
      <c r="M822" s="1971">
        <v>80</v>
      </c>
      <c r="R822" s="699"/>
      <c r="S822" s="699"/>
      <c r="T822" s="699"/>
      <c r="U822" s="699"/>
      <c r="V822" s="699"/>
      <c r="W822" s="699"/>
      <c r="X822" s="699"/>
      <c r="Y822" s="699"/>
      <c r="Z822" s="699"/>
      <c r="AA822" s="699"/>
    </row>
    <row r="823" spans="2:27">
      <c r="R823" s="699"/>
      <c r="S823" s="699"/>
      <c r="T823" s="699"/>
      <c r="U823" s="699"/>
      <c r="V823" s="699"/>
      <c r="W823" s="699"/>
      <c r="X823" s="699"/>
      <c r="Y823" s="699"/>
      <c r="Z823" s="699"/>
      <c r="AA823" s="699"/>
    </row>
    <row r="824" spans="2:27">
      <c r="R824" s="699"/>
      <c r="S824" s="699"/>
      <c r="T824" s="699"/>
      <c r="U824" s="699"/>
      <c r="V824" s="699"/>
      <c r="W824" s="699"/>
      <c r="X824" s="699"/>
      <c r="Y824" s="699"/>
      <c r="Z824" s="699"/>
      <c r="AA824" s="699"/>
    </row>
    <row r="825" spans="2:27">
      <c r="R825" s="699"/>
      <c r="S825" s="699"/>
      <c r="T825" s="699"/>
      <c r="U825" s="699"/>
      <c r="V825" s="699"/>
      <c r="W825" s="699"/>
      <c r="X825" s="699"/>
      <c r="Y825" s="699"/>
      <c r="Z825" s="699"/>
      <c r="AA825" s="699"/>
    </row>
    <row r="826" spans="2:27">
      <c r="R826" s="699"/>
      <c r="S826" s="699"/>
      <c r="T826" s="699"/>
      <c r="U826" s="699"/>
      <c r="V826" s="699"/>
      <c r="W826" s="699"/>
      <c r="X826" s="699"/>
      <c r="Y826" s="699"/>
      <c r="Z826" s="699"/>
      <c r="AA826" s="699"/>
    </row>
    <row r="827" spans="2:27">
      <c r="R827" s="699"/>
      <c r="S827" s="699"/>
      <c r="T827" s="699"/>
      <c r="U827" s="699"/>
      <c r="V827" s="699"/>
      <c r="W827" s="699"/>
      <c r="X827" s="699"/>
      <c r="Y827" s="699"/>
      <c r="Z827" s="699"/>
      <c r="AA827" s="699"/>
    </row>
    <row r="828" spans="2:27">
      <c r="R828" s="699"/>
      <c r="S828" s="699"/>
      <c r="T828" s="699"/>
      <c r="U828" s="699"/>
      <c r="V828" s="699"/>
      <c r="W828" s="699"/>
      <c r="X828" s="699"/>
      <c r="Y828" s="699"/>
      <c r="Z828" s="699"/>
      <c r="AA828" s="699"/>
    </row>
    <row r="829" spans="2:27">
      <c r="R829" s="699"/>
      <c r="S829" s="699"/>
      <c r="T829" s="699"/>
      <c r="U829" s="699"/>
      <c r="V829" s="699"/>
      <c r="W829" s="699"/>
      <c r="X829" s="699"/>
      <c r="Y829" s="699"/>
      <c r="Z829" s="699"/>
      <c r="AA829" s="699"/>
    </row>
    <row r="830" spans="2:27">
      <c r="R830" s="699"/>
      <c r="S830" s="699"/>
      <c r="T830" s="699"/>
      <c r="U830" s="699"/>
      <c r="V830" s="699"/>
      <c r="W830" s="699"/>
      <c r="X830" s="699"/>
      <c r="Y830" s="699"/>
      <c r="Z830" s="699"/>
      <c r="AA830" s="699"/>
    </row>
    <row r="831" spans="2:27">
      <c r="R831" s="699"/>
      <c r="S831" s="699"/>
      <c r="T831" s="699"/>
      <c r="U831" s="699"/>
      <c r="V831" s="699"/>
      <c r="W831" s="699"/>
      <c r="X831" s="699"/>
      <c r="Y831" s="699"/>
      <c r="Z831" s="699"/>
      <c r="AA831" s="699"/>
    </row>
    <row r="832" spans="2:27">
      <c r="R832" s="699"/>
      <c r="S832" s="699"/>
      <c r="T832" s="699"/>
      <c r="U832" s="699"/>
      <c r="V832" s="699"/>
      <c r="W832" s="699"/>
      <c r="X832" s="699"/>
      <c r="Y832" s="699"/>
      <c r="Z832" s="699"/>
      <c r="AA832" s="699"/>
    </row>
    <row r="833" spans="18:27">
      <c r="R833" s="699"/>
      <c r="S833" s="699"/>
      <c r="T833" s="699"/>
      <c r="U833" s="699"/>
      <c r="V833" s="699"/>
      <c r="W833" s="699"/>
      <c r="X833" s="699"/>
      <c r="Y833" s="699"/>
      <c r="Z833" s="699"/>
      <c r="AA833" s="699"/>
    </row>
    <row r="834" spans="18:27">
      <c r="R834" s="699"/>
      <c r="S834" s="699"/>
      <c r="T834" s="699"/>
      <c r="U834" s="699"/>
      <c r="V834" s="699"/>
      <c r="W834" s="699"/>
      <c r="X834" s="699"/>
      <c r="Y834" s="699"/>
      <c r="Z834" s="699"/>
      <c r="AA834" s="699"/>
    </row>
    <row r="835" spans="18:27">
      <c r="R835" s="699"/>
      <c r="S835" s="699"/>
      <c r="T835" s="699"/>
      <c r="U835" s="699"/>
      <c r="V835" s="699"/>
      <c r="W835" s="699"/>
      <c r="X835" s="699"/>
      <c r="Y835" s="699"/>
      <c r="Z835" s="699"/>
      <c r="AA835" s="699"/>
    </row>
    <row r="836" spans="18:27">
      <c r="R836" s="699"/>
      <c r="S836" s="699"/>
      <c r="T836" s="699"/>
      <c r="U836" s="699"/>
      <c r="V836" s="699"/>
      <c r="W836" s="699"/>
      <c r="X836" s="699"/>
      <c r="Y836" s="699"/>
      <c r="Z836" s="699"/>
      <c r="AA836" s="699"/>
    </row>
    <row r="837" spans="18:27">
      <c r="R837" s="699"/>
      <c r="S837" s="699"/>
      <c r="T837" s="699"/>
      <c r="U837" s="699"/>
      <c r="V837" s="699"/>
      <c r="W837" s="699"/>
      <c r="X837" s="699"/>
      <c r="Y837" s="699"/>
      <c r="Z837" s="699"/>
      <c r="AA837" s="699"/>
    </row>
    <row r="838" spans="18:27">
      <c r="R838" s="699"/>
      <c r="S838" s="699"/>
      <c r="T838" s="699"/>
      <c r="U838" s="699"/>
      <c r="V838" s="699"/>
      <c r="W838" s="699"/>
      <c r="X838" s="699"/>
      <c r="Y838" s="699"/>
      <c r="Z838" s="699"/>
      <c r="AA838" s="699"/>
    </row>
    <row r="839" spans="18:27">
      <c r="R839" s="699"/>
      <c r="S839" s="699"/>
      <c r="T839" s="699"/>
      <c r="U839" s="699"/>
      <c r="V839" s="699"/>
      <c r="W839" s="699"/>
      <c r="X839" s="699"/>
      <c r="Y839" s="699"/>
      <c r="Z839" s="699"/>
      <c r="AA839" s="699"/>
    </row>
  </sheetData>
  <mergeCells count="250">
    <mergeCell ref="H397:H398"/>
    <mergeCell ref="H347:H348"/>
    <mergeCell ref="H106:H107"/>
    <mergeCell ref="H58:H59"/>
    <mergeCell ref="H9:H10"/>
    <mergeCell ref="F397:F398"/>
    <mergeCell ref="G397:G398"/>
    <mergeCell ref="K9:K10"/>
    <mergeCell ref="L9:L10"/>
    <mergeCell ref="F56:I56"/>
    <mergeCell ref="J345:M345"/>
    <mergeCell ref="F347:F348"/>
    <mergeCell ref="G347:G348"/>
    <mergeCell ref="J347:J348"/>
    <mergeCell ref="K347:K348"/>
    <mergeCell ref="L347:L348"/>
    <mergeCell ref="F345:I345"/>
    <mergeCell ref="B103:B107"/>
    <mergeCell ref="C103:C107"/>
    <mergeCell ref="D103:D105"/>
    <mergeCell ref="E103:E105"/>
    <mergeCell ref="F103:M103"/>
    <mergeCell ref="F104:I104"/>
    <mergeCell ref="J104:M104"/>
    <mergeCell ref="E106:E107"/>
    <mergeCell ref="F106:F107"/>
    <mergeCell ref="G106:G107"/>
    <mergeCell ref="J106:J107"/>
    <mergeCell ref="K106:K107"/>
    <mergeCell ref="L106:L107"/>
    <mergeCell ref="B151:B155"/>
    <mergeCell ref="C151:C155"/>
    <mergeCell ref="D151:D153"/>
    <mergeCell ref="E151:E153"/>
    <mergeCell ref="F151:M151"/>
    <mergeCell ref="F152:I152"/>
    <mergeCell ref="R10:S10"/>
    <mergeCell ref="B55:B59"/>
    <mergeCell ref="C55:C59"/>
    <mergeCell ref="D55:D57"/>
    <mergeCell ref="E55:E57"/>
    <mergeCell ref="F55:M55"/>
    <mergeCell ref="J56:M56"/>
    <mergeCell ref="E58:E59"/>
    <mergeCell ref="F58:F59"/>
    <mergeCell ref="G58:G59"/>
    <mergeCell ref="J58:J59"/>
    <mergeCell ref="K58:K59"/>
    <mergeCell ref="L58:L59"/>
    <mergeCell ref="B6:B10"/>
    <mergeCell ref="C6:C10"/>
    <mergeCell ref="D6:D8"/>
    <mergeCell ref="E6:E8"/>
    <mergeCell ref="F6:M6"/>
    <mergeCell ref="F7:I7"/>
    <mergeCell ref="J7:M7"/>
    <mergeCell ref="E9:E10"/>
    <mergeCell ref="F9:F10"/>
    <mergeCell ref="G9:G10"/>
    <mergeCell ref="J9:J10"/>
    <mergeCell ref="J152:M152"/>
    <mergeCell ref="E154:E155"/>
    <mergeCell ref="F154:F155"/>
    <mergeCell ref="G154:G155"/>
    <mergeCell ref="J154:J155"/>
    <mergeCell ref="K154:K155"/>
    <mergeCell ref="L154:L155"/>
    <mergeCell ref="B198:B202"/>
    <mergeCell ref="C198:C202"/>
    <mergeCell ref="D198:D200"/>
    <mergeCell ref="E198:E200"/>
    <mergeCell ref="F198:M198"/>
    <mergeCell ref="F199:I199"/>
    <mergeCell ref="J199:M199"/>
    <mergeCell ref="E201:E202"/>
    <mergeCell ref="F201:F202"/>
    <mergeCell ref="G201:G202"/>
    <mergeCell ref="J201:J202"/>
    <mergeCell ref="K201:K202"/>
    <mergeCell ref="L201:L202"/>
    <mergeCell ref="B248:B252"/>
    <mergeCell ref="C248:C252"/>
    <mergeCell ref="D248:D250"/>
    <mergeCell ref="E248:E250"/>
    <mergeCell ref="F248:M248"/>
    <mergeCell ref="F249:I249"/>
    <mergeCell ref="J249:M249"/>
    <mergeCell ref="E251:E252"/>
    <mergeCell ref="F251:F252"/>
    <mergeCell ref="G251:G252"/>
    <mergeCell ref="J251:J252"/>
    <mergeCell ref="K251:K252"/>
    <mergeCell ref="L251:L252"/>
    <mergeCell ref="B296:B300"/>
    <mergeCell ref="C296:C300"/>
    <mergeCell ref="D296:D298"/>
    <mergeCell ref="E296:E298"/>
    <mergeCell ref="F296:M296"/>
    <mergeCell ref="J297:M297"/>
    <mergeCell ref="E299:E300"/>
    <mergeCell ref="F299:F300"/>
    <mergeCell ref="G299:G300"/>
    <mergeCell ref="J299:J300"/>
    <mergeCell ref="K299:K300"/>
    <mergeCell ref="L299:L300"/>
    <mergeCell ref="F297:I297"/>
    <mergeCell ref="H299:H300"/>
    <mergeCell ref="B394:B398"/>
    <mergeCell ref="C394:C398"/>
    <mergeCell ref="D394:D396"/>
    <mergeCell ref="E394:E396"/>
    <mergeCell ref="E397:E398"/>
    <mergeCell ref="B344:B348"/>
    <mergeCell ref="C344:C348"/>
    <mergeCell ref="D344:D346"/>
    <mergeCell ref="E344:E346"/>
    <mergeCell ref="E347:E348"/>
    <mergeCell ref="B442:B446"/>
    <mergeCell ref="C442:C446"/>
    <mergeCell ref="D442:D444"/>
    <mergeCell ref="E442:E444"/>
    <mergeCell ref="F442:M442"/>
    <mergeCell ref="J443:M443"/>
    <mergeCell ref="E445:E446"/>
    <mergeCell ref="F445:F446"/>
    <mergeCell ref="G445:G446"/>
    <mergeCell ref="J445:J446"/>
    <mergeCell ref="K445:K446"/>
    <mergeCell ref="L445:L446"/>
    <mergeCell ref="F443:I443"/>
    <mergeCell ref="H445:H446"/>
    <mergeCell ref="B490:B494"/>
    <mergeCell ref="C490:C494"/>
    <mergeCell ref="D490:D492"/>
    <mergeCell ref="E490:E492"/>
    <mergeCell ref="F490:M490"/>
    <mergeCell ref="F491:I491"/>
    <mergeCell ref="J491:M491"/>
    <mergeCell ref="E493:E494"/>
    <mergeCell ref="F493:F494"/>
    <mergeCell ref="G493:G494"/>
    <mergeCell ref="J493:J494"/>
    <mergeCell ref="K493:K494"/>
    <mergeCell ref="L493:L494"/>
    <mergeCell ref="H493:H494"/>
    <mergeCell ref="B538:B542"/>
    <mergeCell ref="C538:C542"/>
    <mergeCell ref="D538:D540"/>
    <mergeCell ref="E538:E540"/>
    <mergeCell ref="F538:M538"/>
    <mergeCell ref="F539:I539"/>
    <mergeCell ref="J539:M539"/>
    <mergeCell ref="E541:E542"/>
    <mergeCell ref="F541:F542"/>
    <mergeCell ref="G541:G542"/>
    <mergeCell ref="J541:J542"/>
    <mergeCell ref="K541:K542"/>
    <mergeCell ref="L541:L542"/>
    <mergeCell ref="H541:H542"/>
    <mergeCell ref="B586:B590"/>
    <mergeCell ref="C586:C590"/>
    <mergeCell ref="D586:D588"/>
    <mergeCell ref="E586:E588"/>
    <mergeCell ref="F586:M586"/>
    <mergeCell ref="F587:I587"/>
    <mergeCell ref="J587:M587"/>
    <mergeCell ref="E589:E590"/>
    <mergeCell ref="F589:F590"/>
    <mergeCell ref="G589:G590"/>
    <mergeCell ref="J589:J590"/>
    <mergeCell ref="K589:K590"/>
    <mergeCell ref="L589:L590"/>
    <mergeCell ref="H589:H590"/>
    <mergeCell ref="B634:B638"/>
    <mergeCell ref="C634:C638"/>
    <mergeCell ref="D634:D636"/>
    <mergeCell ref="E634:E636"/>
    <mergeCell ref="F634:M634"/>
    <mergeCell ref="F635:I635"/>
    <mergeCell ref="J635:M635"/>
    <mergeCell ref="E637:E638"/>
    <mergeCell ref="F637:F638"/>
    <mergeCell ref="G637:G638"/>
    <mergeCell ref="J637:J638"/>
    <mergeCell ref="K637:K638"/>
    <mergeCell ref="L637:L638"/>
    <mergeCell ref="B682:B686"/>
    <mergeCell ref="C682:C686"/>
    <mergeCell ref="D682:D684"/>
    <mergeCell ref="E682:E684"/>
    <mergeCell ref="F682:M682"/>
    <mergeCell ref="F683:I683"/>
    <mergeCell ref="J683:M683"/>
    <mergeCell ref="E685:E686"/>
    <mergeCell ref="F685:F686"/>
    <mergeCell ref="G685:G686"/>
    <mergeCell ref="J685:J686"/>
    <mergeCell ref="K685:K686"/>
    <mergeCell ref="L685:L686"/>
    <mergeCell ref="H685:H686"/>
    <mergeCell ref="B730:B734"/>
    <mergeCell ref="C730:C734"/>
    <mergeCell ref="D730:D732"/>
    <mergeCell ref="E730:E732"/>
    <mergeCell ref="F730:M730"/>
    <mergeCell ref="F731:I731"/>
    <mergeCell ref="J731:M731"/>
    <mergeCell ref="E733:E734"/>
    <mergeCell ref="F733:F734"/>
    <mergeCell ref="G733:G734"/>
    <mergeCell ref="J733:J734"/>
    <mergeCell ref="K733:K734"/>
    <mergeCell ref="L733:L734"/>
    <mergeCell ref="B778:B782"/>
    <mergeCell ref="C778:C782"/>
    <mergeCell ref="D778:D780"/>
    <mergeCell ref="E778:E780"/>
    <mergeCell ref="F778:M778"/>
    <mergeCell ref="F779:I779"/>
    <mergeCell ref="J779:M779"/>
    <mergeCell ref="E781:E782"/>
    <mergeCell ref="F781:F782"/>
    <mergeCell ref="G781:G782"/>
    <mergeCell ref="J781:J782"/>
    <mergeCell ref="K781:K782"/>
    <mergeCell ref="L781:L782"/>
    <mergeCell ref="L441:M441"/>
    <mergeCell ref="L489:M489"/>
    <mergeCell ref="L537:M537"/>
    <mergeCell ref="L585:M585"/>
    <mergeCell ref="L633:M633"/>
    <mergeCell ref="L681:M681"/>
    <mergeCell ref="L729:M729"/>
    <mergeCell ref="L777:M777"/>
    <mergeCell ref="L5:M5"/>
    <mergeCell ref="L54:M54"/>
    <mergeCell ref="L102:M102"/>
    <mergeCell ref="L150:M150"/>
    <mergeCell ref="L197:M197"/>
    <mergeCell ref="L247:M247"/>
    <mergeCell ref="L295:M295"/>
    <mergeCell ref="L343:M343"/>
    <mergeCell ref="L393:M393"/>
    <mergeCell ref="F394:M394"/>
    <mergeCell ref="F395:I395"/>
    <mergeCell ref="J395:M395"/>
    <mergeCell ref="J397:J398"/>
    <mergeCell ref="K397:K398"/>
    <mergeCell ref="L397:L398"/>
    <mergeCell ref="F344:M344"/>
  </mergeCells>
  <conditionalFormatting sqref="Q840:Q1048576">
    <cfRule type="containsText" dxfId="4" priority="7" operator="containsText" text="FALSE">
      <formula>NOT(ISERROR(SEARCH("FALSE",Q840)))</formula>
    </cfRule>
    <cfRule type="containsText" dxfId="3" priority="8" operator="containsText" text="TRUE">
      <formula>NOT(ISERROR(SEARCH("TRUE",Q840)))</formula>
    </cfRule>
  </conditionalFormatting>
  <conditionalFormatting sqref="R840:AA1048576">
    <cfRule type="cellIs" dxfId="2" priority="4" operator="equal">
      <formula>0</formula>
    </cfRule>
    <cfRule type="cellIs" dxfId="1" priority="5" operator="lessThan">
      <formula>0</formula>
    </cfRule>
    <cfRule type="cellIs" dxfId="0" priority="6" operator="greaterThan">
      <formula>0</formula>
    </cfRule>
  </conditionalFormatting>
  <pageMargins left="0.36" right="0.34" top="0.6" bottom="0.75" header="0.3" footer="0.3"/>
  <pageSetup paperSize="9" scale="59" orientation="landscape" r:id="rId1"/>
  <rowBreaks count="16" manualBreakCount="16">
    <brk id="51" max="12" man="1"/>
    <brk id="99" max="12" man="1"/>
    <brk id="147" max="12" man="1"/>
    <brk id="195" max="12" man="1"/>
    <brk id="244" max="12" man="1"/>
    <brk id="292" max="12" man="1"/>
    <brk id="340" max="12" man="1"/>
    <brk id="390" max="12" man="1"/>
    <brk id="438" max="12" man="1"/>
    <brk id="486" max="12" man="1"/>
    <brk id="534" max="12" man="1"/>
    <brk id="582" max="12" man="1"/>
    <brk id="630" max="12" man="1"/>
    <brk id="678" max="12" man="1"/>
    <brk id="726" max="12" man="1"/>
    <brk id="774" max="12" man="1"/>
  </row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99"/>
  </sheetPr>
  <dimension ref="B1:T753"/>
  <sheetViews>
    <sheetView showGridLines="0" view="pageBreakPreview" topLeftCell="B1" zoomScale="70" zoomScaleNormal="100" zoomScaleSheetLayoutView="70" workbookViewId="0">
      <pane ySplit="7" topLeftCell="A8" activePane="bottomLeft" state="frozen"/>
      <selection pane="bottomLeft" activeCell="L62" sqref="L62"/>
    </sheetView>
  </sheetViews>
  <sheetFormatPr defaultColWidth="9.140625" defaultRowHeight="12.75"/>
  <cols>
    <col min="1" max="1" width="6.85546875" style="292" customWidth="1"/>
    <col min="2" max="2" width="5.85546875" style="292" customWidth="1"/>
    <col min="3" max="3" width="37.85546875" style="413" customWidth="1"/>
    <col min="4" max="7" width="19.85546875" style="292" customWidth="1"/>
    <col min="8" max="8" width="4.5703125" style="292" customWidth="1"/>
    <col min="9" max="9" width="12.7109375" style="292" bestFit="1" customWidth="1"/>
    <col min="10" max="10" width="11.7109375" style="292" bestFit="1" customWidth="1"/>
    <col min="11" max="11" width="11.7109375" style="292" customWidth="1"/>
    <col min="12" max="12" width="11.7109375" style="292" bestFit="1" customWidth="1"/>
    <col min="13" max="13" width="11.28515625" style="292" customWidth="1"/>
    <col min="14" max="14" width="12.42578125" style="292" bestFit="1" customWidth="1"/>
    <col min="15" max="16384" width="9.140625" style="292"/>
  </cols>
  <sheetData>
    <row r="1" spans="2:19">
      <c r="C1" s="236"/>
      <c r="D1" s="236"/>
    </row>
    <row r="2" spans="2:19" ht="14.25">
      <c r="B2" s="274">
        <v>15</v>
      </c>
      <c r="C2" s="1972" t="s">
        <v>371</v>
      </c>
      <c r="D2" s="236"/>
      <c r="E2" s="236"/>
      <c r="F2" s="236"/>
    </row>
    <row r="3" spans="2:19" ht="13.5" thickBot="1">
      <c r="B3" s="196"/>
      <c r="C3" s="438"/>
      <c r="D3" s="52"/>
      <c r="G3" s="537"/>
    </row>
    <row r="4" spans="2:19" ht="13.5" thickBot="1">
      <c r="B4" s="3582" t="s">
        <v>253</v>
      </c>
      <c r="C4" s="3583"/>
      <c r="D4" s="52"/>
      <c r="G4" s="535" t="s">
        <v>232</v>
      </c>
      <c r="H4" s="535"/>
    </row>
    <row r="5" spans="2:19" ht="15">
      <c r="B5" s="3518" t="s">
        <v>372</v>
      </c>
      <c r="C5" s="3584"/>
      <c r="D5" s="3518" t="s">
        <v>373</v>
      </c>
      <c r="E5" s="3536" t="s">
        <v>374</v>
      </c>
      <c r="F5" s="3518" t="s">
        <v>375</v>
      </c>
      <c r="G5" s="3518" t="s">
        <v>376</v>
      </c>
      <c r="L5"/>
    </row>
    <row r="6" spans="2:19" ht="15">
      <c r="B6" s="3520"/>
      <c r="C6" s="3585"/>
      <c r="D6" s="3520"/>
      <c r="E6" s="3587"/>
      <c r="F6" s="3520"/>
      <c r="G6" s="3520"/>
      <c r="L6" s="15"/>
    </row>
    <row r="7" spans="2:19" ht="19.149999999999999" customHeight="1" thickBot="1">
      <c r="B7" s="3519"/>
      <c r="C7" s="3586"/>
      <c r="D7" s="3519"/>
      <c r="E7" s="3545"/>
      <c r="F7" s="3519"/>
      <c r="G7" s="3519"/>
      <c r="L7" s="195"/>
    </row>
    <row r="8" spans="2:19">
      <c r="B8" s="1674"/>
      <c r="C8" s="1675" t="s">
        <v>269</v>
      </c>
      <c r="D8" s="538"/>
      <c r="E8" s="539"/>
      <c r="F8" s="1683"/>
      <c r="G8" s="540"/>
    </row>
    <row r="9" spans="2:19">
      <c r="B9" s="1674">
        <v>1</v>
      </c>
      <c r="C9" s="2558" t="s">
        <v>270</v>
      </c>
      <c r="D9" s="2559">
        <f t="shared" ref="D9:G13" si="0">+D59+D109+D159+D209+D259+D309+D359+D409+D459+D509+D559+D609+D659+D710</f>
        <v>390347</v>
      </c>
      <c r="E9" s="2559">
        <f t="shared" si="0"/>
        <v>0</v>
      </c>
      <c r="F9" s="2560">
        <f>+D9+E9</f>
        <v>390347</v>
      </c>
      <c r="G9" s="2559">
        <f t="shared" si="0"/>
        <v>0</v>
      </c>
      <c r="I9" s="396"/>
      <c r="J9" s="604"/>
      <c r="K9" s="396"/>
      <c r="L9" s="604"/>
      <c r="M9" s="396"/>
      <c r="N9" s="3348"/>
      <c r="O9" s="396"/>
      <c r="P9" s="396"/>
      <c r="Q9" s="396"/>
      <c r="R9" s="396"/>
      <c r="S9" s="396"/>
    </row>
    <row r="10" spans="2:19">
      <c r="B10" s="1674">
        <v>2</v>
      </c>
      <c r="C10" s="2558" t="s">
        <v>271</v>
      </c>
      <c r="D10" s="2559">
        <f t="shared" si="0"/>
        <v>1874638</v>
      </c>
      <c r="E10" s="2559">
        <f>+E60+E110+E160+E210+E260+E310+E360+E410+E460+E510+E560+E610+E660+E711</f>
        <v>0</v>
      </c>
      <c r="F10" s="2560">
        <f t="shared" ref="F10:F48" si="1">+D10+E10</f>
        <v>1874638</v>
      </c>
      <c r="G10" s="2559">
        <f>+G60+G110+G160+G210+G260+G310+G360+G410+G460+G510+G560+G610+G660+G711</f>
        <v>0</v>
      </c>
      <c r="I10" s="396"/>
      <c r="J10" s="604"/>
      <c r="K10" s="396"/>
      <c r="L10" s="604"/>
      <c r="M10" s="396"/>
      <c r="N10" s="3348"/>
      <c r="O10" s="396"/>
      <c r="P10" s="396"/>
      <c r="Q10" s="396"/>
      <c r="R10" s="396"/>
      <c r="S10" s="396"/>
    </row>
    <row r="11" spans="2:19">
      <c r="B11" s="1674">
        <v>3</v>
      </c>
      <c r="C11" s="2558" t="s">
        <v>272</v>
      </c>
      <c r="D11" s="2559">
        <f t="shared" si="0"/>
        <v>899509</v>
      </c>
      <c r="E11" s="2559">
        <f>+E61+E111+E161+E211+E261+E311+E361+E411+E461+E511+E561+E611+E661+E712</f>
        <v>0</v>
      </c>
      <c r="F11" s="2560">
        <f t="shared" si="1"/>
        <v>899509</v>
      </c>
      <c r="G11" s="2559">
        <f>+G61+G111+G161+G211+G261+G311+G361+G411+G461+G511+G561+G611+G661+G712</f>
        <v>0</v>
      </c>
      <c r="I11" s="396"/>
      <c r="J11" s="604"/>
      <c r="K11" s="396"/>
      <c r="L11" s="604"/>
      <c r="M11" s="396"/>
      <c r="N11" s="3348"/>
      <c r="O11" s="396"/>
      <c r="P11" s="396"/>
      <c r="Q11" s="396"/>
      <c r="R11" s="396"/>
      <c r="S11" s="396"/>
    </row>
    <row r="12" spans="2:19">
      <c r="B12" s="1674">
        <v>4</v>
      </c>
      <c r="C12" s="2558" t="s">
        <v>273</v>
      </c>
      <c r="D12" s="2559">
        <f t="shared" si="0"/>
        <v>1465820</v>
      </c>
      <c r="E12" s="2559">
        <f>+E62+E112+E162+E212+E262+E312+E362+E412+E462+E512+E562+E612+E662+E713</f>
        <v>61043</v>
      </c>
      <c r="F12" s="2560">
        <f t="shared" si="1"/>
        <v>1526863</v>
      </c>
      <c r="G12" s="2559">
        <f>+G62+G112+G162+G212+G262+G312+G362+G412+G462+G512+G562+G612+G662+G713</f>
        <v>0</v>
      </c>
      <c r="I12" s="396"/>
      <c r="J12" s="604"/>
      <c r="K12" s="396"/>
      <c r="L12" s="604"/>
      <c r="M12" s="396"/>
      <c r="N12" s="3348"/>
      <c r="O12" s="396"/>
      <c r="P12" s="396"/>
      <c r="Q12" s="396"/>
      <c r="R12" s="396"/>
      <c r="S12" s="396"/>
    </row>
    <row r="13" spans="2:19">
      <c r="B13" s="1674">
        <v>5</v>
      </c>
      <c r="C13" s="2558" t="s">
        <v>237</v>
      </c>
      <c r="D13" s="2559">
        <f t="shared" si="0"/>
        <v>19139045</v>
      </c>
      <c r="E13" s="2559">
        <f>+E63+E113+E163+E213+E263+E313+E363+E413+E463+E513+E563+E613+E663+E714</f>
        <v>12529</v>
      </c>
      <c r="F13" s="2560">
        <f t="shared" si="1"/>
        <v>19151574</v>
      </c>
      <c r="G13" s="2559">
        <f>+G63+G113+G163+G213+G263+G313+G363+G413+G463+G513+G563+G613+G663+G714</f>
        <v>0</v>
      </c>
      <c r="I13" s="396"/>
      <c r="J13" s="604"/>
      <c r="K13" s="396"/>
      <c r="L13" s="604"/>
      <c r="M13" s="396"/>
      <c r="N13" s="3348"/>
      <c r="O13" s="396"/>
      <c r="P13" s="396"/>
      <c r="Q13" s="396"/>
      <c r="R13" s="396"/>
      <c r="S13" s="396"/>
    </row>
    <row r="14" spans="2:19">
      <c r="B14" s="1674">
        <v>6</v>
      </c>
      <c r="C14" s="2558" t="s">
        <v>275</v>
      </c>
      <c r="D14" s="2559">
        <f>+D64+D114+D164+D214+D264+D314+D364+D414+D464+D514+D564+D614+D664+D715</f>
        <v>2203600</v>
      </c>
      <c r="E14" s="2559">
        <f>+E64+E114+E164+E214+E264+E314+E364+E414+E464+E514+E564+E614+E664+E715</f>
        <v>0</v>
      </c>
      <c r="F14" s="2560">
        <f t="shared" si="1"/>
        <v>2203600</v>
      </c>
      <c r="G14" s="2559">
        <f>+G64+G114+G164+G214+G264+G314+G364+G414+G464+G514+G564+G614+G664+G715</f>
        <v>0</v>
      </c>
      <c r="I14" s="396"/>
      <c r="J14" s="604"/>
      <c r="K14" s="396"/>
      <c r="L14" s="604"/>
      <c r="M14" s="396"/>
      <c r="N14" s="3348"/>
      <c r="O14" s="396"/>
      <c r="P14" s="396"/>
      <c r="Q14" s="396"/>
      <c r="R14" s="396"/>
      <c r="S14" s="396"/>
    </row>
    <row r="15" spans="2:19">
      <c r="B15" s="1674">
        <v>7</v>
      </c>
      <c r="C15" s="2558" t="s">
        <v>276</v>
      </c>
      <c r="D15" s="2559">
        <f>SUM(D16:D17)</f>
        <v>21741980</v>
      </c>
      <c r="E15" s="2559">
        <f t="shared" ref="E15:G15" si="2">SUM(E16:E17)</f>
        <v>0</v>
      </c>
      <c r="F15" s="2560">
        <f t="shared" si="1"/>
        <v>21741980</v>
      </c>
      <c r="G15" s="2559">
        <f t="shared" si="2"/>
        <v>0</v>
      </c>
      <c r="I15" s="396"/>
      <c r="J15" s="604"/>
      <c r="K15" s="396"/>
      <c r="L15" s="604"/>
      <c r="M15" s="396"/>
      <c r="N15" s="3348"/>
      <c r="O15" s="396"/>
      <c r="P15" s="396"/>
      <c r="Q15" s="396"/>
      <c r="R15" s="396"/>
      <c r="S15" s="396"/>
    </row>
    <row r="16" spans="2:19">
      <c r="B16" s="1674"/>
      <c r="C16" s="2558" t="s">
        <v>377</v>
      </c>
      <c r="D16" s="2559">
        <f>+D66+D116+D166+D216+D266+D316+D366+D416+D466+D516+D566+D616+D666+D717</f>
        <v>955760</v>
      </c>
      <c r="E16" s="2559">
        <f>+E66+E116+E166+E216+E266+E316+E366+E416+E466+E516+E566+E616+E666+E717</f>
        <v>0</v>
      </c>
      <c r="F16" s="2560">
        <f t="shared" si="1"/>
        <v>955760</v>
      </c>
      <c r="G16" s="2559">
        <f>+G66+G116+G166+G216+G266+G316+G366+G416+G466+G516+G566+G616+G666+G717</f>
        <v>0</v>
      </c>
      <c r="I16" s="396"/>
      <c r="J16" s="604"/>
      <c r="K16" s="396"/>
      <c r="L16" s="604"/>
      <c r="M16" s="396"/>
      <c r="N16" s="3348"/>
      <c r="O16" s="396"/>
      <c r="P16" s="396"/>
      <c r="Q16" s="396"/>
      <c r="R16" s="396"/>
      <c r="S16" s="396"/>
    </row>
    <row r="17" spans="2:19">
      <c r="B17" s="1674"/>
      <c r="C17" s="2561" t="s">
        <v>378</v>
      </c>
      <c r="D17" s="2559">
        <f>+D67+D117+D167+D217+D267+D317+D367+D417+D467+D517+D567+D617+D667+D718</f>
        <v>20786220</v>
      </c>
      <c r="E17" s="2559">
        <f>+E67+E117+E167+E217+E267+E317+E367+E417+E467+E517+E567+E617+E667+E718</f>
        <v>0</v>
      </c>
      <c r="F17" s="2560">
        <f t="shared" si="1"/>
        <v>20786220</v>
      </c>
      <c r="G17" s="2559">
        <f>+G67+G117+G167+G217+G267+G317+G367+G417+G467+G517+G567+G617+G667+G718</f>
        <v>0</v>
      </c>
      <c r="I17" s="396"/>
      <c r="J17" s="604"/>
      <c r="K17" s="396"/>
      <c r="L17" s="604"/>
      <c r="M17" s="396"/>
      <c r="N17" s="3348"/>
      <c r="O17" s="396"/>
      <c r="P17" s="396"/>
      <c r="Q17" s="396"/>
      <c r="R17" s="396"/>
      <c r="S17" s="396"/>
    </row>
    <row r="18" spans="2:19">
      <c r="B18" s="1674">
        <v>8</v>
      </c>
      <c r="C18" s="2561" t="s">
        <v>379</v>
      </c>
      <c r="D18" s="2559">
        <f>SUM(D19:D20)</f>
        <v>231706</v>
      </c>
      <c r="E18" s="2559">
        <f t="shared" ref="E18:G18" si="3">SUM(E19:E20)</f>
        <v>0</v>
      </c>
      <c r="F18" s="2560">
        <f t="shared" si="1"/>
        <v>231706</v>
      </c>
      <c r="G18" s="2559">
        <f t="shared" si="3"/>
        <v>0</v>
      </c>
      <c r="I18" s="396"/>
      <c r="J18" s="604"/>
      <c r="K18" s="396"/>
      <c r="L18" s="604"/>
      <c r="M18" s="396"/>
      <c r="N18" s="3348"/>
      <c r="O18" s="396"/>
      <c r="P18" s="396"/>
      <c r="Q18" s="396"/>
      <c r="R18" s="396"/>
      <c r="S18" s="396"/>
    </row>
    <row r="19" spans="2:19">
      <c r="B19" s="1674"/>
      <c r="C19" s="2558" t="s">
        <v>380</v>
      </c>
      <c r="D19" s="2559">
        <f>+D69+D119+D169+D219+D269+D319+D369+D419+D469+D519+D569+D619+D669+D720</f>
        <v>0</v>
      </c>
      <c r="E19" s="2559">
        <f>+E69+E119+E169+E219+E269+E319+E369+E419+E469+E519+E569+E619+E669+E720</f>
        <v>0</v>
      </c>
      <c r="F19" s="2560">
        <f t="shared" si="1"/>
        <v>0</v>
      </c>
      <c r="G19" s="2559">
        <f>+G69+G119+G169+G219+G269+G319+G369+G419+G469+G519+G569+G619+G669+G720</f>
        <v>0</v>
      </c>
      <c r="I19" s="396"/>
      <c r="J19" s="604"/>
      <c r="K19" s="396"/>
      <c r="L19" s="604"/>
      <c r="M19" s="396"/>
      <c r="N19" s="3348"/>
      <c r="O19" s="396"/>
      <c r="P19" s="396"/>
      <c r="Q19" s="396"/>
      <c r="R19" s="396"/>
      <c r="S19" s="396"/>
    </row>
    <row r="20" spans="2:19">
      <c r="B20" s="1674"/>
      <c r="C20" s="2561" t="s">
        <v>381</v>
      </c>
      <c r="D20" s="2559">
        <f>+D70+D120+D170+D220+D270+D320+D370+D420+D470+D520+D570+D620+D670+D721</f>
        <v>231706</v>
      </c>
      <c r="E20" s="2559">
        <f>+E70+E120+E170+E220+E270+E320+E370+E420+E470+E520+E570+E620+E670+E721</f>
        <v>0</v>
      </c>
      <c r="F20" s="2560">
        <f t="shared" si="1"/>
        <v>231706</v>
      </c>
      <c r="G20" s="2559">
        <f>+G70+G120+G170+G220+G270+G320+G370+G420+G470+G520+G570+G620+G670+G721</f>
        <v>0</v>
      </c>
      <c r="I20" s="396"/>
      <c r="J20" s="604"/>
      <c r="K20" s="396"/>
      <c r="L20" s="604"/>
      <c r="M20" s="396"/>
      <c r="N20" s="3348"/>
      <c r="O20" s="396"/>
      <c r="P20" s="396"/>
      <c r="Q20" s="396"/>
      <c r="R20" s="396"/>
      <c r="S20" s="396"/>
    </row>
    <row r="21" spans="2:19" ht="25.5">
      <c r="B21" s="1676">
        <v>9</v>
      </c>
      <c r="C21" s="2562" t="s">
        <v>282</v>
      </c>
      <c r="D21" s="2563">
        <f>SUM(D22:D25)</f>
        <v>118467432</v>
      </c>
      <c r="E21" s="2563">
        <f>SUM(E22:E25)</f>
        <v>19666178</v>
      </c>
      <c r="F21" s="2564">
        <f t="shared" si="1"/>
        <v>138133610</v>
      </c>
      <c r="G21" s="2563">
        <f t="shared" ref="G21" si="4">SUM(G22:G25)</f>
        <v>2087676</v>
      </c>
      <c r="I21" s="396"/>
      <c r="J21" s="604"/>
      <c r="K21" s="396"/>
      <c r="L21" s="604"/>
      <c r="M21" s="396"/>
      <c r="N21" s="3348"/>
      <c r="O21" s="396"/>
      <c r="P21" s="396"/>
      <c r="Q21" s="396"/>
      <c r="R21" s="396"/>
      <c r="S21" s="396"/>
    </row>
    <row r="22" spans="2:19">
      <c r="B22" s="1674">
        <v>10</v>
      </c>
      <c r="C22" s="2558" t="s">
        <v>283</v>
      </c>
      <c r="D22" s="2559">
        <f t="shared" ref="D22:G31" si="5">+D72+D122+D172+D222+D272+D322+D372+D422+D472+D522+D572+D622+D672+D723</f>
        <v>6371324</v>
      </c>
      <c r="E22" s="2559">
        <f t="shared" si="5"/>
        <v>29982</v>
      </c>
      <c r="F22" s="2560">
        <f t="shared" si="1"/>
        <v>6401306</v>
      </c>
      <c r="G22" s="2559">
        <f t="shared" si="5"/>
        <v>703316</v>
      </c>
      <c r="I22" s="396"/>
      <c r="J22" s="604"/>
      <c r="K22" s="396"/>
      <c r="L22" s="604"/>
      <c r="M22" s="396"/>
      <c r="N22" s="3348"/>
      <c r="O22" s="396"/>
      <c r="P22" s="396"/>
      <c r="Q22" s="396"/>
      <c r="R22" s="396"/>
      <c r="S22" s="396"/>
    </row>
    <row r="23" spans="2:19">
      <c r="B23" s="1674">
        <v>11</v>
      </c>
      <c r="C23" s="2558" t="s">
        <v>284</v>
      </c>
      <c r="D23" s="2559">
        <f t="shared" si="5"/>
        <v>55142375</v>
      </c>
      <c r="E23" s="2559">
        <f t="shared" ref="E23:G23" si="6">+E73+E123+E173+E223+E273+E323+E373+E423+E473+E523+E573+E623+E673+E723</f>
        <v>4522342</v>
      </c>
      <c r="F23" s="2560">
        <f t="shared" si="1"/>
        <v>59664717</v>
      </c>
      <c r="G23" s="2559">
        <f t="shared" si="6"/>
        <v>467416</v>
      </c>
      <c r="I23" s="396"/>
      <c r="J23" s="604"/>
      <c r="K23" s="396"/>
      <c r="L23" s="604"/>
      <c r="M23" s="396"/>
      <c r="N23" s="3348"/>
      <c r="O23" s="396"/>
      <c r="P23" s="396"/>
      <c r="Q23" s="396"/>
      <c r="R23" s="396"/>
      <c r="S23" s="396"/>
    </row>
    <row r="24" spans="2:19">
      <c r="B24" s="1674">
        <v>12</v>
      </c>
      <c r="C24" s="2558" t="s">
        <v>285</v>
      </c>
      <c r="D24" s="2559">
        <f t="shared" si="5"/>
        <v>47810348</v>
      </c>
      <c r="E24" s="2559">
        <f t="shared" si="5"/>
        <v>15113854</v>
      </c>
      <c r="F24" s="2560">
        <f t="shared" si="1"/>
        <v>62924202</v>
      </c>
      <c r="G24" s="2559">
        <f t="shared" si="5"/>
        <v>916944</v>
      </c>
      <c r="I24" s="396"/>
      <c r="J24" s="604"/>
      <c r="K24" s="396"/>
      <c r="L24" s="604"/>
      <c r="M24" s="396"/>
      <c r="N24" s="3348"/>
      <c r="O24" s="396"/>
      <c r="P24" s="396"/>
      <c r="Q24" s="396"/>
      <c r="R24" s="396"/>
      <c r="S24" s="396"/>
    </row>
    <row r="25" spans="2:19" ht="25.5">
      <c r="B25" s="1674">
        <v>13</v>
      </c>
      <c r="C25" s="2558" t="s">
        <v>286</v>
      </c>
      <c r="D25" s="2559">
        <f t="shared" si="5"/>
        <v>9143385</v>
      </c>
      <c r="E25" s="2559">
        <f t="shared" ref="E25:G25" si="7">+E75+E125+E175+E225+E275+E325+E375+E425+E475+E525+E575+E675+E726</f>
        <v>0</v>
      </c>
      <c r="F25" s="2560">
        <f t="shared" si="1"/>
        <v>9143385</v>
      </c>
      <c r="G25" s="2559">
        <f t="shared" si="7"/>
        <v>0</v>
      </c>
      <c r="I25" s="396"/>
      <c r="J25" s="604"/>
      <c r="K25" s="396"/>
      <c r="L25" s="604"/>
      <c r="M25" s="396"/>
      <c r="N25" s="3348"/>
      <c r="O25" s="396"/>
      <c r="P25" s="396"/>
      <c r="Q25" s="396"/>
      <c r="R25" s="396"/>
      <c r="S25" s="396"/>
    </row>
    <row r="26" spans="2:19">
      <c r="B26" s="1674">
        <v>14</v>
      </c>
      <c r="C26" s="2178" t="s">
        <v>287</v>
      </c>
      <c r="D26" s="2559">
        <f t="shared" si="5"/>
        <v>0</v>
      </c>
      <c r="E26" s="2559">
        <f t="shared" si="5"/>
        <v>0</v>
      </c>
      <c r="F26" s="2560">
        <f t="shared" si="1"/>
        <v>0</v>
      </c>
      <c r="G26" s="2559">
        <f t="shared" ref="G26:G31" si="8">+G76+G126+G176+G226+G276+G326+G376+G426+G476+G526+G576+G626+G676+G727</f>
        <v>0</v>
      </c>
      <c r="I26" s="396"/>
      <c r="J26" s="604"/>
      <c r="K26" s="396"/>
      <c r="L26" s="604"/>
      <c r="M26" s="396"/>
      <c r="N26" s="3348"/>
      <c r="O26" s="396"/>
      <c r="P26" s="396"/>
      <c r="Q26" s="396"/>
      <c r="R26" s="396"/>
      <c r="S26" s="396"/>
    </row>
    <row r="27" spans="2:19">
      <c r="B27" s="1674">
        <v>15</v>
      </c>
      <c r="C27" s="2178" t="s">
        <v>288</v>
      </c>
      <c r="D27" s="2559">
        <f t="shared" si="5"/>
        <v>14616889</v>
      </c>
      <c r="E27" s="2559">
        <f t="shared" si="5"/>
        <v>0</v>
      </c>
      <c r="F27" s="2560">
        <f t="shared" si="1"/>
        <v>14616889</v>
      </c>
      <c r="G27" s="2559">
        <f t="shared" si="8"/>
        <v>1082149</v>
      </c>
      <c r="I27" s="396"/>
      <c r="J27" s="604"/>
      <c r="K27" s="396"/>
      <c r="L27" s="604"/>
      <c r="M27" s="396"/>
      <c r="N27" s="3348"/>
      <c r="O27" s="396"/>
      <c r="P27" s="396"/>
      <c r="Q27" s="396"/>
      <c r="R27" s="396"/>
      <c r="S27" s="396"/>
    </row>
    <row r="28" spans="2:19">
      <c r="B28" s="1674">
        <v>16</v>
      </c>
      <c r="C28" s="2178" t="s">
        <v>289</v>
      </c>
      <c r="D28" s="2559">
        <f t="shared" si="5"/>
        <v>26502260</v>
      </c>
      <c r="E28" s="2559">
        <f t="shared" si="5"/>
        <v>2171519</v>
      </c>
      <c r="F28" s="2560">
        <f t="shared" si="1"/>
        <v>28673779</v>
      </c>
      <c r="G28" s="2559">
        <f t="shared" si="8"/>
        <v>1590481</v>
      </c>
      <c r="I28" s="396"/>
      <c r="J28" s="604"/>
      <c r="K28" s="396"/>
      <c r="L28" s="604"/>
      <c r="M28" s="396"/>
      <c r="N28" s="3348"/>
      <c r="O28" s="396"/>
      <c r="P28" s="396"/>
      <c r="Q28" s="396"/>
      <c r="R28" s="396"/>
      <c r="S28" s="396"/>
    </row>
    <row r="29" spans="2:19" s="295" customFormat="1">
      <c r="B29" s="1674">
        <v>17</v>
      </c>
      <c r="C29" s="2561" t="s">
        <v>229</v>
      </c>
      <c r="D29" s="2559">
        <f t="shared" si="5"/>
        <v>8542242</v>
      </c>
      <c r="E29" s="2559">
        <f t="shared" si="5"/>
        <v>1049259</v>
      </c>
      <c r="F29" s="2560">
        <f t="shared" si="1"/>
        <v>9591501</v>
      </c>
      <c r="G29" s="2559">
        <f t="shared" si="8"/>
        <v>24</v>
      </c>
      <c r="H29" s="292"/>
      <c r="I29" s="396"/>
      <c r="J29" s="604"/>
      <c r="K29" s="396"/>
      <c r="L29" s="604"/>
      <c r="M29" s="396"/>
      <c r="N29" s="3348"/>
      <c r="O29" s="396"/>
      <c r="P29" s="396"/>
      <c r="Q29" s="396"/>
      <c r="R29" s="396"/>
      <c r="S29" s="396"/>
    </row>
    <row r="30" spans="2:19">
      <c r="B30" s="1674">
        <v>18</v>
      </c>
      <c r="C30" s="2558" t="s">
        <v>382</v>
      </c>
      <c r="D30" s="2559">
        <f t="shared" si="5"/>
        <v>3013910</v>
      </c>
      <c r="E30" s="2559">
        <f t="shared" si="5"/>
        <v>526263</v>
      </c>
      <c r="F30" s="2560">
        <f t="shared" si="1"/>
        <v>3540173</v>
      </c>
      <c r="G30" s="2559">
        <f t="shared" si="8"/>
        <v>252059</v>
      </c>
      <c r="I30" s="396"/>
      <c r="J30" s="604"/>
      <c r="K30" s="396"/>
      <c r="L30" s="604"/>
      <c r="M30" s="396"/>
      <c r="N30" s="3348"/>
      <c r="O30" s="396"/>
      <c r="P30" s="396"/>
      <c r="Q30" s="396"/>
      <c r="R30" s="396"/>
      <c r="S30" s="396"/>
    </row>
    <row r="31" spans="2:19" ht="13.5" thickBot="1">
      <c r="B31" s="1674">
        <v>19</v>
      </c>
      <c r="C31" s="2561" t="s">
        <v>230</v>
      </c>
      <c r="D31" s="2565">
        <f t="shared" si="5"/>
        <v>7608809</v>
      </c>
      <c r="E31" s="2565">
        <f t="shared" si="5"/>
        <v>32515</v>
      </c>
      <c r="F31" s="2566">
        <f t="shared" si="1"/>
        <v>7641324</v>
      </c>
      <c r="G31" s="2565">
        <f t="shared" si="8"/>
        <v>520519</v>
      </c>
      <c r="I31" s="396"/>
      <c r="J31" s="604"/>
      <c r="K31" s="396"/>
      <c r="L31" s="604"/>
      <c r="M31" s="396"/>
      <c r="N31" s="3348"/>
      <c r="O31" s="396"/>
      <c r="P31" s="396"/>
      <c r="Q31" s="396"/>
      <c r="R31" s="396"/>
      <c r="S31" s="396"/>
    </row>
    <row r="32" spans="2:19" ht="26.25" thickBot="1">
      <c r="B32" s="1686">
        <v>20</v>
      </c>
      <c r="C32" s="1687" t="s">
        <v>383</v>
      </c>
      <c r="D32" s="1688">
        <f>+D9+D10+D11+D13+D14+D15+D18+D21+D26+D27+D28+D29+D30+D31+D12</f>
        <v>226698187</v>
      </c>
      <c r="E32" s="1688">
        <f>+E9+E10+E11+E13+E14+E15+E18+E21+E26+E27+E28+E29+E30+E31+E12</f>
        <v>23519306</v>
      </c>
      <c r="F32" s="1688">
        <f>+D32+E32</f>
        <v>250217493</v>
      </c>
      <c r="G32" s="1688">
        <f>+G9+G10+G11+G13+G14+G15+G18+G21+G26+G27+G28+G29+G30+G31</f>
        <v>5532908</v>
      </c>
      <c r="I32" s="396"/>
      <c r="J32" s="604"/>
      <c r="K32" s="396"/>
      <c r="L32" s="604"/>
      <c r="M32" s="396"/>
      <c r="N32" s="3348"/>
      <c r="O32" s="396"/>
      <c r="P32" s="396"/>
      <c r="Q32" s="396"/>
      <c r="R32" s="396"/>
      <c r="S32" s="396"/>
    </row>
    <row r="33" spans="2:19">
      <c r="B33" s="1674"/>
      <c r="C33" s="1678" t="s">
        <v>294</v>
      </c>
      <c r="D33" s="542">
        <f>+D83+D133+D183+D233+D283+D333+D383+D433+D483+D533+D583+D633+D683+D734</f>
        <v>0</v>
      </c>
      <c r="E33" s="543">
        <v>0</v>
      </c>
      <c r="F33" s="1685">
        <f t="shared" si="1"/>
        <v>0</v>
      </c>
      <c r="G33" s="544">
        <v>0</v>
      </c>
      <c r="I33" s="396"/>
      <c r="J33" s="604"/>
      <c r="K33" s="396"/>
      <c r="L33" s="604"/>
      <c r="M33" s="396"/>
      <c r="N33" s="3348"/>
      <c r="O33" s="396"/>
      <c r="P33" s="396"/>
      <c r="Q33" s="396"/>
      <c r="R33" s="396"/>
      <c r="S33" s="396"/>
    </row>
    <row r="34" spans="2:19">
      <c r="B34" s="1674"/>
      <c r="C34" s="1679" t="s">
        <v>295</v>
      </c>
      <c r="D34" s="2567">
        <f t="shared" ref="D34:E48" si="9">+D84+D134+D184+D234+D284+D334+D384+D434+D484+D534+D584+D634+D684+D735</f>
        <v>0</v>
      </c>
      <c r="E34" s="2568">
        <v>0</v>
      </c>
      <c r="F34" s="2560">
        <f t="shared" si="1"/>
        <v>0</v>
      </c>
      <c r="G34" s="2559">
        <v>0</v>
      </c>
      <c r="I34" s="396"/>
      <c r="J34" s="604"/>
      <c r="K34" s="396"/>
      <c r="L34" s="604"/>
      <c r="M34" s="396"/>
      <c r="N34" s="3348"/>
      <c r="O34" s="396"/>
      <c r="P34" s="396"/>
      <c r="Q34" s="396"/>
      <c r="R34" s="396"/>
      <c r="S34" s="396"/>
    </row>
    <row r="35" spans="2:19">
      <c r="B35" s="1674">
        <v>21</v>
      </c>
      <c r="C35" s="2569" t="s">
        <v>296</v>
      </c>
      <c r="D35" s="2567">
        <f t="shared" si="9"/>
        <v>80306021</v>
      </c>
      <c r="E35" s="2568">
        <f>+E85+E135+E185+E235+E285+E335+E385+E435+E485+E535+E585+E635+E685+E736</f>
        <v>3383563</v>
      </c>
      <c r="F35" s="2560">
        <f t="shared" si="1"/>
        <v>83689584</v>
      </c>
      <c r="G35" s="2559">
        <f>+G85+G135+G185+G235+G285+G335+G385+G435+G485+G535+G585+G635+G685+G736</f>
        <v>4327311</v>
      </c>
      <c r="I35" s="396"/>
      <c r="J35" s="604"/>
      <c r="K35" s="396"/>
      <c r="L35" s="604"/>
      <c r="M35" s="396"/>
      <c r="N35" s="3348"/>
      <c r="O35" s="396"/>
      <c r="P35" s="396"/>
      <c r="Q35" s="396"/>
      <c r="R35" s="396"/>
      <c r="S35" s="396"/>
    </row>
    <row r="36" spans="2:19">
      <c r="B36" s="1674">
        <v>22</v>
      </c>
      <c r="C36" s="2570" t="s">
        <v>297</v>
      </c>
      <c r="D36" s="2567">
        <f t="shared" si="9"/>
        <v>1976434</v>
      </c>
      <c r="E36" s="2568">
        <f t="shared" si="9"/>
        <v>0</v>
      </c>
      <c r="F36" s="2560">
        <f t="shared" si="1"/>
        <v>1976434</v>
      </c>
      <c r="G36" s="2559">
        <f t="shared" ref="G36:G47" si="10">+G86+G136+G186+G236+G286+G336+G386+G436+G486+G536+G586+G636+G686+G737</f>
        <v>0</v>
      </c>
      <c r="I36" s="396"/>
      <c r="J36" s="604"/>
      <c r="K36" s="396"/>
      <c r="L36" s="604"/>
      <c r="M36" s="396"/>
      <c r="N36" s="3348"/>
      <c r="O36" s="396"/>
      <c r="P36" s="396"/>
      <c r="Q36" s="396"/>
      <c r="R36" s="396"/>
      <c r="S36" s="396"/>
    </row>
    <row r="37" spans="2:19">
      <c r="B37" s="1674">
        <v>23</v>
      </c>
      <c r="C37" s="2570" t="s">
        <v>298</v>
      </c>
      <c r="D37" s="2567">
        <f t="shared" si="9"/>
        <v>13488563</v>
      </c>
      <c r="E37" s="2568">
        <f t="shared" si="9"/>
        <v>7371</v>
      </c>
      <c r="F37" s="2560">
        <f t="shared" si="1"/>
        <v>13495934</v>
      </c>
      <c r="G37" s="2559">
        <f t="shared" si="10"/>
        <v>774131</v>
      </c>
      <c r="I37" s="396"/>
      <c r="J37" s="604"/>
      <c r="K37" s="396"/>
      <c r="L37" s="604"/>
      <c r="M37" s="396"/>
      <c r="N37" s="3348"/>
      <c r="O37" s="396"/>
      <c r="P37" s="396"/>
      <c r="Q37" s="396"/>
      <c r="R37" s="396"/>
      <c r="S37" s="396"/>
    </row>
    <row r="38" spans="2:19">
      <c r="B38" s="1674">
        <v>24</v>
      </c>
      <c r="C38" s="2570" t="s">
        <v>299</v>
      </c>
      <c r="D38" s="2567">
        <f t="shared" si="9"/>
        <v>1297868</v>
      </c>
      <c r="E38" s="2568">
        <f t="shared" si="9"/>
        <v>0</v>
      </c>
      <c r="F38" s="2560">
        <f t="shared" si="1"/>
        <v>1297868</v>
      </c>
      <c r="G38" s="2559">
        <f t="shared" si="10"/>
        <v>0</v>
      </c>
      <c r="I38" s="396"/>
      <c r="J38" s="604"/>
      <c r="K38" s="396"/>
      <c r="L38" s="604"/>
      <c r="M38" s="396"/>
      <c r="N38" s="3348"/>
      <c r="O38" s="396"/>
      <c r="P38" s="396"/>
      <c r="Q38" s="396"/>
      <c r="R38" s="396"/>
      <c r="S38" s="396"/>
    </row>
    <row r="39" spans="2:19">
      <c r="B39" s="1674">
        <v>25</v>
      </c>
      <c r="C39" s="2569" t="s">
        <v>300</v>
      </c>
      <c r="D39" s="2567">
        <f t="shared" si="9"/>
        <v>557007</v>
      </c>
      <c r="E39" s="2568">
        <f t="shared" si="9"/>
        <v>84370</v>
      </c>
      <c r="F39" s="2560">
        <f t="shared" si="1"/>
        <v>641377</v>
      </c>
      <c r="G39" s="2559">
        <f t="shared" si="10"/>
        <v>0</v>
      </c>
      <c r="I39" s="396"/>
      <c r="J39" s="604"/>
      <c r="K39" s="396"/>
      <c r="L39" s="604"/>
      <c r="M39" s="396"/>
      <c r="N39" s="3348"/>
      <c r="O39" s="396"/>
      <c r="P39" s="396"/>
      <c r="Q39" s="396"/>
      <c r="R39" s="396"/>
      <c r="S39" s="396"/>
    </row>
    <row r="40" spans="2:19" ht="13.5" thickBot="1">
      <c r="B40" s="1674">
        <v>26</v>
      </c>
      <c r="C40" s="2571" t="s">
        <v>301</v>
      </c>
      <c r="D40" s="2572">
        <f t="shared" si="9"/>
        <v>23539397</v>
      </c>
      <c r="E40" s="1309">
        <f t="shared" si="9"/>
        <v>1317112</v>
      </c>
      <c r="F40" s="2566">
        <f t="shared" si="1"/>
        <v>24856509</v>
      </c>
      <c r="G40" s="2565">
        <f t="shared" si="10"/>
        <v>43481</v>
      </c>
      <c r="I40" s="396"/>
      <c r="J40" s="604"/>
      <c r="K40" s="396"/>
      <c r="L40" s="604"/>
      <c r="M40" s="396"/>
      <c r="N40" s="3348"/>
      <c r="O40" s="396"/>
      <c r="P40" s="396"/>
      <c r="Q40" s="396"/>
      <c r="R40" s="396"/>
      <c r="S40" s="396"/>
    </row>
    <row r="41" spans="2:19" ht="13.5" thickBot="1">
      <c r="B41" s="1677">
        <v>27</v>
      </c>
      <c r="C41" s="1680" t="s">
        <v>384</v>
      </c>
      <c r="D41" s="545">
        <f t="shared" si="9"/>
        <v>121165290</v>
      </c>
      <c r="E41" s="628">
        <f t="shared" si="9"/>
        <v>4792416</v>
      </c>
      <c r="F41" s="1684">
        <f t="shared" si="1"/>
        <v>125957706</v>
      </c>
      <c r="G41" s="541">
        <f t="shared" si="10"/>
        <v>5144923</v>
      </c>
      <c r="I41" s="396"/>
      <c r="J41" s="604"/>
      <c r="K41" s="396"/>
      <c r="L41" s="604"/>
      <c r="M41" s="396"/>
      <c r="N41" s="3348"/>
      <c r="O41" s="396"/>
      <c r="P41" s="396"/>
      <c r="Q41" s="396"/>
      <c r="R41" s="396"/>
      <c r="S41" s="396"/>
    </row>
    <row r="42" spans="2:19">
      <c r="B42" s="1674"/>
      <c r="C42" s="1681" t="s">
        <v>385</v>
      </c>
      <c r="D42" s="542">
        <f>+D92+D142+D192+D242+D292+D342+D392+D442+D492+D542+D592+D642+D692+D743</f>
        <v>0</v>
      </c>
      <c r="E42" s="543">
        <f t="shared" si="9"/>
        <v>0</v>
      </c>
      <c r="F42" s="1685">
        <f t="shared" si="1"/>
        <v>0</v>
      </c>
      <c r="G42" s="544">
        <f t="shared" si="10"/>
        <v>0</v>
      </c>
      <c r="I42" s="396"/>
      <c r="J42" s="604"/>
      <c r="K42" s="396"/>
      <c r="L42" s="604"/>
      <c r="M42" s="396"/>
      <c r="N42" s="3348"/>
      <c r="O42" s="396"/>
      <c r="P42" s="396"/>
      <c r="Q42" s="396"/>
      <c r="R42" s="396"/>
      <c r="S42" s="396"/>
    </row>
    <row r="43" spans="2:19" s="295" customFormat="1">
      <c r="B43" s="1674">
        <v>28</v>
      </c>
      <c r="C43" s="2569" t="s">
        <v>386</v>
      </c>
      <c r="D43" s="2567">
        <f t="shared" si="9"/>
        <v>30074456</v>
      </c>
      <c r="E43" s="2568">
        <f t="shared" si="9"/>
        <v>0</v>
      </c>
      <c r="F43" s="2560">
        <f t="shared" si="1"/>
        <v>30074456</v>
      </c>
      <c r="G43" s="2559">
        <f t="shared" si="10"/>
        <v>0</v>
      </c>
      <c r="H43" s="292"/>
      <c r="I43" s="396"/>
      <c r="J43" s="604"/>
      <c r="K43" s="396"/>
      <c r="L43" s="604"/>
      <c r="M43" s="396"/>
      <c r="N43" s="3348"/>
      <c r="O43" s="396"/>
      <c r="P43" s="396"/>
      <c r="Q43" s="396"/>
      <c r="R43" s="396"/>
      <c r="S43" s="396"/>
    </row>
    <row r="44" spans="2:19">
      <c r="B44" s="1674">
        <v>29</v>
      </c>
      <c r="C44" s="2569" t="s">
        <v>305</v>
      </c>
      <c r="D44" s="2567">
        <f t="shared" si="9"/>
        <v>9475162</v>
      </c>
      <c r="E44" s="2568">
        <f t="shared" si="9"/>
        <v>0</v>
      </c>
      <c r="F44" s="2560">
        <f t="shared" si="1"/>
        <v>9475162</v>
      </c>
      <c r="G44" s="2559">
        <f t="shared" si="10"/>
        <v>0</v>
      </c>
      <c r="I44" s="396"/>
      <c r="J44" s="604"/>
      <c r="K44" s="396"/>
      <c r="L44" s="604"/>
      <c r="M44" s="396"/>
      <c r="N44" s="3348"/>
      <c r="O44" s="396"/>
      <c r="P44" s="396"/>
      <c r="Q44" s="396"/>
      <c r="R44" s="396"/>
      <c r="S44" s="396"/>
    </row>
    <row r="45" spans="2:19">
      <c r="B45" s="1674">
        <v>30</v>
      </c>
      <c r="C45" s="2573" t="s">
        <v>306</v>
      </c>
      <c r="D45" s="2567">
        <f t="shared" si="9"/>
        <v>10629117</v>
      </c>
      <c r="E45" s="2568">
        <f>+E545</f>
        <v>0</v>
      </c>
      <c r="F45" s="2560">
        <f t="shared" si="1"/>
        <v>10629117</v>
      </c>
      <c r="G45" s="2559">
        <f t="shared" si="10"/>
        <v>0</v>
      </c>
      <c r="I45" s="396"/>
      <c r="J45" s="604"/>
      <c r="K45" s="396"/>
      <c r="L45" s="604"/>
      <c r="M45" s="396"/>
      <c r="N45" s="3348"/>
      <c r="O45" s="396"/>
      <c r="P45" s="396"/>
      <c r="Q45" s="396"/>
      <c r="R45" s="396"/>
      <c r="S45" s="396"/>
    </row>
    <row r="46" spans="2:19" ht="13.5" thickBot="1">
      <c r="B46" s="1674">
        <v>31</v>
      </c>
      <c r="C46" s="2573" t="s">
        <v>308</v>
      </c>
      <c r="D46" s="2567">
        <f t="shared" si="9"/>
        <v>55354162</v>
      </c>
      <c r="E46" s="2568">
        <f t="shared" si="9"/>
        <v>18726892</v>
      </c>
      <c r="F46" s="2560">
        <f t="shared" si="1"/>
        <v>74081054</v>
      </c>
      <c r="G46" s="2559">
        <f t="shared" si="10"/>
        <v>387985</v>
      </c>
      <c r="I46" s="396"/>
      <c r="J46" s="604"/>
      <c r="K46" s="396"/>
      <c r="L46" s="604"/>
      <c r="M46" s="396"/>
      <c r="N46" s="3348"/>
      <c r="O46" s="396"/>
      <c r="P46" s="396"/>
      <c r="Q46" s="396"/>
      <c r="R46" s="396"/>
      <c r="S46" s="396"/>
    </row>
    <row r="47" spans="2:19" ht="13.5" thickBot="1">
      <c r="B47" s="1677">
        <v>32</v>
      </c>
      <c r="C47" s="1682" t="s">
        <v>309</v>
      </c>
      <c r="D47" s="2572">
        <f t="shared" si="9"/>
        <v>105532898</v>
      </c>
      <c r="E47" s="1309">
        <f t="shared" si="9"/>
        <v>18726892</v>
      </c>
      <c r="F47" s="2566">
        <f t="shared" si="1"/>
        <v>124259790</v>
      </c>
      <c r="G47" s="2565">
        <f t="shared" si="10"/>
        <v>387985</v>
      </c>
      <c r="I47" s="396"/>
      <c r="J47" s="604"/>
      <c r="K47" s="396"/>
      <c r="L47" s="604"/>
      <c r="M47" s="396"/>
      <c r="N47" s="3348"/>
      <c r="O47" s="396"/>
      <c r="P47" s="396"/>
      <c r="Q47" s="396"/>
      <c r="R47" s="396"/>
      <c r="S47" s="396"/>
    </row>
    <row r="48" spans="2:19" ht="26.25" thickBot="1">
      <c r="B48" s="1689">
        <v>33</v>
      </c>
      <c r="C48" s="1690" t="s">
        <v>387</v>
      </c>
      <c r="D48" s="1691">
        <f t="shared" si="9"/>
        <v>226698190</v>
      </c>
      <c r="E48" s="1691">
        <f t="shared" si="9"/>
        <v>23519308</v>
      </c>
      <c r="F48" s="1691">
        <f t="shared" si="1"/>
        <v>250217498</v>
      </c>
      <c r="G48" s="1692">
        <f>+G98+G148+G198+G248+G298+G348+G398+G448+G498+G548+G598+G648+G698+G749</f>
        <v>5532908</v>
      </c>
      <c r="I48" s="396"/>
      <c r="J48" s="604"/>
      <c r="K48" s="396"/>
      <c r="L48" s="604"/>
      <c r="M48" s="396"/>
      <c r="N48" s="3348"/>
      <c r="O48" s="396"/>
      <c r="P48" s="396"/>
      <c r="Q48" s="396"/>
      <c r="R48" s="396"/>
      <c r="S48" s="396"/>
    </row>
    <row r="49" spans="2:19">
      <c r="C49" s="546"/>
      <c r="D49" s="518"/>
      <c r="E49" s="518"/>
      <c r="F49" s="518"/>
      <c r="G49" s="518"/>
      <c r="H49" s="396"/>
      <c r="I49" s="396"/>
      <c r="J49" s="396"/>
      <c r="K49" s="396"/>
      <c r="L49" s="396"/>
      <c r="M49" s="396"/>
      <c r="N49" s="3349"/>
      <c r="O49" s="396"/>
      <c r="P49" s="396"/>
      <c r="Q49" s="396"/>
      <c r="R49" s="396"/>
      <c r="S49" s="396"/>
    </row>
    <row r="50" spans="2:19" ht="25.5" customHeight="1">
      <c r="C50" s="3588" t="s">
        <v>388</v>
      </c>
      <c r="D50" s="3588"/>
      <c r="E50" s="3588"/>
      <c r="F50" s="396"/>
      <c r="G50" s="396"/>
      <c r="H50" s="396">
        <v>81</v>
      </c>
      <c r="I50" s="396"/>
      <c r="J50" s="396"/>
      <c r="K50" s="396"/>
      <c r="L50" s="396"/>
      <c r="M50" s="396"/>
      <c r="N50" s="3349"/>
      <c r="O50" s="396"/>
      <c r="P50" s="396"/>
      <c r="Q50" s="396"/>
      <c r="R50" s="396"/>
      <c r="S50" s="396"/>
    </row>
    <row r="51" spans="2:19">
      <c r="B51" s="196"/>
      <c r="C51" s="634"/>
      <c r="D51" s="383"/>
      <c r="E51" s="383"/>
      <c r="F51" s="293"/>
      <c r="I51" s="396"/>
      <c r="J51" s="396"/>
      <c r="K51" s="396"/>
      <c r="L51" s="396"/>
      <c r="M51" s="396"/>
      <c r="N51" s="3349"/>
      <c r="O51" s="396"/>
      <c r="P51" s="396"/>
      <c r="Q51" s="396"/>
      <c r="R51" s="396"/>
      <c r="S51" s="396"/>
    </row>
    <row r="52" spans="2:19">
      <c r="B52" s="236" t="s">
        <v>389</v>
      </c>
      <c r="C52" s="236"/>
      <c r="D52" s="236"/>
      <c r="E52" s="236"/>
      <c r="F52" s="236"/>
      <c r="I52" s="396"/>
      <c r="J52" s="396"/>
      <c r="K52" s="396"/>
      <c r="L52" s="396"/>
      <c r="M52" s="396"/>
      <c r="N52" s="3349"/>
      <c r="O52" s="396"/>
      <c r="P52" s="396"/>
      <c r="Q52" s="396"/>
      <c r="R52" s="396"/>
      <c r="S52" s="396"/>
    </row>
    <row r="53" spans="2:19" ht="13.5" thickBot="1">
      <c r="B53" s="51"/>
      <c r="C53" s="51"/>
      <c r="D53" s="51"/>
      <c r="E53" s="51"/>
      <c r="F53" s="51"/>
      <c r="I53" s="396"/>
      <c r="J53" s="396"/>
      <c r="K53" s="396"/>
      <c r="L53" s="396"/>
      <c r="M53" s="396"/>
      <c r="N53" s="3349"/>
      <c r="O53" s="396"/>
      <c r="P53" s="396"/>
      <c r="Q53" s="396"/>
      <c r="R53" s="396"/>
      <c r="S53" s="396"/>
    </row>
    <row r="54" spans="2:19" ht="13.5" thickBot="1">
      <c r="B54" s="3582" t="s">
        <v>390</v>
      </c>
      <c r="C54" s="3583"/>
      <c r="D54" s="425"/>
      <c r="E54" s="535"/>
      <c r="F54" s="535"/>
      <c r="G54" s="396"/>
      <c r="H54" s="396"/>
      <c r="I54" s="396"/>
      <c r="J54" s="396"/>
      <c r="K54" s="396"/>
      <c r="L54" s="396"/>
      <c r="M54" s="396"/>
      <c r="N54" s="3349"/>
      <c r="O54" s="396"/>
      <c r="P54" s="396"/>
      <c r="Q54" s="396"/>
      <c r="R54" s="396"/>
      <c r="S54" s="396"/>
    </row>
    <row r="55" spans="2:19">
      <c r="B55" s="3520" t="s">
        <v>372</v>
      </c>
      <c r="C55" s="3585"/>
      <c r="D55" s="3518" t="s">
        <v>391</v>
      </c>
      <c r="E55" s="274"/>
      <c r="I55" s="396"/>
      <c r="J55" s="396"/>
      <c r="K55" s="396"/>
      <c r="L55" s="396"/>
      <c r="M55" s="396"/>
      <c r="N55" s="3349"/>
      <c r="O55" s="396"/>
      <c r="P55" s="396"/>
      <c r="Q55" s="396"/>
      <c r="R55" s="396"/>
      <c r="S55" s="396"/>
    </row>
    <row r="56" spans="2:19">
      <c r="B56" s="3520"/>
      <c r="C56" s="3585"/>
      <c r="D56" s="3520"/>
      <c r="E56" s="443"/>
      <c r="I56" s="396"/>
      <c r="J56" s="396"/>
      <c r="K56" s="396"/>
      <c r="L56" s="396"/>
      <c r="M56" s="396"/>
      <c r="N56" s="3349"/>
      <c r="O56" s="396"/>
      <c r="P56" s="396"/>
      <c r="Q56" s="396"/>
      <c r="R56" s="396"/>
      <c r="S56" s="396"/>
    </row>
    <row r="57" spans="2:19">
      <c r="B57" s="3519"/>
      <c r="C57" s="3586"/>
      <c r="D57" s="3519"/>
      <c r="E57" s="443"/>
      <c r="I57" s="396"/>
      <c r="J57" s="396"/>
      <c r="K57" s="396"/>
      <c r="L57" s="396"/>
      <c r="M57" s="396"/>
      <c r="N57" s="396"/>
      <c r="O57" s="396"/>
      <c r="P57" s="396"/>
      <c r="Q57" s="396"/>
      <c r="R57" s="396"/>
      <c r="S57" s="396"/>
    </row>
    <row r="58" spans="2:19" ht="15">
      <c r="B58" s="1674"/>
      <c r="C58" s="1693" t="s">
        <v>269</v>
      </c>
      <c r="D58" s="754"/>
      <c r="E58" s="293"/>
      <c r="I58" s="396"/>
      <c r="J58" s="396"/>
      <c r="K58" s="396"/>
      <c r="L58" s="396"/>
      <c r="M58" s="396"/>
      <c r="N58" s="396"/>
      <c r="O58" s="396"/>
      <c r="P58" s="396"/>
      <c r="Q58" s="396"/>
      <c r="R58" s="396"/>
      <c r="S58" s="396"/>
    </row>
    <row r="59" spans="2:19" ht="15">
      <c r="B59" s="1674">
        <v>1</v>
      </c>
      <c r="C59" s="2558" t="s">
        <v>270</v>
      </c>
      <c r="D59" s="779"/>
      <c r="E59" s="530"/>
      <c r="F59" s="385"/>
      <c r="I59" s="396"/>
      <c r="J59" s="396"/>
      <c r="K59" s="396"/>
      <c r="L59" s="396"/>
      <c r="M59" s="396"/>
      <c r="N59" s="396"/>
      <c r="O59" s="396"/>
      <c r="P59" s="396"/>
      <c r="Q59" s="396"/>
      <c r="R59" s="396"/>
      <c r="S59" s="396"/>
    </row>
    <row r="60" spans="2:19">
      <c r="B60" s="1674">
        <v>2</v>
      </c>
      <c r="C60" s="2558" t="s">
        <v>271</v>
      </c>
      <c r="D60" s="780">
        <v>1400508</v>
      </c>
      <c r="E60" s="293"/>
      <c r="F60" s="385"/>
      <c r="G60" s="396"/>
      <c r="I60" s="396"/>
      <c r="J60" s="396"/>
      <c r="K60" s="396"/>
      <c r="L60" s="396"/>
      <c r="M60" s="396"/>
      <c r="N60" s="396"/>
      <c r="O60" s="396"/>
      <c r="P60" s="396"/>
      <c r="Q60" s="396"/>
      <c r="R60" s="396"/>
      <c r="S60" s="396"/>
    </row>
    <row r="61" spans="2:19">
      <c r="B61" s="1674">
        <v>3</v>
      </c>
      <c r="C61" s="2558" t="s">
        <v>272</v>
      </c>
      <c r="D61" s="781">
        <v>652382</v>
      </c>
      <c r="E61" s="293"/>
      <c r="F61" s="385"/>
      <c r="G61" s="396"/>
      <c r="I61" s="396"/>
      <c r="J61" s="396"/>
      <c r="K61" s="396"/>
      <c r="L61" s="396"/>
      <c r="M61" s="396"/>
      <c r="N61" s="396"/>
      <c r="O61" s="396"/>
      <c r="P61" s="396"/>
      <c r="Q61" s="396"/>
      <c r="R61" s="396"/>
      <c r="S61" s="396"/>
    </row>
    <row r="62" spans="2:19">
      <c r="B62" s="1674">
        <v>4</v>
      </c>
      <c r="C62" s="2558" t="s">
        <v>273</v>
      </c>
      <c r="D62" s="781">
        <v>368509</v>
      </c>
      <c r="E62" s="293"/>
      <c r="F62" s="385"/>
      <c r="G62" s="396"/>
      <c r="I62" s="396"/>
      <c r="J62" s="396"/>
      <c r="K62" s="396"/>
      <c r="L62" s="396"/>
      <c r="M62" s="396"/>
      <c r="N62" s="396"/>
      <c r="O62" s="396"/>
      <c r="P62" s="396"/>
      <c r="Q62" s="396"/>
      <c r="R62" s="396"/>
      <c r="S62" s="396"/>
    </row>
    <row r="63" spans="2:19">
      <c r="B63" s="1674">
        <v>5</v>
      </c>
      <c r="C63" s="2558" t="s">
        <v>237</v>
      </c>
      <c r="D63" s="781">
        <v>267866</v>
      </c>
      <c r="E63" s="293"/>
      <c r="F63" s="385"/>
      <c r="G63" s="396"/>
      <c r="I63" s="396"/>
      <c r="J63" s="396"/>
      <c r="K63" s="396"/>
      <c r="L63" s="396"/>
      <c r="M63" s="396"/>
      <c r="N63" s="396"/>
      <c r="O63" s="396"/>
      <c r="P63" s="396"/>
      <c r="Q63" s="396"/>
      <c r="R63" s="396"/>
      <c r="S63" s="396"/>
    </row>
    <row r="64" spans="2:19" ht="15">
      <c r="B64" s="1674">
        <v>6</v>
      </c>
      <c r="C64" s="2558" t="s">
        <v>275</v>
      </c>
      <c r="D64" s="779"/>
      <c r="E64" s="293"/>
      <c r="F64" s="385"/>
      <c r="G64" s="396"/>
      <c r="I64" s="396"/>
      <c r="J64" s="396"/>
      <c r="K64" s="396"/>
      <c r="L64" s="396"/>
      <c r="M64" s="396"/>
      <c r="N64" s="396"/>
      <c r="O64" s="396"/>
      <c r="P64" s="396"/>
      <c r="Q64" s="396"/>
      <c r="R64" s="396"/>
      <c r="S64" s="396"/>
    </row>
    <row r="65" spans="2:20" ht="15">
      <c r="B65" s="1674">
        <v>7</v>
      </c>
      <c r="C65" s="2558" t="s">
        <v>276</v>
      </c>
      <c r="D65" s="779"/>
      <c r="E65" s="293"/>
      <c r="F65" s="385"/>
      <c r="G65" s="396"/>
      <c r="I65" s="396"/>
      <c r="J65" s="396"/>
      <c r="K65" s="396"/>
      <c r="L65" s="396"/>
      <c r="M65" s="396"/>
      <c r="N65" s="396"/>
      <c r="O65" s="396"/>
      <c r="P65" s="396"/>
      <c r="Q65" s="396"/>
      <c r="R65" s="396"/>
      <c r="S65" s="396"/>
    </row>
    <row r="66" spans="2:20" ht="15">
      <c r="B66" s="1674"/>
      <c r="C66" s="2558" t="s">
        <v>377</v>
      </c>
      <c r="D66" s="779"/>
      <c r="E66" s="293"/>
      <c r="F66" s="385"/>
      <c r="G66" s="396"/>
      <c r="I66" s="396"/>
      <c r="J66" s="396"/>
      <c r="K66" s="396"/>
      <c r="L66" s="396"/>
      <c r="M66" s="396"/>
      <c r="N66" s="396"/>
      <c r="O66" s="396"/>
      <c r="P66" s="396"/>
      <c r="Q66" s="396"/>
      <c r="R66" s="396"/>
      <c r="S66" s="396"/>
    </row>
    <row r="67" spans="2:20" ht="15">
      <c r="B67" s="1674"/>
      <c r="C67" s="2561" t="s">
        <v>378</v>
      </c>
      <c r="D67" s="779"/>
      <c r="E67" s="293"/>
      <c r="F67" s="385"/>
      <c r="G67" s="396"/>
      <c r="I67" s="396"/>
      <c r="J67" s="396"/>
      <c r="K67" s="396"/>
      <c r="L67" s="396"/>
      <c r="M67" s="396"/>
      <c r="N67" s="396"/>
      <c r="O67" s="396"/>
      <c r="P67" s="396"/>
      <c r="Q67" s="396"/>
      <c r="R67" s="396"/>
      <c r="S67" s="396"/>
    </row>
    <row r="68" spans="2:20" ht="15">
      <c r="B68" s="1674">
        <v>8</v>
      </c>
      <c r="C68" s="2561" t="s">
        <v>379</v>
      </c>
      <c r="D68" s="779"/>
      <c r="E68" s="293"/>
      <c r="F68" s="385"/>
      <c r="G68" s="396"/>
      <c r="I68" s="396"/>
      <c r="J68" s="396"/>
      <c r="K68" s="396"/>
      <c r="L68" s="396"/>
      <c r="M68" s="396"/>
      <c r="N68" s="396"/>
      <c r="O68" s="396"/>
      <c r="P68" s="396"/>
      <c r="Q68" s="396"/>
      <c r="R68" s="396"/>
      <c r="S68" s="396"/>
    </row>
    <row r="69" spans="2:20" ht="15">
      <c r="B69" s="1674"/>
      <c r="C69" s="2558" t="s">
        <v>380</v>
      </c>
      <c r="D69" s="779"/>
      <c r="E69" s="293"/>
      <c r="F69" s="385"/>
      <c r="G69" s="396"/>
      <c r="I69" s="396"/>
      <c r="J69" s="396"/>
      <c r="K69" s="396"/>
      <c r="L69" s="396"/>
      <c r="M69" s="396"/>
      <c r="N69" s="396"/>
      <c r="O69" s="396"/>
      <c r="P69" s="396"/>
      <c r="Q69" s="396"/>
      <c r="R69" s="396"/>
      <c r="S69" s="396"/>
    </row>
    <row r="70" spans="2:20" ht="15">
      <c r="B70" s="1674"/>
      <c r="C70" s="2561" t="s">
        <v>381</v>
      </c>
      <c r="D70" s="779"/>
      <c r="E70" s="293"/>
      <c r="F70" s="385"/>
      <c r="G70" s="396"/>
      <c r="I70" s="396"/>
      <c r="J70" s="396"/>
      <c r="K70" s="396"/>
      <c r="L70" s="396"/>
      <c r="M70" s="396"/>
      <c r="N70" s="396"/>
      <c r="O70" s="396"/>
      <c r="P70" s="396"/>
      <c r="Q70" s="396"/>
      <c r="R70" s="396"/>
      <c r="S70" s="396"/>
    </row>
    <row r="71" spans="2:20" ht="25.5">
      <c r="B71" s="1676">
        <v>9</v>
      </c>
      <c r="C71" s="2574" t="s">
        <v>282</v>
      </c>
      <c r="D71" s="784">
        <v>16993644</v>
      </c>
      <c r="F71" s="385"/>
      <c r="G71" s="396"/>
      <c r="I71" s="396"/>
      <c r="J71" s="396"/>
      <c r="K71" s="396"/>
      <c r="L71" s="396"/>
      <c r="M71" s="396"/>
      <c r="N71" s="396"/>
      <c r="O71" s="396"/>
      <c r="P71" s="396"/>
      <c r="Q71" s="396"/>
      <c r="R71" s="396"/>
      <c r="S71" s="396"/>
    </row>
    <row r="72" spans="2:20">
      <c r="B72" s="1674">
        <v>10</v>
      </c>
      <c r="C72" s="2558" t="s">
        <v>283</v>
      </c>
      <c r="D72" s="791"/>
      <c r="E72" s="293"/>
      <c r="F72" s="385"/>
      <c r="G72" s="396"/>
      <c r="I72" s="396"/>
      <c r="J72" s="396"/>
      <c r="K72" s="396"/>
      <c r="L72" s="396"/>
      <c r="M72" s="396"/>
      <c r="N72" s="396"/>
      <c r="O72" s="396"/>
      <c r="P72" s="396"/>
      <c r="Q72" s="396"/>
      <c r="R72" s="396"/>
      <c r="S72" s="396"/>
    </row>
    <row r="73" spans="2:20">
      <c r="B73" s="1674">
        <v>11</v>
      </c>
      <c r="C73" s="2558" t="s">
        <v>284</v>
      </c>
      <c r="D73" s="781">
        <v>884357</v>
      </c>
      <c r="E73" s="293"/>
      <c r="F73" s="385"/>
      <c r="G73" s="396"/>
      <c r="I73" s="396"/>
      <c r="J73" s="396"/>
      <c r="K73" s="396"/>
      <c r="L73" s="396"/>
      <c r="M73" s="396"/>
      <c r="N73" s="396"/>
      <c r="O73" s="396"/>
      <c r="P73" s="396"/>
      <c r="Q73" s="396"/>
      <c r="R73" s="396"/>
      <c r="S73" s="396"/>
    </row>
    <row r="74" spans="2:20">
      <c r="B74" s="1674">
        <v>12</v>
      </c>
      <c r="C74" s="2558" t="s">
        <v>285</v>
      </c>
      <c r="D74" s="781">
        <v>16109287</v>
      </c>
      <c r="E74" s="293"/>
      <c r="F74" s="385"/>
      <c r="G74" s="396"/>
      <c r="I74" s="396"/>
      <c r="J74" s="396"/>
      <c r="K74" s="396"/>
      <c r="L74" s="396"/>
      <c r="M74" s="396"/>
      <c r="N74" s="396"/>
      <c r="O74" s="396"/>
      <c r="P74" s="396"/>
      <c r="Q74" s="396"/>
      <c r="R74" s="396"/>
      <c r="S74" s="396"/>
    </row>
    <row r="75" spans="2:20" ht="25.5">
      <c r="B75" s="1674">
        <v>13</v>
      </c>
      <c r="C75" s="2558" t="s">
        <v>286</v>
      </c>
      <c r="D75" s="783"/>
      <c r="E75" s="293"/>
      <c r="F75" s="385"/>
      <c r="G75" s="396"/>
      <c r="I75" s="396"/>
      <c r="J75" s="396"/>
      <c r="K75" s="396"/>
      <c r="L75" s="396"/>
      <c r="M75" s="396"/>
      <c r="N75" s="396"/>
      <c r="O75" s="396"/>
      <c r="P75" s="396"/>
      <c r="Q75" s="396"/>
      <c r="R75" s="396"/>
      <c r="S75" s="396"/>
      <c r="T75" s="396"/>
    </row>
    <row r="76" spans="2:20">
      <c r="B76" s="1674">
        <v>14</v>
      </c>
      <c r="C76" s="2178" t="s">
        <v>287</v>
      </c>
      <c r="D76" s="783"/>
      <c r="E76" s="293"/>
      <c r="F76" s="385"/>
      <c r="G76" s="396"/>
      <c r="I76" s="396"/>
      <c r="J76" s="396"/>
      <c r="K76" s="396"/>
      <c r="L76" s="396"/>
      <c r="M76" s="396"/>
      <c r="N76" s="396"/>
      <c r="O76" s="396"/>
      <c r="P76" s="396"/>
      <c r="Q76" s="396"/>
      <c r="R76" s="396"/>
      <c r="S76" s="396"/>
      <c r="T76" s="396"/>
    </row>
    <row r="77" spans="2:20">
      <c r="B77" s="1674">
        <v>15</v>
      </c>
      <c r="C77" s="2178" t="s">
        <v>288</v>
      </c>
      <c r="D77" s="781">
        <v>1366259</v>
      </c>
      <c r="E77" s="293"/>
      <c r="F77" s="385"/>
      <c r="G77" s="396"/>
      <c r="I77" s="396"/>
      <c r="J77" s="396"/>
      <c r="K77" s="396"/>
      <c r="L77" s="396"/>
      <c r="M77" s="396"/>
      <c r="N77" s="396"/>
      <c r="O77" s="396"/>
      <c r="P77" s="396"/>
      <c r="Q77" s="396"/>
      <c r="R77" s="396"/>
      <c r="S77" s="396"/>
      <c r="T77" s="396"/>
    </row>
    <row r="78" spans="2:20">
      <c r="B78" s="1674">
        <v>16</v>
      </c>
      <c r="C78" s="2178" t="s">
        <v>289</v>
      </c>
      <c r="D78" s="781">
        <v>3650274</v>
      </c>
      <c r="E78" s="293"/>
      <c r="F78" s="385"/>
      <c r="G78" s="396"/>
      <c r="I78" s="396"/>
      <c r="J78" s="396"/>
      <c r="K78" s="396"/>
      <c r="L78" s="396"/>
      <c r="M78" s="396"/>
      <c r="N78" s="396"/>
      <c r="O78" s="396"/>
      <c r="P78" s="396"/>
      <c r="Q78" s="396"/>
      <c r="R78" s="396"/>
      <c r="S78" s="396"/>
      <c r="T78" s="396"/>
    </row>
    <row r="79" spans="2:20">
      <c r="B79" s="1674">
        <v>17</v>
      </c>
      <c r="C79" s="2561" t="s">
        <v>229</v>
      </c>
      <c r="D79" s="781">
        <v>1646226</v>
      </c>
      <c r="E79" s="293"/>
      <c r="F79" s="385"/>
      <c r="G79" s="396"/>
      <c r="I79" s="396"/>
      <c r="J79" s="396"/>
      <c r="K79" s="396"/>
      <c r="L79" s="396"/>
      <c r="M79" s="396"/>
      <c r="N79" s="396"/>
      <c r="O79" s="396"/>
      <c r="P79" s="396"/>
      <c r="Q79" s="396"/>
      <c r="R79" s="396"/>
      <c r="S79" s="396"/>
      <c r="T79" s="396"/>
    </row>
    <row r="80" spans="2:20">
      <c r="B80" s="1674">
        <v>18</v>
      </c>
      <c r="C80" s="2558" t="s">
        <v>382</v>
      </c>
      <c r="D80" s="783"/>
      <c r="E80" s="293"/>
      <c r="F80" s="385"/>
      <c r="G80" s="396"/>
      <c r="I80" s="396"/>
      <c r="J80" s="396"/>
      <c r="K80" s="396"/>
      <c r="L80" s="396"/>
      <c r="M80" s="396"/>
      <c r="N80" s="396"/>
      <c r="O80" s="396"/>
      <c r="P80" s="396"/>
      <c r="Q80" s="396"/>
      <c r="R80" s="396"/>
      <c r="S80" s="396"/>
      <c r="T80" s="396"/>
    </row>
    <row r="81" spans="2:20" ht="13.5" thickBot="1">
      <c r="B81" s="1674">
        <v>19</v>
      </c>
      <c r="C81" s="2561" t="s">
        <v>230</v>
      </c>
      <c r="D81" s="786">
        <v>1623019</v>
      </c>
      <c r="E81" s="293"/>
      <c r="F81" s="385"/>
      <c r="G81" s="396"/>
      <c r="I81" s="396"/>
      <c r="J81" s="396"/>
      <c r="K81" s="396"/>
      <c r="L81" s="396"/>
      <c r="M81" s="396"/>
      <c r="N81" s="396"/>
      <c r="O81" s="396"/>
      <c r="P81" s="396"/>
      <c r="Q81" s="396"/>
      <c r="R81" s="396"/>
      <c r="S81" s="396"/>
      <c r="T81" s="396"/>
    </row>
    <row r="82" spans="2:20" ht="26.25" thickBot="1">
      <c r="B82" s="1686">
        <v>20</v>
      </c>
      <c r="C82" s="1722" t="s">
        <v>293</v>
      </c>
      <c r="D82" s="1714">
        <v>27968687</v>
      </c>
      <c r="E82" s="293"/>
      <c r="F82" s="385"/>
      <c r="G82" s="396"/>
      <c r="I82" s="396"/>
      <c r="J82" s="396"/>
      <c r="K82" s="396"/>
      <c r="L82" s="396"/>
      <c r="M82" s="396"/>
      <c r="N82" s="396"/>
      <c r="O82" s="396"/>
      <c r="P82" s="396"/>
      <c r="Q82" s="396"/>
      <c r="R82" s="396"/>
      <c r="S82" s="396"/>
      <c r="T82" s="396"/>
    </row>
    <row r="83" spans="2:20" ht="15">
      <c r="B83" s="1674"/>
      <c r="C83" s="1693" t="s">
        <v>294</v>
      </c>
      <c r="D83" s="779"/>
      <c r="E83" s="293"/>
      <c r="F83" s="385"/>
      <c r="G83" s="396"/>
      <c r="I83" s="396"/>
      <c r="J83" s="396"/>
      <c r="K83" s="396"/>
      <c r="L83" s="396"/>
      <c r="M83" s="396"/>
      <c r="N83" s="396"/>
      <c r="O83" s="396"/>
      <c r="P83" s="396"/>
      <c r="Q83" s="396"/>
      <c r="R83" s="396"/>
      <c r="S83" s="396"/>
      <c r="T83" s="396"/>
    </row>
    <row r="84" spans="2:20" ht="15">
      <c r="B84" s="1674"/>
      <c r="C84" s="1695" t="s">
        <v>295</v>
      </c>
      <c r="D84" s="779"/>
      <c r="E84" s="293"/>
      <c r="F84" s="385"/>
      <c r="G84" s="396"/>
      <c r="I84" s="396"/>
      <c r="J84" s="396"/>
      <c r="K84" s="396"/>
      <c r="L84" s="396"/>
      <c r="M84" s="396"/>
      <c r="N84" s="396"/>
      <c r="O84" s="396"/>
      <c r="P84" s="396"/>
      <c r="Q84" s="396"/>
      <c r="R84" s="396"/>
      <c r="S84" s="396"/>
      <c r="T84" s="396"/>
    </row>
    <row r="85" spans="2:20">
      <c r="B85" s="1674">
        <v>21</v>
      </c>
      <c r="C85" s="2558" t="s">
        <v>296</v>
      </c>
      <c r="D85" s="781">
        <v>9981319</v>
      </c>
      <c r="E85" s="293"/>
      <c r="F85" s="385"/>
      <c r="G85" s="396"/>
      <c r="I85" s="396"/>
      <c r="J85" s="396"/>
      <c r="K85" s="396"/>
      <c r="L85" s="396"/>
      <c r="M85" s="396"/>
      <c r="N85" s="396"/>
      <c r="O85" s="396"/>
      <c r="P85" s="396"/>
      <c r="Q85" s="396"/>
      <c r="R85" s="396"/>
      <c r="S85" s="396"/>
      <c r="T85" s="396"/>
    </row>
    <row r="86" spans="2:20">
      <c r="B86" s="1674">
        <v>22</v>
      </c>
      <c r="C86" s="2178" t="s">
        <v>297</v>
      </c>
      <c r="D86" s="781">
        <v>398325</v>
      </c>
      <c r="E86" s="293"/>
      <c r="F86" s="385"/>
      <c r="G86" s="396"/>
      <c r="I86" s="396"/>
      <c r="J86" s="396"/>
      <c r="K86" s="396"/>
      <c r="L86" s="396"/>
      <c r="M86" s="396"/>
      <c r="N86" s="396"/>
      <c r="O86" s="396"/>
      <c r="P86" s="396"/>
      <c r="Q86" s="396"/>
      <c r="R86" s="396"/>
      <c r="S86" s="396"/>
      <c r="T86" s="396"/>
    </row>
    <row r="87" spans="2:20">
      <c r="B87" s="1674">
        <v>23</v>
      </c>
      <c r="C87" s="2178" t="s">
        <v>298</v>
      </c>
      <c r="D87" s="781">
        <v>1707741</v>
      </c>
      <c r="E87" s="293"/>
      <c r="F87" s="385"/>
      <c r="G87" s="396"/>
      <c r="I87" s="396"/>
      <c r="J87" s="396"/>
      <c r="K87" s="396"/>
      <c r="L87" s="396"/>
      <c r="M87" s="396"/>
      <c r="N87" s="396"/>
      <c r="O87" s="396"/>
      <c r="P87" s="396"/>
      <c r="Q87" s="396"/>
      <c r="R87" s="396"/>
      <c r="S87" s="396"/>
      <c r="T87" s="396"/>
    </row>
    <row r="88" spans="2:20">
      <c r="B88" s="1674">
        <v>24</v>
      </c>
      <c r="C88" s="2178" t="s">
        <v>299</v>
      </c>
      <c r="D88" s="781">
        <v>133515</v>
      </c>
      <c r="E88" s="293"/>
      <c r="F88" s="385"/>
      <c r="G88" s="396"/>
      <c r="I88" s="396"/>
      <c r="J88" s="396"/>
      <c r="K88" s="396"/>
      <c r="L88" s="396"/>
      <c r="M88" s="396"/>
      <c r="N88" s="396"/>
      <c r="O88" s="396"/>
      <c r="P88" s="396"/>
      <c r="Q88" s="396"/>
      <c r="R88" s="396"/>
      <c r="S88" s="396"/>
      <c r="T88" s="396"/>
    </row>
    <row r="89" spans="2:20">
      <c r="B89" s="1674">
        <v>25</v>
      </c>
      <c r="C89" s="2558" t="s">
        <v>300</v>
      </c>
      <c r="D89" s="781">
        <v>214353</v>
      </c>
      <c r="E89" s="293"/>
      <c r="F89" s="385"/>
      <c r="G89" s="396"/>
      <c r="I89" s="396"/>
      <c r="J89" s="396"/>
      <c r="K89" s="396"/>
      <c r="L89" s="396"/>
      <c r="M89" s="396"/>
      <c r="N89" s="396"/>
      <c r="O89" s="396"/>
      <c r="P89" s="396"/>
      <c r="Q89" s="396"/>
      <c r="R89" s="396"/>
      <c r="S89" s="396"/>
      <c r="T89" s="396"/>
    </row>
    <row r="90" spans="2:20" ht="13.5" thickBot="1">
      <c r="B90" s="1674">
        <v>26</v>
      </c>
      <c r="C90" s="2575" t="s">
        <v>301</v>
      </c>
      <c r="D90" s="786">
        <v>3198615</v>
      </c>
      <c r="E90" s="293"/>
      <c r="F90" s="385"/>
      <c r="G90" s="396"/>
      <c r="I90" s="396"/>
      <c r="J90" s="396"/>
      <c r="K90" s="396"/>
      <c r="L90" s="396"/>
      <c r="M90" s="396"/>
      <c r="N90" s="396"/>
      <c r="O90" s="396"/>
      <c r="P90" s="396"/>
      <c r="Q90" s="396"/>
      <c r="R90" s="396"/>
      <c r="S90" s="396"/>
      <c r="T90" s="396"/>
    </row>
    <row r="91" spans="2:20" ht="26.25" thickBot="1">
      <c r="B91" s="1677">
        <v>27</v>
      </c>
      <c r="C91" s="1694" t="s">
        <v>302</v>
      </c>
      <c r="D91" s="787">
        <v>15633868</v>
      </c>
      <c r="E91" s="293"/>
      <c r="F91" s="385"/>
      <c r="G91" s="396"/>
      <c r="I91" s="396"/>
      <c r="J91" s="396"/>
      <c r="K91" s="396"/>
      <c r="L91" s="396"/>
      <c r="M91" s="396"/>
      <c r="N91" s="396"/>
      <c r="O91" s="396"/>
      <c r="P91" s="396"/>
      <c r="Q91" s="396"/>
      <c r="R91" s="396"/>
      <c r="S91" s="396"/>
      <c r="T91" s="396"/>
    </row>
    <row r="92" spans="2:20">
      <c r="B92" s="1674"/>
      <c r="C92" s="1693" t="s">
        <v>303</v>
      </c>
      <c r="D92" s="785"/>
      <c r="E92" s="293"/>
      <c r="F92" s="385"/>
      <c r="G92" s="396"/>
      <c r="I92" s="396"/>
      <c r="J92" s="396"/>
      <c r="K92" s="396"/>
      <c r="L92" s="396"/>
      <c r="M92" s="396"/>
      <c r="N92" s="396"/>
      <c r="O92" s="396"/>
      <c r="P92" s="396"/>
      <c r="Q92" s="396"/>
      <c r="R92" s="396"/>
      <c r="S92" s="396"/>
      <c r="T92" s="396"/>
    </row>
    <row r="93" spans="2:20">
      <c r="B93" s="1674">
        <v>28</v>
      </c>
      <c r="C93" s="2558" t="s">
        <v>304</v>
      </c>
      <c r="D93" s="781">
        <v>8619972</v>
      </c>
      <c r="E93" s="293"/>
      <c r="F93" s="385"/>
      <c r="G93" s="396"/>
      <c r="I93" s="396"/>
      <c r="J93" s="396"/>
      <c r="K93" s="396"/>
      <c r="L93" s="396"/>
      <c r="M93" s="396"/>
      <c r="N93" s="396"/>
      <c r="O93" s="396"/>
      <c r="P93" s="396"/>
      <c r="Q93" s="396"/>
      <c r="R93" s="396"/>
      <c r="S93" s="396"/>
      <c r="T93" s="396"/>
    </row>
    <row r="94" spans="2:20">
      <c r="B94" s="1674">
        <v>29</v>
      </c>
      <c r="C94" s="2558" t="s">
        <v>305</v>
      </c>
      <c r="D94" s="781">
        <v>52321</v>
      </c>
      <c r="E94" s="293"/>
      <c r="F94" s="385"/>
      <c r="G94" s="396"/>
      <c r="I94" s="396"/>
      <c r="J94" s="396"/>
      <c r="K94" s="396"/>
      <c r="L94" s="396"/>
      <c r="M94" s="396"/>
      <c r="N94" s="396"/>
      <c r="O94" s="396"/>
      <c r="P94" s="396"/>
      <c r="Q94" s="396"/>
      <c r="R94" s="396"/>
      <c r="S94" s="396"/>
      <c r="T94" s="396"/>
    </row>
    <row r="95" spans="2:20">
      <c r="B95" s="1674">
        <v>30</v>
      </c>
      <c r="C95" s="2575" t="s">
        <v>306</v>
      </c>
      <c r="D95" s="783"/>
      <c r="E95" s="293"/>
      <c r="F95" s="385"/>
      <c r="G95" s="396"/>
      <c r="I95" s="396"/>
      <c r="J95" s="396"/>
      <c r="K95" s="396"/>
      <c r="L95" s="396"/>
      <c r="M95" s="396"/>
      <c r="N95" s="396"/>
      <c r="O95" s="396"/>
      <c r="P95" s="396"/>
      <c r="Q95" s="396"/>
      <c r="R95" s="396"/>
      <c r="S95" s="396"/>
      <c r="T95" s="396"/>
    </row>
    <row r="96" spans="2:20" ht="13.5" thickBot="1">
      <c r="B96" s="1674">
        <v>31</v>
      </c>
      <c r="C96" s="2575" t="s">
        <v>308</v>
      </c>
      <c r="D96" s="786">
        <v>3662527</v>
      </c>
      <c r="E96" s="293"/>
      <c r="F96" s="385"/>
      <c r="G96" s="396"/>
      <c r="I96" s="396"/>
      <c r="J96" s="396"/>
      <c r="K96" s="396"/>
      <c r="L96" s="396"/>
      <c r="M96" s="396"/>
      <c r="N96" s="396"/>
      <c r="O96" s="396"/>
      <c r="P96" s="396"/>
      <c r="Q96" s="396"/>
      <c r="R96" s="396"/>
      <c r="S96" s="396"/>
      <c r="T96" s="396"/>
    </row>
    <row r="97" spans="2:20" ht="13.5" thickBot="1">
      <c r="B97" s="1677">
        <v>32</v>
      </c>
      <c r="C97" s="1694" t="s">
        <v>309</v>
      </c>
      <c r="D97" s="787">
        <v>12334820</v>
      </c>
      <c r="E97" s="293"/>
      <c r="F97" s="385"/>
      <c r="G97" s="396"/>
      <c r="I97" s="396"/>
      <c r="J97" s="396"/>
      <c r="K97" s="396"/>
      <c r="L97" s="396"/>
      <c r="M97" s="396"/>
      <c r="N97" s="396"/>
      <c r="O97" s="396"/>
      <c r="P97" s="396"/>
      <c r="Q97" s="396"/>
      <c r="R97" s="396"/>
      <c r="S97" s="396"/>
      <c r="T97" s="396"/>
    </row>
    <row r="98" spans="2:20" ht="26.25" thickBot="1">
      <c r="B98" s="1689">
        <v>33</v>
      </c>
      <c r="C98" s="1720" t="s">
        <v>387</v>
      </c>
      <c r="D98" s="1715">
        <v>27968687</v>
      </c>
      <c r="E98" s="293"/>
      <c r="F98" s="385"/>
      <c r="G98" s="396"/>
      <c r="I98" s="396"/>
      <c r="J98" s="396"/>
      <c r="K98" s="396"/>
      <c r="L98" s="396"/>
      <c r="M98" s="396"/>
      <c r="N98" s="396"/>
      <c r="O98" s="396"/>
      <c r="P98" s="396"/>
      <c r="Q98" s="396"/>
      <c r="R98" s="396"/>
      <c r="S98" s="396"/>
      <c r="T98" s="396"/>
    </row>
    <row r="99" spans="2:20">
      <c r="B99" s="196"/>
      <c r="C99" s="634"/>
      <c r="D99" s="383"/>
      <c r="E99" s="383"/>
      <c r="F99" s="293"/>
      <c r="I99" s="396"/>
      <c r="J99" s="396"/>
      <c r="K99" s="396"/>
      <c r="L99" s="396"/>
      <c r="M99" s="396"/>
      <c r="N99" s="396"/>
      <c r="O99" s="396"/>
      <c r="P99" s="396"/>
      <c r="Q99" s="396"/>
      <c r="R99" s="396"/>
      <c r="S99" s="396"/>
      <c r="T99" s="396"/>
    </row>
    <row r="100" spans="2:20">
      <c r="B100" s="196"/>
      <c r="C100" s="634"/>
      <c r="D100" s="383"/>
      <c r="E100" s="383"/>
      <c r="F100" s="293"/>
      <c r="H100" s="292">
        <v>82</v>
      </c>
      <c r="I100" s="396"/>
      <c r="J100" s="396"/>
      <c r="K100" s="396"/>
      <c r="L100" s="396"/>
      <c r="M100" s="396"/>
      <c r="N100" s="396"/>
      <c r="O100" s="396"/>
      <c r="P100" s="396"/>
      <c r="Q100" s="396"/>
      <c r="R100" s="396"/>
      <c r="S100" s="396"/>
      <c r="T100" s="396"/>
    </row>
    <row r="101" spans="2:20">
      <c r="B101" s="196"/>
      <c r="C101" s="634"/>
      <c r="D101" s="51"/>
      <c r="E101" s="293"/>
      <c r="F101" s="293"/>
      <c r="I101" s="396"/>
      <c r="J101" s="396"/>
      <c r="K101" s="396"/>
      <c r="L101" s="396"/>
      <c r="M101" s="396"/>
      <c r="N101" s="396"/>
      <c r="O101" s="396"/>
      <c r="P101" s="396"/>
      <c r="Q101" s="396"/>
      <c r="R101" s="396"/>
      <c r="S101" s="396"/>
      <c r="T101" s="396"/>
    </row>
    <row r="102" spans="2:20">
      <c r="B102" s="236" t="s">
        <v>389</v>
      </c>
      <c r="C102" s="236"/>
      <c r="D102" s="236"/>
      <c r="E102" s="236"/>
      <c r="F102" s="236"/>
      <c r="I102" s="396"/>
      <c r="J102" s="396"/>
      <c r="K102" s="396"/>
      <c r="L102" s="396"/>
      <c r="M102" s="396"/>
      <c r="N102" s="396"/>
      <c r="O102" s="396"/>
      <c r="P102" s="396"/>
      <c r="Q102" s="396"/>
      <c r="R102" s="396"/>
      <c r="S102" s="396"/>
      <c r="T102" s="396"/>
    </row>
    <row r="103" spans="2:20" ht="13.5" thickBot="1">
      <c r="B103" s="51"/>
      <c r="C103" s="51"/>
      <c r="D103" s="51"/>
      <c r="E103" s="51"/>
      <c r="F103" s="51"/>
      <c r="I103" s="396"/>
      <c r="J103" s="396"/>
      <c r="K103" s="396"/>
      <c r="L103" s="396"/>
      <c r="M103" s="396"/>
      <c r="N103" s="396"/>
      <c r="O103" s="396"/>
      <c r="P103" s="396"/>
      <c r="Q103" s="396"/>
      <c r="R103" s="396"/>
      <c r="S103" s="396"/>
      <c r="T103" s="396"/>
    </row>
    <row r="104" spans="2:20" ht="13.5" thickBot="1">
      <c r="B104" s="3589" t="s">
        <v>95</v>
      </c>
      <c r="C104" s="3590"/>
      <c r="D104" s="51"/>
      <c r="E104" s="51"/>
      <c r="F104" s="51"/>
      <c r="I104" s="396"/>
      <c r="J104" s="396"/>
      <c r="K104" s="396"/>
      <c r="L104" s="396"/>
      <c r="M104" s="396"/>
      <c r="N104" s="396"/>
      <c r="O104" s="396"/>
      <c r="P104" s="396"/>
      <c r="Q104" s="396"/>
      <c r="R104" s="396"/>
      <c r="S104" s="396"/>
      <c r="T104" s="396"/>
    </row>
    <row r="105" spans="2:20">
      <c r="B105" s="3520" t="s">
        <v>372</v>
      </c>
      <c r="C105" s="3585"/>
      <c r="D105" s="3518" t="s">
        <v>391</v>
      </c>
      <c r="E105" s="274"/>
      <c r="I105" s="396"/>
      <c r="J105" s="396"/>
      <c r="K105" s="396"/>
      <c r="L105" s="396"/>
      <c r="M105" s="396"/>
      <c r="N105" s="396"/>
      <c r="O105" s="396"/>
      <c r="P105" s="396"/>
      <c r="Q105" s="396"/>
      <c r="R105" s="396"/>
      <c r="S105" s="396"/>
      <c r="T105" s="396"/>
    </row>
    <row r="106" spans="2:20">
      <c r="B106" s="3520"/>
      <c r="C106" s="3585"/>
      <c r="D106" s="3520"/>
      <c r="E106" s="443"/>
      <c r="I106" s="396"/>
      <c r="J106" s="396"/>
      <c r="K106" s="396"/>
      <c r="L106" s="396"/>
      <c r="M106" s="396"/>
      <c r="N106" s="396"/>
      <c r="O106" s="396"/>
      <c r="P106" s="396"/>
      <c r="Q106" s="396"/>
      <c r="R106" s="396"/>
      <c r="S106" s="396"/>
      <c r="T106" s="396"/>
    </row>
    <row r="107" spans="2:20">
      <c r="B107" s="3519"/>
      <c r="C107" s="3586"/>
      <c r="D107" s="3519"/>
      <c r="E107" s="443"/>
      <c r="I107" s="396"/>
      <c r="J107" s="396"/>
      <c r="K107" s="396"/>
      <c r="L107" s="396"/>
      <c r="M107" s="396"/>
      <c r="N107" s="396"/>
      <c r="O107" s="396"/>
      <c r="P107" s="396"/>
      <c r="Q107" s="396"/>
      <c r="R107" s="396"/>
      <c r="S107" s="396"/>
      <c r="T107" s="396"/>
    </row>
    <row r="108" spans="2:20" ht="15">
      <c r="B108" s="1674"/>
      <c r="C108" s="1693" t="s">
        <v>269</v>
      </c>
      <c r="D108" s="754"/>
      <c r="E108" s="293"/>
      <c r="I108" s="396"/>
      <c r="J108" s="396"/>
      <c r="K108" s="396"/>
      <c r="L108" s="396"/>
      <c r="M108" s="396"/>
      <c r="N108" s="396"/>
      <c r="O108" s="396"/>
      <c r="P108" s="396"/>
      <c r="Q108" s="396"/>
      <c r="R108" s="396"/>
      <c r="S108" s="396"/>
      <c r="T108" s="396"/>
    </row>
    <row r="109" spans="2:20">
      <c r="B109" s="1674">
        <v>1</v>
      </c>
      <c r="C109" s="2558" t="s">
        <v>270</v>
      </c>
      <c r="D109" s="2576">
        <v>29839</v>
      </c>
      <c r="E109" s="293"/>
      <c r="F109" s="385"/>
      <c r="G109" s="396"/>
      <c r="I109" s="396"/>
      <c r="J109" s="437"/>
      <c r="K109" s="396"/>
      <c r="L109" s="396"/>
      <c r="M109" s="396"/>
      <c r="N109" s="396"/>
      <c r="O109" s="396"/>
      <c r="P109" s="396"/>
      <c r="Q109" s="396"/>
      <c r="R109" s="396"/>
      <c r="S109" s="396"/>
      <c r="T109" s="396"/>
    </row>
    <row r="110" spans="2:20">
      <c r="B110" s="1674">
        <v>2</v>
      </c>
      <c r="C110" s="2558" t="s">
        <v>271</v>
      </c>
      <c r="D110" s="2577"/>
      <c r="E110" s="293"/>
      <c r="F110" s="385"/>
      <c r="G110" s="396"/>
      <c r="I110" s="396"/>
      <c r="J110" s="437"/>
      <c r="K110" s="396"/>
      <c r="L110" s="396"/>
      <c r="M110" s="396"/>
      <c r="N110" s="396"/>
      <c r="O110" s="396"/>
      <c r="P110" s="396"/>
      <c r="Q110" s="396"/>
      <c r="R110" s="396"/>
      <c r="S110" s="396"/>
      <c r="T110" s="396"/>
    </row>
    <row r="111" spans="2:20">
      <c r="B111" s="1674">
        <v>3</v>
      </c>
      <c r="C111" s="2558" t="s">
        <v>272</v>
      </c>
      <c r="D111" s="783"/>
      <c r="E111" s="293"/>
      <c r="F111" s="385"/>
      <c r="G111" s="396"/>
      <c r="I111" s="396"/>
      <c r="J111" s="437"/>
      <c r="K111" s="396"/>
      <c r="L111" s="396"/>
      <c r="M111" s="396"/>
      <c r="N111" s="396"/>
      <c r="O111" s="396"/>
      <c r="P111" s="396"/>
      <c r="Q111" s="396"/>
      <c r="R111" s="396"/>
      <c r="S111" s="396"/>
      <c r="T111" s="396"/>
    </row>
    <row r="112" spans="2:20">
      <c r="B112" s="1674">
        <v>4</v>
      </c>
      <c r="C112" s="2558" t="s">
        <v>273</v>
      </c>
      <c r="D112" s="2578">
        <v>21550</v>
      </c>
      <c r="E112" s="293"/>
      <c r="F112" s="385"/>
      <c r="G112" s="396"/>
      <c r="I112" s="396"/>
      <c r="J112" s="437"/>
      <c r="K112" s="396"/>
      <c r="L112" s="396"/>
      <c r="M112" s="396"/>
      <c r="N112" s="396"/>
      <c r="O112" s="396"/>
      <c r="P112" s="396"/>
      <c r="Q112" s="396"/>
      <c r="R112" s="396"/>
      <c r="S112" s="396"/>
      <c r="T112" s="396"/>
    </row>
    <row r="113" spans="2:20">
      <c r="B113" s="1674">
        <v>5</v>
      </c>
      <c r="C113" s="2558" t="s">
        <v>237</v>
      </c>
      <c r="D113" s="781">
        <v>39576</v>
      </c>
      <c r="E113" s="293"/>
      <c r="F113" s="385"/>
      <c r="G113" s="396"/>
      <c r="I113" s="396"/>
      <c r="J113" s="437"/>
      <c r="K113" s="396"/>
      <c r="L113" s="396"/>
      <c r="M113" s="396"/>
      <c r="N113" s="396"/>
      <c r="O113" s="396"/>
      <c r="P113" s="396"/>
      <c r="Q113" s="396"/>
      <c r="R113" s="396"/>
      <c r="S113" s="396"/>
      <c r="T113" s="396"/>
    </row>
    <row r="114" spans="2:20">
      <c r="B114" s="1674">
        <v>6</v>
      </c>
      <c r="C114" s="2558" t="s">
        <v>275</v>
      </c>
      <c r="D114" s="781">
        <v>46500</v>
      </c>
      <c r="E114" s="293"/>
      <c r="F114" s="385"/>
      <c r="G114" s="396"/>
      <c r="I114" s="396"/>
      <c r="J114" s="437"/>
      <c r="K114" s="396"/>
      <c r="L114" s="396"/>
      <c r="M114" s="396"/>
      <c r="N114" s="396"/>
      <c r="O114" s="396"/>
      <c r="P114" s="396"/>
      <c r="Q114" s="396"/>
      <c r="R114" s="396"/>
      <c r="S114" s="396"/>
      <c r="T114" s="396"/>
    </row>
    <row r="115" spans="2:20" ht="15">
      <c r="B115" s="1674">
        <v>7</v>
      </c>
      <c r="C115" s="2558" t="s">
        <v>276</v>
      </c>
      <c r="D115" s="2579"/>
      <c r="E115" s="293"/>
      <c r="F115" s="385"/>
      <c r="G115" s="396"/>
      <c r="I115" s="396"/>
      <c r="J115" s="437"/>
      <c r="K115" s="396"/>
      <c r="L115" s="396"/>
      <c r="M115" s="396"/>
      <c r="N115" s="396"/>
      <c r="O115" s="396"/>
      <c r="P115" s="396"/>
      <c r="Q115" s="396"/>
      <c r="R115" s="396"/>
      <c r="S115" s="396"/>
      <c r="T115" s="396"/>
    </row>
    <row r="116" spans="2:20">
      <c r="B116" s="1674"/>
      <c r="C116" s="2558" t="s">
        <v>377</v>
      </c>
      <c r="D116" s="2578">
        <v>411500</v>
      </c>
      <c r="E116" s="293"/>
      <c r="F116" s="385"/>
      <c r="G116" s="396"/>
      <c r="I116" s="396"/>
      <c r="J116" s="437"/>
      <c r="K116" s="396"/>
      <c r="L116" s="396"/>
      <c r="M116" s="396"/>
      <c r="N116" s="396"/>
      <c r="O116" s="396"/>
      <c r="P116" s="396"/>
      <c r="Q116" s="396"/>
      <c r="R116" s="396"/>
      <c r="S116" s="396"/>
      <c r="T116" s="396"/>
    </row>
    <row r="117" spans="2:20">
      <c r="B117" s="1674"/>
      <c r="C117" s="2561" t="s">
        <v>378</v>
      </c>
      <c r="D117" s="781">
        <v>641368</v>
      </c>
      <c r="E117" s="293"/>
      <c r="F117" s="385"/>
      <c r="G117" s="396"/>
      <c r="I117" s="396"/>
      <c r="J117" s="437"/>
      <c r="K117" s="396"/>
      <c r="L117" s="396"/>
      <c r="M117" s="396"/>
      <c r="N117" s="396"/>
      <c r="O117" s="396"/>
      <c r="P117" s="396"/>
      <c r="Q117" s="396"/>
      <c r="R117" s="396"/>
      <c r="S117" s="396"/>
      <c r="T117" s="396"/>
    </row>
    <row r="118" spans="2:20" ht="15">
      <c r="B118" s="1674">
        <v>8</v>
      </c>
      <c r="C118" s="2561" t="s">
        <v>379</v>
      </c>
      <c r="D118" s="2579"/>
      <c r="E118" s="293"/>
      <c r="F118" s="385"/>
      <c r="G118" s="396"/>
      <c r="I118" s="396"/>
      <c r="J118" s="437"/>
      <c r="K118" s="396"/>
      <c r="L118" s="396"/>
      <c r="M118" s="396"/>
      <c r="N118" s="396"/>
      <c r="O118" s="396"/>
      <c r="P118" s="396"/>
      <c r="Q118" s="396"/>
      <c r="R118" s="396"/>
      <c r="S118" s="396"/>
      <c r="T118" s="396"/>
    </row>
    <row r="119" spans="2:20" ht="15">
      <c r="B119" s="1674"/>
      <c r="C119" s="2558" t="s">
        <v>380</v>
      </c>
      <c r="D119" s="779"/>
      <c r="E119" s="293"/>
      <c r="F119" s="385"/>
      <c r="G119" s="396"/>
      <c r="I119" s="396"/>
      <c r="J119" s="437"/>
      <c r="K119" s="396"/>
      <c r="L119" s="396"/>
      <c r="M119" s="396"/>
      <c r="N119" s="396"/>
      <c r="O119" s="396"/>
      <c r="P119" s="396"/>
      <c r="Q119" s="396"/>
      <c r="R119" s="396"/>
      <c r="S119" s="396"/>
      <c r="T119" s="396"/>
    </row>
    <row r="120" spans="2:20" ht="15">
      <c r="B120" s="1674"/>
      <c r="C120" s="2561" t="s">
        <v>381</v>
      </c>
      <c r="D120" s="779"/>
      <c r="E120" s="293"/>
      <c r="F120" s="385"/>
      <c r="G120" s="396"/>
      <c r="I120" s="396"/>
      <c r="J120" s="437"/>
      <c r="K120" s="396"/>
      <c r="L120" s="396"/>
      <c r="M120" s="396"/>
      <c r="N120" s="396"/>
      <c r="O120" s="396"/>
      <c r="P120" s="396"/>
      <c r="Q120" s="396"/>
      <c r="R120" s="396"/>
      <c r="S120" s="396"/>
      <c r="T120" s="396"/>
    </row>
    <row r="121" spans="2:20" ht="25.5">
      <c r="B121" s="1676">
        <v>9</v>
      </c>
      <c r="C121" s="2580" t="s">
        <v>282</v>
      </c>
      <c r="D121" s="2581">
        <v>1030885</v>
      </c>
      <c r="F121" s="385"/>
      <c r="G121" s="396"/>
      <c r="I121" s="396"/>
      <c r="J121" s="437"/>
      <c r="K121" s="396"/>
      <c r="L121" s="396"/>
      <c r="M121" s="396"/>
      <c r="N121" s="396"/>
      <c r="O121" s="396"/>
      <c r="P121" s="396"/>
      <c r="Q121" s="396"/>
      <c r="R121" s="396"/>
      <c r="S121" s="396"/>
    </row>
    <row r="122" spans="2:20" ht="15">
      <c r="B122" s="1674">
        <v>10</v>
      </c>
      <c r="C122" s="2558" t="s">
        <v>283</v>
      </c>
      <c r="D122" s="779"/>
      <c r="E122" s="293"/>
      <c r="F122" s="385"/>
      <c r="G122" s="396"/>
      <c r="I122" s="396"/>
      <c r="J122" s="437"/>
      <c r="K122" s="396"/>
      <c r="L122" s="396"/>
      <c r="M122" s="396"/>
      <c r="N122" s="396"/>
      <c r="O122" s="396"/>
      <c r="P122" s="396"/>
      <c r="Q122" s="396"/>
      <c r="R122" s="396"/>
      <c r="S122" s="396"/>
      <c r="T122" s="396"/>
    </row>
    <row r="123" spans="2:20">
      <c r="B123" s="1674">
        <v>11</v>
      </c>
      <c r="C123" s="2558" t="s">
        <v>284</v>
      </c>
      <c r="D123" s="2578">
        <v>938381</v>
      </c>
      <c r="E123" s="293"/>
      <c r="F123" s="385"/>
      <c r="G123" s="396"/>
      <c r="I123" s="396"/>
      <c r="J123" s="437"/>
      <c r="K123" s="396"/>
      <c r="L123" s="396"/>
      <c r="M123" s="396"/>
      <c r="N123" s="396"/>
      <c r="O123" s="396"/>
      <c r="P123" s="396"/>
      <c r="Q123" s="396"/>
      <c r="R123" s="396"/>
      <c r="S123" s="396"/>
      <c r="T123" s="396"/>
    </row>
    <row r="124" spans="2:20">
      <c r="B124" s="1674">
        <v>12</v>
      </c>
      <c r="C124" s="2558" t="s">
        <v>285</v>
      </c>
      <c r="D124" s="781">
        <v>92504</v>
      </c>
      <c r="E124" s="293"/>
      <c r="F124" s="385"/>
      <c r="G124" s="396"/>
      <c r="I124" s="396"/>
      <c r="J124" s="437"/>
      <c r="K124" s="396"/>
      <c r="L124" s="396"/>
      <c r="M124" s="396"/>
      <c r="N124" s="396"/>
      <c r="O124" s="396"/>
      <c r="P124" s="396"/>
      <c r="Q124" s="396"/>
      <c r="R124" s="396"/>
      <c r="S124" s="396"/>
      <c r="T124" s="396"/>
    </row>
    <row r="125" spans="2:20" ht="25.5">
      <c r="B125" s="1674">
        <v>13</v>
      </c>
      <c r="C125" s="2558" t="s">
        <v>286</v>
      </c>
      <c r="D125" s="2582"/>
      <c r="E125" s="293"/>
      <c r="F125" s="385"/>
      <c r="G125" s="396"/>
      <c r="I125" s="396"/>
      <c r="J125" s="437"/>
      <c r="K125" s="396"/>
      <c r="L125" s="396"/>
      <c r="M125" s="396"/>
      <c r="N125" s="396"/>
      <c r="O125" s="396"/>
      <c r="P125" s="396"/>
      <c r="Q125" s="396"/>
      <c r="R125" s="396"/>
      <c r="S125" s="396"/>
      <c r="T125" s="396"/>
    </row>
    <row r="126" spans="2:20">
      <c r="B126" s="1674">
        <v>14</v>
      </c>
      <c r="C126" s="2178" t="s">
        <v>287</v>
      </c>
      <c r="D126" s="783"/>
      <c r="E126" s="293"/>
      <c r="F126" s="385"/>
      <c r="G126" s="396"/>
      <c r="I126" s="396"/>
      <c r="J126" s="437"/>
      <c r="K126" s="396"/>
      <c r="L126" s="396"/>
      <c r="M126" s="396"/>
      <c r="N126" s="396"/>
      <c r="O126" s="396"/>
      <c r="P126" s="396"/>
      <c r="Q126" s="396"/>
      <c r="R126" s="396"/>
      <c r="S126" s="396"/>
      <c r="T126" s="396"/>
    </row>
    <row r="127" spans="2:20">
      <c r="B127" s="1674">
        <v>15</v>
      </c>
      <c r="C127" s="2178" t="s">
        <v>288</v>
      </c>
      <c r="D127" s="2578">
        <v>213349</v>
      </c>
      <c r="E127" s="293"/>
      <c r="F127" s="385"/>
      <c r="G127" s="396"/>
      <c r="I127" s="396"/>
      <c r="J127" s="437"/>
      <c r="K127" s="396"/>
      <c r="L127" s="396"/>
      <c r="M127" s="396"/>
      <c r="N127" s="396"/>
      <c r="O127" s="396"/>
      <c r="P127" s="396"/>
      <c r="Q127" s="396"/>
      <c r="R127" s="396"/>
      <c r="S127" s="396"/>
      <c r="T127" s="396"/>
    </row>
    <row r="128" spans="2:20">
      <c r="B128" s="1674">
        <v>16</v>
      </c>
      <c r="C128" s="2178" t="s">
        <v>289</v>
      </c>
      <c r="D128" s="781">
        <v>767090</v>
      </c>
      <c r="E128" s="293"/>
      <c r="F128" s="385"/>
      <c r="G128" s="396"/>
      <c r="I128" s="396"/>
      <c r="J128" s="437"/>
      <c r="K128" s="396"/>
      <c r="L128" s="396"/>
      <c r="M128" s="396"/>
      <c r="N128" s="396"/>
      <c r="O128" s="396"/>
      <c r="P128" s="396"/>
      <c r="Q128" s="396"/>
      <c r="R128" s="396"/>
      <c r="S128" s="396"/>
      <c r="T128" s="396"/>
    </row>
    <row r="129" spans="2:20">
      <c r="B129" s="1674">
        <v>17</v>
      </c>
      <c r="C129" s="2561" t="s">
        <v>290</v>
      </c>
      <c r="D129" s="781">
        <v>143818</v>
      </c>
      <c r="E129" s="293"/>
      <c r="F129" s="385"/>
      <c r="G129" s="396"/>
      <c r="I129" s="396"/>
      <c r="J129" s="437"/>
      <c r="K129" s="396"/>
      <c r="L129" s="396"/>
      <c r="M129" s="396"/>
      <c r="N129" s="396"/>
      <c r="O129" s="396"/>
      <c r="P129" s="396"/>
      <c r="Q129" s="396"/>
      <c r="R129" s="396"/>
      <c r="S129" s="396"/>
      <c r="T129" s="396"/>
    </row>
    <row r="130" spans="2:20">
      <c r="B130" s="1674">
        <v>18</v>
      </c>
      <c r="C130" s="2558" t="s">
        <v>291</v>
      </c>
      <c r="D130" s="2582"/>
      <c r="E130" s="293"/>
      <c r="F130" s="385"/>
      <c r="G130" s="396"/>
      <c r="I130" s="396"/>
      <c r="J130" s="437"/>
      <c r="K130" s="396"/>
      <c r="L130" s="396"/>
      <c r="M130" s="396"/>
      <c r="N130" s="396"/>
      <c r="O130" s="396"/>
      <c r="P130" s="396"/>
      <c r="Q130" s="396"/>
      <c r="R130" s="396"/>
      <c r="S130" s="396"/>
      <c r="T130" s="396"/>
    </row>
    <row r="131" spans="2:20" ht="13.5" thickBot="1">
      <c r="B131" s="1674">
        <v>19</v>
      </c>
      <c r="C131" s="2561" t="s">
        <v>292</v>
      </c>
      <c r="D131" s="2583">
        <v>56793</v>
      </c>
      <c r="E131" s="293"/>
      <c r="F131" s="385"/>
      <c r="G131" s="396"/>
      <c r="I131" s="396"/>
      <c r="J131" s="437"/>
      <c r="K131" s="396"/>
      <c r="L131" s="396"/>
      <c r="M131" s="396"/>
      <c r="N131" s="396"/>
      <c r="O131" s="396"/>
      <c r="P131" s="396"/>
      <c r="Q131" s="396"/>
      <c r="R131" s="396"/>
      <c r="S131" s="396"/>
      <c r="T131" s="396"/>
    </row>
    <row r="132" spans="2:20" ht="26.25" thickBot="1">
      <c r="B132" s="1686">
        <v>20</v>
      </c>
      <c r="C132" s="1722" t="s">
        <v>293</v>
      </c>
      <c r="D132" s="1714">
        <v>3402269</v>
      </c>
      <c r="E132" s="293"/>
      <c r="F132" s="385"/>
      <c r="G132" s="396"/>
      <c r="I132" s="396"/>
      <c r="J132" s="437"/>
      <c r="K132" s="396"/>
      <c r="L132" s="396"/>
      <c r="M132" s="396"/>
      <c r="N132" s="396"/>
      <c r="O132" s="396"/>
      <c r="P132" s="396"/>
      <c r="Q132" s="396"/>
      <c r="R132" s="396"/>
      <c r="S132" s="396"/>
      <c r="T132" s="396"/>
    </row>
    <row r="133" spans="2:20" ht="15">
      <c r="B133" s="1674"/>
      <c r="C133" s="1696" t="s">
        <v>294</v>
      </c>
      <c r="D133" s="779"/>
      <c r="E133" s="293"/>
      <c r="F133" s="385"/>
      <c r="G133" s="396"/>
      <c r="I133" s="396"/>
      <c r="J133" s="437"/>
      <c r="K133" s="396"/>
      <c r="L133" s="396"/>
      <c r="M133" s="396"/>
      <c r="N133" s="396"/>
      <c r="O133" s="396"/>
      <c r="P133" s="396"/>
      <c r="Q133" s="396"/>
      <c r="R133" s="396"/>
      <c r="S133" s="396"/>
      <c r="T133" s="396"/>
    </row>
    <row r="134" spans="2:20" ht="15">
      <c r="B134" s="1674"/>
      <c r="C134" s="1695" t="s">
        <v>295</v>
      </c>
      <c r="D134" s="779"/>
      <c r="E134" s="293"/>
      <c r="F134" s="385"/>
      <c r="G134" s="396"/>
      <c r="I134" s="396"/>
      <c r="J134" s="437"/>
      <c r="K134" s="396"/>
      <c r="L134" s="396"/>
      <c r="M134" s="396"/>
      <c r="N134" s="396"/>
      <c r="O134" s="396"/>
      <c r="P134" s="396"/>
      <c r="Q134" s="396"/>
      <c r="R134" s="396"/>
      <c r="S134" s="396"/>
      <c r="T134" s="396"/>
    </row>
    <row r="135" spans="2:20">
      <c r="B135" s="1674">
        <v>21</v>
      </c>
      <c r="C135" s="2558" t="s">
        <v>296</v>
      </c>
      <c r="D135" s="2578">
        <v>906280</v>
      </c>
      <c r="E135" s="293"/>
      <c r="F135" s="385"/>
      <c r="G135" s="396"/>
      <c r="I135" s="396"/>
      <c r="J135" s="437"/>
      <c r="K135" s="396"/>
      <c r="L135" s="396"/>
      <c r="M135" s="396"/>
      <c r="N135" s="396"/>
      <c r="O135" s="396"/>
      <c r="P135" s="396"/>
      <c r="Q135" s="396"/>
      <c r="R135" s="396"/>
      <c r="S135" s="396"/>
      <c r="T135" s="396"/>
    </row>
    <row r="136" spans="2:20">
      <c r="B136" s="1674">
        <v>22</v>
      </c>
      <c r="C136" s="2178" t="s">
        <v>297</v>
      </c>
      <c r="D136" s="781">
        <v>38832</v>
      </c>
      <c r="E136" s="293"/>
      <c r="F136" s="385"/>
      <c r="G136" s="396"/>
      <c r="I136" s="396"/>
      <c r="J136" s="437"/>
      <c r="K136" s="396"/>
      <c r="L136" s="396"/>
      <c r="M136" s="396"/>
      <c r="N136" s="396"/>
      <c r="O136" s="396"/>
      <c r="P136" s="396"/>
      <c r="Q136" s="396"/>
      <c r="R136" s="396"/>
      <c r="S136" s="396"/>
      <c r="T136" s="396"/>
    </row>
    <row r="137" spans="2:20">
      <c r="B137" s="1674">
        <v>23</v>
      </c>
      <c r="C137" s="2178" t="s">
        <v>298</v>
      </c>
      <c r="D137" s="781">
        <v>265304</v>
      </c>
      <c r="E137" s="293"/>
      <c r="F137" s="385"/>
      <c r="G137" s="396"/>
      <c r="I137" s="396"/>
      <c r="J137" s="437"/>
      <c r="K137" s="396"/>
      <c r="L137" s="396"/>
      <c r="M137" s="396"/>
      <c r="N137" s="396"/>
      <c r="O137" s="396"/>
      <c r="P137" s="396"/>
      <c r="Q137" s="396"/>
      <c r="R137" s="396"/>
      <c r="S137" s="396"/>
      <c r="T137" s="396"/>
    </row>
    <row r="138" spans="2:20">
      <c r="B138" s="1674">
        <v>24</v>
      </c>
      <c r="C138" s="2178" t="s">
        <v>299</v>
      </c>
      <c r="D138" s="2582"/>
      <c r="E138" s="293"/>
      <c r="F138" s="385"/>
      <c r="G138" s="396"/>
      <c r="I138" s="396"/>
      <c r="J138" s="437"/>
      <c r="K138" s="396"/>
      <c r="L138" s="396"/>
      <c r="M138" s="396"/>
      <c r="N138" s="396"/>
      <c r="O138" s="396"/>
      <c r="P138" s="396"/>
      <c r="Q138" s="396"/>
      <c r="R138" s="396"/>
      <c r="S138" s="396"/>
      <c r="T138" s="396"/>
    </row>
    <row r="139" spans="2:20">
      <c r="B139" s="1674">
        <v>25</v>
      </c>
      <c r="C139" s="2558" t="s">
        <v>300</v>
      </c>
      <c r="D139" s="783"/>
      <c r="E139" s="293"/>
      <c r="F139" s="385"/>
      <c r="G139" s="396"/>
      <c r="I139" s="396"/>
      <c r="J139" s="437"/>
      <c r="K139" s="396"/>
      <c r="L139" s="396"/>
      <c r="M139" s="396"/>
      <c r="N139" s="396"/>
      <c r="O139" s="396"/>
      <c r="P139" s="396"/>
      <c r="Q139" s="396"/>
      <c r="R139" s="396"/>
      <c r="S139" s="396"/>
      <c r="T139" s="396"/>
    </row>
    <row r="140" spans="2:20" ht="13.5" thickBot="1">
      <c r="B140" s="1674">
        <v>26</v>
      </c>
      <c r="C140" s="2575" t="s">
        <v>301</v>
      </c>
      <c r="D140" s="789">
        <v>640477</v>
      </c>
      <c r="E140" s="293"/>
      <c r="F140" s="385"/>
      <c r="G140" s="396"/>
      <c r="I140" s="396"/>
      <c r="J140" s="437"/>
      <c r="K140" s="396"/>
      <c r="L140" s="396"/>
      <c r="M140" s="396"/>
      <c r="N140" s="396"/>
      <c r="O140" s="396"/>
      <c r="P140" s="396"/>
      <c r="Q140" s="396"/>
      <c r="R140" s="396"/>
      <c r="S140" s="396"/>
      <c r="T140" s="396"/>
    </row>
    <row r="141" spans="2:20" ht="13.5" thickBot="1">
      <c r="B141" s="1677">
        <v>27</v>
      </c>
      <c r="C141" s="1694" t="s">
        <v>392</v>
      </c>
      <c r="D141" s="787">
        <v>1850893</v>
      </c>
      <c r="E141" s="293"/>
      <c r="F141" s="385"/>
      <c r="G141" s="396"/>
      <c r="I141" s="396"/>
      <c r="J141" s="437"/>
      <c r="K141" s="396"/>
      <c r="L141" s="396"/>
      <c r="M141" s="396"/>
      <c r="N141" s="396"/>
      <c r="O141" s="396"/>
      <c r="P141" s="396"/>
      <c r="Q141" s="396"/>
      <c r="R141" s="396"/>
      <c r="S141" s="396"/>
      <c r="T141" s="396"/>
    </row>
    <row r="142" spans="2:20" ht="15">
      <c r="B142" s="1674"/>
      <c r="C142" s="1693" t="s">
        <v>385</v>
      </c>
      <c r="D142" s="779"/>
      <c r="E142" s="293"/>
      <c r="F142" s="385"/>
      <c r="G142" s="396"/>
      <c r="I142" s="396"/>
      <c r="J142" s="437"/>
      <c r="K142" s="396"/>
      <c r="L142" s="396"/>
      <c r="M142" s="396"/>
      <c r="N142" s="396"/>
      <c r="O142" s="396"/>
      <c r="P142" s="396"/>
      <c r="Q142" s="396"/>
      <c r="R142" s="396"/>
      <c r="S142" s="396"/>
      <c r="T142" s="396"/>
    </row>
    <row r="143" spans="2:20">
      <c r="B143" s="1674">
        <v>28</v>
      </c>
      <c r="C143" s="2558" t="s">
        <v>304</v>
      </c>
      <c r="D143" s="781">
        <v>1860001</v>
      </c>
      <c r="E143" s="293"/>
      <c r="F143" s="385"/>
      <c r="G143" s="396"/>
      <c r="I143" s="396"/>
      <c r="J143" s="437"/>
      <c r="K143" s="396"/>
      <c r="L143" s="396"/>
      <c r="M143" s="396"/>
      <c r="N143" s="396"/>
      <c r="O143" s="396"/>
      <c r="P143" s="396"/>
      <c r="Q143" s="396"/>
      <c r="R143" s="396"/>
      <c r="S143" s="396"/>
      <c r="T143" s="396"/>
    </row>
    <row r="144" spans="2:20">
      <c r="B144" s="1674">
        <v>29</v>
      </c>
      <c r="C144" s="2558" t="s">
        <v>305</v>
      </c>
      <c r="D144" s="783"/>
      <c r="E144" s="293"/>
      <c r="F144" s="385"/>
      <c r="G144" s="396"/>
      <c r="I144" s="396"/>
      <c r="J144" s="437"/>
      <c r="K144" s="396"/>
      <c r="L144" s="396"/>
      <c r="M144" s="396"/>
      <c r="N144" s="396"/>
      <c r="O144" s="396"/>
      <c r="P144" s="396"/>
      <c r="Q144" s="396"/>
      <c r="R144" s="396"/>
      <c r="S144" s="396"/>
      <c r="T144" s="396"/>
    </row>
    <row r="145" spans="2:20">
      <c r="B145" s="1674">
        <v>30</v>
      </c>
      <c r="C145" s="2584" t="s">
        <v>306</v>
      </c>
      <c r="D145" s="781">
        <v>28450</v>
      </c>
      <c r="E145" s="293"/>
      <c r="F145" s="385"/>
      <c r="G145" s="396"/>
      <c r="I145" s="396"/>
      <c r="J145" s="437"/>
      <c r="K145" s="396"/>
      <c r="L145" s="396"/>
      <c r="M145" s="396"/>
      <c r="N145" s="396"/>
      <c r="O145" s="396"/>
      <c r="P145" s="396"/>
      <c r="Q145" s="396"/>
      <c r="R145" s="396"/>
      <c r="S145" s="396"/>
      <c r="T145" s="396"/>
    </row>
    <row r="146" spans="2:20" ht="13.5" thickBot="1">
      <c r="B146" s="1674">
        <v>31</v>
      </c>
      <c r="C146" s="2584" t="s">
        <v>308</v>
      </c>
      <c r="D146" s="786">
        <v>-337076</v>
      </c>
      <c r="E146" s="293"/>
      <c r="F146" s="385"/>
      <c r="G146" s="396"/>
      <c r="I146" s="396"/>
      <c r="J146" s="437"/>
      <c r="K146" s="396"/>
      <c r="L146" s="396"/>
      <c r="M146" s="396"/>
      <c r="N146" s="396"/>
      <c r="O146" s="396"/>
      <c r="P146" s="396"/>
      <c r="Q146" s="396"/>
      <c r="R146" s="396"/>
      <c r="S146" s="396"/>
      <c r="T146" s="396"/>
    </row>
    <row r="147" spans="2:20" ht="13.5" thickBot="1">
      <c r="B147" s="1677">
        <v>32</v>
      </c>
      <c r="C147" s="1694" t="s">
        <v>309</v>
      </c>
      <c r="D147" s="787">
        <v>1551376</v>
      </c>
      <c r="E147" s="293"/>
      <c r="F147" s="385"/>
      <c r="G147" s="396"/>
      <c r="I147" s="396"/>
      <c r="J147" s="437"/>
      <c r="K147" s="396"/>
      <c r="L147" s="396"/>
      <c r="M147" s="396"/>
      <c r="N147" s="396"/>
      <c r="O147" s="396"/>
      <c r="P147" s="396"/>
      <c r="Q147" s="396"/>
      <c r="R147" s="396"/>
      <c r="S147" s="396"/>
      <c r="T147" s="396"/>
    </row>
    <row r="148" spans="2:20" ht="26.25" thickBot="1">
      <c r="B148" s="1689">
        <v>33</v>
      </c>
      <c r="C148" s="1720" t="s">
        <v>387</v>
      </c>
      <c r="D148" s="1715">
        <v>3402269</v>
      </c>
      <c r="E148" s="293"/>
      <c r="F148" s="385"/>
      <c r="G148" s="396"/>
      <c r="I148" s="396"/>
      <c r="J148" s="437"/>
      <c r="K148" s="396"/>
      <c r="L148" s="396"/>
      <c r="M148" s="396"/>
      <c r="N148" s="396"/>
      <c r="O148" s="396"/>
      <c r="P148" s="396"/>
      <c r="Q148" s="396"/>
      <c r="R148" s="396"/>
      <c r="S148" s="396"/>
      <c r="T148" s="396"/>
    </row>
    <row r="149" spans="2:20">
      <c r="B149" s="274"/>
      <c r="C149" s="634"/>
      <c r="D149" s="383"/>
      <c r="E149" s="293"/>
      <c r="I149" s="396"/>
      <c r="J149" s="396"/>
      <c r="K149" s="396"/>
      <c r="L149" s="396"/>
      <c r="M149" s="396"/>
      <c r="N149" s="396"/>
      <c r="O149" s="396"/>
      <c r="P149" s="396"/>
      <c r="Q149" s="396"/>
      <c r="R149" s="396"/>
      <c r="S149" s="396"/>
      <c r="T149" s="396"/>
    </row>
    <row r="150" spans="2:20">
      <c r="B150" s="196"/>
      <c r="C150" s="634"/>
      <c r="D150" s="529"/>
      <c r="E150" s="383"/>
      <c r="F150" s="293"/>
      <c r="H150" s="292">
        <v>83</v>
      </c>
      <c r="I150" s="396"/>
      <c r="J150" s="396"/>
      <c r="K150" s="396"/>
      <c r="L150" s="396"/>
      <c r="M150" s="396"/>
      <c r="N150" s="396"/>
      <c r="O150" s="396"/>
      <c r="P150" s="396"/>
      <c r="Q150" s="396"/>
      <c r="R150" s="396"/>
      <c r="S150" s="396"/>
      <c r="T150" s="396"/>
    </row>
    <row r="151" spans="2:20">
      <c r="B151" s="274"/>
      <c r="C151" s="391"/>
      <c r="D151" s="547"/>
      <c r="E151" s="536"/>
      <c r="F151" s="293"/>
      <c r="I151" s="396"/>
      <c r="J151" s="396"/>
      <c r="K151" s="396"/>
      <c r="L151" s="396"/>
      <c r="M151" s="396"/>
      <c r="N151" s="396"/>
      <c r="O151" s="396"/>
      <c r="P151" s="396"/>
      <c r="Q151" s="396"/>
      <c r="R151" s="396"/>
      <c r="S151" s="396"/>
      <c r="T151" s="396"/>
    </row>
    <row r="152" spans="2:20">
      <c r="B152" s="236" t="s">
        <v>389</v>
      </c>
      <c r="D152" s="236"/>
      <c r="E152" s="236"/>
      <c r="F152" s="236"/>
      <c r="I152" s="396"/>
      <c r="J152" s="396"/>
      <c r="K152" s="396"/>
      <c r="L152" s="396"/>
      <c r="M152" s="396"/>
      <c r="N152" s="396"/>
      <c r="O152" s="396"/>
      <c r="P152" s="396"/>
      <c r="Q152" s="396"/>
      <c r="R152" s="396"/>
      <c r="S152" s="396"/>
      <c r="T152" s="396"/>
    </row>
    <row r="153" spans="2:20" ht="13.5" thickBot="1">
      <c r="B153" s="51"/>
      <c r="C153" s="51"/>
      <c r="D153" s="51"/>
      <c r="E153" s="51"/>
      <c r="F153" s="51"/>
      <c r="I153" s="396"/>
      <c r="J153" s="396"/>
      <c r="K153" s="396"/>
      <c r="L153" s="396"/>
      <c r="M153" s="396"/>
      <c r="N153" s="396"/>
      <c r="O153" s="396"/>
      <c r="P153" s="396"/>
      <c r="Q153" s="396"/>
      <c r="R153" s="396"/>
      <c r="S153" s="396"/>
      <c r="T153" s="396"/>
    </row>
    <row r="154" spans="2:20" ht="13.5" thickBot="1">
      <c r="B154" s="3582" t="s">
        <v>99</v>
      </c>
      <c r="C154" s="3583"/>
      <c r="D154" s="425"/>
      <c r="E154" s="535"/>
      <c r="F154" s="396"/>
      <c r="I154" s="396"/>
      <c r="J154" s="396"/>
      <c r="K154" s="396"/>
      <c r="L154" s="396"/>
      <c r="M154" s="396"/>
      <c r="N154" s="396"/>
      <c r="O154" s="396"/>
      <c r="P154" s="396"/>
      <c r="Q154" s="396"/>
      <c r="R154" s="396"/>
      <c r="S154" s="396"/>
      <c r="T154" s="396"/>
    </row>
    <row r="155" spans="2:20">
      <c r="B155" s="3520" t="s">
        <v>372</v>
      </c>
      <c r="C155" s="3591"/>
      <c r="D155" s="3518" t="s">
        <v>391</v>
      </c>
      <c r="E155" s="274"/>
      <c r="I155" s="396"/>
      <c r="J155" s="396"/>
      <c r="K155" s="396"/>
      <c r="L155" s="396"/>
      <c r="M155" s="396"/>
      <c r="N155" s="396"/>
      <c r="O155" s="396"/>
      <c r="P155" s="396"/>
      <c r="Q155" s="396"/>
      <c r="R155" s="396"/>
      <c r="S155" s="396"/>
      <c r="T155" s="396"/>
    </row>
    <row r="156" spans="2:20">
      <c r="B156" s="3520"/>
      <c r="C156" s="3591"/>
      <c r="D156" s="3520"/>
      <c r="E156" s="443"/>
      <c r="I156" s="396"/>
      <c r="J156" s="396"/>
      <c r="K156" s="396"/>
      <c r="L156" s="396"/>
      <c r="M156" s="396"/>
      <c r="N156" s="396"/>
      <c r="O156" s="396"/>
      <c r="P156" s="396"/>
      <c r="Q156" s="396"/>
      <c r="R156" s="396"/>
      <c r="S156" s="396"/>
      <c r="T156" s="396"/>
    </row>
    <row r="157" spans="2:20">
      <c r="B157" s="3519"/>
      <c r="C157" s="3591"/>
      <c r="D157" s="3519"/>
      <c r="E157" s="443"/>
      <c r="I157" s="396"/>
      <c r="J157" s="396"/>
      <c r="K157" s="396"/>
      <c r="L157" s="396"/>
      <c r="M157" s="396"/>
      <c r="N157" s="396"/>
      <c r="O157" s="396"/>
      <c r="P157" s="396"/>
      <c r="Q157" s="396"/>
      <c r="R157" s="396"/>
      <c r="S157" s="396"/>
      <c r="T157" s="396"/>
    </row>
    <row r="158" spans="2:20" ht="15">
      <c r="B158" s="1674"/>
      <c r="C158" s="1697" t="s">
        <v>269</v>
      </c>
      <c r="D158" s="2585"/>
      <c r="E158" s="293"/>
      <c r="I158" s="396"/>
      <c r="J158" s="396"/>
      <c r="K158" s="396"/>
      <c r="L158" s="396"/>
      <c r="M158" s="396"/>
      <c r="N158" s="396"/>
      <c r="O158" s="396"/>
      <c r="P158" s="396"/>
      <c r="Q158" s="396"/>
      <c r="R158" s="396"/>
      <c r="S158" s="396"/>
      <c r="T158" s="396"/>
    </row>
    <row r="159" spans="2:20">
      <c r="B159" s="1674">
        <v>1</v>
      </c>
      <c r="C159" s="2318" t="s">
        <v>270</v>
      </c>
      <c r="D159" s="791"/>
      <c r="E159" s="293"/>
      <c r="F159" s="385"/>
      <c r="I159" s="396"/>
      <c r="J159" s="396"/>
      <c r="K159" s="396"/>
      <c r="L159" s="396"/>
      <c r="M159" s="396"/>
      <c r="N159" s="396"/>
      <c r="O159" s="396"/>
      <c r="P159" s="396"/>
      <c r="Q159" s="396"/>
      <c r="R159" s="396"/>
      <c r="S159" s="396"/>
      <c r="T159" s="396"/>
    </row>
    <row r="160" spans="2:20">
      <c r="B160" s="1674">
        <v>2</v>
      </c>
      <c r="C160" s="2318" t="s">
        <v>271</v>
      </c>
      <c r="D160" s="792">
        <v>2404</v>
      </c>
      <c r="E160" s="293"/>
      <c r="F160" s="385"/>
      <c r="G160" s="396"/>
      <c r="I160" s="396"/>
      <c r="J160" s="396"/>
      <c r="K160" s="396"/>
      <c r="L160" s="396"/>
      <c r="M160" s="396"/>
      <c r="N160" s="396"/>
      <c r="O160" s="396"/>
      <c r="P160" s="396"/>
      <c r="Q160" s="396"/>
      <c r="R160" s="396"/>
      <c r="S160" s="396"/>
      <c r="T160" s="396"/>
    </row>
    <row r="161" spans="2:20">
      <c r="B161" s="1674">
        <v>3</v>
      </c>
      <c r="C161" s="2318" t="s">
        <v>272</v>
      </c>
      <c r="D161" s="791"/>
      <c r="E161" s="293"/>
      <c r="F161" s="385"/>
      <c r="G161" s="396"/>
      <c r="I161" s="396"/>
      <c r="J161" s="396"/>
      <c r="K161" s="396"/>
      <c r="L161" s="396"/>
      <c r="M161" s="396"/>
      <c r="N161" s="396"/>
      <c r="O161" s="396"/>
      <c r="P161" s="396"/>
      <c r="Q161" s="396"/>
      <c r="R161" s="396"/>
      <c r="S161" s="396"/>
      <c r="T161" s="396"/>
    </row>
    <row r="162" spans="2:20">
      <c r="B162" s="1674">
        <v>4</v>
      </c>
      <c r="C162" s="2558" t="s">
        <v>273</v>
      </c>
      <c r="D162" s="791"/>
      <c r="E162" s="293"/>
      <c r="F162" s="385"/>
      <c r="G162" s="396"/>
      <c r="I162" s="396"/>
      <c r="J162" s="396"/>
      <c r="K162" s="396"/>
      <c r="L162" s="396"/>
      <c r="M162" s="396"/>
      <c r="N162" s="396"/>
      <c r="O162" s="396"/>
      <c r="P162" s="396"/>
      <c r="Q162" s="396"/>
      <c r="R162" s="396"/>
      <c r="S162" s="396"/>
      <c r="T162" s="396"/>
    </row>
    <row r="163" spans="2:20">
      <c r="B163" s="1674">
        <v>5</v>
      </c>
      <c r="C163" s="2318" t="s">
        <v>274</v>
      </c>
      <c r="D163" s="792">
        <v>184765</v>
      </c>
      <c r="E163" s="293"/>
      <c r="F163" s="385"/>
      <c r="G163" s="396"/>
      <c r="I163" s="396"/>
      <c r="J163" s="396"/>
      <c r="K163" s="396"/>
      <c r="L163" s="396"/>
      <c r="M163" s="396"/>
      <c r="N163" s="396"/>
      <c r="O163" s="396"/>
      <c r="P163" s="396"/>
      <c r="Q163" s="396"/>
      <c r="R163" s="396"/>
      <c r="S163" s="396"/>
      <c r="T163" s="396"/>
    </row>
    <row r="164" spans="2:20">
      <c r="B164" s="1674">
        <v>6</v>
      </c>
      <c r="C164" s="2318" t="s">
        <v>275</v>
      </c>
      <c r="D164" s="791">
        <v>0</v>
      </c>
      <c r="E164" s="293"/>
      <c r="F164" s="385"/>
      <c r="G164" s="396"/>
      <c r="I164" s="396"/>
      <c r="J164" s="396"/>
      <c r="K164" s="396"/>
      <c r="L164" s="396"/>
      <c r="M164" s="396"/>
      <c r="N164" s="396"/>
      <c r="O164" s="396"/>
      <c r="P164" s="396"/>
      <c r="Q164" s="396"/>
      <c r="R164" s="396"/>
      <c r="S164" s="396"/>
      <c r="T164" s="396"/>
    </row>
    <row r="165" spans="2:20">
      <c r="B165" s="1674">
        <v>7</v>
      </c>
      <c r="C165" s="2318" t="s">
        <v>276</v>
      </c>
      <c r="D165" s="792">
        <v>510000</v>
      </c>
      <c r="E165" s="293"/>
      <c r="F165" s="385"/>
      <c r="G165" s="396"/>
      <c r="I165" s="396"/>
      <c r="J165" s="396"/>
      <c r="K165" s="396"/>
      <c r="L165" s="396"/>
      <c r="M165" s="396"/>
      <c r="N165" s="396"/>
      <c r="O165" s="396"/>
      <c r="P165" s="396"/>
      <c r="Q165" s="396"/>
      <c r="R165" s="396"/>
      <c r="S165" s="396"/>
      <c r="T165" s="396"/>
    </row>
    <row r="166" spans="2:20">
      <c r="B166" s="1674"/>
      <c r="C166" s="2558" t="s">
        <v>393</v>
      </c>
      <c r="D166" s="791">
        <v>0</v>
      </c>
      <c r="E166" s="293"/>
      <c r="F166" s="385"/>
      <c r="G166" s="396"/>
      <c r="I166" s="396"/>
      <c r="J166" s="396"/>
      <c r="K166" s="396"/>
      <c r="L166" s="396"/>
      <c r="M166" s="396"/>
      <c r="N166" s="396"/>
      <c r="O166" s="396"/>
      <c r="P166" s="396"/>
      <c r="Q166" s="396"/>
      <c r="R166" s="396"/>
      <c r="S166" s="396"/>
      <c r="T166" s="396"/>
    </row>
    <row r="167" spans="2:20">
      <c r="B167" s="1674"/>
      <c r="C167" s="2558" t="s">
        <v>394</v>
      </c>
      <c r="D167" s="792">
        <v>510000</v>
      </c>
      <c r="E167" s="293"/>
      <c r="F167" s="385"/>
      <c r="G167" s="396"/>
      <c r="I167" s="396"/>
      <c r="J167" s="396"/>
      <c r="K167" s="396"/>
      <c r="L167" s="396"/>
      <c r="M167" s="396"/>
      <c r="N167" s="396"/>
      <c r="O167" s="396"/>
      <c r="P167" s="396"/>
      <c r="Q167" s="396"/>
      <c r="R167" s="396"/>
      <c r="S167" s="396"/>
      <c r="T167" s="396"/>
    </row>
    <row r="168" spans="2:20">
      <c r="B168" s="1674">
        <v>8</v>
      </c>
      <c r="C168" s="2318" t="s">
        <v>279</v>
      </c>
      <c r="D168" s="791"/>
      <c r="E168" s="293"/>
      <c r="F168" s="385"/>
      <c r="G168" s="396"/>
      <c r="I168" s="396"/>
      <c r="J168" s="396"/>
      <c r="K168" s="396"/>
      <c r="L168" s="396"/>
      <c r="M168" s="396"/>
      <c r="N168" s="396"/>
      <c r="O168" s="396"/>
      <c r="P168" s="396"/>
      <c r="Q168" s="396"/>
      <c r="R168" s="396"/>
      <c r="S168" s="396"/>
      <c r="T168" s="396"/>
    </row>
    <row r="169" spans="2:20">
      <c r="B169" s="1674"/>
      <c r="C169" s="2558" t="s">
        <v>395</v>
      </c>
      <c r="D169" s="791"/>
      <c r="E169" s="293"/>
      <c r="F169" s="385"/>
      <c r="G169" s="396"/>
      <c r="I169" s="396"/>
      <c r="J169" s="396"/>
      <c r="K169" s="396"/>
      <c r="L169" s="396"/>
      <c r="M169" s="396"/>
      <c r="N169" s="396"/>
      <c r="O169" s="396"/>
      <c r="P169" s="396"/>
      <c r="Q169" s="396"/>
      <c r="R169" s="396"/>
      <c r="S169" s="396"/>
      <c r="T169" s="396"/>
    </row>
    <row r="170" spans="2:20">
      <c r="B170" s="1674"/>
      <c r="C170" s="2558" t="s">
        <v>396</v>
      </c>
      <c r="D170" s="791"/>
      <c r="E170" s="293"/>
      <c r="F170" s="385"/>
      <c r="G170" s="396"/>
      <c r="I170" s="396"/>
      <c r="J170" s="396"/>
      <c r="K170" s="396"/>
      <c r="L170" s="396"/>
      <c r="M170" s="396"/>
      <c r="N170" s="396"/>
      <c r="O170" s="396"/>
      <c r="P170" s="396"/>
      <c r="Q170" s="396"/>
      <c r="R170" s="396"/>
      <c r="S170" s="396"/>
      <c r="T170" s="396"/>
    </row>
    <row r="171" spans="2:20" ht="25.5">
      <c r="B171" s="1676">
        <v>9</v>
      </c>
      <c r="C171" s="2580" t="s">
        <v>282</v>
      </c>
      <c r="D171" s="793">
        <v>5649584</v>
      </c>
      <c r="F171" s="385"/>
      <c r="G171" s="396"/>
      <c r="I171" s="396"/>
      <c r="J171" s="396"/>
      <c r="K171" s="396"/>
      <c r="L171" s="396"/>
      <c r="M171" s="396"/>
      <c r="N171" s="396"/>
      <c r="O171" s="396"/>
      <c r="P171" s="396"/>
      <c r="Q171" s="396"/>
      <c r="R171" s="396"/>
      <c r="S171" s="396"/>
    </row>
    <row r="172" spans="2:20">
      <c r="B172" s="1674">
        <v>10</v>
      </c>
      <c r="C172" s="2558" t="s">
        <v>283</v>
      </c>
      <c r="D172" s="791">
        <v>0</v>
      </c>
      <c r="E172" s="293"/>
      <c r="F172" s="385"/>
      <c r="G172" s="396"/>
      <c r="I172" s="396"/>
      <c r="J172" s="396"/>
      <c r="K172" s="396"/>
      <c r="L172" s="396"/>
      <c r="M172" s="396"/>
      <c r="N172" s="396"/>
      <c r="O172" s="396"/>
      <c r="P172" s="396"/>
      <c r="Q172" s="396"/>
      <c r="R172" s="396"/>
      <c r="S172" s="396"/>
      <c r="T172" s="396"/>
    </row>
    <row r="173" spans="2:20">
      <c r="B173" s="1674">
        <v>11</v>
      </c>
      <c r="C173" s="2558" t="s">
        <v>284</v>
      </c>
      <c r="D173" s="792">
        <v>4732857</v>
      </c>
      <c r="E173" s="293"/>
      <c r="F173" s="385"/>
      <c r="G173" s="396"/>
      <c r="I173" s="396"/>
      <c r="J173" s="396"/>
      <c r="K173" s="396"/>
      <c r="L173" s="396"/>
      <c r="M173" s="396"/>
      <c r="N173" s="396"/>
      <c r="O173" s="396"/>
      <c r="P173" s="396"/>
      <c r="Q173" s="396"/>
      <c r="R173" s="396"/>
      <c r="S173" s="396"/>
      <c r="T173" s="396"/>
    </row>
    <row r="174" spans="2:20">
      <c r="B174" s="1674">
        <v>12</v>
      </c>
      <c r="C174" s="2558" t="s">
        <v>285</v>
      </c>
      <c r="D174" s="792">
        <v>53848</v>
      </c>
      <c r="E174" s="293"/>
      <c r="F174" s="385"/>
      <c r="G174" s="396"/>
      <c r="I174" s="396"/>
      <c r="J174" s="396"/>
      <c r="K174" s="396"/>
      <c r="L174" s="396"/>
      <c r="M174" s="396"/>
      <c r="N174" s="396"/>
      <c r="O174" s="396"/>
      <c r="P174" s="396"/>
      <c r="Q174" s="396"/>
      <c r="R174" s="396"/>
      <c r="S174" s="396"/>
      <c r="T174" s="396"/>
    </row>
    <row r="175" spans="2:20" ht="25.5">
      <c r="B175" s="1674">
        <v>13</v>
      </c>
      <c r="C175" s="2558" t="s">
        <v>286</v>
      </c>
      <c r="D175" s="792">
        <v>862879</v>
      </c>
      <c r="E175" s="293"/>
      <c r="F175" s="385"/>
      <c r="G175" s="396"/>
      <c r="I175" s="396"/>
      <c r="J175" s="396"/>
      <c r="K175" s="396"/>
      <c r="L175" s="396"/>
      <c r="M175" s="396"/>
      <c r="N175" s="396"/>
      <c r="O175" s="396"/>
      <c r="P175" s="396"/>
      <c r="Q175" s="396"/>
      <c r="R175" s="396"/>
      <c r="S175" s="396"/>
      <c r="T175" s="396"/>
    </row>
    <row r="176" spans="2:20">
      <c r="B176" s="1674">
        <v>14</v>
      </c>
      <c r="C176" s="2178" t="s">
        <v>287</v>
      </c>
      <c r="D176" s="791"/>
      <c r="E176" s="293"/>
      <c r="F176" s="385"/>
      <c r="G176" s="396"/>
      <c r="I176" s="396"/>
      <c r="J176" s="396"/>
      <c r="K176" s="396"/>
      <c r="L176" s="396"/>
      <c r="M176" s="396"/>
      <c r="N176" s="396"/>
      <c r="O176" s="396"/>
      <c r="P176" s="396"/>
      <c r="Q176" s="396"/>
      <c r="R176" s="396"/>
      <c r="S176" s="396"/>
      <c r="T176" s="396"/>
    </row>
    <row r="177" spans="2:20">
      <c r="B177" s="1674">
        <v>15</v>
      </c>
      <c r="C177" s="2178" t="s">
        <v>288</v>
      </c>
      <c r="D177" s="792">
        <v>312242</v>
      </c>
      <c r="E177" s="293"/>
      <c r="F177" s="385"/>
      <c r="G177" s="396"/>
      <c r="I177" s="396"/>
      <c r="J177" s="396"/>
      <c r="K177" s="396"/>
      <c r="L177" s="396"/>
      <c r="M177" s="396"/>
      <c r="N177" s="396"/>
      <c r="O177" s="396"/>
      <c r="P177" s="396"/>
      <c r="Q177" s="396"/>
      <c r="R177" s="396"/>
      <c r="S177" s="396"/>
      <c r="T177" s="396"/>
    </row>
    <row r="178" spans="2:20">
      <c r="B178" s="1674">
        <v>16</v>
      </c>
      <c r="C178" s="2178" t="s">
        <v>289</v>
      </c>
      <c r="D178" s="792">
        <v>1174068</v>
      </c>
      <c r="E178" s="293"/>
      <c r="F178" s="385"/>
      <c r="G178" s="396"/>
      <c r="I178" s="396"/>
      <c r="J178" s="396"/>
      <c r="K178" s="396"/>
      <c r="L178" s="396"/>
      <c r="M178" s="396"/>
      <c r="N178" s="396"/>
      <c r="O178" s="396"/>
      <c r="P178" s="396"/>
      <c r="Q178" s="396"/>
      <c r="R178" s="396"/>
      <c r="S178" s="396"/>
      <c r="T178" s="396"/>
    </row>
    <row r="179" spans="2:20">
      <c r="B179" s="1674">
        <v>17</v>
      </c>
      <c r="C179" s="2178" t="s">
        <v>290</v>
      </c>
      <c r="D179" s="792">
        <v>122479</v>
      </c>
      <c r="E179" s="383"/>
      <c r="F179" s="385"/>
      <c r="G179" s="396"/>
      <c r="I179" s="396"/>
      <c r="J179" s="396"/>
      <c r="K179" s="396"/>
      <c r="L179" s="396"/>
      <c r="M179" s="396"/>
      <c r="N179" s="396"/>
      <c r="O179" s="396"/>
      <c r="P179" s="396"/>
      <c r="Q179" s="396"/>
      <c r="R179" s="396"/>
      <c r="S179" s="396"/>
      <c r="T179" s="396"/>
    </row>
    <row r="180" spans="2:20">
      <c r="B180" s="1674">
        <v>18</v>
      </c>
      <c r="C180" s="2178" t="s">
        <v>291</v>
      </c>
      <c r="D180" s="792">
        <v>349103</v>
      </c>
      <c r="E180" s="293"/>
      <c r="F180" s="385"/>
      <c r="G180" s="396"/>
      <c r="I180" s="396"/>
      <c r="J180" s="396"/>
      <c r="K180" s="396"/>
      <c r="L180" s="396"/>
      <c r="M180" s="396"/>
      <c r="N180" s="396"/>
      <c r="O180" s="396"/>
      <c r="P180" s="396"/>
      <c r="Q180" s="396"/>
      <c r="R180" s="396"/>
      <c r="S180" s="396"/>
      <c r="T180" s="396"/>
    </row>
    <row r="181" spans="2:20" ht="13.5" thickBot="1">
      <c r="B181" s="1674">
        <v>19</v>
      </c>
      <c r="C181" s="2575" t="s">
        <v>292</v>
      </c>
      <c r="D181" s="794">
        <v>150674</v>
      </c>
      <c r="E181" s="293"/>
      <c r="F181" s="385"/>
      <c r="G181" s="396"/>
      <c r="I181" s="396"/>
      <c r="J181" s="396"/>
      <c r="K181" s="396"/>
      <c r="L181" s="396"/>
      <c r="M181" s="396"/>
      <c r="N181" s="396"/>
      <c r="O181" s="396"/>
      <c r="P181" s="396"/>
      <c r="Q181" s="396"/>
      <c r="R181" s="396"/>
      <c r="S181" s="396"/>
      <c r="T181" s="396"/>
    </row>
    <row r="182" spans="2:20" ht="26.25" thickBot="1">
      <c r="B182" s="1686">
        <v>20</v>
      </c>
      <c r="C182" s="1726" t="s">
        <v>293</v>
      </c>
      <c r="D182" s="1706">
        <v>8455319</v>
      </c>
      <c r="E182" s="293"/>
      <c r="F182" s="385"/>
      <c r="G182" s="396"/>
      <c r="I182" s="396"/>
      <c r="J182" s="396"/>
      <c r="K182" s="396"/>
      <c r="L182" s="396"/>
      <c r="M182" s="396"/>
      <c r="N182" s="396"/>
      <c r="O182" s="396"/>
      <c r="P182" s="396"/>
      <c r="Q182" s="396"/>
      <c r="R182" s="396"/>
      <c r="S182" s="396"/>
      <c r="T182" s="396"/>
    </row>
    <row r="183" spans="2:20">
      <c r="B183" s="1674"/>
      <c r="C183" s="1696" t="s">
        <v>294</v>
      </c>
      <c r="D183" s="791"/>
      <c r="E183" s="293"/>
      <c r="F183" s="385"/>
      <c r="G183" s="396"/>
      <c r="I183" s="396"/>
      <c r="J183" s="396"/>
      <c r="K183" s="396"/>
      <c r="L183" s="396"/>
      <c r="M183" s="396"/>
      <c r="N183" s="396"/>
      <c r="O183" s="396"/>
      <c r="P183" s="396"/>
      <c r="Q183" s="396"/>
      <c r="R183" s="396"/>
      <c r="S183" s="396"/>
      <c r="T183" s="396"/>
    </row>
    <row r="184" spans="2:20">
      <c r="B184" s="1674"/>
      <c r="C184" s="2586" t="s">
        <v>295</v>
      </c>
      <c r="D184" s="791"/>
      <c r="E184" s="293"/>
      <c r="F184" s="385"/>
      <c r="G184" s="396"/>
      <c r="I184" s="396"/>
      <c r="J184" s="396"/>
      <c r="K184" s="396"/>
      <c r="L184" s="396"/>
      <c r="M184" s="396"/>
      <c r="N184" s="396"/>
      <c r="O184" s="396"/>
      <c r="P184" s="396"/>
      <c r="Q184" s="396"/>
      <c r="R184" s="396"/>
      <c r="S184" s="396"/>
      <c r="T184" s="396"/>
    </row>
    <row r="185" spans="2:20">
      <c r="B185" s="1674">
        <v>21</v>
      </c>
      <c r="C185" s="2178" t="s">
        <v>296</v>
      </c>
      <c r="D185" s="792">
        <v>2903635</v>
      </c>
      <c r="E185" s="293"/>
      <c r="F185" s="385"/>
      <c r="G185" s="396"/>
      <c r="I185" s="396"/>
      <c r="J185" s="396"/>
      <c r="K185" s="396"/>
      <c r="L185" s="396"/>
      <c r="M185" s="396"/>
      <c r="N185" s="396"/>
      <c r="O185" s="396"/>
      <c r="P185" s="396"/>
      <c r="Q185" s="396"/>
      <c r="R185" s="396"/>
      <c r="S185" s="396"/>
      <c r="T185" s="396"/>
    </row>
    <row r="186" spans="2:20">
      <c r="B186" s="1674">
        <v>22</v>
      </c>
      <c r="C186" s="2178" t="s">
        <v>297</v>
      </c>
      <c r="D186" s="792">
        <v>53185</v>
      </c>
      <c r="E186" s="293"/>
      <c r="F186" s="385"/>
      <c r="G186" s="396"/>
      <c r="I186" s="396"/>
      <c r="J186" s="396"/>
      <c r="K186" s="396"/>
      <c r="L186" s="396"/>
      <c r="M186" s="396"/>
      <c r="N186" s="396"/>
      <c r="O186" s="396"/>
      <c r="P186" s="396"/>
      <c r="Q186" s="396"/>
      <c r="R186" s="396"/>
      <c r="S186" s="396"/>
      <c r="T186" s="396"/>
    </row>
    <row r="187" spans="2:20">
      <c r="B187" s="1674">
        <v>23</v>
      </c>
      <c r="C187" s="2178" t="s">
        <v>298</v>
      </c>
      <c r="D187" s="792">
        <v>837901</v>
      </c>
      <c r="E187" s="293"/>
      <c r="F187" s="385"/>
      <c r="G187" s="396"/>
      <c r="I187" s="396"/>
      <c r="J187" s="396"/>
      <c r="K187" s="396"/>
      <c r="L187" s="396"/>
      <c r="M187" s="396"/>
      <c r="N187" s="396"/>
      <c r="O187" s="396"/>
      <c r="P187" s="396"/>
      <c r="Q187" s="396"/>
      <c r="R187" s="396"/>
      <c r="S187" s="396"/>
      <c r="T187" s="396"/>
    </row>
    <row r="188" spans="2:20">
      <c r="B188" s="1674">
        <v>24</v>
      </c>
      <c r="C188" s="2178" t="s">
        <v>299</v>
      </c>
      <c r="D188" s="791"/>
      <c r="E188" s="293"/>
      <c r="F188" s="385"/>
      <c r="G188" s="396"/>
      <c r="I188" s="396"/>
      <c r="J188" s="396"/>
      <c r="K188" s="396"/>
      <c r="L188" s="396"/>
      <c r="M188" s="396"/>
      <c r="N188" s="396"/>
      <c r="O188" s="396"/>
      <c r="P188" s="396"/>
      <c r="Q188" s="396"/>
      <c r="R188" s="396"/>
      <c r="S188" s="396"/>
      <c r="T188" s="396"/>
    </row>
    <row r="189" spans="2:20">
      <c r="B189" s="1674">
        <v>25</v>
      </c>
      <c r="C189" s="2558" t="s">
        <v>300</v>
      </c>
      <c r="D189" s="791"/>
      <c r="E189" s="293"/>
      <c r="F189" s="385"/>
      <c r="G189" s="396"/>
      <c r="I189" s="396"/>
      <c r="J189" s="396"/>
      <c r="K189" s="396"/>
      <c r="L189" s="396"/>
      <c r="M189" s="396"/>
      <c r="N189" s="396"/>
      <c r="O189" s="396"/>
      <c r="P189" s="396"/>
      <c r="Q189" s="396"/>
      <c r="R189" s="396"/>
      <c r="S189" s="396"/>
      <c r="T189" s="396"/>
    </row>
    <row r="190" spans="2:20" ht="13.5" thickBot="1">
      <c r="B190" s="1674">
        <v>26</v>
      </c>
      <c r="C190" s="2575" t="s">
        <v>301</v>
      </c>
      <c r="D190" s="794">
        <v>1196129</v>
      </c>
      <c r="E190" s="293"/>
      <c r="F190" s="385"/>
      <c r="G190" s="396"/>
      <c r="I190" s="396"/>
      <c r="J190" s="396"/>
      <c r="K190" s="396"/>
      <c r="L190" s="396"/>
      <c r="M190" s="396"/>
      <c r="N190" s="396"/>
      <c r="O190" s="396"/>
      <c r="P190" s="396"/>
      <c r="Q190" s="396"/>
      <c r="R190" s="396"/>
      <c r="S190" s="396"/>
      <c r="T190" s="396"/>
    </row>
    <row r="191" spans="2:20" ht="26.25" thickBot="1">
      <c r="B191" s="1677">
        <v>27</v>
      </c>
      <c r="C191" s="1698" t="s">
        <v>302</v>
      </c>
      <c r="D191" s="795">
        <v>4990850</v>
      </c>
      <c r="E191" s="293"/>
      <c r="F191" s="385"/>
      <c r="G191" s="396"/>
      <c r="I191" s="396"/>
      <c r="J191" s="396"/>
      <c r="K191" s="396"/>
      <c r="L191" s="396"/>
      <c r="M191" s="396"/>
      <c r="N191" s="396"/>
      <c r="O191" s="396"/>
      <c r="P191" s="396"/>
      <c r="Q191" s="396"/>
      <c r="R191" s="396"/>
      <c r="S191" s="396"/>
      <c r="T191" s="396"/>
    </row>
    <row r="192" spans="2:20">
      <c r="B192" s="1674"/>
      <c r="C192" s="1696" t="s">
        <v>303</v>
      </c>
      <c r="D192" s="791"/>
      <c r="E192" s="293"/>
      <c r="F192" s="385"/>
      <c r="G192" s="396"/>
      <c r="I192" s="396"/>
      <c r="J192" s="396"/>
      <c r="K192" s="396"/>
      <c r="L192" s="396"/>
      <c r="M192" s="396"/>
      <c r="N192" s="396"/>
      <c r="O192" s="396"/>
      <c r="P192" s="396"/>
      <c r="Q192" s="396"/>
      <c r="R192" s="396"/>
      <c r="S192" s="396"/>
      <c r="T192" s="396"/>
    </row>
    <row r="193" spans="2:20">
      <c r="B193" s="1674">
        <v>28</v>
      </c>
      <c r="C193" s="2318" t="s">
        <v>304</v>
      </c>
      <c r="D193" s="792">
        <v>1250000</v>
      </c>
      <c r="E193" s="293"/>
      <c r="F193" s="385"/>
      <c r="G193" s="396"/>
      <c r="I193" s="396"/>
      <c r="J193" s="396"/>
      <c r="K193" s="396"/>
      <c r="L193" s="396"/>
      <c r="M193" s="396"/>
      <c r="N193" s="396"/>
      <c r="O193" s="396"/>
      <c r="P193" s="396"/>
      <c r="Q193" s="396"/>
      <c r="R193" s="396"/>
      <c r="S193" s="396"/>
      <c r="T193" s="396"/>
    </row>
    <row r="194" spans="2:20">
      <c r="B194" s="1674">
        <v>29</v>
      </c>
      <c r="C194" s="2318" t="s">
        <v>305</v>
      </c>
      <c r="D194" s="791">
        <v>-518</v>
      </c>
      <c r="E194" s="293"/>
      <c r="F194" s="385"/>
      <c r="G194" s="396"/>
      <c r="I194" s="396"/>
      <c r="J194" s="396"/>
      <c r="K194" s="396"/>
      <c r="L194" s="396"/>
      <c r="M194" s="396"/>
      <c r="N194" s="396"/>
      <c r="O194" s="396"/>
      <c r="P194" s="396"/>
      <c r="Q194" s="396"/>
      <c r="R194" s="396"/>
      <c r="S194" s="396"/>
      <c r="T194" s="396"/>
    </row>
    <row r="195" spans="2:20">
      <c r="B195" s="1674">
        <v>30</v>
      </c>
      <c r="C195" s="2584" t="s">
        <v>306</v>
      </c>
      <c r="D195" s="791"/>
      <c r="E195" s="293"/>
      <c r="F195" s="385"/>
      <c r="G195" s="396"/>
      <c r="I195" s="396"/>
      <c r="J195" s="396"/>
      <c r="K195" s="396"/>
      <c r="L195" s="396"/>
      <c r="M195" s="396"/>
      <c r="N195" s="396"/>
      <c r="O195" s="396"/>
      <c r="P195" s="396"/>
      <c r="Q195" s="396"/>
      <c r="R195" s="396"/>
      <c r="S195" s="396"/>
      <c r="T195" s="396"/>
    </row>
    <row r="196" spans="2:20" ht="13.5" thickBot="1">
      <c r="B196" s="1674">
        <v>31</v>
      </c>
      <c r="C196" s="2584" t="s">
        <v>308</v>
      </c>
      <c r="D196" s="794">
        <v>2214987</v>
      </c>
      <c r="E196" s="293"/>
      <c r="F196" s="385"/>
      <c r="G196" s="396"/>
      <c r="I196" s="396"/>
      <c r="J196" s="396"/>
      <c r="K196" s="396"/>
      <c r="L196" s="396"/>
      <c r="M196" s="396"/>
      <c r="N196" s="396"/>
      <c r="O196" s="396"/>
      <c r="P196" s="396"/>
      <c r="Q196" s="396"/>
      <c r="R196" s="396"/>
      <c r="S196" s="396"/>
      <c r="T196" s="396"/>
    </row>
    <row r="197" spans="2:20" ht="13.5" thickBot="1">
      <c r="B197" s="1677">
        <v>32</v>
      </c>
      <c r="C197" s="1698" t="s">
        <v>309</v>
      </c>
      <c r="D197" s="795">
        <v>3464469</v>
      </c>
      <c r="E197" s="293"/>
      <c r="F197" s="385"/>
      <c r="G197" s="396"/>
      <c r="I197" s="396"/>
      <c r="J197" s="396"/>
      <c r="K197" s="396"/>
      <c r="L197" s="396"/>
      <c r="M197" s="396"/>
      <c r="N197" s="396"/>
      <c r="O197" s="396"/>
      <c r="P197" s="396"/>
      <c r="Q197" s="396"/>
      <c r="R197" s="396"/>
      <c r="S197" s="396"/>
      <c r="T197" s="396"/>
    </row>
    <row r="198" spans="2:20" ht="26.25" thickBot="1">
      <c r="B198" s="1689">
        <v>33</v>
      </c>
      <c r="C198" s="1724" t="s">
        <v>310</v>
      </c>
      <c r="D198" s="1725">
        <v>8455319</v>
      </c>
      <c r="E198" s="293"/>
      <c r="F198" s="385"/>
      <c r="G198" s="396"/>
      <c r="I198" s="396"/>
      <c r="J198" s="396"/>
      <c r="K198" s="396"/>
      <c r="L198" s="396"/>
      <c r="M198" s="396"/>
      <c r="N198" s="396"/>
      <c r="O198" s="396"/>
      <c r="P198" s="396"/>
      <c r="Q198" s="396"/>
      <c r="R198" s="396"/>
      <c r="S198" s="396"/>
      <c r="T198" s="396"/>
    </row>
    <row r="199" spans="2:20">
      <c r="B199" s="196"/>
      <c r="C199" s="391"/>
      <c r="D199" s="547"/>
      <c r="E199" s="383"/>
      <c r="F199" s="293"/>
      <c r="I199" s="396"/>
      <c r="J199" s="396"/>
      <c r="K199" s="396"/>
      <c r="L199" s="396"/>
      <c r="M199" s="396"/>
      <c r="N199" s="396"/>
      <c r="O199" s="396"/>
      <c r="P199" s="396"/>
      <c r="Q199" s="396"/>
      <c r="R199" s="396"/>
      <c r="S199" s="396"/>
      <c r="T199" s="396"/>
    </row>
    <row r="200" spans="2:20">
      <c r="B200" s="196"/>
      <c r="C200" s="391"/>
      <c r="D200" s="547"/>
      <c r="E200" s="383"/>
      <c r="F200" s="293"/>
      <c r="H200" s="292">
        <v>84</v>
      </c>
      <c r="I200" s="396"/>
      <c r="J200" s="396"/>
      <c r="K200" s="396"/>
      <c r="L200" s="396"/>
      <c r="M200" s="396"/>
      <c r="N200" s="396"/>
      <c r="O200" s="396"/>
      <c r="P200" s="396"/>
      <c r="Q200" s="396"/>
      <c r="R200" s="396"/>
      <c r="S200" s="396"/>
      <c r="T200" s="396"/>
    </row>
    <row r="201" spans="2:20">
      <c r="B201" s="196"/>
      <c r="C201" s="391"/>
      <c r="D201" s="547"/>
      <c r="E201" s="383"/>
      <c r="F201" s="293"/>
      <c r="I201" s="396"/>
      <c r="J201" s="396"/>
      <c r="K201" s="396"/>
      <c r="L201" s="396"/>
      <c r="M201" s="396"/>
      <c r="N201" s="396"/>
      <c r="O201" s="396"/>
      <c r="P201" s="396"/>
      <c r="Q201" s="396"/>
      <c r="R201" s="396"/>
      <c r="S201" s="396"/>
      <c r="T201" s="396"/>
    </row>
    <row r="202" spans="2:20">
      <c r="B202" s="236" t="s">
        <v>389</v>
      </c>
      <c r="C202" s="236"/>
      <c r="D202" s="236"/>
      <c r="E202" s="236"/>
      <c r="F202" s="236"/>
      <c r="I202" s="396"/>
      <c r="J202" s="396"/>
      <c r="K202" s="396"/>
      <c r="L202" s="396"/>
      <c r="M202" s="396"/>
      <c r="N202" s="396"/>
      <c r="O202" s="396"/>
      <c r="P202" s="396"/>
      <c r="Q202" s="396"/>
      <c r="R202" s="396"/>
      <c r="S202" s="396"/>
      <c r="T202" s="396"/>
    </row>
    <row r="203" spans="2:20" ht="13.5" thickBot="1">
      <c r="B203" s="51"/>
      <c r="C203" s="51"/>
      <c r="D203" s="51"/>
      <c r="E203" s="51"/>
      <c r="F203" s="51"/>
      <c r="I203" s="396"/>
      <c r="J203" s="396"/>
      <c r="K203" s="396"/>
      <c r="L203" s="396"/>
      <c r="M203" s="396"/>
      <c r="N203" s="396"/>
      <c r="O203" s="396"/>
      <c r="P203" s="396"/>
      <c r="Q203" s="396"/>
      <c r="R203" s="396"/>
      <c r="S203" s="396"/>
      <c r="T203" s="396"/>
    </row>
    <row r="204" spans="2:20" ht="13.5" thickBot="1">
      <c r="B204" s="3582" t="s">
        <v>98</v>
      </c>
      <c r="C204" s="3583"/>
      <c r="D204" s="425"/>
      <c r="E204" s="535"/>
      <c r="F204" s="396"/>
      <c r="I204" s="396"/>
      <c r="J204" s="396"/>
      <c r="K204" s="396"/>
      <c r="L204" s="396"/>
      <c r="M204" s="396"/>
      <c r="N204" s="396"/>
      <c r="O204" s="396"/>
      <c r="P204" s="396"/>
      <c r="Q204" s="396"/>
      <c r="R204" s="396"/>
      <c r="S204" s="396"/>
      <c r="T204" s="396"/>
    </row>
    <row r="205" spans="2:20">
      <c r="B205" s="3520" t="s">
        <v>372</v>
      </c>
      <c r="C205" s="3591"/>
      <c r="D205" s="3518" t="s">
        <v>391</v>
      </c>
      <c r="E205" s="274"/>
      <c r="I205" s="396"/>
      <c r="J205" s="396"/>
      <c r="K205" s="396"/>
      <c r="L205" s="396"/>
      <c r="M205" s="396"/>
      <c r="N205" s="396"/>
      <c r="O205" s="396"/>
      <c r="P205" s="396"/>
      <c r="Q205" s="396"/>
      <c r="R205" s="396"/>
      <c r="S205" s="396"/>
      <c r="T205" s="396"/>
    </row>
    <row r="206" spans="2:20">
      <c r="B206" s="3520"/>
      <c r="C206" s="3591"/>
      <c r="D206" s="3520"/>
      <c r="E206" s="443"/>
      <c r="I206" s="396"/>
      <c r="J206" s="396"/>
      <c r="K206" s="396"/>
      <c r="L206" s="396"/>
      <c r="M206" s="396"/>
      <c r="N206" s="396"/>
      <c r="O206" s="396"/>
      <c r="P206" s="396"/>
      <c r="Q206" s="396"/>
      <c r="R206" s="396"/>
      <c r="S206" s="396"/>
      <c r="T206" s="396"/>
    </row>
    <row r="207" spans="2:20">
      <c r="B207" s="3519"/>
      <c r="C207" s="3592"/>
      <c r="D207" s="3519"/>
      <c r="E207" s="443"/>
      <c r="I207" s="396"/>
      <c r="J207" s="396"/>
      <c r="K207" s="396"/>
      <c r="L207" s="396"/>
      <c r="M207" s="396"/>
      <c r="N207" s="396"/>
      <c r="O207" s="396"/>
      <c r="P207" s="396"/>
      <c r="Q207" s="396"/>
      <c r="R207" s="396"/>
      <c r="S207" s="396"/>
      <c r="T207" s="396"/>
    </row>
    <row r="208" spans="2:20" ht="15">
      <c r="B208" s="1674"/>
      <c r="C208" s="1681" t="s">
        <v>269</v>
      </c>
      <c r="D208" s="754"/>
      <c r="E208" s="293"/>
      <c r="I208" s="396"/>
      <c r="J208" s="396"/>
      <c r="K208" s="396"/>
      <c r="L208" s="396"/>
      <c r="M208" s="396"/>
      <c r="N208" s="396"/>
      <c r="O208" s="396"/>
      <c r="P208" s="396"/>
      <c r="Q208" s="396"/>
      <c r="R208" s="396"/>
      <c r="S208" s="396"/>
      <c r="T208" s="396"/>
    </row>
    <row r="209" spans="2:20" ht="15">
      <c r="B209" s="1674">
        <v>1</v>
      </c>
      <c r="C209" s="2587" t="s">
        <v>270</v>
      </c>
      <c r="D209" s="779"/>
      <c r="E209" s="293"/>
      <c r="G209" s="396"/>
      <c r="I209" s="396"/>
      <c r="J209" s="396"/>
      <c r="K209" s="396"/>
      <c r="L209" s="396"/>
      <c r="M209" s="396"/>
      <c r="N209" s="396"/>
      <c r="O209" s="396"/>
      <c r="P209" s="396"/>
      <c r="Q209" s="396"/>
      <c r="R209" s="396"/>
      <c r="S209" s="396"/>
      <c r="T209" s="396"/>
    </row>
    <row r="210" spans="2:20">
      <c r="B210" s="1674">
        <v>2</v>
      </c>
      <c r="C210" s="2587" t="s">
        <v>271</v>
      </c>
      <c r="D210" s="780">
        <v>22861</v>
      </c>
      <c r="E210" s="293"/>
      <c r="G210" s="396"/>
      <c r="I210" s="396"/>
      <c r="J210" s="396"/>
      <c r="K210" s="396"/>
      <c r="L210" s="396"/>
      <c r="M210" s="396"/>
      <c r="N210" s="396"/>
      <c r="O210" s="396"/>
      <c r="P210" s="396"/>
      <c r="Q210" s="396"/>
      <c r="R210" s="396"/>
      <c r="S210" s="396"/>
      <c r="T210" s="396"/>
    </row>
    <row r="211" spans="2:20" ht="13.9" customHeight="1">
      <c r="B211" s="1674">
        <v>3</v>
      </c>
      <c r="C211" s="2587" t="s">
        <v>272</v>
      </c>
      <c r="D211" s="783"/>
      <c r="E211" s="293"/>
      <c r="G211" s="396"/>
      <c r="I211" s="396"/>
      <c r="J211" s="396"/>
      <c r="K211" s="396"/>
      <c r="L211" s="396"/>
      <c r="M211" s="396"/>
      <c r="N211" s="396"/>
      <c r="O211" s="396"/>
      <c r="P211" s="396"/>
      <c r="Q211" s="396"/>
      <c r="R211" s="396"/>
      <c r="S211" s="396"/>
      <c r="T211" s="396"/>
    </row>
    <row r="212" spans="2:20" ht="13.9" customHeight="1">
      <c r="B212" s="1674">
        <v>4</v>
      </c>
      <c r="C212" s="2569" t="s">
        <v>273</v>
      </c>
      <c r="D212" s="781">
        <v>205634</v>
      </c>
      <c r="E212" s="293"/>
      <c r="G212" s="396"/>
      <c r="I212" s="396"/>
      <c r="J212" s="396"/>
      <c r="K212" s="396"/>
      <c r="L212" s="396"/>
      <c r="M212" s="396"/>
      <c r="N212" s="396"/>
      <c r="O212" s="396"/>
      <c r="P212" s="396"/>
      <c r="Q212" s="396"/>
      <c r="R212" s="396"/>
      <c r="S212" s="396"/>
      <c r="T212" s="396"/>
    </row>
    <row r="213" spans="2:20">
      <c r="B213" s="1674">
        <v>5</v>
      </c>
      <c r="C213" s="2587" t="s">
        <v>274</v>
      </c>
      <c r="D213" s="781">
        <v>4149976</v>
      </c>
      <c r="E213" s="293"/>
      <c r="G213" s="396"/>
      <c r="I213" s="396"/>
      <c r="J213" s="396"/>
      <c r="K213" s="396"/>
      <c r="L213" s="396"/>
      <c r="M213" s="396"/>
      <c r="N213" s="396"/>
      <c r="O213" s="396"/>
      <c r="P213" s="396"/>
      <c r="Q213" s="396"/>
      <c r="R213" s="396"/>
      <c r="S213" s="396"/>
      <c r="T213" s="396"/>
    </row>
    <row r="214" spans="2:20">
      <c r="B214" s="1674">
        <v>6</v>
      </c>
      <c r="C214" s="2587" t="s">
        <v>275</v>
      </c>
      <c r="D214" s="781">
        <v>139500</v>
      </c>
      <c r="E214" s="293"/>
      <c r="G214" s="396"/>
      <c r="I214" s="396"/>
      <c r="J214" s="396"/>
      <c r="K214" s="396"/>
      <c r="L214" s="396"/>
      <c r="M214" s="396"/>
      <c r="N214" s="396"/>
      <c r="O214" s="396"/>
      <c r="P214" s="396"/>
      <c r="Q214" s="396"/>
      <c r="R214" s="396"/>
      <c r="S214" s="396"/>
      <c r="T214" s="396"/>
    </row>
    <row r="215" spans="2:20" ht="15">
      <c r="B215" s="1674">
        <v>7</v>
      </c>
      <c r="C215" s="2587" t="s">
        <v>276</v>
      </c>
      <c r="D215" s="779"/>
      <c r="E215" s="293"/>
      <c r="G215" s="396"/>
      <c r="I215" s="396"/>
      <c r="J215" s="396"/>
      <c r="K215" s="396"/>
      <c r="L215" s="396"/>
      <c r="M215" s="396"/>
      <c r="N215" s="396"/>
      <c r="O215" s="396"/>
      <c r="P215" s="396"/>
      <c r="Q215" s="396"/>
      <c r="R215" s="396"/>
      <c r="S215" s="396"/>
      <c r="T215" s="396"/>
    </row>
    <row r="216" spans="2:20" ht="15">
      <c r="B216" s="1674"/>
      <c r="C216" s="2569" t="s">
        <v>393</v>
      </c>
      <c r="D216" s="779"/>
      <c r="E216" s="293"/>
      <c r="G216" s="396"/>
      <c r="I216" s="396"/>
      <c r="J216" s="396"/>
      <c r="K216" s="396"/>
      <c r="L216" s="396"/>
      <c r="M216" s="396"/>
      <c r="N216" s="396"/>
      <c r="O216" s="396"/>
      <c r="P216" s="396"/>
      <c r="Q216" s="396"/>
      <c r="R216" s="396"/>
      <c r="S216" s="396"/>
      <c r="T216" s="396"/>
    </row>
    <row r="217" spans="2:20" ht="15">
      <c r="B217" s="1674"/>
      <c r="C217" s="2569" t="s">
        <v>394</v>
      </c>
      <c r="D217" s="779"/>
      <c r="E217" s="293"/>
      <c r="G217" s="396"/>
      <c r="I217" s="396"/>
      <c r="J217" s="396"/>
      <c r="K217" s="396"/>
      <c r="L217" s="396"/>
      <c r="M217" s="396"/>
      <c r="N217" s="396"/>
      <c r="O217" s="396"/>
      <c r="P217" s="396"/>
      <c r="Q217" s="396"/>
      <c r="R217" s="396"/>
      <c r="S217" s="396"/>
      <c r="T217" s="396"/>
    </row>
    <row r="218" spans="2:20" ht="15">
      <c r="B218" s="1674">
        <v>8</v>
      </c>
      <c r="C218" s="2587" t="s">
        <v>279</v>
      </c>
      <c r="D218" s="779"/>
      <c r="E218" s="293"/>
      <c r="G218" s="396"/>
      <c r="I218" s="396"/>
      <c r="J218" s="396"/>
      <c r="K218" s="396"/>
      <c r="L218" s="396"/>
      <c r="M218" s="396"/>
      <c r="N218" s="396"/>
      <c r="O218" s="396"/>
      <c r="P218" s="396"/>
      <c r="Q218" s="396"/>
      <c r="R218" s="396"/>
      <c r="S218" s="396"/>
      <c r="T218" s="396"/>
    </row>
    <row r="219" spans="2:20" ht="15">
      <c r="B219" s="1674"/>
      <c r="C219" s="2569" t="s">
        <v>395</v>
      </c>
      <c r="D219" s="779"/>
      <c r="E219" s="293"/>
      <c r="G219" s="396"/>
      <c r="I219" s="396"/>
      <c r="J219" s="396"/>
      <c r="K219" s="396"/>
      <c r="L219" s="396"/>
      <c r="M219" s="396"/>
      <c r="N219" s="396"/>
      <c r="O219" s="396"/>
      <c r="P219" s="396"/>
      <c r="Q219" s="396"/>
      <c r="R219" s="396"/>
      <c r="S219" s="396"/>
      <c r="T219" s="396"/>
    </row>
    <row r="220" spans="2:20" ht="15">
      <c r="B220" s="1674"/>
      <c r="C220" s="2569" t="s">
        <v>396</v>
      </c>
      <c r="D220" s="779"/>
      <c r="E220" s="293"/>
      <c r="G220" s="396"/>
      <c r="I220" s="396"/>
      <c r="J220" s="396"/>
      <c r="K220" s="396"/>
      <c r="L220" s="396"/>
      <c r="M220" s="396"/>
      <c r="N220" s="396"/>
      <c r="O220" s="396"/>
      <c r="P220" s="396"/>
      <c r="Q220" s="396"/>
      <c r="R220" s="396"/>
      <c r="S220" s="396"/>
      <c r="T220" s="396"/>
    </row>
    <row r="221" spans="2:20" ht="25.5">
      <c r="B221" s="1676">
        <v>9</v>
      </c>
      <c r="C221" s="2580" t="s">
        <v>282</v>
      </c>
      <c r="D221" s="782">
        <v>17427766</v>
      </c>
      <c r="G221" s="396"/>
      <c r="I221" s="396"/>
      <c r="J221" s="396"/>
      <c r="K221" s="396"/>
      <c r="L221" s="396"/>
      <c r="M221" s="396"/>
      <c r="N221" s="396"/>
      <c r="O221" s="396"/>
      <c r="P221" s="396"/>
      <c r="Q221" s="396"/>
      <c r="R221" s="396"/>
      <c r="S221" s="396"/>
    </row>
    <row r="222" spans="2:20" ht="15">
      <c r="B222" s="1674">
        <v>10</v>
      </c>
      <c r="C222" s="2569" t="s">
        <v>283</v>
      </c>
      <c r="D222" s="779"/>
      <c r="E222" s="293"/>
      <c r="G222" s="396"/>
      <c r="I222" s="396"/>
      <c r="J222" s="396"/>
      <c r="K222" s="396"/>
      <c r="L222" s="396"/>
      <c r="M222" s="396"/>
      <c r="N222" s="396"/>
      <c r="O222" s="396"/>
      <c r="P222" s="396"/>
      <c r="Q222" s="396"/>
      <c r="R222" s="396"/>
      <c r="S222" s="396"/>
      <c r="T222" s="396"/>
    </row>
    <row r="223" spans="2:20" ht="15">
      <c r="B223" s="1674">
        <v>11</v>
      </c>
      <c r="C223" s="2569" t="s">
        <v>284</v>
      </c>
      <c r="D223" s="796">
        <v>8979677</v>
      </c>
      <c r="E223" s="293"/>
      <c r="G223" s="396"/>
      <c r="I223" s="396"/>
      <c r="J223" s="396"/>
      <c r="K223" s="396"/>
      <c r="L223" s="396"/>
      <c r="M223" s="396"/>
      <c r="N223" s="396"/>
      <c r="O223" s="396"/>
      <c r="P223" s="396"/>
      <c r="Q223" s="396"/>
      <c r="R223" s="396"/>
      <c r="S223" s="396"/>
      <c r="T223" s="396"/>
    </row>
    <row r="224" spans="2:20" ht="15">
      <c r="B224" s="1674">
        <v>12</v>
      </c>
      <c r="C224" s="2569" t="s">
        <v>285</v>
      </c>
      <c r="D224" s="796">
        <v>8448089</v>
      </c>
      <c r="E224" s="293"/>
      <c r="G224" s="396"/>
      <c r="I224" s="396"/>
      <c r="J224" s="396"/>
      <c r="K224" s="396"/>
      <c r="L224" s="396"/>
      <c r="M224" s="396"/>
      <c r="N224" s="396"/>
      <c r="O224" s="396"/>
      <c r="P224" s="396"/>
      <c r="Q224" s="396"/>
      <c r="R224" s="396"/>
      <c r="S224" s="396"/>
      <c r="T224" s="396"/>
    </row>
    <row r="225" spans="2:20" ht="25.5">
      <c r="B225" s="1674">
        <v>13</v>
      </c>
      <c r="C225" s="2569" t="s">
        <v>286</v>
      </c>
      <c r="D225" s="779"/>
      <c r="E225" s="293"/>
      <c r="G225" s="396"/>
      <c r="I225" s="396"/>
      <c r="J225" s="396"/>
      <c r="K225" s="396"/>
      <c r="L225" s="396"/>
      <c r="M225" s="396"/>
      <c r="N225" s="396"/>
      <c r="O225" s="396"/>
      <c r="P225" s="396"/>
      <c r="Q225" s="396"/>
      <c r="R225" s="396"/>
      <c r="S225" s="396"/>
      <c r="T225" s="396"/>
    </row>
    <row r="226" spans="2:20" ht="15">
      <c r="B226" s="1674">
        <v>14</v>
      </c>
      <c r="C226" s="2570" t="s">
        <v>287</v>
      </c>
      <c r="D226" s="779"/>
      <c r="E226" s="293"/>
      <c r="G226" s="396"/>
      <c r="I226" s="396"/>
      <c r="J226" s="396"/>
      <c r="K226" s="396"/>
      <c r="L226" s="396"/>
      <c r="M226" s="396"/>
      <c r="N226" s="396"/>
      <c r="O226" s="396"/>
      <c r="P226" s="396"/>
      <c r="Q226" s="396"/>
      <c r="R226" s="396"/>
      <c r="S226" s="396"/>
      <c r="T226" s="396"/>
    </row>
    <row r="227" spans="2:20">
      <c r="B227" s="1674">
        <v>15</v>
      </c>
      <c r="C227" s="2570" t="s">
        <v>288</v>
      </c>
      <c r="D227" s="781">
        <v>4821855</v>
      </c>
      <c r="E227" s="293"/>
      <c r="G227" s="396"/>
      <c r="I227" s="396"/>
      <c r="J227" s="396"/>
      <c r="K227" s="396"/>
      <c r="L227" s="396"/>
      <c r="M227" s="396"/>
      <c r="N227" s="396"/>
      <c r="O227" s="396"/>
      <c r="P227" s="396"/>
      <c r="Q227" s="396"/>
      <c r="R227" s="396"/>
      <c r="S227" s="396"/>
      <c r="T227" s="396"/>
    </row>
    <row r="228" spans="2:20">
      <c r="B228" s="1674">
        <v>16</v>
      </c>
      <c r="C228" s="2570" t="s">
        <v>289</v>
      </c>
      <c r="D228" s="781">
        <v>5190204</v>
      </c>
      <c r="E228" s="293"/>
      <c r="G228" s="396"/>
      <c r="I228" s="396"/>
      <c r="J228" s="396"/>
      <c r="K228" s="396"/>
      <c r="L228" s="396"/>
      <c r="M228" s="396"/>
      <c r="N228" s="396"/>
      <c r="O228" s="396"/>
      <c r="P228" s="396"/>
      <c r="Q228" s="396"/>
      <c r="R228" s="396"/>
      <c r="S228" s="396"/>
      <c r="T228" s="396"/>
    </row>
    <row r="229" spans="2:20">
      <c r="B229" s="1674">
        <v>17</v>
      </c>
      <c r="C229" s="2570" t="s">
        <v>290</v>
      </c>
      <c r="D229" s="781">
        <v>3529008</v>
      </c>
      <c r="E229" s="293"/>
      <c r="F229" s="396"/>
      <c r="G229" s="396"/>
      <c r="I229" s="396"/>
      <c r="J229" s="396"/>
      <c r="K229" s="396"/>
      <c r="L229" s="396"/>
      <c r="M229" s="396"/>
      <c r="N229" s="396"/>
      <c r="O229" s="396"/>
      <c r="P229" s="396"/>
      <c r="Q229" s="396"/>
      <c r="R229" s="396"/>
      <c r="S229" s="396"/>
      <c r="T229" s="396"/>
    </row>
    <row r="230" spans="2:20">
      <c r="B230" s="1674">
        <v>18</v>
      </c>
      <c r="C230" s="2570" t="s">
        <v>291</v>
      </c>
      <c r="D230" s="781">
        <v>1048559</v>
      </c>
      <c r="E230" s="293"/>
      <c r="G230" s="396"/>
      <c r="I230" s="396"/>
      <c r="J230" s="396"/>
      <c r="K230" s="396"/>
      <c r="L230" s="396"/>
      <c r="M230" s="396"/>
      <c r="N230" s="396"/>
      <c r="O230" s="396"/>
      <c r="P230" s="396"/>
      <c r="Q230" s="396"/>
      <c r="R230" s="396"/>
      <c r="S230" s="396"/>
      <c r="T230" s="396"/>
    </row>
    <row r="231" spans="2:20" ht="13.5" thickBot="1">
      <c r="B231" s="1674">
        <v>19</v>
      </c>
      <c r="C231" s="2571" t="s">
        <v>292</v>
      </c>
      <c r="D231" s="786">
        <v>113305</v>
      </c>
      <c r="E231" s="293"/>
      <c r="G231" s="396"/>
      <c r="I231" s="396"/>
      <c r="J231" s="396"/>
      <c r="K231" s="396"/>
      <c r="L231" s="396"/>
      <c r="M231" s="396"/>
      <c r="N231" s="396"/>
      <c r="O231" s="396"/>
      <c r="P231" s="396"/>
      <c r="Q231" s="396"/>
      <c r="R231" s="396"/>
      <c r="S231" s="396"/>
      <c r="T231" s="396"/>
    </row>
    <row r="232" spans="2:20" ht="26.25" thickBot="1">
      <c r="B232" s="1686">
        <v>20</v>
      </c>
      <c r="C232" s="1705" t="s">
        <v>293</v>
      </c>
      <c r="D232" s="1714">
        <v>36648668</v>
      </c>
      <c r="E232" s="293"/>
      <c r="G232" s="396"/>
      <c r="I232" s="396"/>
      <c r="J232" s="396"/>
      <c r="K232" s="396"/>
      <c r="L232" s="396"/>
      <c r="M232" s="396"/>
      <c r="N232" s="396"/>
      <c r="O232" s="396"/>
      <c r="P232" s="396"/>
      <c r="Q232" s="396"/>
      <c r="R232" s="396"/>
      <c r="S232" s="396"/>
      <c r="T232" s="396"/>
    </row>
    <row r="233" spans="2:20" ht="15">
      <c r="B233" s="1674"/>
      <c r="C233" s="1678" t="s">
        <v>294</v>
      </c>
      <c r="D233" s="779"/>
      <c r="E233" s="293"/>
      <c r="G233" s="396"/>
      <c r="I233" s="396"/>
      <c r="J233" s="396"/>
      <c r="K233" s="396"/>
      <c r="L233" s="396"/>
      <c r="M233" s="396"/>
      <c r="N233" s="396"/>
      <c r="O233" s="396"/>
      <c r="P233" s="396"/>
      <c r="Q233" s="396"/>
      <c r="R233" s="396"/>
      <c r="S233" s="396"/>
      <c r="T233" s="396"/>
    </row>
    <row r="234" spans="2:20" ht="15">
      <c r="B234" s="1674"/>
      <c r="C234" s="2588" t="s">
        <v>295</v>
      </c>
      <c r="D234" s="779"/>
      <c r="E234" s="293"/>
      <c r="G234" s="396"/>
      <c r="I234" s="396"/>
      <c r="J234" s="396"/>
      <c r="K234" s="396"/>
      <c r="L234" s="396"/>
      <c r="M234" s="396"/>
      <c r="N234" s="396"/>
      <c r="O234" s="396"/>
      <c r="P234" s="396"/>
      <c r="Q234" s="396"/>
      <c r="R234" s="396"/>
      <c r="S234" s="396"/>
      <c r="T234" s="396"/>
    </row>
    <row r="235" spans="2:20">
      <c r="B235" s="1674">
        <v>21</v>
      </c>
      <c r="C235" s="2570" t="s">
        <v>296</v>
      </c>
      <c r="D235" s="781">
        <v>14231847</v>
      </c>
      <c r="E235" s="293"/>
      <c r="G235" s="396"/>
      <c r="I235" s="396"/>
      <c r="J235" s="396"/>
      <c r="K235" s="396"/>
      <c r="L235" s="396"/>
      <c r="M235" s="396"/>
      <c r="N235" s="396"/>
      <c r="O235" s="396"/>
      <c r="P235" s="396"/>
      <c r="Q235" s="396"/>
      <c r="R235" s="396"/>
      <c r="S235" s="396"/>
      <c r="T235" s="396"/>
    </row>
    <row r="236" spans="2:20">
      <c r="B236" s="1674">
        <v>22</v>
      </c>
      <c r="C236" s="2570" t="s">
        <v>297</v>
      </c>
      <c r="D236" s="783">
        <v>0</v>
      </c>
      <c r="E236" s="293"/>
      <c r="G236" s="396"/>
      <c r="I236" s="396"/>
      <c r="J236" s="396"/>
      <c r="K236" s="396"/>
      <c r="L236" s="396"/>
      <c r="M236" s="396"/>
      <c r="N236" s="396"/>
      <c r="O236" s="396"/>
      <c r="P236" s="396"/>
      <c r="Q236" s="396"/>
      <c r="R236" s="396"/>
      <c r="S236" s="396"/>
      <c r="T236" s="396"/>
    </row>
    <row r="237" spans="2:20">
      <c r="B237" s="1674">
        <v>23</v>
      </c>
      <c r="C237" s="2570" t="s">
        <v>298</v>
      </c>
      <c r="D237" s="781">
        <v>4263222</v>
      </c>
      <c r="E237" s="293"/>
      <c r="G237" s="396"/>
      <c r="I237" s="396"/>
      <c r="J237" s="396"/>
      <c r="K237" s="396"/>
      <c r="L237" s="396"/>
      <c r="M237" s="396"/>
      <c r="N237" s="396"/>
      <c r="O237" s="396"/>
      <c r="P237" s="396"/>
      <c r="Q237" s="396"/>
      <c r="R237" s="396"/>
      <c r="S237" s="396"/>
      <c r="T237" s="396"/>
    </row>
    <row r="238" spans="2:20">
      <c r="B238" s="1674">
        <v>24</v>
      </c>
      <c r="C238" s="2570" t="s">
        <v>299</v>
      </c>
      <c r="D238" s="781">
        <v>389419</v>
      </c>
      <c r="E238" s="293"/>
      <c r="G238" s="396"/>
      <c r="I238" s="396"/>
      <c r="J238" s="396"/>
      <c r="K238" s="396"/>
      <c r="L238" s="396"/>
      <c r="M238" s="396"/>
      <c r="N238" s="396"/>
      <c r="O238" s="396"/>
      <c r="P238" s="396"/>
      <c r="Q238" s="396"/>
      <c r="R238" s="396"/>
      <c r="S238" s="396"/>
      <c r="T238" s="396"/>
    </row>
    <row r="239" spans="2:20">
      <c r="B239" s="1674">
        <v>25</v>
      </c>
      <c r="C239" s="2569" t="s">
        <v>300</v>
      </c>
      <c r="D239" s="781">
        <v>241240</v>
      </c>
      <c r="E239" s="293"/>
      <c r="G239" s="396"/>
      <c r="I239" s="396"/>
      <c r="J239" s="396"/>
      <c r="K239" s="396"/>
      <c r="L239" s="396"/>
      <c r="M239" s="396"/>
      <c r="N239" s="396"/>
      <c r="O239" s="396"/>
      <c r="P239" s="396"/>
      <c r="Q239" s="396"/>
      <c r="R239" s="396"/>
      <c r="S239" s="396"/>
      <c r="T239" s="396"/>
    </row>
    <row r="240" spans="2:20" ht="13.5" thickBot="1">
      <c r="B240" s="1674">
        <v>26</v>
      </c>
      <c r="C240" s="2571" t="s">
        <v>301</v>
      </c>
      <c r="D240" s="786">
        <v>3054836</v>
      </c>
      <c r="E240" s="293"/>
      <c r="G240" s="396"/>
      <c r="I240" s="396"/>
      <c r="J240" s="396"/>
      <c r="K240" s="396"/>
      <c r="L240" s="396"/>
      <c r="M240" s="396"/>
      <c r="N240" s="396"/>
      <c r="O240" s="396"/>
      <c r="P240" s="396"/>
      <c r="Q240" s="396"/>
      <c r="R240" s="396"/>
      <c r="S240" s="396"/>
      <c r="T240" s="396"/>
    </row>
    <row r="241" spans="2:20" ht="26.25" thickBot="1">
      <c r="B241" s="1677">
        <v>27</v>
      </c>
      <c r="C241" s="1699" t="s">
        <v>302</v>
      </c>
      <c r="D241" s="787">
        <v>22180564</v>
      </c>
      <c r="E241" s="293"/>
      <c r="G241" s="396"/>
      <c r="I241" s="396"/>
      <c r="J241" s="396"/>
      <c r="K241" s="396"/>
      <c r="L241" s="396"/>
      <c r="M241" s="396"/>
      <c r="N241" s="396"/>
      <c r="O241" s="396"/>
      <c r="P241" s="396"/>
      <c r="Q241" s="396"/>
      <c r="R241" s="396"/>
      <c r="S241" s="396"/>
      <c r="T241" s="396"/>
    </row>
    <row r="242" spans="2:20">
      <c r="B242" s="1674"/>
      <c r="C242" s="1678" t="s">
        <v>303</v>
      </c>
      <c r="D242" s="785"/>
      <c r="E242" s="293"/>
      <c r="G242" s="396"/>
      <c r="I242" s="396"/>
      <c r="J242" s="396"/>
      <c r="K242" s="396"/>
      <c r="L242" s="396"/>
      <c r="M242" s="396"/>
      <c r="N242" s="396"/>
      <c r="O242" s="396"/>
      <c r="P242" s="396"/>
      <c r="Q242" s="396"/>
      <c r="R242" s="396"/>
      <c r="S242" s="396"/>
      <c r="T242" s="396"/>
    </row>
    <row r="243" spans="2:20">
      <c r="B243" s="1674">
        <v>28</v>
      </c>
      <c r="C243" s="2587" t="s">
        <v>304</v>
      </c>
      <c r="D243" s="781">
        <v>500200</v>
      </c>
      <c r="E243" s="293"/>
      <c r="G243" s="396"/>
      <c r="I243" s="396"/>
      <c r="J243" s="396"/>
      <c r="K243" s="396"/>
      <c r="L243" s="396"/>
      <c r="M243" s="396"/>
      <c r="N243" s="396"/>
      <c r="O243" s="396"/>
      <c r="P243" s="396"/>
      <c r="Q243" s="396"/>
      <c r="R243" s="396"/>
      <c r="S243" s="396"/>
      <c r="T243" s="396"/>
    </row>
    <row r="244" spans="2:20">
      <c r="B244" s="1674">
        <v>29</v>
      </c>
      <c r="C244" s="2587" t="s">
        <v>305</v>
      </c>
      <c r="D244" s="2578">
        <v>7024489</v>
      </c>
      <c r="E244" s="293"/>
      <c r="G244" s="396"/>
      <c r="I244" s="396"/>
      <c r="J244" s="396"/>
      <c r="K244" s="396"/>
      <c r="L244" s="396"/>
      <c r="M244" s="396"/>
      <c r="N244" s="396"/>
      <c r="O244" s="396"/>
      <c r="P244" s="396"/>
      <c r="Q244" s="396"/>
      <c r="R244" s="396"/>
      <c r="S244" s="396"/>
      <c r="T244" s="396"/>
    </row>
    <row r="245" spans="2:20">
      <c r="B245" s="1674">
        <v>30</v>
      </c>
      <c r="C245" s="2573" t="s">
        <v>306</v>
      </c>
      <c r="D245" s="781">
        <v>494239</v>
      </c>
      <c r="E245" s="293"/>
      <c r="G245" s="396"/>
      <c r="I245" s="396"/>
      <c r="J245" s="396"/>
      <c r="K245" s="396"/>
      <c r="L245" s="396"/>
      <c r="M245" s="396"/>
      <c r="N245" s="396"/>
      <c r="O245" s="396"/>
      <c r="P245" s="396"/>
      <c r="Q245" s="396"/>
      <c r="R245" s="396"/>
      <c r="S245" s="396"/>
      <c r="T245" s="396"/>
    </row>
    <row r="246" spans="2:20" ht="13.5" thickBot="1">
      <c r="B246" s="1674">
        <v>31</v>
      </c>
      <c r="C246" s="2573" t="s">
        <v>308</v>
      </c>
      <c r="D246" s="786">
        <v>6449176</v>
      </c>
      <c r="E246" s="293"/>
      <c r="G246" s="396"/>
      <c r="I246" s="396"/>
      <c r="J246" s="396"/>
      <c r="K246" s="396"/>
      <c r="L246" s="396"/>
      <c r="M246" s="396"/>
      <c r="N246" s="396"/>
      <c r="O246" s="396"/>
      <c r="P246" s="396"/>
      <c r="Q246" s="396"/>
      <c r="R246" s="396"/>
      <c r="S246" s="396"/>
      <c r="T246" s="396"/>
    </row>
    <row r="247" spans="2:20" ht="13.5" thickBot="1">
      <c r="B247" s="1677">
        <v>32</v>
      </c>
      <c r="C247" s="1699" t="s">
        <v>309</v>
      </c>
      <c r="D247" s="787">
        <v>14468104</v>
      </c>
      <c r="E247" s="293"/>
      <c r="G247" s="396"/>
      <c r="I247" s="396"/>
      <c r="J247" s="396"/>
      <c r="K247" s="396"/>
      <c r="L247" s="396"/>
      <c r="M247" s="396"/>
      <c r="N247" s="396"/>
      <c r="O247" s="396"/>
      <c r="P247" s="396"/>
      <c r="Q247" s="396"/>
      <c r="R247" s="396"/>
      <c r="S247" s="396"/>
      <c r="T247" s="396"/>
    </row>
    <row r="248" spans="2:20" ht="26.25" thickBot="1">
      <c r="B248" s="1689">
        <v>33</v>
      </c>
      <c r="C248" s="1710" t="s">
        <v>310</v>
      </c>
      <c r="D248" s="1715">
        <v>36648668</v>
      </c>
      <c r="E248" s="293"/>
      <c r="G248" s="396"/>
      <c r="I248" s="396"/>
      <c r="J248" s="396"/>
      <c r="K248" s="396"/>
      <c r="L248" s="396"/>
      <c r="M248" s="396"/>
      <c r="N248" s="396"/>
      <c r="O248" s="396"/>
      <c r="P248" s="396"/>
      <c r="Q248" s="396"/>
      <c r="R248" s="396"/>
      <c r="S248" s="396"/>
      <c r="T248" s="396"/>
    </row>
    <row r="249" spans="2:20">
      <c r="B249" s="274"/>
      <c r="C249" s="391"/>
      <c r="D249" s="547"/>
      <c r="E249" s="383"/>
      <c r="F249" s="293"/>
      <c r="I249" s="396"/>
      <c r="J249" s="396"/>
      <c r="K249" s="396"/>
      <c r="L249" s="396"/>
      <c r="M249" s="396"/>
      <c r="N249" s="396"/>
      <c r="O249" s="396"/>
      <c r="P249" s="396"/>
      <c r="Q249" s="396"/>
      <c r="R249" s="396"/>
      <c r="S249" s="396"/>
      <c r="T249" s="396"/>
    </row>
    <row r="250" spans="2:20">
      <c r="B250" s="274"/>
      <c r="C250" s="391"/>
      <c r="D250" s="547"/>
      <c r="E250" s="383"/>
      <c r="F250" s="293"/>
      <c r="H250" s="292">
        <v>85</v>
      </c>
      <c r="I250" s="396"/>
      <c r="J250" s="396"/>
      <c r="K250" s="396"/>
      <c r="L250" s="396"/>
      <c r="M250" s="396"/>
      <c r="N250" s="396"/>
      <c r="O250" s="396"/>
      <c r="P250" s="396"/>
      <c r="Q250" s="396"/>
      <c r="R250" s="396"/>
      <c r="S250" s="396"/>
      <c r="T250" s="396"/>
    </row>
    <row r="251" spans="2:20">
      <c r="B251" s="274"/>
      <c r="C251" s="391"/>
      <c r="D251" s="547"/>
      <c r="E251" s="383"/>
      <c r="F251" s="293"/>
      <c r="I251" s="396"/>
      <c r="J251" s="396"/>
      <c r="K251" s="396"/>
      <c r="L251" s="396"/>
      <c r="M251" s="396"/>
      <c r="N251" s="396"/>
      <c r="O251" s="396"/>
      <c r="P251" s="396"/>
      <c r="Q251" s="396"/>
      <c r="R251" s="396"/>
      <c r="S251" s="396"/>
      <c r="T251" s="396"/>
    </row>
    <row r="252" spans="2:20" ht="14.25">
      <c r="B252" s="3593" t="s">
        <v>397</v>
      </c>
      <c r="C252" s="3594"/>
      <c r="D252" s="3594"/>
      <c r="E252" s="3594"/>
      <c r="F252" s="3594"/>
      <c r="G252" s="3594"/>
      <c r="I252" s="396"/>
      <c r="J252" s="396"/>
      <c r="K252" s="396"/>
      <c r="L252" s="396"/>
      <c r="M252" s="396"/>
      <c r="N252" s="396"/>
      <c r="O252" s="396"/>
      <c r="P252" s="396"/>
      <c r="Q252" s="396"/>
      <c r="R252" s="396"/>
      <c r="S252" s="396"/>
      <c r="T252" s="396"/>
    </row>
    <row r="253" spans="2:20" ht="13.5" thickBot="1">
      <c r="B253" s="51"/>
      <c r="C253" s="51"/>
      <c r="D253" s="51"/>
      <c r="E253" s="51"/>
      <c r="F253" s="51"/>
      <c r="I253" s="396"/>
      <c r="J253" s="396"/>
      <c r="K253" s="396"/>
      <c r="L253" s="396"/>
      <c r="M253" s="396"/>
      <c r="N253" s="396"/>
      <c r="O253" s="396"/>
      <c r="P253" s="396"/>
      <c r="Q253" s="396"/>
      <c r="R253" s="396"/>
      <c r="S253" s="396"/>
      <c r="T253" s="396"/>
    </row>
    <row r="254" spans="2:20" ht="13.5" thickBot="1">
      <c r="B254" s="3582" t="s">
        <v>398</v>
      </c>
      <c r="C254" s="3583"/>
      <c r="D254" s="425"/>
      <c r="E254" s="535"/>
      <c r="F254" s="396"/>
      <c r="I254" s="396"/>
      <c r="J254" s="396"/>
      <c r="K254" s="396"/>
      <c r="L254" s="396"/>
      <c r="M254" s="396"/>
      <c r="N254" s="396"/>
      <c r="O254" s="396"/>
      <c r="P254" s="396"/>
      <c r="Q254" s="396"/>
      <c r="R254" s="396"/>
      <c r="S254" s="396"/>
      <c r="T254" s="396"/>
    </row>
    <row r="255" spans="2:20">
      <c r="B255" s="3520" t="s">
        <v>372</v>
      </c>
      <c r="C255" s="3585"/>
      <c r="D255" s="3518" t="s">
        <v>391</v>
      </c>
      <c r="E255" s="274"/>
      <c r="I255" s="396"/>
      <c r="J255" s="396"/>
      <c r="K255" s="396"/>
      <c r="L255" s="396"/>
      <c r="M255" s="396"/>
      <c r="N255" s="396"/>
      <c r="O255" s="396"/>
      <c r="P255" s="396"/>
      <c r="Q255" s="396"/>
      <c r="R255" s="396"/>
      <c r="S255" s="396"/>
      <c r="T255" s="396"/>
    </row>
    <row r="256" spans="2:20">
      <c r="B256" s="3520"/>
      <c r="C256" s="3585"/>
      <c r="D256" s="3520"/>
      <c r="E256" s="443"/>
      <c r="I256" s="396"/>
      <c r="J256" s="396"/>
      <c r="K256" s="396"/>
      <c r="L256" s="396"/>
      <c r="M256" s="396"/>
      <c r="N256" s="396"/>
      <c r="O256" s="396"/>
      <c r="P256" s="396"/>
      <c r="Q256" s="396"/>
      <c r="R256" s="396"/>
      <c r="S256" s="396"/>
      <c r="T256" s="396"/>
    </row>
    <row r="257" spans="2:20">
      <c r="B257" s="3519"/>
      <c r="C257" s="3586"/>
      <c r="D257" s="3519"/>
      <c r="E257" s="443"/>
      <c r="I257" s="396"/>
      <c r="J257" s="396"/>
      <c r="K257" s="396"/>
      <c r="L257" s="396"/>
      <c r="M257" s="396"/>
      <c r="N257" s="396"/>
      <c r="O257" s="396"/>
      <c r="P257" s="396"/>
      <c r="Q257" s="396"/>
      <c r="R257" s="396"/>
      <c r="S257" s="396"/>
      <c r="T257" s="396"/>
    </row>
    <row r="258" spans="2:20" ht="15">
      <c r="B258" s="1674"/>
      <c r="C258" s="1681" t="s">
        <v>269</v>
      </c>
      <c r="D258" s="2585"/>
      <c r="E258" s="293"/>
      <c r="I258" s="396"/>
      <c r="J258" s="396"/>
      <c r="K258" s="396"/>
      <c r="L258" s="396"/>
      <c r="M258" s="396"/>
      <c r="N258" s="396"/>
      <c r="O258" s="396"/>
      <c r="P258" s="396"/>
      <c r="Q258" s="396"/>
      <c r="R258" s="396"/>
      <c r="S258" s="396"/>
      <c r="T258" s="396"/>
    </row>
    <row r="259" spans="2:20">
      <c r="B259" s="1674">
        <v>1</v>
      </c>
      <c r="C259" s="2587" t="s">
        <v>270</v>
      </c>
      <c r="D259" s="791"/>
      <c r="E259" s="293"/>
      <c r="G259" s="396"/>
      <c r="I259" s="396"/>
      <c r="J259" s="396"/>
      <c r="K259" s="396"/>
      <c r="L259" s="396"/>
      <c r="M259" s="396"/>
      <c r="N259" s="396"/>
      <c r="O259" s="396"/>
      <c r="P259" s="396"/>
      <c r="Q259" s="396"/>
      <c r="R259" s="396"/>
      <c r="S259" s="396"/>
      <c r="T259" s="396"/>
    </row>
    <row r="260" spans="2:20">
      <c r="B260" s="1674">
        <v>2</v>
      </c>
      <c r="C260" s="2587" t="s">
        <v>271</v>
      </c>
      <c r="D260" s="792">
        <v>22145</v>
      </c>
      <c r="E260" s="293"/>
      <c r="G260" s="396"/>
      <c r="I260" s="396"/>
      <c r="J260" s="396"/>
      <c r="K260" s="396"/>
      <c r="L260" s="396"/>
      <c r="M260" s="396"/>
      <c r="N260" s="396"/>
      <c r="O260" s="396"/>
      <c r="P260" s="396"/>
      <c r="Q260" s="396"/>
      <c r="R260" s="396"/>
      <c r="S260" s="396"/>
      <c r="T260" s="396"/>
    </row>
    <row r="261" spans="2:20">
      <c r="B261" s="1674">
        <v>3</v>
      </c>
      <c r="C261" s="2587" t="s">
        <v>272</v>
      </c>
      <c r="D261" s="791"/>
      <c r="E261" s="293"/>
      <c r="G261" s="396"/>
      <c r="I261" s="396"/>
      <c r="J261" s="396"/>
      <c r="K261" s="396"/>
      <c r="L261" s="396"/>
      <c r="M261" s="396"/>
      <c r="N261" s="396"/>
      <c r="O261" s="396"/>
      <c r="P261" s="396"/>
      <c r="Q261" s="396"/>
      <c r="R261" s="396"/>
      <c r="S261" s="396"/>
      <c r="T261" s="396"/>
    </row>
    <row r="262" spans="2:20">
      <c r="B262" s="1674">
        <v>4</v>
      </c>
      <c r="C262" s="2558" t="s">
        <v>273</v>
      </c>
      <c r="D262" s="791"/>
      <c r="E262" s="293"/>
      <c r="G262" s="396"/>
      <c r="I262" s="396"/>
      <c r="J262" s="396"/>
      <c r="K262" s="396"/>
      <c r="L262" s="396"/>
      <c r="M262" s="396"/>
      <c r="N262" s="396"/>
      <c r="O262" s="396"/>
      <c r="P262" s="396"/>
      <c r="Q262" s="396"/>
      <c r="R262" s="396"/>
      <c r="S262" s="396"/>
      <c r="T262" s="396"/>
    </row>
    <row r="263" spans="2:20">
      <c r="B263" s="1674">
        <v>5</v>
      </c>
      <c r="C263" s="2587" t="s">
        <v>274</v>
      </c>
      <c r="D263" s="792">
        <v>1309009</v>
      </c>
      <c r="E263" s="293"/>
      <c r="G263" s="396"/>
      <c r="I263" s="396"/>
      <c r="J263" s="396"/>
      <c r="K263" s="396"/>
      <c r="L263" s="396"/>
      <c r="M263" s="396"/>
      <c r="N263" s="396"/>
      <c r="O263" s="396"/>
      <c r="P263" s="396"/>
      <c r="Q263" s="396"/>
      <c r="R263" s="396"/>
      <c r="S263" s="396"/>
      <c r="T263" s="396"/>
    </row>
    <row r="264" spans="2:20">
      <c r="B264" s="1674">
        <v>6</v>
      </c>
      <c r="C264" s="2587" t="s">
        <v>275</v>
      </c>
      <c r="D264" s="791"/>
      <c r="E264" s="293"/>
      <c r="G264" s="396"/>
      <c r="I264" s="396"/>
      <c r="J264" s="396"/>
      <c r="K264" s="396"/>
      <c r="L264" s="396"/>
      <c r="M264" s="396"/>
      <c r="N264" s="396"/>
      <c r="O264" s="396"/>
      <c r="P264" s="396"/>
      <c r="Q264" s="396"/>
      <c r="R264" s="396"/>
      <c r="S264" s="396"/>
      <c r="T264" s="396"/>
    </row>
    <row r="265" spans="2:20">
      <c r="B265" s="1674">
        <v>7</v>
      </c>
      <c r="C265" s="2587" t="s">
        <v>276</v>
      </c>
      <c r="D265" s="791"/>
      <c r="E265" s="293"/>
      <c r="G265" s="396"/>
      <c r="I265" s="396"/>
      <c r="J265" s="396"/>
      <c r="K265" s="396"/>
      <c r="L265" s="396"/>
      <c r="M265" s="396"/>
      <c r="N265" s="396"/>
      <c r="O265" s="396"/>
      <c r="P265" s="396"/>
      <c r="Q265" s="396"/>
      <c r="R265" s="396"/>
      <c r="S265" s="396"/>
      <c r="T265" s="396"/>
    </row>
    <row r="266" spans="2:20" ht="17.25" customHeight="1">
      <c r="B266" s="1674"/>
      <c r="C266" s="2569" t="s">
        <v>393</v>
      </c>
      <c r="D266" s="792">
        <v>544260</v>
      </c>
      <c r="E266" s="293"/>
      <c r="G266" s="396"/>
      <c r="I266" s="396"/>
      <c r="J266" s="396"/>
      <c r="K266" s="396"/>
      <c r="L266" s="396"/>
      <c r="M266" s="396"/>
      <c r="N266" s="396"/>
      <c r="O266" s="396"/>
      <c r="P266" s="396"/>
      <c r="Q266" s="396"/>
      <c r="R266" s="396"/>
      <c r="S266" s="396"/>
      <c r="T266" s="396"/>
    </row>
    <row r="267" spans="2:20">
      <c r="B267" s="1674"/>
      <c r="C267" s="2569" t="s">
        <v>394</v>
      </c>
      <c r="D267" s="798">
        <v>0</v>
      </c>
      <c r="E267" s="293"/>
      <c r="G267" s="396"/>
      <c r="I267" s="396"/>
      <c r="J267" s="396"/>
      <c r="K267" s="396"/>
      <c r="L267" s="396"/>
      <c r="M267" s="396"/>
      <c r="N267" s="396"/>
      <c r="O267" s="396"/>
      <c r="P267" s="396"/>
      <c r="Q267" s="396"/>
      <c r="R267" s="396"/>
      <c r="S267" s="396"/>
      <c r="T267" s="396"/>
    </row>
    <row r="268" spans="2:20">
      <c r="B268" s="1674">
        <v>8</v>
      </c>
      <c r="C268" s="2587" t="s">
        <v>279</v>
      </c>
      <c r="D268" s="791"/>
      <c r="E268" s="293"/>
      <c r="G268" s="396"/>
      <c r="I268" s="396"/>
      <c r="J268" s="396"/>
      <c r="K268" s="396"/>
      <c r="L268" s="396"/>
      <c r="M268" s="396"/>
      <c r="N268" s="396"/>
      <c r="O268" s="396"/>
      <c r="P268" s="396"/>
      <c r="Q268" s="396"/>
      <c r="R268" s="396"/>
      <c r="S268" s="396"/>
      <c r="T268" s="396"/>
    </row>
    <row r="269" spans="2:20" ht="19.5" customHeight="1">
      <c r="B269" s="1674"/>
      <c r="C269" s="2569" t="s">
        <v>395</v>
      </c>
      <c r="D269" s="791"/>
      <c r="E269" s="293"/>
      <c r="G269" s="396"/>
      <c r="I269" s="396"/>
      <c r="J269" s="396"/>
      <c r="K269" s="396"/>
      <c r="L269" s="396"/>
      <c r="M269" s="396"/>
      <c r="N269" s="396"/>
      <c r="O269" s="396"/>
      <c r="P269" s="396"/>
      <c r="Q269" s="396"/>
      <c r="R269" s="396"/>
      <c r="S269" s="396"/>
      <c r="T269" s="396"/>
    </row>
    <row r="270" spans="2:20">
      <c r="B270" s="1674"/>
      <c r="C270" s="2569" t="s">
        <v>396</v>
      </c>
      <c r="D270" s="791"/>
      <c r="E270" s="293"/>
      <c r="G270" s="396"/>
      <c r="I270" s="396"/>
      <c r="J270" s="396"/>
      <c r="K270" s="396"/>
      <c r="L270" s="396"/>
      <c r="M270" s="396"/>
      <c r="N270" s="396"/>
      <c r="O270" s="396"/>
      <c r="P270" s="396"/>
      <c r="Q270" s="396"/>
      <c r="R270" s="396"/>
      <c r="S270" s="396"/>
      <c r="T270" s="396"/>
    </row>
    <row r="271" spans="2:20" ht="25.5">
      <c r="B271" s="1676">
        <v>9</v>
      </c>
      <c r="C271" s="2580" t="s">
        <v>282</v>
      </c>
      <c r="D271" s="793">
        <v>5850389</v>
      </c>
      <c r="G271" s="396"/>
      <c r="I271" s="396"/>
      <c r="J271" s="396"/>
      <c r="K271" s="396"/>
      <c r="L271" s="396"/>
      <c r="M271" s="396"/>
      <c r="N271" s="396"/>
      <c r="O271" s="396"/>
      <c r="P271" s="396"/>
      <c r="Q271" s="396"/>
      <c r="R271" s="396"/>
      <c r="S271" s="396"/>
    </row>
    <row r="272" spans="2:20">
      <c r="B272" s="1674">
        <v>10</v>
      </c>
      <c r="C272" s="2569" t="s">
        <v>283</v>
      </c>
      <c r="D272" s="792">
        <v>2878042</v>
      </c>
      <c r="E272" s="293"/>
      <c r="G272" s="396"/>
      <c r="I272" s="396"/>
      <c r="J272" s="396"/>
      <c r="K272" s="396"/>
      <c r="L272" s="396"/>
      <c r="M272" s="396"/>
      <c r="N272" s="396"/>
      <c r="O272" s="396"/>
      <c r="P272" s="396"/>
      <c r="Q272" s="396"/>
      <c r="R272" s="396"/>
      <c r="S272" s="396"/>
      <c r="T272" s="396"/>
    </row>
    <row r="273" spans="2:20">
      <c r="B273" s="1674">
        <v>11</v>
      </c>
      <c r="C273" s="2569" t="s">
        <v>284</v>
      </c>
      <c r="D273" s="792">
        <v>2857886</v>
      </c>
      <c r="E273" s="293"/>
      <c r="G273" s="396"/>
      <c r="I273" s="396"/>
      <c r="J273" s="396"/>
      <c r="K273" s="396"/>
      <c r="L273" s="396"/>
      <c r="M273" s="396"/>
      <c r="N273" s="396"/>
      <c r="O273" s="396"/>
      <c r="P273" s="396"/>
      <c r="Q273" s="396"/>
      <c r="R273" s="396"/>
      <c r="S273" s="396"/>
      <c r="T273" s="396"/>
    </row>
    <row r="274" spans="2:20">
      <c r="B274" s="1674">
        <v>12</v>
      </c>
      <c r="C274" s="2569" t="s">
        <v>285</v>
      </c>
      <c r="D274" s="792">
        <v>114461</v>
      </c>
      <c r="E274" s="293"/>
      <c r="G274" s="396"/>
      <c r="I274" s="396"/>
      <c r="J274" s="396"/>
      <c r="K274" s="396"/>
      <c r="L274" s="396"/>
      <c r="M274" s="396"/>
      <c r="N274" s="396"/>
      <c r="O274" s="396"/>
      <c r="P274" s="396"/>
      <c r="Q274" s="396"/>
      <c r="R274" s="396"/>
      <c r="S274" s="396"/>
      <c r="T274" s="396"/>
    </row>
    <row r="275" spans="2:20" ht="25.5">
      <c r="B275" s="1674">
        <v>13</v>
      </c>
      <c r="C275" s="2569" t="s">
        <v>286</v>
      </c>
      <c r="D275" s="791"/>
      <c r="E275" s="293"/>
      <c r="G275" s="396"/>
      <c r="I275" s="396"/>
      <c r="J275" s="396"/>
      <c r="K275" s="396"/>
      <c r="L275" s="396"/>
      <c r="M275" s="396"/>
      <c r="N275" s="396"/>
      <c r="O275" s="396"/>
      <c r="P275" s="396"/>
      <c r="Q275" s="396"/>
      <c r="R275" s="396"/>
      <c r="S275" s="396"/>
      <c r="T275" s="396"/>
    </row>
    <row r="276" spans="2:20">
      <c r="B276" s="1674">
        <v>14</v>
      </c>
      <c r="C276" s="2570" t="s">
        <v>287</v>
      </c>
      <c r="D276" s="791"/>
      <c r="E276" s="293"/>
      <c r="G276" s="396"/>
      <c r="I276" s="396"/>
      <c r="J276" s="396"/>
      <c r="K276" s="396"/>
      <c r="L276" s="396"/>
      <c r="M276" s="396"/>
      <c r="N276" s="396"/>
      <c r="O276" s="396"/>
      <c r="P276" s="396"/>
      <c r="Q276" s="396"/>
      <c r="R276" s="396"/>
      <c r="S276" s="396"/>
      <c r="T276" s="396"/>
    </row>
    <row r="277" spans="2:20">
      <c r="B277" s="1674">
        <v>15</v>
      </c>
      <c r="C277" s="2570" t="s">
        <v>288</v>
      </c>
      <c r="D277" s="792">
        <v>615328</v>
      </c>
      <c r="E277" s="293"/>
      <c r="G277" s="396"/>
      <c r="I277" s="396"/>
      <c r="J277" s="396"/>
      <c r="K277" s="396"/>
      <c r="L277" s="396"/>
      <c r="M277" s="396"/>
      <c r="N277" s="396"/>
      <c r="O277" s="396"/>
      <c r="P277" s="396"/>
      <c r="Q277" s="396"/>
      <c r="R277" s="396"/>
      <c r="S277" s="396"/>
      <c r="T277" s="396"/>
    </row>
    <row r="278" spans="2:20">
      <c r="B278" s="1674">
        <v>16</v>
      </c>
      <c r="C278" s="2570" t="s">
        <v>289</v>
      </c>
      <c r="D278" s="792">
        <v>1010997</v>
      </c>
      <c r="E278" s="293"/>
      <c r="G278" s="396"/>
      <c r="I278" s="396"/>
      <c r="J278" s="396"/>
      <c r="K278" s="396"/>
      <c r="L278" s="396"/>
      <c r="M278" s="396"/>
      <c r="N278" s="396"/>
      <c r="O278" s="396"/>
      <c r="P278" s="396"/>
      <c r="Q278" s="396"/>
      <c r="R278" s="396"/>
      <c r="S278" s="396"/>
      <c r="T278" s="396"/>
    </row>
    <row r="279" spans="2:20">
      <c r="B279" s="1674">
        <v>17</v>
      </c>
      <c r="C279" s="2570" t="s">
        <v>290</v>
      </c>
      <c r="D279" s="792">
        <v>186044</v>
      </c>
      <c r="E279" s="293"/>
      <c r="G279" s="396"/>
      <c r="I279" s="396"/>
      <c r="J279" s="396"/>
      <c r="K279" s="396"/>
      <c r="L279" s="396"/>
      <c r="M279" s="396"/>
      <c r="N279" s="396"/>
      <c r="O279" s="396"/>
      <c r="P279" s="396"/>
      <c r="Q279" s="396"/>
      <c r="R279" s="396"/>
      <c r="S279" s="396"/>
      <c r="T279" s="396"/>
    </row>
    <row r="280" spans="2:20">
      <c r="B280" s="1674">
        <v>18</v>
      </c>
      <c r="C280" s="2570" t="s">
        <v>291</v>
      </c>
      <c r="D280" s="791"/>
      <c r="E280" s="293"/>
      <c r="G280" s="396"/>
      <c r="I280" s="396"/>
      <c r="J280" s="396"/>
      <c r="K280" s="396"/>
      <c r="L280" s="396"/>
      <c r="M280" s="396"/>
      <c r="N280" s="396"/>
      <c r="O280" s="396"/>
      <c r="P280" s="396"/>
      <c r="Q280" s="396"/>
      <c r="R280" s="396"/>
      <c r="S280" s="396"/>
      <c r="T280" s="396"/>
    </row>
    <row r="281" spans="2:20" ht="13.5" thickBot="1">
      <c r="B281" s="1674">
        <v>19</v>
      </c>
      <c r="C281" s="2571" t="s">
        <v>292</v>
      </c>
      <c r="D281" s="794">
        <v>267833</v>
      </c>
      <c r="E281" s="293"/>
      <c r="G281" s="396"/>
      <c r="I281" s="396"/>
      <c r="J281" s="396"/>
      <c r="K281" s="396"/>
      <c r="L281" s="396"/>
      <c r="M281" s="396"/>
      <c r="N281" s="396"/>
      <c r="O281" s="396"/>
      <c r="P281" s="396"/>
      <c r="Q281" s="396"/>
      <c r="R281" s="396"/>
      <c r="S281" s="396"/>
      <c r="T281" s="396"/>
    </row>
    <row r="282" spans="2:20" ht="26.25" thickBot="1">
      <c r="B282" s="1686">
        <v>20</v>
      </c>
      <c r="C282" s="1705" t="s">
        <v>293</v>
      </c>
      <c r="D282" s="1706">
        <v>9806005</v>
      </c>
      <c r="E282" s="293"/>
      <c r="G282" s="396"/>
      <c r="I282" s="396"/>
      <c r="J282" s="396"/>
      <c r="K282" s="396"/>
      <c r="L282" s="396"/>
      <c r="M282" s="396"/>
      <c r="N282" s="396"/>
      <c r="O282" s="396"/>
      <c r="P282" s="396"/>
      <c r="Q282" s="396"/>
      <c r="R282" s="396"/>
      <c r="S282" s="396"/>
      <c r="T282" s="396"/>
    </row>
    <row r="283" spans="2:20">
      <c r="B283" s="1674"/>
      <c r="C283" s="1678" t="s">
        <v>294</v>
      </c>
      <c r="D283" s="791"/>
      <c r="E283" s="293"/>
      <c r="G283" s="396"/>
      <c r="I283" s="396"/>
      <c r="J283" s="396"/>
      <c r="K283" s="396"/>
      <c r="L283" s="396"/>
      <c r="M283" s="396"/>
      <c r="N283" s="396"/>
      <c r="O283" s="396"/>
      <c r="P283" s="396"/>
      <c r="Q283" s="396"/>
      <c r="R283" s="396"/>
      <c r="S283" s="396"/>
      <c r="T283" s="396"/>
    </row>
    <row r="284" spans="2:20">
      <c r="B284" s="1674"/>
      <c r="C284" s="2588" t="s">
        <v>295</v>
      </c>
      <c r="D284" s="791"/>
      <c r="E284" s="293"/>
      <c r="G284" s="396"/>
      <c r="I284" s="396"/>
      <c r="J284" s="396"/>
      <c r="K284" s="396"/>
      <c r="L284" s="396"/>
      <c r="M284" s="396"/>
      <c r="N284" s="396"/>
      <c r="O284" s="396"/>
      <c r="P284" s="396"/>
      <c r="Q284" s="396"/>
      <c r="R284" s="396"/>
      <c r="S284" s="396"/>
      <c r="T284" s="396"/>
    </row>
    <row r="285" spans="2:20">
      <c r="B285" s="1674">
        <v>21</v>
      </c>
      <c r="C285" s="2570" t="s">
        <v>296</v>
      </c>
      <c r="D285" s="792">
        <v>3126800</v>
      </c>
      <c r="E285" s="293"/>
      <c r="G285" s="396"/>
      <c r="I285" s="396"/>
      <c r="J285" s="396"/>
      <c r="K285" s="396"/>
      <c r="L285" s="396"/>
      <c r="M285" s="396"/>
      <c r="N285" s="396"/>
      <c r="O285" s="396"/>
      <c r="P285" s="396"/>
      <c r="Q285" s="396"/>
      <c r="R285" s="396"/>
      <c r="S285" s="396"/>
      <c r="T285" s="396"/>
    </row>
    <row r="286" spans="2:20">
      <c r="B286" s="1674">
        <v>22</v>
      </c>
      <c r="C286" s="2570" t="s">
        <v>297</v>
      </c>
      <c r="D286" s="792">
        <v>65598</v>
      </c>
      <c r="E286" s="293"/>
      <c r="G286" s="396"/>
      <c r="I286" s="396"/>
      <c r="J286" s="396"/>
      <c r="K286" s="396"/>
      <c r="L286" s="396"/>
      <c r="M286" s="396"/>
      <c r="N286" s="396"/>
      <c r="O286" s="396"/>
      <c r="P286" s="396"/>
      <c r="Q286" s="396"/>
      <c r="R286" s="396"/>
      <c r="S286" s="396"/>
      <c r="T286" s="396"/>
    </row>
    <row r="287" spans="2:20">
      <c r="B287" s="1674">
        <v>23</v>
      </c>
      <c r="C287" s="2570" t="s">
        <v>298</v>
      </c>
      <c r="D287" s="792">
        <v>622123</v>
      </c>
      <c r="E287" s="293"/>
      <c r="G287" s="396"/>
      <c r="I287" s="396"/>
      <c r="J287" s="396"/>
      <c r="K287" s="396"/>
      <c r="L287" s="396"/>
      <c r="M287" s="396"/>
      <c r="N287" s="396"/>
      <c r="O287" s="396"/>
      <c r="P287" s="396"/>
      <c r="Q287" s="396"/>
      <c r="R287" s="396"/>
      <c r="S287" s="396"/>
      <c r="T287" s="396"/>
    </row>
    <row r="288" spans="2:20">
      <c r="B288" s="1674">
        <v>24</v>
      </c>
      <c r="C288" s="2570" t="s">
        <v>299</v>
      </c>
      <c r="D288" s="791"/>
      <c r="E288" s="293"/>
      <c r="G288" s="396"/>
      <c r="I288" s="396"/>
      <c r="J288" s="396"/>
      <c r="K288" s="396"/>
      <c r="L288" s="396"/>
      <c r="M288" s="396"/>
      <c r="N288" s="396"/>
      <c r="O288" s="396"/>
      <c r="P288" s="396"/>
      <c r="Q288" s="396"/>
      <c r="R288" s="396"/>
      <c r="S288" s="396"/>
      <c r="T288" s="396"/>
    </row>
    <row r="289" spans="2:20">
      <c r="B289" s="1674">
        <v>25</v>
      </c>
      <c r="C289" s="2569" t="s">
        <v>300</v>
      </c>
      <c r="D289" s="792">
        <v>21874</v>
      </c>
      <c r="E289" s="293"/>
      <c r="G289" s="396"/>
      <c r="I289" s="396"/>
      <c r="J289" s="396"/>
      <c r="K289" s="396"/>
      <c r="L289" s="396"/>
      <c r="M289" s="396"/>
      <c r="N289" s="396"/>
      <c r="O289" s="396"/>
      <c r="P289" s="396"/>
      <c r="Q289" s="396"/>
      <c r="R289" s="396"/>
      <c r="S289" s="396"/>
      <c r="T289" s="396"/>
    </row>
    <row r="290" spans="2:20" ht="13.5" thickBot="1">
      <c r="B290" s="1674">
        <v>26</v>
      </c>
      <c r="C290" s="2571" t="s">
        <v>301</v>
      </c>
      <c r="D290" s="794">
        <v>1342134</v>
      </c>
      <c r="E290" s="293"/>
      <c r="G290" s="396"/>
      <c r="I290" s="396"/>
      <c r="J290" s="396"/>
      <c r="K290" s="396"/>
      <c r="L290" s="396"/>
      <c r="M290" s="396"/>
      <c r="N290" s="396"/>
      <c r="O290" s="396"/>
      <c r="P290" s="396"/>
      <c r="Q290" s="396"/>
      <c r="R290" s="396"/>
      <c r="S290" s="396"/>
      <c r="T290" s="396"/>
    </row>
    <row r="291" spans="2:20" ht="26.25" thickBot="1">
      <c r="B291" s="1677">
        <v>27</v>
      </c>
      <c r="C291" s="1699" t="s">
        <v>302</v>
      </c>
      <c r="D291" s="795">
        <v>5178529</v>
      </c>
      <c r="E291" s="293"/>
      <c r="G291" s="396"/>
      <c r="I291" s="396"/>
      <c r="J291" s="396"/>
      <c r="K291" s="396"/>
      <c r="L291" s="396"/>
      <c r="M291" s="396"/>
      <c r="N291" s="396"/>
      <c r="O291" s="396"/>
      <c r="P291" s="396"/>
      <c r="Q291" s="396"/>
      <c r="R291" s="396"/>
      <c r="S291" s="396"/>
      <c r="T291" s="396"/>
    </row>
    <row r="292" spans="2:20">
      <c r="B292" s="1674"/>
      <c r="C292" s="1678" t="s">
        <v>303</v>
      </c>
      <c r="D292" s="791"/>
      <c r="E292" s="293"/>
      <c r="G292" s="396"/>
      <c r="I292" s="396"/>
      <c r="J292" s="396"/>
      <c r="K292" s="396"/>
      <c r="L292" s="396"/>
      <c r="M292" s="396"/>
      <c r="N292" s="396"/>
      <c r="O292" s="396"/>
      <c r="P292" s="396"/>
      <c r="Q292" s="396"/>
      <c r="R292" s="396"/>
      <c r="S292" s="396"/>
      <c r="T292" s="396"/>
    </row>
    <row r="293" spans="2:20">
      <c r="B293" s="1674">
        <v>28</v>
      </c>
      <c r="C293" s="2587" t="s">
        <v>304</v>
      </c>
      <c r="D293" s="792">
        <v>2198316</v>
      </c>
      <c r="E293" s="293"/>
      <c r="G293" s="396"/>
      <c r="I293" s="396"/>
      <c r="J293" s="396"/>
      <c r="K293" s="396"/>
      <c r="L293" s="396"/>
      <c r="M293" s="396"/>
      <c r="N293" s="396"/>
      <c r="O293" s="396"/>
      <c r="P293" s="396"/>
      <c r="Q293" s="396"/>
      <c r="R293" s="396"/>
      <c r="S293" s="396"/>
      <c r="T293" s="396"/>
    </row>
    <row r="294" spans="2:20">
      <c r="B294" s="1674">
        <v>29</v>
      </c>
      <c r="C294" s="2587" t="s">
        <v>305</v>
      </c>
      <c r="D294" s="792">
        <v>-26402</v>
      </c>
      <c r="E294" s="293"/>
      <c r="G294" s="396"/>
      <c r="I294" s="396"/>
      <c r="J294" s="396"/>
      <c r="K294" s="396"/>
      <c r="L294" s="396"/>
      <c r="M294" s="396"/>
      <c r="N294" s="396"/>
      <c r="O294" s="396"/>
      <c r="P294" s="396"/>
      <c r="Q294" s="396"/>
      <c r="R294" s="396"/>
      <c r="S294" s="396"/>
      <c r="T294" s="396"/>
    </row>
    <row r="295" spans="2:20">
      <c r="B295" s="1674">
        <v>30</v>
      </c>
      <c r="C295" s="2573" t="s">
        <v>306</v>
      </c>
      <c r="D295" s="792">
        <v>684428</v>
      </c>
      <c r="E295" s="293"/>
      <c r="G295" s="396"/>
      <c r="I295" s="396"/>
      <c r="J295" s="396"/>
      <c r="K295" s="396"/>
      <c r="L295" s="396"/>
      <c r="M295" s="396"/>
      <c r="N295" s="396"/>
      <c r="O295" s="396"/>
      <c r="P295" s="396"/>
      <c r="Q295" s="396"/>
      <c r="R295" s="396"/>
      <c r="S295" s="396"/>
      <c r="T295" s="396"/>
    </row>
    <row r="296" spans="2:20" ht="13.5" thickBot="1">
      <c r="B296" s="1674">
        <v>31</v>
      </c>
      <c r="C296" s="2573" t="s">
        <v>308</v>
      </c>
      <c r="D296" s="794">
        <v>1771136</v>
      </c>
      <c r="E296" s="293"/>
      <c r="G296" s="396"/>
      <c r="I296" s="396"/>
      <c r="J296" s="396"/>
      <c r="K296" s="396"/>
      <c r="L296" s="396"/>
      <c r="M296" s="396"/>
      <c r="N296" s="396"/>
      <c r="O296" s="396"/>
      <c r="P296" s="396"/>
      <c r="Q296" s="396"/>
      <c r="R296" s="396"/>
      <c r="S296" s="396"/>
      <c r="T296" s="396"/>
    </row>
    <row r="297" spans="2:20" ht="13.5" thickBot="1">
      <c r="B297" s="1677">
        <v>32</v>
      </c>
      <c r="C297" s="1699" t="s">
        <v>309</v>
      </c>
      <c r="D297" s="795">
        <v>4627478</v>
      </c>
      <c r="E297" s="293"/>
      <c r="G297" s="396"/>
      <c r="I297" s="396"/>
      <c r="J297" s="396"/>
      <c r="K297" s="396"/>
      <c r="L297" s="396"/>
      <c r="M297" s="396"/>
      <c r="N297" s="396"/>
      <c r="O297" s="396"/>
      <c r="P297" s="396"/>
      <c r="Q297" s="396"/>
      <c r="R297" s="396"/>
      <c r="S297" s="396"/>
      <c r="T297" s="396"/>
    </row>
    <row r="298" spans="2:20" ht="26.25" thickBot="1">
      <c r="B298" s="1709">
        <v>33</v>
      </c>
      <c r="C298" s="1705" t="s">
        <v>310</v>
      </c>
      <c r="D298" s="1706">
        <v>9806007</v>
      </c>
      <c r="E298" s="293"/>
      <c r="G298" s="396"/>
      <c r="I298" s="396"/>
      <c r="J298" s="396"/>
      <c r="K298" s="396"/>
      <c r="L298" s="396"/>
      <c r="M298" s="396"/>
      <c r="N298" s="396"/>
      <c r="O298" s="396"/>
      <c r="P298" s="396"/>
      <c r="Q298" s="396"/>
      <c r="R298" s="396"/>
      <c r="S298" s="396"/>
      <c r="T298" s="396"/>
    </row>
    <row r="299" spans="2:20">
      <c r="B299" s="196"/>
      <c r="C299" s="391"/>
      <c r="D299" s="547"/>
      <c r="E299" s="383"/>
      <c r="F299" s="293"/>
      <c r="I299" s="396"/>
      <c r="J299" s="396"/>
      <c r="K299" s="396"/>
      <c r="L299" s="396"/>
      <c r="M299" s="396"/>
      <c r="N299" s="396"/>
      <c r="O299" s="396"/>
      <c r="P299" s="396"/>
      <c r="Q299" s="396"/>
      <c r="R299" s="396"/>
      <c r="S299" s="396"/>
      <c r="T299" s="396"/>
    </row>
    <row r="300" spans="2:20">
      <c r="B300" s="196"/>
      <c r="C300" s="391"/>
      <c r="D300" s="391"/>
      <c r="E300" s="293"/>
      <c r="F300" s="293"/>
      <c r="H300" s="292">
        <v>86</v>
      </c>
      <c r="I300" s="396"/>
      <c r="J300" s="396"/>
      <c r="K300" s="396"/>
      <c r="L300" s="396"/>
      <c r="M300" s="396"/>
      <c r="N300" s="396"/>
      <c r="O300" s="396"/>
      <c r="P300" s="396"/>
      <c r="Q300" s="396"/>
      <c r="R300" s="396"/>
      <c r="S300" s="396"/>
      <c r="T300" s="396"/>
    </row>
    <row r="301" spans="2:20">
      <c r="E301" s="396"/>
      <c r="F301" s="396"/>
      <c r="G301" s="396"/>
      <c r="H301" s="396"/>
      <c r="I301" s="396"/>
      <c r="J301" s="396"/>
      <c r="K301" s="396"/>
      <c r="L301" s="396"/>
      <c r="M301" s="396"/>
      <c r="N301" s="396"/>
      <c r="O301" s="396"/>
      <c r="P301" s="396"/>
      <c r="Q301" s="396"/>
      <c r="R301" s="396"/>
      <c r="S301" s="396"/>
      <c r="T301" s="396"/>
    </row>
    <row r="302" spans="2:20" ht="14.25">
      <c r="B302" s="1972" t="s">
        <v>397</v>
      </c>
      <c r="C302" s="236"/>
      <c r="D302" s="236"/>
      <c r="E302" s="236"/>
      <c r="F302" s="236"/>
      <c r="G302" s="396"/>
      <c r="H302" s="396"/>
      <c r="I302" s="396"/>
      <c r="J302" s="396"/>
      <c r="K302" s="396"/>
      <c r="L302" s="396"/>
      <c r="M302" s="396"/>
      <c r="N302" s="396"/>
      <c r="O302" s="396"/>
      <c r="P302" s="396"/>
      <c r="Q302" s="396"/>
      <c r="R302" s="396"/>
      <c r="S302" s="396"/>
      <c r="T302" s="396"/>
    </row>
    <row r="303" spans="2:20" ht="13.5" thickBot="1">
      <c r="B303" s="51"/>
      <c r="C303" s="51"/>
      <c r="D303" s="51"/>
      <c r="E303" s="51"/>
      <c r="F303" s="51"/>
      <c r="G303" s="396"/>
      <c r="H303" s="396"/>
      <c r="I303" s="396"/>
      <c r="J303" s="396"/>
      <c r="K303" s="396"/>
      <c r="L303" s="396"/>
      <c r="M303" s="396"/>
      <c r="N303" s="396"/>
      <c r="O303" s="396"/>
      <c r="P303" s="396"/>
      <c r="Q303" s="396"/>
      <c r="R303" s="396"/>
      <c r="S303" s="396"/>
      <c r="T303" s="396"/>
    </row>
    <row r="304" spans="2:20" ht="13.5" thickBot="1">
      <c r="B304" s="3582" t="s">
        <v>102</v>
      </c>
      <c r="C304" s="3583"/>
      <c r="D304" s="425"/>
      <c r="E304" s="535"/>
      <c r="F304" s="535"/>
      <c r="G304" s="396"/>
      <c r="H304" s="396"/>
      <c r="I304" s="396"/>
      <c r="J304" s="396"/>
      <c r="K304" s="396"/>
      <c r="L304" s="396"/>
      <c r="M304" s="396"/>
      <c r="N304" s="396"/>
      <c r="O304" s="396"/>
      <c r="P304" s="396"/>
      <c r="Q304" s="396"/>
      <c r="R304" s="396"/>
      <c r="S304" s="396"/>
      <c r="T304" s="396"/>
    </row>
    <row r="305" spans="2:20">
      <c r="B305" s="3520" t="s">
        <v>372</v>
      </c>
      <c r="C305" s="3585"/>
      <c r="D305" s="3518" t="s">
        <v>391</v>
      </c>
      <c r="E305" s="274"/>
      <c r="I305" s="396"/>
      <c r="J305" s="396"/>
      <c r="K305" s="396"/>
      <c r="L305" s="396"/>
      <c r="M305" s="396"/>
      <c r="N305" s="396"/>
      <c r="O305" s="396"/>
      <c r="P305" s="396"/>
      <c r="Q305" s="396"/>
      <c r="R305" s="396"/>
      <c r="S305" s="396"/>
      <c r="T305" s="396"/>
    </row>
    <row r="306" spans="2:20">
      <c r="B306" s="3520"/>
      <c r="C306" s="3585"/>
      <c r="D306" s="3520"/>
      <c r="E306" s="443"/>
      <c r="I306" s="396"/>
      <c r="J306" s="396"/>
      <c r="K306" s="396"/>
      <c r="L306" s="396"/>
      <c r="M306" s="396"/>
      <c r="N306" s="396"/>
      <c r="O306" s="396"/>
      <c r="P306" s="396"/>
      <c r="Q306" s="396"/>
      <c r="R306" s="396"/>
      <c r="S306" s="396"/>
      <c r="T306" s="396"/>
    </row>
    <row r="307" spans="2:20" ht="13.5" thickBot="1">
      <c r="B307" s="3519"/>
      <c r="C307" s="3586"/>
      <c r="D307" s="3519"/>
      <c r="E307" s="443"/>
      <c r="I307" s="396"/>
      <c r="J307" s="396"/>
      <c r="K307" s="396"/>
      <c r="L307" s="396"/>
      <c r="M307" s="396"/>
      <c r="N307" s="396"/>
      <c r="O307" s="396"/>
      <c r="P307" s="396"/>
      <c r="Q307" s="396"/>
      <c r="R307" s="396"/>
      <c r="S307" s="396"/>
      <c r="T307" s="396"/>
    </row>
    <row r="308" spans="2:20" ht="15">
      <c r="B308" s="1674"/>
      <c r="C308" s="1693" t="s">
        <v>269</v>
      </c>
      <c r="D308" s="757"/>
      <c r="E308" s="293"/>
      <c r="I308" s="396"/>
      <c r="J308" s="396"/>
      <c r="K308" s="396"/>
      <c r="L308" s="396"/>
      <c r="M308" s="396"/>
      <c r="N308" s="396"/>
      <c r="O308" s="396"/>
      <c r="P308" s="396"/>
      <c r="Q308" s="396"/>
      <c r="R308" s="396"/>
      <c r="S308" s="396"/>
      <c r="T308" s="396"/>
    </row>
    <row r="309" spans="2:20" ht="15">
      <c r="B309" s="1674">
        <v>1</v>
      </c>
      <c r="C309" s="2558" t="s">
        <v>270</v>
      </c>
      <c r="D309" s="799">
        <v>360508</v>
      </c>
      <c r="E309" s="293"/>
      <c r="G309" s="396"/>
      <c r="I309" s="157"/>
      <c r="J309" s="396"/>
      <c r="K309" s="396"/>
      <c r="L309" s="396"/>
      <c r="M309" s="396"/>
      <c r="N309" s="396"/>
      <c r="O309" s="396"/>
      <c r="P309" s="396"/>
      <c r="Q309" s="396"/>
      <c r="R309" s="396"/>
      <c r="S309" s="396"/>
      <c r="T309" s="396"/>
    </row>
    <row r="310" spans="2:20" ht="15">
      <c r="B310" s="1674">
        <v>2</v>
      </c>
      <c r="C310" s="2558" t="s">
        <v>271</v>
      </c>
      <c r="D310" s="799">
        <v>333313</v>
      </c>
      <c r="E310" s="293"/>
      <c r="G310" s="396"/>
      <c r="I310" s="157"/>
      <c r="J310" s="396"/>
      <c r="K310" s="396"/>
      <c r="L310" s="396"/>
      <c r="M310" s="396"/>
      <c r="N310" s="396"/>
      <c r="O310" s="396"/>
      <c r="P310" s="396"/>
      <c r="Q310" s="396"/>
      <c r="R310" s="396"/>
      <c r="S310" s="396"/>
      <c r="T310" s="396"/>
    </row>
    <row r="311" spans="2:20" ht="15">
      <c r="B311" s="1674">
        <v>3</v>
      </c>
      <c r="C311" s="2558" t="s">
        <v>272</v>
      </c>
      <c r="D311" s="800"/>
      <c r="E311" s="293"/>
      <c r="G311" s="396"/>
      <c r="I311" s="157"/>
      <c r="J311" s="396"/>
      <c r="K311" s="396"/>
      <c r="L311" s="396"/>
      <c r="M311" s="396"/>
      <c r="N311" s="396"/>
      <c r="O311" s="396"/>
      <c r="P311" s="396"/>
      <c r="Q311" s="396"/>
      <c r="R311" s="396"/>
      <c r="S311" s="396"/>
      <c r="T311" s="396"/>
    </row>
    <row r="312" spans="2:20" ht="15">
      <c r="B312" s="1674">
        <v>4</v>
      </c>
      <c r="C312" s="2589" t="s">
        <v>273</v>
      </c>
      <c r="D312" s="799">
        <v>253004</v>
      </c>
      <c r="E312" s="293"/>
      <c r="G312" s="396"/>
      <c r="I312" s="157"/>
      <c r="J312" s="396"/>
      <c r="K312" s="396"/>
      <c r="L312" s="396"/>
      <c r="M312" s="396"/>
      <c r="N312" s="396"/>
      <c r="O312" s="396"/>
      <c r="P312" s="396"/>
      <c r="Q312" s="396"/>
      <c r="R312" s="396"/>
      <c r="S312" s="396"/>
      <c r="T312" s="396"/>
    </row>
    <row r="313" spans="2:20" ht="15">
      <c r="B313" s="1674">
        <v>5</v>
      </c>
      <c r="C313" s="2558" t="s">
        <v>237</v>
      </c>
      <c r="D313" s="799">
        <v>314197</v>
      </c>
      <c r="E313" s="293"/>
      <c r="G313" s="396"/>
      <c r="I313" s="157"/>
      <c r="J313" s="396"/>
      <c r="K313" s="396"/>
      <c r="L313" s="396"/>
      <c r="M313" s="396"/>
      <c r="N313" s="396"/>
      <c r="O313" s="396"/>
      <c r="P313" s="396"/>
      <c r="Q313" s="396"/>
      <c r="R313" s="396"/>
      <c r="S313" s="396"/>
      <c r="T313" s="396"/>
    </row>
    <row r="314" spans="2:20" ht="15">
      <c r="B314" s="1674">
        <v>6</v>
      </c>
      <c r="C314" s="2558" t="s">
        <v>275</v>
      </c>
      <c r="D314" s="800"/>
      <c r="E314" s="293"/>
      <c r="G314" s="396"/>
      <c r="I314" s="157"/>
      <c r="J314" s="396"/>
      <c r="K314" s="396"/>
      <c r="L314" s="396"/>
      <c r="M314" s="396"/>
      <c r="N314" s="396"/>
      <c r="O314" s="396"/>
      <c r="P314" s="396"/>
      <c r="Q314" s="396"/>
      <c r="R314" s="396"/>
      <c r="S314" s="396"/>
      <c r="T314" s="396"/>
    </row>
    <row r="315" spans="2:20" ht="15">
      <c r="B315" s="1674">
        <v>7</v>
      </c>
      <c r="C315" s="2558" t="s">
        <v>276</v>
      </c>
      <c r="D315" s="800"/>
      <c r="E315" s="293"/>
      <c r="G315" s="396"/>
      <c r="I315" s="157"/>
      <c r="J315" s="396"/>
      <c r="K315" s="396"/>
      <c r="L315" s="396"/>
      <c r="M315" s="396"/>
      <c r="N315" s="396"/>
      <c r="O315" s="396"/>
      <c r="P315" s="396"/>
      <c r="Q315" s="396"/>
      <c r="R315" s="396"/>
      <c r="S315" s="396"/>
      <c r="T315" s="396"/>
    </row>
    <row r="316" spans="2:20" ht="15">
      <c r="B316" s="1674"/>
      <c r="C316" s="2558" t="s">
        <v>377</v>
      </c>
      <c r="D316" s="800"/>
      <c r="E316" s="293"/>
      <c r="G316" s="396"/>
      <c r="I316" s="157"/>
      <c r="J316" s="396"/>
      <c r="K316" s="396"/>
      <c r="L316" s="396"/>
      <c r="M316" s="396"/>
      <c r="N316" s="396"/>
      <c r="O316" s="396"/>
      <c r="P316" s="396"/>
      <c r="Q316" s="396"/>
      <c r="R316" s="396"/>
      <c r="S316" s="396"/>
      <c r="T316" s="396"/>
    </row>
    <row r="317" spans="2:20" ht="15">
      <c r="B317" s="1674"/>
      <c r="C317" s="2561" t="s">
        <v>378</v>
      </c>
      <c r="D317" s="800"/>
      <c r="E317" s="293"/>
      <c r="G317" s="396"/>
      <c r="I317" s="157"/>
      <c r="J317" s="396"/>
      <c r="K317" s="396"/>
      <c r="L317" s="396"/>
      <c r="M317" s="396"/>
      <c r="N317" s="396"/>
      <c r="O317" s="396"/>
      <c r="P317" s="396"/>
      <c r="Q317" s="396"/>
      <c r="R317" s="396"/>
      <c r="S317" s="396"/>
      <c r="T317" s="396"/>
    </row>
    <row r="318" spans="2:20" ht="15">
      <c r="B318" s="1674">
        <v>8</v>
      </c>
      <c r="C318" s="2561" t="s">
        <v>379</v>
      </c>
      <c r="D318" s="800"/>
      <c r="E318" s="293"/>
      <c r="G318" s="396"/>
      <c r="I318" s="157"/>
      <c r="J318" s="396"/>
      <c r="K318" s="396"/>
      <c r="L318" s="396"/>
      <c r="M318" s="396"/>
      <c r="N318" s="396"/>
      <c r="O318" s="396"/>
      <c r="P318" s="396"/>
      <c r="Q318" s="396"/>
      <c r="R318" s="396"/>
      <c r="S318" s="396"/>
      <c r="T318" s="396"/>
    </row>
    <row r="319" spans="2:20" ht="15">
      <c r="B319" s="1674"/>
      <c r="C319" s="2558" t="s">
        <v>380</v>
      </c>
      <c r="D319" s="800"/>
      <c r="E319" s="293"/>
      <c r="G319" s="396"/>
      <c r="I319" s="157"/>
      <c r="J319" s="396"/>
      <c r="K319" s="396"/>
      <c r="L319" s="396"/>
      <c r="M319" s="396"/>
      <c r="N319" s="396"/>
      <c r="O319" s="396"/>
      <c r="P319" s="396"/>
      <c r="Q319" s="396"/>
      <c r="R319" s="396"/>
      <c r="S319" s="396"/>
      <c r="T319" s="396"/>
    </row>
    <row r="320" spans="2:20" ht="15">
      <c r="B320" s="1674"/>
      <c r="C320" s="2561" t="s">
        <v>381</v>
      </c>
      <c r="D320" s="800"/>
      <c r="E320" s="293"/>
      <c r="G320" s="396"/>
      <c r="I320" s="157"/>
      <c r="J320" s="396"/>
      <c r="K320" s="396"/>
      <c r="L320" s="396"/>
      <c r="M320" s="396"/>
      <c r="N320" s="396"/>
      <c r="O320" s="396"/>
      <c r="P320" s="396"/>
      <c r="Q320" s="396"/>
      <c r="R320" s="396"/>
      <c r="S320" s="396"/>
      <c r="T320" s="396"/>
    </row>
    <row r="321" spans="2:20" ht="25.5">
      <c r="B321" s="1676">
        <v>9</v>
      </c>
      <c r="C321" s="2580" t="s">
        <v>282</v>
      </c>
      <c r="D321" s="805">
        <v>10414835</v>
      </c>
      <c r="G321" s="396"/>
      <c r="I321" s="157"/>
      <c r="J321" s="396"/>
      <c r="K321" s="396"/>
      <c r="L321" s="396"/>
      <c r="M321" s="396"/>
      <c r="N321" s="396"/>
      <c r="O321" s="396"/>
      <c r="P321" s="396"/>
      <c r="Q321" s="396"/>
      <c r="R321" s="396"/>
      <c r="S321" s="396"/>
    </row>
    <row r="322" spans="2:20" ht="15">
      <c r="B322" s="1674">
        <v>10</v>
      </c>
      <c r="C322" s="2558" t="s">
        <v>283</v>
      </c>
      <c r="D322" s="799">
        <v>2976413</v>
      </c>
      <c r="E322" s="293"/>
      <c r="G322" s="396"/>
      <c r="I322" s="157"/>
      <c r="J322" s="396"/>
      <c r="K322" s="396"/>
      <c r="L322" s="396"/>
      <c r="M322" s="396"/>
      <c r="N322" s="396"/>
      <c r="O322" s="396"/>
      <c r="P322" s="396"/>
      <c r="Q322" s="396"/>
      <c r="R322" s="396"/>
      <c r="S322" s="396"/>
      <c r="T322" s="396"/>
    </row>
    <row r="323" spans="2:20" ht="15">
      <c r="B323" s="1674">
        <v>11</v>
      </c>
      <c r="C323" s="2558" t="s">
        <v>284</v>
      </c>
      <c r="D323" s="799">
        <v>6156754</v>
      </c>
      <c r="E323" s="293"/>
      <c r="G323" s="396"/>
      <c r="I323" s="157"/>
      <c r="J323" s="396"/>
      <c r="K323" s="396"/>
      <c r="L323" s="396"/>
      <c r="M323" s="396"/>
      <c r="N323" s="396"/>
      <c r="O323" s="396"/>
      <c r="P323" s="396"/>
      <c r="Q323" s="396"/>
      <c r="R323" s="396"/>
      <c r="S323" s="396"/>
      <c r="T323" s="396"/>
    </row>
    <row r="324" spans="2:20" ht="15">
      <c r="B324" s="1674">
        <v>12</v>
      </c>
      <c r="C324" s="2558" t="s">
        <v>285</v>
      </c>
      <c r="D324" s="799">
        <v>1281668</v>
      </c>
      <c r="E324" s="293"/>
      <c r="G324" s="396"/>
      <c r="I324" s="157"/>
      <c r="J324" s="396"/>
      <c r="K324" s="396"/>
      <c r="L324" s="396"/>
      <c r="M324" s="396"/>
      <c r="N324" s="396"/>
      <c r="O324" s="396"/>
      <c r="P324" s="396"/>
      <c r="Q324" s="396"/>
      <c r="R324" s="396"/>
      <c r="S324" s="396"/>
      <c r="T324" s="396"/>
    </row>
    <row r="325" spans="2:20" ht="25.5">
      <c r="B325" s="1674">
        <v>13</v>
      </c>
      <c r="C325" s="2558" t="s">
        <v>286</v>
      </c>
      <c r="D325" s="800"/>
      <c r="E325" s="293"/>
      <c r="G325" s="396"/>
      <c r="I325" s="157"/>
      <c r="J325" s="396"/>
      <c r="K325" s="396"/>
      <c r="L325" s="396"/>
      <c r="M325" s="396"/>
      <c r="N325" s="396"/>
      <c r="O325" s="396"/>
      <c r="P325" s="396"/>
      <c r="Q325" s="396"/>
      <c r="R325" s="396"/>
      <c r="S325" s="396"/>
      <c r="T325" s="396"/>
    </row>
    <row r="326" spans="2:20" ht="15">
      <c r="B326" s="1674">
        <v>14</v>
      </c>
      <c r="C326" s="2178" t="s">
        <v>287</v>
      </c>
      <c r="D326" s="800"/>
      <c r="E326" s="293"/>
      <c r="G326" s="396"/>
      <c r="I326" s="157"/>
      <c r="J326" s="396"/>
      <c r="K326" s="396"/>
      <c r="L326" s="396"/>
      <c r="M326" s="396"/>
      <c r="N326" s="396"/>
      <c r="O326" s="396"/>
      <c r="P326" s="396"/>
      <c r="Q326" s="396"/>
      <c r="R326" s="396"/>
      <c r="S326" s="396"/>
      <c r="T326" s="396"/>
    </row>
    <row r="327" spans="2:20" ht="15">
      <c r="B327" s="1674">
        <v>15</v>
      </c>
      <c r="C327" s="2178" t="s">
        <v>288</v>
      </c>
      <c r="D327" s="799">
        <v>2815926</v>
      </c>
      <c r="E327" s="293"/>
      <c r="G327" s="396"/>
      <c r="I327" s="157"/>
      <c r="J327" s="396"/>
      <c r="K327" s="396"/>
      <c r="L327" s="396"/>
      <c r="M327" s="396"/>
      <c r="N327" s="396"/>
      <c r="O327" s="396"/>
      <c r="P327" s="396"/>
      <c r="Q327" s="396"/>
      <c r="R327" s="396"/>
      <c r="S327" s="396"/>
      <c r="T327" s="396"/>
    </row>
    <row r="328" spans="2:20" ht="15">
      <c r="B328" s="1674">
        <v>16</v>
      </c>
      <c r="C328" s="2178" t="s">
        <v>289</v>
      </c>
      <c r="D328" s="799">
        <v>3286844</v>
      </c>
      <c r="E328" s="293"/>
      <c r="G328" s="396"/>
      <c r="I328" s="157"/>
      <c r="J328" s="396"/>
      <c r="K328" s="396"/>
      <c r="L328" s="396"/>
      <c r="M328" s="396"/>
      <c r="N328" s="396"/>
      <c r="O328" s="396"/>
      <c r="P328" s="396"/>
      <c r="Q328" s="396"/>
      <c r="R328" s="396"/>
      <c r="S328" s="396"/>
      <c r="T328" s="396"/>
    </row>
    <row r="329" spans="2:20" ht="15">
      <c r="B329" s="1674">
        <v>17</v>
      </c>
      <c r="C329" s="2561" t="s">
        <v>229</v>
      </c>
      <c r="D329" s="799">
        <v>483702</v>
      </c>
      <c r="E329" s="293"/>
      <c r="G329" s="396"/>
      <c r="I329" s="157"/>
      <c r="J329" s="396"/>
      <c r="K329" s="396"/>
      <c r="L329" s="396"/>
      <c r="M329" s="396"/>
      <c r="N329" s="396"/>
      <c r="O329" s="396"/>
      <c r="P329" s="396"/>
      <c r="Q329" s="396"/>
      <c r="R329" s="396"/>
      <c r="S329" s="396"/>
      <c r="T329" s="396"/>
    </row>
    <row r="330" spans="2:20" ht="15">
      <c r="B330" s="1674">
        <v>18</v>
      </c>
      <c r="C330" s="2558" t="s">
        <v>382</v>
      </c>
      <c r="D330" s="799">
        <v>666187</v>
      </c>
      <c r="E330" s="293"/>
      <c r="G330" s="396"/>
      <c r="I330" s="157"/>
      <c r="J330" s="396"/>
      <c r="K330" s="396"/>
      <c r="L330" s="396"/>
      <c r="M330" s="396"/>
      <c r="N330" s="396"/>
      <c r="O330" s="396"/>
      <c r="P330" s="396"/>
      <c r="Q330" s="396"/>
      <c r="R330" s="396"/>
      <c r="S330" s="396"/>
      <c r="T330" s="396"/>
    </row>
    <row r="331" spans="2:20" ht="15.75" thickBot="1">
      <c r="B331" s="1674">
        <v>19</v>
      </c>
      <c r="C331" s="2561" t="s">
        <v>230</v>
      </c>
      <c r="D331" s="799">
        <v>384290</v>
      </c>
      <c r="E331" s="293"/>
      <c r="G331" s="396"/>
      <c r="I331" s="157"/>
      <c r="J331" s="396"/>
      <c r="K331" s="396"/>
      <c r="L331" s="396"/>
      <c r="M331" s="396"/>
      <c r="N331" s="396"/>
      <c r="O331" s="396"/>
      <c r="P331" s="396"/>
      <c r="Q331" s="396"/>
      <c r="R331" s="396"/>
      <c r="S331" s="396"/>
      <c r="T331" s="396"/>
    </row>
    <row r="332" spans="2:20" ht="26.25" thickBot="1">
      <c r="B332" s="1686">
        <v>20</v>
      </c>
      <c r="C332" s="1722" t="s">
        <v>383</v>
      </c>
      <c r="D332" s="1723">
        <v>19312806</v>
      </c>
      <c r="E332" s="293"/>
      <c r="G332" s="396"/>
      <c r="I332" s="914"/>
      <c r="J332" s="396"/>
      <c r="K332" s="396"/>
      <c r="L332" s="396"/>
      <c r="M332" s="396"/>
      <c r="N332" s="396"/>
      <c r="O332" s="396"/>
      <c r="P332" s="396"/>
      <c r="Q332" s="396"/>
      <c r="R332" s="396"/>
      <c r="S332" s="396"/>
      <c r="T332" s="396"/>
    </row>
    <row r="333" spans="2:20" ht="15">
      <c r="B333" s="1674"/>
      <c r="C333" s="1696" t="s">
        <v>294</v>
      </c>
      <c r="D333" s="2590"/>
      <c r="E333" s="293"/>
      <c r="G333" s="396"/>
      <c r="I333" s="157"/>
      <c r="J333" s="396"/>
      <c r="K333" s="396"/>
      <c r="L333" s="396"/>
      <c r="M333" s="396"/>
      <c r="N333" s="396"/>
      <c r="O333" s="396"/>
      <c r="P333" s="396"/>
      <c r="Q333" s="396"/>
      <c r="R333" s="396"/>
      <c r="S333" s="396"/>
      <c r="T333" s="396"/>
    </row>
    <row r="334" spans="2:20" ht="15">
      <c r="B334" s="1674"/>
      <c r="C334" s="1695" t="s">
        <v>295</v>
      </c>
      <c r="D334" s="800"/>
      <c r="E334" s="293"/>
      <c r="G334" s="396"/>
      <c r="I334" s="157"/>
      <c r="J334" s="396"/>
      <c r="K334" s="396"/>
      <c r="L334" s="396"/>
      <c r="M334" s="396"/>
      <c r="N334" s="396"/>
      <c r="O334" s="396"/>
      <c r="P334" s="396"/>
      <c r="Q334" s="396"/>
      <c r="R334" s="396"/>
      <c r="S334" s="396"/>
      <c r="T334" s="396"/>
    </row>
    <row r="335" spans="2:20">
      <c r="B335" s="1674">
        <v>21</v>
      </c>
      <c r="C335" s="2558" t="s">
        <v>296</v>
      </c>
      <c r="D335" s="801">
        <v>8528968</v>
      </c>
      <c r="E335" s="293"/>
      <c r="G335" s="396"/>
      <c r="I335" s="915"/>
      <c r="J335" s="396"/>
      <c r="K335" s="396"/>
      <c r="L335" s="396"/>
      <c r="M335" s="396"/>
      <c r="N335" s="396"/>
      <c r="O335" s="396"/>
      <c r="P335" s="396"/>
      <c r="Q335" s="396"/>
      <c r="R335" s="396"/>
      <c r="S335" s="396"/>
      <c r="T335" s="396"/>
    </row>
    <row r="336" spans="2:20">
      <c r="B336" s="1674">
        <v>22</v>
      </c>
      <c r="C336" s="2178" t="s">
        <v>297</v>
      </c>
      <c r="D336" s="801">
        <v>137732</v>
      </c>
      <c r="E336" s="293"/>
      <c r="G336" s="396"/>
      <c r="I336" s="915"/>
      <c r="J336" s="396"/>
      <c r="K336" s="396"/>
      <c r="L336" s="396"/>
      <c r="M336" s="396"/>
      <c r="N336" s="396"/>
      <c r="O336" s="396"/>
      <c r="P336" s="396"/>
      <c r="Q336" s="396"/>
      <c r="R336" s="396"/>
      <c r="S336" s="396"/>
      <c r="T336" s="396"/>
    </row>
    <row r="337" spans="2:20">
      <c r="B337" s="1674">
        <v>23</v>
      </c>
      <c r="C337" s="2178" t="s">
        <v>298</v>
      </c>
      <c r="D337" s="801">
        <v>1807001</v>
      </c>
      <c r="E337" s="293"/>
      <c r="G337" s="396"/>
      <c r="I337" s="915"/>
      <c r="J337" s="396"/>
      <c r="K337" s="396"/>
      <c r="L337" s="396"/>
      <c r="M337" s="396"/>
      <c r="N337" s="396"/>
      <c r="O337" s="396"/>
      <c r="P337" s="396"/>
      <c r="Q337" s="396"/>
      <c r="R337" s="396"/>
      <c r="S337" s="396"/>
      <c r="T337" s="396"/>
    </row>
    <row r="338" spans="2:20">
      <c r="B338" s="1674">
        <v>24</v>
      </c>
      <c r="C338" s="2178" t="s">
        <v>299</v>
      </c>
      <c r="D338" s="801">
        <v>641510</v>
      </c>
      <c r="E338" s="293"/>
      <c r="G338" s="396"/>
      <c r="I338" s="915"/>
      <c r="J338" s="396"/>
      <c r="K338" s="396"/>
      <c r="L338" s="396"/>
      <c r="M338" s="396"/>
      <c r="N338" s="396"/>
      <c r="O338" s="396"/>
      <c r="P338" s="396"/>
      <c r="Q338" s="396"/>
      <c r="R338" s="396"/>
      <c r="S338" s="396"/>
      <c r="T338" s="396"/>
    </row>
    <row r="339" spans="2:20">
      <c r="B339" s="1674">
        <v>25</v>
      </c>
      <c r="C339" s="2558" t="s">
        <v>300</v>
      </c>
      <c r="D339" s="802"/>
      <c r="E339" s="293"/>
      <c r="G339" s="396"/>
      <c r="I339" s="915"/>
      <c r="J339" s="396"/>
      <c r="K339" s="396"/>
      <c r="L339" s="396"/>
      <c r="M339" s="396"/>
      <c r="N339" s="396"/>
      <c r="O339" s="396"/>
      <c r="P339" s="396"/>
      <c r="Q339" s="396"/>
      <c r="R339" s="396"/>
      <c r="S339" s="396"/>
      <c r="T339" s="396"/>
    </row>
    <row r="340" spans="2:20" ht="13.5" thickBot="1">
      <c r="B340" s="1674">
        <v>26</v>
      </c>
      <c r="C340" s="2575" t="s">
        <v>301</v>
      </c>
      <c r="D340" s="803">
        <v>1320182</v>
      </c>
      <c r="E340" s="293"/>
      <c r="G340" s="396"/>
      <c r="I340" s="915"/>
      <c r="J340" s="396"/>
      <c r="K340" s="396"/>
      <c r="L340" s="396"/>
      <c r="M340" s="396"/>
      <c r="N340" s="396"/>
      <c r="O340" s="396"/>
      <c r="P340" s="396"/>
      <c r="Q340" s="396"/>
      <c r="R340" s="396"/>
      <c r="S340" s="396"/>
      <c r="T340" s="396"/>
    </row>
    <row r="341" spans="2:20" ht="15.75" thickBot="1">
      <c r="B341" s="1677">
        <v>27</v>
      </c>
      <c r="C341" s="1694" t="s">
        <v>384</v>
      </c>
      <c r="D341" s="804">
        <v>12435393</v>
      </c>
      <c r="E341" s="293"/>
      <c r="G341" s="396"/>
      <c r="I341" s="916"/>
      <c r="J341" s="396"/>
      <c r="K341" s="396"/>
      <c r="L341" s="396"/>
      <c r="M341" s="396"/>
      <c r="N341" s="396"/>
      <c r="O341" s="396"/>
      <c r="P341" s="396"/>
      <c r="Q341" s="396"/>
      <c r="R341" s="396"/>
      <c r="S341" s="396"/>
      <c r="T341" s="396"/>
    </row>
    <row r="342" spans="2:20" ht="15">
      <c r="B342" s="1674"/>
      <c r="C342" s="1693" t="s">
        <v>385</v>
      </c>
      <c r="D342" s="800"/>
      <c r="E342" s="293"/>
      <c r="G342" s="396"/>
      <c r="I342" s="157"/>
      <c r="J342" s="396"/>
      <c r="K342" s="396"/>
      <c r="L342" s="396"/>
      <c r="M342" s="396"/>
      <c r="N342" s="396"/>
      <c r="O342" s="396"/>
      <c r="P342" s="396"/>
      <c r="Q342" s="396"/>
      <c r="R342" s="396"/>
      <c r="S342" s="396"/>
      <c r="T342" s="396"/>
    </row>
    <row r="343" spans="2:20" ht="15">
      <c r="B343" s="1674">
        <v>28</v>
      </c>
      <c r="C343" s="2558" t="s">
        <v>386</v>
      </c>
      <c r="D343" s="799">
        <v>3131949</v>
      </c>
      <c r="E343" s="293"/>
      <c r="G343" s="396"/>
      <c r="I343" s="157"/>
      <c r="J343" s="396"/>
      <c r="K343" s="396"/>
      <c r="L343" s="396"/>
      <c r="M343" s="396"/>
      <c r="N343" s="396"/>
      <c r="O343" s="396"/>
      <c r="P343" s="396"/>
      <c r="Q343" s="396"/>
      <c r="R343" s="396"/>
      <c r="S343" s="396"/>
      <c r="T343" s="396"/>
    </row>
    <row r="344" spans="2:20" ht="15">
      <c r="B344" s="1674">
        <v>29</v>
      </c>
      <c r="C344" s="2558" t="s">
        <v>305</v>
      </c>
      <c r="D344" s="799">
        <v>-21298</v>
      </c>
      <c r="E344" s="293"/>
      <c r="G344" s="396"/>
      <c r="I344" s="157"/>
      <c r="J344" s="396"/>
      <c r="K344" s="396"/>
      <c r="L344" s="396"/>
      <c r="M344" s="396"/>
      <c r="N344" s="396"/>
      <c r="O344" s="396"/>
      <c r="P344" s="396"/>
      <c r="Q344" s="396"/>
      <c r="R344" s="396"/>
      <c r="S344" s="396"/>
      <c r="T344" s="396"/>
    </row>
    <row r="345" spans="2:20" ht="15">
      <c r="B345" s="1674">
        <v>30</v>
      </c>
      <c r="C345" s="2584" t="s">
        <v>306</v>
      </c>
      <c r="D345" s="800"/>
      <c r="E345" s="293"/>
      <c r="G345" s="396"/>
      <c r="I345" s="157"/>
      <c r="J345" s="396"/>
      <c r="K345" s="396"/>
      <c r="L345" s="396"/>
      <c r="M345" s="396"/>
      <c r="N345" s="396"/>
      <c r="O345" s="396"/>
      <c r="P345" s="396"/>
      <c r="Q345" s="396"/>
      <c r="R345" s="396"/>
      <c r="S345" s="396"/>
      <c r="T345" s="396"/>
    </row>
    <row r="346" spans="2:20" ht="15.75" thickBot="1">
      <c r="B346" s="1674">
        <v>31</v>
      </c>
      <c r="C346" s="2584" t="s">
        <v>308</v>
      </c>
      <c r="D346" s="806">
        <v>3766761</v>
      </c>
      <c r="E346" s="293"/>
      <c r="G346" s="396"/>
      <c r="I346" s="157"/>
      <c r="J346" s="396"/>
      <c r="K346" s="396"/>
      <c r="L346" s="396"/>
      <c r="M346" s="396"/>
      <c r="N346" s="396"/>
      <c r="O346" s="396"/>
      <c r="P346" s="396"/>
      <c r="Q346" s="396"/>
      <c r="R346" s="396"/>
      <c r="S346" s="396"/>
      <c r="T346" s="396"/>
    </row>
    <row r="347" spans="2:20" ht="15.75" thickBot="1">
      <c r="B347" s="1677">
        <v>32</v>
      </c>
      <c r="C347" s="1694" t="s">
        <v>309</v>
      </c>
      <c r="D347" s="807">
        <v>6877412</v>
      </c>
      <c r="E347" s="293"/>
      <c r="G347" s="396"/>
      <c r="I347" s="916"/>
      <c r="J347" s="396"/>
      <c r="K347" s="396"/>
      <c r="L347" s="396"/>
      <c r="M347" s="396"/>
      <c r="N347" s="396"/>
      <c r="O347" s="396"/>
      <c r="P347" s="396"/>
      <c r="Q347" s="396"/>
      <c r="R347" s="396"/>
      <c r="S347" s="396"/>
      <c r="T347" s="396"/>
    </row>
    <row r="348" spans="2:20" ht="26.25" thickBot="1">
      <c r="B348" s="1689">
        <v>33</v>
      </c>
      <c r="C348" s="1720" t="s">
        <v>387</v>
      </c>
      <c r="D348" s="1721">
        <v>19312806</v>
      </c>
      <c r="E348" s="293"/>
      <c r="G348" s="396"/>
      <c r="I348" s="916"/>
      <c r="J348" s="396"/>
      <c r="K348" s="396"/>
      <c r="L348" s="396"/>
      <c r="M348" s="396"/>
      <c r="N348" s="396"/>
      <c r="O348" s="396"/>
      <c r="P348" s="396"/>
      <c r="Q348" s="396"/>
      <c r="R348" s="396"/>
      <c r="S348" s="396"/>
      <c r="T348" s="396"/>
    </row>
    <row r="349" spans="2:20">
      <c r="B349" s="196"/>
      <c r="C349" s="634"/>
      <c r="D349" s="383"/>
      <c r="E349" s="383"/>
      <c r="F349" s="293"/>
      <c r="I349" s="396"/>
      <c r="J349" s="396"/>
      <c r="K349" s="396"/>
      <c r="L349" s="396"/>
      <c r="M349" s="396"/>
      <c r="N349" s="396"/>
      <c r="O349" s="396"/>
      <c r="P349" s="396"/>
      <c r="Q349" s="396"/>
      <c r="R349" s="396"/>
      <c r="S349" s="396"/>
      <c r="T349" s="396"/>
    </row>
    <row r="350" spans="2:20">
      <c r="B350" s="196"/>
      <c r="C350" s="634"/>
      <c r="D350" s="383"/>
      <c r="E350" s="383"/>
      <c r="F350" s="293"/>
      <c r="H350" s="292">
        <v>87</v>
      </c>
      <c r="I350" s="396"/>
      <c r="J350" s="396"/>
      <c r="K350" s="396"/>
      <c r="L350" s="396"/>
      <c r="M350" s="396"/>
      <c r="N350" s="396"/>
      <c r="O350" s="396"/>
      <c r="P350" s="396"/>
      <c r="Q350" s="396"/>
      <c r="R350" s="396"/>
      <c r="S350" s="396"/>
      <c r="T350" s="396"/>
    </row>
    <row r="351" spans="2:20">
      <c r="B351" s="196"/>
      <c r="C351" s="391"/>
      <c r="D351" s="391"/>
      <c r="E351" s="293"/>
      <c r="F351" s="293"/>
      <c r="I351" s="396"/>
      <c r="J351" s="396"/>
      <c r="K351" s="396"/>
      <c r="L351" s="396"/>
      <c r="M351" s="396"/>
      <c r="N351" s="396"/>
      <c r="O351" s="396"/>
      <c r="P351" s="396"/>
      <c r="Q351" s="396"/>
      <c r="R351" s="396"/>
      <c r="S351" s="396"/>
      <c r="T351" s="396"/>
    </row>
    <row r="352" spans="2:20" ht="14.25">
      <c r="B352" s="3593" t="s">
        <v>397</v>
      </c>
      <c r="C352" s="3594"/>
      <c r="D352" s="3594"/>
      <c r="E352" s="3594"/>
      <c r="F352" s="3594"/>
      <c r="G352" s="3594"/>
      <c r="I352" s="396"/>
      <c r="J352" s="396"/>
      <c r="K352" s="396"/>
      <c r="L352" s="396"/>
      <c r="M352" s="396"/>
      <c r="N352" s="396"/>
      <c r="O352" s="396"/>
      <c r="P352" s="396"/>
      <c r="Q352" s="396"/>
      <c r="R352" s="396"/>
      <c r="S352" s="396"/>
      <c r="T352" s="396"/>
    </row>
    <row r="353" spans="2:20" ht="13.5" thickBot="1">
      <c r="B353" s="51"/>
      <c r="C353" s="51"/>
      <c r="D353" s="51"/>
      <c r="E353" s="51"/>
      <c r="F353" s="51"/>
      <c r="I353" s="396"/>
      <c r="J353" s="396"/>
      <c r="K353" s="396"/>
      <c r="L353" s="396"/>
      <c r="M353" s="396"/>
      <c r="N353" s="396"/>
      <c r="O353" s="396"/>
      <c r="P353" s="396"/>
      <c r="Q353" s="396"/>
      <c r="R353" s="396"/>
      <c r="S353" s="396"/>
      <c r="T353" s="396"/>
    </row>
    <row r="354" spans="2:20" ht="13.5" thickBot="1">
      <c r="B354" s="3582" t="s">
        <v>104</v>
      </c>
      <c r="C354" s="3583"/>
      <c r="D354" s="425"/>
      <c r="E354" s="535"/>
      <c r="F354" s="396"/>
      <c r="I354" s="396"/>
      <c r="J354" s="396"/>
      <c r="K354" s="396"/>
      <c r="L354" s="396"/>
      <c r="M354" s="396"/>
      <c r="N354" s="396"/>
      <c r="O354" s="396"/>
      <c r="P354" s="396"/>
      <c r="Q354" s="396"/>
      <c r="R354" s="396"/>
      <c r="S354" s="396"/>
      <c r="T354" s="396"/>
    </row>
    <row r="355" spans="2:20">
      <c r="B355" s="3520" t="s">
        <v>372</v>
      </c>
      <c r="C355" s="3585"/>
      <c r="D355" s="3518" t="s">
        <v>391</v>
      </c>
      <c r="E355" s="274"/>
      <c r="I355" s="396"/>
      <c r="J355" s="396"/>
      <c r="K355" s="396"/>
      <c r="L355" s="396"/>
      <c r="M355" s="396"/>
      <c r="N355" s="396"/>
      <c r="O355" s="396"/>
      <c r="P355" s="396"/>
      <c r="Q355" s="396"/>
      <c r="R355" s="396"/>
      <c r="S355" s="396"/>
      <c r="T355" s="396"/>
    </row>
    <row r="356" spans="2:20">
      <c r="B356" s="3520"/>
      <c r="C356" s="3585"/>
      <c r="D356" s="3520"/>
      <c r="E356" s="443"/>
      <c r="I356" s="396"/>
      <c r="J356" s="396"/>
      <c r="K356" s="396"/>
      <c r="L356" s="396"/>
      <c r="M356" s="396"/>
      <c r="N356" s="396"/>
      <c r="O356" s="396"/>
      <c r="P356" s="396"/>
      <c r="Q356" s="396"/>
      <c r="R356" s="396"/>
      <c r="S356" s="396"/>
      <c r="T356" s="396"/>
    </row>
    <row r="357" spans="2:20">
      <c r="B357" s="3519"/>
      <c r="C357" s="3586"/>
      <c r="D357" s="3519"/>
      <c r="E357" s="443"/>
      <c r="I357" s="396"/>
      <c r="J357" s="396"/>
      <c r="K357" s="396"/>
      <c r="L357" s="396"/>
      <c r="M357" s="396"/>
      <c r="N357" s="396"/>
      <c r="O357" s="396"/>
      <c r="P357" s="396"/>
      <c r="Q357" s="396"/>
      <c r="R357" s="396"/>
      <c r="S357" s="396"/>
      <c r="T357" s="396"/>
    </row>
    <row r="358" spans="2:20" ht="15">
      <c r="B358" s="1674"/>
      <c r="C358" s="1681" t="s">
        <v>269</v>
      </c>
      <c r="D358" s="754"/>
      <c r="E358" s="293"/>
      <c r="I358" s="396"/>
      <c r="J358" s="396"/>
      <c r="K358" s="396"/>
      <c r="L358" s="396"/>
      <c r="M358" s="396"/>
      <c r="N358" s="396"/>
      <c r="O358" s="396"/>
      <c r="P358" s="396"/>
      <c r="Q358" s="396"/>
      <c r="R358" s="396"/>
      <c r="S358" s="396"/>
      <c r="T358" s="396"/>
    </row>
    <row r="359" spans="2:20">
      <c r="B359" s="1674">
        <v>1</v>
      </c>
      <c r="C359" s="2587" t="s">
        <v>270</v>
      </c>
      <c r="D359" s="791"/>
      <c r="E359" s="293"/>
      <c r="G359" s="396"/>
      <c r="I359" s="396"/>
      <c r="J359" s="396"/>
      <c r="K359" s="396"/>
      <c r="L359" s="396"/>
      <c r="M359" s="396"/>
      <c r="N359" s="396"/>
      <c r="O359" s="396"/>
      <c r="P359" s="396"/>
      <c r="Q359" s="396"/>
      <c r="R359" s="396"/>
      <c r="S359" s="396"/>
      <c r="T359" s="396"/>
    </row>
    <row r="360" spans="2:20">
      <c r="B360" s="1674">
        <v>2</v>
      </c>
      <c r="C360" s="2587" t="s">
        <v>271</v>
      </c>
      <c r="D360" s="780">
        <v>5341</v>
      </c>
      <c r="E360" s="293"/>
      <c r="G360" s="396"/>
      <c r="I360" s="396"/>
      <c r="J360" s="396"/>
      <c r="K360" s="396"/>
      <c r="L360" s="396"/>
      <c r="M360" s="396"/>
      <c r="N360" s="396"/>
      <c r="O360" s="396"/>
      <c r="P360" s="396"/>
      <c r="Q360" s="396"/>
      <c r="R360" s="396"/>
      <c r="S360" s="396"/>
      <c r="T360" s="396"/>
    </row>
    <row r="361" spans="2:20">
      <c r="B361" s="1674">
        <v>3</v>
      </c>
      <c r="C361" s="2587" t="s">
        <v>272</v>
      </c>
      <c r="D361" s="808"/>
      <c r="E361" s="293"/>
      <c r="G361" s="396"/>
      <c r="I361" s="396"/>
      <c r="J361" s="396"/>
      <c r="K361" s="396"/>
      <c r="L361" s="396"/>
      <c r="M361" s="396"/>
      <c r="N361" s="396"/>
      <c r="O361" s="396"/>
      <c r="P361" s="396"/>
      <c r="Q361" s="396"/>
      <c r="R361" s="396"/>
      <c r="S361" s="396"/>
      <c r="T361" s="396"/>
    </row>
    <row r="362" spans="2:20">
      <c r="B362" s="1674">
        <v>4</v>
      </c>
      <c r="C362" s="2589" t="s">
        <v>273</v>
      </c>
      <c r="D362" s="780">
        <v>32812</v>
      </c>
      <c r="E362" s="293"/>
      <c r="G362" s="396"/>
      <c r="I362" s="396"/>
      <c r="J362" s="396"/>
      <c r="K362" s="396"/>
      <c r="L362" s="396"/>
      <c r="M362" s="396"/>
      <c r="N362" s="396"/>
      <c r="O362" s="396"/>
      <c r="P362" s="396"/>
      <c r="Q362" s="396"/>
      <c r="R362" s="396"/>
      <c r="S362" s="396"/>
      <c r="T362" s="396"/>
    </row>
    <row r="363" spans="2:20">
      <c r="B363" s="1674">
        <v>5</v>
      </c>
      <c r="C363" s="2587" t="s">
        <v>274</v>
      </c>
      <c r="D363" s="780">
        <v>141494</v>
      </c>
      <c r="E363" s="293"/>
      <c r="G363" s="396"/>
      <c r="I363" s="396"/>
      <c r="J363" s="396"/>
      <c r="K363" s="396"/>
      <c r="L363" s="396"/>
      <c r="M363" s="396"/>
      <c r="N363" s="396"/>
      <c r="O363" s="396"/>
      <c r="P363" s="396"/>
      <c r="Q363" s="396"/>
      <c r="R363" s="396"/>
      <c r="S363" s="396"/>
      <c r="T363" s="396"/>
    </row>
    <row r="364" spans="2:20">
      <c r="B364" s="1674">
        <v>6</v>
      </c>
      <c r="C364" s="2587" t="s">
        <v>275</v>
      </c>
      <c r="D364" s="791"/>
      <c r="E364" s="293"/>
      <c r="G364" s="396"/>
      <c r="I364" s="396"/>
      <c r="J364" s="396"/>
      <c r="K364" s="396"/>
      <c r="L364" s="396"/>
      <c r="M364" s="396"/>
      <c r="N364" s="396"/>
      <c r="O364" s="396"/>
      <c r="P364" s="396"/>
      <c r="Q364" s="396"/>
      <c r="R364" s="396"/>
      <c r="S364" s="396"/>
      <c r="T364" s="396"/>
    </row>
    <row r="365" spans="2:20">
      <c r="B365" s="1674">
        <v>7</v>
      </c>
      <c r="C365" s="2587" t="s">
        <v>276</v>
      </c>
      <c r="D365" s="791"/>
      <c r="E365" s="293"/>
      <c r="G365" s="396"/>
      <c r="I365" s="396"/>
      <c r="J365" s="396"/>
      <c r="K365" s="396"/>
      <c r="L365" s="396"/>
      <c r="M365" s="396"/>
      <c r="N365" s="396"/>
      <c r="O365" s="396"/>
      <c r="P365" s="396"/>
      <c r="Q365" s="396"/>
      <c r="R365" s="396"/>
      <c r="S365" s="396"/>
      <c r="T365" s="396"/>
    </row>
    <row r="366" spans="2:20" ht="19.5" customHeight="1">
      <c r="B366" s="1674"/>
      <c r="C366" s="2569" t="s">
        <v>393</v>
      </c>
      <c r="D366" s="791"/>
      <c r="E366" s="293"/>
      <c r="G366" s="396"/>
      <c r="I366" s="396"/>
      <c r="J366" s="396"/>
      <c r="K366" s="396"/>
      <c r="L366" s="396"/>
      <c r="M366" s="396"/>
      <c r="N366" s="396"/>
      <c r="O366" s="396"/>
      <c r="P366" s="396"/>
      <c r="Q366" s="396"/>
      <c r="R366" s="396"/>
      <c r="S366" s="396"/>
      <c r="T366" s="396"/>
    </row>
    <row r="367" spans="2:20">
      <c r="B367" s="1674"/>
      <c r="C367" s="2569" t="s">
        <v>394</v>
      </c>
      <c r="D367" s="791"/>
      <c r="E367" s="293"/>
      <c r="G367" s="396"/>
      <c r="I367" s="396"/>
      <c r="J367" s="396"/>
      <c r="K367" s="396"/>
      <c r="L367" s="396"/>
      <c r="M367" s="396"/>
      <c r="N367" s="396"/>
      <c r="O367" s="396"/>
      <c r="P367" s="396"/>
      <c r="Q367" s="396"/>
      <c r="R367" s="396"/>
      <c r="S367" s="396"/>
      <c r="T367" s="396"/>
    </row>
    <row r="368" spans="2:20">
      <c r="B368" s="1674">
        <v>8</v>
      </c>
      <c r="C368" s="2587" t="s">
        <v>279</v>
      </c>
      <c r="D368" s="791"/>
      <c r="E368" s="293"/>
      <c r="G368" s="396"/>
      <c r="I368" s="396"/>
      <c r="J368" s="396"/>
      <c r="K368" s="396"/>
      <c r="L368" s="396"/>
      <c r="M368" s="396"/>
      <c r="N368" s="396"/>
      <c r="O368" s="396"/>
      <c r="P368" s="396"/>
      <c r="Q368" s="396"/>
      <c r="R368" s="396"/>
      <c r="S368" s="396"/>
      <c r="T368" s="396"/>
    </row>
    <row r="369" spans="2:20" ht="18" customHeight="1">
      <c r="B369" s="1674"/>
      <c r="C369" s="2569" t="s">
        <v>395</v>
      </c>
      <c r="D369" s="791"/>
      <c r="E369" s="293"/>
      <c r="G369" s="396"/>
      <c r="I369" s="396"/>
      <c r="J369" s="396"/>
      <c r="K369" s="396"/>
      <c r="L369" s="396"/>
      <c r="M369" s="396"/>
      <c r="N369" s="396"/>
      <c r="O369" s="396"/>
      <c r="P369" s="396"/>
      <c r="Q369" s="396"/>
      <c r="R369" s="396"/>
      <c r="S369" s="396"/>
      <c r="T369" s="396"/>
    </row>
    <row r="370" spans="2:20">
      <c r="B370" s="1674"/>
      <c r="C370" s="2569" t="s">
        <v>396</v>
      </c>
      <c r="D370" s="791"/>
      <c r="E370" s="293"/>
      <c r="G370" s="396"/>
      <c r="I370" s="396"/>
      <c r="J370" s="396"/>
      <c r="K370" s="396"/>
      <c r="L370" s="396"/>
      <c r="M370" s="396"/>
      <c r="N370" s="396"/>
      <c r="O370" s="396"/>
      <c r="P370" s="396"/>
      <c r="Q370" s="396"/>
      <c r="R370" s="396"/>
      <c r="S370" s="396"/>
      <c r="T370" s="396"/>
    </row>
    <row r="371" spans="2:20" ht="27" customHeight="1">
      <c r="B371" s="1676">
        <v>9</v>
      </c>
      <c r="C371" s="2580" t="s">
        <v>282</v>
      </c>
      <c r="D371" s="793">
        <v>4426983</v>
      </c>
      <c r="G371" s="396"/>
      <c r="I371" s="396"/>
      <c r="J371" s="396"/>
      <c r="K371" s="396"/>
      <c r="L371" s="396"/>
      <c r="M371" s="396"/>
      <c r="N371" s="396"/>
      <c r="O371" s="396"/>
      <c r="P371" s="396"/>
      <c r="Q371" s="396"/>
      <c r="R371" s="396"/>
      <c r="S371" s="396"/>
    </row>
    <row r="372" spans="2:20">
      <c r="B372" s="1674">
        <v>10</v>
      </c>
      <c r="C372" s="2569" t="s">
        <v>283</v>
      </c>
      <c r="D372" s="797">
        <v>0</v>
      </c>
      <c r="E372" s="293"/>
      <c r="G372" s="396"/>
      <c r="I372" s="396"/>
      <c r="J372" s="396"/>
      <c r="K372" s="396"/>
      <c r="L372" s="396"/>
      <c r="M372" s="396"/>
      <c r="N372" s="396"/>
      <c r="O372" s="396"/>
      <c r="P372" s="396"/>
      <c r="Q372" s="396"/>
      <c r="R372" s="396"/>
      <c r="S372" s="396"/>
      <c r="T372" s="396"/>
    </row>
    <row r="373" spans="2:20">
      <c r="B373" s="1674">
        <v>11</v>
      </c>
      <c r="C373" s="2569" t="s">
        <v>284</v>
      </c>
      <c r="D373" s="780">
        <v>3292568</v>
      </c>
      <c r="E373" s="293"/>
      <c r="G373" s="396"/>
      <c r="I373" s="396"/>
      <c r="J373" s="396"/>
      <c r="K373" s="396"/>
      <c r="L373" s="396"/>
      <c r="M373" s="396"/>
      <c r="N373" s="396"/>
      <c r="O373" s="396"/>
      <c r="P373" s="396"/>
      <c r="Q373" s="396"/>
      <c r="R373" s="396"/>
      <c r="S373" s="396"/>
      <c r="T373" s="396"/>
    </row>
    <row r="374" spans="2:20">
      <c r="B374" s="1674">
        <v>12</v>
      </c>
      <c r="C374" s="2569" t="s">
        <v>285</v>
      </c>
      <c r="D374" s="780">
        <v>937585</v>
      </c>
      <c r="E374" s="293"/>
      <c r="G374" s="396"/>
      <c r="I374" s="396"/>
      <c r="J374" s="396"/>
      <c r="K374" s="396"/>
      <c r="L374" s="396"/>
      <c r="M374" s="396"/>
      <c r="N374" s="396"/>
      <c r="O374" s="396"/>
      <c r="P374" s="396"/>
      <c r="Q374" s="396"/>
      <c r="R374" s="396"/>
      <c r="S374" s="396"/>
      <c r="T374" s="396"/>
    </row>
    <row r="375" spans="2:20" ht="25.5">
      <c r="B375" s="1674">
        <v>13</v>
      </c>
      <c r="C375" s="2569" t="s">
        <v>286</v>
      </c>
      <c r="D375" s="780">
        <v>196830</v>
      </c>
      <c r="E375" s="293"/>
      <c r="G375" s="396"/>
      <c r="I375" s="396"/>
      <c r="J375" s="396"/>
      <c r="K375" s="396"/>
      <c r="L375" s="396"/>
      <c r="M375" s="396"/>
      <c r="N375" s="396"/>
      <c r="O375" s="396"/>
      <c r="P375" s="396"/>
      <c r="Q375" s="396"/>
      <c r="R375" s="396"/>
      <c r="S375" s="396"/>
      <c r="T375" s="396"/>
    </row>
    <row r="376" spans="2:20">
      <c r="B376" s="1674">
        <v>14</v>
      </c>
      <c r="C376" s="2570" t="s">
        <v>287</v>
      </c>
      <c r="D376" s="808"/>
      <c r="E376" s="293"/>
      <c r="G376" s="396"/>
      <c r="I376" s="396"/>
      <c r="J376" s="396"/>
      <c r="K376" s="396"/>
      <c r="L376" s="396"/>
      <c r="M376" s="396"/>
      <c r="N376" s="396"/>
      <c r="O376" s="396"/>
      <c r="P376" s="396"/>
      <c r="Q376" s="396"/>
      <c r="R376" s="396"/>
      <c r="S376" s="396"/>
      <c r="T376" s="396"/>
    </row>
    <row r="377" spans="2:20">
      <c r="B377" s="1674">
        <v>15</v>
      </c>
      <c r="C377" s="2570" t="s">
        <v>288</v>
      </c>
      <c r="D377" s="780">
        <v>755197</v>
      </c>
      <c r="E377" s="293"/>
      <c r="G377" s="396"/>
      <c r="I377" s="396"/>
      <c r="J377" s="396"/>
      <c r="K377" s="396"/>
      <c r="L377" s="396"/>
      <c r="M377" s="396"/>
      <c r="N377" s="396"/>
      <c r="O377" s="396"/>
      <c r="P377" s="396"/>
      <c r="Q377" s="396"/>
      <c r="R377" s="396"/>
      <c r="S377" s="396"/>
      <c r="T377" s="396"/>
    </row>
    <row r="378" spans="2:20">
      <c r="B378" s="1674">
        <v>16</v>
      </c>
      <c r="C378" s="2570" t="s">
        <v>289</v>
      </c>
      <c r="D378" s="780">
        <v>1240175</v>
      </c>
      <c r="E378" s="293"/>
      <c r="G378" s="396"/>
      <c r="I378" s="396"/>
      <c r="J378" s="396"/>
      <c r="K378" s="396"/>
      <c r="L378" s="396"/>
      <c r="M378" s="396"/>
      <c r="N378" s="396"/>
      <c r="O378" s="396"/>
      <c r="P378" s="396"/>
      <c r="Q378" s="396"/>
      <c r="R378" s="396"/>
      <c r="S378" s="396"/>
      <c r="T378" s="396"/>
    </row>
    <row r="379" spans="2:20">
      <c r="B379" s="1674">
        <v>17</v>
      </c>
      <c r="C379" s="2570" t="s">
        <v>290</v>
      </c>
      <c r="D379" s="780">
        <v>272255</v>
      </c>
      <c r="E379" s="293"/>
      <c r="G379" s="396"/>
      <c r="I379" s="396"/>
      <c r="J379" s="396"/>
      <c r="K379" s="396"/>
      <c r="L379" s="396"/>
      <c r="M379" s="396"/>
      <c r="N379" s="396"/>
      <c r="O379" s="396"/>
      <c r="P379" s="396"/>
      <c r="Q379" s="396"/>
      <c r="R379" s="396"/>
      <c r="S379" s="396"/>
      <c r="T379" s="396"/>
    </row>
    <row r="380" spans="2:20">
      <c r="B380" s="1674">
        <v>18</v>
      </c>
      <c r="C380" s="2570" t="s">
        <v>291</v>
      </c>
      <c r="D380" s="780">
        <v>157710</v>
      </c>
      <c r="E380" s="293"/>
      <c r="G380" s="396"/>
      <c r="I380" s="396"/>
      <c r="J380" s="396"/>
      <c r="K380" s="396"/>
      <c r="L380" s="396"/>
      <c r="M380" s="396"/>
      <c r="N380" s="396"/>
      <c r="O380" s="396"/>
      <c r="P380" s="396"/>
      <c r="Q380" s="396"/>
      <c r="R380" s="396"/>
      <c r="S380" s="396"/>
      <c r="T380" s="396"/>
    </row>
    <row r="381" spans="2:20" ht="13.5" thickBot="1">
      <c r="B381" s="1674">
        <v>19</v>
      </c>
      <c r="C381" s="2571" t="s">
        <v>292</v>
      </c>
      <c r="D381" s="789">
        <v>536814</v>
      </c>
      <c r="E381" s="293"/>
      <c r="G381" s="396"/>
      <c r="I381" s="396"/>
      <c r="J381" s="396"/>
      <c r="K381" s="396"/>
      <c r="L381" s="396"/>
      <c r="M381" s="396"/>
      <c r="N381" s="396"/>
      <c r="O381" s="396"/>
      <c r="P381" s="396"/>
      <c r="Q381" s="396"/>
      <c r="R381" s="396"/>
      <c r="S381" s="396"/>
      <c r="T381" s="396"/>
    </row>
    <row r="382" spans="2:20" ht="26.25" thickBot="1">
      <c r="B382" s="1686">
        <v>20</v>
      </c>
      <c r="C382" s="1705" t="s">
        <v>293</v>
      </c>
      <c r="D382" s="1714">
        <v>7568781</v>
      </c>
      <c r="E382" s="293">
        <v>0</v>
      </c>
      <c r="G382" s="396"/>
      <c r="I382" s="396"/>
      <c r="J382" s="396"/>
      <c r="K382" s="396"/>
      <c r="L382" s="396"/>
      <c r="M382" s="396"/>
      <c r="N382" s="396"/>
      <c r="O382" s="396"/>
      <c r="P382" s="396"/>
      <c r="Q382" s="396"/>
      <c r="R382" s="396"/>
      <c r="S382" s="396"/>
      <c r="T382" s="396"/>
    </row>
    <row r="383" spans="2:20">
      <c r="B383" s="1674"/>
      <c r="C383" s="1678" t="s">
        <v>294</v>
      </c>
      <c r="D383" s="791"/>
      <c r="E383" s="293"/>
      <c r="G383" s="396"/>
      <c r="I383" s="396"/>
      <c r="J383" s="396"/>
      <c r="K383" s="396"/>
      <c r="L383" s="396"/>
      <c r="M383" s="396"/>
      <c r="N383" s="396"/>
      <c r="O383" s="396"/>
      <c r="P383" s="396"/>
      <c r="Q383" s="396"/>
      <c r="R383" s="396"/>
      <c r="S383" s="396"/>
      <c r="T383" s="396"/>
    </row>
    <row r="384" spans="2:20">
      <c r="B384" s="1674"/>
      <c r="C384" s="2588" t="s">
        <v>295</v>
      </c>
      <c r="D384" s="791"/>
      <c r="E384" s="293"/>
      <c r="G384" s="396"/>
      <c r="I384" s="396"/>
      <c r="J384" s="396"/>
      <c r="K384" s="396"/>
      <c r="L384" s="396"/>
      <c r="M384" s="396"/>
      <c r="N384" s="396"/>
      <c r="O384" s="396"/>
      <c r="P384" s="396"/>
      <c r="Q384" s="396"/>
      <c r="R384" s="396"/>
      <c r="S384" s="396"/>
      <c r="T384" s="396"/>
    </row>
    <row r="385" spans="2:20">
      <c r="B385" s="1674">
        <v>21</v>
      </c>
      <c r="C385" s="2570" t="s">
        <v>296</v>
      </c>
      <c r="D385" s="780">
        <v>3735922</v>
      </c>
      <c r="E385" s="293"/>
      <c r="G385" s="396"/>
      <c r="I385" s="396"/>
      <c r="J385" s="396"/>
      <c r="K385" s="396"/>
      <c r="L385" s="396"/>
      <c r="M385" s="396"/>
      <c r="N385" s="396"/>
      <c r="O385" s="396"/>
      <c r="P385" s="396"/>
      <c r="Q385" s="396"/>
      <c r="R385" s="396"/>
      <c r="S385" s="396"/>
      <c r="T385" s="396"/>
    </row>
    <row r="386" spans="2:20">
      <c r="B386" s="1674">
        <v>22</v>
      </c>
      <c r="C386" s="2570" t="s">
        <v>297</v>
      </c>
      <c r="D386" s="780">
        <v>101839</v>
      </c>
      <c r="E386" s="293"/>
      <c r="G386" s="396"/>
      <c r="I386" s="396"/>
      <c r="J386" s="396"/>
      <c r="K386" s="396"/>
      <c r="L386" s="396"/>
      <c r="M386" s="396"/>
      <c r="N386" s="396"/>
      <c r="O386" s="396"/>
      <c r="P386" s="396"/>
      <c r="Q386" s="396"/>
      <c r="R386" s="396"/>
      <c r="S386" s="396"/>
      <c r="T386" s="396"/>
    </row>
    <row r="387" spans="2:20">
      <c r="B387" s="1674">
        <v>23</v>
      </c>
      <c r="C387" s="2570" t="s">
        <v>298</v>
      </c>
      <c r="D387" s="780">
        <v>632458</v>
      </c>
      <c r="E387" s="293"/>
      <c r="G387" s="396"/>
      <c r="I387" s="396"/>
      <c r="J387" s="396"/>
      <c r="K387" s="396"/>
      <c r="L387" s="396"/>
      <c r="M387" s="396"/>
      <c r="N387" s="396"/>
      <c r="O387" s="396"/>
      <c r="P387" s="396"/>
      <c r="Q387" s="396"/>
      <c r="R387" s="396"/>
      <c r="S387" s="396"/>
      <c r="T387" s="396"/>
    </row>
    <row r="388" spans="2:20">
      <c r="B388" s="1674">
        <v>24</v>
      </c>
      <c r="C388" s="2570" t="s">
        <v>299</v>
      </c>
      <c r="D388" s="808"/>
      <c r="E388" s="293"/>
      <c r="G388" s="396"/>
      <c r="I388" s="396"/>
      <c r="J388" s="396"/>
      <c r="K388" s="396"/>
      <c r="L388" s="396"/>
      <c r="M388" s="396"/>
      <c r="N388" s="396"/>
      <c r="O388" s="396"/>
      <c r="P388" s="396"/>
      <c r="Q388" s="396"/>
      <c r="R388" s="396"/>
      <c r="S388" s="396"/>
      <c r="T388" s="396"/>
    </row>
    <row r="389" spans="2:20">
      <c r="B389" s="1674">
        <v>25</v>
      </c>
      <c r="C389" s="2569" t="s">
        <v>300</v>
      </c>
      <c r="D389" s="808"/>
      <c r="E389" s="293"/>
      <c r="G389" s="396"/>
      <c r="I389" s="396"/>
      <c r="J389" s="396"/>
      <c r="K389" s="396"/>
      <c r="L389" s="396"/>
      <c r="M389" s="396"/>
      <c r="N389" s="396"/>
      <c r="O389" s="396"/>
      <c r="P389" s="396"/>
      <c r="Q389" s="396"/>
      <c r="R389" s="396"/>
      <c r="S389" s="396"/>
      <c r="T389" s="396"/>
    </row>
    <row r="390" spans="2:20" ht="13.5" thickBot="1">
      <c r="B390" s="1674">
        <v>26</v>
      </c>
      <c r="C390" s="2571" t="s">
        <v>301</v>
      </c>
      <c r="D390" s="789">
        <v>857939</v>
      </c>
      <c r="E390" s="293"/>
      <c r="G390" s="396"/>
      <c r="I390" s="396"/>
      <c r="J390" s="396"/>
      <c r="K390" s="396"/>
      <c r="L390" s="396"/>
      <c r="M390" s="396"/>
      <c r="N390" s="396"/>
      <c r="O390" s="396"/>
      <c r="P390" s="396"/>
      <c r="Q390" s="396"/>
      <c r="R390" s="396"/>
      <c r="S390" s="396"/>
      <c r="T390" s="396"/>
    </row>
    <row r="391" spans="2:20" ht="26.25" thickBot="1">
      <c r="B391" s="1677">
        <v>27</v>
      </c>
      <c r="C391" s="1699" t="s">
        <v>302</v>
      </c>
      <c r="D391" s="787">
        <v>5328158</v>
      </c>
      <c r="E391" s="293"/>
      <c r="G391" s="396"/>
      <c r="I391" s="396"/>
      <c r="J391" s="396"/>
      <c r="K391" s="396"/>
      <c r="L391" s="396"/>
      <c r="M391" s="396"/>
      <c r="N391" s="396"/>
      <c r="O391" s="396"/>
      <c r="P391" s="396"/>
      <c r="Q391" s="396"/>
      <c r="R391" s="396"/>
      <c r="S391" s="396"/>
      <c r="T391" s="396"/>
    </row>
    <row r="392" spans="2:20">
      <c r="B392" s="1674"/>
      <c r="C392" s="1678" t="s">
        <v>303</v>
      </c>
      <c r="D392" s="791"/>
      <c r="E392" s="293"/>
      <c r="G392" s="396"/>
      <c r="I392" s="396"/>
      <c r="J392" s="396"/>
      <c r="K392" s="396"/>
      <c r="L392" s="396"/>
      <c r="M392" s="396"/>
      <c r="N392" s="396"/>
      <c r="O392" s="396"/>
      <c r="P392" s="396"/>
      <c r="Q392" s="396"/>
      <c r="R392" s="396"/>
      <c r="S392" s="396"/>
      <c r="T392" s="396"/>
    </row>
    <row r="393" spans="2:20">
      <c r="B393" s="1674">
        <v>28</v>
      </c>
      <c r="C393" s="2587" t="s">
        <v>304</v>
      </c>
      <c r="D393" s="780">
        <v>1150000</v>
      </c>
      <c r="E393" s="293"/>
      <c r="G393" s="396"/>
      <c r="I393" s="396"/>
      <c r="J393" s="396"/>
      <c r="K393" s="396"/>
      <c r="L393" s="396"/>
      <c r="M393" s="396"/>
      <c r="N393" s="396"/>
      <c r="O393" s="396"/>
      <c r="P393" s="396"/>
      <c r="Q393" s="396"/>
      <c r="R393" s="396"/>
      <c r="S393" s="396"/>
      <c r="T393" s="396"/>
    </row>
    <row r="394" spans="2:20">
      <c r="B394" s="1674">
        <v>29</v>
      </c>
      <c r="C394" s="2587" t="s">
        <v>305</v>
      </c>
      <c r="D394" s="780">
        <v>-5244</v>
      </c>
      <c r="E394" s="293"/>
      <c r="G394" s="396"/>
      <c r="I394" s="396"/>
      <c r="J394" s="396"/>
      <c r="K394" s="396"/>
      <c r="L394" s="396"/>
      <c r="M394" s="396"/>
      <c r="N394" s="396"/>
      <c r="O394" s="396"/>
      <c r="P394" s="396"/>
      <c r="Q394" s="396"/>
      <c r="R394" s="396"/>
      <c r="S394" s="396"/>
      <c r="T394" s="396"/>
    </row>
    <row r="395" spans="2:20">
      <c r="B395" s="1674">
        <v>30</v>
      </c>
      <c r="C395" s="2573" t="s">
        <v>306</v>
      </c>
      <c r="D395" s="808"/>
      <c r="E395" s="293"/>
      <c r="G395" s="396"/>
      <c r="I395" s="396"/>
      <c r="J395" s="396"/>
      <c r="K395" s="396"/>
      <c r="L395" s="396"/>
      <c r="M395" s="396"/>
      <c r="N395" s="396"/>
      <c r="O395" s="396"/>
      <c r="P395" s="396"/>
      <c r="Q395" s="396"/>
      <c r="R395" s="396"/>
      <c r="S395" s="396"/>
      <c r="T395" s="396"/>
    </row>
    <row r="396" spans="2:20" ht="13.5" thickBot="1">
      <c r="B396" s="1674">
        <v>31</v>
      </c>
      <c r="C396" s="2573" t="s">
        <v>308</v>
      </c>
      <c r="D396" s="789">
        <v>1095867</v>
      </c>
      <c r="E396" s="293"/>
      <c r="G396" s="396"/>
      <c r="I396" s="396"/>
      <c r="J396" s="396"/>
      <c r="K396" s="396"/>
      <c r="L396" s="396"/>
      <c r="M396" s="396"/>
      <c r="N396" s="396"/>
      <c r="O396" s="396"/>
      <c r="P396" s="396"/>
      <c r="Q396" s="396"/>
      <c r="R396" s="396"/>
      <c r="S396" s="396"/>
      <c r="T396" s="396"/>
    </row>
    <row r="397" spans="2:20" ht="13.5" thickBot="1">
      <c r="B397" s="1677">
        <v>32</v>
      </c>
      <c r="C397" s="1699" t="s">
        <v>309</v>
      </c>
      <c r="D397" s="787">
        <v>2240623</v>
      </c>
      <c r="E397" s="293"/>
      <c r="G397" s="396"/>
      <c r="I397" s="396"/>
      <c r="J397" s="396"/>
      <c r="K397" s="396"/>
      <c r="L397" s="396"/>
      <c r="M397" s="396"/>
      <c r="N397" s="396"/>
      <c r="O397" s="396"/>
      <c r="P397" s="396"/>
      <c r="Q397" s="396"/>
      <c r="R397" s="396"/>
      <c r="S397" s="396"/>
      <c r="T397" s="396"/>
    </row>
    <row r="398" spans="2:20" ht="26.25" thickBot="1">
      <c r="B398" s="1689">
        <v>33</v>
      </c>
      <c r="C398" s="1710" t="s">
        <v>310</v>
      </c>
      <c r="D398" s="1715">
        <v>7568781</v>
      </c>
      <c r="E398" s="293"/>
      <c r="G398" s="396"/>
      <c r="I398" s="396"/>
      <c r="J398" s="396"/>
      <c r="K398" s="396"/>
      <c r="L398" s="396"/>
      <c r="M398" s="396"/>
      <c r="N398" s="396"/>
      <c r="O398" s="396"/>
      <c r="P398" s="396"/>
      <c r="Q398" s="396"/>
      <c r="R398" s="396"/>
      <c r="S398" s="396"/>
      <c r="T398" s="396"/>
    </row>
    <row r="399" spans="2:20">
      <c r="B399" s="274"/>
      <c r="C399" s="391"/>
      <c r="D399" s="547"/>
      <c r="E399" s="383"/>
      <c r="F399" s="293"/>
      <c r="I399" s="396"/>
      <c r="J399" s="396"/>
      <c r="K399" s="396"/>
      <c r="L399" s="396"/>
      <c r="M399" s="396"/>
      <c r="N399" s="396"/>
      <c r="O399" s="396"/>
      <c r="P399" s="396"/>
      <c r="Q399" s="396"/>
      <c r="R399" s="396"/>
      <c r="S399" s="396"/>
      <c r="T399" s="396"/>
    </row>
    <row r="400" spans="2:20">
      <c r="B400" s="274"/>
      <c r="C400" s="391"/>
      <c r="D400" s="547"/>
      <c r="E400" s="383"/>
      <c r="F400" s="293"/>
      <c r="H400" s="292">
        <v>88</v>
      </c>
      <c r="I400" s="396"/>
      <c r="J400" s="396"/>
      <c r="K400" s="396"/>
      <c r="L400" s="396"/>
      <c r="M400" s="396"/>
      <c r="N400" s="396"/>
      <c r="O400" s="396"/>
      <c r="P400" s="396"/>
      <c r="Q400" s="396"/>
      <c r="R400" s="396"/>
      <c r="S400" s="396"/>
      <c r="T400" s="396"/>
    </row>
    <row r="401" spans="2:20">
      <c r="B401" s="196"/>
      <c r="C401" s="391"/>
      <c r="D401" s="391"/>
      <c r="E401" s="548"/>
      <c r="F401" s="293"/>
      <c r="I401" s="396"/>
      <c r="J401" s="396"/>
      <c r="K401" s="396"/>
      <c r="L401" s="396"/>
      <c r="M401" s="396"/>
      <c r="N401" s="396"/>
      <c r="O401" s="396"/>
      <c r="P401" s="396"/>
      <c r="Q401" s="396"/>
      <c r="R401" s="396"/>
      <c r="S401" s="396"/>
      <c r="T401" s="396"/>
    </row>
    <row r="402" spans="2:20" ht="14.25">
      <c r="B402" s="3593" t="s">
        <v>397</v>
      </c>
      <c r="C402" s="3594"/>
      <c r="D402" s="3594"/>
      <c r="E402" s="3594"/>
      <c r="F402" s="3594"/>
      <c r="G402" s="3594"/>
      <c r="I402" s="396"/>
      <c r="J402" s="396"/>
      <c r="K402" s="396"/>
      <c r="L402" s="396"/>
      <c r="M402" s="396"/>
      <c r="N402" s="396"/>
      <c r="O402" s="396"/>
      <c r="P402" s="396"/>
      <c r="Q402" s="396"/>
      <c r="R402" s="396"/>
      <c r="S402" s="396"/>
      <c r="T402" s="396"/>
    </row>
    <row r="403" spans="2:20" ht="13.5" thickBot="1">
      <c r="B403" s="51"/>
      <c r="C403" s="51"/>
      <c r="D403" s="51"/>
      <c r="E403" s="51"/>
      <c r="F403" s="51"/>
      <c r="I403" s="396"/>
      <c r="J403" s="396"/>
      <c r="K403" s="396"/>
      <c r="L403" s="396"/>
      <c r="M403" s="396"/>
      <c r="N403" s="396"/>
      <c r="O403" s="396"/>
      <c r="P403" s="396"/>
      <c r="Q403" s="396"/>
      <c r="R403" s="396"/>
      <c r="S403" s="396"/>
      <c r="T403" s="396"/>
    </row>
    <row r="404" spans="2:20" ht="13.5" thickBot="1">
      <c r="B404" s="3582" t="s">
        <v>108</v>
      </c>
      <c r="C404" s="3583"/>
      <c r="D404" s="425"/>
      <c r="E404" s="535"/>
      <c r="F404" s="396"/>
      <c r="I404" s="396"/>
      <c r="J404" s="396"/>
      <c r="K404" s="396"/>
      <c r="L404" s="396"/>
      <c r="M404" s="396"/>
      <c r="N404" s="396"/>
      <c r="O404" s="396"/>
      <c r="P404" s="396"/>
      <c r="Q404" s="396"/>
      <c r="R404" s="396"/>
      <c r="S404" s="396"/>
      <c r="T404" s="396"/>
    </row>
    <row r="405" spans="2:20">
      <c r="B405" s="3520" t="s">
        <v>372</v>
      </c>
      <c r="C405" s="3585"/>
      <c r="D405" s="3518" t="s">
        <v>391</v>
      </c>
      <c r="E405" s="274"/>
      <c r="I405" s="396"/>
      <c r="J405" s="396"/>
      <c r="K405" s="396"/>
      <c r="L405" s="396"/>
      <c r="M405" s="396"/>
      <c r="N405" s="396"/>
      <c r="O405" s="396"/>
      <c r="P405" s="396"/>
      <c r="Q405" s="396"/>
      <c r="R405" s="396"/>
      <c r="S405" s="396"/>
      <c r="T405" s="396"/>
    </row>
    <row r="406" spans="2:20">
      <c r="B406" s="3520"/>
      <c r="C406" s="3585"/>
      <c r="D406" s="3520"/>
      <c r="E406" s="443"/>
      <c r="I406" s="396"/>
      <c r="J406" s="396"/>
      <c r="K406" s="396"/>
      <c r="L406" s="396"/>
      <c r="M406" s="396"/>
      <c r="N406" s="396"/>
      <c r="O406" s="396"/>
      <c r="P406" s="396"/>
      <c r="Q406" s="396"/>
      <c r="R406" s="396"/>
      <c r="S406" s="396"/>
      <c r="T406" s="396"/>
    </row>
    <row r="407" spans="2:20">
      <c r="B407" s="3519"/>
      <c r="C407" s="3586"/>
      <c r="D407" s="3519"/>
      <c r="E407" s="443"/>
      <c r="I407" s="396"/>
      <c r="J407" s="396"/>
      <c r="K407" s="396"/>
      <c r="L407" s="396"/>
      <c r="M407" s="396"/>
      <c r="N407" s="396"/>
      <c r="O407" s="396"/>
      <c r="P407" s="396"/>
      <c r="Q407" s="396"/>
      <c r="R407" s="396"/>
      <c r="S407" s="396"/>
      <c r="T407" s="396"/>
    </row>
    <row r="408" spans="2:20" ht="15">
      <c r="B408" s="1674"/>
      <c r="C408" s="1681" t="s">
        <v>269</v>
      </c>
      <c r="D408" s="2585"/>
      <c r="E408" s="293"/>
      <c r="I408" s="396"/>
      <c r="J408" s="396"/>
      <c r="K408" s="396"/>
      <c r="L408" s="396"/>
      <c r="M408" s="396"/>
      <c r="N408" s="396"/>
      <c r="O408" s="396"/>
      <c r="P408" s="396"/>
      <c r="Q408" s="396"/>
      <c r="R408" s="396"/>
      <c r="S408" s="396"/>
      <c r="T408" s="396"/>
    </row>
    <row r="409" spans="2:20">
      <c r="B409" s="1674">
        <v>1</v>
      </c>
      <c r="C409" s="2587" t="s">
        <v>270</v>
      </c>
      <c r="D409" s="791"/>
      <c r="E409" s="293"/>
      <c r="G409" s="396"/>
      <c r="I409" s="396"/>
      <c r="J409" s="396"/>
      <c r="K409" s="396"/>
      <c r="L409" s="396"/>
      <c r="M409" s="396"/>
      <c r="N409" s="396"/>
      <c r="O409" s="396"/>
      <c r="P409" s="396"/>
      <c r="Q409" s="396"/>
      <c r="R409" s="396"/>
      <c r="S409" s="396"/>
      <c r="T409" s="396"/>
    </row>
    <row r="410" spans="2:20">
      <c r="B410" s="1674">
        <v>2</v>
      </c>
      <c r="C410" s="2587" t="s">
        <v>271</v>
      </c>
      <c r="D410" s="792">
        <v>18252</v>
      </c>
      <c r="E410" s="293"/>
      <c r="G410" s="396"/>
      <c r="I410" s="396"/>
      <c r="J410" s="396"/>
      <c r="K410" s="396"/>
      <c r="L410" s="396"/>
      <c r="M410" s="396"/>
      <c r="N410" s="396"/>
      <c r="O410" s="396"/>
      <c r="P410" s="396"/>
      <c r="Q410" s="396"/>
      <c r="R410" s="396"/>
      <c r="S410" s="396"/>
      <c r="T410" s="396"/>
    </row>
    <row r="411" spans="2:20">
      <c r="B411" s="1674">
        <v>3</v>
      </c>
      <c r="C411" s="2587" t="s">
        <v>272</v>
      </c>
      <c r="D411" s="791"/>
      <c r="E411" s="293"/>
      <c r="G411" s="396"/>
      <c r="I411" s="396"/>
      <c r="J411" s="396"/>
      <c r="K411" s="396"/>
      <c r="L411" s="396"/>
      <c r="M411" s="396"/>
      <c r="N411" s="396"/>
      <c r="O411" s="396"/>
      <c r="P411" s="396"/>
      <c r="Q411" s="396"/>
      <c r="R411" s="396"/>
      <c r="S411" s="396"/>
      <c r="T411" s="396"/>
    </row>
    <row r="412" spans="2:20">
      <c r="B412" s="1674">
        <v>4</v>
      </c>
      <c r="C412" s="2589" t="s">
        <v>273</v>
      </c>
      <c r="D412" s="792">
        <v>257952</v>
      </c>
      <c r="E412" s="293"/>
      <c r="G412" s="396"/>
      <c r="I412" s="396"/>
      <c r="J412" s="396"/>
      <c r="K412" s="396"/>
      <c r="L412" s="396"/>
      <c r="M412" s="396"/>
      <c r="N412" s="396"/>
      <c r="O412" s="396"/>
      <c r="P412" s="396"/>
      <c r="Q412" s="396"/>
      <c r="R412" s="396"/>
      <c r="S412" s="396"/>
      <c r="T412" s="396"/>
    </row>
    <row r="413" spans="2:20">
      <c r="B413" s="1674">
        <v>5</v>
      </c>
      <c r="C413" s="2587" t="s">
        <v>274</v>
      </c>
      <c r="D413" s="792">
        <v>95118</v>
      </c>
      <c r="E413" s="293"/>
      <c r="G413" s="396"/>
      <c r="I413" s="396"/>
      <c r="J413" s="396"/>
      <c r="K413" s="396"/>
      <c r="L413" s="396"/>
      <c r="M413" s="396"/>
      <c r="N413" s="396"/>
      <c r="O413" s="396"/>
      <c r="P413" s="396"/>
      <c r="Q413" s="396"/>
      <c r="R413" s="396"/>
      <c r="S413" s="396"/>
      <c r="T413" s="396"/>
    </row>
    <row r="414" spans="2:20">
      <c r="B414" s="1674">
        <v>6</v>
      </c>
      <c r="C414" s="2587" t="s">
        <v>275</v>
      </c>
      <c r="D414" s="791"/>
      <c r="E414" s="293"/>
      <c r="G414" s="396"/>
      <c r="I414" s="396"/>
      <c r="J414" s="396"/>
      <c r="K414" s="396"/>
      <c r="L414" s="396"/>
      <c r="M414" s="396"/>
      <c r="N414" s="396"/>
      <c r="O414" s="396"/>
      <c r="P414" s="396"/>
      <c r="Q414" s="396"/>
      <c r="R414" s="396"/>
      <c r="S414" s="396"/>
      <c r="T414" s="396"/>
    </row>
    <row r="415" spans="2:20">
      <c r="B415" s="1674">
        <v>7</v>
      </c>
      <c r="C415" s="2587" t="s">
        <v>276</v>
      </c>
      <c r="D415" s="791"/>
      <c r="E415" s="293"/>
      <c r="G415" s="396"/>
      <c r="I415" s="396"/>
      <c r="J415" s="396"/>
      <c r="K415" s="396"/>
      <c r="L415" s="396"/>
      <c r="M415" s="396"/>
      <c r="N415" s="396"/>
      <c r="O415" s="396"/>
      <c r="P415" s="396"/>
      <c r="Q415" s="396"/>
      <c r="R415" s="396"/>
      <c r="S415" s="396"/>
      <c r="T415" s="396"/>
    </row>
    <row r="416" spans="2:20" ht="18.75" customHeight="1">
      <c r="B416" s="1674"/>
      <c r="C416" s="2569" t="s">
        <v>393</v>
      </c>
      <c r="D416" s="791"/>
      <c r="E416" s="293"/>
      <c r="G416" s="396"/>
      <c r="I416" s="396"/>
      <c r="J416" s="396"/>
      <c r="K416" s="396"/>
      <c r="L416" s="396"/>
      <c r="M416" s="396"/>
      <c r="N416" s="396"/>
      <c r="O416" s="396"/>
      <c r="P416" s="396"/>
      <c r="Q416" s="396"/>
      <c r="R416" s="396"/>
      <c r="S416" s="396"/>
      <c r="T416" s="396"/>
    </row>
    <row r="417" spans="2:20">
      <c r="B417" s="1674"/>
      <c r="C417" s="2569" t="s">
        <v>394</v>
      </c>
      <c r="D417" s="791"/>
      <c r="E417" s="293"/>
      <c r="G417" s="396"/>
      <c r="I417" s="396"/>
      <c r="J417" s="396"/>
      <c r="K417" s="396"/>
      <c r="L417" s="396"/>
      <c r="M417" s="396"/>
      <c r="N417" s="396"/>
      <c r="O417" s="396"/>
      <c r="P417" s="396"/>
      <c r="Q417" s="396"/>
      <c r="R417" s="396"/>
      <c r="S417" s="396"/>
      <c r="T417" s="396"/>
    </row>
    <row r="418" spans="2:20">
      <c r="B418" s="1674">
        <v>8</v>
      </c>
      <c r="C418" s="2587" t="s">
        <v>279</v>
      </c>
      <c r="D418" s="792">
        <v>67581</v>
      </c>
      <c r="E418" s="293"/>
      <c r="G418" s="396"/>
      <c r="I418" s="396"/>
      <c r="J418" s="396"/>
      <c r="K418" s="396"/>
      <c r="L418" s="396"/>
      <c r="M418" s="396"/>
      <c r="N418" s="396"/>
      <c r="O418" s="396"/>
      <c r="P418" s="396"/>
      <c r="Q418" s="396"/>
      <c r="R418" s="396"/>
      <c r="S418" s="396"/>
      <c r="T418" s="396"/>
    </row>
    <row r="419" spans="2:20">
      <c r="B419" s="1674"/>
      <c r="C419" s="2569" t="s">
        <v>395</v>
      </c>
      <c r="D419" s="791"/>
      <c r="E419" s="293"/>
      <c r="G419" s="396"/>
      <c r="I419" s="396"/>
      <c r="J419" s="396"/>
      <c r="K419" s="396"/>
      <c r="L419" s="396"/>
      <c r="M419" s="396"/>
      <c r="N419" s="396"/>
      <c r="O419" s="396"/>
      <c r="P419" s="396"/>
      <c r="Q419" s="396"/>
      <c r="R419" s="396"/>
      <c r="S419" s="396"/>
      <c r="T419" s="396"/>
    </row>
    <row r="420" spans="2:20">
      <c r="B420" s="1674"/>
      <c r="C420" s="2569" t="s">
        <v>396</v>
      </c>
      <c r="D420" s="792">
        <v>67581</v>
      </c>
      <c r="E420" s="293"/>
      <c r="G420" s="396"/>
      <c r="I420" s="396"/>
      <c r="J420" s="396"/>
      <c r="K420" s="396"/>
      <c r="L420" s="396"/>
      <c r="M420" s="396"/>
      <c r="N420" s="396"/>
      <c r="O420" s="396"/>
      <c r="P420" s="396"/>
      <c r="Q420" s="396"/>
      <c r="R420" s="396"/>
      <c r="S420" s="396"/>
      <c r="T420" s="396"/>
    </row>
    <row r="421" spans="2:20" ht="25.5">
      <c r="B421" s="1676">
        <v>9</v>
      </c>
      <c r="C421" s="2580" t="s">
        <v>282</v>
      </c>
      <c r="D421" s="793">
        <v>8443284</v>
      </c>
      <c r="G421" s="396"/>
      <c r="I421" s="396"/>
      <c r="J421" s="396"/>
      <c r="K421" s="396"/>
      <c r="L421" s="396"/>
      <c r="M421" s="396"/>
      <c r="N421" s="396"/>
      <c r="O421" s="396"/>
      <c r="P421" s="396"/>
      <c r="Q421" s="396"/>
      <c r="R421" s="396"/>
      <c r="S421" s="396"/>
    </row>
    <row r="422" spans="2:20">
      <c r="B422" s="1674">
        <v>10</v>
      </c>
      <c r="C422" s="2569" t="s">
        <v>283</v>
      </c>
      <c r="D422" s="791"/>
      <c r="E422" s="293"/>
      <c r="G422" s="396"/>
      <c r="I422" s="396"/>
      <c r="J422" s="396"/>
      <c r="K422" s="396"/>
      <c r="L422" s="396"/>
      <c r="M422" s="396"/>
      <c r="N422" s="396"/>
      <c r="O422" s="396"/>
      <c r="P422" s="396"/>
      <c r="Q422" s="396"/>
      <c r="R422" s="396"/>
      <c r="S422" s="396"/>
      <c r="T422" s="396"/>
    </row>
    <row r="423" spans="2:20">
      <c r="B423" s="1674">
        <v>11</v>
      </c>
      <c r="C423" s="2569" t="s">
        <v>284</v>
      </c>
      <c r="D423" s="792">
        <v>3773955</v>
      </c>
      <c r="E423" s="293"/>
      <c r="G423" s="396"/>
      <c r="I423" s="396"/>
      <c r="J423" s="396"/>
      <c r="K423" s="396"/>
      <c r="L423" s="396"/>
      <c r="M423" s="396"/>
      <c r="N423" s="396"/>
      <c r="O423" s="396"/>
      <c r="P423" s="396"/>
      <c r="Q423" s="396"/>
      <c r="R423" s="396"/>
      <c r="S423" s="396"/>
      <c r="T423" s="396"/>
    </row>
    <row r="424" spans="2:20">
      <c r="B424" s="1674">
        <v>12</v>
      </c>
      <c r="C424" s="2569" t="s">
        <v>285</v>
      </c>
      <c r="D424" s="792">
        <v>2783096</v>
      </c>
      <c r="E424" s="293"/>
      <c r="G424" s="396"/>
      <c r="I424" s="396"/>
      <c r="J424" s="396"/>
      <c r="K424" s="396"/>
      <c r="L424" s="396"/>
      <c r="M424" s="396"/>
      <c r="N424" s="396"/>
      <c r="O424" s="396"/>
      <c r="P424" s="396"/>
      <c r="Q424" s="396"/>
      <c r="R424" s="396"/>
      <c r="S424" s="396"/>
      <c r="T424" s="396"/>
    </row>
    <row r="425" spans="2:20" ht="25.5">
      <c r="B425" s="1674">
        <v>13</v>
      </c>
      <c r="C425" s="2569" t="s">
        <v>286</v>
      </c>
      <c r="D425" s="792">
        <v>1886233</v>
      </c>
      <c r="E425" s="293"/>
      <c r="G425" s="396"/>
      <c r="I425" s="396"/>
      <c r="J425" s="396"/>
      <c r="K425" s="396"/>
      <c r="L425" s="396"/>
      <c r="M425" s="396"/>
      <c r="N425" s="396"/>
      <c r="O425" s="396"/>
      <c r="P425" s="396"/>
      <c r="Q425" s="396"/>
      <c r="R425" s="396"/>
      <c r="S425" s="396"/>
      <c r="T425" s="396"/>
    </row>
    <row r="426" spans="2:20">
      <c r="B426" s="1674">
        <v>14</v>
      </c>
      <c r="C426" s="2570" t="s">
        <v>287</v>
      </c>
      <c r="D426" s="791"/>
      <c r="E426" s="293"/>
      <c r="G426" s="396"/>
      <c r="I426" s="396"/>
      <c r="J426" s="396"/>
      <c r="K426" s="396"/>
      <c r="L426" s="396"/>
      <c r="M426" s="396"/>
      <c r="N426" s="396"/>
      <c r="O426" s="396"/>
      <c r="P426" s="396"/>
      <c r="Q426" s="396"/>
      <c r="R426" s="396"/>
      <c r="S426" s="396"/>
      <c r="T426" s="396"/>
    </row>
    <row r="427" spans="2:20">
      <c r="B427" s="1674">
        <v>15</v>
      </c>
      <c r="C427" s="2570" t="s">
        <v>288</v>
      </c>
      <c r="D427" s="792">
        <v>1083078</v>
      </c>
      <c r="E427" s="293"/>
      <c r="G427" s="396"/>
      <c r="I427" s="396"/>
      <c r="J427" s="396"/>
      <c r="K427" s="396"/>
      <c r="L427" s="396"/>
      <c r="M427" s="396"/>
      <c r="N427" s="396"/>
      <c r="O427" s="396"/>
      <c r="P427" s="396"/>
      <c r="Q427" s="396"/>
      <c r="R427" s="396"/>
      <c r="S427" s="396"/>
      <c r="T427" s="396"/>
    </row>
    <row r="428" spans="2:20">
      <c r="B428" s="1674">
        <v>16</v>
      </c>
      <c r="C428" s="2570" t="s">
        <v>289</v>
      </c>
      <c r="D428" s="792">
        <v>1331479</v>
      </c>
      <c r="E428" s="293"/>
      <c r="G428" s="396"/>
      <c r="I428" s="396"/>
      <c r="J428" s="396"/>
      <c r="K428" s="396"/>
      <c r="L428" s="396"/>
      <c r="M428" s="396"/>
      <c r="N428" s="396"/>
      <c r="O428" s="396"/>
      <c r="P428" s="396"/>
      <c r="Q428" s="396"/>
      <c r="R428" s="396"/>
      <c r="S428" s="396"/>
      <c r="T428" s="396"/>
    </row>
    <row r="429" spans="2:20">
      <c r="B429" s="1674">
        <v>17</v>
      </c>
      <c r="C429" s="2570" t="s">
        <v>290</v>
      </c>
      <c r="D429" s="792">
        <v>198234</v>
      </c>
      <c r="E429" s="293"/>
      <c r="G429" s="396"/>
      <c r="I429" s="396"/>
      <c r="J429" s="396"/>
      <c r="K429" s="396"/>
      <c r="L429" s="396"/>
      <c r="M429" s="396"/>
      <c r="N429" s="396"/>
      <c r="O429" s="396"/>
      <c r="P429" s="396"/>
      <c r="Q429" s="396"/>
      <c r="R429" s="396"/>
      <c r="S429" s="396"/>
      <c r="T429" s="396"/>
    </row>
    <row r="430" spans="2:20">
      <c r="B430" s="1674">
        <v>18</v>
      </c>
      <c r="C430" s="2570" t="s">
        <v>291</v>
      </c>
      <c r="D430" s="792">
        <v>169674</v>
      </c>
      <c r="E430" s="293"/>
      <c r="G430" s="396"/>
      <c r="I430" s="396"/>
      <c r="J430" s="396"/>
      <c r="K430" s="396"/>
      <c r="L430" s="396"/>
      <c r="M430" s="396"/>
      <c r="N430" s="396"/>
      <c r="O430" s="396"/>
      <c r="P430" s="396"/>
      <c r="Q430" s="396"/>
      <c r="R430" s="396"/>
      <c r="S430" s="396"/>
      <c r="T430" s="396"/>
    </row>
    <row r="431" spans="2:20" ht="13.5" thickBot="1">
      <c r="B431" s="1674">
        <v>19</v>
      </c>
      <c r="C431" s="2571" t="s">
        <v>292</v>
      </c>
      <c r="D431" s="794">
        <v>335269</v>
      </c>
      <c r="E431" s="293"/>
      <c r="G431" s="396"/>
      <c r="I431" s="396"/>
      <c r="J431" s="396"/>
      <c r="K431" s="396"/>
      <c r="L431" s="396"/>
      <c r="M431" s="396"/>
      <c r="N431" s="396"/>
      <c r="O431" s="396"/>
      <c r="P431" s="396"/>
      <c r="Q431" s="396"/>
      <c r="R431" s="396"/>
      <c r="S431" s="396"/>
      <c r="T431" s="396"/>
    </row>
    <row r="432" spans="2:20" ht="26.25" thickBot="1">
      <c r="B432" s="1686">
        <v>20</v>
      </c>
      <c r="C432" s="1705" t="s">
        <v>293</v>
      </c>
      <c r="D432" s="1706">
        <v>11999920</v>
      </c>
      <c r="E432" s="293"/>
      <c r="G432" s="396"/>
      <c r="I432" s="396"/>
      <c r="J432" s="396"/>
      <c r="K432" s="396"/>
      <c r="L432" s="396"/>
      <c r="M432" s="396"/>
      <c r="N432" s="396"/>
      <c r="O432" s="396"/>
      <c r="P432" s="396"/>
      <c r="Q432" s="396"/>
      <c r="R432" s="396"/>
      <c r="S432" s="396"/>
      <c r="T432" s="396"/>
    </row>
    <row r="433" spans="2:20">
      <c r="B433" s="1674"/>
      <c r="C433" s="1678" t="s">
        <v>294</v>
      </c>
      <c r="D433" s="791"/>
      <c r="E433" s="293"/>
      <c r="G433" s="396"/>
      <c r="I433" s="396"/>
      <c r="J433" s="396"/>
      <c r="K433" s="396"/>
      <c r="L433" s="396"/>
      <c r="M433" s="396"/>
      <c r="N433" s="396"/>
      <c r="O433" s="396"/>
      <c r="P433" s="396"/>
      <c r="Q433" s="396"/>
      <c r="R433" s="396"/>
      <c r="S433" s="396"/>
      <c r="T433" s="396"/>
    </row>
    <row r="434" spans="2:20">
      <c r="B434" s="1674"/>
      <c r="C434" s="2588" t="s">
        <v>295</v>
      </c>
      <c r="D434" s="791"/>
      <c r="E434" s="293"/>
      <c r="G434" s="396"/>
      <c r="I434" s="396"/>
      <c r="J434" s="396"/>
      <c r="K434" s="396"/>
      <c r="L434" s="396"/>
      <c r="M434" s="396"/>
      <c r="N434" s="396"/>
      <c r="O434" s="396"/>
      <c r="P434" s="396"/>
      <c r="Q434" s="396"/>
      <c r="R434" s="396"/>
      <c r="S434" s="396"/>
      <c r="T434" s="396"/>
    </row>
    <row r="435" spans="2:20">
      <c r="B435" s="1674">
        <v>21</v>
      </c>
      <c r="C435" s="2570" t="s">
        <v>296</v>
      </c>
      <c r="D435" s="792">
        <v>6149464</v>
      </c>
      <c r="E435" s="293"/>
      <c r="G435" s="396"/>
      <c r="I435" s="396"/>
      <c r="J435" s="396"/>
      <c r="K435" s="396"/>
      <c r="L435" s="396"/>
      <c r="M435" s="396"/>
      <c r="N435" s="396"/>
      <c r="O435" s="396"/>
      <c r="P435" s="396"/>
      <c r="Q435" s="396"/>
      <c r="R435" s="396"/>
      <c r="S435" s="396"/>
      <c r="T435" s="396"/>
    </row>
    <row r="436" spans="2:20">
      <c r="B436" s="1674">
        <v>22</v>
      </c>
      <c r="C436" s="2570" t="s">
        <v>297</v>
      </c>
      <c r="D436" s="792">
        <v>45883</v>
      </c>
      <c r="E436" s="293"/>
      <c r="G436" s="396"/>
      <c r="I436" s="396"/>
      <c r="J436" s="396"/>
      <c r="K436" s="396"/>
      <c r="L436" s="396"/>
      <c r="M436" s="396"/>
      <c r="N436" s="396"/>
      <c r="O436" s="396"/>
      <c r="P436" s="396"/>
      <c r="Q436" s="396"/>
      <c r="R436" s="396"/>
      <c r="S436" s="396"/>
      <c r="T436" s="396"/>
    </row>
    <row r="437" spans="2:20">
      <c r="B437" s="1674">
        <v>23</v>
      </c>
      <c r="C437" s="2570" t="s">
        <v>298</v>
      </c>
      <c r="D437" s="792">
        <v>501689</v>
      </c>
      <c r="E437" s="293"/>
      <c r="G437" s="396"/>
      <c r="I437" s="396"/>
      <c r="J437" s="396"/>
      <c r="K437" s="396"/>
      <c r="L437" s="396"/>
      <c r="M437" s="396"/>
      <c r="N437" s="396"/>
      <c r="O437" s="396"/>
      <c r="P437" s="396"/>
      <c r="Q437" s="396"/>
      <c r="R437" s="396"/>
      <c r="S437" s="396"/>
      <c r="T437" s="396"/>
    </row>
    <row r="438" spans="2:20">
      <c r="B438" s="1674">
        <v>24</v>
      </c>
      <c r="C438" s="2570" t="s">
        <v>299</v>
      </c>
      <c r="D438" s="792">
        <v>100931</v>
      </c>
      <c r="E438" s="293"/>
      <c r="G438" s="396"/>
      <c r="I438" s="396"/>
      <c r="J438" s="396"/>
      <c r="K438" s="396"/>
      <c r="L438" s="396"/>
      <c r="M438" s="396"/>
      <c r="N438" s="396"/>
      <c r="O438" s="396"/>
      <c r="P438" s="396"/>
      <c r="Q438" s="396"/>
      <c r="R438" s="396"/>
      <c r="S438" s="396"/>
      <c r="T438" s="396"/>
    </row>
    <row r="439" spans="2:20">
      <c r="B439" s="1674">
        <v>25</v>
      </c>
      <c r="C439" s="2569" t="s">
        <v>300</v>
      </c>
      <c r="D439" s="792">
        <v>78201</v>
      </c>
      <c r="E439" s="293"/>
      <c r="G439" s="396"/>
      <c r="I439" s="396"/>
      <c r="J439" s="396"/>
      <c r="K439" s="396"/>
      <c r="L439" s="396"/>
      <c r="M439" s="396"/>
      <c r="N439" s="396"/>
      <c r="O439" s="396"/>
      <c r="P439" s="396"/>
      <c r="Q439" s="396"/>
      <c r="R439" s="396"/>
      <c r="S439" s="396"/>
      <c r="T439" s="396"/>
    </row>
    <row r="440" spans="2:20" ht="13.5" thickBot="1">
      <c r="B440" s="1674">
        <v>26</v>
      </c>
      <c r="C440" s="2571" t="s">
        <v>301</v>
      </c>
      <c r="D440" s="794">
        <v>1119733</v>
      </c>
      <c r="E440" s="293"/>
      <c r="G440" s="396"/>
      <c r="I440" s="396"/>
      <c r="J440" s="396"/>
      <c r="K440" s="396"/>
      <c r="L440" s="396"/>
      <c r="M440" s="396"/>
      <c r="N440" s="396"/>
      <c r="O440" s="396"/>
      <c r="P440" s="396"/>
      <c r="Q440" s="396"/>
      <c r="R440" s="396"/>
      <c r="S440" s="396"/>
      <c r="T440" s="396"/>
    </row>
    <row r="441" spans="2:20" ht="26.25" thickBot="1">
      <c r="B441" s="1677">
        <v>27</v>
      </c>
      <c r="C441" s="1699" t="s">
        <v>302</v>
      </c>
      <c r="D441" s="795">
        <v>7995901</v>
      </c>
      <c r="E441" s="293"/>
      <c r="G441" s="396"/>
      <c r="I441" s="396"/>
      <c r="J441" s="396"/>
      <c r="K441" s="396"/>
      <c r="L441" s="396"/>
      <c r="M441" s="396"/>
      <c r="N441" s="396"/>
      <c r="O441" s="396"/>
      <c r="P441" s="396"/>
      <c r="Q441" s="396"/>
      <c r="R441" s="396"/>
      <c r="S441" s="396"/>
      <c r="T441" s="396"/>
    </row>
    <row r="442" spans="2:20">
      <c r="B442" s="1674"/>
      <c r="C442" s="1678" t="s">
        <v>303</v>
      </c>
      <c r="D442" s="791"/>
      <c r="E442" s="293"/>
      <c r="G442" s="396"/>
      <c r="I442" s="396"/>
      <c r="J442" s="396"/>
      <c r="K442" s="396"/>
      <c r="L442" s="396"/>
      <c r="M442" s="396"/>
      <c r="N442" s="396"/>
      <c r="O442" s="396"/>
      <c r="P442" s="396"/>
      <c r="Q442" s="396"/>
      <c r="R442" s="396"/>
      <c r="S442" s="396"/>
      <c r="T442" s="396"/>
    </row>
    <row r="443" spans="2:20">
      <c r="B443" s="1674">
        <v>28</v>
      </c>
      <c r="C443" s="2587" t="s">
        <v>304</v>
      </c>
      <c r="D443" s="792">
        <v>800000</v>
      </c>
      <c r="E443" s="530"/>
      <c r="G443" s="396"/>
      <c r="I443" s="396"/>
      <c r="J443" s="396"/>
      <c r="K443" s="396"/>
      <c r="L443" s="396"/>
      <c r="M443" s="396"/>
      <c r="N443" s="396"/>
      <c r="O443" s="396"/>
      <c r="P443" s="396"/>
      <c r="Q443" s="396"/>
      <c r="R443" s="396"/>
      <c r="S443" s="396"/>
      <c r="T443" s="396"/>
    </row>
    <row r="444" spans="2:20">
      <c r="B444" s="1674">
        <v>29</v>
      </c>
      <c r="C444" s="2587" t="s">
        <v>305</v>
      </c>
      <c r="D444" s="792">
        <v>-186769</v>
      </c>
      <c r="E444" s="293"/>
      <c r="G444" s="396"/>
      <c r="I444" s="396"/>
      <c r="J444" s="396"/>
      <c r="K444" s="396"/>
      <c r="L444" s="396"/>
      <c r="M444" s="396"/>
      <c r="N444" s="396"/>
      <c r="O444" s="396"/>
      <c r="P444" s="396"/>
      <c r="Q444" s="396"/>
      <c r="R444" s="396"/>
      <c r="S444" s="396"/>
      <c r="T444" s="396"/>
    </row>
    <row r="445" spans="2:20">
      <c r="B445" s="1674">
        <v>30</v>
      </c>
      <c r="C445" s="2573" t="s">
        <v>306</v>
      </c>
      <c r="D445" s="791"/>
      <c r="E445" s="293"/>
      <c r="G445" s="396"/>
      <c r="I445" s="396"/>
      <c r="J445" s="396"/>
      <c r="K445" s="396"/>
      <c r="L445" s="396"/>
      <c r="M445" s="396"/>
      <c r="N445" s="396"/>
      <c r="O445" s="396"/>
      <c r="P445" s="396"/>
      <c r="Q445" s="396"/>
      <c r="R445" s="396"/>
      <c r="S445" s="396"/>
      <c r="T445" s="396"/>
    </row>
    <row r="446" spans="2:20" ht="13.5" thickBot="1">
      <c r="B446" s="1674">
        <v>31</v>
      </c>
      <c r="C446" s="2573" t="s">
        <v>308</v>
      </c>
      <c r="D446" s="794">
        <v>3390787</v>
      </c>
      <c r="E446" s="293"/>
      <c r="G446" s="396"/>
      <c r="I446" s="396"/>
      <c r="J446" s="396"/>
      <c r="K446" s="396"/>
      <c r="L446" s="396"/>
      <c r="M446" s="396"/>
      <c r="N446" s="396"/>
      <c r="O446" s="396"/>
      <c r="P446" s="396"/>
      <c r="Q446" s="396"/>
      <c r="R446" s="396"/>
      <c r="S446" s="396"/>
      <c r="T446" s="396"/>
    </row>
    <row r="447" spans="2:20" ht="13.5" thickBot="1">
      <c r="B447" s="1677">
        <v>32</v>
      </c>
      <c r="C447" s="1699" t="s">
        <v>309</v>
      </c>
      <c r="D447" s="795">
        <v>4004018</v>
      </c>
      <c r="E447" s="293"/>
      <c r="G447" s="396"/>
      <c r="I447" s="396"/>
      <c r="J447" s="396"/>
      <c r="K447" s="396"/>
      <c r="L447" s="396"/>
      <c r="M447" s="396"/>
      <c r="N447" s="396"/>
      <c r="O447" s="396"/>
      <c r="P447" s="396"/>
      <c r="Q447" s="396"/>
      <c r="R447" s="396"/>
      <c r="S447" s="396"/>
      <c r="T447" s="396"/>
    </row>
    <row r="448" spans="2:20" ht="26.25" thickBot="1">
      <c r="B448" s="1709">
        <v>33</v>
      </c>
      <c r="C448" s="1705" t="s">
        <v>310</v>
      </c>
      <c r="D448" s="1706">
        <v>11999920</v>
      </c>
      <c r="E448" s="293"/>
      <c r="G448" s="396"/>
      <c r="I448" s="396"/>
      <c r="J448" s="396"/>
      <c r="K448" s="396"/>
      <c r="L448" s="396"/>
      <c r="M448" s="396"/>
      <c r="N448" s="396"/>
      <c r="O448" s="396"/>
      <c r="P448" s="396"/>
      <c r="Q448" s="396"/>
      <c r="R448" s="396"/>
      <c r="S448" s="396"/>
      <c r="T448" s="396"/>
    </row>
    <row r="449" spans="2:20">
      <c r="B449" s="196"/>
      <c r="C449" s="391"/>
      <c r="D449" s="547"/>
      <c r="E449" s="383" t="s">
        <v>119</v>
      </c>
      <c r="F449" s="293"/>
      <c r="I449" s="396"/>
      <c r="J449" s="396"/>
      <c r="K449" s="396"/>
      <c r="L449" s="396"/>
      <c r="M449" s="396"/>
      <c r="N449" s="396"/>
      <c r="O449" s="396"/>
      <c r="P449" s="396"/>
      <c r="Q449" s="396"/>
      <c r="R449" s="396"/>
      <c r="S449" s="396"/>
      <c r="T449" s="396"/>
    </row>
    <row r="450" spans="2:20">
      <c r="B450" s="196"/>
      <c r="C450" s="391"/>
      <c r="D450" s="547"/>
      <c r="E450" s="383"/>
      <c r="F450" s="293"/>
      <c r="H450" s="292">
        <v>89</v>
      </c>
      <c r="I450" s="396"/>
      <c r="J450" s="396"/>
      <c r="K450" s="396"/>
      <c r="L450" s="396"/>
      <c r="M450" s="396"/>
      <c r="N450" s="396"/>
      <c r="O450" s="396"/>
      <c r="P450" s="396"/>
      <c r="Q450" s="396"/>
      <c r="R450" s="396"/>
      <c r="S450" s="396"/>
      <c r="T450" s="396"/>
    </row>
    <row r="451" spans="2:20">
      <c r="B451" s="196"/>
      <c r="C451" s="391"/>
      <c r="D451" s="547"/>
      <c r="E451" s="383"/>
      <c r="F451" s="293"/>
      <c r="I451" s="396"/>
      <c r="J451" s="396"/>
      <c r="K451" s="396"/>
      <c r="L451" s="396"/>
      <c r="M451" s="396"/>
      <c r="N451" s="396"/>
      <c r="O451" s="396"/>
      <c r="P451" s="396"/>
      <c r="Q451" s="396"/>
      <c r="R451" s="396"/>
      <c r="S451" s="396"/>
      <c r="T451" s="396"/>
    </row>
    <row r="452" spans="2:20" ht="14.25">
      <c r="B452" s="3593" t="s">
        <v>397</v>
      </c>
      <c r="C452" s="3594"/>
      <c r="D452" s="3594"/>
      <c r="E452" s="3594"/>
      <c r="F452" s="3594"/>
      <c r="G452" s="3594"/>
      <c r="I452" s="396"/>
      <c r="J452" s="396"/>
      <c r="K452" s="396"/>
      <c r="L452" s="396"/>
      <c r="M452" s="396"/>
      <c r="N452" s="396"/>
      <c r="O452" s="396"/>
      <c r="P452" s="396"/>
      <c r="Q452" s="396"/>
      <c r="R452" s="396"/>
      <c r="S452" s="396"/>
      <c r="T452" s="396"/>
    </row>
    <row r="453" spans="2:20" ht="13.5" thickBot="1">
      <c r="B453" s="51"/>
      <c r="C453" s="51"/>
      <c r="D453" s="51"/>
      <c r="E453" s="51"/>
      <c r="F453" s="51"/>
      <c r="I453" s="396"/>
      <c r="J453" s="396"/>
      <c r="K453" s="396"/>
      <c r="L453" s="396"/>
      <c r="M453" s="396"/>
      <c r="N453" s="396"/>
      <c r="O453" s="396"/>
      <c r="P453" s="396"/>
      <c r="Q453" s="396"/>
      <c r="R453" s="396"/>
      <c r="S453" s="396"/>
      <c r="T453" s="396"/>
    </row>
    <row r="454" spans="2:20" ht="13.5" thickBot="1">
      <c r="B454" s="3582" t="s">
        <v>109</v>
      </c>
      <c r="C454" s="3583"/>
      <c r="D454" s="425"/>
      <c r="E454" s="535"/>
      <c r="F454" s="396"/>
      <c r="I454" s="396"/>
      <c r="J454" s="396"/>
      <c r="K454" s="396"/>
      <c r="L454" s="396"/>
      <c r="M454" s="396"/>
      <c r="N454" s="396"/>
      <c r="O454" s="396"/>
      <c r="P454" s="396"/>
      <c r="Q454" s="396"/>
      <c r="R454" s="396"/>
      <c r="S454" s="396"/>
      <c r="T454" s="396"/>
    </row>
    <row r="455" spans="2:20">
      <c r="B455" s="3518" t="s">
        <v>372</v>
      </c>
      <c r="C455" s="3595"/>
      <c r="D455" s="3518" t="s">
        <v>391</v>
      </c>
      <c r="E455" s="274"/>
      <c r="I455" s="396"/>
      <c r="J455" s="396"/>
      <c r="K455" s="396"/>
      <c r="L455" s="396"/>
      <c r="M455" s="396"/>
      <c r="N455" s="396"/>
      <c r="O455" s="396"/>
      <c r="P455" s="396"/>
      <c r="Q455" s="396"/>
      <c r="R455" s="396"/>
      <c r="S455" s="396"/>
      <c r="T455" s="396"/>
    </row>
    <row r="456" spans="2:20">
      <c r="B456" s="3520"/>
      <c r="C456" s="3591"/>
      <c r="D456" s="3520"/>
      <c r="E456" s="443"/>
      <c r="I456" s="396"/>
      <c r="J456" s="396"/>
      <c r="K456" s="396"/>
      <c r="L456" s="396"/>
      <c r="M456" s="396"/>
      <c r="N456" s="396"/>
      <c r="O456" s="396"/>
      <c r="P456" s="396"/>
      <c r="Q456" s="396"/>
      <c r="R456" s="396"/>
      <c r="S456" s="396"/>
      <c r="T456" s="396"/>
    </row>
    <row r="457" spans="2:20">
      <c r="B457" s="3519"/>
      <c r="C457" s="3592"/>
      <c r="D457" s="3519"/>
      <c r="E457" s="443"/>
      <c r="I457" s="396"/>
      <c r="J457" s="396"/>
      <c r="K457" s="396"/>
      <c r="L457" s="396"/>
      <c r="M457" s="396"/>
      <c r="N457" s="396"/>
      <c r="O457" s="396"/>
      <c r="P457" s="396"/>
      <c r="Q457" s="396"/>
      <c r="R457" s="396"/>
      <c r="S457" s="396"/>
      <c r="T457" s="396"/>
    </row>
    <row r="458" spans="2:20" ht="15">
      <c r="B458" s="1674"/>
      <c r="C458" s="1681" t="s">
        <v>269</v>
      </c>
      <c r="D458" s="754"/>
      <c r="E458" s="293"/>
      <c r="I458" s="396"/>
      <c r="J458" s="396"/>
      <c r="K458" s="396"/>
      <c r="L458" s="396"/>
      <c r="M458" s="396"/>
      <c r="N458" s="396"/>
      <c r="O458" s="396"/>
      <c r="P458" s="396"/>
      <c r="Q458" s="396"/>
      <c r="R458" s="396"/>
      <c r="S458" s="396"/>
      <c r="T458" s="396"/>
    </row>
    <row r="459" spans="2:20" ht="15">
      <c r="B459" s="1674">
        <v>1</v>
      </c>
      <c r="C459" s="2587" t="s">
        <v>270</v>
      </c>
      <c r="D459" s="755"/>
      <c r="E459" s="293"/>
      <c r="G459" s="396"/>
      <c r="I459" s="396"/>
      <c r="J459" s="396"/>
      <c r="K459" s="396"/>
      <c r="L459" s="396"/>
      <c r="M459" s="396"/>
      <c r="N459" s="396"/>
      <c r="O459" s="396"/>
      <c r="P459" s="396"/>
      <c r="Q459" s="396"/>
      <c r="R459" s="396"/>
      <c r="S459" s="396"/>
      <c r="T459" s="396"/>
    </row>
    <row r="460" spans="2:20">
      <c r="B460" s="1674">
        <v>2</v>
      </c>
      <c r="C460" s="2587" t="s">
        <v>271</v>
      </c>
      <c r="D460" s="698"/>
      <c r="E460" s="293"/>
      <c r="G460" s="396"/>
      <c r="I460" s="396"/>
      <c r="J460" s="396"/>
      <c r="K460" s="396"/>
      <c r="L460" s="396"/>
      <c r="M460" s="396"/>
      <c r="N460" s="396"/>
      <c r="O460" s="396"/>
      <c r="P460" s="396"/>
      <c r="Q460" s="396"/>
      <c r="R460" s="396"/>
      <c r="S460" s="396"/>
      <c r="T460" s="396"/>
    </row>
    <row r="461" spans="2:20">
      <c r="B461" s="1674">
        <v>3</v>
      </c>
      <c r="C461" s="2587" t="s">
        <v>272</v>
      </c>
      <c r="D461" s="698"/>
      <c r="E461" s="293"/>
      <c r="G461" s="396"/>
      <c r="I461" s="396"/>
      <c r="J461" s="396"/>
      <c r="K461" s="396"/>
      <c r="L461" s="396"/>
      <c r="M461" s="396"/>
      <c r="N461" s="396"/>
      <c r="O461" s="396"/>
      <c r="P461" s="396"/>
      <c r="Q461" s="396"/>
      <c r="R461" s="396"/>
      <c r="S461" s="396"/>
      <c r="T461" s="396"/>
    </row>
    <row r="462" spans="2:20">
      <c r="B462" s="1674">
        <v>4</v>
      </c>
      <c r="C462" s="2589" t="s">
        <v>273</v>
      </c>
      <c r="D462" s="698"/>
      <c r="E462" s="293"/>
      <c r="G462" s="396"/>
      <c r="I462" s="396"/>
      <c r="J462" s="396"/>
      <c r="K462" s="396"/>
      <c r="L462" s="396"/>
      <c r="M462" s="396"/>
      <c r="N462" s="396"/>
      <c r="O462" s="396"/>
      <c r="P462" s="396"/>
      <c r="Q462" s="396"/>
      <c r="R462" s="396"/>
      <c r="S462" s="396"/>
      <c r="T462" s="396"/>
    </row>
    <row r="463" spans="2:20">
      <c r="B463" s="1674">
        <v>5</v>
      </c>
      <c r="C463" s="2587" t="s">
        <v>274</v>
      </c>
      <c r="D463" s="697">
        <v>29754</v>
      </c>
      <c r="E463" s="293"/>
      <c r="G463" s="396"/>
      <c r="I463" s="396"/>
      <c r="J463" s="396"/>
      <c r="K463" s="396"/>
      <c r="L463" s="396"/>
      <c r="M463" s="396"/>
      <c r="N463" s="396"/>
      <c r="O463" s="396"/>
      <c r="P463" s="396"/>
      <c r="Q463" s="396"/>
      <c r="R463" s="396"/>
      <c r="S463" s="396"/>
      <c r="T463" s="396"/>
    </row>
    <row r="464" spans="2:20" ht="15">
      <c r="B464" s="1674">
        <v>6</v>
      </c>
      <c r="C464" s="2587" t="s">
        <v>275</v>
      </c>
      <c r="D464" s="755"/>
      <c r="E464" s="293"/>
      <c r="G464" s="396"/>
      <c r="I464" s="396"/>
      <c r="J464" s="396"/>
      <c r="K464" s="396"/>
      <c r="L464" s="396"/>
      <c r="M464" s="396"/>
      <c r="N464" s="396"/>
      <c r="O464" s="396"/>
      <c r="P464" s="396"/>
      <c r="Q464" s="396"/>
      <c r="R464" s="396"/>
      <c r="S464" s="396"/>
      <c r="T464" s="396"/>
    </row>
    <row r="465" spans="2:20" ht="15">
      <c r="B465" s="1674">
        <v>7</v>
      </c>
      <c r="C465" s="2587" t="s">
        <v>276</v>
      </c>
      <c r="D465" s="755"/>
      <c r="E465" s="293"/>
      <c r="G465" s="396"/>
      <c r="I465" s="396"/>
      <c r="J465" s="396"/>
      <c r="K465" s="396"/>
      <c r="L465" s="396"/>
      <c r="M465" s="396"/>
      <c r="N465" s="396"/>
      <c r="O465" s="396"/>
      <c r="P465" s="396"/>
      <c r="Q465" s="396"/>
      <c r="R465" s="396"/>
      <c r="S465" s="396"/>
      <c r="T465" s="396"/>
    </row>
    <row r="466" spans="2:20" ht="16.5" customHeight="1">
      <c r="B466" s="1674"/>
      <c r="C466" s="2569" t="s">
        <v>393</v>
      </c>
      <c r="D466" s="755"/>
      <c r="E466" s="293"/>
      <c r="G466" s="396"/>
      <c r="I466" s="396"/>
      <c r="J466" s="396"/>
      <c r="K466" s="396"/>
      <c r="L466" s="396"/>
      <c r="M466" s="396"/>
      <c r="N466" s="396"/>
      <c r="O466" s="396"/>
      <c r="P466" s="396"/>
      <c r="Q466" s="396"/>
      <c r="R466" s="396"/>
      <c r="S466" s="396"/>
      <c r="T466" s="396"/>
    </row>
    <row r="467" spans="2:20" ht="15">
      <c r="B467" s="1674"/>
      <c r="C467" s="2569" t="s">
        <v>394</v>
      </c>
      <c r="D467" s="755"/>
      <c r="E467" s="293"/>
      <c r="G467" s="396"/>
      <c r="I467" s="396"/>
      <c r="J467" s="396"/>
      <c r="K467" s="396"/>
      <c r="L467" s="396"/>
      <c r="M467" s="396"/>
      <c r="N467" s="396"/>
      <c r="O467" s="396"/>
      <c r="P467" s="396"/>
      <c r="Q467" s="396"/>
      <c r="R467" s="396"/>
      <c r="S467" s="396"/>
      <c r="T467" s="396"/>
    </row>
    <row r="468" spans="2:20" ht="15" customHeight="1">
      <c r="B468" s="1674">
        <v>8</v>
      </c>
      <c r="C468" s="2587" t="s">
        <v>279</v>
      </c>
      <c r="D468" s="755"/>
      <c r="E468" s="293"/>
      <c r="G468" s="396"/>
      <c r="I468" s="396"/>
      <c r="J468" s="396"/>
      <c r="K468" s="396"/>
      <c r="L468" s="396"/>
      <c r="M468" s="396"/>
      <c r="N468" s="396"/>
      <c r="O468" s="396"/>
      <c r="P468" s="396"/>
      <c r="Q468" s="396"/>
      <c r="R468" s="396"/>
      <c r="S468" s="396"/>
      <c r="T468" s="396"/>
    </row>
    <row r="469" spans="2:20" ht="17.25" customHeight="1">
      <c r="B469" s="1674"/>
      <c r="C469" s="2569" t="s">
        <v>395</v>
      </c>
      <c r="D469" s="755"/>
      <c r="E469" s="293"/>
      <c r="G469" s="396"/>
      <c r="I469" s="396"/>
      <c r="J469" s="396"/>
      <c r="K469" s="396"/>
      <c r="L469" s="396"/>
      <c r="M469" s="396"/>
      <c r="N469" s="396"/>
      <c r="O469" s="396"/>
      <c r="P469" s="396"/>
      <c r="Q469" s="396"/>
      <c r="R469" s="396"/>
      <c r="S469" s="396"/>
      <c r="T469" s="396"/>
    </row>
    <row r="470" spans="2:20" ht="15">
      <c r="B470" s="1674"/>
      <c r="C470" s="2569" t="s">
        <v>396</v>
      </c>
      <c r="D470" s="755"/>
      <c r="E470" s="293"/>
      <c r="G470" s="396"/>
      <c r="I470" s="396"/>
      <c r="J470" s="396"/>
      <c r="K470" s="396"/>
      <c r="L470" s="396"/>
      <c r="M470" s="396"/>
      <c r="N470" s="396"/>
      <c r="O470" s="396"/>
      <c r="P470" s="396"/>
      <c r="Q470" s="396"/>
      <c r="R470" s="396"/>
      <c r="S470" s="396"/>
      <c r="T470" s="396"/>
    </row>
    <row r="471" spans="2:20" ht="25.5">
      <c r="B471" s="1676">
        <v>9</v>
      </c>
      <c r="C471" s="2580" t="s">
        <v>282</v>
      </c>
      <c r="D471" s="756">
        <v>1051277</v>
      </c>
      <c r="G471" s="396"/>
      <c r="I471" s="396"/>
      <c r="J471" s="396"/>
      <c r="K471" s="396"/>
      <c r="L471" s="396"/>
      <c r="M471" s="396"/>
      <c r="N471" s="396"/>
      <c r="O471" s="396"/>
      <c r="P471" s="396"/>
      <c r="Q471" s="396"/>
      <c r="R471" s="396"/>
      <c r="S471" s="396"/>
    </row>
    <row r="472" spans="2:20" ht="15">
      <c r="B472" s="1674">
        <v>10</v>
      </c>
      <c r="C472" s="2569" t="s">
        <v>283</v>
      </c>
      <c r="D472" s="755"/>
      <c r="E472" s="293"/>
      <c r="G472" s="396"/>
      <c r="I472" s="396"/>
      <c r="J472" s="396"/>
      <c r="K472" s="396"/>
      <c r="L472" s="396"/>
      <c r="M472" s="396"/>
      <c r="N472" s="396"/>
      <c r="O472" s="396"/>
      <c r="P472" s="396"/>
      <c r="Q472" s="396"/>
      <c r="R472" s="396"/>
      <c r="S472" s="396"/>
      <c r="T472" s="396"/>
    </row>
    <row r="473" spans="2:20">
      <c r="B473" s="1674">
        <v>11</v>
      </c>
      <c r="C473" s="2569" t="s">
        <v>284</v>
      </c>
      <c r="D473" s="697">
        <v>350434</v>
      </c>
      <c r="E473" s="293"/>
      <c r="G473" s="396"/>
      <c r="I473" s="396"/>
      <c r="J473" s="396"/>
      <c r="K473" s="396"/>
      <c r="L473" s="396"/>
      <c r="M473" s="396"/>
      <c r="N473" s="396"/>
      <c r="O473" s="396"/>
      <c r="P473" s="396"/>
      <c r="Q473" s="396"/>
      <c r="R473" s="396"/>
      <c r="S473" s="396"/>
      <c r="T473" s="396"/>
    </row>
    <row r="474" spans="2:20">
      <c r="B474" s="1674">
        <v>12</v>
      </c>
      <c r="C474" s="2569" t="s">
        <v>285</v>
      </c>
      <c r="D474" s="697">
        <v>687176</v>
      </c>
      <c r="E474" s="293"/>
      <c r="G474" s="396"/>
      <c r="I474" s="396"/>
      <c r="J474" s="396"/>
      <c r="K474" s="396"/>
      <c r="L474" s="396"/>
      <c r="M474" s="396"/>
      <c r="N474" s="396"/>
      <c r="O474" s="396"/>
      <c r="P474" s="396"/>
      <c r="Q474" s="396"/>
      <c r="R474" s="396"/>
      <c r="S474" s="396"/>
      <c r="T474" s="396"/>
    </row>
    <row r="475" spans="2:20" ht="25.5">
      <c r="B475" s="1674">
        <v>13</v>
      </c>
      <c r="C475" s="2569" t="s">
        <v>286</v>
      </c>
      <c r="D475" s="697">
        <v>13667</v>
      </c>
      <c r="E475" s="293"/>
      <c r="G475" s="396"/>
      <c r="I475" s="396"/>
      <c r="J475" s="396"/>
      <c r="K475" s="396"/>
      <c r="L475" s="396"/>
      <c r="M475" s="396"/>
      <c r="N475" s="396"/>
      <c r="O475" s="396"/>
      <c r="P475" s="396"/>
      <c r="Q475" s="396"/>
      <c r="R475" s="396"/>
      <c r="S475" s="396"/>
      <c r="T475" s="396"/>
    </row>
    <row r="476" spans="2:20">
      <c r="B476" s="1674">
        <v>14</v>
      </c>
      <c r="C476" s="2570" t="s">
        <v>287</v>
      </c>
      <c r="D476" s="698"/>
      <c r="E476" s="293"/>
      <c r="G476" s="396"/>
      <c r="I476" s="396"/>
      <c r="J476" s="396"/>
      <c r="K476" s="396"/>
      <c r="L476" s="396"/>
      <c r="M476" s="396"/>
      <c r="N476" s="396"/>
      <c r="O476" s="396"/>
      <c r="P476" s="396"/>
      <c r="Q476" s="396"/>
      <c r="R476" s="396"/>
      <c r="S476" s="396"/>
      <c r="T476" s="396"/>
    </row>
    <row r="477" spans="2:20">
      <c r="B477" s="1674">
        <v>15</v>
      </c>
      <c r="C477" s="2570" t="s">
        <v>288</v>
      </c>
      <c r="D477" s="697">
        <v>35873</v>
      </c>
      <c r="E477" s="293"/>
      <c r="G477" s="396"/>
      <c r="I477" s="396"/>
      <c r="J477" s="396"/>
      <c r="K477" s="396"/>
      <c r="L477" s="396"/>
      <c r="M477" s="396"/>
      <c r="N477" s="396"/>
      <c r="O477" s="396"/>
      <c r="P477" s="396"/>
      <c r="Q477" s="396"/>
      <c r="R477" s="396"/>
      <c r="S477" s="396"/>
      <c r="T477" s="396"/>
    </row>
    <row r="478" spans="2:20">
      <c r="B478" s="1674">
        <v>16</v>
      </c>
      <c r="C478" s="2570" t="s">
        <v>289</v>
      </c>
      <c r="D478" s="697">
        <v>122438</v>
      </c>
      <c r="E478" s="293"/>
      <c r="G478" s="396"/>
      <c r="I478" s="396"/>
      <c r="J478" s="396"/>
      <c r="K478" s="396"/>
      <c r="L478" s="396"/>
      <c r="M478" s="396"/>
      <c r="N478" s="396"/>
      <c r="O478" s="396"/>
      <c r="P478" s="396"/>
      <c r="Q478" s="396"/>
      <c r="R478" s="396"/>
      <c r="S478" s="396"/>
      <c r="T478" s="396"/>
    </row>
    <row r="479" spans="2:20">
      <c r="B479" s="1674">
        <v>17</v>
      </c>
      <c r="C479" s="2570" t="s">
        <v>290</v>
      </c>
      <c r="D479" s="697">
        <v>149110</v>
      </c>
      <c r="E479" s="293"/>
      <c r="G479" s="396"/>
      <c r="I479" s="396"/>
      <c r="J479" s="396"/>
      <c r="K479" s="396"/>
      <c r="L479" s="396"/>
      <c r="M479" s="396"/>
      <c r="N479" s="396"/>
      <c r="O479" s="396"/>
      <c r="P479" s="396"/>
      <c r="Q479" s="396"/>
      <c r="R479" s="396"/>
      <c r="S479" s="396"/>
      <c r="T479" s="396"/>
    </row>
    <row r="480" spans="2:20">
      <c r="B480" s="1674">
        <v>18</v>
      </c>
      <c r="C480" s="2570" t="s">
        <v>291</v>
      </c>
      <c r="D480" s="809">
        <v>0</v>
      </c>
      <c r="E480" s="293"/>
      <c r="G480" s="396"/>
      <c r="I480" s="396"/>
      <c r="J480" s="396"/>
      <c r="K480" s="396"/>
      <c r="L480" s="396"/>
      <c r="M480" s="396"/>
      <c r="N480" s="396"/>
      <c r="O480" s="396"/>
      <c r="P480" s="396"/>
      <c r="Q480" s="396"/>
      <c r="R480" s="396"/>
      <c r="S480" s="396"/>
      <c r="T480" s="396"/>
    </row>
    <row r="481" spans="2:20">
      <c r="B481" s="1674">
        <v>19</v>
      </c>
      <c r="C481" s="2571" t="s">
        <v>292</v>
      </c>
      <c r="D481" s="697">
        <v>10708</v>
      </c>
      <c r="E481" s="293"/>
      <c r="G481" s="396"/>
      <c r="I481" s="396"/>
      <c r="J481" s="396"/>
      <c r="K481" s="396"/>
      <c r="L481" s="396"/>
      <c r="M481" s="396"/>
      <c r="N481" s="396"/>
      <c r="O481" s="396"/>
      <c r="P481" s="396"/>
      <c r="Q481" s="396"/>
      <c r="R481" s="396"/>
      <c r="S481" s="396"/>
      <c r="T481" s="396"/>
    </row>
    <row r="482" spans="2:20" ht="25.5">
      <c r="B482" s="1686">
        <v>20</v>
      </c>
      <c r="C482" s="1705" t="s">
        <v>293</v>
      </c>
      <c r="D482" s="1719">
        <v>1399160</v>
      </c>
      <c r="E482" s="293"/>
      <c r="G482" s="396"/>
      <c r="I482" s="396"/>
      <c r="J482" s="396"/>
      <c r="K482" s="396"/>
      <c r="L482" s="396"/>
      <c r="M482" s="396"/>
      <c r="N482" s="396"/>
      <c r="O482" s="396"/>
      <c r="P482" s="396"/>
      <c r="Q482" s="396"/>
      <c r="R482" s="396"/>
      <c r="S482" s="396"/>
      <c r="T482" s="396"/>
    </row>
    <row r="483" spans="2:20" ht="15">
      <c r="B483" s="1674"/>
      <c r="C483" s="1678" t="s">
        <v>294</v>
      </c>
      <c r="D483" s="755"/>
      <c r="E483" s="293"/>
      <c r="G483" s="396"/>
      <c r="I483" s="396"/>
      <c r="J483" s="396"/>
      <c r="K483" s="396"/>
      <c r="L483" s="396"/>
      <c r="M483" s="396"/>
      <c r="N483" s="396"/>
      <c r="O483" s="396"/>
      <c r="P483" s="396"/>
      <c r="Q483" s="396"/>
      <c r="R483" s="396"/>
      <c r="S483" s="396"/>
      <c r="T483" s="396"/>
    </row>
    <row r="484" spans="2:20" ht="15">
      <c r="B484" s="1674"/>
      <c r="C484" s="2588" t="s">
        <v>295</v>
      </c>
      <c r="D484" s="755"/>
      <c r="E484" s="293"/>
      <c r="G484" s="396"/>
      <c r="I484" s="396"/>
      <c r="J484" s="396"/>
      <c r="K484" s="396"/>
      <c r="L484" s="396"/>
      <c r="M484" s="396"/>
      <c r="N484" s="396"/>
      <c r="O484" s="396"/>
      <c r="P484" s="396"/>
      <c r="Q484" s="396"/>
      <c r="R484" s="396"/>
      <c r="S484" s="396"/>
      <c r="T484" s="396"/>
    </row>
    <row r="485" spans="2:20">
      <c r="B485" s="1674">
        <v>21</v>
      </c>
      <c r="C485" s="2570" t="s">
        <v>296</v>
      </c>
      <c r="D485" s="697">
        <v>419927</v>
      </c>
      <c r="E485" s="293"/>
      <c r="G485" s="396"/>
      <c r="I485" s="396"/>
      <c r="J485" s="396"/>
      <c r="K485" s="396"/>
      <c r="L485" s="396"/>
      <c r="M485" s="396"/>
      <c r="N485" s="396"/>
      <c r="O485" s="396"/>
      <c r="P485" s="396"/>
      <c r="Q485" s="396"/>
      <c r="R485" s="396"/>
      <c r="S485" s="396"/>
      <c r="T485" s="396"/>
    </row>
    <row r="486" spans="2:20">
      <c r="B486" s="1674">
        <v>22</v>
      </c>
      <c r="C486" s="2570" t="s">
        <v>297</v>
      </c>
      <c r="D486" s="697">
        <v>14473</v>
      </c>
      <c r="E486" s="293"/>
      <c r="G486" s="396"/>
      <c r="I486" s="396"/>
      <c r="J486" s="396"/>
      <c r="K486" s="396"/>
      <c r="L486" s="396"/>
      <c r="M486" s="396"/>
      <c r="N486" s="396"/>
      <c r="O486" s="396"/>
      <c r="P486" s="396"/>
      <c r="Q486" s="396"/>
      <c r="R486" s="396"/>
      <c r="S486" s="396"/>
      <c r="T486" s="396"/>
    </row>
    <row r="487" spans="2:20">
      <c r="B487" s="1674">
        <v>23</v>
      </c>
      <c r="C487" s="2570" t="s">
        <v>298</v>
      </c>
      <c r="D487" s="697">
        <v>84062</v>
      </c>
      <c r="E487" s="293"/>
      <c r="G487" s="396"/>
      <c r="I487" s="396"/>
      <c r="J487" s="396"/>
      <c r="K487" s="396"/>
      <c r="L487" s="396"/>
      <c r="M487" s="396"/>
      <c r="N487" s="396"/>
      <c r="O487" s="396"/>
      <c r="P487" s="396"/>
      <c r="Q487" s="396"/>
      <c r="R487" s="396"/>
      <c r="S487" s="396"/>
      <c r="T487" s="396"/>
    </row>
    <row r="488" spans="2:20">
      <c r="B488" s="1674">
        <v>24</v>
      </c>
      <c r="C488" s="2570" t="s">
        <v>299</v>
      </c>
      <c r="D488" s="698"/>
      <c r="E488" s="293"/>
      <c r="G488" s="396"/>
      <c r="I488" s="396"/>
      <c r="J488" s="396"/>
      <c r="K488" s="396"/>
      <c r="L488" s="396"/>
      <c r="M488" s="396"/>
      <c r="N488" s="396"/>
      <c r="O488" s="396"/>
      <c r="P488" s="396"/>
      <c r="Q488" s="396"/>
      <c r="R488" s="396"/>
      <c r="S488" s="396"/>
      <c r="T488" s="396"/>
    </row>
    <row r="489" spans="2:20">
      <c r="B489" s="1674">
        <v>25</v>
      </c>
      <c r="C489" s="2569" t="s">
        <v>300</v>
      </c>
      <c r="D489" s="698"/>
      <c r="E489" s="293"/>
      <c r="G489" s="396"/>
      <c r="I489" s="396"/>
      <c r="J489" s="396"/>
      <c r="K489" s="396"/>
      <c r="L489" s="396"/>
      <c r="M489" s="396"/>
      <c r="N489" s="396"/>
      <c r="O489" s="396"/>
      <c r="P489" s="396"/>
      <c r="Q489" s="396"/>
      <c r="R489" s="396"/>
      <c r="S489" s="396"/>
      <c r="T489" s="396"/>
    </row>
    <row r="490" spans="2:20">
      <c r="B490" s="1674">
        <v>26</v>
      </c>
      <c r="C490" s="2571" t="s">
        <v>301</v>
      </c>
      <c r="D490" s="697">
        <v>416122</v>
      </c>
      <c r="E490" s="293"/>
      <c r="G490" s="396"/>
      <c r="I490" s="396"/>
      <c r="J490" s="396"/>
      <c r="K490" s="396"/>
      <c r="L490" s="396"/>
      <c r="M490" s="396"/>
      <c r="N490" s="396"/>
      <c r="O490" s="396"/>
      <c r="P490" s="396"/>
      <c r="Q490" s="396"/>
      <c r="R490" s="396"/>
      <c r="S490" s="396"/>
      <c r="T490" s="396"/>
    </row>
    <row r="491" spans="2:20" ht="25.5">
      <c r="B491" s="1677">
        <v>27</v>
      </c>
      <c r="C491" s="1699" t="s">
        <v>302</v>
      </c>
      <c r="D491" s="697">
        <v>934584</v>
      </c>
      <c r="E491" s="293"/>
      <c r="G491" s="396"/>
      <c r="I491" s="396"/>
      <c r="J491" s="396"/>
      <c r="K491" s="396"/>
      <c r="L491" s="396"/>
      <c r="M491" s="396"/>
      <c r="N491" s="396"/>
      <c r="O491" s="396"/>
      <c r="P491" s="396"/>
      <c r="Q491" s="396"/>
      <c r="R491" s="396"/>
      <c r="S491" s="396"/>
      <c r="T491" s="396"/>
    </row>
    <row r="492" spans="2:20" ht="15">
      <c r="B492" s="1674"/>
      <c r="C492" s="1678" t="s">
        <v>303</v>
      </c>
      <c r="D492" s="755"/>
      <c r="E492" s="293"/>
      <c r="G492" s="396"/>
      <c r="I492" s="396"/>
      <c r="J492" s="396"/>
      <c r="K492" s="396"/>
      <c r="L492" s="396"/>
      <c r="M492" s="396"/>
      <c r="N492" s="396"/>
      <c r="O492" s="396"/>
      <c r="P492" s="396"/>
      <c r="Q492" s="396"/>
      <c r="R492" s="396"/>
      <c r="S492" s="396"/>
      <c r="T492" s="396"/>
    </row>
    <row r="493" spans="2:20">
      <c r="B493" s="1674">
        <v>28</v>
      </c>
      <c r="C493" s="2587" t="s">
        <v>304</v>
      </c>
      <c r="D493" s="697">
        <v>1880022</v>
      </c>
      <c r="E493" s="293"/>
      <c r="G493" s="396"/>
      <c r="I493" s="396"/>
      <c r="J493" s="396"/>
      <c r="K493" s="396"/>
      <c r="L493" s="396"/>
      <c r="M493" s="396"/>
      <c r="N493" s="396"/>
      <c r="O493" s="396"/>
      <c r="P493" s="396"/>
      <c r="Q493" s="396"/>
      <c r="R493" s="396"/>
      <c r="S493" s="396"/>
      <c r="T493" s="396"/>
    </row>
    <row r="494" spans="2:20">
      <c r="B494" s="1674">
        <v>29</v>
      </c>
      <c r="C494" s="2587" t="s">
        <v>305</v>
      </c>
      <c r="D494" s="697">
        <v>6153</v>
      </c>
      <c r="E494" s="293"/>
      <c r="G494" s="396"/>
      <c r="I494" s="396"/>
      <c r="J494" s="396"/>
      <c r="K494" s="396"/>
      <c r="L494" s="396"/>
      <c r="M494" s="396"/>
      <c r="N494" s="396"/>
      <c r="O494" s="396"/>
      <c r="P494" s="396"/>
      <c r="Q494" s="396"/>
      <c r="R494" s="396"/>
      <c r="S494" s="396"/>
      <c r="T494" s="396"/>
    </row>
    <row r="495" spans="2:20">
      <c r="B495" s="1674">
        <v>30</v>
      </c>
      <c r="C495" s="2573" t="s">
        <v>306</v>
      </c>
      <c r="D495" s="698"/>
      <c r="E495" s="293"/>
      <c r="G495" s="396"/>
      <c r="I495" s="396"/>
      <c r="J495" s="396"/>
      <c r="K495" s="396"/>
      <c r="L495" s="396"/>
      <c r="M495" s="396"/>
      <c r="N495" s="396"/>
      <c r="O495" s="396"/>
      <c r="P495" s="396"/>
      <c r="Q495" s="396"/>
      <c r="R495" s="396"/>
      <c r="S495" s="396"/>
      <c r="T495" s="396"/>
    </row>
    <row r="496" spans="2:20">
      <c r="B496" s="1674">
        <v>31</v>
      </c>
      <c r="C496" s="2573" t="s">
        <v>308</v>
      </c>
      <c r="D496" s="697">
        <v>-1421600</v>
      </c>
      <c r="E496" s="293"/>
      <c r="G496" s="396"/>
      <c r="I496" s="396"/>
      <c r="J496" s="396"/>
      <c r="K496" s="396"/>
      <c r="L496" s="396"/>
      <c r="M496" s="396"/>
      <c r="N496" s="396"/>
      <c r="O496" s="396"/>
      <c r="P496" s="396"/>
      <c r="Q496" s="396"/>
      <c r="R496" s="396"/>
      <c r="S496" s="396"/>
      <c r="T496" s="396"/>
    </row>
    <row r="497" spans="2:20" ht="13.5" thickBot="1">
      <c r="B497" s="1677">
        <v>32</v>
      </c>
      <c r="C497" s="1699" t="s">
        <v>309</v>
      </c>
      <c r="D497" s="697">
        <v>464575</v>
      </c>
      <c r="E497" s="293"/>
      <c r="G497" s="396"/>
      <c r="I497" s="396"/>
      <c r="J497" s="396"/>
      <c r="K497" s="396"/>
      <c r="L497" s="396"/>
      <c r="M497" s="396"/>
      <c r="N497" s="396"/>
      <c r="O497" s="396"/>
      <c r="P497" s="396"/>
      <c r="Q497" s="396"/>
      <c r="R497" s="396"/>
      <c r="S497" s="396"/>
      <c r="T497" s="396"/>
    </row>
    <row r="498" spans="2:20" ht="26.25" thickBot="1">
      <c r="B498" s="1689">
        <v>33</v>
      </c>
      <c r="C498" s="1710" t="s">
        <v>310</v>
      </c>
      <c r="D498" s="1718">
        <v>1399160</v>
      </c>
      <c r="E498" s="293"/>
      <c r="G498" s="396"/>
      <c r="I498" s="396"/>
      <c r="J498" s="396"/>
      <c r="K498" s="396"/>
      <c r="L498" s="396"/>
      <c r="M498" s="396"/>
      <c r="N498" s="396"/>
      <c r="O498" s="396"/>
      <c r="P498" s="396"/>
      <c r="Q498" s="396"/>
      <c r="R498" s="396"/>
      <c r="S498" s="396"/>
      <c r="T498" s="396"/>
    </row>
    <row r="499" spans="2:20">
      <c r="B499" s="196"/>
      <c r="C499" s="391"/>
      <c r="D499" s="547"/>
      <c r="E499" s="383"/>
      <c r="F499" s="293"/>
      <c r="I499" s="396"/>
      <c r="J499" s="396"/>
      <c r="K499" s="396"/>
      <c r="L499" s="396"/>
      <c r="M499" s="396"/>
      <c r="N499" s="396"/>
      <c r="O499" s="396"/>
      <c r="P499" s="396"/>
      <c r="Q499" s="396"/>
      <c r="R499" s="396"/>
      <c r="S499" s="396"/>
      <c r="T499" s="396"/>
    </row>
    <row r="500" spans="2:20">
      <c r="B500" s="196"/>
      <c r="C500" s="391"/>
      <c r="D500" s="547"/>
      <c r="E500" s="383"/>
      <c r="F500" s="293"/>
      <c r="H500" s="385">
        <v>90</v>
      </c>
      <c r="I500" s="396"/>
      <c r="J500" s="396"/>
      <c r="K500" s="396"/>
      <c r="L500" s="396"/>
      <c r="M500" s="396"/>
      <c r="N500" s="396"/>
      <c r="O500" s="396"/>
      <c r="P500" s="396"/>
      <c r="Q500" s="396"/>
      <c r="R500" s="396"/>
      <c r="S500" s="396"/>
      <c r="T500" s="396"/>
    </row>
    <row r="501" spans="2:20">
      <c r="B501" s="196"/>
      <c r="C501" s="391"/>
      <c r="D501" s="547"/>
      <c r="E501" s="383"/>
      <c r="F501" s="293"/>
      <c r="I501" s="396"/>
      <c r="J501" s="396"/>
      <c r="K501" s="396"/>
      <c r="L501" s="396"/>
      <c r="M501" s="396"/>
      <c r="N501" s="396"/>
      <c r="O501" s="396"/>
      <c r="P501" s="396"/>
      <c r="Q501" s="396"/>
      <c r="R501" s="396"/>
      <c r="S501" s="396"/>
      <c r="T501" s="396"/>
    </row>
    <row r="502" spans="2:20" ht="14.25">
      <c r="B502" s="3593" t="s">
        <v>397</v>
      </c>
      <c r="C502" s="3594"/>
      <c r="D502" s="3594"/>
      <c r="E502" s="3594"/>
      <c r="F502" s="3594"/>
      <c r="G502" s="3594"/>
      <c r="I502" s="396"/>
      <c r="J502" s="396"/>
      <c r="K502" s="396"/>
      <c r="L502" s="396"/>
      <c r="M502" s="396"/>
      <c r="N502" s="396"/>
      <c r="O502" s="396"/>
      <c r="P502" s="396"/>
      <c r="Q502" s="396"/>
      <c r="R502" s="396"/>
      <c r="S502" s="396"/>
      <c r="T502" s="396"/>
    </row>
    <row r="503" spans="2:20" ht="13.5" thickBot="1">
      <c r="B503" s="51"/>
      <c r="C503" s="51"/>
      <c r="D503" s="51"/>
      <c r="E503" s="51"/>
      <c r="F503" s="51"/>
      <c r="I503" s="396"/>
      <c r="J503" s="396"/>
      <c r="K503" s="396"/>
      <c r="L503" s="396"/>
      <c r="M503" s="396"/>
      <c r="N503" s="396"/>
      <c r="O503" s="396"/>
      <c r="P503" s="396"/>
      <c r="Q503" s="396"/>
      <c r="R503" s="396"/>
      <c r="S503" s="396"/>
      <c r="T503" s="396"/>
    </row>
    <row r="504" spans="2:20" ht="13.5" thickBot="1">
      <c r="B504" s="3582" t="s">
        <v>110</v>
      </c>
      <c r="C504" s="3583"/>
      <c r="E504" s="396"/>
      <c r="F504" s="295"/>
      <c r="G504" s="535" t="s">
        <v>232</v>
      </c>
      <c r="I504" s="396"/>
      <c r="J504" s="396"/>
      <c r="K504" s="396"/>
      <c r="L504" s="396"/>
      <c r="M504" s="396"/>
      <c r="N504" s="396"/>
      <c r="O504" s="396"/>
      <c r="P504" s="396"/>
      <c r="Q504" s="396"/>
      <c r="R504" s="396"/>
      <c r="S504" s="396"/>
      <c r="T504" s="396"/>
    </row>
    <row r="505" spans="2:20">
      <c r="B505" s="3518" t="s">
        <v>372</v>
      </c>
      <c r="C505" s="3584"/>
      <c r="D505" s="3518" t="s">
        <v>373</v>
      </c>
      <c r="E505" s="3518" t="s">
        <v>399</v>
      </c>
      <c r="F505" s="3518" t="s">
        <v>400</v>
      </c>
      <c r="G505" s="3518" t="s">
        <v>401</v>
      </c>
      <c r="I505" s="396"/>
      <c r="J505" s="396"/>
      <c r="K505" s="396"/>
      <c r="L505" s="396"/>
      <c r="M505" s="396"/>
      <c r="N505" s="396"/>
      <c r="O505" s="396"/>
      <c r="P505" s="396"/>
      <c r="Q505" s="396"/>
      <c r="R505" s="396"/>
      <c r="S505" s="396"/>
      <c r="T505" s="396"/>
    </row>
    <row r="506" spans="2:20">
      <c r="B506" s="3520"/>
      <c r="C506" s="3585"/>
      <c r="D506" s="3520"/>
      <c r="E506" s="3520"/>
      <c r="F506" s="3520"/>
      <c r="G506" s="3520"/>
      <c r="I506" s="396"/>
      <c r="J506" s="396"/>
      <c r="K506" s="396"/>
      <c r="L506" s="396"/>
      <c r="M506" s="396"/>
      <c r="N506" s="396"/>
      <c r="O506" s="396"/>
      <c r="P506" s="396"/>
      <c r="Q506" s="396"/>
      <c r="R506" s="396"/>
      <c r="S506" s="396"/>
      <c r="T506" s="396"/>
    </row>
    <row r="507" spans="2:20">
      <c r="B507" s="3519"/>
      <c r="C507" s="3586"/>
      <c r="D507" s="3519"/>
      <c r="E507" s="3519"/>
      <c r="F507" s="3519"/>
      <c r="G507" s="3519"/>
      <c r="I507" s="396"/>
      <c r="J507" s="396"/>
      <c r="K507" s="396"/>
      <c r="L507" s="396"/>
      <c r="M507" s="396"/>
      <c r="N507" s="396"/>
      <c r="O507" s="396"/>
      <c r="P507" s="396"/>
      <c r="Q507" s="396"/>
      <c r="R507" s="396"/>
      <c r="S507" s="396"/>
      <c r="T507" s="396"/>
    </row>
    <row r="508" spans="2:20" ht="15">
      <c r="B508" s="1674"/>
      <c r="C508" s="1681" t="s">
        <v>269</v>
      </c>
      <c r="D508" s="754" t="s">
        <v>0</v>
      </c>
      <c r="E508" s="758" t="s">
        <v>0</v>
      </c>
      <c r="F508" s="1701"/>
      <c r="G508" s="754" t="s">
        <v>0</v>
      </c>
      <c r="I508" s="396"/>
      <c r="J508" s="396"/>
      <c r="K508" s="396"/>
      <c r="L508" s="396"/>
      <c r="M508" s="396"/>
      <c r="N508" s="396"/>
      <c r="O508" s="396"/>
      <c r="P508" s="396"/>
      <c r="Q508" s="396"/>
      <c r="R508" s="396"/>
      <c r="S508" s="396"/>
      <c r="T508" s="396"/>
    </row>
    <row r="509" spans="2:20">
      <c r="B509" s="1674">
        <v>1</v>
      </c>
      <c r="C509" s="2587" t="s">
        <v>270</v>
      </c>
      <c r="D509" s="791"/>
      <c r="E509" s="810"/>
      <c r="F509" s="2591"/>
      <c r="G509" s="791"/>
      <c r="I509" s="396"/>
      <c r="J509" s="396"/>
      <c r="K509" s="396"/>
      <c r="L509" s="396"/>
      <c r="M509" s="396"/>
      <c r="N509" s="396"/>
      <c r="O509" s="396"/>
      <c r="P509" s="396"/>
      <c r="Q509" s="396"/>
      <c r="R509" s="396"/>
      <c r="S509" s="396"/>
      <c r="T509" s="396"/>
    </row>
    <row r="510" spans="2:20">
      <c r="B510" s="1674">
        <v>2</v>
      </c>
      <c r="C510" s="2587" t="s">
        <v>271</v>
      </c>
      <c r="D510" s="792">
        <v>19673</v>
      </c>
      <c r="E510" s="810"/>
      <c r="F510" s="2591">
        <f t="shared" ref="F510:F548" si="11">+D510+E510</f>
        <v>19673</v>
      </c>
      <c r="G510" s="791"/>
      <c r="I510" s="396"/>
      <c r="J510" s="396"/>
      <c r="K510" s="396"/>
      <c r="L510" s="396"/>
      <c r="M510" s="396"/>
      <c r="N510" s="396"/>
      <c r="O510" s="396"/>
      <c r="P510" s="396"/>
      <c r="Q510" s="396"/>
      <c r="R510" s="396"/>
      <c r="S510" s="396"/>
      <c r="T510" s="396"/>
    </row>
    <row r="511" spans="2:20">
      <c r="B511" s="1674">
        <v>3</v>
      </c>
      <c r="C511" s="2587" t="s">
        <v>272</v>
      </c>
      <c r="D511" s="791"/>
      <c r="E511" s="810"/>
      <c r="F511" s="2591"/>
      <c r="G511" s="791"/>
      <c r="I511" s="396"/>
      <c r="J511" s="396"/>
      <c r="K511" s="396"/>
      <c r="L511" s="396"/>
      <c r="M511" s="396"/>
      <c r="N511" s="396"/>
      <c r="O511" s="396"/>
      <c r="P511" s="396"/>
      <c r="Q511" s="396"/>
      <c r="R511" s="396"/>
      <c r="S511" s="396"/>
      <c r="T511" s="396"/>
    </row>
    <row r="512" spans="2:20">
      <c r="B512" s="1674">
        <v>4</v>
      </c>
      <c r="C512" s="2589" t="s">
        <v>273</v>
      </c>
      <c r="D512" s="792">
        <v>1103</v>
      </c>
      <c r="E512" s="811">
        <v>61043</v>
      </c>
      <c r="F512" s="2591">
        <f t="shared" si="11"/>
        <v>62146</v>
      </c>
      <c r="G512" s="791"/>
      <c r="I512" s="396"/>
      <c r="J512" s="396"/>
      <c r="K512" s="396"/>
      <c r="L512" s="396"/>
      <c r="M512" s="396"/>
      <c r="N512" s="396"/>
      <c r="O512" s="396"/>
      <c r="P512" s="396"/>
      <c r="Q512" s="396"/>
      <c r="R512" s="396"/>
      <c r="S512" s="396"/>
      <c r="T512" s="396"/>
    </row>
    <row r="513" spans="2:20">
      <c r="B513" s="1674">
        <v>5</v>
      </c>
      <c r="C513" s="2587" t="s">
        <v>274</v>
      </c>
      <c r="D513" s="792">
        <v>22766</v>
      </c>
      <c r="E513" s="811">
        <v>12529</v>
      </c>
      <c r="F513" s="2591">
        <f t="shared" si="11"/>
        <v>35295</v>
      </c>
      <c r="G513" s="791"/>
      <c r="I513" s="396"/>
      <c r="J513" s="396"/>
      <c r="K513" s="396"/>
      <c r="L513" s="396"/>
      <c r="M513" s="396"/>
      <c r="N513" s="396"/>
      <c r="O513" s="396"/>
      <c r="P513" s="396"/>
      <c r="Q513" s="396"/>
      <c r="R513" s="396"/>
      <c r="S513" s="396"/>
      <c r="T513" s="396"/>
    </row>
    <row r="514" spans="2:20">
      <c r="B514" s="1674">
        <v>6</v>
      </c>
      <c r="C514" s="2587" t="s">
        <v>275</v>
      </c>
      <c r="D514" s="791"/>
      <c r="E514" s="811"/>
      <c r="F514" s="2591"/>
      <c r="G514" s="791"/>
      <c r="I514" s="396"/>
      <c r="J514" s="396"/>
      <c r="K514" s="396"/>
      <c r="L514" s="396"/>
      <c r="M514" s="396"/>
      <c r="N514" s="396"/>
      <c r="O514" s="396"/>
      <c r="P514" s="396"/>
      <c r="Q514" s="396"/>
      <c r="R514" s="396"/>
      <c r="S514" s="396"/>
      <c r="T514" s="396"/>
    </row>
    <row r="515" spans="2:20">
      <c r="B515" s="1674">
        <v>7</v>
      </c>
      <c r="C515" s="2587" t="s">
        <v>276</v>
      </c>
      <c r="D515" s="791"/>
      <c r="E515" s="811"/>
      <c r="F515" s="2591"/>
      <c r="G515" s="791"/>
      <c r="I515" s="396"/>
      <c r="J515" s="396"/>
      <c r="K515" s="396"/>
      <c r="L515" s="396"/>
      <c r="M515" s="396"/>
      <c r="N515" s="396"/>
      <c r="O515" s="396"/>
      <c r="P515" s="396"/>
      <c r="Q515" s="396"/>
      <c r="R515" s="396"/>
      <c r="S515" s="396"/>
      <c r="T515" s="396"/>
    </row>
    <row r="516" spans="2:20">
      <c r="B516" s="1674"/>
      <c r="C516" s="2569" t="s">
        <v>393</v>
      </c>
      <c r="D516" s="791"/>
      <c r="E516" s="811"/>
      <c r="F516" s="2591"/>
      <c r="G516" s="791"/>
      <c r="I516" s="396"/>
      <c r="J516" s="396"/>
      <c r="K516" s="396"/>
      <c r="L516" s="396"/>
      <c r="M516" s="396"/>
      <c r="N516" s="396"/>
      <c r="O516" s="396"/>
      <c r="P516" s="396"/>
      <c r="Q516" s="396"/>
      <c r="R516" s="396"/>
      <c r="S516" s="396"/>
      <c r="T516" s="396"/>
    </row>
    <row r="517" spans="2:20">
      <c r="B517" s="1674"/>
      <c r="C517" s="2569" t="s">
        <v>394</v>
      </c>
      <c r="D517" s="791"/>
      <c r="E517" s="811"/>
      <c r="F517" s="2591"/>
      <c r="G517" s="791"/>
      <c r="I517" s="396"/>
      <c r="J517" s="396"/>
      <c r="K517" s="396"/>
      <c r="L517" s="396"/>
      <c r="M517" s="396"/>
      <c r="N517" s="396"/>
      <c r="O517" s="396"/>
      <c r="P517" s="396"/>
      <c r="Q517" s="396"/>
      <c r="R517" s="396"/>
      <c r="S517" s="396"/>
      <c r="T517" s="396"/>
    </row>
    <row r="518" spans="2:20">
      <c r="B518" s="1674">
        <v>8</v>
      </c>
      <c r="C518" s="2587" t="s">
        <v>279</v>
      </c>
      <c r="D518" s="791"/>
      <c r="E518" s="810"/>
      <c r="F518" s="2591"/>
      <c r="G518" s="791"/>
      <c r="I518" s="396"/>
      <c r="J518" s="396"/>
      <c r="K518" s="396"/>
      <c r="L518" s="396"/>
      <c r="M518" s="396"/>
      <c r="N518" s="396"/>
      <c r="O518" s="396"/>
      <c r="P518" s="396"/>
      <c r="Q518" s="396"/>
      <c r="R518" s="396"/>
      <c r="S518" s="396"/>
      <c r="T518" s="396"/>
    </row>
    <row r="519" spans="2:20">
      <c r="B519" s="1674"/>
      <c r="C519" s="2569" t="s">
        <v>395</v>
      </c>
      <c r="D519" s="791"/>
      <c r="E519" s="810"/>
      <c r="F519" s="2591"/>
      <c r="G519" s="791"/>
      <c r="I519" s="396"/>
      <c r="J519" s="396"/>
      <c r="K519" s="396"/>
      <c r="L519" s="396"/>
      <c r="M519" s="396"/>
      <c r="N519" s="396"/>
      <c r="O519" s="396"/>
      <c r="P519" s="396"/>
      <c r="Q519" s="396"/>
      <c r="R519" s="396"/>
      <c r="S519" s="396"/>
      <c r="T519" s="396"/>
    </row>
    <row r="520" spans="2:20">
      <c r="B520" s="1674"/>
      <c r="C520" s="2569" t="s">
        <v>396</v>
      </c>
      <c r="D520" s="791"/>
      <c r="E520" s="810"/>
      <c r="F520" s="2591"/>
      <c r="G520" s="791"/>
      <c r="I520" s="396"/>
      <c r="J520" s="396"/>
      <c r="K520" s="396"/>
      <c r="L520" s="396"/>
      <c r="M520" s="396"/>
      <c r="N520" s="396"/>
      <c r="O520" s="396"/>
      <c r="P520" s="396"/>
      <c r="Q520" s="396"/>
      <c r="R520" s="396"/>
      <c r="S520" s="396"/>
      <c r="T520" s="396"/>
    </row>
    <row r="521" spans="2:20" ht="25.5">
      <c r="B521" s="1676">
        <v>9</v>
      </c>
      <c r="C521" s="2580" t="s">
        <v>282</v>
      </c>
      <c r="D521" s="793">
        <f>SUM(D522:D525)</f>
        <v>619832</v>
      </c>
      <c r="E521" s="793">
        <f>SUM(E522:E525)</f>
        <v>19666178</v>
      </c>
      <c r="F521" s="1702">
        <f t="shared" ref="F521:G521" si="12">SUM(F522:F525)</f>
        <v>20286010</v>
      </c>
      <c r="G521" s="793">
        <f t="shared" si="12"/>
        <v>2087676</v>
      </c>
      <c r="I521" s="396"/>
      <c r="J521" s="396"/>
      <c r="K521" s="396"/>
      <c r="L521" s="396"/>
      <c r="M521" s="396"/>
      <c r="N521" s="396"/>
      <c r="O521" s="396"/>
      <c r="P521" s="396"/>
      <c r="Q521" s="396"/>
      <c r="R521" s="396"/>
      <c r="S521" s="396"/>
      <c r="T521" s="396"/>
    </row>
    <row r="522" spans="2:20">
      <c r="B522" s="1674">
        <v>10</v>
      </c>
      <c r="C522" s="2569" t="s">
        <v>283</v>
      </c>
      <c r="D522" s="791"/>
      <c r="E522" s="811">
        <v>29982</v>
      </c>
      <c r="F522" s="2591">
        <f t="shared" si="11"/>
        <v>29982</v>
      </c>
      <c r="G522" s="792">
        <v>703316</v>
      </c>
      <c r="I522" s="396"/>
      <c r="J522" s="396"/>
      <c r="K522" s="396"/>
      <c r="L522" s="396"/>
      <c r="M522" s="396"/>
      <c r="N522" s="396"/>
      <c r="O522" s="396"/>
      <c r="P522" s="396"/>
      <c r="Q522" s="396"/>
      <c r="R522" s="396"/>
      <c r="S522" s="396"/>
      <c r="T522" s="396"/>
    </row>
    <row r="523" spans="2:20">
      <c r="B523" s="1674">
        <v>11</v>
      </c>
      <c r="C523" s="2569" t="s">
        <v>284</v>
      </c>
      <c r="D523" s="792">
        <v>619832</v>
      </c>
      <c r="E523" s="811">
        <v>4522342</v>
      </c>
      <c r="F523" s="2591">
        <f t="shared" si="11"/>
        <v>5142174</v>
      </c>
      <c r="G523" s="792">
        <v>467416</v>
      </c>
      <c r="I523" s="396"/>
      <c r="J523" s="396"/>
      <c r="K523" s="396"/>
      <c r="L523" s="396"/>
      <c r="M523" s="396"/>
      <c r="N523" s="396"/>
      <c r="O523" s="396"/>
      <c r="P523" s="396"/>
      <c r="Q523" s="396"/>
      <c r="R523" s="396"/>
      <c r="S523" s="396"/>
      <c r="T523" s="396"/>
    </row>
    <row r="524" spans="2:20">
      <c r="B524" s="1674">
        <v>12</v>
      </c>
      <c r="C524" s="2569" t="s">
        <v>285</v>
      </c>
      <c r="D524" s="791"/>
      <c r="E524" s="811">
        <v>15113854</v>
      </c>
      <c r="F524" s="2591">
        <f t="shared" si="11"/>
        <v>15113854</v>
      </c>
      <c r="G524" s="792">
        <v>916944</v>
      </c>
      <c r="I524" s="396"/>
      <c r="J524" s="396"/>
      <c r="K524" s="396"/>
      <c r="L524" s="396"/>
      <c r="M524" s="396"/>
      <c r="N524" s="396"/>
      <c r="O524" s="396"/>
      <c r="P524" s="396"/>
      <c r="Q524" s="396"/>
      <c r="R524" s="396"/>
      <c r="S524" s="396"/>
      <c r="T524" s="396"/>
    </row>
    <row r="525" spans="2:20" ht="25.5">
      <c r="B525" s="1674">
        <v>13</v>
      </c>
      <c r="C525" s="2569" t="s">
        <v>286</v>
      </c>
      <c r="D525" s="791"/>
      <c r="E525" s="810"/>
      <c r="F525" s="2591"/>
      <c r="G525" s="791"/>
      <c r="I525" s="396"/>
      <c r="J525" s="396"/>
      <c r="K525" s="396"/>
      <c r="L525" s="396"/>
      <c r="M525" s="396"/>
      <c r="N525" s="396"/>
      <c r="O525" s="396"/>
      <c r="P525" s="396"/>
      <c r="Q525" s="396"/>
      <c r="R525" s="396"/>
      <c r="S525" s="396"/>
      <c r="T525" s="396"/>
    </row>
    <row r="526" spans="2:20">
      <c r="B526" s="1674">
        <v>14</v>
      </c>
      <c r="C526" s="2570" t="s">
        <v>287</v>
      </c>
      <c r="D526" s="791"/>
      <c r="E526" s="810"/>
      <c r="F526" s="2591"/>
      <c r="G526" s="791"/>
      <c r="I526" s="396"/>
      <c r="J526" s="396"/>
      <c r="K526" s="396"/>
      <c r="L526" s="396"/>
      <c r="M526" s="396"/>
      <c r="N526" s="396"/>
      <c r="O526" s="396"/>
      <c r="P526" s="396"/>
      <c r="Q526" s="396"/>
      <c r="R526" s="396"/>
      <c r="S526" s="396"/>
      <c r="T526" s="396"/>
    </row>
    <row r="527" spans="2:20">
      <c r="B527" s="1674">
        <v>15</v>
      </c>
      <c r="C527" s="2570" t="s">
        <v>288</v>
      </c>
      <c r="D527" s="792">
        <v>19993</v>
      </c>
      <c r="E527" s="810"/>
      <c r="F527" s="2591">
        <f t="shared" si="11"/>
        <v>19993</v>
      </c>
      <c r="G527" s="792">
        <v>1082149</v>
      </c>
      <c r="I527" s="396"/>
      <c r="J527" s="396"/>
      <c r="K527" s="396"/>
      <c r="L527" s="396"/>
      <c r="M527" s="396"/>
      <c r="N527" s="396"/>
      <c r="O527" s="396"/>
      <c r="P527" s="396"/>
      <c r="Q527" s="396"/>
      <c r="R527" s="396"/>
      <c r="S527" s="396"/>
      <c r="T527" s="396"/>
    </row>
    <row r="528" spans="2:20">
      <c r="B528" s="1674">
        <v>16</v>
      </c>
      <c r="C528" s="2570" t="s">
        <v>289</v>
      </c>
      <c r="D528" s="792">
        <v>29265</v>
      </c>
      <c r="E528" s="811">
        <v>2171519</v>
      </c>
      <c r="F528" s="2591">
        <f t="shared" si="11"/>
        <v>2200784</v>
      </c>
      <c r="G528" s="792">
        <v>1590481</v>
      </c>
      <c r="I528" s="396"/>
      <c r="J528" s="396"/>
      <c r="K528" s="396"/>
      <c r="L528" s="396"/>
      <c r="M528" s="396"/>
      <c r="N528" s="396"/>
      <c r="O528" s="396"/>
      <c r="P528" s="396"/>
      <c r="Q528" s="396"/>
      <c r="R528" s="396"/>
      <c r="S528" s="396"/>
      <c r="T528" s="396"/>
    </row>
    <row r="529" spans="2:20">
      <c r="B529" s="1674">
        <v>17</v>
      </c>
      <c r="C529" s="2570" t="s">
        <v>290</v>
      </c>
      <c r="D529" s="792">
        <v>52130</v>
      </c>
      <c r="E529" s="811">
        <v>1049259</v>
      </c>
      <c r="F529" s="2591">
        <f t="shared" si="11"/>
        <v>1101389</v>
      </c>
      <c r="G529" s="791">
        <v>24</v>
      </c>
      <c r="I529" s="396"/>
      <c r="J529" s="396"/>
      <c r="K529" s="396"/>
      <c r="L529" s="396"/>
      <c r="M529" s="396"/>
      <c r="N529" s="396"/>
      <c r="O529" s="396"/>
      <c r="P529" s="396"/>
      <c r="Q529" s="396"/>
      <c r="R529" s="396"/>
      <c r="S529" s="396"/>
      <c r="T529" s="396"/>
    </row>
    <row r="530" spans="2:20">
      <c r="B530" s="1674">
        <v>18</v>
      </c>
      <c r="C530" s="2570" t="s">
        <v>291</v>
      </c>
      <c r="D530" s="791">
        <v>72</v>
      </c>
      <c r="E530" s="811">
        <v>526263</v>
      </c>
      <c r="F530" s="2591">
        <f t="shared" si="11"/>
        <v>526335</v>
      </c>
      <c r="G530" s="792">
        <v>252059</v>
      </c>
      <c r="I530" s="396"/>
      <c r="J530" s="396"/>
      <c r="K530" s="396"/>
      <c r="L530" s="396"/>
      <c r="M530" s="396"/>
      <c r="N530" s="396"/>
      <c r="O530" s="396"/>
      <c r="P530" s="396"/>
      <c r="Q530" s="396"/>
      <c r="R530" s="396"/>
      <c r="S530" s="396"/>
      <c r="T530" s="396"/>
    </row>
    <row r="531" spans="2:20" ht="13.5" thickBot="1">
      <c r="B531" s="1674">
        <v>19</v>
      </c>
      <c r="C531" s="2571" t="s">
        <v>292</v>
      </c>
      <c r="D531" s="794">
        <v>160727</v>
      </c>
      <c r="E531" s="813">
        <v>32515</v>
      </c>
      <c r="F531" s="2592">
        <f t="shared" si="11"/>
        <v>193242</v>
      </c>
      <c r="G531" s="794">
        <v>520519</v>
      </c>
      <c r="I531" s="396"/>
      <c r="J531" s="396"/>
      <c r="K531" s="396"/>
      <c r="L531" s="396"/>
      <c r="M531" s="396"/>
      <c r="N531" s="396"/>
      <c r="O531" s="396"/>
      <c r="P531" s="396"/>
      <c r="Q531" s="396"/>
      <c r="R531" s="396"/>
      <c r="S531" s="396"/>
      <c r="T531" s="396"/>
    </row>
    <row r="532" spans="2:20" ht="26.25" thickBot="1">
      <c r="B532" s="1686">
        <v>20</v>
      </c>
      <c r="C532" s="1705" t="s">
        <v>293</v>
      </c>
      <c r="D532" s="1706">
        <v>925561</v>
      </c>
      <c r="E532" s="1707">
        <v>23519306</v>
      </c>
      <c r="F532" s="1708">
        <f t="shared" si="11"/>
        <v>24444867</v>
      </c>
      <c r="G532" s="1706">
        <v>5532908</v>
      </c>
      <c r="I532" s="396"/>
      <c r="J532" s="396"/>
      <c r="K532" s="396"/>
      <c r="L532" s="396"/>
      <c r="M532" s="396"/>
      <c r="N532" s="396"/>
      <c r="O532" s="396"/>
      <c r="P532" s="396"/>
      <c r="Q532" s="396"/>
      <c r="R532" s="396"/>
      <c r="S532" s="396"/>
      <c r="T532" s="396"/>
    </row>
    <row r="533" spans="2:20">
      <c r="B533" s="1674"/>
      <c r="C533" s="1678" t="s">
        <v>294</v>
      </c>
      <c r="D533" s="791"/>
      <c r="E533" s="810"/>
      <c r="F533" s="1701"/>
      <c r="G533" s="791"/>
      <c r="I533" s="396"/>
      <c r="J533" s="396"/>
      <c r="K533" s="396"/>
      <c r="L533" s="396"/>
      <c r="M533" s="396"/>
      <c r="N533" s="396"/>
      <c r="O533" s="396"/>
      <c r="P533" s="396"/>
      <c r="Q533" s="396"/>
      <c r="R533" s="396"/>
      <c r="S533" s="396"/>
      <c r="T533" s="396"/>
    </row>
    <row r="534" spans="2:20">
      <c r="B534" s="1674"/>
      <c r="C534" s="2588" t="s">
        <v>295</v>
      </c>
      <c r="D534" s="791"/>
      <c r="E534" s="810"/>
      <c r="F534" s="2591"/>
      <c r="G534" s="791"/>
      <c r="I534" s="396"/>
      <c r="J534" s="396"/>
      <c r="K534" s="396"/>
      <c r="L534" s="396"/>
      <c r="M534" s="396"/>
      <c r="N534" s="396"/>
      <c r="O534" s="396"/>
      <c r="P534" s="396"/>
      <c r="Q534" s="396"/>
      <c r="R534" s="396"/>
      <c r="S534" s="396"/>
      <c r="T534" s="396"/>
    </row>
    <row r="535" spans="2:20">
      <c r="B535" s="1674">
        <v>21</v>
      </c>
      <c r="C535" s="2570" t="s">
        <v>296</v>
      </c>
      <c r="D535" s="792">
        <v>2706142</v>
      </c>
      <c r="E535" s="811">
        <v>3383563</v>
      </c>
      <c r="F535" s="2591">
        <f t="shared" si="11"/>
        <v>6089705</v>
      </c>
      <c r="G535" s="792">
        <v>4327311</v>
      </c>
      <c r="I535" s="396"/>
      <c r="J535" s="396"/>
      <c r="K535" s="396"/>
      <c r="L535" s="396"/>
      <c r="M535" s="396"/>
      <c r="N535" s="396"/>
      <c r="O535" s="396"/>
      <c r="P535" s="396"/>
      <c r="Q535" s="396"/>
      <c r="R535" s="396"/>
      <c r="S535" s="396"/>
      <c r="T535" s="396"/>
    </row>
    <row r="536" spans="2:20">
      <c r="B536" s="1674">
        <v>22</v>
      </c>
      <c r="C536" s="2570" t="s">
        <v>297</v>
      </c>
      <c r="D536" s="792">
        <v>29677</v>
      </c>
      <c r="E536" s="810"/>
      <c r="F536" s="2591">
        <f t="shared" si="11"/>
        <v>29677</v>
      </c>
      <c r="G536" s="791"/>
      <c r="I536" s="396"/>
      <c r="J536" s="396"/>
      <c r="K536" s="396"/>
      <c r="L536" s="396"/>
      <c r="M536" s="396"/>
      <c r="N536" s="396"/>
      <c r="O536" s="396"/>
      <c r="P536" s="396"/>
      <c r="Q536" s="396"/>
      <c r="R536" s="396"/>
      <c r="S536" s="396"/>
      <c r="T536" s="396"/>
    </row>
    <row r="537" spans="2:20">
      <c r="B537" s="1674">
        <v>23</v>
      </c>
      <c r="C537" s="2570" t="s">
        <v>298</v>
      </c>
      <c r="D537" s="792">
        <v>524541</v>
      </c>
      <c r="E537" s="811">
        <v>7371</v>
      </c>
      <c r="F537" s="2591">
        <f t="shared" si="11"/>
        <v>531912</v>
      </c>
      <c r="G537" s="792">
        <v>774131</v>
      </c>
      <c r="I537" s="396"/>
      <c r="J537" s="396"/>
      <c r="K537" s="396"/>
      <c r="L537" s="396"/>
      <c r="M537" s="396"/>
      <c r="N537" s="396"/>
      <c r="O537" s="396"/>
      <c r="P537" s="396"/>
      <c r="Q537" s="396"/>
      <c r="R537" s="396"/>
      <c r="S537" s="396"/>
      <c r="T537" s="396"/>
    </row>
    <row r="538" spans="2:20">
      <c r="B538" s="1674">
        <v>24</v>
      </c>
      <c r="C538" s="2570" t="s">
        <v>299</v>
      </c>
      <c r="D538" s="791"/>
      <c r="E538" s="810"/>
      <c r="F538" s="2591"/>
      <c r="G538" s="791"/>
      <c r="I538" s="396"/>
      <c r="J538" s="396"/>
      <c r="K538" s="396"/>
      <c r="L538" s="396"/>
      <c r="M538" s="396"/>
      <c r="N538" s="396"/>
      <c r="O538" s="396"/>
      <c r="P538" s="396"/>
      <c r="Q538" s="396"/>
      <c r="R538" s="396"/>
      <c r="S538" s="396"/>
      <c r="T538" s="396"/>
    </row>
    <row r="539" spans="2:20">
      <c r="B539" s="1674">
        <v>25</v>
      </c>
      <c r="C539" s="2569" t="s">
        <v>300</v>
      </c>
      <c r="D539" s="792">
        <v>1339</v>
      </c>
      <c r="E539" s="811">
        <v>84370</v>
      </c>
      <c r="F539" s="2591">
        <f t="shared" si="11"/>
        <v>85709</v>
      </c>
      <c r="G539" s="791"/>
      <c r="I539" s="396"/>
      <c r="J539" s="396"/>
      <c r="K539" s="396"/>
      <c r="L539" s="396"/>
      <c r="M539" s="396"/>
      <c r="N539" s="396"/>
      <c r="O539" s="396"/>
      <c r="P539" s="396"/>
      <c r="Q539" s="396"/>
      <c r="R539" s="396"/>
      <c r="S539" s="396"/>
      <c r="T539" s="396"/>
    </row>
    <row r="540" spans="2:20" ht="13.5" thickBot="1">
      <c r="B540" s="1674">
        <v>26</v>
      </c>
      <c r="C540" s="2571" t="s">
        <v>301</v>
      </c>
      <c r="D540" s="794">
        <v>2027414</v>
      </c>
      <c r="E540" s="813">
        <v>1317112</v>
      </c>
      <c r="F540" s="2592">
        <f t="shared" si="11"/>
        <v>3344526</v>
      </c>
      <c r="G540" s="794">
        <v>43481</v>
      </c>
      <c r="I540" s="396"/>
      <c r="J540" s="396"/>
      <c r="K540" s="396"/>
      <c r="L540" s="396"/>
      <c r="M540" s="396"/>
      <c r="N540" s="396"/>
      <c r="O540" s="396"/>
      <c r="P540" s="396"/>
      <c r="Q540" s="396"/>
      <c r="R540" s="396"/>
      <c r="S540" s="396"/>
      <c r="T540" s="396"/>
    </row>
    <row r="541" spans="2:20" ht="26.25" thickBot="1">
      <c r="B541" s="1677">
        <v>27</v>
      </c>
      <c r="C541" s="1699" t="s">
        <v>302</v>
      </c>
      <c r="D541" s="795">
        <v>5289113</v>
      </c>
      <c r="E541" s="815">
        <v>4792416</v>
      </c>
      <c r="F541" s="1703">
        <f t="shared" si="11"/>
        <v>10081529</v>
      </c>
      <c r="G541" s="795">
        <v>5144923</v>
      </c>
      <c r="I541" s="396"/>
      <c r="J541" s="396"/>
      <c r="K541" s="396"/>
      <c r="L541" s="396"/>
      <c r="M541" s="396"/>
      <c r="N541" s="396"/>
      <c r="O541" s="396"/>
      <c r="P541" s="396"/>
      <c r="Q541" s="396"/>
      <c r="R541" s="396"/>
      <c r="S541" s="396"/>
      <c r="T541" s="396"/>
    </row>
    <row r="542" spans="2:20">
      <c r="B542" s="1674"/>
      <c r="C542" s="1678" t="s">
        <v>303</v>
      </c>
      <c r="D542" s="791"/>
      <c r="E542" s="1713"/>
      <c r="F542" s="1704"/>
      <c r="G542" s="814"/>
      <c r="I542" s="396"/>
      <c r="J542" s="396"/>
      <c r="K542" s="396"/>
      <c r="L542" s="396"/>
      <c r="M542" s="396"/>
      <c r="N542" s="396"/>
      <c r="O542" s="396"/>
      <c r="P542" s="396"/>
      <c r="Q542" s="396"/>
      <c r="R542" s="396"/>
      <c r="S542" s="396"/>
      <c r="T542" s="396"/>
    </row>
    <row r="543" spans="2:20">
      <c r="B543" s="1674">
        <v>28</v>
      </c>
      <c r="C543" s="2587" t="s">
        <v>304</v>
      </c>
      <c r="D543" s="791"/>
      <c r="E543" s="810"/>
      <c r="F543" s="2591"/>
      <c r="G543" s="791"/>
      <c r="I543" s="396"/>
      <c r="J543" s="396"/>
      <c r="K543" s="396"/>
      <c r="L543" s="396"/>
      <c r="M543" s="396"/>
      <c r="N543" s="396"/>
      <c r="O543" s="396"/>
      <c r="P543" s="396"/>
      <c r="Q543" s="396"/>
      <c r="R543" s="396"/>
      <c r="S543" s="396"/>
      <c r="T543" s="396"/>
    </row>
    <row r="544" spans="2:20">
      <c r="B544" s="1674">
        <v>29</v>
      </c>
      <c r="C544" s="2587" t="s">
        <v>305</v>
      </c>
      <c r="D544" s="791"/>
      <c r="E544" s="810"/>
      <c r="F544" s="2591"/>
      <c r="G544" s="791"/>
      <c r="I544" s="396"/>
      <c r="J544" s="396"/>
      <c r="K544" s="396"/>
      <c r="L544" s="396"/>
      <c r="M544" s="396"/>
      <c r="N544" s="396"/>
      <c r="O544" s="396"/>
      <c r="P544" s="396"/>
      <c r="Q544" s="396"/>
      <c r="R544" s="396"/>
      <c r="S544" s="396"/>
      <c r="T544" s="396"/>
    </row>
    <row r="545" spans="2:20">
      <c r="B545" s="1674">
        <v>30</v>
      </c>
      <c r="C545" s="2573" t="s">
        <v>306</v>
      </c>
      <c r="D545" s="791"/>
      <c r="E545" s="810"/>
      <c r="F545" s="2591"/>
      <c r="G545" s="791"/>
      <c r="I545" s="396"/>
      <c r="J545" s="396"/>
      <c r="K545" s="396"/>
      <c r="L545" s="396"/>
      <c r="M545" s="396"/>
      <c r="N545" s="396"/>
      <c r="O545" s="396"/>
      <c r="P545" s="396"/>
      <c r="Q545" s="396"/>
      <c r="R545" s="396"/>
      <c r="S545" s="396"/>
      <c r="T545" s="396"/>
    </row>
    <row r="546" spans="2:20" ht="13.5" thickBot="1">
      <c r="B546" s="1674">
        <v>31</v>
      </c>
      <c r="C546" s="2573" t="s">
        <v>308</v>
      </c>
      <c r="D546" s="794">
        <v>-4363550</v>
      </c>
      <c r="E546" s="813">
        <v>18726892</v>
      </c>
      <c r="F546" s="2592">
        <f t="shared" si="11"/>
        <v>14363342</v>
      </c>
      <c r="G546" s="794">
        <v>387985</v>
      </c>
      <c r="I546" s="396"/>
      <c r="J546" s="396"/>
      <c r="K546" s="396"/>
      <c r="L546" s="396"/>
      <c r="M546" s="396"/>
      <c r="N546" s="396"/>
      <c r="O546" s="396"/>
      <c r="P546" s="396"/>
      <c r="Q546" s="396"/>
      <c r="R546" s="396"/>
      <c r="S546" s="396"/>
      <c r="T546" s="396"/>
    </row>
    <row r="547" spans="2:20" ht="13.5" thickBot="1">
      <c r="B547" s="1700">
        <v>32</v>
      </c>
      <c r="C547" s="1699" t="s">
        <v>309</v>
      </c>
      <c r="D547" s="795">
        <v>-4363550</v>
      </c>
      <c r="E547" s="815">
        <v>18726892</v>
      </c>
      <c r="F547" s="1703">
        <f t="shared" si="11"/>
        <v>14363342</v>
      </c>
      <c r="G547" s="795">
        <v>387985</v>
      </c>
      <c r="I547" s="396"/>
      <c r="J547" s="396"/>
      <c r="K547" s="396"/>
      <c r="L547" s="396"/>
      <c r="M547" s="396"/>
      <c r="N547" s="396"/>
      <c r="O547" s="396"/>
      <c r="P547" s="396"/>
      <c r="Q547" s="396"/>
      <c r="R547" s="396"/>
      <c r="S547" s="396"/>
      <c r="T547" s="396"/>
    </row>
    <row r="548" spans="2:20" ht="26.25" thickBot="1">
      <c r="B548" s="1709">
        <v>33</v>
      </c>
      <c r="C548" s="1710" t="s">
        <v>310</v>
      </c>
      <c r="D548" s="1711">
        <v>925563</v>
      </c>
      <c r="E548" s="1712">
        <v>23519308</v>
      </c>
      <c r="F548" s="1712">
        <f t="shared" si="11"/>
        <v>24444871</v>
      </c>
      <c r="G548" s="1711">
        <v>5532908</v>
      </c>
      <c r="I548" s="396"/>
      <c r="J548" s="396"/>
      <c r="K548" s="396"/>
      <c r="L548" s="396"/>
      <c r="M548" s="396"/>
      <c r="N548" s="396"/>
      <c r="O548" s="396"/>
      <c r="P548" s="396"/>
      <c r="Q548" s="396"/>
      <c r="R548" s="396"/>
      <c r="S548" s="396"/>
      <c r="T548" s="396"/>
    </row>
    <row r="549" spans="2:20">
      <c r="B549" s="196"/>
      <c r="C549" s="391"/>
      <c r="D549" s="547"/>
      <c r="E549" s="383"/>
      <c r="F549" s="293"/>
      <c r="I549" s="396"/>
      <c r="J549" s="396"/>
      <c r="K549" s="396"/>
      <c r="L549" s="396"/>
      <c r="M549" s="396"/>
      <c r="N549" s="396"/>
      <c r="O549" s="396"/>
      <c r="P549" s="396"/>
      <c r="Q549" s="396"/>
      <c r="R549" s="396"/>
      <c r="S549" s="396"/>
      <c r="T549" s="396"/>
    </row>
    <row r="550" spans="2:20">
      <c r="B550" s="196"/>
      <c r="C550" s="391"/>
      <c r="D550" s="547"/>
      <c r="E550" s="383"/>
      <c r="F550" s="293"/>
      <c r="H550" s="292">
        <v>91</v>
      </c>
      <c r="I550" s="396"/>
      <c r="J550" s="396"/>
      <c r="K550" s="396"/>
      <c r="L550" s="396"/>
      <c r="M550" s="396"/>
      <c r="N550" s="396"/>
      <c r="O550" s="396"/>
      <c r="P550" s="396"/>
      <c r="Q550" s="396"/>
      <c r="R550" s="396"/>
      <c r="S550" s="396"/>
      <c r="T550" s="396"/>
    </row>
    <row r="551" spans="2:20">
      <c r="B551" s="196"/>
      <c r="C551" s="391"/>
      <c r="D551" s="547"/>
      <c r="E551" s="383"/>
      <c r="F551" s="293"/>
      <c r="I551" s="396"/>
      <c r="J551" s="396"/>
      <c r="K551" s="396"/>
      <c r="L551" s="396"/>
      <c r="M551" s="396"/>
      <c r="N551" s="396"/>
      <c r="O551" s="396"/>
      <c r="P551" s="396"/>
      <c r="Q551" s="396"/>
      <c r="R551" s="396"/>
      <c r="S551" s="396"/>
      <c r="T551" s="396"/>
    </row>
    <row r="552" spans="2:20" ht="14.25">
      <c r="B552" s="3593" t="s">
        <v>397</v>
      </c>
      <c r="C552" s="3594"/>
      <c r="D552" s="3594"/>
      <c r="E552" s="3594"/>
      <c r="F552" s="3594"/>
      <c r="G552" s="3594"/>
      <c r="I552" s="396"/>
      <c r="J552" s="396"/>
      <c r="K552" s="396"/>
      <c r="L552" s="396"/>
      <c r="M552" s="396"/>
      <c r="N552" s="396"/>
      <c r="O552" s="396"/>
      <c r="P552" s="396"/>
      <c r="Q552" s="396"/>
      <c r="R552" s="396"/>
      <c r="S552" s="396"/>
      <c r="T552" s="396"/>
    </row>
    <row r="553" spans="2:20" ht="13.5" thickBot="1">
      <c r="B553" s="51"/>
      <c r="C553" s="51"/>
      <c r="D553" s="51"/>
      <c r="E553" s="51"/>
      <c r="F553" s="51"/>
      <c r="G553" s="396"/>
      <c r="I553" s="396"/>
      <c r="J553" s="396"/>
      <c r="K553" s="396"/>
      <c r="L553" s="396"/>
      <c r="M553" s="396"/>
      <c r="N553" s="396"/>
      <c r="O553" s="396"/>
      <c r="P553" s="396"/>
      <c r="Q553" s="396"/>
      <c r="R553" s="396"/>
      <c r="S553" s="396"/>
      <c r="T553" s="396"/>
    </row>
    <row r="554" spans="2:20" ht="13.5" thickBot="1">
      <c r="B554" s="3582" t="s">
        <v>111</v>
      </c>
      <c r="C554" s="3583"/>
      <c r="D554" s="425"/>
      <c r="E554" s="549"/>
      <c r="F554" s="396"/>
      <c r="I554" s="396"/>
      <c r="J554" s="396"/>
      <c r="K554" s="396"/>
      <c r="L554" s="396"/>
      <c r="M554" s="396"/>
      <c r="N554" s="396"/>
      <c r="O554" s="396"/>
      <c r="P554" s="396"/>
      <c r="Q554" s="396"/>
      <c r="R554" s="396"/>
      <c r="S554" s="396"/>
      <c r="T554" s="396"/>
    </row>
    <row r="555" spans="2:20">
      <c r="B555" s="3520" t="s">
        <v>372</v>
      </c>
      <c r="C555" s="3585"/>
      <c r="D555" s="3518" t="s">
        <v>391</v>
      </c>
      <c r="E555" s="274"/>
      <c r="I555" s="396"/>
      <c r="J555" s="396"/>
      <c r="K555" s="396"/>
      <c r="L555" s="396"/>
      <c r="M555" s="396"/>
      <c r="N555" s="396"/>
      <c r="O555" s="396"/>
      <c r="P555" s="396"/>
      <c r="Q555" s="396"/>
      <c r="R555" s="396"/>
      <c r="S555" s="396"/>
      <c r="T555" s="396"/>
    </row>
    <row r="556" spans="2:20">
      <c r="B556" s="3520"/>
      <c r="C556" s="3585"/>
      <c r="D556" s="3520"/>
      <c r="E556" s="443"/>
      <c r="I556" s="396"/>
      <c r="J556" s="396"/>
      <c r="K556" s="396"/>
      <c r="L556" s="396"/>
      <c r="M556" s="396"/>
      <c r="N556" s="396"/>
      <c r="O556" s="396"/>
      <c r="P556" s="396"/>
      <c r="Q556" s="396"/>
      <c r="R556" s="396"/>
      <c r="S556" s="396"/>
      <c r="T556" s="396"/>
    </row>
    <row r="557" spans="2:20">
      <c r="B557" s="3519"/>
      <c r="C557" s="3586"/>
      <c r="D557" s="3519"/>
      <c r="E557" s="443"/>
      <c r="I557" s="396"/>
      <c r="J557" s="396"/>
      <c r="K557" s="396"/>
      <c r="L557" s="396"/>
      <c r="M557" s="396"/>
      <c r="N557" s="396"/>
      <c r="O557" s="396"/>
      <c r="P557" s="396"/>
      <c r="Q557" s="396"/>
      <c r="R557" s="396"/>
      <c r="S557" s="396"/>
      <c r="T557" s="396"/>
    </row>
    <row r="558" spans="2:20" ht="15">
      <c r="B558" s="1674"/>
      <c r="C558" s="1681" t="s">
        <v>269</v>
      </c>
      <c r="D558" s="754"/>
      <c r="E558" s="293"/>
      <c r="I558" s="396"/>
      <c r="J558" s="396"/>
      <c r="K558" s="396"/>
      <c r="L558" s="396"/>
      <c r="M558" s="396"/>
      <c r="N558" s="396"/>
      <c r="O558" s="396"/>
      <c r="P558" s="396"/>
      <c r="Q558" s="396"/>
      <c r="R558" s="396"/>
      <c r="S558" s="396"/>
      <c r="T558" s="396"/>
    </row>
    <row r="559" spans="2:20">
      <c r="B559" s="1674">
        <v>1</v>
      </c>
      <c r="C559" s="2587" t="s">
        <v>270</v>
      </c>
      <c r="D559" s="791"/>
      <c r="E559" s="293"/>
      <c r="G559" s="396"/>
      <c r="I559" s="396"/>
      <c r="J559" s="396"/>
      <c r="K559" s="396"/>
      <c r="L559" s="396"/>
      <c r="M559" s="396"/>
      <c r="N559" s="396"/>
      <c r="O559" s="396"/>
      <c r="P559" s="396"/>
      <c r="Q559" s="396"/>
      <c r="R559" s="396"/>
      <c r="S559" s="396"/>
      <c r="T559" s="396"/>
    </row>
    <row r="560" spans="2:20">
      <c r="B560" s="1674">
        <v>2</v>
      </c>
      <c r="C560" s="2587" t="s">
        <v>271</v>
      </c>
      <c r="D560" s="780">
        <v>5545</v>
      </c>
      <c r="E560" s="293"/>
      <c r="G560" s="396"/>
      <c r="I560" s="396"/>
      <c r="J560" s="396"/>
      <c r="K560" s="396"/>
      <c r="L560" s="396"/>
      <c r="M560" s="396"/>
      <c r="N560" s="396"/>
      <c r="O560" s="396"/>
      <c r="P560" s="396"/>
      <c r="Q560" s="396"/>
      <c r="R560" s="396"/>
      <c r="S560" s="396"/>
      <c r="T560" s="396"/>
    </row>
    <row r="561" spans="2:20">
      <c r="B561" s="1674">
        <v>3</v>
      </c>
      <c r="C561" s="2587" t="s">
        <v>272</v>
      </c>
      <c r="D561" s="781">
        <v>2845</v>
      </c>
      <c r="E561" s="293"/>
      <c r="G561" s="396"/>
      <c r="I561" s="396"/>
      <c r="J561" s="396"/>
      <c r="K561" s="396"/>
      <c r="L561" s="396"/>
      <c r="M561" s="396"/>
      <c r="N561" s="396"/>
      <c r="O561" s="396"/>
      <c r="P561" s="396"/>
      <c r="Q561" s="396"/>
      <c r="R561" s="396"/>
      <c r="S561" s="396"/>
      <c r="T561" s="396"/>
    </row>
    <row r="562" spans="2:20">
      <c r="B562" s="1674">
        <v>4</v>
      </c>
      <c r="C562" s="2589" t="s">
        <v>273</v>
      </c>
      <c r="D562" s="781">
        <v>104988</v>
      </c>
      <c r="E562" s="293"/>
      <c r="G562" s="396"/>
      <c r="I562" s="396"/>
      <c r="J562" s="396"/>
      <c r="K562" s="396"/>
      <c r="L562" s="396"/>
      <c r="M562" s="396"/>
      <c r="N562" s="396"/>
      <c r="O562" s="396"/>
      <c r="P562" s="396"/>
      <c r="Q562" s="396"/>
      <c r="R562" s="396"/>
      <c r="S562" s="396"/>
      <c r="T562" s="396"/>
    </row>
    <row r="563" spans="2:20">
      <c r="B563" s="1674">
        <v>5</v>
      </c>
      <c r="C563" s="2587" t="s">
        <v>274</v>
      </c>
      <c r="D563" s="781">
        <v>33725</v>
      </c>
      <c r="E563" s="293"/>
      <c r="G563" s="396"/>
      <c r="I563" s="396"/>
      <c r="J563" s="396"/>
      <c r="K563" s="396"/>
      <c r="L563" s="396"/>
      <c r="M563" s="396"/>
      <c r="N563" s="396"/>
      <c r="O563" s="396"/>
      <c r="P563" s="396"/>
      <c r="Q563" s="396"/>
      <c r="R563" s="396"/>
      <c r="S563" s="396"/>
      <c r="T563" s="396"/>
    </row>
    <row r="564" spans="2:20">
      <c r="B564" s="1674">
        <v>6</v>
      </c>
      <c r="C564" s="2587" t="s">
        <v>275</v>
      </c>
      <c r="D564" s="791"/>
      <c r="E564" s="293"/>
      <c r="G564" s="396"/>
      <c r="I564" s="396"/>
      <c r="J564" s="396"/>
      <c r="K564" s="396"/>
      <c r="L564" s="396"/>
      <c r="M564" s="396"/>
      <c r="N564" s="396"/>
      <c r="O564" s="396"/>
      <c r="P564" s="396"/>
      <c r="Q564" s="396"/>
      <c r="R564" s="396"/>
      <c r="S564" s="396"/>
      <c r="T564" s="396"/>
    </row>
    <row r="565" spans="2:20">
      <c r="B565" s="1674">
        <v>7</v>
      </c>
      <c r="C565" s="2587" t="s">
        <v>276</v>
      </c>
      <c r="D565" s="791"/>
      <c r="E565" s="293"/>
      <c r="G565" s="396"/>
      <c r="I565" s="396"/>
      <c r="J565" s="396"/>
      <c r="K565" s="396"/>
      <c r="L565" s="396"/>
      <c r="M565" s="396"/>
      <c r="N565" s="396"/>
      <c r="O565" s="396"/>
      <c r="P565" s="396"/>
      <c r="Q565" s="396"/>
      <c r="R565" s="396"/>
      <c r="S565" s="396"/>
      <c r="T565" s="396"/>
    </row>
    <row r="566" spans="2:20">
      <c r="B566" s="1674"/>
      <c r="C566" s="2569" t="s">
        <v>393</v>
      </c>
      <c r="D566" s="791"/>
      <c r="E566" s="293"/>
      <c r="G566" s="396"/>
      <c r="I566" s="396"/>
      <c r="J566" s="396"/>
      <c r="K566" s="396"/>
      <c r="L566" s="396"/>
      <c r="M566" s="396"/>
      <c r="N566" s="396"/>
      <c r="O566" s="396"/>
      <c r="P566" s="396"/>
      <c r="Q566" s="396"/>
      <c r="R566" s="396"/>
      <c r="S566" s="396"/>
      <c r="T566" s="396"/>
    </row>
    <row r="567" spans="2:20">
      <c r="B567" s="1674"/>
      <c r="C567" s="2569" t="s">
        <v>394</v>
      </c>
      <c r="D567" s="791"/>
      <c r="E567" s="293"/>
      <c r="G567" s="396"/>
      <c r="I567" s="396"/>
      <c r="J567" s="396"/>
      <c r="K567" s="396"/>
      <c r="L567" s="396"/>
      <c r="M567" s="396"/>
      <c r="N567" s="396"/>
      <c r="O567" s="396"/>
      <c r="P567" s="396"/>
      <c r="Q567" s="396"/>
      <c r="R567" s="396"/>
      <c r="S567" s="396"/>
      <c r="T567" s="396"/>
    </row>
    <row r="568" spans="2:20">
      <c r="B568" s="1674">
        <v>8</v>
      </c>
      <c r="C568" s="2587" t="s">
        <v>279</v>
      </c>
      <c r="D568" s="791"/>
      <c r="E568" s="293"/>
      <c r="G568" s="396"/>
      <c r="I568" s="396"/>
      <c r="J568" s="396"/>
      <c r="K568" s="396"/>
      <c r="L568" s="396"/>
      <c r="M568" s="396"/>
      <c r="N568" s="396"/>
      <c r="O568" s="396"/>
      <c r="P568" s="396"/>
      <c r="Q568" s="396"/>
      <c r="R568" s="396"/>
      <c r="S568" s="396"/>
      <c r="T568" s="396"/>
    </row>
    <row r="569" spans="2:20">
      <c r="B569" s="1674"/>
      <c r="C569" s="2569" t="s">
        <v>395</v>
      </c>
      <c r="D569" s="791"/>
      <c r="E569" s="293"/>
      <c r="G569" s="396"/>
      <c r="I569" s="396"/>
      <c r="J569" s="396"/>
      <c r="K569" s="396"/>
      <c r="L569" s="396"/>
      <c r="M569" s="396"/>
      <c r="N569" s="396"/>
      <c r="O569" s="396"/>
      <c r="P569" s="396"/>
      <c r="Q569" s="396"/>
      <c r="R569" s="396"/>
      <c r="S569" s="396"/>
      <c r="T569" s="396"/>
    </row>
    <row r="570" spans="2:20">
      <c r="B570" s="1674"/>
      <c r="C570" s="2569" t="s">
        <v>396</v>
      </c>
      <c r="D570" s="791"/>
      <c r="E570" s="293"/>
      <c r="G570" s="396"/>
      <c r="I570" s="396"/>
      <c r="J570" s="396"/>
      <c r="K570" s="396"/>
      <c r="L570" s="396"/>
      <c r="M570" s="396"/>
      <c r="N570" s="396"/>
      <c r="O570" s="396"/>
      <c r="P570" s="396"/>
      <c r="Q570" s="396"/>
      <c r="R570" s="396"/>
      <c r="S570" s="396"/>
      <c r="T570" s="396"/>
    </row>
    <row r="571" spans="2:20" ht="25.5">
      <c r="B571" s="1676">
        <v>9</v>
      </c>
      <c r="C571" s="2580" t="s">
        <v>282</v>
      </c>
      <c r="D571" s="793">
        <v>1465879</v>
      </c>
      <c r="G571" s="396"/>
      <c r="I571" s="396"/>
      <c r="J571" s="396"/>
      <c r="K571" s="396"/>
      <c r="L571" s="396"/>
      <c r="M571" s="396"/>
      <c r="N571" s="396"/>
      <c r="O571" s="396"/>
      <c r="P571" s="396"/>
      <c r="Q571" s="396"/>
      <c r="R571" s="396"/>
      <c r="S571" s="396"/>
      <c r="T571" s="396"/>
    </row>
    <row r="572" spans="2:20">
      <c r="B572" s="1674">
        <v>10</v>
      </c>
      <c r="C572" s="2569" t="s">
        <v>283</v>
      </c>
      <c r="D572" s="791"/>
      <c r="E572" s="293"/>
      <c r="G572" s="396"/>
      <c r="I572" s="396"/>
      <c r="J572" s="396"/>
      <c r="K572" s="396"/>
      <c r="L572" s="396"/>
      <c r="M572" s="396"/>
      <c r="N572" s="396"/>
      <c r="O572" s="396"/>
      <c r="P572" s="396"/>
      <c r="Q572" s="396"/>
      <c r="R572" s="396"/>
      <c r="S572" s="396"/>
      <c r="T572" s="396"/>
    </row>
    <row r="573" spans="2:20">
      <c r="B573" s="1674">
        <v>11</v>
      </c>
      <c r="C573" s="2569" t="s">
        <v>284</v>
      </c>
      <c r="D573" s="781">
        <v>1465879</v>
      </c>
      <c r="E573" s="293"/>
      <c r="G573" s="396"/>
      <c r="I573" s="396"/>
      <c r="J573" s="396"/>
      <c r="K573" s="396"/>
      <c r="L573" s="396"/>
      <c r="M573" s="396"/>
      <c r="N573" s="396"/>
      <c r="O573" s="396"/>
      <c r="P573" s="396"/>
      <c r="Q573" s="396"/>
      <c r="R573" s="396"/>
      <c r="S573" s="396"/>
      <c r="T573" s="396"/>
    </row>
    <row r="574" spans="2:20">
      <c r="B574" s="1674">
        <v>12</v>
      </c>
      <c r="C574" s="2569" t="s">
        <v>285</v>
      </c>
      <c r="D574" s="783"/>
      <c r="E574" s="293"/>
      <c r="G574" s="396"/>
      <c r="I574" s="396"/>
      <c r="J574" s="396"/>
      <c r="K574" s="396"/>
      <c r="L574" s="396"/>
      <c r="M574" s="396"/>
      <c r="N574" s="396"/>
      <c r="O574" s="396"/>
      <c r="P574" s="396"/>
      <c r="Q574" s="396"/>
      <c r="R574" s="396"/>
      <c r="S574" s="396"/>
      <c r="T574" s="396"/>
    </row>
    <row r="575" spans="2:20" ht="25.5">
      <c r="B575" s="1674">
        <v>13</v>
      </c>
      <c r="C575" s="2569" t="s">
        <v>286</v>
      </c>
      <c r="D575" s="783"/>
      <c r="E575" s="293"/>
      <c r="G575" s="396"/>
      <c r="I575" s="396"/>
      <c r="J575" s="396"/>
      <c r="K575" s="396"/>
      <c r="L575" s="396"/>
      <c r="M575" s="396"/>
      <c r="N575" s="396"/>
      <c r="O575" s="396"/>
      <c r="P575" s="396"/>
      <c r="Q575" s="396"/>
      <c r="R575" s="396"/>
      <c r="S575" s="396"/>
      <c r="T575" s="396"/>
    </row>
    <row r="576" spans="2:20">
      <c r="B576" s="1674">
        <v>14</v>
      </c>
      <c r="C576" s="2570" t="s">
        <v>287</v>
      </c>
      <c r="D576" s="783"/>
      <c r="E576" s="293"/>
      <c r="G576" s="396"/>
      <c r="I576" s="396"/>
      <c r="J576" s="396"/>
      <c r="K576" s="396"/>
      <c r="L576" s="396"/>
      <c r="M576" s="396"/>
      <c r="N576" s="396"/>
      <c r="O576" s="396"/>
      <c r="P576" s="396"/>
      <c r="Q576" s="396"/>
      <c r="R576" s="396"/>
      <c r="S576" s="396"/>
      <c r="T576" s="396"/>
    </row>
    <row r="577" spans="2:20">
      <c r="B577" s="1674">
        <v>15</v>
      </c>
      <c r="C577" s="2570" t="s">
        <v>288</v>
      </c>
      <c r="D577" s="781">
        <v>132816</v>
      </c>
      <c r="E577" s="293"/>
      <c r="G577" s="396"/>
      <c r="I577" s="396"/>
      <c r="J577" s="396"/>
      <c r="K577" s="396"/>
      <c r="L577" s="396"/>
      <c r="M577" s="396"/>
      <c r="N577" s="396"/>
      <c r="O577" s="396"/>
      <c r="P577" s="396"/>
      <c r="Q577" s="396"/>
      <c r="R577" s="396"/>
      <c r="S577" s="396"/>
      <c r="T577" s="396"/>
    </row>
    <row r="578" spans="2:20">
      <c r="B578" s="1674">
        <v>16</v>
      </c>
      <c r="C578" s="2570" t="s">
        <v>289</v>
      </c>
      <c r="D578" s="781">
        <v>599503</v>
      </c>
      <c r="E578" s="293"/>
      <c r="G578" s="396"/>
      <c r="I578" s="396"/>
      <c r="J578" s="396"/>
      <c r="K578" s="396"/>
      <c r="L578" s="396"/>
      <c r="M578" s="396"/>
      <c r="N578" s="396"/>
      <c r="O578" s="396"/>
      <c r="P578" s="396"/>
      <c r="Q578" s="396"/>
      <c r="R578" s="396"/>
      <c r="S578" s="396"/>
      <c r="T578" s="396"/>
    </row>
    <row r="579" spans="2:20">
      <c r="B579" s="1674">
        <v>17</v>
      </c>
      <c r="C579" s="2570" t="s">
        <v>290</v>
      </c>
      <c r="D579" s="781">
        <v>12415</v>
      </c>
      <c r="E579" s="383"/>
      <c r="G579" s="396"/>
      <c r="I579" s="396"/>
      <c r="J579" s="396"/>
      <c r="K579" s="396"/>
      <c r="L579" s="396"/>
      <c r="M579" s="396"/>
      <c r="N579" s="396"/>
      <c r="O579" s="396"/>
      <c r="P579" s="396"/>
      <c r="Q579" s="396"/>
      <c r="R579" s="396"/>
      <c r="S579" s="396"/>
      <c r="T579" s="396"/>
    </row>
    <row r="580" spans="2:20">
      <c r="B580" s="1674">
        <v>18</v>
      </c>
      <c r="C580" s="2570" t="s">
        <v>291</v>
      </c>
      <c r="D580" s="781">
        <v>138783</v>
      </c>
      <c r="E580" s="293"/>
      <c r="G580" s="396"/>
      <c r="I580" s="396"/>
      <c r="J580" s="396"/>
      <c r="K580" s="396"/>
      <c r="L580" s="396"/>
      <c r="M580" s="396"/>
      <c r="N580" s="396"/>
      <c r="O580" s="396"/>
      <c r="P580" s="396"/>
      <c r="Q580" s="396"/>
      <c r="R580" s="396"/>
      <c r="S580" s="396"/>
      <c r="T580" s="396"/>
    </row>
    <row r="581" spans="2:20" ht="13.5" thickBot="1">
      <c r="B581" s="1674">
        <v>19</v>
      </c>
      <c r="C581" s="2571" t="s">
        <v>292</v>
      </c>
      <c r="D581" s="786">
        <v>698104</v>
      </c>
      <c r="E581" s="293"/>
      <c r="G581" s="396"/>
      <c r="I581" s="396"/>
      <c r="J581" s="396"/>
      <c r="K581" s="396"/>
      <c r="L581" s="396"/>
      <c r="M581" s="396"/>
      <c r="N581" s="396"/>
      <c r="O581" s="396"/>
      <c r="P581" s="396"/>
      <c r="Q581" s="396"/>
      <c r="R581" s="396"/>
      <c r="S581" s="396"/>
      <c r="T581" s="396"/>
    </row>
    <row r="582" spans="2:20" ht="26.25" thickBot="1">
      <c r="B582" s="1686">
        <v>20</v>
      </c>
      <c r="C582" s="1705" t="s">
        <v>293</v>
      </c>
      <c r="D582" s="1714">
        <v>3194603</v>
      </c>
      <c r="E582" s="293"/>
      <c r="G582" s="396"/>
      <c r="I582" s="396"/>
      <c r="J582" s="396"/>
      <c r="K582" s="396"/>
      <c r="L582" s="396"/>
      <c r="M582" s="396"/>
      <c r="N582" s="396"/>
      <c r="O582" s="396"/>
      <c r="P582" s="396"/>
      <c r="Q582" s="396"/>
      <c r="R582" s="396"/>
      <c r="S582" s="396"/>
      <c r="T582" s="396"/>
    </row>
    <row r="583" spans="2:20">
      <c r="B583" s="1674"/>
      <c r="C583" s="1678" t="s">
        <v>294</v>
      </c>
      <c r="D583" s="791"/>
      <c r="E583" s="293"/>
      <c r="G583" s="396"/>
      <c r="I583" s="396"/>
      <c r="J583" s="396"/>
      <c r="K583" s="396"/>
      <c r="L583" s="396"/>
      <c r="M583" s="396"/>
      <c r="N583" s="396"/>
      <c r="O583" s="396"/>
      <c r="P583" s="396"/>
      <c r="Q583" s="396"/>
      <c r="R583" s="396"/>
      <c r="S583" s="396"/>
      <c r="T583" s="396"/>
    </row>
    <row r="584" spans="2:20">
      <c r="B584" s="1674"/>
      <c r="C584" s="2588" t="s">
        <v>295</v>
      </c>
      <c r="D584" s="791"/>
      <c r="E584" s="293"/>
      <c r="G584" s="396"/>
      <c r="I584" s="396"/>
      <c r="J584" s="396"/>
      <c r="K584" s="396"/>
      <c r="L584" s="396"/>
      <c r="M584" s="396"/>
      <c r="N584" s="396"/>
      <c r="O584" s="396"/>
      <c r="P584" s="396"/>
      <c r="Q584" s="396"/>
      <c r="R584" s="396"/>
      <c r="S584" s="396"/>
      <c r="T584" s="396"/>
    </row>
    <row r="585" spans="2:20">
      <c r="B585" s="1674">
        <v>21</v>
      </c>
      <c r="C585" s="2570" t="s">
        <v>296</v>
      </c>
      <c r="D585" s="781">
        <v>1499160</v>
      </c>
      <c r="E585" s="293"/>
      <c r="G585" s="396"/>
      <c r="I585" s="396"/>
      <c r="J585" s="396"/>
      <c r="K585" s="396"/>
      <c r="L585" s="396"/>
      <c r="M585" s="396"/>
      <c r="N585" s="396"/>
      <c r="O585" s="396"/>
      <c r="P585" s="396"/>
      <c r="Q585" s="396"/>
      <c r="R585" s="396"/>
      <c r="S585" s="396"/>
      <c r="T585" s="396"/>
    </row>
    <row r="586" spans="2:20">
      <c r="B586" s="1674">
        <v>22</v>
      </c>
      <c r="C586" s="2570" t="s">
        <v>297</v>
      </c>
      <c r="D586" s="781">
        <v>19307</v>
      </c>
      <c r="E586" s="293"/>
      <c r="G586" s="396"/>
      <c r="I586" s="396"/>
      <c r="J586" s="396"/>
      <c r="K586" s="396"/>
      <c r="L586" s="396"/>
      <c r="M586" s="396"/>
      <c r="N586" s="396"/>
      <c r="O586" s="396"/>
      <c r="P586" s="396"/>
      <c r="Q586" s="396"/>
      <c r="R586" s="396"/>
      <c r="S586" s="396"/>
      <c r="T586" s="396"/>
    </row>
    <row r="587" spans="2:20">
      <c r="B587" s="1674">
        <v>23</v>
      </c>
      <c r="C587" s="2570" t="s">
        <v>298</v>
      </c>
      <c r="D587" s="781">
        <v>106739</v>
      </c>
      <c r="E587" s="293"/>
      <c r="G587" s="396"/>
      <c r="I587" s="396"/>
      <c r="J587" s="396"/>
      <c r="K587" s="396"/>
      <c r="L587" s="396"/>
      <c r="M587" s="396"/>
      <c r="N587" s="396"/>
      <c r="O587" s="396"/>
      <c r="P587" s="396"/>
      <c r="Q587" s="396"/>
      <c r="R587" s="396"/>
      <c r="S587" s="396"/>
      <c r="T587" s="396"/>
    </row>
    <row r="588" spans="2:20">
      <c r="B588" s="1674">
        <v>24</v>
      </c>
      <c r="C588" s="2570" t="s">
        <v>299</v>
      </c>
      <c r="D588" s="781">
        <v>32493</v>
      </c>
      <c r="E588" s="293"/>
      <c r="G588" s="396"/>
      <c r="I588" s="396"/>
      <c r="J588" s="396"/>
      <c r="K588" s="396"/>
      <c r="L588" s="396"/>
      <c r="M588" s="396"/>
      <c r="N588" s="396"/>
      <c r="O588" s="396"/>
      <c r="P588" s="396"/>
      <c r="Q588" s="396"/>
      <c r="R588" s="396"/>
      <c r="S588" s="396"/>
      <c r="T588" s="396"/>
    </row>
    <row r="589" spans="2:20">
      <c r="B589" s="1674">
        <v>25</v>
      </c>
      <c r="C589" s="2569" t="s">
        <v>300</v>
      </c>
      <c r="D589" s="783"/>
      <c r="E589" s="293"/>
      <c r="G589" s="396"/>
      <c r="I589" s="396"/>
      <c r="J589" s="396"/>
      <c r="K589" s="396"/>
      <c r="L589" s="396"/>
      <c r="M589" s="396"/>
      <c r="N589" s="396"/>
      <c r="O589" s="396"/>
      <c r="P589" s="396"/>
      <c r="Q589" s="396"/>
      <c r="R589" s="396"/>
      <c r="S589" s="396"/>
      <c r="T589" s="396"/>
    </row>
    <row r="590" spans="2:20" ht="13.5" thickBot="1">
      <c r="B590" s="1674">
        <v>26</v>
      </c>
      <c r="C590" s="2571" t="s">
        <v>301</v>
      </c>
      <c r="D590" s="786">
        <v>382767</v>
      </c>
      <c r="E590" s="293"/>
      <c r="G590" s="396"/>
      <c r="I590" s="396"/>
      <c r="J590" s="396"/>
      <c r="K590" s="396"/>
      <c r="L590" s="396"/>
      <c r="M590" s="396"/>
      <c r="N590" s="396"/>
      <c r="O590" s="396"/>
      <c r="P590" s="396"/>
      <c r="Q590" s="396"/>
      <c r="R590" s="396"/>
      <c r="S590" s="396"/>
      <c r="T590" s="396"/>
    </row>
    <row r="591" spans="2:20" ht="26.25" thickBot="1">
      <c r="B591" s="1677">
        <v>27</v>
      </c>
      <c r="C591" s="1699" t="s">
        <v>302</v>
      </c>
      <c r="D591" s="787">
        <v>2040466</v>
      </c>
      <c r="E591" s="293"/>
      <c r="G591" s="396"/>
      <c r="I591" s="396"/>
      <c r="J591" s="396"/>
      <c r="K591" s="396"/>
      <c r="L591" s="396"/>
      <c r="M591" s="396"/>
      <c r="N591" s="396"/>
      <c r="O591" s="396"/>
      <c r="P591" s="396"/>
      <c r="Q591" s="396"/>
      <c r="R591" s="396"/>
      <c r="S591" s="396"/>
      <c r="T591" s="396"/>
    </row>
    <row r="592" spans="2:20">
      <c r="B592" s="1674"/>
      <c r="C592" s="1678" t="s">
        <v>303</v>
      </c>
      <c r="D592" s="808"/>
      <c r="E592" s="293"/>
      <c r="G592" s="396"/>
      <c r="I592" s="396"/>
      <c r="J592" s="396"/>
      <c r="K592" s="396"/>
      <c r="L592" s="396"/>
      <c r="M592" s="396"/>
      <c r="N592" s="396"/>
      <c r="O592" s="396"/>
      <c r="P592" s="396"/>
      <c r="Q592" s="396"/>
      <c r="R592" s="396"/>
      <c r="S592" s="396"/>
      <c r="T592" s="396"/>
    </row>
    <row r="593" spans="2:20">
      <c r="B593" s="1674">
        <v>28</v>
      </c>
      <c r="C593" s="2587" t="s">
        <v>304</v>
      </c>
      <c r="D593" s="781">
        <v>825000</v>
      </c>
      <c r="E593" s="383"/>
      <c r="F593" s="295"/>
      <c r="G593" s="396"/>
      <c r="I593" s="396"/>
      <c r="J593" s="396"/>
      <c r="K593" s="396"/>
      <c r="L593" s="396"/>
      <c r="M593" s="396"/>
      <c r="N593" s="396"/>
      <c r="O593" s="396"/>
      <c r="P593" s="396"/>
      <c r="Q593" s="396"/>
      <c r="R593" s="396"/>
      <c r="S593" s="396"/>
      <c r="T593" s="396"/>
    </row>
    <row r="594" spans="2:20">
      <c r="B594" s="1674">
        <v>29</v>
      </c>
      <c r="C594" s="2587" t="s">
        <v>305</v>
      </c>
      <c r="D594" s="783"/>
      <c r="E594" s="293"/>
      <c r="G594" s="396"/>
      <c r="I594" s="396"/>
      <c r="J594" s="396"/>
      <c r="K594" s="396"/>
      <c r="L594" s="396"/>
      <c r="M594" s="396"/>
      <c r="N594" s="396"/>
      <c r="O594" s="396"/>
      <c r="P594" s="396"/>
      <c r="Q594" s="396"/>
      <c r="R594" s="396"/>
      <c r="S594" s="396"/>
      <c r="T594" s="396"/>
    </row>
    <row r="595" spans="2:20">
      <c r="B595" s="1674">
        <v>30</v>
      </c>
      <c r="C595" s="2573" t="s">
        <v>306</v>
      </c>
      <c r="D595" s="783"/>
      <c r="E595" s="293" t="s">
        <v>402</v>
      </c>
      <c r="G595" s="396"/>
      <c r="I595" s="396"/>
      <c r="J595" s="396"/>
      <c r="K595" s="396"/>
      <c r="L595" s="396"/>
      <c r="M595" s="396"/>
      <c r="N595" s="396"/>
      <c r="O595" s="396"/>
      <c r="P595" s="396"/>
      <c r="Q595" s="396"/>
      <c r="R595" s="396"/>
      <c r="S595" s="396"/>
      <c r="T595" s="396"/>
    </row>
    <row r="596" spans="2:20" ht="13.5" thickBot="1">
      <c r="B596" s="1674">
        <v>31</v>
      </c>
      <c r="C596" s="2573" t="s">
        <v>308</v>
      </c>
      <c r="D596" s="786">
        <v>329136</v>
      </c>
      <c r="E596" s="293"/>
      <c r="G596" s="396"/>
      <c r="I596" s="396"/>
      <c r="J596" s="396"/>
      <c r="K596" s="396"/>
      <c r="L596" s="396"/>
      <c r="M596" s="396"/>
      <c r="N596" s="396"/>
      <c r="O596" s="396"/>
      <c r="P596" s="396"/>
      <c r="Q596" s="396"/>
      <c r="R596" s="396"/>
      <c r="S596" s="396"/>
      <c r="T596" s="396"/>
    </row>
    <row r="597" spans="2:20" ht="13.5" thickBot="1">
      <c r="B597" s="1677">
        <v>32</v>
      </c>
      <c r="C597" s="1699" t="s">
        <v>309</v>
      </c>
      <c r="D597" s="787">
        <v>1154136</v>
      </c>
      <c r="E597" s="293"/>
      <c r="G597" s="396"/>
      <c r="I597" s="396"/>
      <c r="J597" s="396"/>
      <c r="K597" s="396"/>
      <c r="L597" s="396"/>
      <c r="M597" s="396"/>
      <c r="N597" s="396"/>
      <c r="O597" s="396"/>
      <c r="P597" s="396"/>
      <c r="Q597" s="396"/>
      <c r="R597" s="396"/>
      <c r="S597" s="396"/>
      <c r="T597" s="396"/>
    </row>
    <row r="598" spans="2:20" ht="26.25" thickBot="1">
      <c r="B598" s="1689">
        <v>33</v>
      </c>
      <c r="C598" s="1710" t="s">
        <v>310</v>
      </c>
      <c r="D598" s="1715">
        <v>3194603</v>
      </c>
      <c r="E598" s="293"/>
      <c r="G598" s="396"/>
      <c r="I598" s="396"/>
      <c r="J598" s="396"/>
      <c r="K598" s="396"/>
      <c r="L598" s="396"/>
      <c r="M598" s="396"/>
      <c r="N598" s="396"/>
      <c r="O598" s="396"/>
      <c r="P598" s="396"/>
      <c r="Q598" s="396"/>
      <c r="R598" s="396"/>
      <c r="S598" s="396"/>
      <c r="T598" s="396"/>
    </row>
    <row r="599" spans="2:20">
      <c r="B599" s="196"/>
      <c r="C599" s="391"/>
      <c r="D599" s="547"/>
      <c r="E599" s="383"/>
      <c r="F599" s="293"/>
      <c r="I599" s="396"/>
      <c r="J599" s="396"/>
      <c r="K599" s="396"/>
      <c r="L599" s="396"/>
      <c r="M599" s="396"/>
      <c r="N599" s="396"/>
      <c r="O599" s="396"/>
      <c r="P599" s="396"/>
      <c r="Q599" s="396"/>
      <c r="R599" s="396"/>
      <c r="S599" s="396"/>
      <c r="T599" s="396"/>
    </row>
    <row r="600" spans="2:20">
      <c r="B600" s="196"/>
      <c r="C600" s="391"/>
      <c r="D600" s="547"/>
      <c r="E600" s="383"/>
      <c r="F600" s="293"/>
      <c r="H600" s="292">
        <v>92</v>
      </c>
      <c r="I600" s="396"/>
      <c r="J600" s="396"/>
      <c r="K600" s="396"/>
      <c r="L600" s="396"/>
      <c r="M600" s="396"/>
      <c r="N600" s="396"/>
      <c r="O600" s="396"/>
      <c r="P600" s="396"/>
      <c r="Q600" s="396"/>
      <c r="R600" s="396"/>
      <c r="S600" s="396"/>
      <c r="T600" s="396"/>
    </row>
    <row r="601" spans="2:20">
      <c r="B601" s="196"/>
      <c r="C601" s="391"/>
      <c r="D601" s="547"/>
      <c r="E601" s="383"/>
      <c r="F601" s="293"/>
      <c r="I601" s="396"/>
      <c r="J601" s="396"/>
      <c r="K601" s="396"/>
      <c r="L601" s="396"/>
      <c r="M601" s="396"/>
      <c r="N601" s="396"/>
      <c r="O601" s="396"/>
      <c r="P601" s="396"/>
      <c r="Q601" s="396"/>
      <c r="R601" s="396"/>
      <c r="S601" s="396"/>
      <c r="T601" s="396"/>
    </row>
    <row r="602" spans="2:20" ht="14.25">
      <c r="B602" s="3593" t="s">
        <v>397</v>
      </c>
      <c r="C602" s="3594"/>
      <c r="D602" s="3594"/>
      <c r="E602" s="3594"/>
      <c r="F602" s="3594"/>
      <c r="G602" s="3594"/>
      <c r="I602" s="396"/>
      <c r="J602" s="396"/>
      <c r="K602" s="396"/>
      <c r="L602" s="396"/>
      <c r="M602" s="396"/>
      <c r="N602" s="396"/>
      <c r="O602" s="396"/>
      <c r="P602" s="396"/>
      <c r="Q602" s="396"/>
      <c r="R602" s="396"/>
      <c r="S602" s="396"/>
      <c r="T602" s="396"/>
    </row>
    <row r="603" spans="2:20" ht="13.5" thickBot="1">
      <c r="B603" s="51"/>
      <c r="C603" s="51"/>
      <c r="D603" s="51"/>
      <c r="E603" s="51"/>
      <c r="F603" s="51"/>
      <c r="I603" s="396"/>
      <c r="J603" s="396"/>
      <c r="K603" s="396"/>
      <c r="L603" s="396"/>
      <c r="M603" s="396"/>
      <c r="N603" s="396"/>
      <c r="O603" s="396"/>
      <c r="P603" s="396"/>
      <c r="Q603" s="396"/>
      <c r="R603" s="396"/>
      <c r="S603" s="396"/>
      <c r="T603" s="396"/>
    </row>
    <row r="604" spans="2:20" ht="13.5" thickBot="1">
      <c r="B604" s="3582" t="s">
        <v>403</v>
      </c>
      <c r="C604" s="3583"/>
      <c r="D604" s="425"/>
      <c r="E604" s="535"/>
      <c r="F604" s="396"/>
      <c r="I604" s="396"/>
      <c r="J604" s="396"/>
      <c r="K604" s="396"/>
      <c r="L604" s="396"/>
      <c r="M604" s="396"/>
      <c r="N604" s="396"/>
      <c r="O604" s="396"/>
      <c r="P604" s="396"/>
      <c r="Q604" s="396"/>
      <c r="R604" s="396"/>
      <c r="S604" s="396"/>
      <c r="T604" s="396"/>
    </row>
    <row r="605" spans="2:20">
      <c r="B605" s="3520" t="s">
        <v>372</v>
      </c>
      <c r="C605" s="3585"/>
      <c r="D605" s="3518" t="s">
        <v>391</v>
      </c>
      <c r="E605" s="274"/>
      <c r="I605" s="396"/>
      <c r="J605" s="396"/>
      <c r="K605" s="396"/>
      <c r="L605" s="396"/>
      <c r="M605" s="396"/>
      <c r="N605" s="396"/>
      <c r="O605" s="396"/>
      <c r="P605" s="396"/>
      <c r="Q605" s="396"/>
      <c r="R605" s="396"/>
      <c r="S605" s="396"/>
      <c r="T605" s="396"/>
    </row>
    <row r="606" spans="2:20">
      <c r="B606" s="3520"/>
      <c r="C606" s="3585"/>
      <c r="D606" s="3520"/>
      <c r="E606" s="443"/>
      <c r="I606" s="396"/>
      <c r="J606" s="396"/>
      <c r="K606" s="396"/>
      <c r="L606" s="396"/>
      <c r="M606" s="396"/>
      <c r="N606" s="396"/>
      <c r="O606" s="396"/>
      <c r="P606" s="396"/>
      <c r="Q606" s="396"/>
      <c r="R606" s="396"/>
      <c r="S606" s="396"/>
      <c r="T606" s="396"/>
    </row>
    <row r="607" spans="2:20">
      <c r="B607" s="3519"/>
      <c r="C607" s="3586"/>
      <c r="D607" s="3519"/>
      <c r="E607" s="443"/>
      <c r="I607" s="396"/>
      <c r="J607" s="396"/>
      <c r="K607" s="396"/>
      <c r="L607" s="396"/>
      <c r="M607" s="396"/>
      <c r="N607" s="396"/>
      <c r="O607" s="396"/>
      <c r="P607" s="396"/>
      <c r="Q607" s="396"/>
      <c r="R607" s="396"/>
      <c r="S607" s="396"/>
      <c r="T607" s="396"/>
    </row>
    <row r="608" spans="2:20" ht="15">
      <c r="B608" s="1674"/>
      <c r="C608" s="1681" t="s">
        <v>269</v>
      </c>
      <c r="D608" s="754"/>
      <c r="E608" s="293"/>
      <c r="I608" s="396"/>
      <c r="J608" s="396"/>
      <c r="K608" s="396"/>
      <c r="L608" s="396"/>
      <c r="M608" s="396"/>
      <c r="N608" s="396"/>
      <c r="O608" s="396"/>
      <c r="P608" s="396"/>
      <c r="Q608" s="396"/>
      <c r="R608" s="396"/>
      <c r="S608" s="396"/>
      <c r="T608" s="396"/>
    </row>
    <row r="609" spans="2:20">
      <c r="B609" s="1674">
        <v>1</v>
      </c>
      <c r="C609" s="2587" t="s">
        <v>270</v>
      </c>
      <c r="D609" s="816"/>
      <c r="E609" s="293"/>
      <c r="I609" s="396"/>
      <c r="J609" s="396"/>
      <c r="K609" s="396"/>
      <c r="L609" s="396"/>
      <c r="M609" s="396"/>
      <c r="N609" s="396"/>
      <c r="O609" s="396"/>
      <c r="P609" s="396"/>
      <c r="Q609" s="396"/>
      <c r="R609" s="396"/>
      <c r="S609" s="396"/>
      <c r="T609" s="396"/>
    </row>
    <row r="610" spans="2:20">
      <c r="B610" s="1674">
        <v>2</v>
      </c>
      <c r="C610" s="2587" t="s">
        <v>271</v>
      </c>
      <c r="D610" s="817">
        <v>8198</v>
      </c>
      <c r="E610" s="293"/>
      <c r="G610" s="396"/>
      <c r="I610" s="396"/>
      <c r="J610" s="396"/>
      <c r="K610" s="396"/>
      <c r="L610" s="396"/>
      <c r="M610" s="396"/>
      <c r="N610" s="396"/>
      <c r="O610" s="396"/>
      <c r="P610" s="396"/>
      <c r="Q610" s="396"/>
      <c r="R610" s="396"/>
      <c r="S610" s="396"/>
      <c r="T610" s="396"/>
    </row>
    <row r="611" spans="2:20">
      <c r="B611" s="1674">
        <v>3</v>
      </c>
      <c r="C611" s="2587" t="s">
        <v>272</v>
      </c>
      <c r="D611" s="818">
        <v>244282</v>
      </c>
      <c r="E611" s="293"/>
      <c r="G611" s="396"/>
      <c r="I611" s="396"/>
      <c r="J611" s="396"/>
      <c r="K611" s="396"/>
      <c r="L611" s="396"/>
      <c r="M611" s="396"/>
      <c r="N611" s="396"/>
      <c r="O611" s="396"/>
      <c r="P611" s="396"/>
      <c r="Q611" s="396"/>
      <c r="R611" s="396"/>
      <c r="S611" s="396"/>
      <c r="T611" s="396"/>
    </row>
    <row r="612" spans="2:20">
      <c r="B612" s="1674">
        <v>4</v>
      </c>
      <c r="C612" s="2589" t="s">
        <v>273</v>
      </c>
      <c r="D612" s="818">
        <v>49675</v>
      </c>
      <c r="E612" s="293"/>
      <c r="G612" s="396"/>
      <c r="I612" s="396"/>
      <c r="J612" s="396"/>
      <c r="K612" s="396"/>
      <c r="L612" s="396"/>
      <c r="M612" s="396"/>
      <c r="N612" s="396"/>
      <c r="O612" s="396"/>
      <c r="P612" s="396"/>
      <c r="Q612" s="396"/>
      <c r="R612" s="396"/>
      <c r="S612" s="396"/>
      <c r="T612" s="396"/>
    </row>
    <row r="613" spans="2:20">
      <c r="B613" s="1674">
        <v>5</v>
      </c>
      <c r="C613" s="2587" t="s">
        <v>274</v>
      </c>
      <c r="D613" s="818">
        <v>73849</v>
      </c>
      <c r="E613" s="293"/>
      <c r="G613" s="396"/>
      <c r="I613" s="396"/>
      <c r="J613" s="396"/>
      <c r="K613" s="396"/>
      <c r="L613" s="396"/>
      <c r="M613" s="396"/>
      <c r="N613" s="396"/>
      <c r="O613" s="396"/>
      <c r="P613" s="396"/>
      <c r="Q613" s="396"/>
      <c r="R613" s="396"/>
      <c r="S613" s="396"/>
      <c r="T613" s="396"/>
    </row>
    <row r="614" spans="2:20">
      <c r="B614" s="1674">
        <v>6</v>
      </c>
      <c r="C614" s="2587" t="s">
        <v>275</v>
      </c>
      <c r="D614" s="791"/>
      <c r="E614" s="293"/>
      <c r="G614" s="396"/>
      <c r="I614" s="396"/>
      <c r="J614" s="396"/>
      <c r="K614" s="396"/>
      <c r="L614" s="396"/>
      <c r="M614" s="396"/>
      <c r="N614" s="396"/>
      <c r="O614" s="396"/>
      <c r="P614" s="396"/>
      <c r="Q614" s="396"/>
      <c r="R614" s="396"/>
      <c r="S614" s="396"/>
      <c r="T614" s="396"/>
    </row>
    <row r="615" spans="2:20">
      <c r="B615" s="1674">
        <v>7</v>
      </c>
      <c r="C615" s="2587" t="s">
        <v>276</v>
      </c>
      <c r="D615" s="791"/>
      <c r="E615" s="293"/>
      <c r="G615" s="396"/>
      <c r="I615" s="396"/>
      <c r="J615" s="396"/>
      <c r="K615" s="396"/>
      <c r="L615" s="396"/>
      <c r="M615" s="396"/>
      <c r="N615" s="396"/>
      <c r="O615" s="396"/>
      <c r="P615" s="396"/>
      <c r="Q615" s="396"/>
      <c r="R615" s="396"/>
      <c r="S615" s="396"/>
      <c r="T615" s="396"/>
    </row>
    <row r="616" spans="2:20">
      <c r="B616" s="1674"/>
      <c r="C616" s="2569" t="s">
        <v>393</v>
      </c>
      <c r="D616" s="791"/>
      <c r="E616" s="293"/>
      <c r="G616" s="396"/>
      <c r="I616" s="396"/>
      <c r="J616" s="396"/>
      <c r="K616" s="396"/>
      <c r="L616" s="396"/>
      <c r="M616" s="396"/>
      <c r="N616" s="396"/>
      <c r="O616" s="396"/>
      <c r="P616" s="396"/>
      <c r="Q616" s="396"/>
      <c r="R616" s="396"/>
      <c r="S616" s="396"/>
      <c r="T616" s="396"/>
    </row>
    <row r="617" spans="2:20">
      <c r="B617" s="1674"/>
      <c r="C617" s="2569" t="s">
        <v>394</v>
      </c>
      <c r="D617" s="791"/>
      <c r="E617" s="293"/>
      <c r="G617" s="396"/>
      <c r="I617" s="396"/>
      <c r="J617" s="396"/>
      <c r="K617" s="396"/>
      <c r="L617" s="396"/>
      <c r="M617" s="396"/>
      <c r="N617" s="396"/>
      <c r="O617" s="396"/>
      <c r="P617" s="396"/>
      <c r="Q617" s="396"/>
      <c r="R617" s="396"/>
      <c r="S617" s="396"/>
      <c r="T617" s="396"/>
    </row>
    <row r="618" spans="2:20">
      <c r="B618" s="1674">
        <v>8</v>
      </c>
      <c r="C618" s="2587" t="s">
        <v>279</v>
      </c>
      <c r="D618" s="791"/>
      <c r="E618" s="293"/>
      <c r="G618" s="396"/>
      <c r="I618" s="396"/>
      <c r="J618" s="396"/>
      <c r="K618" s="396"/>
      <c r="L618" s="396"/>
      <c r="M618" s="396"/>
      <c r="N618" s="396"/>
      <c r="O618" s="396"/>
      <c r="P618" s="396"/>
      <c r="Q618" s="396"/>
      <c r="R618" s="396"/>
      <c r="S618" s="396"/>
      <c r="T618" s="396"/>
    </row>
    <row r="619" spans="2:20" ht="16.5" customHeight="1">
      <c r="B619" s="1674"/>
      <c r="C619" s="2569" t="s">
        <v>395</v>
      </c>
      <c r="D619" s="791"/>
      <c r="E619" s="293"/>
      <c r="G619" s="396"/>
      <c r="I619" s="396"/>
      <c r="J619" s="396"/>
      <c r="K619" s="396"/>
      <c r="L619" s="396"/>
      <c r="M619" s="396"/>
      <c r="N619" s="396"/>
      <c r="O619" s="396"/>
      <c r="P619" s="396"/>
      <c r="Q619" s="396"/>
      <c r="R619" s="396"/>
      <c r="S619" s="396"/>
      <c r="T619" s="396"/>
    </row>
    <row r="620" spans="2:20">
      <c r="B620" s="1674"/>
      <c r="C620" s="2569" t="s">
        <v>396</v>
      </c>
      <c r="D620" s="791"/>
      <c r="E620" s="293"/>
      <c r="G620" s="396"/>
      <c r="I620" s="396"/>
      <c r="J620" s="396"/>
      <c r="K620" s="396"/>
      <c r="L620" s="396"/>
      <c r="M620" s="396"/>
      <c r="N620" s="396"/>
      <c r="O620" s="396"/>
      <c r="P620" s="396"/>
      <c r="Q620" s="396"/>
      <c r="R620" s="396"/>
      <c r="S620" s="396"/>
      <c r="T620" s="396"/>
    </row>
    <row r="621" spans="2:20" ht="25.5">
      <c r="B621" s="1676">
        <v>9</v>
      </c>
      <c r="C621" s="2580" t="s">
        <v>282</v>
      </c>
      <c r="D621" s="793">
        <v>8949957</v>
      </c>
      <c r="G621" s="396"/>
      <c r="I621" s="396"/>
      <c r="J621" s="396"/>
      <c r="K621" s="396"/>
      <c r="L621" s="396"/>
      <c r="M621" s="396"/>
      <c r="N621" s="396"/>
      <c r="O621" s="396"/>
      <c r="P621" s="396"/>
      <c r="Q621" s="396"/>
      <c r="R621" s="396"/>
      <c r="S621" s="396"/>
    </row>
    <row r="622" spans="2:20">
      <c r="B622" s="1674">
        <v>10</v>
      </c>
      <c r="C622" s="2569" t="s">
        <v>283</v>
      </c>
      <c r="D622" s="791"/>
      <c r="E622" s="293"/>
      <c r="G622" s="396"/>
      <c r="I622" s="396"/>
      <c r="J622" s="396"/>
      <c r="K622" s="396"/>
      <c r="L622" s="396"/>
      <c r="M622" s="396"/>
      <c r="N622" s="396"/>
      <c r="O622" s="396"/>
      <c r="P622" s="396"/>
      <c r="Q622" s="396"/>
      <c r="R622" s="396"/>
      <c r="S622" s="396"/>
      <c r="T622" s="396"/>
    </row>
    <row r="623" spans="2:20">
      <c r="B623" s="1674">
        <v>11</v>
      </c>
      <c r="C623" s="2569" t="s">
        <v>284</v>
      </c>
      <c r="D623" s="818">
        <v>5614599</v>
      </c>
      <c r="E623" s="293"/>
      <c r="G623" s="396"/>
      <c r="I623" s="396"/>
      <c r="J623" s="396"/>
      <c r="K623" s="396"/>
      <c r="L623" s="396"/>
      <c r="M623" s="396"/>
      <c r="N623" s="396"/>
      <c r="O623" s="396"/>
      <c r="P623" s="396"/>
      <c r="Q623" s="396"/>
      <c r="R623" s="396"/>
      <c r="S623" s="396"/>
      <c r="T623" s="396"/>
    </row>
    <row r="624" spans="2:20">
      <c r="B624" s="1674">
        <v>12</v>
      </c>
      <c r="C624" s="2569" t="s">
        <v>285</v>
      </c>
      <c r="D624" s="818">
        <v>2476303</v>
      </c>
      <c r="E624" s="293"/>
      <c r="G624" s="396"/>
      <c r="I624" s="396"/>
      <c r="J624" s="396"/>
      <c r="K624" s="396"/>
      <c r="L624" s="396"/>
      <c r="M624" s="396"/>
      <c r="N624" s="396"/>
      <c r="O624" s="396"/>
      <c r="P624" s="396"/>
      <c r="Q624" s="396"/>
      <c r="R624" s="396"/>
      <c r="S624" s="396"/>
      <c r="T624" s="396"/>
    </row>
    <row r="625" spans="2:20" ht="25.5">
      <c r="B625" s="1674">
        <v>13</v>
      </c>
      <c r="C625" s="2569" t="s">
        <v>286</v>
      </c>
      <c r="D625" s="818">
        <v>859055</v>
      </c>
      <c r="E625" s="293"/>
      <c r="G625" s="396"/>
      <c r="I625" s="396"/>
      <c r="J625" s="396"/>
      <c r="K625" s="396"/>
      <c r="L625" s="396"/>
      <c r="M625" s="396"/>
      <c r="N625" s="396"/>
      <c r="O625" s="396"/>
      <c r="P625" s="396"/>
      <c r="Q625" s="396"/>
      <c r="R625" s="396"/>
      <c r="S625" s="396"/>
      <c r="T625" s="396"/>
    </row>
    <row r="626" spans="2:20">
      <c r="B626" s="1674">
        <v>14</v>
      </c>
      <c r="C626" s="2570" t="s">
        <v>287</v>
      </c>
      <c r="D626" s="816"/>
      <c r="E626" s="293"/>
      <c r="G626" s="396"/>
      <c r="I626" s="396"/>
      <c r="J626" s="396"/>
      <c r="K626" s="396"/>
      <c r="L626" s="396"/>
      <c r="M626" s="396"/>
      <c r="N626" s="396"/>
      <c r="O626" s="396"/>
      <c r="P626" s="396"/>
      <c r="Q626" s="396"/>
      <c r="R626" s="396"/>
      <c r="S626" s="396"/>
      <c r="T626" s="396"/>
    </row>
    <row r="627" spans="2:20">
      <c r="B627" s="1674">
        <v>15</v>
      </c>
      <c r="C627" s="2570" t="s">
        <v>288</v>
      </c>
      <c r="D627" s="818">
        <v>623990</v>
      </c>
      <c r="E627" s="293"/>
      <c r="G627" s="396"/>
      <c r="I627" s="396"/>
      <c r="J627" s="396"/>
      <c r="K627" s="396"/>
      <c r="L627" s="396"/>
      <c r="M627" s="396"/>
      <c r="N627" s="396"/>
      <c r="O627" s="396"/>
      <c r="P627" s="396"/>
      <c r="Q627" s="396"/>
      <c r="R627" s="396"/>
      <c r="S627" s="396"/>
      <c r="T627" s="396"/>
    </row>
    <row r="628" spans="2:20">
      <c r="B628" s="1674">
        <v>16</v>
      </c>
      <c r="C628" s="2570" t="s">
        <v>289</v>
      </c>
      <c r="D628" s="818">
        <v>1032802</v>
      </c>
      <c r="E628" s="293"/>
      <c r="G628" s="396"/>
      <c r="I628" s="396"/>
      <c r="J628" s="396"/>
      <c r="K628" s="396"/>
      <c r="L628" s="396"/>
      <c r="M628" s="396"/>
      <c r="N628" s="396"/>
      <c r="O628" s="396"/>
      <c r="P628" s="396"/>
      <c r="Q628" s="396"/>
      <c r="R628" s="396"/>
      <c r="S628" s="396"/>
      <c r="T628" s="396"/>
    </row>
    <row r="629" spans="2:20">
      <c r="B629" s="1674">
        <v>17</v>
      </c>
      <c r="C629" s="2570" t="s">
        <v>290</v>
      </c>
      <c r="D629" s="818">
        <v>200401</v>
      </c>
      <c r="E629" s="383"/>
      <c r="G629" s="396"/>
      <c r="I629" s="396"/>
      <c r="J629" s="396"/>
      <c r="K629" s="396"/>
      <c r="L629" s="396"/>
      <c r="M629" s="396"/>
      <c r="N629" s="396"/>
      <c r="O629" s="396"/>
      <c r="P629" s="396"/>
      <c r="Q629" s="396"/>
      <c r="R629" s="396"/>
      <c r="S629" s="396"/>
      <c r="T629" s="396"/>
    </row>
    <row r="630" spans="2:20">
      <c r="B630" s="1674">
        <v>18</v>
      </c>
      <c r="C630" s="2570" t="s">
        <v>291</v>
      </c>
      <c r="D630" s="816"/>
      <c r="E630" s="293"/>
      <c r="G630" s="396"/>
      <c r="I630" s="396"/>
      <c r="J630" s="396"/>
      <c r="K630" s="396"/>
      <c r="L630" s="396"/>
      <c r="M630" s="396"/>
      <c r="N630" s="396"/>
      <c r="O630" s="396"/>
      <c r="P630" s="396"/>
      <c r="Q630" s="396"/>
      <c r="R630" s="396"/>
      <c r="S630" s="396"/>
      <c r="T630" s="396"/>
    </row>
    <row r="631" spans="2:20" ht="13.5" thickBot="1">
      <c r="B631" s="1674">
        <v>19</v>
      </c>
      <c r="C631" s="2571" t="s">
        <v>292</v>
      </c>
      <c r="D631" s="819">
        <v>68316</v>
      </c>
      <c r="E631" s="293"/>
      <c r="G631" s="396"/>
      <c r="I631" s="396"/>
      <c r="J631" s="396"/>
      <c r="K631" s="396"/>
      <c r="L631" s="396"/>
      <c r="M631" s="396"/>
      <c r="N631" s="396"/>
      <c r="O631" s="396"/>
      <c r="P631" s="396"/>
      <c r="Q631" s="396"/>
      <c r="R631" s="396"/>
      <c r="S631" s="396"/>
      <c r="T631" s="396"/>
    </row>
    <row r="632" spans="2:20" ht="26.25" thickBot="1">
      <c r="B632" s="1686">
        <v>20</v>
      </c>
      <c r="C632" s="1705" t="s">
        <v>293</v>
      </c>
      <c r="D632" s="1717">
        <v>11251468</v>
      </c>
      <c r="E632" s="293"/>
      <c r="G632" s="396"/>
      <c r="I632" s="396"/>
      <c r="J632" s="396"/>
      <c r="K632" s="396"/>
      <c r="L632" s="396"/>
      <c r="M632" s="396"/>
      <c r="N632" s="396"/>
      <c r="O632" s="396"/>
      <c r="P632" s="396"/>
      <c r="Q632" s="396"/>
      <c r="R632" s="396"/>
      <c r="S632" s="396"/>
      <c r="T632" s="396"/>
    </row>
    <row r="633" spans="2:20">
      <c r="B633" s="1674"/>
      <c r="C633" s="1678" t="s">
        <v>294</v>
      </c>
      <c r="D633" s="791"/>
      <c r="E633" s="293"/>
      <c r="G633" s="396"/>
      <c r="I633" s="396"/>
      <c r="J633" s="396"/>
      <c r="K633" s="396"/>
      <c r="L633" s="396"/>
      <c r="M633" s="396"/>
      <c r="N633" s="396"/>
      <c r="O633" s="396"/>
      <c r="P633" s="396"/>
      <c r="Q633" s="396"/>
      <c r="R633" s="396"/>
      <c r="S633" s="396"/>
      <c r="T633" s="396"/>
    </row>
    <row r="634" spans="2:20">
      <c r="B634" s="1674"/>
      <c r="C634" s="2588" t="s">
        <v>295</v>
      </c>
      <c r="D634" s="791"/>
      <c r="E634" s="293"/>
      <c r="G634" s="396"/>
      <c r="I634" s="396"/>
      <c r="J634" s="396"/>
      <c r="K634" s="396"/>
      <c r="L634" s="396"/>
      <c r="M634" s="396"/>
      <c r="N634" s="396"/>
      <c r="O634" s="396"/>
      <c r="P634" s="396"/>
      <c r="Q634" s="396"/>
      <c r="R634" s="396"/>
      <c r="S634" s="396"/>
      <c r="T634" s="396"/>
    </row>
    <row r="635" spans="2:20">
      <c r="B635" s="1674">
        <v>21</v>
      </c>
      <c r="C635" s="2570" t="s">
        <v>296</v>
      </c>
      <c r="D635" s="818">
        <v>4831514</v>
      </c>
      <c r="E635" s="293"/>
      <c r="G635" s="396"/>
      <c r="I635" s="396"/>
      <c r="J635" s="396"/>
      <c r="K635" s="396"/>
      <c r="L635" s="396"/>
      <c r="M635" s="396"/>
      <c r="N635" s="396"/>
      <c r="O635" s="396"/>
      <c r="P635" s="396"/>
      <c r="Q635" s="396"/>
      <c r="R635" s="396"/>
      <c r="S635" s="396"/>
      <c r="T635" s="396"/>
    </row>
    <row r="636" spans="2:20">
      <c r="B636" s="1674">
        <v>22</v>
      </c>
      <c r="C636" s="2570" t="s">
        <v>297</v>
      </c>
      <c r="D636" s="818">
        <v>50648</v>
      </c>
      <c r="E636" s="293"/>
      <c r="G636" s="396"/>
      <c r="I636" s="396"/>
      <c r="J636" s="396"/>
      <c r="K636" s="396"/>
      <c r="L636" s="396"/>
      <c r="M636" s="396"/>
      <c r="N636" s="396"/>
      <c r="O636" s="396"/>
      <c r="P636" s="396"/>
      <c r="Q636" s="396"/>
      <c r="R636" s="396"/>
      <c r="S636" s="396"/>
      <c r="T636" s="396"/>
    </row>
    <row r="637" spans="2:20">
      <c r="B637" s="1674">
        <v>23</v>
      </c>
      <c r="C637" s="2570" t="s">
        <v>298</v>
      </c>
      <c r="D637" s="818">
        <v>452788</v>
      </c>
      <c r="E637" s="293"/>
      <c r="G637" s="396"/>
      <c r="I637" s="396"/>
      <c r="J637" s="396"/>
      <c r="K637" s="396"/>
      <c r="L637" s="396"/>
      <c r="M637" s="396"/>
      <c r="N637" s="396"/>
      <c r="O637" s="396"/>
      <c r="P637" s="396"/>
      <c r="Q637" s="396"/>
      <c r="R637" s="396"/>
      <c r="S637" s="396"/>
      <c r="T637" s="396"/>
    </row>
    <row r="638" spans="2:20">
      <c r="B638" s="1674">
        <v>24</v>
      </c>
      <c r="C638" s="2570" t="s">
        <v>299</v>
      </c>
      <c r="D638" s="816"/>
      <c r="E638" s="293"/>
      <c r="G638" s="396"/>
      <c r="I638" s="396"/>
      <c r="J638" s="396"/>
      <c r="K638" s="396"/>
      <c r="L638" s="396"/>
      <c r="M638" s="396"/>
      <c r="N638" s="396"/>
      <c r="O638" s="396"/>
      <c r="P638" s="396"/>
      <c r="Q638" s="396"/>
      <c r="R638" s="396"/>
      <c r="S638" s="396"/>
      <c r="T638" s="396"/>
    </row>
    <row r="639" spans="2:20">
      <c r="B639" s="1674">
        <v>25</v>
      </c>
      <c r="C639" s="2569" t="s">
        <v>300</v>
      </c>
      <c r="D639" s="816"/>
      <c r="E639" s="293"/>
      <c r="G639" s="396"/>
      <c r="I639" s="396"/>
      <c r="J639" s="396"/>
      <c r="K639" s="396"/>
      <c r="L639" s="396"/>
      <c r="M639" s="396"/>
      <c r="N639" s="396"/>
      <c r="O639" s="396"/>
      <c r="P639" s="396"/>
      <c r="Q639" s="396"/>
      <c r="R639" s="396"/>
      <c r="S639" s="396"/>
      <c r="T639" s="396"/>
    </row>
    <row r="640" spans="2:20" ht="13.5" thickBot="1">
      <c r="B640" s="1674">
        <v>26</v>
      </c>
      <c r="C640" s="2571" t="s">
        <v>301</v>
      </c>
      <c r="D640" s="819">
        <v>974900</v>
      </c>
      <c r="E640" s="293"/>
      <c r="G640" s="396"/>
      <c r="I640" s="396"/>
      <c r="J640" s="396"/>
      <c r="K640" s="396"/>
      <c r="L640" s="396"/>
      <c r="M640" s="396"/>
      <c r="N640" s="396"/>
      <c r="O640" s="396"/>
      <c r="P640" s="396"/>
      <c r="Q640" s="396"/>
      <c r="R640" s="396"/>
      <c r="S640" s="396"/>
      <c r="T640" s="396"/>
    </row>
    <row r="641" spans="2:20" ht="26.25" thickBot="1">
      <c r="B641" s="1677">
        <v>27</v>
      </c>
      <c r="C641" s="1699" t="s">
        <v>302</v>
      </c>
      <c r="D641" s="820">
        <v>6309850</v>
      </c>
      <c r="E641" s="293"/>
      <c r="G641" s="396"/>
      <c r="I641" s="396"/>
      <c r="J641" s="396"/>
      <c r="K641" s="396"/>
      <c r="L641" s="396"/>
      <c r="M641" s="396"/>
      <c r="N641" s="396"/>
      <c r="O641" s="396"/>
      <c r="P641" s="396"/>
      <c r="Q641" s="396"/>
      <c r="R641" s="396"/>
      <c r="S641" s="396"/>
      <c r="T641" s="396"/>
    </row>
    <row r="642" spans="2:20">
      <c r="B642" s="1674"/>
      <c r="C642" s="1678" t="s">
        <v>303</v>
      </c>
      <c r="D642" s="841"/>
      <c r="E642" s="293"/>
      <c r="G642" s="396"/>
      <c r="I642" s="396"/>
      <c r="J642" s="396"/>
      <c r="K642" s="396"/>
      <c r="L642" s="396"/>
      <c r="M642" s="396"/>
      <c r="N642" s="396"/>
      <c r="O642" s="396"/>
      <c r="P642" s="396"/>
      <c r="Q642" s="396"/>
      <c r="R642" s="396"/>
      <c r="S642" s="396"/>
      <c r="T642" s="396"/>
    </row>
    <row r="643" spans="2:20">
      <c r="B643" s="1674">
        <v>28</v>
      </c>
      <c r="C643" s="2587" t="s">
        <v>304</v>
      </c>
      <c r="D643" s="818">
        <v>1350000</v>
      </c>
      <c r="E643" s="383"/>
      <c r="G643" s="396"/>
      <c r="I643" s="396"/>
      <c r="J643" s="396"/>
      <c r="K643" s="396"/>
      <c r="L643" s="396"/>
      <c r="M643" s="396"/>
      <c r="N643" s="396"/>
      <c r="O643" s="396"/>
      <c r="P643" s="396"/>
      <c r="Q643" s="396"/>
      <c r="R643" s="396"/>
      <c r="S643" s="396"/>
      <c r="T643" s="396"/>
    </row>
    <row r="644" spans="2:20">
      <c r="B644" s="1674">
        <v>29</v>
      </c>
      <c r="C644" s="2587" t="s">
        <v>305</v>
      </c>
      <c r="D644" s="818">
        <v>-7589</v>
      </c>
      <c r="E644" s="293"/>
      <c r="G644" s="396"/>
      <c r="I644" s="396"/>
      <c r="J644" s="396"/>
      <c r="K644" s="396"/>
      <c r="L644" s="396"/>
      <c r="M644" s="396"/>
      <c r="N644" s="396"/>
      <c r="O644" s="396"/>
      <c r="P644" s="396"/>
      <c r="Q644" s="396"/>
      <c r="R644" s="396"/>
      <c r="S644" s="396"/>
      <c r="T644" s="396"/>
    </row>
    <row r="645" spans="2:20">
      <c r="B645" s="1674">
        <v>30</v>
      </c>
      <c r="C645" s="2573" t="s">
        <v>306</v>
      </c>
      <c r="D645" s="816"/>
      <c r="E645" s="293"/>
      <c r="G645" s="396"/>
      <c r="I645" s="396"/>
      <c r="J645" s="396"/>
      <c r="K645" s="396"/>
      <c r="L645" s="396"/>
      <c r="M645" s="396"/>
      <c r="N645" s="396"/>
      <c r="O645" s="396"/>
      <c r="P645" s="396"/>
      <c r="Q645" s="396"/>
      <c r="R645" s="396"/>
      <c r="S645" s="396"/>
      <c r="T645" s="396"/>
    </row>
    <row r="646" spans="2:20" ht="13.5" thickBot="1">
      <c r="B646" s="1674">
        <v>31</v>
      </c>
      <c r="C646" s="2573" t="s">
        <v>308</v>
      </c>
      <c r="D646" s="819">
        <v>3599208</v>
      </c>
      <c r="E646" s="293"/>
      <c r="G646" s="396"/>
      <c r="I646" s="396"/>
      <c r="J646" s="396"/>
      <c r="K646" s="396"/>
      <c r="L646" s="396"/>
      <c r="M646" s="396"/>
      <c r="N646" s="396"/>
      <c r="O646" s="396"/>
      <c r="P646" s="396"/>
      <c r="Q646" s="396"/>
      <c r="R646" s="396"/>
      <c r="S646" s="396"/>
      <c r="T646" s="396"/>
    </row>
    <row r="647" spans="2:20" ht="13.5" thickBot="1">
      <c r="B647" s="1677">
        <v>32</v>
      </c>
      <c r="C647" s="1699" t="s">
        <v>309</v>
      </c>
      <c r="D647" s="820">
        <v>4941619</v>
      </c>
      <c r="E647" s="293"/>
      <c r="G647" s="396"/>
      <c r="I647" s="396"/>
      <c r="J647" s="396"/>
      <c r="K647" s="396"/>
      <c r="L647" s="396"/>
      <c r="M647" s="396"/>
      <c r="N647" s="396"/>
      <c r="O647" s="396"/>
      <c r="P647" s="396"/>
      <c r="Q647" s="396"/>
      <c r="R647" s="396"/>
      <c r="S647" s="396"/>
      <c r="T647" s="396"/>
    </row>
    <row r="648" spans="2:20" ht="26.25" thickBot="1">
      <c r="B648" s="1689">
        <v>33</v>
      </c>
      <c r="C648" s="1710" t="s">
        <v>310</v>
      </c>
      <c r="D648" s="1716">
        <v>11251468</v>
      </c>
      <c r="E648" s="293"/>
      <c r="G648" s="396"/>
      <c r="I648" s="396"/>
      <c r="J648" s="396"/>
      <c r="K648" s="396"/>
      <c r="L648" s="396"/>
      <c r="M648" s="396"/>
      <c r="N648" s="396"/>
      <c r="O648" s="396"/>
      <c r="P648" s="396"/>
      <c r="Q648" s="396"/>
      <c r="R648" s="396"/>
      <c r="S648" s="396"/>
      <c r="T648" s="396"/>
    </row>
    <row r="649" spans="2:20">
      <c r="B649" s="274"/>
      <c r="C649" s="391"/>
      <c r="D649" s="547"/>
      <c r="E649" s="383"/>
      <c r="F649" s="293"/>
      <c r="G649" s="396"/>
      <c r="I649" s="396"/>
      <c r="J649" s="396"/>
      <c r="K649" s="396"/>
      <c r="L649" s="396"/>
      <c r="M649" s="396"/>
      <c r="N649" s="396"/>
      <c r="O649" s="396"/>
      <c r="P649" s="396"/>
      <c r="Q649" s="396"/>
      <c r="R649" s="396"/>
      <c r="S649" s="396"/>
      <c r="T649" s="396"/>
    </row>
    <row r="650" spans="2:20">
      <c r="B650" s="274"/>
      <c r="C650" s="391"/>
      <c r="D650" s="547"/>
      <c r="E650" s="383"/>
      <c r="F650" s="293"/>
      <c r="H650" s="292">
        <v>93</v>
      </c>
      <c r="I650" s="396"/>
      <c r="J650" s="396"/>
      <c r="K650" s="396"/>
      <c r="L650" s="396"/>
      <c r="M650" s="396"/>
      <c r="N650" s="396"/>
      <c r="O650" s="396"/>
      <c r="P650" s="396"/>
      <c r="Q650" s="396"/>
      <c r="R650" s="396"/>
      <c r="S650" s="396"/>
      <c r="T650" s="396"/>
    </row>
    <row r="651" spans="2:20">
      <c r="B651" s="274"/>
      <c r="C651" s="391"/>
      <c r="D651" s="547"/>
      <c r="E651" s="383"/>
      <c r="F651" s="293"/>
      <c r="I651" s="396"/>
      <c r="J651" s="396"/>
      <c r="K651" s="396"/>
      <c r="L651" s="396"/>
      <c r="M651" s="396"/>
      <c r="N651" s="396"/>
      <c r="O651" s="396"/>
      <c r="P651" s="396"/>
      <c r="Q651" s="396"/>
      <c r="R651" s="396"/>
      <c r="S651" s="396"/>
      <c r="T651" s="396"/>
    </row>
    <row r="652" spans="2:20" ht="14.25">
      <c r="B652" s="3593" t="s">
        <v>404</v>
      </c>
      <c r="C652" s="3594"/>
      <c r="D652" s="3594"/>
      <c r="E652" s="3594"/>
      <c r="F652" s="3594"/>
      <c r="G652" s="3594"/>
      <c r="I652" s="396"/>
      <c r="J652" s="396"/>
      <c r="K652" s="396"/>
      <c r="L652" s="396"/>
      <c r="M652" s="396"/>
      <c r="N652" s="396"/>
      <c r="O652" s="396"/>
      <c r="P652" s="396"/>
      <c r="Q652" s="396"/>
      <c r="R652" s="396"/>
      <c r="S652" s="396"/>
      <c r="T652" s="396"/>
    </row>
    <row r="653" spans="2:20" ht="13.5" thickBot="1">
      <c r="B653" s="51"/>
      <c r="C653" s="51"/>
      <c r="D653" s="51"/>
      <c r="E653" s="51"/>
      <c r="F653" s="51"/>
      <c r="I653" s="396"/>
      <c r="J653" s="396"/>
      <c r="K653" s="396"/>
      <c r="L653" s="396"/>
      <c r="M653" s="396"/>
      <c r="N653" s="396"/>
      <c r="O653" s="396"/>
      <c r="P653" s="396"/>
      <c r="Q653" s="396"/>
      <c r="R653" s="396"/>
      <c r="S653" s="396"/>
      <c r="T653" s="396"/>
    </row>
    <row r="654" spans="2:20" ht="13.5" thickBot="1">
      <c r="B654" s="3582" t="s">
        <v>114</v>
      </c>
      <c r="C654" s="3583"/>
      <c r="D654" s="425"/>
      <c r="E654" s="51"/>
      <c r="F654" s="51"/>
      <c r="I654" s="396"/>
      <c r="J654" s="396"/>
      <c r="K654" s="396"/>
      <c r="L654" s="396"/>
      <c r="M654" s="396"/>
      <c r="N654" s="396"/>
      <c r="O654" s="396"/>
      <c r="P654" s="396"/>
      <c r="Q654" s="396"/>
      <c r="R654" s="396"/>
      <c r="S654" s="396"/>
      <c r="T654" s="396"/>
    </row>
    <row r="655" spans="2:20">
      <c r="B655" s="3520" t="s">
        <v>372</v>
      </c>
      <c r="C655" s="3585"/>
      <c r="D655" s="3518" t="s">
        <v>391</v>
      </c>
      <c r="E655" s="51"/>
      <c r="F655" s="51"/>
      <c r="I655" s="396"/>
      <c r="J655" s="396"/>
      <c r="K655" s="396"/>
      <c r="L655" s="396"/>
      <c r="M655" s="396"/>
      <c r="N655" s="396"/>
      <c r="O655" s="396"/>
      <c r="P655" s="396"/>
      <c r="Q655" s="396"/>
      <c r="R655" s="396"/>
      <c r="S655" s="396"/>
      <c r="T655" s="396"/>
    </row>
    <row r="656" spans="2:20">
      <c r="B656" s="3520"/>
      <c r="C656" s="3585"/>
      <c r="D656" s="3520"/>
      <c r="E656" s="51"/>
      <c r="F656" s="51"/>
      <c r="I656" s="396"/>
      <c r="J656" s="396"/>
      <c r="K656" s="396"/>
      <c r="L656" s="396"/>
      <c r="M656" s="396"/>
      <c r="N656" s="396"/>
      <c r="O656" s="396"/>
      <c r="P656" s="396"/>
      <c r="Q656" s="396"/>
      <c r="R656" s="396"/>
      <c r="S656" s="396"/>
      <c r="T656" s="396"/>
    </row>
    <row r="657" spans="2:20">
      <c r="B657" s="3519"/>
      <c r="C657" s="3586"/>
      <c r="D657" s="3519"/>
      <c r="E657" s="51"/>
      <c r="F657" s="51"/>
      <c r="I657" s="396"/>
      <c r="J657" s="396"/>
      <c r="K657" s="396"/>
      <c r="L657" s="396"/>
      <c r="M657" s="396"/>
      <c r="N657" s="396"/>
      <c r="O657" s="396"/>
      <c r="P657" s="396"/>
      <c r="Q657" s="396"/>
      <c r="R657" s="396"/>
      <c r="S657" s="396"/>
      <c r="T657" s="396"/>
    </row>
    <row r="658" spans="2:20" ht="15">
      <c r="B658" s="1674"/>
      <c r="C658" s="1681" t="s">
        <v>269</v>
      </c>
      <c r="D658" s="754"/>
      <c r="E658" s="51"/>
      <c r="F658" s="51"/>
      <c r="I658" s="396"/>
      <c r="J658" s="396"/>
      <c r="K658" s="396"/>
      <c r="L658" s="396"/>
      <c r="M658" s="396"/>
      <c r="N658" s="396"/>
      <c r="O658" s="396"/>
      <c r="P658" s="396"/>
      <c r="Q658" s="396"/>
      <c r="R658" s="396"/>
      <c r="S658" s="396"/>
      <c r="T658" s="396"/>
    </row>
    <row r="659" spans="2:20">
      <c r="B659" s="1674">
        <v>1</v>
      </c>
      <c r="C659" s="2587" t="s">
        <v>270</v>
      </c>
      <c r="D659" s="791"/>
      <c r="E659" s="51"/>
      <c r="F659" s="651"/>
      <c r="I659" s="396"/>
      <c r="J659" s="396"/>
      <c r="K659" s="396"/>
      <c r="L659" s="396"/>
      <c r="M659" s="396"/>
      <c r="N659" s="396"/>
      <c r="O659" s="396"/>
      <c r="P659" s="396"/>
      <c r="Q659" s="396"/>
      <c r="R659" s="396"/>
      <c r="S659" s="396"/>
      <c r="T659" s="396"/>
    </row>
    <row r="660" spans="2:20">
      <c r="B660" s="1674">
        <v>2</v>
      </c>
      <c r="C660" s="1984" t="s">
        <v>271</v>
      </c>
      <c r="D660" s="808"/>
      <c r="E660" s="51"/>
      <c r="F660" s="651"/>
      <c r="I660" s="396"/>
      <c r="J660" s="396"/>
      <c r="K660" s="396"/>
      <c r="L660" s="396"/>
      <c r="M660" s="396"/>
      <c r="N660" s="396"/>
      <c r="O660" s="396"/>
      <c r="P660" s="396"/>
      <c r="Q660" s="396"/>
      <c r="R660" s="396"/>
      <c r="S660" s="396"/>
      <c r="T660" s="396"/>
    </row>
    <row r="661" spans="2:20">
      <c r="B661" s="1674">
        <v>3</v>
      </c>
      <c r="C661" s="2587" t="s">
        <v>272</v>
      </c>
      <c r="D661" s="783"/>
      <c r="E661" s="51"/>
      <c r="F661" s="651"/>
      <c r="I661" s="396"/>
      <c r="J661" s="396"/>
      <c r="K661" s="396"/>
      <c r="L661" s="396"/>
      <c r="M661" s="396"/>
      <c r="N661" s="396"/>
      <c r="O661" s="396"/>
      <c r="P661" s="396"/>
      <c r="Q661" s="396"/>
      <c r="R661" s="396"/>
      <c r="S661" s="396"/>
      <c r="T661" s="396"/>
    </row>
    <row r="662" spans="2:20">
      <c r="B662" s="1674">
        <v>4</v>
      </c>
      <c r="C662" s="2589" t="s">
        <v>273</v>
      </c>
      <c r="D662" s="783"/>
      <c r="E662" s="51"/>
      <c r="F662" s="651"/>
      <c r="G662" s="396"/>
      <c r="I662" s="396"/>
      <c r="J662" s="396"/>
      <c r="K662" s="396"/>
      <c r="L662" s="396"/>
      <c r="M662" s="396"/>
      <c r="N662" s="396"/>
      <c r="O662" s="396"/>
      <c r="P662" s="396"/>
      <c r="Q662" s="396"/>
      <c r="R662" s="396"/>
      <c r="S662" s="396"/>
      <c r="T662" s="396"/>
    </row>
    <row r="663" spans="2:20">
      <c r="B663" s="1674">
        <v>5</v>
      </c>
      <c r="C663" s="2587" t="s">
        <v>274</v>
      </c>
      <c r="D663" s="781">
        <v>84812</v>
      </c>
      <c r="E663" s="51"/>
      <c r="F663" s="651"/>
      <c r="G663" s="396"/>
      <c r="I663" s="396"/>
      <c r="J663" s="396"/>
      <c r="K663" s="396"/>
      <c r="L663" s="396"/>
      <c r="M663" s="396"/>
      <c r="N663" s="396"/>
      <c r="O663" s="396"/>
      <c r="P663" s="396"/>
      <c r="Q663" s="396"/>
      <c r="R663" s="396"/>
      <c r="S663" s="396"/>
      <c r="T663" s="396"/>
    </row>
    <row r="664" spans="2:20">
      <c r="B664" s="1674">
        <v>6</v>
      </c>
      <c r="C664" s="2587" t="s">
        <v>275</v>
      </c>
      <c r="D664" s="781">
        <v>75000</v>
      </c>
      <c r="E664" s="51"/>
      <c r="F664" s="651"/>
      <c r="G664" s="396"/>
      <c r="I664" s="396"/>
      <c r="J664" s="396"/>
      <c r="K664" s="396"/>
      <c r="L664" s="396"/>
      <c r="M664" s="396"/>
      <c r="N664" s="396"/>
      <c r="O664" s="396"/>
      <c r="P664" s="396"/>
      <c r="Q664" s="396"/>
      <c r="R664" s="396"/>
      <c r="S664" s="396"/>
      <c r="T664" s="396"/>
    </row>
    <row r="665" spans="2:20">
      <c r="B665" s="1674">
        <v>7</v>
      </c>
      <c r="C665" s="2587" t="s">
        <v>276</v>
      </c>
      <c r="D665" s="791"/>
      <c r="E665" s="51"/>
      <c r="F665" s="651"/>
      <c r="G665" s="396"/>
      <c r="I665" s="396"/>
      <c r="J665" s="396"/>
      <c r="K665" s="396"/>
      <c r="L665" s="396"/>
      <c r="M665" s="396"/>
      <c r="N665" s="396"/>
      <c r="O665" s="396"/>
      <c r="P665" s="396"/>
      <c r="Q665" s="396"/>
      <c r="R665" s="396"/>
      <c r="S665" s="396"/>
      <c r="T665" s="396"/>
    </row>
    <row r="666" spans="2:20">
      <c r="B666" s="1674"/>
      <c r="C666" s="2569" t="s">
        <v>393</v>
      </c>
      <c r="D666" s="791"/>
      <c r="E666" s="51"/>
      <c r="F666" s="651"/>
      <c r="G666" s="396"/>
      <c r="I666" s="396"/>
      <c r="J666" s="396"/>
      <c r="K666" s="396"/>
      <c r="L666" s="396"/>
      <c r="M666" s="396"/>
      <c r="N666" s="396"/>
      <c r="O666" s="396"/>
      <c r="P666" s="396"/>
      <c r="Q666" s="396"/>
      <c r="R666" s="396"/>
      <c r="S666" s="396"/>
      <c r="T666" s="396"/>
    </row>
    <row r="667" spans="2:20">
      <c r="B667" s="1674"/>
      <c r="C667" s="2569" t="s">
        <v>394</v>
      </c>
      <c r="D667" s="791"/>
      <c r="E667" s="51"/>
      <c r="F667" s="651"/>
      <c r="G667" s="396"/>
      <c r="I667" s="396"/>
      <c r="J667" s="396"/>
      <c r="K667" s="396"/>
      <c r="L667" s="396"/>
      <c r="M667" s="396"/>
      <c r="N667" s="396"/>
      <c r="O667" s="396"/>
      <c r="P667" s="396"/>
      <c r="Q667" s="396"/>
      <c r="R667" s="396"/>
      <c r="S667" s="396"/>
      <c r="T667" s="396"/>
    </row>
    <row r="668" spans="2:20">
      <c r="B668" s="1674">
        <v>8</v>
      </c>
      <c r="C668" s="2587" t="s">
        <v>279</v>
      </c>
      <c r="D668" s="791"/>
      <c r="E668" s="51"/>
      <c r="F668" s="651"/>
      <c r="G668" s="396"/>
      <c r="I668" s="396"/>
      <c r="J668" s="396"/>
      <c r="K668" s="396"/>
      <c r="L668" s="396"/>
      <c r="M668" s="396"/>
      <c r="N668" s="396"/>
      <c r="O668" s="396"/>
      <c r="P668" s="396"/>
      <c r="Q668" s="396"/>
      <c r="R668" s="396"/>
      <c r="S668" s="396"/>
      <c r="T668" s="396"/>
    </row>
    <row r="669" spans="2:20">
      <c r="B669" s="1674"/>
      <c r="C669" s="2569" t="s">
        <v>395</v>
      </c>
      <c r="D669" s="791"/>
      <c r="E669" s="51"/>
      <c r="F669" s="651"/>
      <c r="G669" s="396"/>
      <c r="I669" s="396"/>
      <c r="J669" s="396"/>
      <c r="K669" s="396"/>
      <c r="L669" s="396"/>
      <c r="M669" s="396"/>
      <c r="N669" s="396"/>
      <c r="O669" s="396"/>
      <c r="P669" s="396"/>
      <c r="Q669" s="396"/>
      <c r="R669" s="396"/>
      <c r="S669" s="396"/>
      <c r="T669" s="396"/>
    </row>
    <row r="670" spans="2:20">
      <c r="B670" s="1674"/>
      <c r="C670" s="2569" t="s">
        <v>396</v>
      </c>
      <c r="D670" s="791"/>
      <c r="E670" s="51"/>
      <c r="F670" s="651"/>
      <c r="G670" s="396"/>
      <c r="I670" s="396"/>
      <c r="J670" s="396"/>
      <c r="K670" s="396"/>
      <c r="L670" s="396"/>
      <c r="M670" s="396"/>
      <c r="N670" s="396"/>
      <c r="O670" s="396"/>
      <c r="P670" s="396"/>
      <c r="Q670" s="396"/>
      <c r="R670" s="396"/>
      <c r="S670" s="396"/>
      <c r="T670" s="396"/>
    </row>
    <row r="671" spans="2:20" ht="25.5">
      <c r="B671" s="1676">
        <v>9</v>
      </c>
      <c r="C671" s="2580" t="s">
        <v>282</v>
      </c>
      <c r="D671" s="793">
        <v>796648</v>
      </c>
      <c r="E671" s="51"/>
      <c r="F671" s="651"/>
      <c r="G671" s="396"/>
      <c r="I671" s="396"/>
      <c r="J671" s="396"/>
      <c r="K671" s="396"/>
      <c r="L671" s="396"/>
      <c r="M671" s="396"/>
      <c r="N671" s="396"/>
      <c r="O671" s="396"/>
      <c r="P671" s="396"/>
      <c r="Q671" s="396"/>
      <c r="R671" s="396"/>
      <c r="S671" s="396"/>
      <c r="T671" s="396"/>
    </row>
    <row r="672" spans="2:20">
      <c r="B672" s="1674">
        <v>10</v>
      </c>
      <c r="C672" s="2569" t="s">
        <v>283</v>
      </c>
      <c r="D672" s="791"/>
      <c r="E672" s="51"/>
      <c r="F672" s="651"/>
      <c r="G672" s="396"/>
      <c r="I672" s="396"/>
      <c r="J672" s="396"/>
      <c r="K672" s="396"/>
      <c r="L672" s="396"/>
      <c r="M672" s="396"/>
      <c r="N672" s="396"/>
      <c r="O672" s="396"/>
      <c r="P672" s="396"/>
      <c r="Q672" s="396"/>
      <c r="R672" s="396"/>
      <c r="S672" s="396"/>
      <c r="T672" s="396"/>
    </row>
    <row r="673" spans="2:20">
      <c r="B673" s="1674">
        <v>11</v>
      </c>
      <c r="C673" s="2569" t="s">
        <v>284</v>
      </c>
      <c r="D673" s="781">
        <v>681131</v>
      </c>
      <c r="E673" s="51"/>
      <c r="F673" s="651"/>
      <c r="G673" s="396"/>
      <c r="I673" s="396"/>
      <c r="J673" s="396"/>
      <c r="K673" s="396"/>
      <c r="L673" s="396"/>
      <c r="M673" s="396"/>
      <c r="N673" s="396"/>
      <c r="O673" s="396"/>
      <c r="P673" s="396"/>
      <c r="Q673" s="396"/>
      <c r="R673" s="396"/>
      <c r="S673" s="396"/>
      <c r="T673" s="396"/>
    </row>
    <row r="674" spans="2:20">
      <c r="B674" s="1674">
        <v>12</v>
      </c>
      <c r="C674" s="2569" t="s">
        <v>285</v>
      </c>
      <c r="D674" s="783"/>
      <c r="E674" s="51"/>
      <c r="F674" s="651"/>
      <c r="G674" s="396"/>
      <c r="I674" s="396"/>
      <c r="J674" s="396"/>
      <c r="K674" s="396"/>
      <c r="L674" s="396"/>
      <c r="M674" s="396"/>
      <c r="N674" s="396"/>
      <c r="O674" s="396"/>
      <c r="P674" s="396"/>
      <c r="Q674" s="396"/>
      <c r="R674" s="396"/>
      <c r="S674" s="396"/>
      <c r="T674" s="396"/>
    </row>
    <row r="675" spans="2:20" ht="25.5">
      <c r="B675" s="1674">
        <v>13</v>
      </c>
      <c r="C675" s="2569" t="s">
        <v>286</v>
      </c>
      <c r="D675" s="781">
        <v>115517</v>
      </c>
      <c r="E675" s="51"/>
      <c r="F675" s="651"/>
      <c r="G675" s="396"/>
      <c r="I675" s="396"/>
      <c r="J675" s="396"/>
      <c r="K675" s="396"/>
      <c r="L675" s="396"/>
      <c r="M675" s="396"/>
      <c r="N675" s="396"/>
      <c r="O675" s="396"/>
      <c r="P675" s="396"/>
      <c r="Q675" s="396"/>
      <c r="R675" s="396"/>
      <c r="S675" s="396"/>
      <c r="T675" s="396"/>
    </row>
    <row r="676" spans="2:20">
      <c r="B676" s="1674">
        <v>14</v>
      </c>
      <c r="C676" s="2570" t="s">
        <v>287</v>
      </c>
      <c r="D676" s="783"/>
      <c r="E676" s="51"/>
      <c r="F676" s="651"/>
      <c r="G676" s="396"/>
      <c r="I676" s="396"/>
      <c r="J676" s="396"/>
      <c r="K676" s="396"/>
      <c r="L676" s="396"/>
      <c r="M676" s="396"/>
      <c r="N676" s="396"/>
      <c r="O676" s="396"/>
      <c r="P676" s="396"/>
      <c r="Q676" s="396"/>
      <c r="R676" s="396"/>
      <c r="S676" s="396"/>
      <c r="T676" s="396"/>
    </row>
    <row r="677" spans="2:20">
      <c r="B677" s="1674">
        <v>15</v>
      </c>
      <c r="C677" s="2570" t="s">
        <v>288</v>
      </c>
      <c r="D677" s="781">
        <v>36956</v>
      </c>
      <c r="E677" s="51"/>
      <c r="F677" s="651"/>
      <c r="G677" s="396"/>
      <c r="I677" s="396"/>
      <c r="J677" s="396"/>
      <c r="K677" s="396"/>
      <c r="L677" s="396"/>
      <c r="M677" s="396"/>
      <c r="N677" s="396"/>
      <c r="O677" s="396"/>
      <c r="P677" s="396"/>
      <c r="Q677" s="396"/>
      <c r="R677" s="396"/>
      <c r="S677" s="396"/>
      <c r="T677" s="396"/>
    </row>
    <row r="678" spans="2:20">
      <c r="B678" s="1674">
        <v>16</v>
      </c>
      <c r="C678" s="2570" t="s">
        <v>289</v>
      </c>
      <c r="D678" s="781">
        <v>151870</v>
      </c>
      <c r="E678" s="51"/>
      <c r="F678" s="651"/>
      <c r="G678" s="396"/>
      <c r="I678" s="396"/>
      <c r="J678" s="396"/>
      <c r="K678" s="396"/>
      <c r="L678" s="396"/>
      <c r="M678" s="396"/>
      <c r="N678" s="396"/>
      <c r="O678" s="396"/>
      <c r="P678" s="396"/>
      <c r="Q678" s="396"/>
      <c r="R678" s="396"/>
      <c r="S678" s="396"/>
      <c r="T678" s="396"/>
    </row>
    <row r="679" spans="2:20">
      <c r="B679" s="1674">
        <v>17</v>
      </c>
      <c r="C679" s="2570" t="s">
        <v>290</v>
      </c>
      <c r="D679" s="781">
        <v>161984</v>
      </c>
      <c r="E679" s="51"/>
      <c r="F679" s="651"/>
      <c r="G679" s="396"/>
      <c r="I679" s="396"/>
      <c r="J679" s="396"/>
      <c r="K679" s="396"/>
      <c r="L679" s="396"/>
      <c r="M679" s="396"/>
      <c r="N679" s="396"/>
      <c r="O679" s="396"/>
      <c r="P679" s="396"/>
      <c r="Q679" s="396"/>
      <c r="R679" s="396"/>
      <c r="S679" s="396"/>
      <c r="T679" s="396"/>
    </row>
    <row r="680" spans="2:20">
      <c r="B680" s="1674">
        <v>18</v>
      </c>
      <c r="C680" s="2570" t="s">
        <v>291</v>
      </c>
      <c r="D680" s="783">
        <v>0</v>
      </c>
      <c r="E680" s="51"/>
      <c r="F680" s="651"/>
      <c r="G680" s="396"/>
      <c r="I680" s="396"/>
      <c r="J680" s="396"/>
      <c r="K680" s="396"/>
      <c r="L680" s="396"/>
      <c r="M680" s="396"/>
      <c r="N680" s="396"/>
      <c r="O680" s="396"/>
      <c r="P680" s="396"/>
      <c r="Q680" s="396"/>
      <c r="R680" s="396"/>
      <c r="S680" s="396"/>
      <c r="T680" s="396"/>
    </row>
    <row r="681" spans="2:20" ht="13.5" thickBot="1">
      <c r="B681" s="1674">
        <v>19</v>
      </c>
      <c r="C681" s="2571" t="s">
        <v>292</v>
      </c>
      <c r="D681" s="786">
        <v>64969</v>
      </c>
      <c r="E681" s="51"/>
      <c r="F681" s="651"/>
      <c r="G681" s="396"/>
      <c r="I681" s="396"/>
      <c r="J681" s="396"/>
      <c r="K681" s="396"/>
      <c r="L681" s="396"/>
      <c r="M681" s="396"/>
      <c r="N681" s="396"/>
      <c r="O681" s="396"/>
      <c r="P681" s="396"/>
      <c r="Q681" s="396"/>
      <c r="R681" s="396"/>
      <c r="S681" s="396"/>
      <c r="T681" s="396"/>
    </row>
    <row r="682" spans="2:20" ht="26.25" thickBot="1">
      <c r="B682" s="1677">
        <v>20</v>
      </c>
      <c r="C682" s="1699" t="s">
        <v>293</v>
      </c>
      <c r="D682" s="787">
        <v>1372239</v>
      </c>
      <c r="E682" s="51"/>
      <c r="F682" s="651"/>
      <c r="G682" s="396"/>
      <c r="I682" s="396"/>
      <c r="J682" s="396"/>
      <c r="K682" s="396"/>
      <c r="L682" s="396"/>
      <c r="M682" s="396"/>
      <c r="N682" s="396"/>
      <c r="O682" s="396"/>
      <c r="P682" s="396"/>
      <c r="Q682" s="396"/>
      <c r="R682" s="396"/>
      <c r="S682" s="396"/>
      <c r="T682" s="396"/>
    </row>
    <row r="683" spans="2:20">
      <c r="B683" s="1674"/>
      <c r="C683" s="1678" t="s">
        <v>294</v>
      </c>
      <c r="D683" s="791"/>
      <c r="E683" s="51"/>
      <c r="F683" s="651"/>
      <c r="G683" s="396"/>
      <c r="I683" s="396"/>
      <c r="J683" s="396"/>
      <c r="K683" s="396"/>
      <c r="L683" s="396"/>
      <c r="M683" s="396"/>
      <c r="N683" s="396"/>
      <c r="O683" s="396"/>
      <c r="P683" s="396"/>
      <c r="Q683" s="396"/>
      <c r="R683" s="396"/>
      <c r="S683" s="396"/>
      <c r="T683" s="396"/>
    </row>
    <row r="684" spans="2:20">
      <c r="B684" s="1674"/>
      <c r="C684" s="2588" t="s">
        <v>295</v>
      </c>
      <c r="D684" s="791"/>
      <c r="E684" s="51"/>
      <c r="F684" s="651"/>
      <c r="G684" s="396"/>
      <c r="I684" s="396"/>
      <c r="J684" s="396"/>
      <c r="K684" s="396"/>
      <c r="L684" s="396"/>
      <c r="M684" s="396"/>
      <c r="N684" s="396"/>
      <c r="O684" s="396"/>
      <c r="P684" s="396"/>
      <c r="Q684" s="396"/>
      <c r="R684" s="396"/>
      <c r="S684" s="396"/>
      <c r="T684" s="396"/>
    </row>
    <row r="685" spans="2:20">
      <c r="B685" s="1674">
        <v>21</v>
      </c>
      <c r="C685" s="2570" t="s">
        <v>296</v>
      </c>
      <c r="D685" s="781">
        <v>405496</v>
      </c>
      <c r="E685" s="51"/>
      <c r="F685" s="651"/>
      <c r="G685" s="396"/>
      <c r="I685" s="396"/>
      <c r="J685" s="396"/>
      <c r="K685" s="396"/>
      <c r="L685" s="396"/>
      <c r="M685" s="396"/>
      <c r="N685" s="396"/>
      <c r="O685" s="396"/>
      <c r="P685" s="396"/>
      <c r="Q685" s="396"/>
      <c r="R685" s="396"/>
      <c r="S685" s="396"/>
      <c r="T685" s="396"/>
    </row>
    <row r="686" spans="2:20">
      <c r="B686" s="1674">
        <v>22</v>
      </c>
      <c r="C686" s="2570" t="s">
        <v>297</v>
      </c>
      <c r="D686" s="781">
        <v>20374</v>
      </c>
      <c r="E686" s="51"/>
      <c r="F686" s="651"/>
      <c r="G686" s="396"/>
      <c r="I686" s="396"/>
      <c r="J686" s="396"/>
      <c r="K686" s="396"/>
      <c r="L686" s="396"/>
      <c r="M686" s="396"/>
      <c r="N686" s="396"/>
      <c r="O686" s="396"/>
      <c r="P686" s="396"/>
      <c r="Q686" s="396"/>
      <c r="R686" s="396"/>
      <c r="S686" s="396"/>
      <c r="T686" s="396"/>
    </row>
    <row r="687" spans="2:20">
      <c r="B687" s="1674">
        <v>23</v>
      </c>
      <c r="C687" s="2570" t="s">
        <v>298</v>
      </c>
      <c r="D687" s="781">
        <v>43905</v>
      </c>
      <c r="E687" s="51"/>
      <c r="F687" s="651"/>
      <c r="G687" s="396"/>
      <c r="I687" s="396"/>
      <c r="J687" s="396"/>
      <c r="K687" s="396"/>
      <c r="L687" s="396"/>
      <c r="M687" s="396"/>
      <c r="N687" s="396"/>
      <c r="O687" s="396"/>
      <c r="P687" s="396"/>
      <c r="Q687" s="396"/>
      <c r="R687" s="396"/>
      <c r="S687" s="396"/>
      <c r="T687" s="396"/>
    </row>
    <row r="688" spans="2:20">
      <c r="B688" s="1674">
        <v>24</v>
      </c>
      <c r="C688" s="2570" t="s">
        <v>299</v>
      </c>
      <c r="D688" s="783"/>
      <c r="E688" s="51"/>
      <c r="F688" s="651"/>
      <c r="G688" s="396"/>
      <c r="I688" s="396"/>
      <c r="J688" s="396"/>
      <c r="K688" s="396"/>
      <c r="L688" s="396"/>
      <c r="M688" s="396"/>
      <c r="N688" s="396"/>
      <c r="O688" s="396"/>
      <c r="P688" s="396"/>
      <c r="Q688" s="396"/>
      <c r="R688" s="396"/>
      <c r="S688" s="396"/>
      <c r="T688" s="396"/>
    </row>
    <row r="689" spans="2:20">
      <c r="B689" s="1674">
        <v>25</v>
      </c>
      <c r="C689" s="2569" t="s">
        <v>300</v>
      </c>
      <c r="D689" s="783"/>
      <c r="E689" s="51"/>
      <c r="F689" s="651"/>
      <c r="G689" s="396"/>
      <c r="I689" s="396"/>
      <c r="J689" s="396"/>
      <c r="K689" s="396"/>
      <c r="L689" s="396"/>
      <c r="M689" s="396"/>
      <c r="N689" s="396"/>
      <c r="O689" s="396"/>
      <c r="P689" s="396"/>
      <c r="Q689" s="396"/>
      <c r="R689" s="396"/>
      <c r="S689" s="396"/>
      <c r="T689" s="396"/>
    </row>
    <row r="690" spans="2:20" ht="13.5" thickBot="1">
      <c r="B690" s="1674">
        <v>26</v>
      </c>
      <c r="C690" s="2571" t="s">
        <v>301</v>
      </c>
      <c r="D690" s="786">
        <v>161652</v>
      </c>
      <c r="E690" s="51"/>
      <c r="F690" s="651"/>
      <c r="G690" s="396"/>
      <c r="I690" s="396"/>
      <c r="J690" s="396"/>
      <c r="K690" s="396"/>
      <c r="L690" s="396"/>
      <c r="M690" s="396"/>
      <c r="N690" s="396"/>
      <c r="O690" s="396"/>
      <c r="P690" s="396"/>
      <c r="Q690" s="396"/>
      <c r="R690" s="396"/>
      <c r="S690" s="396"/>
      <c r="T690" s="396"/>
    </row>
    <row r="691" spans="2:20" ht="26.25" thickBot="1">
      <c r="B691" s="1686">
        <v>27</v>
      </c>
      <c r="C691" s="1705" t="s">
        <v>302</v>
      </c>
      <c r="D691" s="1714">
        <v>631427</v>
      </c>
      <c r="E691" s="51"/>
      <c r="F691" s="651"/>
      <c r="G691" s="396"/>
      <c r="I691" s="396"/>
      <c r="J691" s="396"/>
      <c r="K691" s="396"/>
      <c r="L691" s="396"/>
      <c r="M691" s="396"/>
      <c r="N691" s="396"/>
      <c r="O691" s="396"/>
      <c r="P691" s="396"/>
      <c r="Q691" s="396"/>
      <c r="R691" s="396"/>
      <c r="S691" s="396"/>
      <c r="T691" s="396"/>
    </row>
    <row r="692" spans="2:20">
      <c r="B692" s="1674"/>
      <c r="C692" s="1678" t="s">
        <v>303</v>
      </c>
      <c r="D692" s="791"/>
      <c r="E692" s="51"/>
      <c r="F692" s="651"/>
      <c r="G692" s="396"/>
      <c r="I692" s="396"/>
      <c r="J692" s="396"/>
      <c r="K692" s="396"/>
      <c r="L692" s="396"/>
      <c r="M692" s="396"/>
      <c r="N692" s="396"/>
      <c r="O692" s="396"/>
      <c r="P692" s="396"/>
      <c r="Q692" s="396"/>
      <c r="R692" s="396"/>
      <c r="S692" s="396"/>
      <c r="T692" s="396"/>
    </row>
    <row r="693" spans="2:20">
      <c r="B693" s="1674">
        <v>28</v>
      </c>
      <c r="C693" s="2587" t="s">
        <v>304</v>
      </c>
      <c r="D693" s="781">
        <v>508996</v>
      </c>
      <c r="E693" s="51"/>
      <c r="F693" s="651"/>
      <c r="G693" s="396"/>
      <c r="I693" s="396"/>
      <c r="J693" s="396"/>
      <c r="K693" s="396"/>
      <c r="L693" s="396"/>
      <c r="M693" s="396"/>
      <c r="N693" s="396"/>
      <c r="O693" s="396"/>
      <c r="P693" s="396"/>
      <c r="Q693" s="396"/>
      <c r="R693" s="396"/>
      <c r="S693" s="396"/>
      <c r="T693" s="396"/>
    </row>
    <row r="694" spans="2:20">
      <c r="B694" s="1674">
        <v>29</v>
      </c>
      <c r="C694" s="2587" t="s">
        <v>305</v>
      </c>
      <c r="D694" s="783"/>
      <c r="E694" s="51"/>
      <c r="F694" s="651"/>
      <c r="G694" s="396"/>
      <c r="I694" s="396"/>
      <c r="J694" s="396"/>
      <c r="K694" s="396"/>
      <c r="L694" s="396"/>
      <c r="M694" s="396"/>
      <c r="N694" s="396"/>
      <c r="O694" s="396"/>
      <c r="P694" s="396"/>
      <c r="Q694" s="396"/>
      <c r="R694" s="396"/>
      <c r="S694" s="396"/>
      <c r="T694" s="396"/>
    </row>
    <row r="695" spans="2:20">
      <c r="B695" s="1674">
        <v>30</v>
      </c>
      <c r="C695" s="2573" t="s">
        <v>306</v>
      </c>
      <c r="D695" s="783"/>
      <c r="E695" s="51"/>
      <c r="F695" s="651"/>
      <c r="G695" s="396"/>
      <c r="I695" s="396"/>
      <c r="J695" s="396"/>
      <c r="K695" s="396"/>
      <c r="L695" s="396"/>
      <c r="M695" s="396"/>
      <c r="N695" s="396"/>
      <c r="O695" s="396"/>
      <c r="P695" s="396"/>
      <c r="Q695" s="396"/>
      <c r="R695" s="396"/>
      <c r="S695" s="396"/>
      <c r="T695" s="396"/>
    </row>
    <row r="696" spans="2:20" ht="13.5" thickBot="1">
      <c r="B696" s="1674">
        <v>31</v>
      </c>
      <c r="C696" s="2573" t="s">
        <v>308</v>
      </c>
      <c r="D696" s="786">
        <v>231819</v>
      </c>
      <c r="E696" s="51"/>
      <c r="F696" s="651"/>
      <c r="G696" s="396"/>
      <c r="I696" s="396"/>
      <c r="J696" s="396"/>
      <c r="K696" s="396"/>
      <c r="L696" s="396"/>
      <c r="M696" s="396"/>
      <c r="N696" s="396"/>
      <c r="O696" s="396"/>
      <c r="P696" s="396"/>
      <c r="Q696" s="396"/>
      <c r="R696" s="396"/>
      <c r="S696" s="396"/>
      <c r="T696" s="396"/>
    </row>
    <row r="697" spans="2:20" ht="13.5" thickBot="1">
      <c r="B697" s="1677">
        <v>32</v>
      </c>
      <c r="C697" s="1699" t="s">
        <v>309</v>
      </c>
      <c r="D697" s="787">
        <v>740815</v>
      </c>
      <c r="E697" s="51"/>
      <c r="F697" s="651"/>
      <c r="G697" s="396"/>
      <c r="I697" s="396"/>
      <c r="J697" s="396"/>
      <c r="K697" s="396"/>
      <c r="L697" s="396"/>
      <c r="M697" s="396"/>
      <c r="N697" s="396"/>
      <c r="O697" s="396"/>
      <c r="P697" s="396"/>
      <c r="Q697" s="396"/>
      <c r="R697" s="396"/>
      <c r="S697" s="396"/>
      <c r="T697" s="396"/>
    </row>
    <row r="698" spans="2:20" ht="26.25" thickBot="1">
      <c r="B698" s="1689">
        <v>33</v>
      </c>
      <c r="C698" s="1710" t="s">
        <v>310</v>
      </c>
      <c r="D698" s="1715">
        <v>1372242</v>
      </c>
      <c r="E698" s="51"/>
      <c r="F698" s="651"/>
      <c r="G698" s="396"/>
      <c r="I698" s="396"/>
      <c r="J698" s="396"/>
      <c r="K698" s="396"/>
      <c r="L698" s="396"/>
      <c r="M698" s="396"/>
      <c r="N698" s="396"/>
      <c r="O698" s="396"/>
      <c r="P698" s="396"/>
      <c r="Q698" s="396"/>
      <c r="R698" s="396"/>
      <c r="S698" s="396"/>
      <c r="T698" s="396"/>
    </row>
    <row r="699" spans="2:20">
      <c r="B699" s="196"/>
      <c r="C699" s="391"/>
      <c r="D699" s="547"/>
      <c r="E699" s="51"/>
      <c r="F699" s="51"/>
      <c r="I699" s="396"/>
      <c r="J699" s="396"/>
      <c r="K699" s="396"/>
      <c r="L699" s="396"/>
      <c r="M699" s="396"/>
      <c r="N699" s="396"/>
      <c r="O699" s="396"/>
      <c r="P699" s="396"/>
      <c r="Q699" s="396"/>
      <c r="R699" s="396"/>
      <c r="S699" s="396"/>
      <c r="T699" s="396"/>
    </row>
    <row r="700" spans="2:20">
      <c r="B700" s="196"/>
      <c r="C700" s="391"/>
      <c r="D700" s="547"/>
      <c r="E700" s="51"/>
      <c r="F700" s="51"/>
      <c r="H700" s="292">
        <v>94</v>
      </c>
      <c r="I700" s="396"/>
      <c r="J700" s="396"/>
      <c r="K700" s="396"/>
      <c r="L700" s="396"/>
      <c r="M700" s="396"/>
      <c r="N700" s="396"/>
      <c r="O700" s="396"/>
      <c r="P700" s="396"/>
      <c r="Q700" s="396"/>
      <c r="R700" s="396"/>
      <c r="S700" s="396"/>
      <c r="T700" s="396"/>
    </row>
    <row r="701" spans="2:20">
      <c r="B701" s="196"/>
      <c r="C701" s="391"/>
      <c r="D701" s="547"/>
      <c r="E701" s="51"/>
      <c r="F701" s="51"/>
      <c r="I701" s="396"/>
      <c r="J701" s="396"/>
      <c r="K701" s="396"/>
      <c r="L701" s="396"/>
      <c r="M701" s="396"/>
      <c r="N701" s="396"/>
      <c r="O701" s="396"/>
      <c r="P701" s="396"/>
      <c r="Q701" s="396"/>
      <c r="R701" s="396"/>
      <c r="S701" s="396"/>
      <c r="T701" s="396"/>
    </row>
    <row r="702" spans="2:20" ht="14.25">
      <c r="B702" s="3593" t="s">
        <v>397</v>
      </c>
      <c r="C702" s="3594"/>
      <c r="D702" s="3594"/>
      <c r="E702" s="3594"/>
      <c r="F702" s="3594"/>
      <c r="G702" s="3594"/>
      <c r="I702" s="396"/>
      <c r="J702" s="396"/>
      <c r="K702" s="396"/>
      <c r="L702" s="396"/>
      <c r="M702" s="396"/>
      <c r="N702" s="396"/>
      <c r="O702" s="396"/>
      <c r="P702" s="396"/>
      <c r="Q702" s="396"/>
      <c r="R702" s="396"/>
      <c r="S702" s="396"/>
      <c r="T702" s="396"/>
    </row>
    <row r="703" spans="2:20">
      <c r="B703" s="196"/>
      <c r="C703" s="391"/>
      <c r="D703" s="547"/>
      <c r="E703" s="51"/>
      <c r="F703" s="51"/>
      <c r="I703" s="396"/>
      <c r="J703" s="396"/>
      <c r="K703" s="396"/>
      <c r="L703" s="396"/>
      <c r="M703" s="396"/>
      <c r="N703" s="396"/>
      <c r="O703" s="396"/>
      <c r="P703" s="396"/>
      <c r="Q703" s="396"/>
      <c r="R703" s="396"/>
      <c r="S703" s="396"/>
      <c r="T703" s="396"/>
    </row>
    <row r="704" spans="2:20" ht="13.5" thickBot="1">
      <c r="B704" s="196"/>
      <c r="C704" s="391"/>
      <c r="D704" s="547"/>
      <c r="E704" s="51"/>
      <c r="F704" s="51"/>
      <c r="I704" s="396"/>
      <c r="J704" s="396"/>
      <c r="K704" s="396"/>
      <c r="L704" s="396"/>
      <c r="M704" s="396"/>
      <c r="N704" s="396"/>
      <c r="O704" s="396"/>
      <c r="P704" s="396"/>
      <c r="Q704" s="396"/>
      <c r="R704" s="396"/>
      <c r="S704" s="396"/>
      <c r="T704" s="396"/>
    </row>
    <row r="705" spans="2:20" ht="13.5" thickBot="1">
      <c r="B705" s="3582" t="s">
        <v>115</v>
      </c>
      <c r="C705" s="3583"/>
      <c r="D705" s="425"/>
      <c r="E705" s="535"/>
      <c r="F705" s="396"/>
      <c r="I705" s="396"/>
      <c r="J705" s="396"/>
      <c r="K705" s="396"/>
      <c r="L705" s="396"/>
      <c r="M705" s="396"/>
      <c r="N705" s="396"/>
      <c r="O705" s="396"/>
      <c r="P705" s="396"/>
      <c r="Q705" s="396"/>
      <c r="R705" s="396"/>
      <c r="S705" s="396"/>
      <c r="T705" s="396"/>
    </row>
    <row r="706" spans="2:20">
      <c r="B706" s="3520" t="s">
        <v>372</v>
      </c>
      <c r="C706" s="3591"/>
      <c r="D706" s="3518" t="s">
        <v>391</v>
      </c>
      <c r="E706" s="274"/>
      <c r="I706" s="396"/>
      <c r="J706" s="396"/>
      <c r="K706" s="396"/>
      <c r="L706" s="396"/>
      <c r="M706" s="396"/>
      <c r="N706" s="396"/>
      <c r="O706" s="396"/>
      <c r="P706" s="396"/>
      <c r="Q706" s="396"/>
      <c r="R706" s="396"/>
      <c r="S706" s="396"/>
      <c r="T706" s="396"/>
    </row>
    <row r="707" spans="2:20">
      <c r="B707" s="3520"/>
      <c r="C707" s="3591"/>
      <c r="D707" s="3520"/>
      <c r="E707" s="443"/>
      <c r="I707" s="396"/>
      <c r="J707" s="396"/>
      <c r="K707" s="396"/>
      <c r="L707" s="396"/>
      <c r="M707" s="396"/>
      <c r="N707" s="396"/>
      <c r="O707" s="396"/>
      <c r="P707" s="396"/>
      <c r="Q707" s="396"/>
      <c r="R707" s="396"/>
      <c r="S707" s="396"/>
      <c r="T707" s="396"/>
    </row>
    <row r="708" spans="2:20">
      <c r="B708" s="3519"/>
      <c r="C708" s="3592"/>
      <c r="D708" s="3519"/>
      <c r="E708" s="443"/>
      <c r="I708" s="396"/>
      <c r="J708" s="396"/>
      <c r="K708" s="396"/>
      <c r="L708" s="396"/>
      <c r="M708" s="396"/>
      <c r="N708" s="396"/>
      <c r="O708" s="396"/>
      <c r="P708" s="396"/>
      <c r="Q708" s="396"/>
      <c r="R708" s="396"/>
      <c r="S708" s="396"/>
      <c r="T708" s="396"/>
    </row>
    <row r="709" spans="2:20" ht="15">
      <c r="B709" s="1674"/>
      <c r="C709" s="1681" t="s">
        <v>269</v>
      </c>
      <c r="D709" s="2593"/>
      <c r="E709" s="293"/>
      <c r="I709" s="396"/>
      <c r="J709" s="396"/>
      <c r="K709" s="396"/>
      <c r="L709" s="396"/>
      <c r="M709" s="396"/>
      <c r="N709" s="396"/>
      <c r="O709" s="396"/>
      <c r="P709" s="396"/>
      <c r="Q709" s="396"/>
      <c r="R709" s="396"/>
      <c r="S709" s="396"/>
      <c r="T709" s="396"/>
    </row>
    <row r="710" spans="2:20">
      <c r="B710" s="1674">
        <v>1</v>
      </c>
      <c r="C710" s="2587" t="s">
        <v>270</v>
      </c>
      <c r="D710" s="800"/>
      <c r="E710" s="293"/>
      <c r="I710" s="396"/>
      <c r="J710" s="396"/>
      <c r="K710" s="396"/>
      <c r="L710" s="396"/>
      <c r="M710" s="396"/>
      <c r="N710" s="396"/>
      <c r="O710" s="396"/>
      <c r="P710" s="396"/>
      <c r="Q710" s="396"/>
      <c r="R710" s="396"/>
      <c r="S710" s="396"/>
      <c r="T710" s="396"/>
    </row>
    <row r="711" spans="2:20">
      <c r="B711" s="1674">
        <v>2</v>
      </c>
      <c r="C711" s="2587" t="s">
        <v>271</v>
      </c>
      <c r="D711" s="801">
        <v>36398</v>
      </c>
      <c r="E711" s="293"/>
      <c r="G711" s="396"/>
      <c r="I711" s="396"/>
      <c r="J711" s="396"/>
      <c r="K711" s="396"/>
      <c r="L711" s="396"/>
      <c r="M711" s="396"/>
      <c r="N711" s="396"/>
      <c r="O711" s="396"/>
      <c r="P711" s="396"/>
      <c r="Q711" s="396"/>
      <c r="R711" s="396"/>
      <c r="S711" s="396"/>
      <c r="T711" s="396"/>
    </row>
    <row r="712" spans="2:20">
      <c r="B712" s="1674">
        <v>3</v>
      </c>
      <c r="C712" s="2587" t="s">
        <v>272</v>
      </c>
      <c r="D712" s="821"/>
      <c r="E712" s="293"/>
      <c r="G712" s="396"/>
      <c r="I712" s="396"/>
      <c r="J712" s="396"/>
      <c r="K712" s="396"/>
      <c r="L712" s="396"/>
      <c r="M712" s="396"/>
      <c r="N712" s="396"/>
      <c r="O712" s="396"/>
      <c r="P712" s="396"/>
      <c r="Q712" s="396"/>
      <c r="R712" s="396"/>
      <c r="S712" s="396"/>
      <c r="T712" s="396"/>
    </row>
    <row r="713" spans="2:20">
      <c r="B713" s="1674">
        <v>4</v>
      </c>
      <c r="C713" s="2589" t="s">
        <v>273</v>
      </c>
      <c r="D713" s="822">
        <v>170593</v>
      </c>
      <c r="E713" s="293"/>
      <c r="G713" s="396"/>
      <c r="I713" s="396"/>
      <c r="J713" s="396"/>
      <c r="K713" s="396"/>
      <c r="L713" s="396"/>
      <c r="M713" s="396"/>
      <c r="N713" s="396"/>
      <c r="O713" s="396"/>
      <c r="P713" s="396"/>
      <c r="Q713" s="396"/>
      <c r="R713" s="396"/>
      <c r="S713" s="396"/>
      <c r="T713" s="396"/>
    </row>
    <row r="714" spans="2:20">
      <c r="B714" s="1674">
        <v>5</v>
      </c>
      <c r="C714" s="2587" t="s">
        <v>274</v>
      </c>
      <c r="D714" s="822">
        <v>12392138</v>
      </c>
      <c r="E714" s="293"/>
      <c r="G714" s="396"/>
      <c r="I714" s="396"/>
      <c r="J714" s="396"/>
      <c r="K714" s="396"/>
      <c r="L714" s="396"/>
      <c r="M714" s="396"/>
      <c r="N714" s="396"/>
      <c r="O714" s="396"/>
      <c r="P714" s="396"/>
      <c r="Q714" s="396"/>
      <c r="R714" s="396"/>
      <c r="S714" s="396"/>
      <c r="T714" s="396"/>
    </row>
    <row r="715" spans="2:20">
      <c r="B715" s="1674">
        <v>6</v>
      </c>
      <c r="C715" s="2587" t="s">
        <v>275</v>
      </c>
      <c r="D715" s="822">
        <v>1942600</v>
      </c>
      <c r="E715" s="293"/>
      <c r="G715" s="396"/>
      <c r="I715" s="396"/>
      <c r="J715" s="396"/>
      <c r="K715" s="396"/>
      <c r="L715" s="396"/>
      <c r="M715" s="396"/>
      <c r="N715" s="396"/>
      <c r="O715" s="396"/>
      <c r="P715" s="396"/>
      <c r="Q715" s="396"/>
      <c r="R715" s="396"/>
      <c r="S715" s="396"/>
      <c r="T715" s="396"/>
    </row>
    <row r="716" spans="2:20">
      <c r="B716" s="1674">
        <v>7</v>
      </c>
      <c r="C716" s="2587" t="s">
        <v>276</v>
      </c>
      <c r="D716" s="799">
        <v>19634852</v>
      </c>
      <c r="E716" s="293"/>
      <c r="G716" s="396"/>
      <c r="I716" s="396"/>
      <c r="J716" s="396"/>
      <c r="K716" s="396"/>
      <c r="L716" s="396"/>
      <c r="M716" s="396"/>
      <c r="N716" s="396"/>
      <c r="O716" s="396"/>
      <c r="P716" s="396"/>
      <c r="Q716" s="396"/>
      <c r="R716" s="396"/>
      <c r="S716" s="396"/>
      <c r="T716" s="396"/>
    </row>
    <row r="717" spans="2:20" ht="12.75" customHeight="1">
      <c r="B717" s="1674"/>
      <c r="C717" s="2569" t="s">
        <v>393</v>
      </c>
      <c r="D717" s="800"/>
      <c r="E717" s="293"/>
      <c r="G717" s="396"/>
      <c r="I717" s="396"/>
      <c r="J717" s="396"/>
      <c r="K717" s="396"/>
      <c r="L717" s="396"/>
      <c r="M717" s="396"/>
      <c r="N717" s="396"/>
      <c r="O717" s="396"/>
      <c r="P717" s="396"/>
      <c r="Q717" s="396"/>
      <c r="R717" s="396"/>
      <c r="S717" s="396"/>
      <c r="T717" s="396"/>
    </row>
    <row r="718" spans="2:20">
      <c r="B718" s="1674"/>
      <c r="C718" s="2569" t="s">
        <v>394</v>
      </c>
      <c r="D718" s="822">
        <v>19634852</v>
      </c>
      <c r="E718" s="293"/>
      <c r="G718" s="396"/>
      <c r="I718" s="396"/>
      <c r="J718" s="396"/>
      <c r="K718" s="396"/>
      <c r="L718" s="396"/>
      <c r="M718" s="396"/>
      <c r="N718" s="396"/>
      <c r="O718" s="396"/>
      <c r="P718" s="396"/>
      <c r="Q718" s="396"/>
      <c r="R718" s="396"/>
      <c r="S718" s="396"/>
      <c r="T718" s="396"/>
    </row>
    <row r="719" spans="2:20">
      <c r="B719" s="1674">
        <v>8</v>
      </c>
      <c r="C719" s="2587" t="s">
        <v>279</v>
      </c>
      <c r="D719" s="799">
        <v>164125</v>
      </c>
      <c r="E719" s="293"/>
      <c r="G719" s="396"/>
      <c r="I719" s="396"/>
      <c r="J719" s="396"/>
      <c r="K719" s="396"/>
      <c r="L719" s="396"/>
      <c r="M719" s="396"/>
      <c r="N719" s="396"/>
      <c r="O719" s="396"/>
      <c r="P719" s="396"/>
      <c r="Q719" s="396"/>
      <c r="R719" s="396"/>
      <c r="S719" s="396"/>
      <c r="T719" s="396"/>
    </row>
    <row r="720" spans="2:20" ht="15.75" customHeight="1">
      <c r="B720" s="1674"/>
      <c r="C720" s="2569" t="s">
        <v>395</v>
      </c>
      <c r="D720" s="800"/>
      <c r="E720" s="293"/>
      <c r="G720" s="396"/>
      <c r="I720" s="396"/>
      <c r="J720" s="396"/>
      <c r="K720" s="396"/>
      <c r="L720" s="396"/>
      <c r="M720" s="396"/>
      <c r="N720" s="396"/>
      <c r="O720" s="396"/>
      <c r="P720" s="396"/>
      <c r="Q720" s="396"/>
      <c r="R720" s="396"/>
      <c r="S720" s="396"/>
      <c r="T720" s="396"/>
    </row>
    <row r="721" spans="2:20">
      <c r="B721" s="1674"/>
      <c r="C721" s="2569" t="s">
        <v>396</v>
      </c>
      <c r="D721" s="822">
        <v>164125</v>
      </c>
      <c r="E721" s="293"/>
      <c r="G721" s="396"/>
      <c r="I721" s="396"/>
      <c r="J721" s="396"/>
      <c r="K721" s="396"/>
      <c r="L721" s="396"/>
      <c r="M721" s="396"/>
      <c r="N721" s="396"/>
      <c r="O721" s="396"/>
      <c r="P721" s="396"/>
      <c r="Q721" s="396"/>
      <c r="R721" s="396"/>
      <c r="S721" s="396"/>
      <c r="T721" s="396"/>
    </row>
    <row r="722" spans="2:20" ht="25.5">
      <c r="B722" s="1676">
        <v>9</v>
      </c>
      <c r="C722" s="2580" t="s">
        <v>282</v>
      </c>
      <c r="D722" s="805">
        <v>35346469</v>
      </c>
      <c r="G722" s="396"/>
      <c r="I722" s="396"/>
      <c r="J722" s="396"/>
      <c r="K722" s="396"/>
      <c r="L722" s="396"/>
      <c r="M722" s="396"/>
      <c r="N722" s="396"/>
      <c r="O722" s="396"/>
      <c r="P722" s="396"/>
      <c r="Q722" s="396"/>
      <c r="R722" s="396"/>
      <c r="S722" s="396"/>
    </row>
    <row r="723" spans="2:20">
      <c r="B723" s="1674">
        <v>10</v>
      </c>
      <c r="C723" s="2569" t="s">
        <v>283</v>
      </c>
      <c r="D723" s="822">
        <v>516869</v>
      </c>
      <c r="E723" s="293"/>
      <c r="G723" s="396"/>
      <c r="I723" s="396"/>
      <c r="J723" s="396"/>
      <c r="K723" s="396"/>
      <c r="L723" s="396"/>
      <c r="M723" s="396"/>
      <c r="N723" s="396"/>
      <c r="O723" s="396"/>
      <c r="P723" s="396"/>
      <c r="Q723" s="396"/>
      <c r="R723" s="396"/>
      <c r="S723" s="396"/>
      <c r="T723" s="396"/>
    </row>
    <row r="724" spans="2:20">
      <c r="B724" s="1674">
        <v>11</v>
      </c>
      <c r="C724" s="2569" t="s">
        <v>284</v>
      </c>
      <c r="D724" s="822">
        <v>14794065</v>
      </c>
      <c r="E724" s="293"/>
      <c r="G724" s="396"/>
      <c r="I724" s="396"/>
      <c r="J724" s="396"/>
      <c r="K724" s="396"/>
      <c r="L724" s="396"/>
      <c r="M724" s="396"/>
      <c r="N724" s="396"/>
      <c r="O724" s="396"/>
      <c r="P724" s="396"/>
      <c r="Q724" s="396"/>
      <c r="R724" s="396"/>
      <c r="S724" s="396"/>
      <c r="T724" s="396"/>
    </row>
    <row r="725" spans="2:20">
      <c r="B725" s="1674">
        <v>12</v>
      </c>
      <c r="C725" s="2569" t="s">
        <v>285</v>
      </c>
      <c r="D725" s="822">
        <v>14826331</v>
      </c>
      <c r="E725" s="293"/>
      <c r="G725" s="396"/>
      <c r="I725" s="396"/>
      <c r="J725" s="396"/>
      <c r="K725" s="396"/>
      <c r="L725" s="396"/>
      <c r="M725" s="396"/>
      <c r="N725" s="396"/>
      <c r="O725" s="396"/>
      <c r="P725" s="396"/>
      <c r="Q725" s="396"/>
      <c r="R725" s="396"/>
      <c r="S725" s="396"/>
      <c r="T725" s="396"/>
    </row>
    <row r="726" spans="2:20" ht="25.5">
      <c r="B726" s="1674">
        <v>13</v>
      </c>
      <c r="C726" s="2569" t="s">
        <v>286</v>
      </c>
      <c r="D726" s="822">
        <v>5209204</v>
      </c>
      <c r="E726" s="293"/>
      <c r="G726" s="396"/>
      <c r="I726" s="396"/>
      <c r="J726" s="396"/>
      <c r="K726" s="396"/>
      <c r="L726" s="396"/>
      <c r="M726" s="396"/>
      <c r="N726" s="396"/>
      <c r="O726" s="396"/>
      <c r="P726" s="396"/>
      <c r="Q726" s="396"/>
      <c r="R726" s="396"/>
      <c r="S726" s="396"/>
      <c r="T726" s="396"/>
    </row>
    <row r="727" spans="2:20">
      <c r="B727" s="1674">
        <v>14</v>
      </c>
      <c r="C727" s="2570" t="s">
        <v>287</v>
      </c>
      <c r="D727" s="821"/>
      <c r="E727" s="293"/>
      <c r="G727" s="396"/>
      <c r="I727" s="396"/>
      <c r="J727" s="396"/>
      <c r="K727" s="396"/>
      <c r="L727" s="396"/>
      <c r="M727" s="396"/>
      <c r="N727" s="396"/>
      <c r="O727" s="396"/>
      <c r="P727" s="396"/>
      <c r="Q727" s="396"/>
      <c r="R727" s="396"/>
      <c r="S727" s="396"/>
      <c r="T727" s="396"/>
    </row>
    <row r="728" spans="2:20">
      <c r="B728" s="1674">
        <v>15</v>
      </c>
      <c r="C728" s="2570" t="s">
        <v>288</v>
      </c>
      <c r="D728" s="822">
        <v>1784027</v>
      </c>
      <c r="E728" s="293"/>
      <c r="G728" s="396"/>
      <c r="I728" s="396"/>
      <c r="J728" s="396"/>
      <c r="K728" s="396"/>
      <c r="L728" s="396"/>
      <c r="M728" s="396"/>
      <c r="N728" s="396"/>
      <c r="O728" s="396"/>
      <c r="P728" s="396"/>
      <c r="Q728" s="396"/>
      <c r="R728" s="396"/>
      <c r="S728" s="396"/>
      <c r="T728" s="396"/>
    </row>
    <row r="729" spans="2:20">
      <c r="B729" s="1674">
        <v>16</v>
      </c>
      <c r="C729" s="2570" t="s">
        <v>289</v>
      </c>
      <c r="D729" s="822">
        <v>6915251</v>
      </c>
      <c r="E729" s="293"/>
      <c r="G729" s="396"/>
      <c r="I729" s="396"/>
      <c r="J729" s="396"/>
      <c r="K729" s="396"/>
      <c r="L729" s="396"/>
      <c r="M729" s="396"/>
      <c r="N729" s="396"/>
      <c r="O729" s="396"/>
      <c r="P729" s="396"/>
      <c r="Q729" s="396"/>
      <c r="R729" s="396"/>
      <c r="S729" s="396"/>
      <c r="T729" s="396"/>
    </row>
    <row r="730" spans="2:20">
      <c r="B730" s="1674">
        <v>17</v>
      </c>
      <c r="C730" s="2570" t="s">
        <v>290</v>
      </c>
      <c r="D730" s="822">
        <v>1384436</v>
      </c>
      <c r="E730" s="383"/>
      <c r="G730" s="396"/>
      <c r="I730" s="396"/>
      <c r="J730" s="396"/>
      <c r="K730" s="396"/>
      <c r="L730" s="396"/>
      <c r="M730" s="396"/>
      <c r="N730" s="396"/>
      <c r="O730" s="396"/>
      <c r="P730" s="396"/>
      <c r="Q730" s="396"/>
      <c r="R730" s="396"/>
      <c r="S730" s="396"/>
      <c r="T730" s="396"/>
    </row>
    <row r="731" spans="2:20">
      <c r="B731" s="1674">
        <v>18</v>
      </c>
      <c r="C731" s="2570" t="s">
        <v>291</v>
      </c>
      <c r="D731" s="822">
        <v>483822</v>
      </c>
      <c r="E731" s="293"/>
      <c r="G731" s="396"/>
      <c r="I731" s="396"/>
      <c r="J731" s="396"/>
      <c r="K731" s="396"/>
      <c r="L731" s="396"/>
      <c r="M731" s="396"/>
      <c r="N731" s="396"/>
      <c r="O731" s="396"/>
      <c r="P731" s="396"/>
      <c r="Q731" s="396"/>
      <c r="R731" s="396"/>
      <c r="S731" s="396"/>
      <c r="T731" s="396"/>
    </row>
    <row r="732" spans="2:20" ht="13.5" thickBot="1">
      <c r="B732" s="1674">
        <v>19</v>
      </c>
      <c r="C732" s="2571" t="s">
        <v>292</v>
      </c>
      <c r="D732" s="824">
        <v>3137988</v>
      </c>
      <c r="E732" s="293"/>
      <c r="G732" s="396"/>
      <c r="I732" s="396"/>
      <c r="J732" s="396"/>
      <c r="K732" s="396"/>
      <c r="L732" s="396"/>
      <c r="M732" s="396"/>
      <c r="N732" s="396"/>
      <c r="O732" s="396"/>
      <c r="P732" s="396"/>
      <c r="Q732" s="396"/>
      <c r="R732" s="396"/>
      <c r="S732" s="396"/>
      <c r="T732" s="396"/>
    </row>
    <row r="733" spans="2:20" ht="26.25" thickBot="1">
      <c r="B733" s="1686">
        <v>20</v>
      </c>
      <c r="C733" s="1705" t="s">
        <v>293</v>
      </c>
      <c r="D733" s="1714">
        <v>83392699</v>
      </c>
      <c r="E733" s="293"/>
      <c r="G733" s="396"/>
      <c r="I733" s="396"/>
      <c r="J733" s="396"/>
      <c r="K733" s="396"/>
      <c r="L733" s="396"/>
      <c r="M733" s="396"/>
      <c r="N733" s="396"/>
      <c r="O733" s="396"/>
      <c r="P733" s="396"/>
      <c r="Q733" s="396"/>
      <c r="R733" s="396"/>
      <c r="S733" s="396"/>
      <c r="T733" s="396"/>
    </row>
    <row r="734" spans="2:20">
      <c r="B734" s="1674"/>
      <c r="C734" s="1678" t="s">
        <v>294</v>
      </c>
      <c r="D734" s="800"/>
      <c r="E734" s="293"/>
      <c r="G734" s="396"/>
      <c r="I734" s="396"/>
      <c r="J734" s="396"/>
      <c r="K734" s="396"/>
      <c r="L734" s="396"/>
      <c r="M734" s="396"/>
      <c r="N734" s="396"/>
      <c r="O734" s="396"/>
      <c r="P734" s="396"/>
      <c r="Q734" s="396"/>
      <c r="R734" s="396"/>
      <c r="S734" s="396"/>
      <c r="T734" s="396"/>
    </row>
    <row r="735" spans="2:20">
      <c r="B735" s="1674"/>
      <c r="C735" s="2588" t="s">
        <v>295</v>
      </c>
      <c r="D735" s="800"/>
      <c r="E735" s="293"/>
      <c r="G735" s="396"/>
      <c r="I735" s="396"/>
      <c r="J735" s="396"/>
      <c r="K735" s="396"/>
      <c r="L735" s="396"/>
      <c r="M735" s="396"/>
      <c r="N735" s="396"/>
      <c r="O735" s="396"/>
      <c r="P735" s="396"/>
      <c r="Q735" s="396"/>
      <c r="R735" s="396"/>
      <c r="S735" s="396"/>
      <c r="T735" s="396"/>
    </row>
    <row r="736" spans="2:20">
      <c r="B736" s="1674">
        <v>21</v>
      </c>
      <c r="C736" s="2570" t="s">
        <v>296</v>
      </c>
      <c r="D736" s="822">
        <v>20879547</v>
      </c>
      <c r="E736" s="293"/>
      <c r="G736" s="396"/>
      <c r="I736" s="396"/>
      <c r="J736" s="396"/>
      <c r="K736" s="396"/>
      <c r="L736" s="396"/>
      <c r="M736" s="396"/>
      <c r="N736" s="396"/>
      <c r="O736" s="396"/>
      <c r="P736" s="396"/>
      <c r="Q736" s="396"/>
      <c r="R736" s="396"/>
      <c r="S736" s="396"/>
      <c r="T736" s="396"/>
    </row>
    <row r="737" spans="2:20">
      <c r="B737" s="1674">
        <v>22</v>
      </c>
      <c r="C737" s="2570" t="s">
        <v>297</v>
      </c>
      <c r="D737" s="822">
        <v>1000561</v>
      </c>
      <c r="E737" s="293"/>
      <c r="G737" s="396"/>
      <c r="I737" s="396"/>
      <c r="J737" s="396"/>
      <c r="K737" s="396"/>
      <c r="L737" s="396"/>
      <c r="M737" s="396"/>
      <c r="N737" s="396"/>
      <c r="O737" s="396"/>
      <c r="P737" s="396"/>
      <c r="Q737" s="396"/>
      <c r="R737" s="396"/>
      <c r="S737" s="396"/>
      <c r="T737" s="396"/>
    </row>
    <row r="738" spans="2:20">
      <c r="B738" s="1674">
        <v>23</v>
      </c>
      <c r="C738" s="2570" t="s">
        <v>298</v>
      </c>
      <c r="D738" s="822">
        <v>1639089</v>
      </c>
      <c r="E738" s="293"/>
      <c r="G738" s="396"/>
      <c r="I738" s="396"/>
      <c r="J738" s="396"/>
      <c r="K738" s="396"/>
      <c r="L738" s="396"/>
      <c r="M738" s="396"/>
      <c r="N738" s="396"/>
      <c r="O738" s="396"/>
      <c r="P738" s="396"/>
      <c r="Q738" s="396"/>
      <c r="R738" s="396"/>
      <c r="S738" s="396"/>
      <c r="T738" s="396"/>
    </row>
    <row r="739" spans="2:20">
      <c r="B739" s="1674">
        <v>24</v>
      </c>
      <c r="C739" s="2570" t="s">
        <v>299</v>
      </c>
      <c r="D739" s="821"/>
      <c r="E739" s="293"/>
      <c r="G739" s="396"/>
      <c r="I739" s="396"/>
      <c r="J739" s="396"/>
      <c r="K739" s="396"/>
      <c r="L739" s="396"/>
      <c r="M739" s="396"/>
      <c r="N739" s="396"/>
      <c r="O739" s="396"/>
      <c r="P739" s="396"/>
      <c r="Q739" s="396"/>
      <c r="R739" s="396"/>
      <c r="S739" s="396"/>
      <c r="T739" s="396"/>
    </row>
    <row r="740" spans="2:20">
      <c r="B740" s="1674">
        <v>25</v>
      </c>
      <c r="C740" s="2569" t="s">
        <v>300</v>
      </c>
      <c r="D740" s="821"/>
      <c r="E740" s="293"/>
      <c r="G740" s="396"/>
      <c r="I740" s="396"/>
      <c r="J740" s="396"/>
      <c r="K740" s="396"/>
      <c r="L740" s="396"/>
      <c r="M740" s="396"/>
      <c r="N740" s="396"/>
      <c r="O740" s="396"/>
      <c r="P740" s="396"/>
      <c r="Q740" s="396"/>
      <c r="R740" s="396"/>
      <c r="S740" s="396"/>
      <c r="T740" s="396"/>
    </row>
    <row r="741" spans="2:20" ht="13.5" thickBot="1">
      <c r="B741" s="1674">
        <v>26</v>
      </c>
      <c r="C741" s="2571" t="s">
        <v>301</v>
      </c>
      <c r="D741" s="824">
        <v>6846497</v>
      </c>
      <c r="E741" s="293"/>
      <c r="G741" s="396"/>
      <c r="I741" s="396"/>
      <c r="J741" s="396"/>
      <c r="K741" s="396"/>
      <c r="L741" s="396"/>
      <c r="M741" s="396"/>
      <c r="N741" s="396"/>
      <c r="O741" s="396"/>
      <c r="P741" s="396"/>
      <c r="Q741" s="396"/>
      <c r="R741" s="396"/>
      <c r="S741" s="396"/>
      <c r="T741" s="396"/>
    </row>
    <row r="742" spans="2:20" ht="26.25" thickBot="1">
      <c r="B742" s="1677">
        <v>27</v>
      </c>
      <c r="C742" s="1699" t="s">
        <v>302</v>
      </c>
      <c r="D742" s="787">
        <v>30365694</v>
      </c>
      <c r="E742" s="293"/>
      <c r="G742" s="396"/>
      <c r="I742" s="396"/>
      <c r="J742" s="396"/>
      <c r="K742" s="396"/>
      <c r="L742" s="396"/>
      <c r="M742" s="396"/>
      <c r="N742" s="396"/>
      <c r="O742" s="396"/>
      <c r="P742" s="396"/>
      <c r="Q742" s="396"/>
      <c r="R742" s="396"/>
      <c r="S742" s="396"/>
      <c r="T742" s="396"/>
    </row>
    <row r="743" spans="2:20">
      <c r="B743" s="1674"/>
      <c r="C743" s="1678" t="s">
        <v>303</v>
      </c>
      <c r="D743" s="823"/>
      <c r="E743" s="293"/>
      <c r="G743" s="396"/>
      <c r="I743" s="396"/>
      <c r="J743" s="396"/>
      <c r="K743" s="396"/>
      <c r="L743" s="396"/>
      <c r="M743" s="396"/>
      <c r="N743" s="396"/>
      <c r="O743" s="396"/>
      <c r="P743" s="396"/>
      <c r="Q743" s="396"/>
      <c r="R743" s="396"/>
      <c r="S743" s="396"/>
      <c r="T743" s="396"/>
    </row>
    <row r="744" spans="2:20">
      <c r="B744" s="1674">
        <v>28</v>
      </c>
      <c r="C744" s="2587" t="s">
        <v>304</v>
      </c>
      <c r="D744" s="822">
        <v>6000000</v>
      </c>
      <c r="E744" s="293"/>
      <c r="G744" s="396"/>
      <c r="I744" s="396"/>
      <c r="J744" s="396"/>
      <c r="K744" s="396"/>
      <c r="L744" s="396"/>
      <c r="M744" s="396"/>
      <c r="N744" s="396"/>
      <c r="O744" s="396"/>
      <c r="P744" s="396"/>
      <c r="Q744" s="396"/>
      <c r="R744" s="396"/>
      <c r="S744" s="396"/>
      <c r="T744" s="396"/>
    </row>
    <row r="745" spans="2:20">
      <c r="B745" s="1674">
        <v>29</v>
      </c>
      <c r="C745" s="2587" t="s">
        <v>305</v>
      </c>
      <c r="D745" s="822">
        <v>2640019</v>
      </c>
      <c r="E745" s="293"/>
      <c r="G745" s="396"/>
      <c r="I745" s="396"/>
      <c r="J745" s="396"/>
      <c r="K745" s="396"/>
      <c r="L745" s="396"/>
      <c r="M745" s="396"/>
      <c r="N745" s="396"/>
      <c r="O745" s="396"/>
      <c r="P745" s="396"/>
      <c r="Q745" s="396"/>
      <c r="R745" s="396"/>
      <c r="S745" s="396"/>
      <c r="T745" s="396"/>
    </row>
    <row r="746" spans="2:20">
      <c r="B746" s="1674">
        <v>30</v>
      </c>
      <c r="C746" s="2573" t="s">
        <v>306</v>
      </c>
      <c r="D746" s="822">
        <v>9422000</v>
      </c>
      <c r="E746" s="293"/>
      <c r="G746" s="396"/>
      <c r="I746" s="396"/>
      <c r="J746" s="396"/>
      <c r="K746" s="396"/>
      <c r="L746" s="396"/>
      <c r="M746" s="396"/>
      <c r="N746" s="396"/>
      <c r="O746" s="396"/>
      <c r="P746" s="396"/>
      <c r="Q746" s="396"/>
      <c r="R746" s="396"/>
      <c r="S746" s="396"/>
      <c r="T746" s="396"/>
    </row>
    <row r="747" spans="2:20" ht="13.5" thickBot="1">
      <c r="B747" s="1674">
        <v>31</v>
      </c>
      <c r="C747" s="2573" t="s">
        <v>308</v>
      </c>
      <c r="D747" s="824">
        <v>34964984</v>
      </c>
      <c r="E747" s="293"/>
      <c r="G747" s="396"/>
      <c r="I747" s="396"/>
      <c r="J747" s="396"/>
      <c r="K747" s="396"/>
      <c r="L747" s="396"/>
      <c r="M747" s="396"/>
      <c r="N747" s="396"/>
      <c r="O747" s="396"/>
      <c r="P747" s="396"/>
      <c r="Q747" s="396"/>
      <c r="R747" s="396"/>
      <c r="S747" s="396"/>
      <c r="T747" s="396"/>
    </row>
    <row r="748" spans="2:20" ht="13.5" thickBot="1">
      <c r="B748" s="1677">
        <v>32</v>
      </c>
      <c r="C748" s="1699" t="s">
        <v>309</v>
      </c>
      <c r="D748" s="787">
        <v>53027003</v>
      </c>
      <c r="E748" s="293"/>
      <c r="G748" s="396"/>
      <c r="I748" s="396"/>
      <c r="J748" s="396"/>
      <c r="K748" s="396"/>
      <c r="L748" s="396"/>
      <c r="M748" s="396"/>
      <c r="N748" s="396"/>
      <c r="O748" s="396"/>
      <c r="P748" s="396"/>
      <c r="Q748" s="396"/>
      <c r="R748" s="396"/>
      <c r="S748" s="396"/>
      <c r="T748" s="396"/>
    </row>
    <row r="749" spans="2:20" ht="26.25" thickBot="1">
      <c r="B749" s="1689">
        <v>33</v>
      </c>
      <c r="C749" s="1710" t="s">
        <v>310</v>
      </c>
      <c r="D749" s="1714">
        <v>83392697</v>
      </c>
      <c r="E749" s="293"/>
      <c r="G749" s="396"/>
      <c r="I749" s="396"/>
      <c r="J749" s="396"/>
      <c r="K749" s="396"/>
      <c r="L749" s="396"/>
      <c r="M749" s="396"/>
      <c r="N749" s="396"/>
      <c r="O749" s="396"/>
      <c r="P749" s="396"/>
      <c r="Q749" s="396"/>
      <c r="R749" s="396"/>
      <c r="S749" s="396"/>
      <c r="T749" s="396"/>
    </row>
    <row r="750" spans="2:20">
      <c r="B750" s="196"/>
      <c r="C750" s="391"/>
      <c r="D750" s="547"/>
      <c r="E750" s="383"/>
      <c r="F750" s="293"/>
      <c r="I750" s="396"/>
      <c r="J750" s="396"/>
      <c r="K750" s="396"/>
      <c r="L750" s="396"/>
      <c r="M750" s="396"/>
      <c r="N750" s="396"/>
      <c r="O750" s="396"/>
      <c r="P750" s="396"/>
      <c r="Q750" s="396"/>
      <c r="R750" s="396"/>
      <c r="S750" s="396"/>
      <c r="T750" s="396"/>
    </row>
    <row r="751" spans="2:20">
      <c r="B751" s="196"/>
      <c r="C751" s="391"/>
      <c r="D751" s="547"/>
      <c r="E751" s="383"/>
      <c r="F751" s="293"/>
      <c r="H751" s="292">
        <v>95</v>
      </c>
      <c r="I751" s="396"/>
      <c r="J751" s="396"/>
      <c r="K751" s="396"/>
      <c r="L751" s="396"/>
      <c r="M751" s="396"/>
      <c r="N751" s="396"/>
      <c r="O751" s="396"/>
      <c r="P751" s="396"/>
      <c r="Q751" s="396"/>
      <c r="R751" s="396"/>
      <c r="S751" s="396"/>
      <c r="T751" s="396"/>
    </row>
    <row r="753" spans="3:3">
      <c r="C753" s="52"/>
    </row>
  </sheetData>
  <mergeCells count="76">
    <mergeCell ref="B652:G652"/>
    <mergeCell ref="B706:B708"/>
    <mergeCell ref="C706:C708"/>
    <mergeCell ref="D706:D708"/>
    <mergeCell ref="B654:C654"/>
    <mergeCell ref="B655:B657"/>
    <mergeCell ref="C655:C657"/>
    <mergeCell ref="D655:D657"/>
    <mergeCell ref="B702:G702"/>
    <mergeCell ref="B705:C705"/>
    <mergeCell ref="C505:C507"/>
    <mergeCell ref="D505:D507"/>
    <mergeCell ref="E505:E507"/>
    <mergeCell ref="F505:F507"/>
    <mergeCell ref="D605:D607"/>
    <mergeCell ref="B602:G602"/>
    <mergeCell ref="B604:C604"/>
    <mergeCell ref="B605:B607"/>
    <mergeCell ref="C605:C607"/>
    <mergeCell ref="G505:G507"/>
    <mergeCell ref="B552:G552"/>
    <mergeCell ref="B554:C554"/>
    <mergeCell ref="B555:B557"/>
    <mergeCell ref="C555:C557"/>
    <mergeCell ref="D555:D557"/>
    <mergeCell ref="B505:B507"/>
    <mergeCell ref="B455:B457"/>
    <mergeCell ref="C455:C457"/>
    <mergeCell ref="D455:D457"/>
    <mergeCell ref="B502:G502"/>
    <mergeCell ref="B504:C504"/>
    <mergeCell ref="B454:C454"/>
    <mergeCell ref="B352:G352"/>
    <mergeCell ref="B354:C354"/>
    <mergeCell ref="B355:B357"/>
    <mergeCell ref="C355:C357"/>
    <mergeCell ref="D355:D357"/>
    <mergeCell ref="B402:G402"/>
    <mergeCell ref="B404:C404"/>
    <mergeCell ref="B405:B407"/>
    <mergeCell ref="C405:C407"/>
    <mergeCell ref="D405:D407"/>
    <mergeCell ref="B452:G452"/>
    <mergeCell ref="B255:B257"/>
    <mergeCell ref="C255:C257"/>
    <mergeCell ref="D255:D257"/>
    <mergeCell ref="B304:C304"/>
    <mergeCell ref="B305:B307"/>
    <mergeCell ref="C305:C307"/>
    <mergeCell ref="D305:D307"/>
    <mergeCell ref="B254:C254"/>
    <mergeCell ref="B104:C104"/>
    <mergeCell ref="B105:B107"/>
    <mergeCell ref="C105:C107"/>
    <mergeCell ref="D105:D107"/>
    <mergeCell ref="B154:C154"/>
    <mergeCell ref="B155:B157"/>
    <mergeCell ref="C155:C157"/>
    <mergeCell ref="D155:D157"/>
    <mergeCell ref="B204:C204"/>
    <mergeCell ref="B205:B207"/>
    <mergeCell ref="C205:C207"/>
    <mergeCell ref="D205:D207"/>
    <mergeCell ref="B252:G252"/>
    <mergeCell ref="G5:G7"/>
    <mergeCell ref="B54:C54"/>
    <mergeCell ref="B55:B57"/>
    <mergeCell ref="C55:C57"/>
    <mergeCell ref="D55:D57"/>
    <mergeCell ref="F5:F7"/>
    <mergeCell ref="C50:E50"/>
    <mergeCell ref="B4:C4"/>
    <mergeCell ref="B5:B7"/>
    <mergeCell ref="C5:C7"/>
    <mergeCell ref="D5:D7"/>
    <mergeCell ref="E5:E7"/>
  </mergeCells>
  <pageMargins left="0.7" right="0.17" top="0.7" bottom="0.75" header="0.56999999999999995" footer="0.3"/>
  <pageSetup paperSize="9" scale="69" orientation="portrait" r:id="rId1"/>
  <rowBreaks count="14" manualBreakCount="14">
    <brk id="50" max="7" man="1"/>
    <brk id="100" max="7" man="1"/>
    <brk id="150" max="7" man="1"/>
    <brk id="200" max="7" man="1"/>
    <brk id="250" max="7" man="1"/>
    <brk id="300" max="7" man="1"/>
    <brk id="350" max="7" man="1"/>
    <brk id="400" max="7" man="1"/>
    <brk id="450" max="7" man="1"/>
    <brk id="500" max="7" man="1"/>
    <brk id="550" max="7" man="1"/>
    <brk id="600" max="7" man="1"/>
    <brk id="650" max="7" man="1"/>
    <brk id="700" max="7"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99"/>
  </sheetPr>
  <dimension ref="A1:O750"/>
  <sheetViews>
    <sheetView showGridLines="0" view="pageBreakPreview" zoomScale="70" zoomScaleNormal="100" zoomScaleSheetLayoutView="70" workbookViewId="0">
      <selection activeCell="N750" sqref="N750"/>
    </sheetView>
  </sheetViews>
  <sheetFormatPr defaultColWidth="9.140625" defaultRowHeight="12.75"/>
  <cols>
    <col min="1" max="1" width="3.42578125" style="292" customWidth="1"/>
    <col min="2" max="2" width="4.5703125" style="292" customWidth="1"/>
    <col min="3" max="3" width="44.28515625" style="413" customWidth="1"/>
    <col min="4" max="4" width="16.28515625" style="292" customWidth="1"/>
    <col min="5" max="5" width="15.28515625" style="292" customWidth="1"/>
    <col min="6" max="6" width="17.42578125" style="292" customWidth="1"/>
    <col min="7" max="7" width="15.140625" style="292" customWidth="1"/>
    <col min="8" max="8" width="12.85546875" style="292" customWidth="1"/>
    <col min="9" max="9" width="11.7109375" style="292" customWidth="1"/>
    <col min="10" max="10" width="13.7109375" style="292" customWidth="1"/>
    <col min="11" max="11" width="10.7109375" style="292" customWidth="1"/>
    <col min="12" max="12" width="12.5703125" style="292" customWidth="1"/>
    <col min="13" max="13" width="7" style="292" customWidth="1"/>
    <col min="14" max="14" width="14" style="292" customWidth="1"/>
    <col min="15" max="15" width="12.7109375" style="292" bestFit="1" customWidth="1"/>
    <col min="16" max="16384" width="9.140625" style="292"/>
  </cols>
  <sheetData>
    <row r="1" spans="2:13">
      <c r="C1" s="292"/>
    </row>
    <row r="2" spans="2:13" ht="14.25">
      <c r="B2" s="1972" t="s">
        <v>405</v>
      </c>
      <c r="C2" s="236"/>
      <c r="D2" s="236"/>
      <c r="E2" s="236"/>
      <c r="F2" s="236"/>
    </row>
    <row r="3" spans="2:13" ht="13.5" thickBot="1">
      <c r="B3" s="236"/>
    </row>
    <row r="4" spans="2:13" ht="13.5" thickBot="1">
      <c r="B4" s="3582" t="s">
        <v>253</v>
      </c>
      <c r="C4" s="3583"/>
      <c r="F4" s="295"/>
      <c r="G4" s="535" t="s">
        <v>232</v>
      </c>
    </row>
    <row r="5" spans="2:13">
      <c r="B5" s="3518" t="s">
        <v>372</v>
      </c>
      <c r="C5" s="3584"/>
      <c r="D5" s="3518" t="s">
        <v>373</v>
      </c>
      <c r="E5" s="3518" t="s">
        <v>374</v>
      </c>
      <c r="F5" s="3518" t="s">
        <v>375</v>
      </c>
      <c r="G5" s="3596" t="s">
        <v>376</v>
      </c>
    </row>
    <row r="6" spans="2:13">
      <c r="B6" s="3520"/>
      <c r="C6" s="3585"/>
      <c r="D6" s="3520"/>
      <c r="E6" s="3520"/>
      <c r="F6" s="3520"/>
      <c r="G6" s="3597"/>
    </row>
    <row r="7" spans="2:13" ht="13.5" thickBot="1">
      <c r="B7" s="3519"/>
      <c r="C7" s="3586"/>
      <c r="D7" s="3519"/>
      <c r="E7" s="3519"/>
      <c r="F7" s="3519"/>
      <c r="G7" s="3598"/>
    </row>
    <row r="8" spans="2:13">
      <c r="B8" s="1733"/>
      <c r="C8" s="1734" t="s">
        <v>269</v>
      </c>
      <c r="D8" s="504"/>
      <c r="E8" s="550"/>
      <c r="F8" s="1738"/>
      <c r="G8" s="551"/>
    </row>
    <row r="9" spans="2:13">
      <c r="B9" s="1735">
        <v>1</v>
      </c>
      <c r="C9" s="2594" t="s">
        <v>270</v>
      </c>
      <c r="D9" s="2595">
        <f>+D59+D109+D159+D209+D259+D309+D359+D409+D459+D509+D559+D609+D659+D707</f>
        <v>360508</v>
      </c>
      <c r="E9" s="2595">
        <f t="shared" ref="E9:E20" si="0">+E509</f>
        <v>0</v>
      </c>
      <c r="F9" s="2591">
        <f>+D9+E9</f>
        <v>360508</v>
      </c>
      <c r="G9" s="2595">
        <f>+G509</f>
        <v>0</v>
      </c>
      <c r="H9" s="396"/>
      <c r="I9" s="846"/>
      <c r="J9" s="515"/>
      <c r="K9" s="846"/>
      <c r="L9" s="552"/>
      <c r="M9" s="604"/>
    </row>
    <row r="10" spans="2:13">
      <c r="B10" s="1735">
        <v>2</v>
      </c>
      <c r="C10" s="2594" t="s">
        <v>271</v>
      </c>
      <c r="D10" s="2595">
        <f>+D60+D110+D160+D210+D260+D310+D360+D410+D460+D510+D560+D610+D660+D708</f>
        <v>1820462</v>
      </c>
      <c r="E10" s="2595">
        <f t="shared" si="0"/>
        <v>0</v>
      </c>
      <c r="F10" s="2591">
        <f>+D10+E10</f>
        <v>1820462</v>
      </c>
      <c r="G10" s="2595">
        <f>+G510</f>
        <v>0</v>
      </c>
      <c r="H10" s="396"/>
      <c r="I10" s="846"/>
      <c r="J10" s="515"/>
      <c r="K10" s="846"/>
      <c r="L10" s="552"/>
      <c r="M10" s="604"/>
    </row>
    <row r="11" spans="2:13">
      <c r="B11" s="1735">
        <v>3</v>
      </c>
      <c r="C11" s="2594" t="s">
        <v>272</v>
      </c>
      <c r="D11" s="2595">
        <f>+D61+D111+D161+D211+D261+D311+D361+D411+D461+D511+D561+D611+D661+D709</f>
        <v>1012843</v>
      </c>
      <c r="E11" s="2595">
        <f t="shared" si="0"/>
        <v>0</v>
      </c>
      <c r="F11" s="2591">
        <f t="shared" ref="F11:F31" si="1">+D11+E11</f>
        <v>1012843</v>
      </c>
      <c r="G11" s="2595">
        <f>+G511</f>
        <v>0</v>
      </c>
      <c r="H11" s="396"/>
      <c r="I11" s="846"/>
      <c r="J11" s="515"/>
      <c r="K11" s="846"/>
      <c r="L11" s="552"/>
      <c r="M11" s="604"/>
    </row>
    <row r="12" spans="2:13">
      <c r="B12" s="1735">
        <v>4</v>
      </c>
      <c r="C12" s="2594" t="s">
        <v>406</v>
      </c>
      <c r="D12" s="2595">
        <f>+D62+D112+D162+D212+D262+D312+D362+D412+D462+D512+D562+D612+D662+D710</f>
        <v>1400362</v>
      </c>
      <c r="E12" s="2595">
        <f t="shared" si="0"/>
        <v>89717</v>
      </c>
      <c r="F12" s="2591">
        <f t="shared" si="1"/>
        <v>1490079</v>
      </c>
      <c r="G12" s="2595"/>
      <c r="H12" s="396"/>
      <c r="I12" s="846"/>
      <c r="J12" s="515"/>
      <c r="K12" s="846"/>
      <c r="L12" s="552"/>
      <c r="M12" s="604"/>
    </row>
    <row r="13" spans="2:13">
      <c r="B13" s="1735">
        <v>5</v>
      </c>
      <c r="C13" s="2594" t="s">
        <v>237</v>
      </c>
      <c r="D13" s="2595">
        <f>+D63+D113+D163+D213+D263+D313+D363+D413+D463+D513+D563+D613+D663+D711</f>
        <v>16735788</v>
      </c>
      <c r="E13" s="2595">
        <f t="shared" si="0"/>
        <v>16037</v>
      </c>
      <c r="F13" s="2591">
        <f t="shared" si="1"/>
        <v>16751825</v>
      </c>
      <c r="G13" s="2595">
        <f t="shared" ref="G13:G20" si="2">+G513</f>
        <v>0</v>
      </c>
      <c r="H13" s="396"/>
      <c r="I13" s="846"/>
      <c r="J13" s="515"/>
      <c r="K13" s="846"/>
      <c r="L13" s="552"/>
      <c r="M13" s="604"/>
    </row>
    <row r="14" spans="2:13">
      <c r="B14" s="1735">
        <v>6</v>
      </c>
      <c r="C14" s="2594" t="s">
        <v>275</v>
      </c>
      <c r="D14" s="2595">
        <f>+D65+D114+D164+D214+D264+D314+D364+D414+D464+D514+D564+D614+D664+D712</f>
        <v>1974966</v>
      </c>
      <c r="E14" s="2595">
        <f t="shared" si="0"/>
        <v>0</v>
      </c>
      <c r="F14" s="2591">
        <f t="shared" si="1"/>
        <v>1974966</v>
      </c>
      <c r="G14" s="2595">
        <f t="shared" si="2"/>
        <v>0</v>
      </c>
      <c r="H14" s="396"/>
      <c r="I14" s="846"/>
      <c r="J14" s="515"/>
      <c r="K14" s="846"/>
      <c r="L14" s="552"/>
      <c r="M14" s="604"/>
    </row>
    <row r="15" spans="2:13">
      <c r="B15" s="1735">
        <v>7</v>
      </c>
      <c r="C15" s="2594" t="s">
        <v>276</v>
      </c>
      <c r="D15" s="2595">
        <f>+D66+D115+D165+D215+D265+D315+D365+D415+D465+D515+D565+D615+D665+D713</f>
        <v>0</v>
      </c>
      <c r="E15" s="2595">
        <f t="shared" si="0"/>
        <v>0</v>
      </c>
      <c r="F15" s="2591">
        <f t="shared" si="1"/>
        <v>0</v>
      </c>
      <c r="G15" s="2595">
        <f t="shared" si="2"/>
        <v>0</v>
      </c>
      <c r="H15" s="396"/>
      <c r="I15" s="846"/>
      <c r="J15" s="515"/>
      <c r="K15" s="846"/>
      <c r="L15" s="552"/>
      <c r="M15" s="604"/>
    </row>
    <row r="16" spans="2:13">
      <c r="B16" s="1735"/>
      <c r="C16" s="2594" t="s">
        <v>377</v>
      </c>
      <c r="D16" s="2595">
        <f>+D67+D116+D166+D216+D266+D316+D366+D416+D466+D516+D566+D616+D666+D714</f>
        <v>985760</v>
      </c>
      <c r="E16" s="2595">
        <f t="shared" si="0"/>
        <v>0</v>
      </c>
      <c r="F16" s="2591">
        <f t="shared" si="1"/>
        <v>985760</v>
      </c>
      <c r="G16" s="2595">
        <f t="shared" si="2"/>
        <v>0</v>
      </c>
      <c r="H16" s="396"/>
      <c r="I16" s="846"/>
      <c r="J16" s="515"/>
      <c r="K16" s="846"/>
      <c r="L16" s="552"/>
      <c r="M16" s="604"/>
    </row>
    <row r="17" spans="2:15">
      <c r="B17" s="1735"/>
      <c r="C17" s="1736" t="s">
        <v>378</v>
      </c>
      <c r="D17" s="2595">
        <f>+D68+D117+D167+D217+D267+D317+D367+D417+D467+D517+D567+D617+D667+D715</f>
        <v>20276220</v>
      </c>
      <c r="E17" s="2595">
        <f t="shared" si="0"/>
        <v>0</v>
      </c>
      <c r="F17" s="2591">
        <f t="shared" si="1"/>
        <v>20276220</v>
      </c>
      <c r="G17" s="2595">
        <f t="shared" si="2"/>
        <v>0</v>
      </c>
      <c r="H17" s="396"/>
      <c r="I17" s="846"/>
      <c r="J17" s="515"/>
      <c r="K17" s="846"/>
      <c r="L17" s="552"/>
      <c r="M17" s="604"/>
    </row>
    <row r="18" spans="2:15">
      <c r="B18" s="1735">
        <v>8</v>
      </c>
      <c r="C18" s="1736" t="s">
        <v>379</v>
      </c>
      <c r="D18" s="2595">
        <f>+D68++D118+D168+D218+D268+D318+D368+D418+D468+D518+D568+D618+D668+D716</f>
        <v>0</v>
      </c>
      <c r="E18" s="2595">
        <f t="shared" si="0"/>
        <v>0</v>
      </c>
      <c r="F18" s="2591">
        <f t="shared" si="1"/>
        <v>0</v>
      </c>
      <c r="G18" s="2595">
        <f t="shared" si="2"/>
        <v>0</v>
      </c>
      <c r="H18" s="396"/>
      <c r="I18" s="846"/>
      <c r="J18" s="515"/>
      <c r="K18" s="846"/>
      <c r="L18" s="552"/>
      <c r="M18" s="604"/>
    </row>
    <row r="19" spans="2:15">
      <c r="B19" s="1735"/>
      <c r="C19" s="2594" t="s">
        <v>380</v>
      </c>
      <c r="D19" s="2595">
        <f>+D70+D119+D169+D219+D269+D319+D369+D419+D469+D519+D569+D619+D669+D717</f>
        <v>0</v>
      </c>
      <c r="E19" s="2595">
        <f t="shared" si="0"/>
        <v>0</v>
      </c>
      <c r="F19" s="2591">
        <f t="shared" si="1"/>
        <v>0</v>
      </c>
      <c r="G19" s="2595">
        <f t="shared" si="2"/>
        <v>0</v>
      </c>
      <c r="H19" s="396"/>
      <c r="I19" s="846"/>
      <c r="J19" s="515"/>
      <c r="K19" s="846"/>
      <c r="L19" s="552"/>
      <c r="M19" s="604"/>
    </row>
    <row r="20" spans="2:15">
      <c r="B20" s="1735"/>
      <c r="C20" s="1736" t="s">
        <v>381</v>
      </c>
      <c r="D20" s="2595">
        <f>D70+D120+D170+D220+D270+D320+D370+D420+D470+D520+D570+D620+D670+D718</f>
        <v>164125</v>
      </c>
      <c r="E20" s="2595">
        <f t="shared" si="0"/>
        <v>0</v>
      </c>
      <c r="F20" s="2591">
        <f t="shared" si="1"/>
        <v>164125</v>
      </c>
      <c r="G20" s="2595">
        <f t="shared" si="2"/>
        <v>0</v>
      </c>
      <c r="H20" s="396"/>
      <c r="I20" s="846"/>
      <c r="J20" s="515"/>
      <c r="K20" s="846"/>
      <c r="L20" s="552"/>
      <c r="M20" s="604"/>
    </row>
    <row r="21" spans="2:15">
      <c r="B21" s="2596">
        <v>9</v>
      </c>
      <c r="C21" s="2597" t="s">
        <v>282</v>
      </c>
      <c r="D21" s="2598">
        <f>SUM(D22:D25)</f>
        <v>107458996</v>
      </c>
      <c r="E21" s="2598">
        <f>SUM(E22:E25)</f>
        <v>17160594</v>
      </c>
      <c r="F21" s="2599">
        <f>+D21+E21</f>
        <v>124619590</v>
      </c>
      <c r="G21" s="2598">
        <f>SUM(G22:G25)</f>
        <v>2959552</v>
      </c>
      <c r="H21" s="396"/>
      <c r="I21" s="846"/>
      <c r="J21" s="515"/>
      <c r="K21" s="846"/>
      <c r="L21" s="552"/>
      <c r="M21" s="604"/>
    </row>
    <row r="22" spans="2:15">
      <c r="B22" s="1735">
        <v>10</v>
      </c>
      <c r="C22" s="1737" t="s">
        <v>283</v>
      </c>
      <c r="D22" s="2595">
        <f t="shared" ref="D22:D31" si="3">+D72+D122+D172+D222+D272+D322+D372+D422+D472+D522+D572+D622+D672+D720</f>
        <v>4805874</v>
      </c>
      <c r="E22" s="2595">
        <f t="shared" ref="E22:E31" si="4">+E522</f>
        <v>2726226</v>
      </c>
      <c r="F22" s="2591">
        <f t="shared" si="1"/>
        <v>7532100</v>
      </c>
      <c r="G22" s="2595">
        <f t="shared" ref="G22:G31" si="5">+G522</f>
        <v>746552</v>
      </c>
      <c r="H22" s="396"/>
      <c r="I22" s="846"/>
      <c r="J22" s="515"/>
      <c r="K22" s="846"/>
      <c r="L22" s="552"/>
      <c r="M22" s="604"/>
    </row>
    <row r="23" spans="2:15">
      <c r="B23" s="1735">
        <v>11</v>
      </c>
      <c r="C23" s="2594" t="s">
        <v>284</v>
      </c>
      <c r="D23" s="2595">
        <f t="shared" si="3"/>
        <v>52092591</v>
      </c>
      <c r="E23" s="2595">
        <f t="shared" si="4"/>
        <v>27854</v>
      </c>
      <c r="F23" s="2591">
        <f t="shared" si="1"/>
        <v>52120445</v>
      </c>
      <c r="G23" s="2595">
        <f t="shared" si="5"/>
        <v>1374625</v>
      </c>
      <c r="H23" s="396"/>
      <c r="I23" s="846"/>
      <c r="J23" s="515"/>
      <c r="K23" s="846"/>
      <c r="L23" s="552"/>
      <c r="M23" s="604"/>
    </row>
    <row r="24" spans="2:15">
      <c r="B24" s="1735">
        <v>12</v>
      </c>
      <c r="C24" s="2594" t="s">
        <v>285</v>
      </c>
      <c r="D24" s="2595">
        <f t="shared" si="3"/>
        <v>43438480</v>
      </c>
      <c r="E24" s="2595">
        <f t="shared" si="4"/>
        <v>14406514</v>
      </c>
      <c r="F24" s="2591">
        <f t="shared" si="1"/>
        <v>57844994</v>
      </c>
      <c r="G24" s="2595">
        <f t="shared" si="5"/>
        <v>838375</v>
      </c>
      <c r="H24" s="396"/>
      <c r="I24" s="846"/>
      <c r="J24" s="515"/>
      <c r="K24" s="846"/>
      <c r="L24" s="552"/>
      <c r="M24" s="604"/>
    </row>
    <row r="25" spans="2:15" ht="25.5">
      <c r="B25" s="1735">
        <v>13</v>
      </c>
      <c r="C25" s="2594" t="s">
        <v>286</v>
      </c>
      <c r="D25" s="2595">
        <f t="shared" si="3"/>
        <v>7122051</v>
      </c>
      <c r="E25" s="2595">
        <f t="shared" si="4"/>
        <v>0</v>
      </c>
      <c r="F25" s="2591">
        <f t="shared" si="1"/>
        <v>7122051</v>
      </c>
      <c r="G25" s="2595">
        <f t="shared" si="5"/>
        <v>0</v>
      </c>
      <c r="H25" s="396"/>
      <c r="I25" s="846"/>
      <c r="J25" s="515"/>
      <c r="K25" s="846"/>
      <c r="L25" s="552"/>
      <c r="M25" s="604"/>
    </row>
    <row r="26" spans="2:15">
      <c r="B26" s="1735">
        <v>14</v>
      </c>
      <c r="C26" s="2600" t="s">
        <v>287</v>
      </c>
      <c r="D26" s="2595">
        <f t="shared" si="3"/>
        <v>0</v>
      </c>
      <c r="E26" s="2595">
        <f t="shared" si="4"/>
        <v>0</v>
      </c>
      <c r="F26" s="2591">
        <f t="shared" si="1"/>
        <v>0</v>
      </c>
      <c r="G26" s="2595">
        <f t="shared" si="5"/>
        <v>0</v>
      </c>
      <c r="H26" s="396"/>
      <c r="I26" s="846"/>
      <c r="J26" s="515"/>
      <c r="K26" s="846"/>
      <c r="L26" s="552"/>
      <c r="M26" s="604"/>
    </row>
    <row r="27" spans="2:15">
      <c r="B27" s="1735">
        <v>15</v>
      </c>
      <c r="C27" s="2600" t="s">
        <v>288</v>
      </c>
      <c r="D27" s="2595">
        <f t="shared" si="3"/>
        <v>12812145</v>
      </c>
      <c r="E27" s="2595">
        <f t="shared" si="4"/>
        <v>0</v>
      </c>
      <c r="F27" s="2591">
        <f t="shared" si="1"/>
        <v>12812145</v>
      </c>
      <c r="G27" s="2595">
        <f t="shared" si="5"/>
        <v>1082149</v>
      </c>
      <c r="H27" s="396"/>
      <c r="I27" s="846"/>
      <c r="J27" s="515"/>
      <c r="K27" s="846"/>
      <c r="L27" s="552"/>
      <c r="M27" s="604"/>
    </row>
    <row r="28" spans="2:15">
      <c r="B28" s="1735">
        <v>16</v>
      </c>
      <c r="C28" s="2600" t="s">
        <v>289</v>
      </c>
      <c r="D28" s="2595">
        <f t="shared" si="3"/>
        <v>26106212</v>
      </c>
      <c r="E28" s="2595">
        <f t="shared" si="4"/>
        <v>1469955</v>
      </c>
      <c r="F28" s="2591">
        <f t="shared" si="1"/>
        <v>27576167</v>
      </c>
      <c r="G28" s="2595">
        <f t="shared" si="5"/>
        <v>1267806</v>
      </c>
      <c r="H28" s="396"/>
      <c r="I28" s="846"/>
      <c r="J28" s="515"/>
      <c r="K28" s="846"/>
      <c r="L28" s="552"/>
      <c r="M28" s="604"/>
    </row>
    <row r="29" spans="2:15" s="295" customFormat="1">
      <c r="B29" s="1735">
        <v>17</v>
      </c>
      <c r="C29" s="1736" t="s">
        <v>229</v>
      </c>
      <c r="D29" s="2595">
        <f t="shared" si="3"/>
        <v>6778043</v>
      </c>
      <c r="E29" s="2595">
        <f t="shared" si="4"/>
        <v>1049334</v>
      </c>
      <c r="F29" s="2591">
        <f t="shared" si="1"/>
        <v>7827377</v>
      </c>
      <c r="G29" s="2595">
        <f t="shared" si="5"/>
        <v>6</v>
      </c>
      <c r="H29" s="396"/>
      <c r="I29" s="846"/>
      <c r="J29" s="635"/>
      <c r="K29" s="846"/>
      <c r="L29" s="552"/>
      <c r="M29" s="604"/>
    </row>
    <row r="30" spans="2:15">
      <c r="B30" s="1735">
        <v>18</v>
      </c>
      <c r="C30" s="2594" t="s">
        <v>382</v>
      </c>
      <c r="D30" s="2595">
        <f t="shared" si="3"/>
        <v>2903982</v>
      </c>
      <c r="E30" s="2595">
        <f t="shared" si="4"/>
        <v>467400</v>
      </c>
      <c r="F30" s="2591">
        <f t="shared" si="1"/>
        <v>3371382</v>
      </c>
      <c r="G30" s="2595">
        <f t="shared" si="5"/>
        <v>246058</v>
      </c>
      <c r="H30" s="396"/>
      <c r="I30" s="846"/>
      <c r="J30" s="515"/>
      <c r="K30" s="846"/>
      <c r="L30" s="552"/>
      <c r="M30" s="604"/>
    </row>
    <row r="31" spans="2:15" ht="13.5" thickBot="1">
      <c r="B31" s="1735">
        <v>19</v>
      </c>
      <c r="C31" s="1736" t="s">
        <v>230</v>
      </c>
      <c r="D31" s="2595">
        <f t="shared" si="3"/>
        <v>6540077</v>
      </c>
      <c r="E31" s="2601">
        <f t="shared" si="4"/>
        <v>56019</v>
      </c>
      <c r="F31" s="2591">
        <f t="shared" si="1"/>
        <v>6596096</v>
      </c>
      <c r="G31" s="2601">
        <f t="shared" si="5"/>
        <v>510262</v>
      </c>
      <c r="H31" s="396"/>
      <c r="I31" s="846"/>
      <c r="J31" s="515"/>
      <c r="K31" s="846"/>
      <c r="L31" s="552"/>
      <c r="M31" s="604"/>
    </row>
    <row r="32" spans="2:15" s="295" customFormat="1" ht="26.25" thickBot="1">
      <c r="B32" s="1686">
        <v>20</v>
      </c>
      <c r="C32" s="1722" t="s">
        <v>383</v>
      </c>
      <c r="D32" s="1708">
        <f>SUM(D9:D14)+D16+D17+D20+D21+D26+D27+D28+D29+D30+D31</f>
        <v>207330489</v>
      </c>
      <c r="E32" s="1708">
        <f t="shared" ref="E32:G32" si="6">SUM(E9:E14)+E16+E17+E20+E21+E26+E27+E28+E29+E30+E31</f>
        <v>20309056</v>
      </c>
      <c r="F32" s="1708">
        <f>+D32+E32</f>
        <v>227639545</v>
      </c>
      <c r="G32" s="1708">
        <f t="shared" si="6"/>
        <v>6065833</v>
      </c>
      <c r="H32" s="396"/>
      <c r="I32" s="846"/>
      <c r="J32" s="635"/>
      <c r="K32" s="846"/>
      <c r="L32" s="552"/>
      <c r="M32" s="604"/>
      <c r="N32" s="635"/>
      <c r="O32" s="553"/>
    </row>
    <row r="33" spans="2:13">
      <c r="B33" s="1674"/>
      <c r="C33" s="1696" t="s">
        <v>294</v>
      </c>
      <c r="D33" s="504">
        <f>+D84+D133+D183+D233+D283+D333+D383+D433+D483+D533+D583+D633+D683+D731</f>
        <v>0</v>
      </c>
      <c r="E33" s="504">
        <f t="shared" ref="E33:E40" si="7">+E533</f>
        <v>0</v>
      </c>
      <c r="F33" s="1701">
        <v>0</v>
      </c>
      <c r="G33" s="504">
        <f t="shared" ref="G33:G40" si="8">+G533</f>
        <v>0</v>
      </c>
      <c r="H33" s="396"/>
      <c r="I33" s="846"/>
      <c r="J33" s="515"/>
      <c r="K33" s="846"/>
      <c r="L33" s="552"/>
      <c r="M33" s="604"/>
    </row>
    <row r="34" spans="2:13">
      <c r="B34" s="1674"/>
      <c r="C34" s="1695" t="s">
        <v>295</v>
      </c>
      <c r="D34" s="2595"/>
      <c r="E34" s="2595">
        <f t="shared" si="7"/>
        <v>0</v>
      </c>
      <c r="F34" s="2591">
        <f>+D34+E34</f>
        <v>0</v>
      </c>
      <c r="G34" s="2595">
        <f t="shared" si="8"/>
        <v>0</v>
      </c>
      <c r="H34" s="396"/>
      <c r="I34" s="846"/>
      <c r="J34" s="515"/>
      <c r="K34" s="846"/>
      <c r="L34" s="552"/>
      <c r="M34" s="604"/>
    </row>
    <row r="35" spans="2:13">
      <c r="B35" s="1674">
        <v>21</v>
      </c>
      <c r="C35" s="2558" t="s">
        <v>296</v>
      </c>
      <c r="D35" s="2595">
        <f t="shared" ref="D35:D40" si="9">+D85+D135+D185+D235+D285+D335+D385+D435+D485+D535+D585+D635+D685+D733</f>
        <v>75151795</v>
      </c>
      <c r="E35" s="2595">
        <f t="shared" si="7"/>
        <v>2907394</v>
      </c>
      <c r="F35" s="2591">
        <f>+D35+E35</f>
        <v>78059189</v>
      </c>
      <c r="G35" s="2595">
        <f t="shared" si="8"/>
        <v>4105553</v>
      </c>
      <c r="H35" s="396"/>
      <c r="I35" s="846"/>
      <c r="J35" s="515"/>
      <c r="K35" s="846"/>
      <c r="L35" s="552"/>
      <c r="M35" s="604"/>
    </row>
    <row r="36" spans="2:13">
      <c r="B36" s="1674">
        <v>22</v>
      </c>
      <c r="C36" s="2178" t="s">
        <v>297</v>
      </c>
      <c r="D36" s="2595">
        <f t="shared" si="9"/>
        <v>2344741</v>
      </c>
      <c r="E36" s="2595">
        <f t="shared" si="7"/>
        <v>0</v>
      </c>
      <c r="F36" s="2591">
        <f t="shared" ref="F36:F46" si="10">+D36+E36</f>
        <v>2344741</v>
      </c>
      <c r="G36" s="2595">
        <f t="shared" si="8"/>
        <v>0</v>
      </c>
      <c r="H36" s="396"/>
      <c r="I36" s="846"/>
      <c r="J36" s="515"/>
      <c r="K36" s="846"/>
      <c r="L36" s="552"/>
      <c r="M36" s="604"/>
    </row>
    <row r="37" spans="2:13">
      <c r="B37" s="1674">
        <v>23</v>
      </c>
      <c r="C37" s="2178" t="s">
        <v>298</v>
      </c>
      <c r="D37" s="2595">
        <f t="shared" si="9"/>
        <v>9824765</v>
      </c>
      <c r="E37" s="2595">
        <f t="shared" si="7"/>
        <v>77593</v>
      </c>
      <c r="F37" s="2591">
        <f t="shared" si="10"/>
        <v>9902358</v>
      </c>
      <c r="G37" s="2595">
        <f t="shared" si="8"/>
        <v>921939</v>
      </c>
      <c r="H37" s="396"/>
      <c r="I37" s="846"/>
      <c r="J37" s="515"/>
      <c r="K37" s="846"/>
      <c r="L37" s="552"/>
      <c r="M37" s="604"/>
    </row>
    <row r="38" spans="2:13">
      <c r="B38" s="1674">
        <v>24</v>
      </c>
      <c r="C38" s="2178" t="s">
        <v>299</v>
      </c>
      <c r="D38" s="2595">
        <f t="shared" si="9"/>
        <v>1267904</v>
      </c>
      <c r="E38" s="2595">
        <f t="shared" si="7"/>
        <v>0</v>
      </c>
      <c r="F38" s="2591">
        <f t="shared" si="10"/>
        <v>1267904</v>
      </c>
      <c r="G38" s="2595">
        <f t="shared" si="8"/>
        <v>0</v>
      </c>
      <c r="H38" s="396"/>
      <c r="I38" s="846"/>
      <c r="J38" s="515"/>
      <c r="K38" s="846"/>
      <c r="L38" s="552"/>
      <c r="M38" s="604"/>
    </row>
    <row r="39" spans="2:13">
      <c r="B39" s="1674">
        <v>25</v>
      </c>
      <c r="C39" s="2558" t="s">
        <v>300</v>
      </c>
      <c r="D39" s="2595">
        <f t="shared" si="9"/>
        <v>325687</v>
      </c>
      <c r="E39" s="2595">
        <f t="shared" si="7"/>
        <v>0</v>
      </c>
      <c r="F39" s="2591">
        <f t="shared" si="10"/>
        <v>325687</v>
      </c>
      <c r="G39" s="2595">
        <f t="shared" si="8"/>
        <v>107827</v>
      </c>
      <c r="H39" s="396"/>
      <c r="I39" s="846"/>
      <c r="J39" s="515"/>
      <c r="K39" s="846"/>
      <c r="L39" s="552"/>
      <c r="M39" s="604"/>
    </row>
    <row r="40" spans="2:13" ht="13.5" thickBot="1">
      <c r="B40" s="1674">
        <v>26</v>
      </c>
      <c r="C40" s="2575" t="s">
        <v>301</v>
      </c>
      <c r="D40" s="2595">
        <f t="shared" si="9"/>
        <v>24117173</v>
      </c>
      <c r="E40" s="2601">
        <f t="shared" si="7"/>
        <v>1560580</v>
      </c>
      <c r="F40" s="2592">
        <f t="shared" si="10"/>
        <v>25677753</v>
      </c>
      <c r="G40" s="2601">
        <f t="shared" si="8"/>
        <v>43544</v>
      </c>
      <c r="H40" s="396"/>
      <c r="I40" s="846"/>
      <c r="J40" s="515"/>
      <c r="K40" s="846"/>
      <c r="L40" s="552"/>
      <c r="M40" s="604"/>
    </row>
    <row r="41" spans="2:13" s="295" customFormat="1" ht="13.5" thickBot="1">
      <c r="B41" s="1677">
        <v>27</v>
      </c>
      <c r="C41" s="1694" t="s">
        <v>384</v>
      </c>
      <c r="D41" s="505">
        <f>SUM(D34:D40)</f>
        <v>113032065</v>
      </c>
      <c r="E41" s="505">
        <f>SUM(E35:E40)</f>
        <v>4545567</v>
      </c>
      <c r="F41" s="1703">
        <f>+D41+E41</f>
        <v>117577632</v>
      </c>
      <c r="G41" s="505">
        <f>SUM(G35:G40)</f>
        <v>5178863</v>
      </c>
      <c r="H41" s="396"/>
      <c r="I41" s="846"/>
      <c r="J41" s="635"/>
      <c r="K41" s="846"/>
      <c r="L41" s="552"/>
      <c r="M41" s="604"/>
    </row>
    <row r="42" spans="2:13">
      <c r="B42" s="1674"/>
      <c r="C42" s="1693" t="s">
        <v>385</v>
      </c>
      <c r="D42" s="504">
        <v>0</v>
      </c>
      <c r="E42" s="504">
        <f t="shared" ref="E42:E47" si="11">+E542</f>
        <v>0</v>
      </c>
      <c r="F42" s="1701">
        <f t="shared" si="10"/>
        <v>0</v>
      </c>
      <c r="G42" s="504">
        <f>+G542</f>
        <v>0</v>
      </c>
      <c r="H42" s="396"/>
      <c r="I42" s="846"/>
      <c r="J42" s="515"/>
      <c r="K42" s="846"/>
      <c r="L42" s="552"/>
      <c r="M42" s="604"/>
    </row>
    <row r="43" spans="2:13" s="295" customFormat="1">
      <c r="B43" s="1674">
        <v>28</v>
      </c>
      <c r="C43" s="2558" t="s">
        <v>386</v>
      </c>
      <c r="D43" s="2595">
        <f>+D93+D143+D193+D243+D293+D343+D393+D443+D493+D543+D593+D643+D693+D741</f>
        <v>28791897</v>
      </c>
      <c r="E43" s="2595">
        <f t="shared" si="11"/>
        <v>0</v>
      </c>
      <c r="F43" s="2591">
        <f t="shared" si="10"/>
        <v>28791897</v>
      </c>
      <c r="G43" s="2595">
        <f>+G543</f>
        <v>0</v>
      </c>
      <c r="H43" s="396"/>
      <c r="I43" s="846"/>
      <c r="J43" s="635"/>
      <c r="K43" s="846"/>
      <c r="L43" s="552"/>
      <c r="M43" s="604"/>
    </row>
    <row r="44" spans="2:13">
      <c r="B44" s="1674">
        <v>29</v>
      </c>
      <c r="C44" s="2558" t="s">
        <v>305</v>
      </c>
      <c r="D44" s="2595">
        <f>+D94+D144+D194+D244+D294+D344+D394+D444+D494+D544+D594+D644+D694+D742</f>
        <v>10417106</v>
      </c>
      <c r="E44" s="2595">
        <f t="shared" si="11"/>
        <v>0</v>
      </c>
      <c r="F44" s="2591">
        <f t="shared" si="10"/>
        <v>10417106</v>
      </c>
      <c r="G44" s="2595">
        <f>+G544</f>
        <v>0</v>
      </c>
      <c r="H44" s="396"/>
      <c r="I44" s="846"/>
      <c r="J44" s="515"/>
      <c r="K44" s="846"/>
      <c r="L44" s="552"/>
      <c r="M44" s="604"/>
    </row>
    <row r="45" spans="2:13">
      <c r="B45" s="1674">
        <v>30</v>
      </c>
      <c r="C45" s="2584" t="s">
        <v>306</v>
      </c>
      <c r="D45" s="2595">
        <f>+D95+D145+D195+D245+D295+D345+D395+D445+D495+D545+D595+D645+D695+D743</f>
        <v>8313721</v>
      </c>
      <c r="E45" s="2595">
        <f t="shared" si="11"/>
        <v>0</v>
      </c>
      <c r="F45" s="2591">
        <f t="shared" si="10"/>
        <v>8313721</v>
      </c>
      <c r="G45" s="2595">
        <f>+G545</f>
        <v>0</v>
      </c>
      <c r="H45" s="396"/>
      <c r="I45" s="846"/>
      <c r="J45" s="515"/>
      <c r="K45" s="846"/>
      <c r="L45" s="552"/>
      <c r="M45" s="604"/>
    </row>
    <row r="46" spans="2:13" ht="13.5" thickBot="1">
      <c r="B46" s="1674">
        <v>31</v>
      </c>
      <c r="C46" s="2584" t="s">
        <v>308</v>
      </c>
      <c r="D46" s="2601">
        <f>+D96+D146+D196+D246+D296+D346+D396+D446+D496+D546+D596+D646+D696+D744</f>
        <v>46775696</v>
      </c>
      <c r="E46" s="2601">
        <f t="shared" si="11"/>
        <v>15763489</v>
      </c>
      <c r="F46" s="2592">
        <f t="shared" si="10"/>
        <v>62539185</v>
      </c>
      <c r="G46" s="2601">
        <f>+G546</f>
        <v>886970</v>
      </c>
      <c r="H46" s="396"/>
      <c r="I46" s="846"/>
      <c r="J46" s="515"/>
      <c r="K46" s="846"/>
      <c r="L46" s="552"/>
      <c r="M46" s="604"/>
    </row>
    <row r="47" spans="2:13" s="295" customFormat="1" ht="13.5" thickBot="1">
      <c r="B47" s="1677">
        <v>32</v>
      </c>
      <c r="C47" s="1694" t="s">
        <v>309</v>
      </c>
      <c r="D47" s="505">
        <f>SUM(D42:D46)</f>
        <v>94298420</v>
      </c>
      <c r="E47" s="505">
        <f t="shared" si="11"/>
        <v>15763489</v>
      </c>
      <c r="F47" s="1703">
        <f>+D47+E47</f>
        <v>110061909</v>
      </c>
      <c r="G47" s="505">
        <f>SUM(G42:G46)</f>
        <v>886970</v>
      </c>
      <c r="H47" s="396"/>
      <c r="I47" s="846"/>
      <c r="J47" s="635"/>
      <c r="K47" s="846"/>
      <c r="L47" s="552"/>
      <c r="M47" s="604"/>
    </row>
    <row r="48" spans="2:13" s="295" customFormat="1" ht="26.25" thickBot="1">
      <c r="B48" s="1689">
        <v>33</v>
      </c>
      <c r="C48" s="1722" t="s">
        <v>387</v>
      </c>
      <c r="D48" s="1708">
        <f>+D41+D47</f>
        <v>207330485</v>
      </c>
      <c r="E48" s="1708">
        <f>+E47+E41</f>
        <v>20309056</v>
      </c>
      <c r="F48" s="1708">
        <f>+F41+F47</f>
        <v>227639541</v>
      </c>
      <c r="G48" s="1708">
        <f>+G41+G47</f>
        <v>6065833</v>
      </c>
      <c r="H48" s="396"/>
      <c r="I48" s="846"/>
      <c r="J48" s="635"/>
      <c r="K48" s="846"/>
      <c r="L48" s="552"/>
      <c r="M48" s="604"/>
    </row>
    <row r="49" spans="2:9" s="295" customFormat="1">
      <c r="B49" s="274"/>
      <c r="C49" s="634"/>
      <c r="D49" s="383"/>
      <c r="E49" s="383"/>
      <c r="F49" s="383"/>
      <c r="G49" s="383"/>
      <c r="I49" s="396"/>
    </row>
    <row r="50" spans="2:9" ht="21" customHeight="1">
      <c r="C50" s="3599" t="s">
        <v>388</v>
      </c>
      <c r="D50" s="3599"/>
      <c r="E50" s="396"/>
      <c r="F50" s="396"/>
      <c r="G50" s="396">
        <v>96</v>
      </c>
      <c r="I50" s="396"/>
    </row>
    <row r="51" spans="2:9">
      <c r="B51" s="196"/>
      <c r="C51" s="634"/>
      <c r="D51" s="383"/>
      <c r="E51" s="293"/>
      <c r="F51" s="293"/>
    </row>
    <row r="52" spans="2:9" ht="14.25">
      <c r="B52" s="3593" t="s">
        <v>407</v>
      </c>
      <c r="C52" s="3594"/>
      <c r="D52" s="3594"/>
      <c r="E52" s="3594"/>
      <c r="F52" s="3594"/>
      <c r="G52" s="3594"/>
    </row>
    <row r="53" spans="2:9" ht="13.5" thickBot="1">
      <c r="B53" s="51" t="s">
        <v>408</v>
      </c>
      <c r="C53" s="51"/>
      <c r="D53" s="51"/>
      <c r="E53" s="51"/>
      <c r="F53" s="51"/>
      <c r="G53" s="51"/>
    </row>
    <row r="54" spans="2:9" ht="13.5" thickBot="1">
      <c r="B54" s="3582" t="s">
        <v>390</v>
      </c>
      <c r="C54" s="3583"/>
      <c r="D54" s="425"/>
      <c r="E54" s="396"/>
      <c r="F54" s="396"/>
    </row>
    <row r="55" spans="2:9">
      <c r="B55" s="3520" t="s">
        <v>372</v>
      </c>
      <c r="C55" s="3585"/>
      <c r="D55" s="3518" t="s">
        <v>391</v>
      </c>
      <c r="E55" s="274"/>
      <c r="F55" s="274"/>
    </row>
    <row r="56" spans="2:9">
      <c r="B56" s="3520"/>
      <c r="C56" s="3585"/>
      <c r="D56" s="3520"/>
      <c r="E56" s="443"/>
      <c r="F56" s="443"/>
    </row>
    <row r="57" spans="2:9">
      <c r="B57" s="3519"/>
      <c r="C57" s="3586"/>
      <c r="D57" s="3519"/>
      <c r="E57" s="443"/>
      <c r="F57" s="443"/>
    </row>
    <row r="58" spans="2:9" ht="14.25">
      <c r="B58" s="1733"/>
      <c r="C58" s="1739" t="s">
        <v>269</v>
      </c>
      <c r="D58" s="759" t="s">
        <v>0</v>
      </c>
      <c r="E58" s="293"/>
      <c r="F58" s="293"/>
    </row>
    <row r="59" spans="2:9">
      <c r="B59" s="1735">
        <v>1</v>
      </c>
      <c r="C59" s="2602" t="s">
        <v>270</v>
      </c>
      <c r="D59" s="791"/>
      <c r="E59" s="293"/>
      <c r="F59" s="293"/>
      <c r="H59" s="515"/>
      <c r="I59" s="396"/>
    </row>
    <row r="60" spans="2:9">
      <c r="B60" s="1735">
        <v>2</v>
      </c>
      <c r="C60" s="2602" t="s">
        <v>271</v>
      </c>
      <c r="D60" s="780">
        <v>1312889</v>
      </c>
      <c r="E60" s="293"/>
      <c r="F60" s="293"/>
      <c r="H60" s="515"/>
      <c r="I60" s="396"/>
    </row>
    <row r="61" spans="2:9">
      <c r="B61" s="1735">
        <v>3</v>
      </c>
      <c r="C61" s="2602" t="s">
        <v>272</v>
      </c>
      <c r="D61" s="781">
        <v>732627</v>
      </c>
      <c r="E61" s="293"/>
      <c r="F61" s="293"/>
      <c r="H61" s="515"/>
      <c r="I61" s="396"/>
    </row>
    <row r="62" spans="2:9">
      <c r="B62" s="1735">
        <v>4</v>
      </c>
      <c r="C62" s="2594" t="s">
        <v>406</v>
      </c>
      <c r="D62" s="781">
        <v>368420</v>
      </c>
      <c r="E62" s="293"/>
      <c r="F62" s="293"/>
      <c r="H62" s="515"/>
      <c r="I62" s="396"/>
    </row>
    <row r="63" spans="2:9">
      <c r="B63" s="1735">
        <v>5</v>
      </c>
      <c r="C63" s="2602" t="s">
        <v>237</v>
      </c>
      <c r="D63" s="781">
        <v>345827</v>
      </c>
      <c r="E63" s="293"/>
      <c r="F63" s="293"/>
      <c r="H63" s="515"/>
      <c r="I63" s="396"/>
    </row>
    <row r="64" spans="2:9">
      <c r="B64" s="1735">
        <v>6</v>
      </c>
      <c r="C64" s="2602" t="s">
        <v>275</v>
      </c>
      <c r="D64" s="783"/>
      <c r="E64" s="293"/>
      <c r="F64" s="293"/>
      <c r="H64" s="515"/>
      <c r="I64" s="396"/>
    </row>
    <row r="65" spans="2:9">
      <c r="B65" s="1735">
        <v>7</v>
      </c>
      <c r="C65" s="2602" t="s">
        <v>276</v>
      </c>
      <c r="D65" s="791"/>
      <c r="E65" s="293"/>
      <c r="F65" s="293"/>
      <c r="H65" s="515"/>
      <c r="I65" s="396"/>
    </row>
    <row r="66" spans="2:9">
      <c r="B66" s="1735"/>
      <c r="C66" s="2602" t="s">
        <v>377</v>
      </c>
      <c r="D66" s="791"/>
      <c r="E66" s="293"/>
      <c r="F66" s="293"/>
      <c r="H66" s="515"/>
      <c r="I66" s="396"/>
    </row>
    <row r="67" spans="2:9">
      <c r="B67" s="1735"/>
      <c r="C67" s="1740" t="s">
        <v>378</v>
      </c>
      <c r="D67" s="791"/>
      <c r="E67" s="293"/>
      <c r="F67" s="293"/>
      <c r="H67" s="515"/>
      <c r="I67" s="396"/>
    </row>
    <row r="68" spans="2:9">
      <c r="B68" s="1735">
        <v>8</v>
      </c>
      <c r="C68" s="1740" t="s">
        <v>379</v>
      </c>
      <c r="D68" s="791"/>
      <c r="E68" s="293"/>
      <c r="F68" s="293"/>
      <c r="H68" s="515"/>
      <c r="I68" s="396"/>
    </row>
    <row r="69" spans="2:9">
      <c r="B69" s="1735"/>
      <c r="C69" s="2602" t="s">
        <v>380</v>
      </c>
      <c r="D69" s="791"/>
      <c r="E69" s="293"/>
      <c r="F69" s="293"/>
      <c r="H69" s="515"/>
      <c r="I69" s="396"/>
    </row>
    <row r="70" spans="2:9">
      <c r="B70" s="1735"/>
      <c r="C70" s="1740" t="s">
        <v>381</v>
      </c>
      <c r="D70" s="791"/>
      <c r="E70" s="293"/>
      <c r="F70" s="293"/>
      <c r="H70" s="515"/>
      <c r="I70" s="396"/>
    </row>
    <row r="71" spans="2:9">
      <c r="B71" s="2596">
        <v>9</v>
      </c>
      <c r="C71" s="2603" t="s">
        <v>282</v>
      </c>
      <c r="D71" s="793">
        <v>16681040</v>
      </c>
      <c r="E71" s="293"/>
      <c r="F71" s="293"/>
      <c r="H71" s="515"/>
      <c r="I71" s="396"/>
    </row>
    <row r="72" spans="2:9">
      <c r="B72" s="1735">
        <v>10</v>
      </c>
      <c r="C72" s="1741" t="s">
        <v>283</v>
      </c>
      <c r="D72" s="791"/>
      <c r="E72" s="293"/>
      <c r="F72" s="293"/>
      <c r="H72" s="515"/>
      <c r="I72" s="396"/>
    </row>
    <row r="73" spans="2:9">
      <c r="B73" s="1735">
        <v>11</v>
      </c>
      <c r="C73" s="2602" t="s">
        <v>284</v>
      </c>
      <c r="D73" s="781">
        <v>1501860</v>
      </c>
      <c r="E73" s="293"/>
      <c r="F73" s="293"/>
      <c r="H73" s="515"/>
      <c r="I73" s="396"/>
    </row>
    <row r="74" spans="2:9">
      <c r="B74" s="1735">
        <v>12</v>
      </c>
      <c r="C74" s="2602" t="s">
        <v>285</v>
      </c>
      <c r="D74" s="781">
        <v>15179180</v>
      </c>
      <c r="E74" s="293"/>
      <c r="F74" s="293"/>
      <c r="H74" s="515"/>
      <c r="I74" s="396"/>
    </row>
    <row r="75" spans="2:9" ht="25.5">
      <c r="B75" s="1735">
        <v>13</v>
      </c>
      <c r="C75" s="2602" t="s">
        <v>286</v>
      </c>
      <c r="D75" s="783"/>
      <c r="E75" s="293"/>
      <c r="F75" s="293"/>
      <c r="H75" s="515"/>
      <c r="I75" s="396"/>
    </row>
    <row r="76" spans="2:9">
      <c r="B76" s="1735">
        <v>14</v>
      </c>
      <c r="C76" s="2604" t="s">
        <v>287</v>
      </c>
      <c r="D76" s="783"/>
      <c r="E76" s="293"/>
      <c r="F76" s="293"/>
      <c r="H76" s="515"/>
      <c r="I76" s="396"/>
    </row>
    <row r="77" spans="2:9">
      <c r="B77" s="1735">
        <v>15</v>
      </c>
      <c r="C77" s="2604" t="s">
        <v>288</v>
      </c>
      <c r="D77" s="781">
        <v>1545258</v>
      </c>
      <c r="E77" s="293"/>
      <c r="F77" s="293"/>
      <c r="H77" s="515"/>
      <c r="I77" s="396"/>
    </row>
    <row r="78" spans="2:9">
      <c r="B78" s="1735">
        <v>16</v>
      </c>
      <c r="C78" s="2604" t="s">
        <v>289</v>
      </c>
      <c r="D78" s="781">
        <v>4233321</v>
      </c>
      <c r="E78" s="293"/>
      <c r="F78" s="293"/>
      <c r="H78" s="515"/>
      <c r="I78" s="396"/>
    </row>
    <row r="79" spans="2:9">
      <c r="B79" s="1735">
        <v>17</v>
      </c>
      <c r="C79" s="1740" t="s">
        <v>229</v>
      </c>
      <c r="D79" s="781">
        <v>1399013</v>
      </c>
      <c r="E79" s="293"/>
      <c r="F79" s="293"/>
      <c r="H79" s="515"/>
      <c r="I79" s="396"/>
    </row>
    <row r="80" spans="2:9">
      <c r="B80" s="1735">
        <v>18</v>
      </c>
      <c r="C80" s="2602" t="s">
        <v>382</v>
      </c>
      <c r="D80" s="783"/>
      <c r="E80" s="293"/>
      <c r="F80" s="293"/>
      <c r="H80" s="515"/>
      <c r="I80" s="396"/>
    </row>
    <row r="81" spans="2:9" ht="13.5" thickBot="1">
      <c r="B81" s="1735">
        <v>19</v>
      </c>
      <c r="C81" s="2605" t="s">
        <v>230</v>
      </c>
      <c r="D81" s="786">
        <v>1406489</v>
      </c>
      <c r="E81" s="293"/>
      <c r="F81" s="293"/>
      <c r="H81" s="515"/>
      <c r="I81" s="396"/>
    </row>
    <row r="82" spans="2:9" ht="26.25" thickBot="1">
      <c r="B82" s="1686">
        <v>20</v>
      </c>
      <c r="C82" s="1705" t="s">
        <v>293</v>
      </c>
      <c r="D82" s="1714">
        <v>28024882</v>
      </c>
      <c r="E82" s="293"/>
      <c r="F82" s="293"/>
      <c r="H82" s="515"/>
      <c r="I82" s="396"/>
    </row>
    <row r="83" spans="2:9">
      <c r="B83" s="1674"/>
      <c r="C83" s="1678" t="s">
        <v>294</v>
      </c>
      <c r="D83" s="791"/>
      <c r="E83" s="293"/>
      <c r="F83" s="293"/>
      <c r="H83" s="515"/>
      <c r="I83" s="396"/>
    </row>
    <row r="84" spans="2:9">
      <c r="B84" s="1674"/>
      <c r="C84" s="2588" t="s">
        <v>295</v>
      </c>
      <c r="D84" s="791"/>
      <c r="E84" s="293"/>
      <c r="F84" s="293"/>
      <c r="H84" s="515"/>
      <c r="I84" s="396"/>
    </row>
    <row r="85" spans="2:9">
      <c r="B85" s="1674">
        <v>21</v>
      </c>
      <c r="C85" s="2570" t="s">
        <v>296</v>
      </c>
      <c r="D85" s="781">
        <v>11639409</v>
      </c>
      <c r="E85" s="293"/>
      <c r="F85" s="293"/>
      <c r="H85" s="515"/>
      <c r="I85" s="396"/>
    </row>
    <row r="86" spans="2:9">
      <c r="B86" s="1674">
        <v>22</v>
      </c>
      <c r="C86" s="2570" t="s">
        <v>297</v>
      </c>
      <c r="D86" s="781">
        <v>398965</v>
      </c>
      <c r="E86" s="293"/>
      <c r="F86" s="293"/>
      <c r="H86" s="515"/>
      <c r="I86" s="396"/>
    </row>
    <row r="87" spans="2:9">
      <c r="B87" s="1674">
        <v>23</v>
      </c>
      <c r="C87" s="2570" t="s">
        <v>298</v>
      </c>
      <c r="D87" s="781">
        <v>1054100</v>
      </c>
      <c r="E87" s="293"/>
      <c r="F87" s="293"/>
      <c r="H87" s="515"/>
      <c r="I87" s="396"/>
    </row>
    <row r="88" spans="2:9">
      <c r="B88" s="1674">
        <v>24</v>
      </c>
      <c r="C88" s="2570" t="s">
        <v>299</v>
      </c>
      <c r="D88" s="781">
        <v>138963</v>
      </c>
      <c r="E88" s="293"/>
      <c r="F88" s="293"/>
      <c r="H88" s="515"/>
      <c r="I88" s="396"/>
    </row>
    <row r="89" spans="2:9">
      <c r="B89" s="1674">
        <v>25</v>
      </c>
      <c r="C89" s="2569" t="s">
        <v>300</v>
      </c>
      <c r="D89" s="781">
        <v>221574</v>
      </c>
      <c r="E89" s="293"/>
      <c r="F89" s="293"/>
      <c r="H89" s="515"/>
      <c r="I89" s="396"/>
    </row>
    <row r="90" spans="2:9" ht="13.5" thickBot="1">
      <c r="B90" s="1674">
        <v>26</v>
      </c>
      <c r="C90" s="2571" t="s">
        <v>301</v>
      </c>
      <c r="D90" s="786">
        <v>3012638</v>
      </c>
      <c r="E90" s="293"/>
      <c r="F90" s="293"/>
      <c r="H90" s="515"/>
      <c r="I90" s="396"/>
    </row>
    <row r="91" spans="2:9" ht="13.5" thickBot="1">
      <c r="B91" s="1677">
        <v>27</v>
      </c>
      <c r="C91" s="1699" t="s">
        <v>302</v>
      </c>
      <c r="D91" s="787">
        <v>16465649</v>
      </c>
      <c r="E91" s="293"/>
      <c r="F91" s="293"/>
      <c r="H91" s="515"/>
      <c r="I91" s="396"/>
    </row>
    <row r="92" spans="2:9">
      <c r="B92" s="1674"/>
      <c r="C92" s="1678" t="s">
        <v>303</v>
      </c>
      <c r="D92" s="785"/>
      <c r="E92" s="293"/>
      <c r="F92" s="293"/>
      <c r="H92" s="515"/>
      <c r="I92" s="396"/>
    </row>
    <row r="93" spans="2:9">
      <c r="B93" s="1674">
        <v>28</v>
      </c>
      <c r="C93" s="2587" t="s">
        <v>304</v>
      </c>
      <c r="D93" s="781">
        <v>8619972</v>
      </c>
      <c r="E93" s="293"/>
      <c r="F93" s="293"/>
      <c r="H93" s="515"/>
      <c r="I93" s="396"/>
    </row>
    <row r="94" spans="2:9">
      <c r="B94" s="1674">
        <v>29</v>
      </c>
      <c r="C94" s="2587" t="s">
        <v>305</v>
      </c>
      <c r="D94" s="781">
        <v>234085</v>
      </c>
      <c r="E94" s="293"/>
      <c r="F94" s="293"/>
      <c r="H94" s="515"/>
      <c r="I94" s="396"/>
    </row>
    <row r="95" spans="2:9">
      <c r="B95" s="1674">
        <v>30</v>
      </c>
      <c r="C95" s="2573" t="s">
        <v>306</v>
      </c>
      <c r="D95" s="783"/>
      <c r="E95" s="293"/>
      <c r="F95" s="293"/>
      <c r="H95" s="515"/>
      <c r="I95" s="396"/>
    </row>
    <row r="96" spans="2:9" ht="13.5" thickBot="1">
      <c r="B96" s="1674">
        <v>31</v>
      </c>
      <c r="C96" s="2573" t="s">
        <v>308</v>
      </c>
      <c r="D96" s="786">
        <v>2705175</v>
      </c>
      <c r="E96" s="293"/>
      <c r="F96" s="293"/>
      <c r="H96" s="515"/>
      <c r="I96" s="396"/>
    </row>
    <row r="97" spans="2:9" ht="13.5" thickBot="1">
      <c r="B97" s="1677">
        <v>32</v>
      </c>
      <c r="C97" s="1680" t="s">
        <v>309</v>
      </c>
      <c r="D97" s="787">
        <v>11559232</v>
      </c>
      <c r="E97" s="293"/>
      <c r="F97" s="293"/>
      <c r="H97" s="515"/>
      <c r="I97" s="396"/>
    </row>
    <row r="98" spans="2:9" ht="26.25" thickBot="1">
      <c r="B98" s="1689">
        <v>33</v>
      </c>
      <c r="C98" s="1742" t="s">
        <v>387</v>
      </c>
      <c r="D98" s="1715">
        <v>28024882</v>
      </c>
      <c r="E98" s="293"/>
      <c r="F98" s="293"/>
      <c r="H98" s="515"/>
      <c r="I98" s="396"/>
    </row>
    <row r="99" spans="2:9">
      <c r="B99" s="274"/>
      <c r="C99" s="1310"/>
      <c r="D99" s="293"/>
      <c r="E99" s="293"/>
      <c r="F99" s="293"/>
    </row>
    <row r="100" spans="2:9">
      <c r="B100" s="274"/>
      <c r="C100" s="634"/>
      <c r="D100" s="293"/>
      <c r="E100" s="293"/>
      <c r="F100" s="293"/>
      <c r="G100" s="292">
        <v>97</v>
      </c>
    </row>
    <row r="101" spans="2:9">
      <c r="B101" s="274"/>
      <c r="C101" s="634"/>
      <c r="D101" s="293"/>
      <c r="E101" s="293"/>
      <c r="F101" s="293"/>
    </row>
    <row r="102" spans="2:9" ht="14.25">
      <c r="B102" s="3593" t="s">
        <v>409</v>
      </c>
      <c r="C102" s="3594"/>
      <c r="D102" s="3594"/>
      <c r="E102" s="3594"/>
      <c r="F102" s="3594"/>
      <c r="G102" s="3594"/>
    </row>
    <row r="103" spans="2:9" ht="13.5" thickBot="1">
      <c r="B103" s="51" t="s">
        <v>408</v>
      </c>
      <c r="C103" s="51"/>
      <c r="D103" s="51"/>
      <c r="E103" s="51"/>
      <c r="F103" s="51"/>
      <c r="G103" s="51"/>
    </row>
    <row r="104" spans="2:9" ht="13.5" thickBot="1">
      <c r="B104" s="3582" t="s">
        <v>95</v>
      </c>
      <c r="C104" s="3583"/>
      <c r="D104" s="425"/>
      <c r="E104" s="396"/>
      <c r="F104" s="396"/>
    </row>
    <row r="105" spans="2:9">
      <c r="B105" s="3520" t="s">
        <v>372</v>
      </c>
      <c r="C105" s="3591"/>
      <c r="D105" s="3518" t="s">
        <v>391</v>
      </c>
      <c r="E105" s="274"/>
      <c r="F105" s="274"/>
    </row>
    <row r="106" spans="2:9">
      <c r="B106" s="3520"/>
      <c r="C106" s="3591"/>
      <c r="D106" s="3520"/>
      <c r="E106" s="443"/>
      <c r="F106" s="443"/>
    </row>
    <row r="107" spans="2:9">
      <c r="B107" s="3519"/>
      <c r="C107" s="3592"/>
      <c r="D107" s="3519"/>
      <c r="E107" s="443"/>
      <c r="F107" s="443"/>
    </row>
    <row r="108" spans="2:9" ht="14.25">
      <c r="B108" s="1674"/>
      <c r="C108" s="1681" t="s">
        <v>269</v>
      </c>
      <c r="D108" s="759"/>
      <c r="E108" s="293"/>
      <c r="F108" s="293"/>
    </row>
    <row r="109" spans="2:9">
      <c r="B109" s="1735">
        <v>1</v>
      </c>
      <c r="C109" s="2569" t="s">
        <v>270</v>
      </c>
      <c r="D109" s="791"/>
      <c r="E109" s="293"/>
      <c r="F109" s="293"/>
      <c r="H109" s="515"/>
      <c r="I109" s="396"/>
    </row>
    <row r="110" spans="2:9">
      <c r="B110" s="1735">
        <v>2</v>
      </c>
      <c r="C110" s="2569" t="s">
        <v>271</v>
      </c>
      <c r="D110" s="780">
        <v>28336</v>
      </c>
      <c r="E110" s="293"/>
      <c r="F110" s="293"/>
      <c r="H110" s="515"/>
      <c r="I110" s="396"/>
    </row>
    <row r="111" spans="2:9">
      <c r="B111" s="1735">
        <v>3</v>
      </c>
      <c r="C111" s="2569" t="s">
        <v>272</v>
      </c>
      <c r="D111" s="808"/>
      <c r="E111" s="293"/>
      <c r="F111" s="293"/>
      <c r="H111" s="515"/>
      <c r="I111" s="396"/>
    </row>
    <row r="112" spans="2:9">
      <c r="B112" s="1735">
        <v>4</v>
      </c>
      <c r="C112" s="2594" t="s">
        <v>406</v>
      </c>
      <c r="D112" s="780">
        <v>12939</v>
      </c>
      <c r="E112" s="293"/>
      <c r="F112" s="293"/>
      <c r="H112" s="515"/>
      <c r="I112" s="396"/>
    </row>
    <row r="113" spans="2:9">
      <c r="B113" s="1735">
        <v>5</v>
      </c>
      <c r="C113" s="2569" t="s">
        <v>237</v>
      </c>
      <c r="D113" s="780">
        <v>36112</v>
      </c>
      <c r="E113" s="293"/>
      <c r="F113" s="293"/>
      <c r="H113" s="515"/>
      <c r="I113" s="396"/>
    </row>
    <row r="114" spans="2:9">
      <c r="B114" s="1735">
        <v>6</v>
      </c>
      <c r="C114" s="2569" t="s">
        <v>275</v>
      </c>
      <c r="D114" s="780">
        <v>46500</v>
      </c>
      <c r="E114" s="293"/>
      <c r="F114" s="293"/>
      <c r="H114" s="515"/>
      <c r="I114" s="396"/>
    </row>
    <row r="115" spans="2:9">
      <c r="B115" s="1735">
        <v>7</v>
      </c>
      <c r="C115" s="2569" t="s">
        <v>276</v>
      </c>
      <c r="D115" s="785"/>
      <c r="E115" s="293"/>
      <c r="F115" s="293"/>
      <c r="H115" s="515"/>
      <c r="I115" s="396"/>
    </row>
    <row r="116" spans="2:9">
      <c r="B116" s="1735"/>
      <c r="C116" s="2569" t="s">
        <v>377</v>
      </c>
      <c r="D116" s="781">
        <v>411500</v>
      </c>
      <c r="E116" s="293"/>
      <c r="F116" s="293"/>
      <c r="H116" s="515"/>
      <c r="I116" s="396"/>
    </row>
    <row r="117" spans="2:9">
      <c r="B117" s="1735"/>
      <c r="C117" s="2605" t="s">
        <v>378</v>
      </c>
      <c r="D117" s="780">
        <v>641368</v>
      </c>
      <c r="E117" s="293"/>
      <c r="F117" s="293"/>
      <c r="H117" s="515"/>
      <c r="I117" s="396"/>
    </row>
    <row r="118" spans="2:9">
      <c r="B118" s="1735">
        <v>8</v>
      </c>
      <c r="C118" s="2605" t="s">
        <v>379</v>
      </c>
      <c r="D118" s="791"/>
      <c r="E118" s="293"/>
      <c r="F118" s="293"/>
      <c r="H118" s="515"/>
      <c r="I118" s="396"/>
    </row>
    <row r="119" spans="2:9">
      <c r="B119" s="1735"/>
      <c r="C119" s="2569" t="s">
        <v>380</v>
      </c>
      <c r="D119" s="791"/>
      <c r="E119" s="293"/>
      <c r="F119" s="293"/>
      <c r="H119" s="515"/>
      <c r="I119" s="396"/>
    </row>
    <row r="120" spans="2:9">
      <c r="B120" s="1735"/>
      <c r="C120" s="2605" t="s">
        <v>381</v>
      </c>
      <c r="D120" s="791"/>
      <c r="E120" s="293"/>
      <c r="F120" s="293"/>
      <c r="H120" s="515"/>
      <c r="I120" s="396"/>
    </row>
    <row r="121" spans="2:9">
      <c r="B121" s="2596">
        <v>9</v>
      </c>
      <c r="C121" s="2580" t="s">
        <v>282</v>
      </c>
      <c r="D121" s="792">
        <v>805543</v>
      </c>
      <c r="E121" s="293"/>
      <c r="F121" s="293"/>
      <c r="H121" s="515"/>
      <c r="I121" s="396"/>
    </row>
    <row r="122" spans="2:9">
      <c r="B122" s="1735">
        <v>10</v>
      </c>
      <c r="C122" s="2569" t="s">
        <v>283</v>
      </c>
      <c r="D122" s="791"/>
      <c r="E122" s="293"/>
      <c r="F122" s="293"/>
      <c r="H122" s="515"/>
      <c r="I122" s="396"/>
    </row>
    <row r="123" spans="2:9">
      <c r="B123" s="1735">
        <v>11</v>
      </c>
      <c r="C123" s="2569" t="s">
        <v>284</v>
      </c>
      <c r="D123" s="781">
        <v>780077</v>
      </c>
      <c r="E123" s="293"/>
      <c r="F123" s="293"/>
      <c r="H123" s="515"/>
      <c r="I123" s="396"/>
    </row>
    <row r="124" spans="2:9">
      <c r="B124" s="1735">
        <v>12</v>
      </c>
      <c r="C124" s="2569" t="s">
        <v>285</v>
      </c>
      <c r="D124" s="781">
        <v>25466</v>
      </c>
      <c r="E124" s="293"/>
      <c r="F124" s="293"/>
      <c r="H124" s="515"/>
      <c r="I124" s="396"/>
    </row>
    <row r="125" spans="2:9" ht="25.5">
      <c r="B125" s="1735">
        <v>13</v>
      </c>
      <c r="C125" s="2569" t="s">
        <v>286</v>
      </c>
      <c r="D125" s="783"/>
      <c r="E125" s="293"/>
      <c r="F125" s="293"/>
      <c r="H125" s="515"/>
      <c r="I125" s="396"/>
    </row>
    <row r="126" spans="2:9">
      <c r="B126" s="1735">
        <v>14</v>
      </c>
      <c r="C126" s="2570" t="s">
        <v>287</v>
      </c>
      <c r="D126" s="783"/>
      <c r="E126" s="293"/>
      <c r="F126" s="293"/>
      <c r="H126" s="515"/>
      <c r="I126" s="396"/>
    </row>
    <row r="127" spans="2:9">
      <c r="B127" s="1735">
        <v>15</v>
      </c>
      <c r="C127" s="2570" t="s">
        <v>288</v>
      </c>
      <c r="D127" s="817">
        <v>347045</v>
      </c>
      <c r="E127" s="293"/>
      <c r="F127" s="293"/>
      <c r="H127" s="515"/>
      <c r="I127" s="396"/>
    </row>
    <row r="128" spans="2:9">
      <c r="B128" s="1735">
        <v>16</v>
      </c>
      <c r="C128" s="2570" t="s">
        <v>289</v>
      </c>
      <c r="D128" s="780">
        <v>471905</v>
      </c>
      <c r="E128" s="293"/>
      <c r="F128" s="293"/>
      <c r="H128" s="515"/>
      <c r="I128" s="396"/>
    </row>
    <row r="129" spans="2:9">
      <c r="B129" s="1735">
        <v>17</v>
      </c>
      <c r="C129" s="2570" t="s">
        <v>290</v>
      </c>
      <c r="D129" s="780">
        <v>96919</v>
      </c>
      <c r="E129" s="293"/>
      <c r="F129" s="293"/>
      <c r="G129" s="396"/>
      <c r="H129" s="515"/>
      <c r="I129" s="396"/>
    </row>
    <row r="130" spans="2:9">
      <c r="B130" s="1735">
        <v>18</v>
      </c>
      <c r="C130" s="2570" t="s">
        <v>291</v>
      </c>
      <c r="D130" s="808"/>
      <c r="E130" s="293"/>
      <c r="F130" s="293"/>
      <c r="H130" s="515"/>
      <c r="I130" s="396"/>
    </row>
    <row r="131" spans="2:9" ht="13.5" thickBot="1">
      <c r="B131" s="1735">
        <v>19</v>
      </c>
      <c r="C131" s="2571" t="s">
        <v>292</v>
      </c>
      <c r="D131" s="789">
        <v>47399</v>
      </c>
      <c r="E131" s="293"/>
      <c r="F131" s="293"/>
      <c r="H131" s="515"/>
      <c r="I131" s="396"/>
    </row>
    <row r="132" spans="2:9" ht="26.25" thickBot="1">
      <c r="B132" s="1686">
        <v>20</v>
      </c>
      <c r="C132" s="1705" t="s">
        <v>293</v>
      </c>
      <c r="D132" s="1714">
        <v>2945567</v>
      </c>
      <c r="E132" s="293"/>
      <c r="F132" s="293"/>
      <c r="H132" s="515"/>
      <c r="I132" s="396"/>
    </row>
    <row r="133" spans="2:9">
      <c r="B133" s="1674"/>
      <c r="C133" s="2588" t="s">
        <v>294</v>
      </c>
      <c r="D133" s="791"/>
      <c r="E133" s="293"/>
      <c r="F133" s="293"/>
      <c r="H133" s="515"/>
      <c r="I133" s="396"/>
    </row>
    <row r="134" spans="2:9">
      <c r="B134" s="1674"/>
      <c r="C134" s="2588" t="s">
        <v>295</v>
      </c>
      <c r="D134" s="791"/>
      <c r="E134" s="293"/>
      <c r="F134" s="293"/>
      <c r="H134" s="515"/>
      <c r="I134" s="396"/>
    </row>
    <row r="135" spans="2:9">
      <c r="B135" s="1674">
        <v>21</v>
      </c>
      <c r="C135" s="2570" t="s">
        <v>296</v>
      </c>
      <c r="D135" s="780">
        <v>878842</v>
      </c>
      <c r="E135" s="293"/>
      <c r="F135" s="293"/>
      <c r="H135" s="515"/>
      <c r="I135" s="396"/>
    </row>
    <row r="136" spans="2:9">
      <c r="B136" s="1674">
        <v>22</v>
      </c>
      <c r="C136" s="2570" t="s">
        <v>297</v>
      </c>
      <c r="D136" s="780">
        <v>32070</v>
      </c>
      <c r="E136" s="293"/>
      <c r="F136" s="293"/>
      <c r="H136" s="515"/>
      <c r="I136" s="396"/>
    </row>
    <row r="137" spans="2:9">
      <c r="B137" s="1674">
        <v>23</v>
      </c>
      <c r="C137" s="2570" t="s">
        <v>298</v>
      </c>
      <c r="D137" s="780">
        <v>142110</v>
      </c>
      <c r="E137" s="293"/>
      <c r="F137" s="293"/>
      <c r="H137" s="515"/>
      <c r="I137" s="396"/>
    </row>
    <row r="138" spans="2:9">
      <c r="B138" s="1674">
        <v>24</v>
      </c>
      <c r="C138" s="2570" t="s">
        <v>299</v>
      </c>
      <c r="D138" s="808"/>
      <c r="E138" s="293"/>
      <c r="F138" s="293"/>
      <c r="H138" s="515"/>
      <c r="I138" s="396"/>
    </row>
    <row r="139" spans="2:9">
      <c r="B139" s="1674">
        <v>25</v>
      </c>
      <c r="C139" s="2569" t="s">
        <v>300</v>
      </c>
      <c r="D139" s="808"/>
      <c r="E139" s="293"/>
      <c r="F139" s="293"/>
      <c r="H139" s="515"/>
      <c r="I139" s="396"/>
    </row>
    <row r="140" spans="2:9" ht="13.5" thickBot="1">
      <c r="B140" s="1674">
        <v>26</v>
      </c>
      <c r="C140" s="2571" t="s">
        <v>301</v>
      </c>
      <c r="D140" s="789">
        <v>387530</v>
      </c>
      <c r="E140" s="293"/>
      <c r="F140" s="293"/>
      <c r="H140" s="515"/>
      <c r="I140" s="396"/>
    </row>
    <row r="141" spans="2:9" ht="13.5" thickBot="1">
      <c r="B141" s="1677">
        <v>27</v>
      </c>
      <c r="C141" s="1680" t="s">
        <v>392</v>
      </c>
      <c r="D141" s="826">
        <v>1440552</v>
      </c>
      <c r="E141" s="293"/>
      <c r="F141" s="293"/>
      <c r="H141" s="515"/>
      <c r="I141" s="396"/>
    </row>
    <row r="142" spans="2:9">
      <c r="B142" s="1674"/>
      <c r="C142" s="1681" t="s">
        <v>385</v>
      </c>
      <c r="D142" s="808"/>
      <c r="E142" s="293"/>
      <c r="F142" s="293"/>
      <c r="H142" s="515"/>
      <c r="I142" s="396"/>
    </row>
    <row r="143" spans="2:9">
      <c r="B143" s="1674">
        <v>28</v>
      </c>
      <c r="C143" s="2587" t="s">
        <v>304</v>
      </c>
      <c r="D143" s="780">
        <v>1860001</v>
      </c>
      <c r="E143" s="293"/>
      <c r="F143" s="293"/>
      <c r="H143" s="515"/>
      <c r="I143" s="396"/>
    </row>
    <row r="144" spans="2:9">
      <c r="B144" s="1674">
        <v>29</v>
      </c>
      <c r="C144" s="2587" t="s">
        <v>305</v>
      </c>
      <c r="D144" s="808"/>
      <c r="E144" s="293"/>
      <c r="F144" s="293"/>
      <c r="H144" s="515"/>
      <c r="I144" s="396"/>
    </row>
    <row r="145" spans="2:9">
      <c r="B145" s="1674">
        <v>30</v>
      </c>
      <c r="C145" s="2573" t="s">
        <v>306</v>
      </c>
      <c r="D145" s="780">
        <v>28478</v>
      </c>
      <c r="E145" s="293"/>
      <c r="F145" s="293"/>
      <c r="H145" s="515"/>
      <c r="I145" s="396"/>
    </row>
    <row r="146" spans="2:9" ht="13.5" thickBot="1">
      <c r="B146" s="1674">
        <v>31</v>
      </c>
      <c r="C146" s="2573" t="s">
        <v>308</v>
      </c>
      <c r="D146" s="789">
        <v>-383464</v>
      </c>
      <c r="E146" s="293"/>
      <c r="F146" s="293"/>
      <c r="H146" s="515"/>
      <c r="I146" s="396"/>
    </row>
    <row r="147" spans="2:9" ht="13.5" thickBot="1">
      <c r="B147" s="1677">
        <v>32</v>
      </c>
      <c r="C147" s="1680" t="s">
        <v>309</v>
      </c>
      <c r="D147" s="826">
        <v>1505015</v>
      </c>
      <c r="E147" s="293"/>
      <c r="F147" s="293"/>
      <c r="H147" s="515"/>
      <c r="I147" s="396"/>
    </row>
    <row r="148" spans="2:9" ht="26.25" thickBot="1">
      <c r="B148" s="1689">
        <v>33</v>
      </c>
      <c r="C148" s="1742" t="s">
        <v>387</v>
      </c>
      <c r="D148" s="1743">
        <v>2945567</v>
      </c>
      <c r="E148" s="293"/>
      <c r="F148" s="293"/>
      <c r="H148" s="515"/>
      <c r="I148" s="396"/>
    </row>
    <row r="149" spans="2:9">
      <c r="B149" s="274"/>
      <c r="C149" s="634"/>
      <c r="D149" s="383"/>
      <c r="E149" s="293"/>
      <c r="F149" s="293"/>
    </row>
    <row r="150" spans="2:9">
      <c r="B150" s="274"/>
      <c r="C150" s="634"/>
      <c r="D150" s="383"/>
      <c r="E150" s="293"/>
      <c r="F150" s="293"/>
      <c r="G150" s="292">
        <v>98</v>
      </c>
    </row>
    <row r="151" spans="2:9">
      <c r="B151" s="274"/>
      <c r="C151" s="391"/>
      <c r="D151" s="536"/>
      <c r="E151" s="293"/>
      <c r="F151" s="293"/>
    </row>
    <row r="152" spans="2:9" ht="14.25">
      <c r="B152" s="3593" t="s">
        <v>407</v>
      </c>
      <c r="C152" s="3594"/>
      <c r="D152" s="3594"/>
      <c r="E152" s="3594"/>
      <c r="F152" s="3594"/>
      <c r="G152" s="3594"/>
    </row>
    <row r="153" spans="2:9" ht="13.5" thickBot="1">
      <c r="B153" s="51" t="s">
        <v>408</v>
      </c>
      <c r="C153" s="51"/>
      <c r="D153" s="51"/>
      <c r="E153" s="51"/>
      <c r="F153" s="51"/>
      <c r="G153" s="51"/>
    </row>
    <row r="154" spans="2:9" ht="13.5" thickBot="1">
      <c r="B154" s="3582" t="s">
        <v>99</v>
      </c>
      <c r="C154" s="3583"/>
      <c r="D154" s="425"/>
      <c r="E154" s="396"/>
      <c r="F154" s="396"/>
    </row>
    <row r="155" spans="2:9">
      <c r="B155" s="3520" t="s">
        <v>372</v>
      </c>
      <c r="C155" s="3585"/>
      <c r="D155" s="3518" t="s">
        <v>391</v>
      </c>
      <c r="E155" s="274"/>
      <c r="F155" s="274"/>
    </row>
    <row r="156" spans="2:9">
      <c r="B156" s="3520"/>
      <c r="C156" s="3585"/>
      <c r="D156" s="3520"/>
      <c r="E156" s="443"/>
      <c r="F156" s="443"/>
    </row>
    <row r="157" spans="2:9">
      <c r="B157" s="3519"/>
      <c r="C157" s="3586"/>
      <c r="D157" s="3519"/>
      <c r="E157" s="443"/>
      <c r="F157" s="443"/>
    </row>
    <row r="158" spans="2:9" ht="14.25">
      <c r="B158" s="1674"/>
      <c r="C158" s="1696" t="s">
        <v>269</v>
      </c>
      <c r="D158" s="759"/>
      <c r="E158" s="293"/>
      <c r="F158" s="293"/>
    </row>
    <row r="159" spans="2:9">
      <c r="B159" s="1735">
        <v>1</v>
      </c>
      <c r="C159" s="2318" t="s">
        <v>270</v>
      </c>
      <c r="D159" s="791"/>
      <c r="E159" s="293"/>
      <c r="F159" s="293"/>
      <c r="H159" s="515"/>
      <c r="I159" s="515"/>
    </row>
    <row r="160" spans="2:9">
      <c r="B160" s="1735">
        <v>2</v>
      </c>
      <c r="C160" s="2318" t="s">
        <v>271</v>
      </c>
      <c r="D160" s="792">
        <v>5170</v>
      </c>
      <c r="E160" s="293"/>
      <c r="F160" s="293"/>
      <c r="H160" s="515"/>
      <c r="I160" s="515"/>
    </row>
    <row r="161" spans="2:9">
      <c r="B161" s="1735">
        <v>3</v>
      </c>
      <c r="C161" s="2318" t="s">
        <v>272</v>
      </c>
      <c r="D161" s="791"/>
      <c r="E161" s="293"/>
      <c r="F161" s="293"/>
      <c r="H161" s="515"/>
      <c r="I161" s="515"/>
    </row>
    <row r="162" spans="2:9">
      <c r="B162" s="1735">
        <v>4</v>
      </c>
      <c r="C162" s="2594" t="s">
        <v>406</v>
      </c>
      <c r="D162" s="791"/>
      <c r="E162" s="293"/>
      <c r="F162" s="293"/>
      <c r="H162" s="515"/>
      <c r="I162" s="515"/>
    </row>
    <row r="163" spans="2:9">
      <c r="B163" s="1735">
        <v>5</v>
      </c>
      <c r="C163" s="2318" t="s">
        <v>274</v>
      </c>
      <c r="D163" s="2606">
        <v>187189</v>
      </c>
      <c r="E163" s="293"/>
      <c r="F163" s="293"/>
      <c r="H163" s="515"/>
      <c r="I163" s="515"/>
    </row>
    <row r="164" spans="2:9">
      <c r="B164" s="1735">
        <v>6</v>
      </c>
      <c r="C164" s="2318" t="s">
        <v>275</v>
      </c>
      <c r="D164" s="818">
        <v>10000</v>
      </c>
      <c r="E164" s="293"/>
      <c r="F164" s="293"/>
      <c r="H164" s="515"/>
      <c r="I164" s="515"/>
    </row>
    <row r="165" spans="2:9">
      <c r="B165" s="1735">
        <v>7</v>
      </c>
      <c r="C165" s="2318" t="s">
        <v>276</v>
      </c>
      <c r="D165" s="2607"/>
      <c r="E165" s="293"/>
      <c r="F165" s="293"/>
      <c r="H165" s="515"/>
      <c r="I165" s="515"/>
    </row>
    <row r="166" spans="2:9">
      <c r="B166" s="1735"/>
      <c r="C166" s="2558" t="s">
        <v>393</v>
      </c>
      <c r="D166" s="791"/>
      <c r="E166" s="293"/>
      <c r="F166" s="293"/>
      <c r="H166" s="515"/>
      <c r="I166" s="515"/>
    </row>
    <row r="167" spans="2:9">
      <c r="B167" s="1735"/>
      <c r="C167" s="2558" t="s">
        <v>394</v>
      </c>
      <c r="D167" s="791"/>
      <c r="E167" s="293"/>
      <c r="F167" s="293"/>
      <c r="H167" s="515"/>
      <c r="I167" s="515"/>
    </row>
    <row r="168" spans="2:9">
      <c r="B168" s="1735">
        <v>8</v>
      </c>
      <c r="C168" s="2318" t="s">
        <v>279</v>
      </c>
      <c r="D168" s="791"/>
      <c r="E168" s="293"/>
      <c r="F168" s="293"/>
      <c r="H168" s="515"/>
      <c r="I168" s="515"/>
    </row>
    <row r="169" spans="2:9">
      <c r="B169" s="1735"/>
      <c r="C169" s="2558" t="s">
        <v>395</v>
      </c>
      <c r="D169" s="791"/>
      <c r="E169" s="293"/>
      <c r="F169" s="293"/>
      <c r="H169" s="515"/>
      <c r="I169" s="515"/>
    </row>
    <row r="170" spans="2:9">
      <c r="B170" s="1735"/>
      <c r="C170" s="2558" t="s">
        <v>396</v>
      </c>
      <c r="D170" s="791"/>
      <c r="E170" s="293"/>
      <c r="F170" s="293"/>
      <c r="H170" s="515"/>
      <c r="I170" s="515"/>
    </row>
    <row r="171" spans="2:9">
      <c r="B171" s="2596">
        <v>9</v>
      </c>
      <c r="C171" s="2562" t="s">
        <v>282</v>
      </c>
      <c r="D171" s="793">
        <v>5440235</v>
      </c>
      <c r="E171" s="293"/>
      <c r="F171" s="293"/>
      <c r="H171" s="515"/>
      <c r="I171" s="515"/>
    </row>
    <row r="172" spans="2:9">
      <c r="B172" s="1735">
        <v>10</v>
      </c>
      <c r="C172" s="2558" t="s">
        <v>283</v>
      </c>
      <c r="D172" s="791"/>
      <c r="E172" s="293"/>
      <c r="F172" s="293"/>
      <c r="H172" s="515"/>
      <c r="I172" s="515"/>
    </row>
    <row r="173" spans="2:9">
      <c r="B173" s="1735">
        <v>11</v>
      </c>
      <c r="C173" s="2558" t="s">
        <v>284</v>
      </c>
      <c r="D173" s="2606">
        <v>4007628</v>
      </c>
      <c r="E173" s="293"/>
      <c r="F173" s="293"/>
      <c r="H173" s="515"/>
      <c r="I173" s="515"/>
    </row>
    <row r="174" spans="2:9">
      <c r="B174" s="1735">
        <v>12</v>
      </c>
      <c r="C174" s="2558" t="s">
        <v>285</v>
      </c>
      <c r="D174" s="818">
        <v>270732</v>
      </c>
      <c r="E174" s="293"/>
      <c r="F174" s="293"/>
      <c r="H174" s="515"/>
      <c r="I174" s="515"/>
    </row>
    <row r="175" spans="2:9" ht="25.5">
      <c r="B175" s="1735">
        <v>13</v>
      </c>
      <c r="C175" s="2558" t="s">
        <v>286</v>
      </c>
      <c r="D175" s="818">
        <v>1161875</v>
      </c>
      <c r="E175" s="293"/>
      <c r="F175" s="293"/>
      <c r="H175" s="515"/>
      <c r="I175" s="515"/>
    </row>
    <row r="176" spans="2:9">
      <c r="B176" s="1735">
        <v>14</v>
      </c>
      <c r="C176" s="2178" t="s">
        <v>287</v>
      </c>
      <c r="D176" s="808"/>
      <c r="E176" s="293"/>
      <c r="F176" s="293"/>
      <c r="H176" s="515"/>
      <c r="I176" s="515"/>
    </row>
    <row r="177" spans="2:9">
      <c r="B177" s="1735">
        <v>15</v>
      </c>
      <c r="C177" s="2178" t="s">
        <v>288</v>
      </c>
      <c r="D177" s="2606">
        <v>314840</v>
      </c>
      <c r="E177" s="293"/>
      <c r="F177" s="293"/>
      <c r="H177" s="515"/>
      <c r="I177" s="515"/>
    </row>
    <row r="178" spans="2:9">
      <c r="B178" s="1735">
        <v>16</v>
      </c>
      <c r="C178" s="2178" t="s">
        <v>289</v>
      </c>
      <c r="D178" s="818">
        <v>1364268</v>
      </c>
      <c r="E178" s="293"/>
      <c r="F178" s="293"/>
      <c r="H178" s="515"/>
      <c r="I178" s="515"/>
    </row>
    <row r="179" spans="2:9">
      <c r="B179" s="1735">
        <v>17</v>
      </c>
      <c r="C179" s="2178" t="s">
        <v>290</v>
      </c>
      <c r="D179" s="818">
        <v>77426</v>
      </c>
      <c r="E179" s="383"/>
      <c r="F179" s="383"/>
      <c r="H179" s="515"/>
      <c r="I179" s="515"/>
    </row>
    <row r="180" spans="2:9">
      <c r="B180" s="1735">
        <v>18</v>
      </c>
      <c r="C180" s="2178" t="s">
        <v>291</v>
      </c>
      <c r="D180" s="818">
        <v>350457</v>
      </c>
      <c r="E180" s="293"/>
      <c r="F180" s="293"/>
      <c r="H180" s="515"/>
      <c r="I180" s="515"/>
    </row>
    <row r="181" spans="2:9" ht="13.5" thickBot="1">
      <c r="B181" s="1735">
        <v>19</v>
      </c>
      <c r="C181" s="2575" t="s">
        <v>292</v>
      </c>
      <c r="D181" s="819">
        <v>116823</v>
      </c>
      <c r="E181" s="293"/>
      <c r="F181" s="293"/>
      <c r="H181" s="515"/>
      <c r="I181" s="515"/>
    </row>
    <row r="182" spans="2:9" ht="26.25" thickBot="1">
      <c r="B182" s="1686">
        <v>20</v>
      </c>
      <c r="C182" s="1726" t="s">
        <v>293</v>
      </c>
      <c r="D182" s="1745">
        <v>7866408</v>
      </c>
      <c r="E182" s="293"/>
      <c r="F182" s="293"/>
      <c r="H182" s="515"/>
      <c r="I182" s="515"/>
    </row>
    <row r="183" spans="2:9">
      <c r="B183" s="1674"/>
      <c r="C183" s="2586" t="s">
        <v>294</v>
      </c>
      <c r="D183" s="791"/>
      <c r="E183" s="293"/>
      <c r="F183" s="293"/>
      <c r="H183" s="515"/>
      <c r="I183" s="515"/>
    </row>
    <row r="184" spans="2:9">
      <c r="B184" s="1674"/>
      <c r="C184" s="2586" t="s">
        <v>295</v>
      </c>
      <c r="D184" s="791"/>
      <c r="E184" s="293"/>
      <c r="F184" s="293"/>
      <c r="H184" s="515"/>
      <c r="I184" s="515"/>
    </row>
    <row r="185" spans="2:9">
      <c r="B185" s="1674">
        <v>21</v>
      </c>
      <c r="C185" s="2178" t="s">
        <v>296</v>
      </c>
      <c r="D185" s="2606">
        <v>3113974</v>
      </c>
      <c r="E185" s="293"/>
      <c r="F185" s="293"/>
      <c r="H185" s="515"/>
      <c r="I185" s="515"/>
    </row>
    <row r="186" spans="2:9">
      <c r="B186" s="1674">
        <v>22</v>
      </c>
      <c r="C186" s="2178" t="s">
        <v>297</v>
      </c>
      <c r="D186" s="818">
        <v>63408</v>
      </c>
      <c r="E186" s="293"/>
      <c r="F186" s="293"/>
      <c r="H186" s="515"/>
      <c r="I186" s="515"/>
    </row>
    <row r="187" spans="2:9">
      <c r="B187" s="1674">
        <v>23</v>
      </c>
      <c r="C187" s="2178" t="s">
        <v>298</v>
      </c>
      <c r="D187" s="818">
        <v>684400</v>
      </c>
      <c r="E187" s="293"/>
      <c r="F187" s="293"/>
      <c r="H187" s="515"/>
      <c r="I187" s="515"/>
    </row>
    <row r="188" spans="2:9">
      <c r="B188" s="1674">
        <v>24</v>
      </c>
      <c r="C188" s="2178" t="s">
        <v>299</v>
      </c>
      <c r="D188" s="2577"/>
      <c r="E188" s="293"/>
      <c r="F188" s="293"/>
      <c r="H188" s="515"/>
      <c r="I188" s="515"/>
    </row>
    <row r="189" spans="2:9">
      <c r="B189" s="1674">
        <v>25</v>
      </c>
      <c r="C189" s="2558" t="s">
        <v>300</v>
      </c>
      <c r="D189" s="808"/>
      <c r="E189" s="293"/>
      <c r="F189" s="293"/>
      <c r="H189" s="515"/>
      <c r="I189" s="515"/>
    </row>
    <row r="190" spans="2:9" ht="13.5" thickBot="1">
      <c r="B190" s="1674">
        <v>26</v>
      </c>
      <c r="C190" s="2575" t="s">
        <v>301</v>
      </c>
      <c r="D190" s="2608">
        <v>1160822</v>
      </c>
      <c r="E190" s="293"/>
      <c r="F190" s="293"/>
      <c r="H190" s="515"/>
      <c r="I190" s="515"/>
    </row>
    <row r="191" spans="2:9" ht="13.5" thickBot="1">
      <c r="B191" s="1677">
        <v>27</v>
      </c>
      <c r="C191" s="1698" t="s">
        <v>302</v>
      </c>
      <c r="D191" s="826">
        <v>5022604</v>
      </c>
      <c r="E191" s="293"/>
      <c r="F191" s="293"/>
      <c r="H191" s="515"/>
      <c r="I191" s="515"/>
    </row>
    <row r="192" spans="2:9">
      <c r="B192" s="1674"/>
      <c r="C192" s="1696" t="s">
        <v>303</v>
      </c>
      <c r="D192" s="808"/>
      <c r="E192" s="293"/>
      <c r="F192" s="293"/>
      <c r="H192" s="515"/>
      <c r="I192" s="515"/>
    </row>
    <row r="193" spans="2:9">
      <c r="B193" s="1674">
        <v>28</v>
      </c>
      <c r="C193" s="2318" t="s">
        <v>304</v>
      </c>
      <c r="D193" s="2606">
        <v>750000</v>
      </c>
      <c r="E193" s="293"/>
      <c r="F193" s="293"/>
      <c r="H193" s="515"/>
      <c r="I193" s="515"/>
    </row>
    <row r="194" spans="2:9">
      <c r="B194" s="1674">
        <v>29</v>
      </c>
      <c r="C194" s="2318" t="s">
        <v>305</v>
      </c>
      <c r="D194" s="818">
        <v>14963</v>
      </c>
      <c r="E194" s="293"/>
      <c r="F194" s="293"/>
      <c r="H194" s="515"/>
      <c r="I194" s="515"/>
    </row>
    <row r="195" spans="2:9">
      <c r="B195" s="1674">
        <v>30</v>
      </c>
      <c r="C195" s="2584" t="s">
        <v>306</v>
      </c>
      <c r="D195" s="808"/>
      <c r="E195" s="293"/>
      <c r="F195" s="293"/>
      <c r="H195" s="515"/>
      <c r="I195" s="515"/>
    </row>
    <row r="196" spans="2:9" ht="13.5" thickBot="1">
      <c r="B196" s="1674">
        <v>31</v>
      </c>
      <c r="C196" s="2584" t="s">
        <v>308</v>
      </c>
      <c r="D196" s="2608">
        <v>2078841</v>
      </c>
      <c r="E196" s="293"/>
      <c r="F196" s="293"/>
      <c r="H196" s="515"/>
      <c r="I196" s="515"/>
    </row>
    <row r="197" spans="2:9" ht="13.5" thickBot="1">
      <c r="B197" s="1677">
        <v>32</v>
      </c>
      <c r="C197" s="1698" t="s">
        <v>309</v>
      </c>
      <c r="D197" s="826">
        <v>2843804</v>
      </c>
      <c r="E197" s="293"/>
      <c r="F197" s="293"/>
      <c r="H197" s="515"/>
      <c r="I197" s="515"/>
    </row>
    <row r="198" spans="2:9" ht="26.25" thickBot="1">
      <c r="B198" s="1689">
        <v>33</v>
      </c>
      <c r="C198" s="1726" t="s">
        <v>310</v>
      </c>
      <c r="D198" s="1743">
        <v>7866408</v>
      </c>
      <c r="E198" s="293"/>
      <c r="F198" s="293"/>
      <c r="H198" s="515"/>
      <c r="I198" s="515"/>
    </row>
    <row r="199" spans="2:9">
      <c r="B199" s="274"/>
      <c r="C199" s="391"/>
      <c r="D199" s="383"/>
      <c r="E199" s="293"/>
      <c r="F199" s="293"/>
    </row>
    <row r="200" spans="2:9">
      <c r="B200" s="274"/>
      <c r="C200" s="391"/>
      <c r="D200" s="383"/>
      <c r="E200" s="293"/>
      <c r="F200" s="293"/>
      <c r="G200" s="292">
        <v>99</v>
      </c>
    </row>
    <row r="201" spans="2:9">
      <c r="B201" s="274"/>
      <c r="C201" s="391"/>
      <c r="D201" s="383"/>
      <c r="E201" s="293"/>
      <c r="F201" s="293"/>
    </row>
    <row r="202" spans="2:9" ht="14.25">
      <c r="B202" s="3593" t="s">
        <v>407</v>
      </c>
      <c r="C202" s="3594"/>
      <c r="D202" s="3594"/>
      <c r="E202" s="3594"/>
      <c r="F202" s="3594"/>
      <c r="G202" s="3594"/>
    </row>
    <row r="203" spans="2:9" ht="13.5" thickBot="1">
      <c r="B203" s="51" t="s">
        <v>408</v>
      </c>
      <c r="C203" s="51"/>
      <c r="D203" s="51"/>
      <c r="E203" s="51"/>
      <c r="F203" s="51"/>
      <c r="G203" s="51"/>
    </row>
    <row r="204" spans="2:9" ht="13.5" thickBot="1">
      <c r="B204" s="3582" t="s">
        <v>98</v>
      </c>
      <c r="C204" s="3583"/>
      <c r="D204" s="425"/>
      <c r="E204" s="396"/>
      <c r="F204" s="396"/>
    </row>
    <row r="205" spans="2:9">
      <c r="B205" s="3520" t="s">
        <v>372</v>
      </c>
      <c r="C205" s="3591"/>
      <c r="D205" s="3518" t="s">
        <v>391</v>
      </c>
      <c r="E205" s="274"/>
      <c r="F205" s="274"/>
    </row>
    <row r="206" spans="2:9">
      <c r="B206" s="3520"/>
      <c r="C206" s="3591"/>
      <c r="D206" s="3520"/>
      <c r="E206" s="443"/>
      <c r="F206" s="443"/>
    </row>
    <row r="207" spans="2:9">
      <c r="B207" s="3519"/>
      <c r="C207" s="3592"/>
      <c r="D207" s="3519"/>
      <c r="E207" s="443"/>
      <c r="F207" s="443"/>
    </row>
    <row r="208" spans="2:9" ht="14.25">
      <c r="B208" s="1674"/>
      <c r="C208" s="1681" t="s">
        <v>269</v>
      </c>
      <c r="D208" s="759"/>
      <c r="E208" s="293"/>
      <c r="F208" s="293"/>
    </row>
    <row r="209" spans="2:6">
      <c r="B209" s="1735">
        <v>1</v>
      </c>
      <c r="C209" s="2587" t="s">
        <v>270</v>
      </c>
      <c r="D209" s="791"/>
      <c r="E209" s="293"/>
      <c r="F209" s="293"/>
    </row>
    <row r="210" spans="2:6">
      <c r="B210" s="1735">
        <v>2</v>
      </c>
      <c r="C210" s="2587" t="s">
        <v>271</v>
      </c>
      <c r="D210" s="780">
        <v>20822</v>
      </c>
      <c r="E210" s="293"/>
      <c r="F210" s="293"/>
    </row>
    <row r="211" spans="2:6">
      <c r="B211" s="1735">
        <v>3</v>
      </c>
      <c r="C211" s="2587" t="s">
        <v>272</v>
      </c>
      <c r="D211" s="783"/>
      <c r="E211" s="293"/>
      <c r="F211" s="293"/>
    </row>
    <row r="212" spans="2:6">
      <c r="B212" s="1735">
        <v>4</v>
      </c>
      <c r="C212" s="2602" t="s">
        <v>406</v>
      </c>
      <c r="D212" s="781">
        <v>264068</v>
      </c>
      <c r="E212" s="293"/>
      <c r="F212" s="293"/>
    </row>
    <row r="213" spans="2:6">
      <c r="B213" s="1735">
        <v>5</v>
      </c>
      <c r="C213" s="2587" t="s">
        <v>274</v>
      </c>
      <c r="D213" s="781">
        <v>3866531</v>
      </c>
      <c r="E213" s="293"/>
      <c r="F213" s="293"/>
    </row>
    <row r="214" spans="2:6">
      <c r="B214" s="1735">
        <v>6</v>
      </c>
      <c r="C214" s="2587" t="s">
        <v>275</v>
      </c>
      <c r="D214" s="781">
        <v>133000</v>
      </c>
      <c r="E214" s="293"/>
      <c r="F214" s="293"/>
    </row>
    <row r="215" spans="2:6">
      <c r="B215" s="1735">
        <v>7</v>
      </c>
      <c r="C215" s="2587" t="s">
        <v>276</v>
      </c>
      <c r="D215" s="791"/>
      <c r="E215" s="293"/>
      <c r="F215" s="293"/>
    </row>
    <row r="216" spans="2:6">
      <c r="B216" s="1735"/>
      <c r="C216" s="2569" t="s">
        <v>393</v>
      </c>
      <c r="D216" s="791"/>
      <c r="E216" s="293"/>
      <c r="F216" s="293"/>
    </row>
    <row r="217" spans="2:6">
      <c r="B217" s="1735"/>
      <c r="C217" s="2569" t="s">
        <v>394</v>
      </c>
      <c r="D217" s="791"/>
      <c r="E217" s="293"/>
      <c r="F217" s="293"/>
    </row>
    <row r="218" spans="2:6">
      <c r="B218" s="1735">
        <v>8</v>
      </c>
      <c r="C218" s="2587" t="s">
        <v>279</v>
      </c>
      <c r="D218" s="791"/>
      <c r="E218" s="293"/>
      <c r="F218" s="293"/>
    </row>
    <row r="219" spans="2:6">
      <c r="B219" s="1735"/>
      <c r="C219" s="2569" t="s">
        <v>395</v>
      </c>
      <c r="D219" s="791"/>
      <c r="E219" s="293"/>
      <c r="F219" s="293"/>
    </row>
    <row r="220" spans="2:6">
      <c r="B220" s="1735"/>
      <c r="C220" s="2569" t="s">
        <v>396</v>
      </c>
      <c r="D220" s="791"/>
      <c r="E220" s="293"/>
      <c r="F220" s="293"/>
    </row>
    <row r="221" spans="2:6">
      <c r="B221" s="2596">
        <v>9</v>
      </c>
      <c r="C221" s="2580" t="s">
        <v>282</v>
      </c>
      <c r="D221" s="793">
        <v>15128897</v>
      </c>
      <c r="E221" s="293"/>
      <c r="F221" s="293"/>
    </row>
    <row r="222" spans="2:6">
      <c r="B222" s="1735">
        <v>10</v>
      </c>
      <c r="C222" s="2569" t="s">
        <v>283</v>
      </c>
      <c r="D222" s="791"/>
      <c r="E222" s="293"/>
      <c r="F222" s="293"/>
    </row>
    <row r="223" spans="2:6">
      <c r="B223" s="1735">
        <v>11</v>
      </c>
      <c r="C223" s="2569" t="s">
        <v>284</v>
      </c>
      <c r="D223" s="781">
        <v>7736103</v>
      </c>
      <c r="E223" s="293"/>
      <c r="F223" s="293"/>
    </row>
    <row r="224" spans="2:6">
      <c r="B224" s="1735">
        <v>12</v>
      </c>
      <c r="C224" s="2569" t="s">
        <v>285</v>
      </c>
      <c r="D224" s="781">
        <v>7392794</v>
      </c>
      <c r="E224" s="293"/>
      <c r="F224" s="293"/>
    </row>
    <row r="225" spans="2:7" ht="25.5">
      <c r="B225" s="1735">
        <v>13</v>
      </c>
      <c r="C225" s="2569" t="s">
        <v>286</v>
      </c>
      <c r="D225" s="783"/>
      <c r="E225" s="293"/>
      <c r="F225" s="293"/>
    </row>
    <row r="226" spans="2:7">
      <c r="B226" s="1735">
        <v>14</v>
      </c>
      <c r="C226" s="2570" t="s">
        <v>287</v>
      </c>
      <c r="D226" s="783"/>
      <c r="E226" s="293"/>
      <c r="F226" s="293"/>
    </row>
    <row r="227" spans="2:7">
      <c r="B227" s="1735">
        <v>15</v>
      </c>
      <c r="C227" s="2570" t="s">
        <v>288</v>
      </c>
      <c r="D227" s="781">
        <v>3419750</v>
      </c>
      <c r="E227" s="293"/>
      <c r="F227" s="293"/>
    </row>
    <row r="228" spans="2:7">
      <c r="B228" s="1735">
        <v>16</v>
      </c>
      <c r="C228" s="2570" t="s">
        <v>289</v>
      </c>
      <c r="D228" s="781">
        <v>5467048</v>
      </c>
      <c r="E228" s="293"/>
      <c r="F228" s="293"/>
    </row>
    <row r="229" spans="2:7">
      <c r="B229" s="1735">
        <v>17</v>
      </c>
      <c r="C229" s="2570" t="s">
        <v>290</v>
      </c>
      <c r="D229" s="781">
        <v>2561928</v>
      </c>
      <c r="E229" s="293"/>
      <c r="F229" s="293"/>
      <c r="G229" s="396"/>
    </row>
    <row r="230" spans="2:7">
      <c r="B230" s="1735">
        <v>18</v>
      </c>
      <c r="C230" s="2570" t="s">
        <v>291</v>
      </c>
      <c r="D230" s="781">
        <v>1030182</v>
      </c>
      <c r="E230" s="293"/>
      <c r="F230" s="293"/>
    </row>
    <row r="231" spans="2:7" ht="13.5" thickBot="1">
      <c r="B231" s="1735">
        <v>19</v>
      </c>
      <c r="C231" s="2571" t="s">
        <v>292</v>
      </c>
      <c r="D231" s="786">
        <v>169061</v>
      </c>
      <c r="E231" s="293"/>
      <c r="F231" s="293"/>
    </row>
    <row r="232" spans="2:7" ht="26.25" thickBot="1">
      <c r="B232" s="1686">
        <v>20</v>
      </c>
      <c r="C232" s="1705" t="s">
        <v>293</v>
      </c>
      <c r="D232" s="1714">
        <v>32061287</v>
      </c>
      <c r="E232" s="293"/>
      <c r="F232" s="293"/>
    </row>
    <row r="233" spans="2:7">
      <c r="B233" s="1674"/>
      <c r="C233" s="2588" t="s">
        <v>294</v>
      </c>
      <c r="D233" s="791"/>
      <c r="E233" s="293"/>
      <c r="F233" s="293"/>
    </row>
    <row r="234" spans="2:7">
      <c r="B234" s="1674"/>
      <c r="C234" s="2588" t="s">
        <v>295</v>
      </c>
      <c r="D234" s="791"/>
      <c r="E234" s="293"/>
      <c r="F234" s="293"/>
    </row>
    <row r="235" spans="2:7">
      <c r="B235" s="1674">
        <v>21</v>
      </c>
      <c r="C235" s="2570" t="s">
        <v>296</v>
      </c>
      <c r="D235" s="781">
        <v>12449340</v>
      </c>
      <c r="E235" s="293"/>
      <c r="F235" s="293"/>
    </row>
    <row r="236" spans="2:7">
      <c r="B236" s="1674">
        <v>22</v>
      </c>
      <c r="C236" s="2570" t="s">
        <v>297</v>
      </c>
      <c r="D236" s="783"/>
      <c r="E236" s="293"/>
      <c r="F236" s="293"/>
    </row>
    <row r="237" spans="2:7">
      <c r="B237" s="1674">
        <v>23</v>
      </c>
      <c r="C237" s="2570" t="s">
        <v>298</v>
      </c>
      <c r="D237" s="781">
        <v>3230883</v>
      </c>
      <c r="E237" s="293"/>
      <c r="F237" s="293"/>
    </row>
    <row r="238" spans="2:7">
      <c r="B238" s="1674">
        <v>24</v>
      </c>
      <c r="C238" s="2570" t="s">
        <v>299</v>
      </c>
      <c r="D238" s="781">
        <v>364219</v>
      </c>
      <c r="E238" s="293"/>
      <c r="F238" s="293"/>
    </row>
    <row r="239" spans="2:7">
      <c r="B239" s="1674">
        <v>25</v>
      </c>
      <c r="C239" s="2569" t="s">
        <v>300</v>
      </c>
      <c r="D239" s="781">
        <v>38209</v>
      </c>
      <c r="E239" s="293"/>
      <c r="F239" s="293"/>
    </row>
    <row r="240" spans="2:7" ht="13.5" thickBot="1">
      <c r="B240" s="1674">
        <v>26</v>
      </c>
      <c r="C240" s="2571" t="s">
        <v>301</v>
      </c>
      <c r="D240" s="786">
        <v>3005990</v>
      </c>
      <c r="E240" s="293"/>
      <c r="F240" s="293"/>
    </row>
    <row r="241" spans="2:7" ht="13.5" thickBot="1">
      <c r="B241" s="1677">
        <v>27</v>
      </c>
      <c r="C241" s="1699" t="s">
        <v>302</v>
      </c>
      <c r="D241" s="787">
        <v>19088641</v>
      </c>
      <c r="E241" s="293"/>
      <c r="F241" s="293"/>
    </row>
    <row r="242" spans="2:7">
      <c r="B242" s="1674"/>
      <c r="C242" s="1678" t="s">
        <v>303</v>
      </c>
      <c r="D242" s="791"/>
      <c r="E242" s="293"/>
      <c r="F242" s="293"/>
    </row>
    <row r="243" spans="2:7">
      <c r="B243" s="1674">
        <v>28</v>
      </c>
      <c r="C243" s="2587" t="s">
        <v>304</v>
      </c>
      <c r="D243" s="2578">
        <v>500200</v>
      </c>
      <c r="E243" s="293"/>
      <c r="F243" s="293"/>
    </row>
    <row r="244" spans="2:7">
      <c r="B244" s="1674">
        <v>29</v>
      </c>
      <c r="C244" s="2587" t="s">
        <v>305</v>
      </c>
      <c r="D244" s="781">
        <v>7139974</v>
      </c>
      <c r="E244" s="293"/>
      <c r="F244" s="293"/>
    </row>
    <row r="245" spans="2:7">
      <c r="B245" s="1674">
        <v>30</v>
      </c>
      <c r="C245" s="2573" t="s">
        <v>306</v>
      </c>
      <c r="D245" s="781">
        <v>468226</v>
      </c>
      <c r="E245" s="293"/>
      <c r="F245" s="293"/>
    </row>
    <row r="246" spans="2:7" ht="13.5" thickBot="1">
      <c r="B246" s="1674">
        <v>31</v>
      </c>
      <c r="C246" s="2573" t="s">
        <v>308</v>
      </c>
      <c r="D246" s="786">
        <v>4864246</v>
      </c>
      <c r="E246" s="293"/>
      <c r="F246" s="293"/>
    </row>
    <row r="247" spans="2:7" ht="13.5" thickBot="1">
      <c r="B247" s="1677">
        <v>32</v>
      </c>
      <c r="C247" s="1699" t="s">
        <v>309</v>
      </c>
      <c r="D247" s="787">
        <v>12972646</v>
      </c>
      <c r="E247" s="293"/>
      <c r="F247" s="293"/>
    </row>
    <row r="248" spans="2:7" ht="26.25" thickBot="1">
      <c r="B248" s="1689">
        <v>33</v>
      </c>
      <c r="C248" s="1705" t="s">
        <v>310</v>
      </c>
      <c r="D248" s="1715">
        <v>32061287</v>
      </c>
      <c r="E248" s="293"/>
      <c r="F248" s="293"/>
    </row>
    <row r="249" spans="2:7">
      <c r="B249" s="274"/>
      <c r="C249" s="391"/>
      <c r="D249" s="383"/>
      <c r="E249" s="293"/>
      <c r="F249" s="293"/>
    </row>
    <row r="250" spans="2:7">
      <c r="B250" s="274"/>
      <c r="C250" s="391"/>
      <c r="D250" s="383"/>
      <c r="E250" s="293"/>
      <c r="F250" s="293"/>
      <c r="G250" s="292">
        <v>100</v>
      </c>
    </row>
    <row r="251" spans="2:7">
      <c r="B251" s="274"/>
      <c r="C251" s="391"/>
      <c r="D251" s="383"/>
      <c r="E251" s="293"/>
      <c r="F251" s="293"/>
    </row>
    <row r="252" spans="2:7" ht="14.25">
      <c r="B252" s="3593" t="s">
        <v>407</v>
      </c>
      <c r="C252" s="3594"/>
      <c r="D252" s="3594"/>
      <c r="E252" s="3594"/>
      <c r="F252" s="3594"/>
      <c r="G252" s="3594"/>
    </row>
    <row r="253" spans="2:7" ht="13.5" thickBot="1">
      <c r="B253" s="51" t="s">
        <v>408</v>
      </c>
      <c r="C253" s="51"/>
      <c r="D253" s="51"/>
      <c r="E253" s="51"/>
      <c r="F253" s="51"/>
      <c r="G253" s="51"/>
    </row>
    <row r="254" spans="2:7" ht="13.5" thickBot="1">
      <c r="B254" s="3582" t="s">
        <v>398</v>
      </c>
      <c r="C254" s="3583"/>
      <c r="D254" s="425"/>
      <c r="E254" s="396"/>
      <c r="F254" s="396"/>
    </row>
    <row r="255" spans="2:7">
      <c r="B255" s="3520" t="s">
        <v>372</v>
      </c>
      <c r="C255" s="3585"/>
      <c r="D255" s="3518" t="s">
        <v>391</v>
      </c>
      <c r="E255" s="274"/>
      <c r="F255" s="274"/>
    </row>
    <row r="256" spans="2:7">
      <c r="B256" s="3520"/>
      <c r="C256" s="3585"/>
      <c r="D256" s="3520"/>
      <c r="E256" s="443"/>
      <c r="F256" s="443"/>
    </row>
    <row r="257" spans="2:6">
      <c r="B257" s="3519"/>
      <c r="C257" s="3586"/>
      <c r="D257" s="3519"/>
      <c r="E257" s="443"/>
      <c r="F257" s="443"/>
    </row>
    <row r="258" spans="2:6" ht="14.25">
      <c r="B258" s="1674"/>
      <c r="C258" s="1681" t="s">
        <v>269</v>
      </c>
      <c r="D258" s="2609"/>
      <c r="E258" s="293"/>
      <c r="F258" s="293"/>
    </row>
    <row r="259" spans="2:6">
      <c r="B259" s="1735">
        <v>1</v>
      </c>
      <c r="C259" s="2318" t="s">
        <v>270</v>
      </c>
      <c r="D259" s="791"/>
      <c r="E259" s="293"/>
      <c r="F259" s="293"/>
    </row>
    <row r="260" spans="2:6">
      <c r="B260" s="1735">
        <v>2</v>
      </c>
      <c r="C260" s="2318" t="s">
        <v>271</v>
      </c>
      <c r="D260" s="792">
        <v>16229</v>
      </c>
      <c r="E260" s="293"/>
      <c r="F260" s="293"/>
    </row>
    <row r="261" spans="2:6">
      <c r="B261" s="1735">
        <v>3</v>
      </c>
      <c r="C261" s="2318" t="s">
        <v>272</v>
      </c>
      <c r="D261" s="791"/>
      <c r="E261" s="293"/>
      <c r="F261" s="293"/>
    </row>
    <row r="262" spans="2:6">
      <c r="B262" s="1735">
        <v>4</v>
      </c>
      <c r="C262" s="2594" t="s">
        <v>406</v>
      </c>
      <c r="D262" s="791"/>
      <c r="E262" s="293"/>
      <c r="F262" s="293"/>
    </row>
    <row r="263" spans="2:6">
      <c r="B263" s="1735">
        <v>5</v>
      </c>
      <c r="C263" s="2318" t="s">
        <v>274</v>
      </c>
      <c r="D263" s="792">
        <v>924286</v>
      </c>
      <c r="E263" s="293"/>
      <c r="F263" s="293"/>
    </row>
    <row r="264" spans="2:6">
      <c r="B264" s="1735">
        <v>6</v>
      </c>
      <c r="C264" s="2318" t="s">
        <v>275</v>
      </c>
      <c r="D264" s="791"/>
      <c r="E264" s="293"/>
      <c r="F264" s="293"/>
    </row>
    <row r="265" spans="2:6">
      <c r="B265" s="1735">
        <v>7</v>
      </c>
      <c r="C265" s="2318" t="s">
        <v>276</v>
      </c>
      <c r="D265" s="791"/>
      <c r="E265" s="293"/>
      <c r="F265" s="293"/>
    </row>
    <row r="266" spans="2:6">
      <c r="B266" s="1735"/>
      <c r="C266" s="2558" t="s">
        <v>393</v>
      </c>
      <c r="D266" s="792">
        <v>574260</v>
      </c>
      <c r="E266" s="293"/>
      <c r="F266" s="293"/>
    </row>
    <row r="267" spans="2:6">
      <c r="B267" s="1735"/>
      <c r="C267" s="2558" t="s">
        <v>394</v>
      </c>
      <c r="D267" s="791">
        <v>0</v>
      </c>
      <c r="E267" s="293"/>
      <c r="F267" s="293"/>
    </row>
    <row r="268" spans="2:6">
      <c r="B268" s="1735">
        <v>8</v>
      </c>
      <c r="C268" s="2318" t="s">
        <v>279</v>
      </c>
      <c r="D268" s="791"/>
      <c r="E268" s="293"/>
      <c r="F268" s="293"/>
    </row>
    <row r="269" spans="2:6">
      <c r="B269" s="1735"/>
      <c r="C269" s="2558" t="s">
        <v>395</v>
      </c>
      <c r="D269" s="791"/>
      <c r="E269" s="293"/>
      <c r="F269" s="293"/>
    </row>
    <row r="270" spans="2:6">
      <c r="B270" s="1735"/>
      <c r="C270" s="2558" t="s">
        <v>396</v>
      </c>
      <c r="D270" s="791"/>
      <c r="E270" s="293"/>
      <c r="F270" s="293"/>
    </row>
    <row r="271" spans="2:6">
      <c r="B271" s="2596">
        <v>9</v>
      </c>
      <c r="C271" s="2562" t="s">
        <v>282</v>
      </c>
      <c r="D271" s="793">
        <v>4411648</v>
      </c>
      <c r="E271" s="293"/>
      <c r="F271" s="293"/>
    </row>
    <row r="272" spans="2:6">
      <c r="B272" s="1735">
        <v>10</v>
      </c>
      <c r="C272" s="2558" t="s">
        <v>283</v>
      </c>
      <c r="D272" s="792">
        <v>2396734</v>
      </c>
      <c r="E272" s="293"/>
      <c r="F272" s="293"/>
    </row>
    <row r="273" spans="2:6">
      <c r="B273" s="1735">
        <v>11</v>
      </c>
      <c r="C273" s="2558" t="s">
        <v>284</v>
      </c>
      <c r="D273" s="792">
        <v>2001789</v>
      </c>
      <c r="E273" s="293"/>
      <c r="F273" s="293"/>
    </row>
    <row r="274" spans="2:6">
      <c r="B274" s="1735">
        <v>12</v>
      </c>
      <c r="C274" s="2558" t="s">
        <v>285</v>
      </c>
      <c r="D274" s="792">
        <v>13125</v>
      </c>
      <c r="E274" s="293"/>
      <c r="F274" s="293"/>
    </row>
    <row r="275" spans="2:6" ht="25.5">
      <c r="B275" s="1735">
        <v>13</v>
      </c>
      <c r="C275" s="2558" t="s">
        <v>286</v>
      </c>
      <c r="D275" s="791"/>
      <c r="E275" s="293"/>
      <c r="F275" s="293"/>
    </row>
    <row r="276" spans="2:6">
      <c r="B276" s="1735">
        <v>14</v>
      </c>
      <c r="C276" s="2178" t="s">
        <v>287</v>
      </c>
      <c r="D276" s="791"/>
      <c r="E276" s="293"/>
      <c r="F276" s="293"/>
    </row>
    <row r="277" spans="2:6">
      <c r="B277" s="1735">
        <v>15</v>
      </c>
      <c r="C277" s="2178" t="s">
        <v>288</v>
      </c>
      <c r="D277" s="792">
        <v>330869</v>
      </c>
      <c r="E277" s="293"/>
      <c r="F277" s="293"/>
    </row>
    <row r="278" spans="2:6">
      <c r="B278" s="1735">
        <v>16</v>
      </c>
      <c r="C278" s="2178" t="s">
        <v>289</v>
      </c>
      <c r="D278" s="792">
        <v>1096721</v>
      </c>
      <c r="E278" s="293"/>
      <c r="F278" s="293"/>
    </row>
    <row r="279" spans="2:6">
      <c r="B279" s="1735">
        <v>17</v>
      </c>
      <c r="C279" s="2178" t="s">
        <v>290</v>
      </c>
      <c r="D279" s="792">
        <v>403996</v>
      </c>
      <c r="E279" s="293"/>
      <c r="F279" s="293"/>
    </row>
    <row r="280" spans="2:6">
      <c r="B280" s="1735">
        <v>18</v>
      </c>
      <c r="C280" s="2178" t="s">
        <v>291</v>
      </c>
      <c r="D280" s="791"/>
      <c r="E280" s="293"/>
      <c r="F280" s="293"/>
    </row>
    <row r="281" spans="2:6" ht="13.5" thickBot="1">
      <c r="B281" s="1735">
        <v>19</v>
      </c>
      <c r="C281" s="2575" t="s">
        <v>292</v>
      </c>
      <c r="D281" s="794">
        <v>177829</v>
      </c>
      <c r="E281" s="293"/>
      <c r="F281" s="293"/>
    </row>
    <row r="282" spans="2:6" ht="26.25" thickBot="1">
      <c r="B282" s="1686">
        <v>20</v>
      </c>
      <c r="C282" s="1726" t="s">
        <v>293</v>
      </c>
      <c r="D282" s="1706">
        <v>7935838</v>
      </c>
      <c r="E282" s="293"/>
      <c r="F282" s="293"/>
    </row>
    <row r="283" spans="2:6">
      <c r="B283" s="1674"/>
      <c r="C283" s="2586" t="s">
        <v>294</v>
      </c>
      <c r="D283" s="791"/>
      <c r="E283" s="293"/>
      <c r="F283" s="293"/>
    </row>
    <row r="284" spans="2:6">
      <c r="B284" s="1674"/>
      <c r="C284" s="2586" t="s">
        <v>295</v>
      </c>
      <c r="D284" s="791"/>
      <c r="E284" s="293"/>
      <c r="F284" s="293"/>
    </row>
    <row r="285" spans="2:6">
      <c r="B285" s="1674">
        <v>21</v>
      </c>
      <c r="C285" s="2178" t="s">
        <v>296</v>
      </c>
      <c r="D285" s="792">
        <v>2956779</v>
      </c>
      <c r="E285" s="293"/>
      <c r="F285" s="293"/>
    </row>
    <row r="286" spans="2:6">
      <c r="B286" s="1674">
        <v>22</v>
      </c>
      <c r="C286" s="2178" t="s">
        <v>297</v>
      </c>
      <c r="D286" s="792">
        <v>53222</v>
      </c>
      <c r="E286" s="293"/>
      <c r="F286" s="293"/>
    </row>
    <row r="287" spans="2:6">
      <c r="B287" s="1674">
        <v>23</v>
      </c>
      <c r="C287" s="2178" t="s">
        <v>298</v>
      </c>
      <c r="D287" s="792">
        <v>212725</v>
      </c>
      <c r="E287" s="293"/>
      <c r="F287" s="293"/>
    </row>
    <row r="288" spans="2:6">
      <c r="B288" s="1674">
        <v>24</v>
      </c>
      <c r="C288" s="2178" t="s">
        <v>299</v>
      </c>
      <c r="D288" s="791"/>
      <c r="E288" s="293"/>
      <c r="F288" s="293"/>
    </row>
    <row r="289" spans="2:7">
      <c r="B289" s="1674">
        <v>25</v>
      </c>
      <c r="C289" s="2558" t="s">
        <v>300</v>
      </c>
      <c r="D289" s="792">
        <v>60467</v>
      </c>
      <c r="E289" s="293"/>
      <c r="F289" s="293"/>
    </row>
    <row r="290" spans="2:7" ht="13.5" thickBot="1">
      <c r="B290" s="1674">
        <v>26</v>
      </c>
      <c r="C290" s="2575" t="s">
        <v>301</v>
      </c>
      <c r="D290" s="794">
        <v>1253184</v>
      </c>
      <c r="E290" s="293"/>
      <c r="F290" s="293"/>
    </row>
    <row r="291" spans="2:7" ht="13.5" thickBot="1">
      <c r="B291" s="1677">
        <v>27</v>
      </c>
      <c r="C291" s="1698" t="s">
        <v>302</v>
      </c>
      <c r="D291" s="795">
        <v>4536377</v>
      </c>
      <c r="E291" s="293"/>
      <c r="F291" s="293"/>
    </row>
    <row r="292" spans="2:7">
      <c r="B292" s="1674"/>
      <c r="C292" s="1696" t="s">
        <v>303</v>
      </c>
      <c r="D292" s="791"/>
      <c r="E292" s="293"/>
      <c r="F292" s="293"/>
    </row>
    <row r="293" spans="2:7">
      <c r="B293" s="1674">
        <v>28</v>
      </c>
      <c r="C293" s="2318" t="s">
        <v>304</v>
      </c>
      <c r="D293" s="792">
        <v>1515757</v>
      </c>
      <c r="E293" s="293"/>
      <c r="F293" s="293"/>
    </row>
    <row r="294" spans="2:7">
      <c r="B294" s="1674">
        <v>29</v>
      </c>
      <c r="C294" s="2318" t="s">
        <v>305</v>
      </c>
      <c r="D294" s="792">
        <v>-33539</v>
      </c>
      <c r="E294" s="293"/>
      <c r="F294" s="293"/>
    </row>
    <row r="295" spans="2:7">
      <c r="B295" s="1674">
        <v>30</v>
      </c>
      <c r="C295" s="2584" t="s">
        <v>306</v>
      </c>
      <c r="D295" s="792">
        <v>515270</v>
      </c>
      <c r="E295" s="293"/>
      <c r="F295" s="293"/>
    </row>
    <row r="296" spans="2:7" ht="13.5" thickBot="1">
      <c r="B296" s="1674">
        <v>31</v>
      </c>
      <c r="C296" s="2584" t="s">
        <v>308</v>
      </c>
      <c r="D296" s="794">
        <v>1401973</v>
      </c>
      <c r="E296" s="293"/>
      <c r="F296" s="293"/>
    </row>
    <row r="297" spans="2:7" ht="13.5" thickBot="1">
      <c r="B297" s="1677">
        <v>32</v>
      </c>
      <c r="C297" s="1698" t="s">
        <v>309</v>
      </c>
      <c r="D297" s="795">
        <v>3399461</v>
      </c>
      <c r="E297" s="293"/>
      <c r="F297" s="293"/>
    </row>
    <row r="298" spans="2:7" ht="26.25" thickBot="1">
      <c r="B298" s="1689">
        <v>33</v>
      </c>
      <c r="C298" s="1726" t="s">
        <v>310</v>
      </c>
      <c r="D298" s="1706">
        <v>7935838</v>
      </c>
      <c r="E298" s="293"/>
      <c r="F298" s="293"/>
    </row>
    <row r="299" spans="2:7">
      <c r="B299" s="274"/>
      <c r="C299" s="391"/>
      <c r="D299" s="383"/>
      <c r="E299" s="293"/>
      <c r="F299" s="293"/>
    </row>
    <row r="300" spans="2:7">
      <c r="B300" s="274"/>
      <c r="C300" s="391"/>
      <c r="D300" s="383"/>
      <c r="E300" s="293"/>
      <c r="F300" s="293"/>
      <c r="G300" s="292">
        <v>101</v>
      </c>
    </row>
    <row r="301" spans="2:7">
      <c r="D301" s="396"/>
      <c r="E301" s="396"/>
      <c r="F301" s="396"/>
      <c r="G301" s="396"/>
    </row>
    <row r="302" spans="2:7" ht="14.25">
      <c r="B302" s="3593" t="s">
        <v>409</v>
      </c>
      <c r="C302" s="3594"/>
      <c r="D302" s="3594"/>
      <c r="E302" s="3594"/>
      <c r="F302" s="3594"/>
      <c r="G302" s="3594"/>
    </row>
    <row r="303" spans="2:7" ht="13.5" thickBot="1">
      <c r="B303" s="51" t="s">
        <v>408</v>
      </c>
      <c r="C303" s="51"/>
      <c r="D303" s="51"/>
      <c r="E303" s="51"/>
      <c r="F303" s="51"/>
      <c r="G303" s="51"/>
    </row>
    <row r="304" spans="2:7" ht="13.5" thickBot="1">
      <c r="B304" s="3582" t="s">
        <v>102</v>
      </c>
      <c r="C304" s="3583"/>
      <c r="D304" s="425"/>
      <c r="E304" s="396"/>
      <c r="F304" s="396"/>
      <c r="G304" s="396"/>
    </row>
    <row r="305" spans="2:9">
      <c r="B305" s="3520" t="s">
        <v>372</v>
      </c>
      <c r="C305" s="3585"/>
      <c r="D305" s="3518" t="s">
        <v>391</v>
      </c>
      <c r="E305" s="274"/>
      <c r="F305" s="274"/>
    </row>
    <row r="306" spans="2:9">
      <c r="B306" s="3520"/>
      <c r="C306" s="3585"/>
      <c r="D306" s="3520"/>
      <c r="E306" s="443"/>
      <c r="F306" s="443"/>
    </row>
    <row r="307" spans="2:9">
      <c r="B307" s="3519"/>
      <c r="C307" s="3585"/>
      <c r="D307" s="3519"/>
      <c r="E307" s="443"/>
      <c r="F307" s="443"/>
    </row>
    <row r="308" spans="2:9" ht="14.25">
      <c r="B308" s="1733"/>
      <c r="C308" s="1746" t="s">
        <v>269</v>
      </c>
      <c r="D308" s="2609"/>
      <c r="E308" s="293"/>
      <c r="F308" s="293"/>
    </row>
    <row r="309" spans="2:9">
      <c r="B309" s="1735">
        <v>1</v>
      </c>
      <c r="C309" s="2602" t="s">
        <v>270</v>
      </c>
      <c r="D309" s="792">
        <v>360508</v>
      </c>
      <c r="E309" s="293"/>
      <c r="F309" s="293"/>
      <c r="H309" s="515"/>
      <c r="I309" s="396"/>
    </row>
    <row r="310" spans="2:9">
      <c r="B310" s="1735">
        <v>2</v>
      </c>
      <c r="C310" s="2602" t="s">
        <v>271</v>
      </c>
      <c r="D310" s="792">
        <v>344414</v>
      </c>
      <c r="E310" s="293"/>
      <c r="F310" s="293"/>
      <c r="H310" s="515"/>
      <c r="I310" s="396"/>
    </row>
    <row r="311" spans="2:9">
      <c r="B311" s="1735">
        <v>3</v>
      </c>
      <c r="C311" s="2602" t="s">
        <v>272</v>
      </c>
      <c r="D311" s="791"/>
      <c r="E311" s="293"/>
      <c r="F311" s="293"/>
      <c r="H311" s="515"/>
      <c r="I311" s="396"/>
    </row>
    <row r="312" spans="2:9">
      <c r="B312" s="1735">
        <v>4</v>
      </c>
      <c r="C312" s="2594" t="s">
        <v>406</v>
      </c>
      <c r="D312" s="792">
        <v>215753</v>
      </c>
      <c r="E312" s="293"/>
      <c r="F312" s="293"/>
      <c r="H312" s="515"/>
      <c r="I312" s="396"/>
    </row>
    <row r="313" spans="2:9">
      <c r="B313" s="1735">
        <v>5</v>
      </c>
      <c r="C313" s="2602" t="s">
        <v>237</v>
      </c>
      <c r="D313" s="792">
        <v>280972</v>
      </c>
      <c r="E313" s="293"/>
      <c r="F313" s="293"/>
      <c r="H313" s="515"/>
      <c r="I313" s="396"/>
    </row>
    <row r="314" spans="2:9">
      <c r="B314" s="1735">
        <v>6</v>
      </c>
      <c r="C314" s="2602" t="s">
        <v>275</v>
      </c>
      <c r="D314" s="791"/>
      <c r="E314" s="293"/>
      <c r="F314" s="293"/>
      <c r="H314" s="515"/>
      <c r="I314" s="396"/>
    </row>
    <row r="315" spans="2:9">
      <c r="B315" s="1735">
        <v>7</v>
      </c>
      <c r="C315" s="2602" t="s">
        <v>276</v>
      </c>
      <c r="D315" s="791"/>
      <c r="E315" s="293"/>
      <c r="F315" s="293"/>
      <c r="H315" s="515"/>
      <c r="I315" s="396"/>
    </row>
    <row r="316" spans="2:9">
      <c r="B316" s="1735"/>
      <c r="C316" s="2602" t="s">
        <v>377</v>
      </c>
      <c r="D316" s="791"/>
      <c r="E316" s="293"/>
      <c r="F316" s="293"/>
      <c r="H316" s="515"/>
      <c r="I316" s="396"/>
    </row>
    <row r="317" spans="2:9">
      <c r="B317" s="1735"/>
      <c r="C317" s="1740" t="s">
        <v>378</v>
      </c>
      <c r="D317" s="791"/>
      <c r="E317" s="293"/>
      <c r="F317" s="293"/>
      <c r="H317" s="515"/>
      <c r="I317" s="396"/>
    </row>
    <row r="318" spans="2:9">
      <c r="B318" s="1735">
        <v>8</v>
      </c>
      <c r="C318" s="1740" t="s">
        <v>379</v>
      </c>
      <c r="D318" s="791"/>
      <c r="E318" s="293"/>
      <c r="F318" s="293"/>
      <c r="H318" s="515"/>
      <c r="I318" s="396"/>
    </row>
    <row r="319" spans="2:9">
      <c r="B319" s="1735"/>
      <c r="C319" s="2602" t="s">
        <v>380</v>
      </c>
      <c r="D319" s="791"/>
      <c r="E319" s="293"/>
      <c r="F319" s="293"/>
      <c r="H319" s="515"/>
      <c r="I319" s="396"/>
    </row>
    <row r="320" spans="2:9">
      <c r="B320" s="1735"/>
      <c r="C320" s="1740" t="s">
        <v>381</v>
      </c>
      <c r="D320" s="791"/>
      <c r="E320" s="293"/>
      <c r="F320" s="293"/>
      <c r="H320" s="515"/>
      <c r="I320" s="396"/>
    </row>
    <row r="321" spans="2:9">
      <c r="B321" s="2596">
        <v>9</v>
      </c>
      <c r="C321" s="2603" t="s">
        <v>282</v>
      </c>
      <c r="D321" s="793">
        <v>9203026</v>
      </c>
      <c r="E321" s="293"/>
      <c r="F321" s="293"/>
      <c r="H321" s="515"/>
      <c r="I321" s="396"/>
    </row>
    <row r="322" spans="2:9">
      <c r="B322" s="1735">
        <v>10</v>
      </c>
      <c r="C322" s="1741" t="s">
        <v>283</v>
      </c>
      <c r="D322" s="792">
        <v>1842430</v>
      </c>
      <c r="E322" s="293"/>
      <c r="F322" s="293"/>
      <c r="H322" s="515"/>
      <c r="I322" s="396"/>
    </row>
    <row r="323" spans="2:9">
      <c r="B323" s="1735">
        <v>11</v>
      </c>
      <c r="C323" s="2602" t="s">
        <v>284</v>
      </c>
      <c r="D323" s="792">
        <v>5657396</v>
      </c>
      <c r="E323" s="293"/>
      <c r="F323" s="293"/>
      <c r="H323" s="515"/>
      <c r="I323" s="396"/>
    </row>
    <row r="324" spans="2:9">
      <c r="B324" s="1735">
        <v>12</v>
      </c>
      <c r="C324" s="2602" t="s">
        <v>285</v>
      </c>
      <c r="D324" s="792">
        <v>1703200</v>
      </c>
      <c r="E324" s="293"/>
      <c r="F324" s="293"/>
      <c r="H324" s="515"/>
      <c r="I324" s="396"/>
    </row>
    <row r="325" spans="2:9" ht="25.5">
      <c r="B325" s="1735">
        <v>13</v>
      </c>
      <c r="C325" s="2602" t="s">
        <v>286</v>
      </c>
      <c r="D325" s="791"/>
      <c r="E325" s="293"/>
      <c r="F325" s="293"/>
      <c r="H325" s="515"/>
      <c r="I325" s="396"/>
    </row>
    <row r="326" spans="2:9">
      <c r="B326" s="1735">
        <v>14</v>
      </c>
      <c r="C326" s="2604" t="s">
        <v>287</v>
      </c>
      <c r="D326" s="791"/>
      <c r="E326" s="293"/>
      <c r="F326" s="293"/>
      <c r="H326" s="515"/>
      <c r="I326" s="396"/>
    </row>
    <row r="327" spans="2:9">
      <c r="B327" s="1735">
        <v>15</v>
      </c>
      <c r="C327" s="2604" t="s">
        <v>288</v>
      </c>
      <c r="D327" s="792">
        <v>2855190</v>
      </c>
      <c r="E327" s="293"/>
      <c r="F327" s="293"/>
      <c r="H327" s="515"/>
      <c r="I327" s="396"/>
    </row>
    <row r="328" spans="2:9">
      <c r="B328" s="1735">
        <v>16</v>
      </c>
      <c r="C328" s="2604" t="s">
        <v>289</v>
      </c>
      <c r="D328" s="792">
        <v>3106823</v>
      </c>
      <c r="E328" s="293"/>
      <c r="F328" s="293"/>
      <c r="H328" s="515"/>
      <c r="I328" s="396"/>
    </row>
    <row r="329" spans="2:9">
      <c r="B329" s="1735">
        <v>17</v>
      </c>
      <c r="C329" s="1740" t="s">
        <v>229</v>
      </c>
      <c r="D329" s="792">
        <v>502953</v>
      </c>
      <c r="E329" s="293"/>
      <c r="F329" s="293"/>
      <c r="H329" s="515"/>
      <c r="I329" s="396"/>
    </row>
    <row r="330" spans="2:9">
      <c r="B330" s="1735">
        <v>18</v>
      </c>
      <c r="C330" s="2602" t="s">
        <v>382</v>
      </c>
      <c r="D330" s="792">
        <v>586313</v>
      </c>
      <c r="E330" s="293"/>
      <c r="F330" s="293"/>
      <c r="H330" s="515"/>
      <c r="I330" s="396"/>
    </row>
    <row r="331" spans="2:9" ht="13.5" thickBot="1">
      <c r="B331" s="1735">
        <v>19</v>
      </c>
      <c r="C331" s="1740" t="s">
        <v>230</v>
      </c>
      <c r="D331" s="792">
        <v>590171</v>
      </c>
      <c r="E331" s="293"/>
      <c r="F331" s="293"/>
      <c r="H331" s="515"/>
      <c r="I331" s="396"/>
    </row>
    <row r="332" spans="2:9" ht="26.25" thickBot="1">
      <c r="B332" s="1686">
        <v>20</v>
      </c>
      <c r="C332" s="1722" t="s">
        <v>383</v>
      </c>
      <c r="D332" s="1747">
        <v>18046123</v>
      </c>
      <c r="E332" s="293"/>
      <c r="F332" s="293"/>
      <c r="H332" s="515"/>
      <c r="I332" s="396"/>
    </row>
    <row r="333" spans="2:9">
      <c r="B333" s="1674"/>
      <c r="C333" s="1696" t="s">
        <v>294</v>
      </c>
      <c r="D333" s="825"/>
      <c r="E333" s="293"/>
      <c r="F333" s="293"/>
      <c r="H333" s="515"/>
      <c r="I333" s="396"/>
    </row>
    <row r="334" spans="2:9">
      <c r="B334" s="1674"/>
      <c r="C334" s="1695" t="s">
        <v>295</v>
      </c>
      <c r="D334" s="800"/>
      <c r="E334" s="293"/>
      <c r="F334" s="293"/>
      <c r="H334" s="515"/>
      <c r="I334" s="396"/>
    </row>
    <row r="335" spans="2:9">
      <c r="B335" s="1674">
        <v>21</v>
      </c>
      <c r="C335" s="2558" t="s">
        <v>296</v>
      </c>
      <c r="D335" s="801">
        <v>8043571</v>
      </c>
      <c r="E335" s="293"/>
      <c r="F335" s="293"/>
      <c r="H335" s="515"/>
      <c r="I335" s="396"/>
    </row>
    <row r="336" spans="2:9">
      <c r="B336" s="1674">
        <v>22</v>
      </c>
      <c r="C336" s="2178" t="s">
        <v>297</v>
      </c>
      <c r="D336" s="801">
        <v>173629</v>
      </c>
      <c r="E336" s="293"/>
      <c r="F336" s="293"/>
      <c r="H336" s="515"/>
      <c r="I336" s="396"/>
    </row>
    <row r="337" spans="2:9">
      <c r="B337" s="1674">
        <v>23</v>
      </c>
      <c r="C337" s="2178" t="s">
        <v>298</v>
      </c>
      <c r="D337" s="801">
        <v>1840733</v>
      </c>
      <c r="E337" s="293"/>
      <c r="F337" s="293"/>
      <c r="H337" s="515"/>
      <c r="I337" s="396"/>
    </row>
    <row r="338" spans="2:9">
      <c r="B338" s="1674">
        <v>24</v>
      </c>
      <c r="C338" s="2178" t="s">
        <v>299</v>
      </c>
      <c r="D338" s="801">
        <v>610965</v>
      </c>
      <c r="E338" s="293"/>
      <c r="F338" s="293"/>
      <c r="H338" s="515"/>
      <c r="I338" s="396"/>
    </row>
    <row r="339" spans="2:9">
      <c r="B339" s="1674">
        <v>25</v>
      </c>
      <c r="C339" s="2558" t="s">
        <v>300</v>
      </c>
      <c r="D339" s="802"/>
      <c r="E339" s="293"/>
      <c r="F339" s="293"/>
      <c r="H339" s="515"/>
      <c r="I339" s="396"/>
    </row>
    <row r="340" spans="2:9" ht="13.5" thickBot="1">
      <c r="B340" s="1674">
        <v>26</v>
      </c>
      <c r="C340" s="2575" t="s">
        <v>301</v>
      </c>
      <c r="D340" s="803">
        <v>1072717</v>
      </c>
      <c r="E340" s="293"/>
      <c r="F340" s="293"/>
      <c r="H340" s="515"/>
      <c r="I340" s="396"/>
    </row>
    <row r="341" spans="2:9" ht="13.5" thickBot="1">
      <c r="B341" s="1677">
        <v>27</v>
      </c>
      <c r="C341" s="1694" t="s">
        <v>384</v>
      </c>
      <c r="D341" s="804">
        <v>11741615</v>
      </c>
      <c r="E341" s="293"/>
      <c r="F341" s="293"/>
      <c r="H341" s="515"/>
      <c r="I341" s="396"/>
    </row>
    <row r="342" spans="2:9">
      <c r="B342" s="1674"/>
      <c r="C342" s="1693" t="s">
        <v>385</v>
      </c>
      <c r="D342" s="800"/>
      <c r="E342" s="293"/>
      <c r="F342" s="293"/>
      <c r="H342" s="515"/>
      <c r="I342" s="396"/>
    </row>
    <row r="343" spans="2:9">
      <c r="B343" s="1674">
        <v>28</v>
      </c>
      <c r="C343" s="2558" t="s">
        <v>386</v>
      </c>
      <c r="D343" s="799">
        <v>3131949</v>
      </c>
      <c r="E343" s="293"/>
      <c r="F343" s="293"/>
      <c r="H343" s="515"/>
      <c r="I343" s="396"/>
    </row>
    <row r="344" spans="2:9">
      <c r="B344" s="1674">
        <v>29</v>
      </c>
      <c r="C344" s="2558" t="s">
        <v>305</v>
      </c>
      <c r="D344" s="799">
        <v>94695</v>
      </c>
      <c r="E344" s="293"/>
      <c r="F344" s="293"/>
      <c r="H344" s="515"/>
      <c r="I344" s="396"/>
    </row>
    <row r="345" spans="2:9">
      <c r="B345" s="1674">
        <v>30</v>
      </c>
      <c r="C345" s="2584" t="s">
        <v>306</v>
      </c>
      <c r="D345" s="800"/>
      <c r="E345" s="293"/>
      <c r="F345" s="293"/>
      <c r="H345" s="515"/>
      <c r="I345" s="396"/>
    </row>
    <row r="346" spans="2:9" ht="13.5" thickBot="1">
      <c r="B346" s="1674">
        <v>31</v>
      </c>
      <c r="C346" s="2584" t="s">
        <v>308</v>
      </c>
      <c r="D346" s="806">
        <v>3077864</v>
      </c>
      <c r="E346" s="293"/>
      <c r="F346" s="293"/>
      <c r="H346" s="515"/>
      <c r="I346" s="396"/>
    </row>
    <row r="347" spans="2:9" ht="13.5" thickBot="1">
      <c r="B347" s="1677">
        <v>32</v>
      </c>
      <c r="C347" s="1680" t="s">
        <v>309</v>
      </c>
      <c r="D347" s="795">
        <v>6304508</v>
      </c>
      <c r="E347" s="293"/>
      <c r="F347" s="293"/>
      <c r="H347" s="515"/>
      <c r="I347" s="396"/>
    </row>
    <row r="348" spans="2:9" ht="26.25" thickBot="1">
      <c r="B348" s="1689">
        <v>33</v>
      </c>
      <c r="C348" s="1748" t="s">
        <v>387</v>
      </c>
      <c r="D348" s="1706">
        <v>18046123</v>
      </c>
      <c r="E348" s="293"/>
      <c r="F348" s="293"/>
      <c r="H348" s="515"/>
      <c r="I348" s="396"/>
    </row>
    <row r="349" spans="2:9">
      <c r="B349" s="196"/>
      <c r="C349" s="634"/>
      <c r="D349" s="383"/>
      <c r="E349" s="293"/>
      <c r="F349" s="293"/>
    </row>
    <row r="350" spans="2:9">
      <c r="B350" s="196"/>
      <c r="C350" s="634"/>
      <c r="D350" s="383"/>
      <c r="E350" s="293"/>
      <c r="F350" s="293"/>
      <c r="G350" s="292">
        <v>102</v>
      </c>
    </row>
    <row r="351" spans="2:9">
      <c r="B351" s="274"/>
      <c r="C351" s="391"/>
      <c r="D351" s="383"/>
      <c r="E351" s="293"/>
      <c r="F351" s="293"/>
    </row>
    <row r="352" spans="2:9" ht="14.25">
      <c r="B352" s="3593" t="s">
        <v>409</v>
      </c>
      <c r="C352" s="3594"/>
      <c r="D352" s="3594"/>
      <c r="E352" s="3594"/>
      <c r="F352" s="3594"/>
      <c r="G352" s="3594"/>
    </row>
    <row r="353" spans="2:7" ht="13.5" thickBot="1">
      <c r="B353" s="51" t="s">
        <v>408</v>
      </c>
      <c r="C353" s="51"/>
      <c r="D353" s="51"/>
      <c r="E353" s="51"/>
      <c r="F353" s="51"/>
      <c r="G353" s="51"/>
    </row>
    <row r="354" spans="2:7" ht="13.5" thickBot="1">
      <c r="B354" s="3582" t="s">
        <v>104</v>
      </c>
      <c r="C354" s="3583"/>
      <c r="D354" s="425"/>
      <c r="E354" s="396"/>
      <c r="F354" s="396"/>
    </row>
    <row r="355" spans="2:7">
      <c r="B355" s="3520" t="s">
        <v>372</v>
      </c>
      <c r="C355" s="3585"/>
      <c r="D355" s="3518" t="s">
        <v>391</v>
      </c>
      <c r="E355" s="274"/>
      <c r="F355" s="274"/>
    </row>
    <row r="356" spans="2:7">
      <c r="B356" s="3520"/>
      <c r="C356" s="3585"/>
      <c r="D356" s="3520"/>
      <c r="E356" s="443"/>
      <c r="F356" s="443"/>
    </row>
    <row r="357" spans="2:7">
      <c r="B357" s="3519"/>
      <c r="C357" s="3586"/>
      <c r="D357" s="3519"/>
      <c r="E357" s="443"/>
      <c r="F357" s="443"/>
    </row>
    <row r="358" spans="2:7" ht="14.25">
      <c r="B358" s="1674"/>
      <c r="C358" s="1681" t="s">
        <v>269</v>
      </c>
      <c r="D358" s="759"/>
      <c r="E358" s="293"/>
      <c r="F358" s="293"/>
    </row>
    <row r="359" spans="2:7">
      <c r="B359" s="1735">
        <v>1</v>
      </c>
      <c r="C359" s="2318" t="s">
        <v>270</v>
      </c>
      <c r="D359" s="791"/>
      <c r="E359" s="293"/>
      <c r="F359" s="293"/>
    </row>
    <row r="360" spans="2:7">
      <c r="B360" s="1735">
        <v>2</v>
      </c>
      <c r="C360" s="2318" t="s">
        <v>271</v>
      </c>
      <c r="D360" s="792">
        <v>6618</v>
      </c>
      <c r="E360" s="293"/>
      <c r="F360" s="293"/>
    </row>
    <row r="361" spans="2:7">
      <c r="B361" s="1735">
        <v>3</v>
      </c>
      <c r="C361" s="2318" t="s">
        <v>272</v>
      </c>
      <c r="D361" s="791"/>
      <c r="E361" s="293"/>
      <c r="F361" s="293"/>
    </row>
    <row r="362" spans="2:7">
      <c r="B362" s="1735">
        <v>4</v>
      </c>
      <c r="C362" s="2594" t="s">
        <v>406</v>
      </c>
      <c r="D362" s="792">
        <v>14332</v>
      </c>
      <c r="E362" s="293"/>
      <c r="F362" s="293"/>
    </row>
    <row r="363" spans="2:7">
      <c r="B363" s="1735">
        <v>5</v>
      </c>
      <c r="C363" s="2318" t="s">
        <v>274</v>
      </c>
      <c r="D363" s="792">
        <v>53048</v>
      </c>
      <c r="E363" s="293"/>
      <c r="F363" s="293"/>
    </row>
    <row r="364" spans="2:7">
      <c r="B364" s="1735">
        <v>6</v>
      </c>
      <c r="C364" s="2318" t="s">
        <v>275</v>
      </c>
      <c r="D364" s="791"/>
      <c r="E364" s="293"/>
      <c r="F364" s="293"/>
    </row>
    <row r="365" spans="2:7">
      <c r="B365" s="1735">
        <v>7</v>
      </c>
      <c r="C365" s="2318" t="s">
        <v>276</v>
      </c>
      <c r="D365" s="791"/>
      <c r="E365" s="293"/>
      <c r="F365" s="293"/>
    </row>
    <row r="366" spans="2:7">
      <c r="B366" s="1735"/>
      <c r="C366" s="2558" t="s">
        <v>393</v>
      </c>
      <c r="D366" s="791"/>
      <c r="E366" s="293"/>
      <c r="F366" s="293"/>
    </row>
    <row r="367" spans="2:7">
      <c r="B367" s="1735"/>
      <c r="C367" s="2558" t="s">
        <v>394</v>
      </c>
      <c r="D367" s="791"/>
      <c r="E367" s="293"/>
      <c r="F367" s="293"/>
    </row>
    <row r="368" spans="2:7">
      <c r="B368" s="1735">
        <v>8</v>
      </c>
      <c r="C368" s="2318" t="s">
        <v>279</v>
      </c>
      <c r="D368" s="791"/>
      <c r="E368" s="293"/>
      <c r="F368" s="293"/>
    </row>
    <row r="369" spans="2:6">
      <c r="B369" s="1735"/>
      <c r="C369" s="2558" t="s">
        <v>395</v>
      </c>
      <c r="D369" s="791"/>
      <c r="E369" s="293"/>
      <c r="F369" s="293"/>
    </row>
    <row r="370" spans="2:6">
      <c r="B370" s="1735"/>
      <c r="C370" s="2558" t="s">
        <v>396</v>
      </c>
      <c r="D370" s="791"/>
      <c r="E370" s="293"/>
      <c r="F370" s="293"/>
    </row>
    <row r="371" spans="2:6">
      <c r="B371" s="2596">
        <v>9</v>
      </c>
      <c r="C371" s="2562" t="s">
        <v>282</v>
      </c>
      <c r="D371" s="793">
        <v>4291343</v>
      </c>
      <c r="E371" s="293"/>
      <c r="F371" s="293"/>
    </row>
    <row r="372" spans="2:6">
      <c r="B372" s="1735">
        <v>10</v>
      </c>
      <c r="C372" s="2558" t="s">
        <v>283</v>
      </c>
      <c r="D372" s="791"/>
      <c r="E372" s="293"/>
      <c r="F372" s="293"/>
    </row>
    <row r="373" spans="2:6">
      <c r="B373" s="1735">
        <v>11</v>
      </c>
      <c r="C373" s="2558" t="s">
        <v>284</v>
      </c>
      <c r="D373" s="780">
        <v>3191457</v>
      </c>
      <c r="E373" s="293"/>
      <c r="F373" s="293"/>
    </row>
    <row r="374" spans="2:6">
      <c r="B374" s="1735">
        <v>12</v>
      </c>
      <c r="C374" s="2558" t="s">
        <v>285</v>
      </c>
      <c r="D374" s="780">
        <v>856933</v>
      </c>
      <c r="E374" s="293"/>
      <c r="F374" s="293"/>
    </row>
    <row r="375" spans="2:6" ht="25.5">
      <c r="B375" s="1735">
        <v>13</v>
      </c>
      <c r="C375" s="2558" t="s">
        <v>286</v>
      </c>
      <c r="D375" s="780">
        <v>242953</v>
      </c>
      <c r="E375" s="293"/>
      <c r="F375" s="293"/>
    </row>
    <row r="376" spans="2:6">
      <c r="B376" s="1735">
        <v>14</v>
      </c>
      <c r="C376" s="2178" t="s">
        <v>287</v>
      </c>
      <c r="D376" s="808"/>
      <c r="E376" s="293"/>
      <c r="F376" s="293"/>
    </row>
    <row r="377" spans="2:6">
      <c r="B377" s="1735">
        <v>15</v>
      </c>
      <c r="C377" s="2178" t="s">
        <v>288</v>
      </c>
      <c r="D377" s="780">
        <v>599078</v>
      </c>
      <c r="E377" s="293"/>
      <c r="F377" s="293"/>
    </row>
    <row r="378" spans="2:6">
      <c r="B378" s="1735">
        <v>16</v>
      </c>
      <c r="C378" s="2178" t="s">
        <v>289</v>
      </c>
      <c r="D378" s="780">
        <v>1106606</v>
      </c>
      <c r="E378" s="293"/>
      <c r="F378" s="293"/>
    </row>
    <row r="379" spans="2:6">
      <c r="B379" s="1735">
        <v>17</v>
      </c>
      <c r="C379" s="2178" t="s">
        <v>290</v>
      </c>
      <c r="D379" s="780">
        <v>302844</v>
      </c>
      <c r="E379" s="293"/>
      <c r="F379" s="293"/>
    </row>
    <row r="380" spans="2:6">
      <c r="B380" s="1735">
        <v>18</v>
      </c>
      <c r="C380" s="2178" t="s">
        <v>291</v>
      </c>
      <c r="D380" s="780">
        <v>163619</v>
      </c>
      <c r="E380" s="293"/>
      <c r="F380" s="293"/>
    </row>
    <row r="381" spans="2:6" ht="13.5" thickBot="1">
      <c r="B381" s="1735">
        <v>19</v>
      </c>
      <c r="C381" s="2575" t="s">
        <v>292</v>
      </c>
      <c r="D381" s="789">
        <v>317589</v>
      </c>
      <c r="E381" s="293"/>
      <c r="F381" s="293"/>
    </row>
    <row r="382" spans="2:6" ht="26.25" thickBot="1">
      <c r="B382" s="1686">
        <v>20</v>
      </c>
      <c r="C382" s="1726" t="s">
        <v>293</v>
      </c>
      <c r="D382" s="1714">
        <v>6855077</v>
      </c>
      <c r="E382" s="293"/>
      <c r="F382" s="293"/>
    </row>
    <row r="383" spans="2:6">
      <c r="B383" s="1674"/>
      <c r="C383" s="2586" t="s">
        <v>294</v>
      </c>
      <c r="D383" s="791"/>
      <c r="E383" s="293"/>
      <c r="F383" s="293"/>
    </row>
    <row r="384" spans="2:6">
      <c r="B384" s="1674"/>
      <c r="C384" s="2586" t="s">
        <v>295</v>
      </c>
      <c r="D384" s="791"/>
      <c r="E384" s="293"/>
      <c r="F384" s="293"/>
    </row>
    <row r="385" spans="2:7">
      <c r="B385" s="1674">
        <v>21</v>
      </c>
      <c r="C385" s="2178" t="s">
        <v>296</v>
      </c>
      <c r="D385" s="780">
        <v>3309150</v>
      </c>
      <c r="E385" s="293"/>
      <c r="F385" s="293"/>
    </row>
    <row r="386" spans="2:7">
      <c r="B386" s="1674">
        <v>22</v>
      </c>
      <c r="C386" s="2178" t="s">
        <v>297</v>
      </c>
      <c r="D386" s="780">
        <v>103709</v>
      </c>
      <c r="E386" s="293"/>
      <c r="F386" s="293"/>
    </row>
    <row r="387" spans="2:7">
      <c r="B387" s="1674">
        <v>23</v>
      </c>
      <c r="C387" s="2178" t="s">
        <v>298</v>
      </c>
      <c r="D387" s="780">
        <v>409189</v>
      </c>
      <c r="E387" s="293"/>
      <c r="F387" s="293"/>
    </row>
    <row r="388" spans="2:7">
      <c r="B388" s="1674">
        <v>24</v>
      </c>
      <c r="C388" s="2178" t="s">
        <v>299</v>
      </c>
      <c r="D388" s="808"/>
      <c r="E388" s="293"/>
      <c r="F388" s="293"/>
    </row>
    <row r="389" spans="2:7">
      <c r="B389" s="1674">
        <v>25</v>
      </c>
      <c r="C389" s="2558" t="s">
        <v>300</v>
      </c>
      <c r="D389" s="808"/>
      <c r="E389" s="293"/>
      <c r="F389" s="293"/>
    </row>
    <row r="390" spans="2:7" ht="13.5" thickBot="1">
      <c r="B390" s="1674">
        <v>26</v>
      </c>
      <c r="C390" s="2575" t="s">
        <v>301</v>
      </c>
      <c r="D390" s="789">
        <v>949787</v>
      </c>
      <c r="E390" s="293"/>
      <c r="F390" s="293"/>
    </row>
    <row r="391" spans="2:7" ht="13.5" thickBot="1">
      <c r="B391" s="1677">
        <v>27</v>
      </c>
      <c r="C391" s="1698" t="s">
        <v>302</v>
      </c>
      <c r="D391" s="787">
        <v>4771835</v>
      </c>
      <c r="E391" s="293"/>
      <c r="F391" s="293"/>
    </row>
    <row r="392" spans="2:7">
      <c r="B392" s="1674"/>
      <c r="C392" s="1696" t="s">
        <v>303</v>
      </c>
      <c r="D392" s="791"/>
      <c r="E392" s="293"/>
      <c r="F392" s="293"/>
    </row>
    <row r="393" spans="2:7">
      <c r="B393" s="1674">
        <v>28</v>
      </c>
      <c r="C393" s="2318" t="s">
        <v>304</v>
      </c>
      <c r="D393" s="780">
        <v>1150000</v>
      </c>
      <c r="E393" s="293"/>
      <c r="F393" s="293"/>
    </row>
    <row r="394" spans="2:7">
      <c r="B394" s="1674">
        <v>29</v>
      </c>
      <c r="C394" s="2318" t="s">
        <v>305</v>
      </c>
      <c r="D394" s="780">
        <v>60524</v>
      </c>
      <c r="E394" s="293"/>
      <c r="F394" s="293"/>
    </row>
    <row r="395" spans="2:7">
      <c r="B395" s="1674">
        <v>30</v>
      </c>
      <c r="C395" s="2584" t="s">
        <v>306</v>
      </c>
      <c r="D395" s="808"/>
      <c r="E395" s="293"/>
      <c r="F395" s="293"/>
    </row>
    <row r="396" spans="2:7" ht="13.5" thickBot="1">
      <c r="B396" s="1674">
        <v>31</v>
      </c>
      <c r="C396" s="2584" t="s">
        <v>308</v>
      </c>
      <c r="D396" s="789">
        <v>872718</v>
      </c>
      <c r="E396" s="293"/>
      <c r="F396" s="293"/>
    </row>
    <row r="397" spans="2:7" ht="13.5" thickBot="1">
      <c r="B397" s="1677">
        <v>32</v>
      </c>
      <c r="C397" s="1698" t="s">
        <v>309</v>
      </c>
      <c r="D397" s="787">
        <v>2083242</v>
      </c>
      <c r="E397" s="293"/>
      <c r="F397" s="293"/>
    </row>
    <row r="398" spans="2:7" ht="26.25" thickBot="1">
      <c r="B398" s="1689">
        <v>33</v>
      </c>
      <c r="C398" s="1726" t="s">
        <v>310</v>
      </c>
      <c r="D398" s="1715">
        <v>6855077</v>
      </c>
      <c r="E398" s="293"/>
      <c r="F398" s="293"/>
    </row>
    <row r="399" spans="2:7">
      <c r="B399" s="274"/>
      <c r="C399" s="391"/>
      <c r="D399" s="383"/>
      <c r="E399" s="293"/>
      <c r="F399" s="293"/>
    </row>
    <row r="400" spans="2:7">
      <c r="B400" s="274"/>
      <c r="C400" s="391"/>
      <c r="D400" s="383"/>
      <c r="E400" s="293"/>
      <c r="F400" s="293"/>
      <c r="G400" s="292">
        <v>103</v>
      </c>
    </row>
    <row r="401" spans="2:7">
      <c r="B401" s="274"/>
      <c r="C401" s="391"/>
      <c r="D401" s="383"/>
      <c r="E401" s="293"/>
      <c r="F401" s="293"/>
    </row>
    <row r="402" spans="2:7" ht="14.25">
      <c r="B402" s="3593" t="s">
        <v>409</v>
      </c>
      <c r="C402" s="3594"/>
      <c r="D402" s="3594"/>
      <c r="E402" s="3594"/>
      <c r="F402" s="3594"/>
      <c r="G402" s="3594"/>
    </row>
    <row r="403" spans="2:7" ht="13.5" thickBot="1">
      <c r="B403" s="51" t="s">
        <v>408</v>
      </c>
      <c r="C403" s="51"/>
      <c r="D403" s="51"/>
      <c r="E403" s="51"/>
      <c r="F403" s="51"/>
      <c r="G403" s="51"/>
    </row>
    <row r="404" spans="2:7" ht="13.5" thickBot="1">
      <c r="B404" s="3582" t="s">
        <v>108</v>
      </c>
      <c r="C404" s="3583"/>
      <c r="D404" s="425"/>
      <c r="E404" s="396"/>
      <c r="F404" s="396"/>
    </row>
    <row r="405" spans="2:7">
      <c r="B405" s="3518" t="s">
        <v>372</v>
      </c>
      <c r="C405" s="3595"/>
      <c r="D405" s="3518" t="s">
        <v>391</v>
      </c>
      <c r="E405" s="274"/>
      <c r="F405" s="274"/>
    </row>
    <row r="406" spans="2:7">
      <c r="B406" s="3520"/>
      <c r="C406" s="3591"/>
      <c r="D406" s="3520"/>
      <c r="E406" s="443"/>
      <c r="F406" s="443"/>
    </row>
    <row r="407" spans="2:7">
      <c r="B407" s="3519"/>
      <c r="C407" s="3592"/>
      <c r="D407" s="3519"/>
      <c r="E407" s="443"/>
      <c r="F407" s="443"/>
    </row>
    <row r="408" spans="2:7" ht="14.25">
      <c r="B408" s="1674"/>
      <c r="C408" s="1681" t="s">
        <v>269</v>
      </c>
      <c r="D408" s="2609"/>
      <c r="E408" s="293"/>
      <c r="F408" s="293"/>
    </row>
    <row r="409" spans="2:7">
      <c r="B409" s="1735">
        <v>1</v>
      </c>
      <c r="C409" s="2318" t="s">
        <v>270</v>
      </c>
      <c r="D409" s="791"/>
      <c r="E409" s="293"/>
      <c r="F409" s="293"/>
    </row>
    <row r="410" spans="2:7">
      <c r="B410" s="1735">
        <v>2</v>
      </c>
      <c r="C410" s="2318" t="s">
        <v>271</v>
      </c>
      <c r="D410" s="792">
        <v>25812</v>
      </c>
      <c r="E410" s="293"/>
      <c r="F410" s="293"/>
    </row>
    <row r="411" spans="2:7">
      <c r="B411" s="1735">
        <v>3</v>
      </c>
      <c r="C411" s="2318" t="s">
        <v>272</v>
      </c>
      <c r="D411" s="791"/>
      <c r="E411" s="293"/>
      <c r="F411" s="293"/>
    </row>
    <row r="412" spans="2:7">
      <c r="B412" s="1735">
        <v>4</v>
      </c>
      <c r="C412" s="2594" t="s">
        <v>406</v>
      </c>
      <c r="D412" s="792">
        <v>213932</v>
      </c>
      <c r="E412" s="293"/>
      <c r="F412" s="293"/>
    </row>
    <row r="413" spans="2:7">
      <c r="B413" s="1735">
        <v>5</v>
      </c>
      <c r="C413" s="2318" t="s">
        <v>274</v>
      </c>
      <c r="D413" s="792">
        <v>57490</v>
      </c>
      <c r="E413" s="293"/>
      <c r="F413" s="293"/>
    </row>
    <row r="414" spans="2:7">
      <c r="B414" s="1735">
        <v>6</v>
      </c>
      <c r="C414" s="2318" t="s">
        <v>275</v>
      </c>
      <c r="D414" s="791"/>
      <c r="E414" s="293"/>
      <c r="F414" s="293"/>
    </row>
    <row r="415" spans="2:7">
      <c r="B415" s="1735">
        <v>7</v>
      </c>
      <c r="C415" s="2318" t="s">
        <v>276</v>
      </c>
      <c r="D415" s="791"/>
      <c r="E415" s="293"/>
      <c r="F415" s="293"/>
    </row>
    <row r="416" spans="2:7">
      <c r="B416" s="1735"/>
      <c r="C416" s="2558" t="s">
        <v>393</v>
      </c>
      <c r="D416" s="791"/>
      <c r="E416" s="293"/>
      <c r="F416" s="293"/>
    </row>
    <row r="417" spans="2:6">
      <c r="B417" s="1735"/>
      <c r="C417" s="2558" t="s">
        <v>394</v>
      </c>
      <c r="D417" s="791"/>
      <c r="E417" s="293"/>
      <c r="F417" s="293"/>
    </row>
    <row r="418" spans="2:6">
      <c r="B418" s="1735">
        <v>8</v>
      </c>
      <c r="C418" s="2318" t="s">
        <v>279</v>
      </c>
      <c r="D418" s="791"/>
      <c r="E418" s="293"/>
      <c r="F418" s="293"/>
    </row>
    <row r="419" spans="2:6">
      <c r="B419" s="1735"/>
      <c r="C419" s="2558" t="s">
        <v>395</v>
      </c>
      <c r="D419" s="791"/>
      <c r="E419" s="293"/>
      <c r="F419" s="293"/>
    </row>
    <row r="420" spans="2:6">
      <c r="B420" s="1735"/>
      <c r="C420" s="2558" t="s">
        <v>396</v>
      </c>
      <c r="D420" s="791"/>
      <c r="E420" s="293"/>
      <c r="F420" s="293"/>
    </row>
    <row r="421" spans="2:6">
      <c r="B421" s="2596">
        <v>9</v>
      </c>
      <c r="C421" s="2562" t="s">
        <v>282</v>
      </c>
      <c r="D421" s="793">
        <v>6784607</v>
      </c>
      <c r="E421" s="293"/>
      <c r="F421" s="293"/>
    </row>
    <row r="422" spans="2:6">
      <c r="B422" s="1735">
        <v>10</v>
      </c>
      <c r="C422" s="2558" t="s">
        <v>283</v>
      </c>
      <c r="D422" s="791"/>
      <c r="E422" s="293"/>
      <c r="F422" s="293"/>
    </row>
    <row r="423" spans="2:6">
      <c r="B423" s="1735">
        <v>11</v>
      </c>
      <c r="C423" s="2558" t="s">
        <v>284</v>
      </c>
      <c r="D423" s="792">
        <v>1472797</v>
      </c>
      <c r="E423" s="293"/>
      <c r="F423" s="293"/>
    </row>
    <row r="424" spans="2:6">
      <c r="B424" s="1735">
        <v>12</v>
      </c>
      <c r="C424" s="2558" t="s">
        <v>285</v>
      </c>
      <c r="D424" s="792">
        <v>4423563</v>
      </c>
      <c r="E424" s="293"/>
      <c r="F424" s="293"/>
    </row>
    <row r="425" spans="2:6" ht="25.5">
      <c r="B425" s="1735">
        <v>13</v>
      </c>
      <c r="C425" s="2558" t="s">
        <v>286</v>
      </c>
      <c r="D425" s="792">
        <v>888247</v>
      </c>
      <c r="E425" s="293"/>
      <c r="F425" s="293"/>
    </row>
    <row r="426" spans="2:6">
      <c r="B426" s="1735">
        <v>14</v>
      </c>
      <c r="C426" s="2178" t="s">
        <v>287</v>
      </c>
      <c r="D426" s="791"/>
      <c r="E426" s="293"/>
      <c r="F426" s="293"/>
    </row>
    <row r="427" spans="2:6">
      <c r="B427" s="1735">
        <v>15</v>
      </c>
      <c r="C427" s="2178" t="s">
        <v>288</v>
      </c>
      <c r="D427" s="792">
        <v>1311769</v>
      </c>
      <c r="E427" s="293"/>
      <c r="F427" s="293"/>
    </row>
    <row r="428" spans="2:6">
      <c r="B428" s="1735">
        <v>16</v>
      </c>
      <c r="C428" s="2178" t="s">
        <v>289</v>
      </c>
      <c r="D428" s="792">
        <v>1136580</v>
      </c>
      <c r="E428" s="293"/>
      <c r="F428" s="293"/>
    </row>
    <row r="429" spans="2:6">
      <c r="B429" s="1735">
        <v>17</v>
      </c>
      <c r="C429" s="2178" t="s">
        <v>290</v>
      </c>
      <c r="D429" s="792">
        <v>82279</v>
      </c>
      <c r="E429" s="293"/>
      <c r="F429" s="293"/>
    </row>
    <row r="430" spans="2:6">
      <c r="B430" s="1735">
        <v>18</v>
      </c>
      <c r="C430" s="2178" t="s">
        <v>291</v>
      </c>
      <c r="D430" s="792">
        <v>172420</v>
      </c>
      <c r="E430" s="293"/>
      <c r="F430" s="293"/>
    </row>
    <row r="431" spans="2:6" ht="13.5" thickBot="1">
      <c r="B431" s="1735">
        <v>19</v>
      </c>
      <c r="C431" s="2575" t="s">
        <v>292</v>
      </c>
      <c r="D431" s="794">
        <v>106390</v>
      </c>
      <c r="E431" s="293"/>
      <c r="F431" s="293"/>
    </row>
    <row r="432" spans="2:6" ht="26.25" thickBot="1">
      <c r="B432" s="1686">
        <v>20</v>
      </c>
      <c r="C432" s="1726" t="s">
        <v>293</v>
      </c>
      <c r="D432" s="1706">
        <v>9891278</v>
      </c>
      <c r="E432" s="293"/>
      <c r="F432" s="293"/>
    </row>
    <row r="433" spans="2:6">
      <c r="B433" s="1674"/>
      <c r="C433" s="2586" t="s">
        <v>294</v>
      </c>
      <c r="D433" s="791"/>
      <c r="E433" s="293"/>
      <c r="F433" s="293"/>
    </row>
    <row r="434" spans="2:6">
      <c r="B434" s="1674"/>
      <c r="C434" s="2586" t="s">
        <v>295</v>
      </c>
      <c r="D434" s="791"/>
      <c r="E434" s="293"/>
      <c r="F434" s="293"/>
    </row>
    <row r="435" spans="2:6">
      <c r="B435" s="1674">
        <v>21</v>
      </c>
      <c r="C435" s="2178" t="s">
        <v>296</v>
      </c>
      <c r="D435" s="792">
        <v>4995773</v>
      </c>
      <c r="E435" s="293"/>
      <c r="F435" s="293"/>
    </row>
    <row r="436" spans="2:6">
      <c r="B436" s="1674">
        <v>22</v>
      </c>
      <c r="C436" s="2178" t="s">
        <v>297</v>
      </c>
      <c r="D436" s="792">
        <v>46367</v>
      </c>
      <c r="E436" s="293"/>
      <c r="F436" s="293"/>
    </row>
    <row r="437" spans="2:6">
      <c r="B437" s="1674">
        <v>23</v>
      </c>
      <c r="C437" s="2178" t="s">
        <v>298</v>
      </c>
      <c r="D437" s="792">
        <v>555941</v>
      </c>
      <c r="E437" s="293"/>
      <c r="F437" s="293"/>
    </row>
    <row r="438" spans="2:6">
      <c r="B438" s="1674">
        <v>24</v>
      </c>
      <c r="C438" s="2178" t="s">
        <v>299</v>
      </c>
      <c r="D438" s="792">
        <v>133787</v>
      </c>
      <c r="E438" s="293"/>
      <c r="F438" s="293"/>
    </row>
    <row r="439" spans="2:6">
      <c r="B439" s="1674">
        <v>25</v>
      </c>
      <c r="C439" s="2558" t="s">
        <v>300</v>
      </c>
      <c r="D439" s="791"/>
      <c r="E439" s="293"/>
      <c r="F439" s="293"/>
    </row>
    <row r="440" spans="2:6" ht="13.5" thickBot="1">
      <c r="B440" s="1674">
        <v>26</v>
      </c>
      <c r="C440" s="2575" t="s">
        <v>301</v>
      </c>
      <c r="D440" s="794">
        <v>1095870</v>
      </c>
      <c r="E440" s="293"/>
      <c r="F440" s="293"/>
    </row>
    <row r="441" spans="2:6" ht="13.5" thickBot="1">
      <c r="B441" s="1677">
        <v>27</v>
      </c>
      <c r="C441" s="1698" t="s">
        <v>302</v>
      </c>
      <c r="D441" s="795">
        <v>6827738</v>
      </c>
      <c r="E441" s="293"/>
      <c r="F441" s="293"/>
    </row>
    <row r="442" spans="2:6">
      <c r="B442" s="1674"/>
      <c r="C442" s="1696" t="s">
        <v>303</v>
      </c>
      <c r="D442" s="791"/>
      <c r="E442" s="293"/>
      <c r="F442" s="293"/>
    </row>
    <row r="443" spans="2:6">
      <c r="B443" s="1674">
        <v>28</v>
      </c>
      <c r="C443" s="2318" t="s">
        <v>304</v>
      </c>
      <c r="D443" s="2610">
        <v>700000</v>
      </c>
      <c r="E443" s="530"/>
      <c r="F443" s="530"/>
    </row>
    <row r="444" spans="2:6">
      <c r="B444" s="1674">
        <v>29</v>
      </c>
      <c r="C444" s="2318" t="s">
        <v>305</v>
      </c>
      <c r="D444" s="2611">
        <v>73396</v>
      </c>
      <c r="E444" s="293"/>
      <c r="F444" s="293"/>
    </row>
    <row r="445" spans="2:6">
      <c r="B445" s="1674">
        <v>30</v>
      </c>
      <c r="C445" s="2584" t="s">
        <v>306</v>
      </c>
      <c r="D445" s="791"/>
      <c r="E445" s="293"/>
      <c r="F445" s="293"/>
    </row>
    <row r="446" spans="2:6" ht="13.5" thickBot="1">
      <c r="B446" s="1674">
        <v>31</v>
      </c>
      <c r="C446" s="2584" t="s">
        <v>308</v>
      </c>
      <c r="D446" s="794">
        <v>2290143</v>
      </c>
      <c r="E446" s="293"/>
      <c r="F446" s="293"/>
    </row>
    <row r="447" spans="2:6" ht="13.5" thickBot="1">
      <c r="B447" s="1677">
        <v>32</v>
      </c>
      <c r="C447" s="1698" t="s">
        <v>309</v>
      </c>
      <c r="D447" s="795">
        <v>3063539</v>
      </c>
      <c r="E447" s="293"/>
      <c r="F447" s="293"/>
    </row>
    <row r="448" spans="2:6" ht="26.25" thickBot="1">
      <c r="B448" s="1689">
        <v>33</v>
      </c>
      <c r="C448" s="1726" t="s">
        <v>310</v>
      </c>
      <c r="D448" s="1711">
        <v>9891278</v>
      </c>
      <c r="E448" s="293"/>
      <c r="F448" s="293"/>
    </row>
    <row r="449" spans="2:7">
      <c r="B449" s="274"/>
      <c r="C449" s="391"/>
      <c r="D449" s="383"/>
      <c r="E449" s="293"/>
      <c r="F449" s="293"/>
    </row>
    <row r="450" spans="2:7">
      <c r="B450" s="274"/>
      <c r="C450" s="391"/>
      <c r="D450" s="383"/>
      <c r="E450" s="293"/>
      <c r="F450" s="293"/>
      <c r="G450" s="292">
        <v>104</v>
      </c>
    </row>
    <row r="451" spans="2:7">
      <c r="B451" s="274"/>
      <c r="C451" s="391"/>
      <c r="D451" s="383"/>
      <c r="E451" s="293"/>
      <c r="F451" s="293"/>
    </row>
    <row r="452" spans="2:7" ht="14.25">
      <c r="B452" s="3593" t="s">
        <v>407</v>
      </c>
      <c r="C452" s="3594"/>
      <c r="D452" s="3594"/>
      <c r="E452" s="3594"/>
      <c r="F452" s="3594"/>
      <c r="G452" s="3594"/>
    </row>
    <row r="453" spans="2:7" ht="13.5" thickBot="1">
      <c r="B453" s="51" t="s">
        <v>408</v>
      </c>
      <c r="C453" s="51"/>
      <c r="D453" s="51"/>
      <c r="E453" s="51"/>
      <c r="F453" s="51"/>
      <c r="G453" s="51"/>
    </row>
    <row r="454" spans="2:7" ht="13.5" thickBot="1">
      <c r="B454" s="3582" t="s">
        <v>109</v>
      </c>
      <c r="C454" s="3583"/>
      <c r="D454" s="425"/>
      <c r="E454" s="396"/>
      <c r="F454" s="396"/>
    </row>
    <row r="455" spans="2:7">
      <c r="B455" s="3520" t="s">
        <v>372</v>
      </c>
      <c r="C455" s="3585"/>
      <c r="D455" s="3518" t="s">
        <v>391</v>
      </c>
      <c r="E455" s="274"/>
      <c r="F455" s="274"/>
    </row>
    <row r="456" spans="2:7">
      <c r="B456" s="3520"/>
      <c r="C456" s="3585"/>
      <c r="D456" s="3520"/>
      <c r="E456" s="443"/>
      <c r="F456" s="443"/>
    </row>
    <row r="457" spans="2:7">
      <c r="B457" s="3519"/>
      <c r="C457" s="3586"/>
      <c r="D457" s="3519"/>
      <c r="E457" s="443"/>
      <c r="F457" s="443"/>
    </row>
    <row r="458" spans="2:7" ht="14.25">
      <c r="B458" s="1674"/>
      <c r="C458" s="1681" t="s">
        <v>269</v>
      </c>
      <c r="D458" s="759"/>
      <c r="E458" s="293"/>
      <c r="F458" s="293"/>
    </row>
    <row r="459" spans="2:7">
      <c r="B459" s="1735">
        <v>1</v>
      </c>
      <c r="C459" s="2318" t="s">
        <v>270</v>
      </c>
      <c r="D459" s="791"/>
      <c r="E459" s="293"/>
      <c r="F459" s="293"/>
    </row>
    <row r="460" spans="2:7">
      <c r="B460" s="1735">
        <v>2</v>
      </c>
      <c r="C460" s="2318" t="s">
        <v>271</v>
      </c>
      <c r="D460" s="780">
        <v>2388</v>
      </c>
      <c r="E460" s="293"/>
      <c r="F460" s="293"/>
    </row>
    <row r="461" spans="2:7">
      <c r="B461" s="1735">
        <v>3</v>
      </c>
      <c r="C461" s="2318" t="s">
        <v>272</v>
      </c>
      <c r="D461" s="808"/>
      <c r="E461" s="293"/>
      <c r="F461" s="293"/>
    </row>
    <row r="462" spans="2:7">
      <c r="B462" s="1735">
        <v>4</v>
      </c>
      <c r="C462" s="2594" t="s">
        <v>406</v>
      </c>
      <c r="D462" s="808"/>
      <c r="E462" s="293"/>
      <c r="F462" s="293"/>
    </row>
    <row r="463" spans="2:7">
      <c r="B463" s="1735">
        <v>5</v>
      </c>
      <c r="C463" s="2318" t="s">
        <v>274</v>
      </c>
      <c r="D463" s="780">
        <v>10227</v>
      </c>
      <c r="E463" s="293"/>
      <c r="F463" s="293"/>
    </row>
    <row r="464" spans="2:7">
      <c r="B464" s="1735">
        <v>6</v>
      </c>
      <c r="C464" s="2318" t="s">
        <v>275</v>
      </c>
      <c r="D464" s="791"/>
      <c r="E464" s="293"/>
      <c r="F464" s="293"/>
    </row>
    <row r="465" spans="2:6">
      <c r="B465" s="1735">
        <v>7</v>
      </c>
      <c r="C465" s="2318" t="s">
        <v>276</v>
      </c>
      <c r="D465" s="791"/>
      <c r="E465" s="293"/>
      <c r="F465" s="293"/>
    </row>
    <row r="466" spans="2:6">
      <c r="B466" s="1735"/>
      <c r="C466" s="2558" t="s">
        <v>393</v>
      </c>
      <c r="D466" s="791"/>
      <c r="E466" s="293"/>
      <c r="F466" s="293"/>
    </row>
    <row r="467" spans="2:6">
      <c r="B467" s="1735"/>
      <c r="C467" s="2558" t="s">
        <v>394</v>
      </c>
      <c r="D467" s="791"/>
      <c r="E467" s="293"/>
      <c r="F467" s="293"/>
    </row>
    <row r="468" spans="2:6">
      <c r="B468" s="1735">
        <v>8</v>
      </c>
      <c r="C468" s="2318" t="s">
        <v>279</v>
      </c>
      <c r="D468" s="791"/>
      <c r="E468" s="293"/>
      <c r="F468" s="293"/>
    </row>
    <row r="469" spans="2:6">
      <c r="B469" s="1735"/>
      <c r="C469" s="2558" t="s">
        <v>395</v>
      </c>
      <c r="D469" s="791"/>
      <c r="E469" s="293"/>
      <c r="F469" s="293"/>
    </row>
    <row r="470" spans="2:6">
      <c r="B470" s="1735"/>
      <c r="C470" s="2558" t="s">
        <v>396</v>
      </c>
      <c r="D470" s="791"/>
      <c r="E470" s="293"/>
      <c r="F470" s="293"/>
    </row>
    <row r="471" spans="2:6">
      <c r="B471" s="2596">
        <v>9</v>
      </c>
      <c r="C471" s="2562" t="s">
        <v>282</v>
      </c>
      <c r="D471" s="793">
        <v>1187011</v>
      </c>
      <c r="E471" s="293"/>
      <c r="F471" s="293"/>
    </row>
    <row r="472" spans="2:6">
      <c r="B472" s="1735">
        <v>10</v>
      </c>
      <c r="C472" s="2558" t="s">
        <v>283</v>
      </c>
      <c r="D472" s="791"/>
      <c r="E472" s="293"/>
      <c r="F472" s="293"/>
    </row>
    <row r="473" spans="2:6">
      <c r="B473" s="1735">
        <v>11</v>
      </c>
      <c r="C473" s="2558" t="s">
        <v>284</v>
      </c>
      <c r="D473" s="780">
        <v>1047848</v>
      </c>
      <c r="E473" s="293"/>
      <c r="F473" s="293"/>
    </row>
    <row r="474" spans="2:6">
      <c r="B474" s="1735">
        <v>12</v>
      </c>
      <c r="C474" s="2558" t="s">
        <v>285</v>
      </c>
      <c r="D474" s="780">
        <v>128847</v>
      </c>
      <c r="E474" s="293"/>
      <c r="F474" s="293"/>
    </row>
    <row r="475" spans="2:6" ht="25.5">
      <c r="B475" s="1735">
        <v>13</v>
      </c>
      <c r="C475" s="2558" t="s">
        <v>286</v>
      </c>
      <c r="D475" s="780">
        <v>10316</v>
      </c>
      <c r="E475" s="293"/>
      <c r="F475" s="293"/>
    </row>
    <row r="476" spans="2:6">
      <c r="B476" s="1735">
        <v>14</v>
      </c>
      <c r="C476" s="2178" t="s">
        <v>287</v>
      </c>
      <c r="D476" s="808"/>
      <c r="E476" s="293"/>
      <c r="F476" s="293"/>
    </row>
    <row r="477" spans="2:6">
      <c r="B477" s="1735">
        <v>15</v>
      </c>
      <c r="C477" s="2178" t="s">
        <v>288</v>
      </c>
      <c r="D477" s="780">
        <v>19154</v>
      </c>
      <c r="E477" s="293"/>
      <c r="F477" s="293"/>
    </row>
    <row r="478" spans="2:6">
      <c r="B478" s="1735">
        <v>16</v>
      </c>
      <c r="C478" s="2178" t="s">
        <v>289</v>
      </c>
      <c r="D478" s="780">
        <v>84817</v>
      </c>
      <c r="E478" s="293"/>
      <c r="F478" s="293"/>
    </row>
    <row r="479" spans="2:6">
      <c r="B479" s="1735">
        <v>17</v>
      </c>
      <c r="C479" s="2178" t="s">
        <v>290</v>
      </c>
      <c r="D479" s="780">
        <v>99847</v>
      </c>
      <c r="E479" s="293"/>
      <c r="F479" s="293"/>
    </row>
    <row r="480" spans="2:6">
      <c r="B480" s="1735">
        <v>18</v>
      </c>
      <c r="C480" s="2178" t="s">
        <v>291</v>
      </c>
      <c r="D480" s="780">
        <v>9161</v>
      </c>
      <c r="E480" s="293"/>
      <c r="F480" s="293"/>
    </row>
    <row r="481" spans="2:6" ht="13.5" thickBot="1">
      <c r="B481" s="1735">
        <v>19</v>
      </c>
      <c r="C481" s="2575" t="s">
        <v>292</v>
      </c>
      <c r="D481" s="789">
        <v>13580</v>
      </c>
      <c r="E481" s="293"/>
      <c r="F481" s="293"/>
    </row>
    <row r="482" spans="2:6" ht="26.25" thickBot="1">
      <c r="B482" s="1686">
        <v>20</v>
      </c>
      <c r="C482" s="1726" t="s">
        <v>293</v>
      </c>
      <c r="D482" s="1745">
        <v>1426185</v>
      </c>
      <c r="E482" s="293"/>
      <c r="F482" s="293"/>
    </row>
    <row r="483" spans="2:6">
      <c r="B483" s="1674"/>
      <c r="C483" s="2586" t="s">
        <v>294</v>
      </c>
      <c r="D483" s="791"/>
      <c r="E483" s="293"/>
      <c r="F483" s="293"/>
    </row>
    <row r="484" spans="2:6">
      <c r="B484" s="1674"/>
      <c r="C484" s="2586" t="s">
        <v>295</v>
      </c>
      <c r="D484" s="791"/>
      <c r="E484" s="293"/>
      <c r="F484" s="293"/>
    </row>
    <row r="485" spans="2:6">
      <c r="B485" s="1674">
        <v>21</v>
      </c>
      <c r="C485" s="2178" t="s">
        <v>296</v>
      </c>
      <c r="D485" s="780">
        <v>382201</v>
      </c>
      <c r="E485" s="293"/>
      <c r="F485" s="293"/>
    </row>
    <row r="486" spans="2:6">
      <c r="B486" s="1674">
        <v>22</v>
      </c>
      <c r="C486" s="2178" t="s">
        <v>297</v>
      </c>
      <c r="D486" s="780">
        <v>10864</v>
      </c>
      <c r="E486" s="293"/>
      <c r="F486" s="293"/>
    </row>
    <row r="487" spans="2:6">
      <c r="B487" s="1674">
        <v>23</v>
      </c>
      <c r="C487" s="2178" t="s">
        <v>298</v>
      </c>
      <c r="D487" s="780">
        <v>49642</v>
      </c>
      <c r="E487" s="293"/>
      <c r="F487" s="293"/>
    </row>
    <row r="488" spans="2:6">
      <c r="B488" s="1674">
        <v>24</v>
      </c>
      <c r="C488" s="2178" t="s">
        <v>299</v>
      </c>
      <c r="D488" s="808"/>
      <c r="E488" s="293"/>
      <c r="F488" s="293"/>
    </row>
    <row r="489" spans="2:6">
      <c r="B489" s="1674">
        <v>25</v>
      </c>
      <c r="C489" s="2558" t="s">
        <v>300</v>
      </c>
      <c r="D489" s="808"/>
      <c r="E489" s="293"/>
      <c r="F489" s="293"/>
    </row>
    <row r="490" spans="2:6" ht="13.5" thickBot="1">
      <c r="B490" s="1674">
        <v>26</v>
      </c>
      <c r="C490" s="2575" t="s">
        <v>301</v>
      </c>
      <c r="D490" s="789">
        <v>422621</v>
      </c>
      <c r="E490" s="293"/>
      <c r="F490" s="293"/>
    </row>
    <row r="491" spans="2:6" ht="13.5" thickBot="1">
      <c r="B491" s="1677">
        <v>27</v>
      </c>
      <c r="C491" s="1698" t="s">
        <v>302</v>
      </c>
      <c r="D491" s="826">
        <v>865328</v>
      </c>
      <c r="E491" s="293"/>
      <c r="F491" s="293"/>
    </row>
    <row r="492" spans="2:6">
      <c r="B492" s="1674"/>
      <c r="C492" s="1696" t="s">
        <v>303</v>
      </c>
      <c r="D492" s="791"/>
      <c r="E492" s="293"/>
      <c r="F492" s="293"/>
    </row>
    <row r="493" spans="2:6">
      <c r="B493" s="1674">
        <v>28</v>
      </c>
      <c r="C493" s="2318" t="s">
        <v>304</v>
      </c>
      <c r="D493" s="780">
        <v>1880022</v>
      </c>
      <c r="E493" s="293"/>
      <c r="F493" s="293"/>
    </row>
    <row r="494" spans="2:6">
      <c r="B494" s="1674">
        <v>29</v>
      </c>
      <c r="C494" s="2318" t="s">
        <v>305</v>
      </c>
      <c r="D494" s="780">
        <v>15074</v>
      </c>
      <c r="E494" s="293"/>
      <c r="F494" s="293"/>
    </row>
    <row r="495" spans="2:6">
      <c r="B495" s="1674">
        <v>30</v>
      </c>
      <c r="C495" s="2584" t="s">
        <v>306</v>
      </c>
      <c r="D495" s="808"/>
      <c r="E495" s="293"/>
      <c r="F495" s="293"/>
    </row>
    <row r="496" spans="2:6" ht="13.5" thickBot="1">
      <c r="B496" s="1674">
        <v>31</v>
      </c>
      <c r="C496" s="2584" t="s">
        <v>308</v>
      </c>
      <c r="D496" s="789">
        <v>-1334239</v>
      </c>
      <c r="E496" s="293"/>
      <c r="F496" s="293"/>
    </row>
    <row r="497" spans="2:11" ht="13.5" thickBot="1">
      <c r="B497" s="1677">
        <v>32</v>
      </c>
      <c r="C497" s="1698" t="s">
        <v>309</v>
      </c>
      <c r="D497" s="826">
        <v>560857</v>
      </c>
      <c r="E497" s="293"/>
      <c r="F497" s="293"/>
    </row>
    <row r="498" spans="2:11" ht="26.25" thickBot="1">
      <c r="B498" s="1689">
        <v>33</v>
      </c>
      <c r="C498" s="1726" t="s">
        <v>310</v>
      </c>
      <c r="D498" s="1743">
        <v>1426185</v>
      </c>
      <c r="E498" s="293"/>
      <c r="F498" s="293"/>
    </row>
    <row r="499" spans="2:11">
      <c r="B499" s="274"/>
      <c r="C499" s="391"/>
      <c r="D499" s="383"/>
      <c r="E499" s="293"/>
      <c r="F499" s="293"/>
    </row>
    <row r="500" spans="2:11">
      <c r="B500" s="274"/>
      <c r="C500" s="391"/>
      <c r="D500" s="383"/>
      <c r="E500" s="293"/>
      <c r="F500" s="293"/>
      <c r="G500" s="292">
        <v>105</v>
      </c>
    </row>
    <row r="501" spans="2:11">
      <c r="B501" s="274"/>
      <c r="C501" s="391"/>
      <c r="D501" s="383"/>
      <c r="E501" s="293"/>
      <c r="F501" s="293"/>
    </row>
    <row r="502" spans="2:11" ht="14.25">
      <c r="B502" s="3593" t="s">
        <v>407</v>
      </c>
      <c r="C502" s="3594"/>
      <c r="D502" s="3594"/>
      <c r="E502" s="3594"/>
      <c r="F502" s="3594"/>
      <c r="G502" s="3594"/>
    </row>
    <row r="503" spans="2:11" ht="13.5" thickBot="1">
      <c r="B503" s="51" t="s">
        <v>408</v>
      </c>
      <c r="C503" s="51"/>
      <c r="D503" s="51"/>
      <c r="E503" s="51"/>
      <c r="F503" s="51"/>
      <c r="G503" s="51"/>
    </row>
    <row r="504" spans="2:11" ht="13.5" thickBot="1">
      <c r="B504" s="3582" t="s">
        <v>110</v>
      </c>
      <c r="C504" s="3583"/>
      <c r="D504" s="396"/>
      <c r="E504" s="396"/>
      <c r="F504" s="553"/>
      <c r="G504" s="535" t="s">
        <v>232</v>
      </c>
    </row>
    <row r="505" spans="2:11">
      <c r="B505" s="3518" t="s">
        <v>372</v>
      </c>
      <c r="C505" s="3595"/>
      <c r="D505" s="3518" t="s">
        <v>373</v>
      </c>
      <c r="E505" s="3546" t="s">
        <v>399</v>
      </c>
      <c r="F505" s="3518" t="s">
        <v>400</v>
      </c>
      <c r="G505" s="3551" t="s">
        <v>401</v>
      </c>
    </row>
    <row r="506" spans="2:11">
      <c r="B506" s="3520"/>
      <c r="C506" s="3591"/>
      <c r="D506" s="3520"/>
      <c r="E506" s="3600"/>
      <c r="F506" s="3520"/>
      <c r="G506" s="3552"/>
    </row>
    <row r="507" spans="2:11" ht="13.5" thickBot="1">
      <c r="B507" s="3519"/>
      <c r="C507" s="3592"/>
      <c r="D507" s="3519"/>
      <c r="E507" s="3554"/>
      <c r="F507" s="3519"/>
      <c r="G507" s="3553"/>
    </row>
    <row r="508" spans="2:11" ht="14.25">
      <c r="B508" s="1674"/>
      <c r="C508" s="1681" t="s">
        <v>269</v>
      </c>
      <c r="D508" s="827"/>
      <c r="E508" s="761"/>
      <c r="F508" s="1701"/>
      <c r="G508" s="760"/>
    </row>
    <row r="509" spans="2:11">
      <c r="B509" s="1735">
        <v>1</v>
      </c>
      <c r="C509" s="2587" t="s">
        <v>270</v>
      </c>
      <c r="D509" s="791"/>
      <c r="E509" s="828"/>
      <c r="F509" s="2591"/>
      <c r="G509" s="810"/>
      <c r="I509" s="846"/>
      <c r="K509" s="554"/>
    </row>
    <row r="510" spans="2:11">
      <c r="B510" s="1735">
        <v>2</v>
      </c>
      <c r="C510" s="2587" t="s">
        <v>271</v>
      </c>
      <c r="D510" s="794">
        <v>5998</v>
      </c>
      <c r="E510" s="533"/>
      <c r="F510" s="2592"/>
      <c r="G510" s="829"/>
      <c r="I510" s="846"/>
      <c r="K510" s="554"/>
    </row>
    <row r="511" spans="2:11">
      <c r="B511" s="1735">
        <v>3</v>
      </c>
      <c r="C511" s="2587" t="s">
        <v>272</v>
      </c>
      <c r="D511" s="830"/>
      <c r="E511" s="831"/>
      <c r="F511" s="1749"/>
      <c r="G511" s="832"/>
      <c r="I511" s="846"/>
      <c r="K511" s="554"/>
    </row>
    <row r="512" spans="2:11">
      <c r="B512" s="1735">
        <v>4</v>
      </c>
      <c r="C512" s="2602" t="s">
        <v>406</v>
      </c>
      <c r="D512" s="792">
        <v>4795</v>
      </c>
      <c r="E512" s="833">
        <v>89717</v>
      </c>
      <c r="F512" s="1701"/>
      <c r="G512" s="810"/>
      <c r="I512" s="846"/>
      <c r="K512" s="554"/>
    </row>
    <row r="513" spans="2:11">
      <c r="B513" s="1735">
        <v>5</v>
      </c>
      <c r="C513" s="2587" t="s">
        <v>274</v>
      </c>
      <c r="D513" s="792">
        <v>26189</v>
      </c>
      <c r="E513" s="2612">
        <v>16037</v>
      </c>
      <c r="F513" s="2591"/>
      <c r="G513" s="810"/>
      <c r="I513" s="846"/>
      <c r="K513" s="554"/>
    </row>
    <row r="514" spans="2:11">
      <c r="B514" s="1735">
        <v>6</v>
      </c>
      <c r="C514" s="2587" t="s">
        <v>275</v>
      </c>
      <c r="D514" s="791"/>
      <c r="E514" s="828"/>
      <c r="F514" s="2591">
        <f t="shared" ref="F514:F548" si="12">+D514+E514</f>
        <v>0</v>
      </c>
      <c r="G514" s="810"/>
      <c r="I514" s="846"/>
      <c r="K514" s="554"/>
    </row>
    <row r="515" spans="2:11">
      <c r="B515" s="1735">
        <v>7</v>
      </c>
      <c r="C515" s="2587" t="s">
        <v>276</v>
      </c>
      <c r="D515" s="791"/>
      <c r="E515" s="828"/>
      <c r="F515" s="2591">
        <f t="shared" si="12"/>
        <v>0</v>
      </c>
      <c r="G515" s="810"/>
      <c r="I515" s="846"/>
      <c r="K515" s="554"/>
    </row>
    <row r="516" spans="2:11">
      <c r="B516" s="1735"/>
      <c r="C516" s="2569" t="s">
        <v>393</v>
      </c>
      <c r="D516" s="791"/>
      <c r="E516" s="828"/>
      <c r="F516" s="2591">
        <f t="shared" si="12"/>
        <v>0</v>
      </c>
      <c r="G516" s="810"/>
      <c r="I516" s="846"/>
      <c r="K516" s="554"/>
    </row>
    <row r="517" spans="2:11">
      <c r="B517" s="1735"/>
      <c r="C517" s="2569" t="s">
        <v>394</v>
      </c>
      <c r="D517" s="791"/>
      <c r="E517" s="828"/>
      <c r="F517" s="2591">
        <f t="shared" si="12"/>
        <v>0</v>
      </c>
      <c r="G517" s="810"/>
      <c r="I517" s="846"/>
      <c r="K517" s="554"/>
    </row>
    <row r="518" spans="2:11">
      <c r="B518" s="1735">
        <v>8</v>
      </c>
      <c r="C518" s="2587" t="s">
        <v>279</v>
      </c>
      <c r="D518" s="791"/>
      <c r="E518" s="828"/>
      <c r="F518" s="2591">
        <f t="shared" si="12"/>
        <v>0</v>
      </c>
      <c r="G518" s="810"/>
      <c r="I518" s="846"/>
      <c r="K518" s="554"/>
    </row>
    <row r="519" spans="2:11">
      <c r="B519" s="1735"/>
      <c r="C519" s="2569" t="s">
        <v>395</v>
      </c>
      <c r="D519" s="791"/>
      <c r="E519" s="828"/>
      <c r="F519" s="2591">
        <f t="shared" si="12"/>
        <v>0</v>
      </c>
      <c r="G519" s="810"/>
      <c r="I519" s="846"/>
      <c r="K519" s="554"/>
    </row>
    <row r="520" spans="2:11">
      <c r="B520" s="1735"/>
      <c r="C520" s="2569" t="s">
        <v>396</v>
      </c>
      <c r="D520" s="791"/>
      <c r="E520" s="828"/>
      <c r="F520" s="2591">
        <f t="shared" si="12"/>
        <v>0</v>
      </c>
      <c r="G520" s="810"/>
      <c r="I520" s="846"/>
      <c r="K520" s="554"/>
    </row>
    <row r="521" spans="2:11">
      <c r="B521" s="2596">
        <v>9</v>
      </c>
      <c r="C521" s="2580" t="s">
        <v>282</v>
      </c>
      <c r="D521" s="793">
        <v>746991</v>
      </c>
      <c r="E521" s="838">
        <v>17160594</v>
      </c>
      <c r="F521" s="2599">
        <f>+D521+E521</f>
        <v>17907585</v>
      </c>
      <c r="G521" s="812">
        <v>2959552</v>
      </c>
      <c r="I521" s="846"/>
      <c r="K521" s="554"/>
    </row>
    <row r="522" spans="2:11">
      <c r="B522" s="1735">
        <v>10</v>
      </c>
      <c r="C522" s="2569" t="s">
        <v>283</v>
      </c>
      <c r="D522" s="791"/>
      <c r="E522" s="834">
        <v>2726226</v>
      </c>
      <c r="F522" s="2591">
        <f>+D522+E522</f>
        <v>2726226</v>
      </c>
      <c r="G522" s="811">
        <v>746552</v>
      </c>
      <c r="I522" s="846"/>
      <c r="K522" s="554"/>
    </row>
    <row r="523" spans="2:11">
      <c r="B523" s="1735">
        <v>11</v>
      </c>
      <c r="C523" s="2569" t="s">
        <v>284</v>
      </c>
      <c r="D523" s="792">
        <v>746991</v>
      </c>
      <c r="E523" s="834">
        <v>27854</v>
      </c>
      <c r="F523" s="2591">
        <f t="shared" si="12"/>
        <v>774845</v>
      </c>
      <c r="G523" s="811">
        <v>1374625</v>
      </c>
      <c r="I523" s="846"/>
      <c r="K523" s="554"/>
    </row>
    <row r="524" spans="2:11">
      <c r="B524" s="1735">
        <v>12</v>
      </c>
      <c r="C524" s="2569" t="s">
        <v>285</v>
      </c>
      <c r="D524" s="791"/>
      <c r="E524" s="834">
        <v>14406514</v>
      </c>
      <c r="F524" s="2591">
        <f t="shared" si="12"/>
        <v>14406514</v>
      </c>
      <c r="G524" s="811">
        <v>838375</v>
      </c>
      <c r="I524" s="846"/>
      <c r="K524" s="554"/>
    </row>
    <row r="525" spans="2:11" ht="25.5">
      <c r="B525" s="1735">
        <v>13</v>
      </c>
      <c r="C525" s="2569" t="s">
        <v>286</v>
      </c>
      <c r="D525" s="791"/>
      <c r="E525" s="828"/>
      <c r="F525" s="2591">
        <f t="shared" si="12"/>
        <v>0</v>
      </c>
      <c r="G525" s="810"/>
      <c r="I525" s="846"/>
      <c r="K525" s="554"/>
    </row>
    <row r="526" spans="2:11">
      <c r="B526" s="1735">
        <v>14</v>
      </c>
      <c r="C526" s="2570" t="s">
        <v>287</v>
      </c>
      <c r="D526" s="791"/>
      <c r="E526" s="828"/>
      <c r="F526" s="2591">
        <f t="shared" si="12"/>
        <v>0</v>
      </c>
      <c r="G526" s="810"/>
      <c r="I526" s="846"/>
      <c r="K526" s="554"/>
    </row>
    <row r="527" spans="2:11">
      <c r="B527" s="1735">
        <v>15</v>
      </c>
      <c r="C527" s="2570" t="s">
        <v>288</v>
      </c>
      <c r="D527" s="792">
        <v>19993</v>
      </c>
      <c r="E527" s="828"/>
      <c r="F527" s="2591">
        <f t="shared" si="12"/>
        <v>19993</v>
      </c>
      <c r="G527" s="811">
        <v>1082149</v>
      </c>
      <c r="I527" s="846"/>
      <c r="K527" s="554"/>
    </row>
    <row r="528" spans="2:11">
      <c r="B528" s="1735">
        <v>16</v>
      </c>
      <c r="C528" s="2570" t="s">
        <v>289</v>
      </c>
      <c r="D528" s="792">
        <v>111721</v>
      </c>
      <c r="E528" s="834">
        <v>1469955</v>
      </c>
      <c r="F528" s="2591">
        <f t="shared" si="12"/>
        <v>1581676</v>
      </c>
      <c r="G528" s="811">
        <v>1267806</v>
      </c>
      <c r="I528" s="846"/>
      <c r="K528" s="554"/>
    </row>
    <row r="529" spans="2:11">
      <c r="B529" s="1735">
        <v>17</v>
      </c>
      <c r="C529" s="2570" t="s">
        <v>290</v>
      </c>
      <c r="D529" s="835">
        <v>61059</v>
      </c>
      <c r="E529" s="834">
        <v>1049334</v>
      </c>
      <c r="F529" s="2591">
        <f t="shared" si="12"/>
        <v>1110393</v>
      </c>
      <c r="G529" s="810">
        <v>6</v>
      </c>
      <c r="I529" s="846"/>
      <c r="K529" s="554"/>
    </row>
    <row r="530" spans="2:11">
      <c r="B530" s="1735">
        <v>18</v>
      </c>
      <c r="C530" s="2570" t="s">
        <v>291</v>
      </c>
      <c r="D530" s="2607">
        <v>89</v>
      </c>
      <c r="E530" s="834">
        <v>467400</v>
      </c>
      <c r="F530" s="2591">
        <f t="shared" si="12"/>
        <v>467489</v>
      </c>
      <c r="G530" s="811">
        <v>246058</v>
      </c>
      <c r="I530" s="846"/>
      <c r="K530" s="554"/>
    </row>
    <row r="531" spans="2:11" ht="13.5" thickBot="1">
      <c r="B531" s="1735">
        <v>19</v>
      </c>
      <c r="C531" s="2571" t="s">
        <v>292</v>
      </c>
      <c r="D531" s="835">
        <v>201281</v>
      </c>
      <c r="E531" s="833">
        <v>56019</v>
      </c>
      <c r="F531" s="2592">
        <f t="shared" si="12"/>
        <v>257300</v>
      </c>
      <c r="G531" s="813">
        <v>510262</v>
      </c>
      <c r="I531" s="846"/>
      <c r="K531" s="554"/>
    </row>
    <row r="532" spans="2:11" ht="26.25" thickBot="1">
      <c r="B532" s="1686">
        <v>20</v>
      </c>
      <c r="C532" s="1705" t="s">
        <v>293</v>
      </c>
      <c r="D532" s="1751">
        <v>1178116</v>
      </c>
      <c r="E532" s="1752">
        <v>20309056</v>
      </c>
      <c r="F532" s="1708">
        <f t="shared" si="12"/>
        <v>21487172</v>
      </c>
      <c r="G532" s="1753">
        <v>6065833</v>
      </c>
      <c r="I532" s="846"/>
      <c r="K532" s="554"/>
    </row>
    <row r="533" spans="2:11">
      <c r="B533" s="1674"/>
      <c r="C533" s="1678" t="s">
        <v>294</v>
      </c>
      <c r="D533" s="791"/>
      <c r="E533" s="828"/>
      <c r="F533" s="1701">
        <f t="shared" si="12"/>
        <v>0</v>
      </c>
      <c r="G533" s="810"/>
      <c r="I533" s="846"/>
      <c r="K533" s="554"/>
    </row>
    <row r="534" spans="2:11">
      <c r="B534" s="1674"/>
      <c r="C534" s="2588" t="s">
        <v>295</v>
      </c>
      <c r="D534" s="791"/>
      <c r="E534" s="828"/>
      <c r="F534" s="2591">
        <f t="shared" si="12"/>
        <v>0</v>
      </c>
      <c r="G534" s="810"/>
      <c r="I534" s="846"/>
      <c r="K534" s="554"/>
    </row>
    <row r="535" spans="2:11">
      <c r="B535" s="1674">
        <v>21</v>
      </c>
      <c r="C535" s="2570" t="s">
        <v>296</v>
      </c>
      <c r="D535" s="792">
        <v>2330960</v>
      </c>
      <c r="E535" s="834">
        <v>2907394</v>
      </c>
      <c r="F535" s="2591">
        <f t="shared" si="12"/>
        <v>5238354</v>
      </c>
      <c r="G535" s="811">
        <v>4105553</v>
      </c>
      <c r="I535" s="846"/>
      <c r="K535" s="554"/>
    </row>
    <row r="536" spans="2:11">
      <c r="B536" s="1674">
        <v>22</v>
      </c>
      <c r="C536" s="2570" t="s">
        <v>297</v>
      </c>
      <c r="D536" s="792">
        <v>50121</v>
      </c>
      <c r="E536" s="828"/>
      <c r="F536" s="2591">
        <f t="shared" si="12"/>
        <v>50121</v>
      </c>
      <c r="G536" s="810"/>
      <c r="I536" s="846"/>
      <c r="K536" s="554"/>
    </row>
    <row r="537" spans="2:11">
      <c r="B537" s="1674">
        <v>23</v>
      </c>
      <c r="C537" s="2570" t="s">
        <v>298</v>
      </c>
      <c r="D537" s="792">
        <v>401153</v>
      </c>
      <c r="E537" s="834">
        <v>77593</v>
      </c>
      <c r="F537" s="2591">
        <f t="shared" si="12"/>
        <v>478746</v>
      </c>
      <c r="G537" s="811">
        <v>921939</v>
      </c>
      <c r="I537" s="846"/>
      <c r="K537" s="554"/>
    </row>
    <row r="538" spans="2:11">
      <c r="B538" s="1674">
        <v>24</v>
      </c>
      <c r="C538" s="2570" t="s">
        <v>299</v>
      </c>
      <c r="D538" s="791"/>
      <c r="E538" s="828"/>
      <c r="F538" s="2591">
        <f t="shared" si="12"/>
        <v>0</v>
      </c>
      <c r="G538" s="810"/>
      <c r="I538" s="846"/>
      <c r="K538" s="554"/>
    </row>
    <row r="539" spans="2:11">
      <c r="B539" s="1674">
        <v>25</v>
      </c>
      <c r="C539" s="2569" t="s">
        <v>300</v>
      </c>
      <c r="D539" s="792">
        <v>5437</v>
      </c>
      <c r="E539" s="828"/>
      <c r="F539" s="2591">
        <f t="shared" si="12"/>
        <v>5437</v>
      </c>
      <c r="G539" s="811">
        <v>107827</v>
      </c>
      <c r="I539" s="846"/>
      <c r="K539" s="554"/>
    </row>
    <row r="540" spans="2:11" ht="13.5" thickBot="1">
      <c r="B540" s="1674">
        <v>26</v>
      </c>
      <c r="C540" s="2571" t="s">
        <v>301</v>
      </c>
      <c r="D540" s="794">
        <v>1953443</v>
      </c>
      <c r="E540" s="1311">
        <v>1560580</v>
      </c>
      <c r="F540" s="2592">
        <f t="shared" si="12"/>
        <v>3514023</v>
      </c>
      <c r="G540" s="839">
        <v>43544</v>
      </c>
      <c r="I540" s="846"/>
      <c r="K540" s="554"/>
    </row>
    <row r="541" spans="2:11" ht="13.5" thickBot="1">
      <c r="B541" s="1677">
        <v>27</v>
      </c>
      <c r="C541" s="1699" t="s">
        <v>302</v>
      </c>
      <c r="D541" s="795">
        <v>4741114</v>
      </c>
      <c r="E541" s="840">
        <v>4545567</v>
      </c>
      <c r="F541" s="1703">
        <f t="shared" si="12"/>
        <v>9286681</v>
      </c>
      <c r="G541" s="815">
        <v>5178863</v>
      </c>
      <c r="I541" s="846"/>
      <c r="K541" s="554"/>
    </row>
    <row r="542" spans="2:11">
      <c r="B542" s="1674"/>
      <c r="C542" s="1678" t="s">
        <v>303</v>
      </c>
      <c r="D542" s="791"/>
      <c r="E542" s="836"/>
      <c r="F542" s="1701">
        <f t="shared" si="12"/>
        <v>0</v>
      </c>
      <c r="G542" s="837"/>
      <c r="I542" s="846"/>
      <c r="K542" s="554"/>
    </row>
    <row r="543" spans="2:11">
      <c r="B543" s="1674">
        <v>28</v>
      </c>
      <c r="C543" s="2587" t="s">
        <v>304</v>
      </c>
      <c r="D543" s="791"/>
      <c r="E543" s="828"/>
      <c r="F543" s="2591">
        <f t="shared" si="12"/>
        <v>0</v>
      </c>
      <c r="G543" s="810"/>
      <c r="I543" s="846"/>
      <c r="K543" s="554"/>
    </row>
    <row r="544" spans="2:11">
      <c r="B544" s="1674">
        <v>29</v>
      </c>
      <c r="C544" s="2587" t="s">
        <v>305</v>
      </c>
      <c r="D544" s="791"/>
      <c r="E544" s="828"/>
      <c r="F544" s="2591">
        <f t="shared" si="12"/>
        <v>0</v>
      </c>
      <c r="G544" s="810"/>
      <c r="I544" s="846"/>
      <c r="K544" s="554"/>
    </row>
    <row r="545" spans="2:11">
      <c r="B545" s="1674">
        <v>30</v>
      </c>
      <c r="C545" s="2573" t="s">
        <v>306</v>
      </c>
      <c r="D545" s="791"/>
      <c r="E545" s="828"/>
      <c r="F545" s="2591">
        <f t="shared" si="12"/>
        <v>0</v>
      </c>
      <c r="G545" s="810"/>
      <c r="I545" s="846"/>
      <c r="K545" s="554"/>
    </row>
    <row r="546" spans="2:11" ht="13.5" thickBot="1">
      <c r="B546" s="1674">
        <v>31</v>
      </c>
      <c r="C546" s="2573" t="s">
        <v>308</v>
      </c>
      <c r="D546" s="794">
        <v>-3562999</v>
      </c>
      <c r="E546" s="833">
        <v>15763489</v>
      </c>
      <c r="F546" s="2592">
        <f t="shared" si="12"/>
        <v>12200490</v>
      </c>
      <c r="G546" s="813">
        <v>886970</v>
      </c>
      <c r="I546" s="846"/>
      <c r="K546" s="554"/>
    </row>
    <row r="547" spans="2:11" ht="13.5" thickBot="1">
      <c r="B547" s="1677">
        <v>32</v>
      </c>
      <c r="C547" s="1699" t="s">
        <v>309</v>
      </c>
      <c r="D547" s="795">
        <v>-3562999</v>
      </c>
      <c r="E547" s="840">
        <v>15763489</v>
      </c>
      <c r="F547" s="1703">
        <f t="shared" si="12"/>
        <v>12200490</v>
      </c>
      <c r="G547" s="815">
        <v>886970</v>
      </c>
      <c r="I547" s="846"/>
      <c r="K547" s="554"/>
    </row>
    <row r="548" spans="2:11" ht="26.25" thickBot="1">
      <c r="B548" s="1689">
        <v>33</v>
      </c>
      <c r="C548" s="1705" t="s">
        <v>310</v>
      </c>
      <c r="D548" s="1711">
        <v>1178115</v>
      </c>
      <c r="E548" s="1974">
        <v>20309056</v>
      </c>
      <c r="F548" s="1750">
        <f t="shared" si="12"/>
        <v>21487171</v>
      </c>
      <c r="G548" s="1712">
        <v>6065833</v>
      </c>
      <c r="I548" s="846"/>
      <c r="K548" s="554"/>
    </row>
    <row r="549" spans="2:11">
      <c r="B549" s="274"/>
      <c r="C549" s="391"/>
      <c r="D549" s="383"/>
      <c r="E549" s="293"/>
      <c r="F549" s="293"/>
    </row>
    <row r="550" spans="2:11">
      <c r="B550" s="274"/>
      <c r="C550" s="391"/>
      <c r="D550" s="383"/>
      <c r="E550" s="293"/>
      <c r="F550" s="293"/>
      <c r="G550" s="292">
        <v>106</v>
      </c>
    </row>
    <row r="551" spans="2:11">
      <c r="B551" s="274"/>
      <c r="C551" s="391"/>
      <c r="D551" s="383"/>
      <c r="E551" s="293"/>
      <c r="F551" s="293"/>
    </row>
    <row r="552" spans="2:11" ht="14.25">
      <c r="B552" s="3593" t="s">
        <v>407</v>
      </c>
      <c r="C552" s="3594"/>
      <c r="D552" s="3594"/>
      <c r="E552" s="3594"/>
      <c r="F552" s="3594"/>
      <c r="G552" s="3594"/>
    </row>
    <row r="553" spans="2:11" ht="13.5" thickBot="1">
      <c r="B553" s="51" t="s">
        <v>408</v>
      </c>
      <c r="C553" s="51"/>
      <c r="D553" s="51"/>
      <c r="E553" s="51"/>
      <c r="F553" s="51"/>
      <c r="G553" s="51"/>
    </row>
    <row r="554" spans="2:11" ht="13.5" thickBot="1">
      <c r="B554" s="3582" t="s">
        <v>111</v>
      </c>
      <c r="C554" s="3583"/>
      <c r="D554" s="425"/>
      <c r="E554" s="396"/>
      <c r="F554" s="396"/>
    </row>
    <row r="555" spans="2:11">
      <c r="B555" s="3520" t="s">
        <v>372</v>
      </c>
      <c r="C555" s="3585"/>
      <c r="D555" s="3518" t="s">
        <v>391</v>
      </c>
      <c r="E555" s="274"/>
      <c r="F555" s="274"/>
    </row>
    <row r="556" spans="2:11">
      <c r="B556" s="3520"/>
      <c r="C556" s="3585"/>
      <c r="D556" s="3520"/>
      <c r="E556" s="443"/>
      <c r="F556" s="443"/>
    </row>
    <row r="557" spans="2:11">
      <c r="B557" s="3519"/>
      <c r="C557" s="3586"/>
      <c r="D557" s="3519"/>
      <c r="E557" s="443"/>
      <c r="F557" s="443"/>
    </row>
    <row r="558" spans="2:11" ht="14.25">
      <c r="B558" s="1674"/>
      <c r="C558" s="1681" t="s">
        <v>269</v>
      </c>
      <c r="D558" s="759"/>
      <c r="E558" s="293"/>
      <c r="F558" s="293"/>
    </row>
    <row r="559" spans="2:11">
      <c r="B559" s="1735">
        <v>1</v>
      </c>
      <c r="C559" s="2318" t="s">
        <v>270</v>
      </c>
      <c r="D559" s="791"/>
      <c r="E559" s="293"/>
      <c r="F559" s="293"/>
    </row>
    <row r="560" spans="2:11">
      <c r="B560" s="1735">
        <v>2</v>
      </c>
      <c r="C560" s="2318" t="s">
        <v>271</v>
      </c>
      <c r="D560" s="780">
        <v>3644</v>
      </c>
      <c r="E560" s="293"/>
      <c r="F560" s="293"/>
    </row>
    <row r="561" spans="2:6">
      <c r="B561" s="1735">
        <v>3</v>
      </c>
      <c r="C561" s="2318" t="s">
        <v>272</v>
      </c>
      <c r="D561" s="780">
        <v>3998</v>
      </c>
      <c r="E561" s="293"/>
      <c r="F561" s="293"/>
    </row>
    <row r="562" spans="2:6">
      <c r="B562" s="1735">
        <v>4</v>
      </c>
      <c r="C562" s="2594" t="s">
        <v>406</v>
      </c>
      <c r="D562" s="780">
        <v>25166</v>
      </c>
      <c r="E562" s="293"/>
      <c r="F562" s="293"/>
    </row>
    <row r="563" spans="2:6">
      <c r="B563" s="1735">
        <v>5</v>
      </c>
      <c r="C563" s="2318" t="s">
        <v>274</v>
      </c>
      <c r="D563" s="780">
        <v>21091</v>
      </c>
      <c r="E563" s="293"/>
      <c r="F563" s="293"/>
    </row>
    <row r="564" spans="2:6">
      <c r="B564" s="1735">
        <v>6</v>
      </c>
      <c r="C564" s="2318" t="s">
        <v>275</v>
      </c>
      <c r="D564" s="808"/>
      <c r="E564" s="293"/>
      <c r="F564" s="293"/>
    </row>
    <row r="565" spans="2:6">
      <c r="B565" s="1735">
        <v>7</v>
      </c>
      <c r="C565" s="2318" t="s">
        <v>276</v>
      </c>
      <c r="D565" s="791"/>
      <c r="E565" s="293"/>
      <c r="F565" s="293"/>
    </row>
    <row r="566" spans="2:6">
      <c r="B566" s="1735"/>
      <c r="C566" s="2558" t="s">
        <v>393</v>
      </c>
      <c r="D566" s="791"/>
      <c r="E566" s="293"/>
      <c r="F566" s="293"/>
    </row>
    <row r="567" spans="2:6">
      <c r="B567" s="1735"/>
      <c r="C567" s="2558" t="s">
        <v>394</v>
      </c>
      <c r="D567" s="791"/>
      <c r="E567" s="293"/>
      <c r="F567" s="293"/>
    </row>
    <row r="568" spans="2:6">
      <c r="B568" s="1735">
        <v>8</v>
      </c>
      <c r="C568" s="2318" t="s">
        <v>279</v>
      </c>
      <c r="D568" s="791"/>
      <c r="E568" s="293"/>
      <c r="F568" s="293"/>
    </row>
    <row r="569" spans="2:6">
      <c r="B569" s="1735"/>
      <c r="C569" s="2558" t="s">
        <v>395</v>
      </c>
      <c r="D569" s="791"/>
      <c r="E569" s="293"/>
      <c r="F569" s="293"/>
    </row>
    <row r="570" spans="2:6">
      <c r="B570" s="1735"/>
      <c r="C570" s="2558" t="s">
        <v>396</v>
      </c>
      <c r="D570" s="791"/>
      <c r="E570" s="293"/>
      <c r="F570" s="293"/>
    </row>
    <row r="571" spans="2:6">
      <c r="B571" s="2596">
        <v>9</v>
      </c>
      <c r="C571" s="2562" t="s">
        <v>282</v>
      </c>
      <c r="D571" s="793">
        <v>1827619</v>
      </c>
      <c r="E571" s="293"/>
      <c r="F571" s="293"/>
    </row>
    <row r="572" spans="2:6">
      <c r="B572" s="1735">
        <v>10</v>
      </c>
      <c r="C572" s="2558" t="s">
        <v>283</v>
      </c>
      <c r="D572" s="791"/>
      <c r="E572" s="293"/>
      <c r="F572" s="293"/>
    </row>
    <row r="573" spans="2:6">
      <c r="B573" s="1735">
        <v>11</v>
      </c>
      <c r="C573" s="2558" t="s">
        <v>284</v>
      </c>
      <c r="D573" s="780">
        <v>1827619</v>
      </c>
      <c r="E573" s="293"/>
      <c r="F573" s="293"/>
    </row>
    <row r="574" spans="2:6">
      <c r="B574" s="1735">
        <v>12</v>
      </c>
      <c r="C574" s="2558" t="s">
        <v>285</v>
      </c>
      <c r="D574" s="808"/>
      <c r="E574" s="293"/>
      <c r="F574" s="293"/>
    </row>
    <row r="575" spans="2:6" ht="25.5">
      <c r="B575" s="1735">
        <v>13</v>
      </c>
      <c r="C575" s="2558" t="s">
        <v>286</v>
      </c>
      <c r="D575" s="808"/>
      <c r="E575" s="293"/>
      <c r="F575" s="293"/>
    </row>
    <row r="576" spans="2:6">
      <c r="B576" s="1735">
        <v>14</v>
      </c>
      <c r="C576" s="2178" t="s">
        <v>287</v>
      </c>
      <c r="D576" s="808"/>
      <c r="E576" s="293"/>
      <c r="F576" s="293"/>
    </row>
    <row r="577" spans="2:6">
      <c r="B577" s="1735">
        <v>15</v>
      </c>
      <c r="C577" s="2178" t="s">
        <v>288</v>
      </c>
      <c r="D577" s="780">
        <v>83303</v>
      </c>
      <c r="E577" s="293"/>
      <c r="F577" s="293"/>
    </row>
    <row r="578" spans="2:6">
      <c r="B578" s="1735">
        <v>16</v>
      </c>
      <c r="C578" s="2178" t="s">
        <v>289</v>
      </c>
      <c r="D578" s="780">
        <v>451444</v>
      </c>
      <c r="E578" s="293"/>
      <c r="F578" s="293"/>
    </row>
    <row r="579" spans="2:6">
      <c r="B579" s="1735">
        <v>17</v>
      </c>
      <c r="C579" s="2178" t="s">
        <v>290</v>
      </c>
      <c r="D579" s="780">
        <v>50278</v>
      </c>
      <c r="E579" s="383"/>
      <c r="F579" s="383"/>
    </row>
    <row r="580" spans="2:6">
      <c r="B580" s="1735">
        <v>18</v>
      </c>
      <c r="C580" s="2178" t="s">
        <v>291</v>
      </c>
      <c r="D580" s="780">
        <v>113579</v>
      </c>
      <c r="E580" s="293"/>
      <c r="F580" s="293"/>
    </row>
    <row r="581" spans="2:6" ht="13.5" thickBot="1">
      <c r="B581" s="1735">
        <v>19</v>
      </c>
      <c r="C581" s="2575" t="s">
        <v>292</v>
      </c>
      <c r="D581" s="789">
        <v>32258</v>
      </c>
      <c r="E581" s="293"/>
      <c r="F581" s="293"/>
    </row>
    <row r="582" spans="2:6" ht="26.25" thickBot="1">
      <c r="B582" s="1686">
        <v>20</v>
      </c>
      <c r="C582" s="1726" t="s">
        <v>293</v>
      </c>
      <c r="D582" s="1745">
        <v>2612380</v>
      </c>
      <c r="E582" s="293"/>
      <c r="F582" s="293"/>
    </row>
    <row r="583" spans="2:6">
      <c r="B583" s="1674"/>
      <c r="C583" s="2586" t="s">
        <v>294</v>
      </c>
      <c r="D583" s="791"/>
      <c r="E583" s="293"/>
      <c r="F583" s="293"/>
    </row>
    <row r="584" spans="2:6">
      <c r="B584" s="1674"/>
      <c r="C584" s="2586" t="s">
        <v>295</v>
      </c>
      <c r="D584" s="791"/>
      <c r="E584" s="293"/>
      <c r="F584" s="293"/>
    </row>
    <row r="585" spans="2:6">
      <c r="B585" s="1674">
        <v>21</v>
      </c>
      <c r="C585" s="2178" t="s">
        <v>296</v>
      </c>
      <c r="D585" s="780">
        <v>1215934</v>
      </c>
      <c r="E585" s="293"/>
      <c r="F585" s="293"/>
    </row>
    <row r="586" spans="2:6">
      <c r="B586" s="1674">
        <v>22</v>
      </c>
      <c r="C586" s="2178" t="s">
        <v>297</v>
      </c>
      <c r="D586" s="780">
        <v>18637</v>
      </c>
      <c r="E586" s="293"/>
      <c r="F586" s="293"/>
    </row>
    <row r="587" spans="2:6">
      <c r="B587" s="1674">
        <v>23</v>
      </c>
      <c r="C587" s="2178" t="s">
        <v>298</v>
      </c>
      <c r="D587" s="780">
        <v>53106</v>
      </c>
      <c r="E587" s="293"/>
      <c r="F587" s="293"/>
    </row>
    <row r="588" spans="2:6">
      <c r="B588" s="1674">
        <v>24</v>
      </c>
      <c r="C588" s="2178" t="s">
        <v>299</v>
      </c>
      <c r="D588" s="780">
        <v>19970</v>
      </c>
      <c r="E588" s="293"/>
      <c r="F588" s="293"/>
    </row>
    <row r="589" spans="2:6">
      <c r="B589" s="1674">
        <v>25</v>
      </c>
      <c r="C589" s="2558" t="s">
        <v>300</v>
      </c>
      <c r="D589" s="808"/>
      <c r="E589" s="293"/>
      <c r="F589" s="293"/>
    </row>
    <row r="590" spans="2:6" ht="13.5" thickBot="1">
      <c r="B590" s="1674">
        <v>26</v>
      </c>
      <c r="C590" s="2575" t="s">
        <v>301</v>
      </c>
      <c r="D590" s="789">
        <v>288413</v>
      </c>
      <c r="E590" s="293"/>
      <c r="F590" s="293"/>
    </row>
    <row r="591" spans="2:6" ht="13.5" thickBot="1">
      <c r="B591" s="1677">
        <v>27</v>
      </c>
      <c r="C591" s="1698" t="s">
        <v>302</v>
      </c>
      <c r="D591" s="826">
        <v>1596060</v>
      </c>
      <c r="E591" s="293"/>
      <c r="F591" s="293"/>
    </row>
    <row r="592" spans="2:6">
      <c r="B592" s="1674"/>
      <c r="C592" s="1696" t="s">
        <v>303</v>
      </c>
      <c r="D592" s="808"/>
      <c r="E592" s="293"/>
      <c r="F592" s="293"/>
    </row>
    <row r="593" spans="2:7">
      <c r="B593" s="1674">
        <v>28</v>
      </c>
      <c r="C593" s="2318" t="s">
        <v>304</v>
      </c>
      <c r="D593" s="780">
        <v>825000</v>
      </c>
      <c r="E593" s="383"/>
      <c r="F593" s="383"/>
      <c r="G593" s="295"/>
    </row>
    <row r="594" spans="2:7">
      <c r="B594" s="1674">
        <v>29</v>
      </c>
      <c r="C594" s="2318" t="s">
        <v>305</v>
      </c>
      <c r="D594" s="808"/>
      <c r="E594" s="293"/>
      <c r="F594" s="293"/>
    </row>
    <row r="595" spans="2:7">
      <c r="B595" s="1674">
        <v>30</v>
      </c>
      <c r="C595" s="2584" t="s">
        <v>306</v>
      </c>
      <c r="D595" s="808"/>
      <c r="E595" s="293"/>
      <c r="F595" s="293"/>
    </row>
    <row r="596" spans="2:7" ht="13.5" thickBot="1">
      <c r="B596" s="1674">
        <v>31</v>
      </c>
      <c r="C596" s="2584" t="s">
        <v>308</v>
      </c>
      <c r="D596" s="789">
        <v>191320</v>
      </c>
      <c r="E596" s="293"/>
      <c r="F596" s="293"/>
    </row>
    <row r="597" spans="2:7" ht="13.5" thickBot="1">
      <c r="B597" s="1677">
        <v>32</v>
      </c>
      <c r="C597" s="1698" t="s">
        <v>309</v>
      </c>
      <c r="D597" s="787">
        <v>1016320</v>
      </c>
      <c r="E597" s="293"/>
      <c r="F597" s="293"/>
    </row>
    <row r="598" spans="2:7" ht="26.25" thickBot="1">
      <c r="B598" s="1689">
        <v>33</v>
      </c>
      <c r="C598" s="1726" t="s">
        <v>310</v>
      </c>
      <c r="D598" s="1743">
        <v>2612380</v>
      </c>
      <c r="E598" s="293"/>
      <c r="F598" s="293"/>
    </row>
    <row r="599" spans="2:7">
      <c r="B599" s="274"/>
      <c r="C599" s="391"/>
      <c r="D599" s="383"/>
      <c r="E599" s="293"/>
      <c r="F599" s="293"/>
    </row>
    <row r="600" spans="2:7">
      <c r="B600" s="274"/>
      <c r="C600" s="391"/>
      <c r="D600" s="383"/>
      <c r="E600" s="293"/>
      <c r="F600" s="293"/>
      <c r="G600" s="292">
        <v>107</v>
      </c>
    </row>
    <row r="601" spans="2:7">
      <c r="B601" s="274"/>
      <c r="C601" s="391"/>
      <c r="D601" s="383"/>
      <c r="E601" s="293"/>
      <c r="F601" s="293"/>
    </row>
    <row r="602" spans="2:7" ht="14.25">
      <c r="B602" s="3593" t="s">
        <v>407</v>
      </c>
      <c r="C602" s="3594"/>
      <c r="D602" s="3594"/>
      <c r="E602" s="3594"/>
      <c r="F602" s="3594"/>
      <c r="G602" s="3594"/>
    </row>
    <row r="603" spans="2:7" ht="13.5" thickBot="1">
      <c r="B603" s="51" t="s">
        <v>408</v>
      </c>
      <c r="C603" s="51"/>
      <c r="D603" s="51"/>
      <c r="E603" s="51"/>
      <c r="F603" s="51"/>
      <c r="G603" s="51"/>
    </row>
    <row r="604" spans="2:7" ht="17.25" customHeight="1" thickBot="1">
      <c r="B604" s="3582" t="s">
        <v>403</v>
      </c>
      <c r="C604" s="3583"/>
      <c r="D604" s="425"/>
      <c r="E604" s="396"/>
      <c r="F604" s="396"/>
    </row>
    <row r="605" spans="2:7">
      <c r="B605" s="3520" t="s">
        <v>372</v>
      </c>
      <c r="C605" s="3585"/>
      <c r="D605" s="3518" t="s">
        <v>391</v>
      </c>
      <c r="E605" s="274"/>
      <c r="F605" s="274"/>
    </row>
    <row r="606" spans="2:7">
      <c r="B606" s="3520"/>
      <c r="C606" s="3585"/>
      <c r="D606" s="3520"/>
      <c r="E606" s="443"/>
      <c r="F606" s="443"/>
    </row>
    <row r="607" spans="2:7" ht="13.5" thickBot="1">
      <c r="B607" s="3519"/>
      <c r="C607" s="3586"/>
      <c r="D607" s="3519"/>
      <c r="E607" s="443"/>
      <c r="F607" s="443"/>
    </row>
    <row r="608" spans="2:7" ht="14.25">
      <c r="B608" s="1674"/>
      <c r="C608" s="1681" t="s">
        <v>269</v>
      </c>
      <c r="D608" s="759"/>
      <c r="E608" s="293"/>
      <c r="F608" s="293"/>
    </row>
    <row r="609" spans="2:6" ht="14.25">
      <c r="B609" s="1735">
        <v>1</v>
      </c>
      <c r="C609" s="2318" t="s">
        <v>270</v>
      </c>
      <c r="D609" s="790"/>
      <c r="E609" s="293"/>
      <c r="F609" s="293"/>
    </row>
    <row r="610" spans="2:6">
      <c r="B610" s="1735">
        <v>2</v>
      </c>
      <c r="C610" s="2318" t="s">
        <v>271</v>
      </c>
      <c r="D610" s="817">
        <v>10970</v>
      </c>
      <c r="E610" s="293"/>
      <c r="F610" s="293"/>
    </row>
    <row r="611" spans="2:6">
      <c r="B611" s="1735">
        <v>3</v>
      </c>
      <c r="C611" s="2318" t="s">
        <v>272</v>
      </c>
      <c r="D611" s="817">
        <v>276218</v>
      </c>
      <c r="E611" s="293"/>
      <c r="F611" s="293"/>
    </row>
    <row r="612" spans="2:6">
      <c r="B612" s="1735">
        <v>4</v>
      </c>
      <c r="C612" s="2594" t="s">
        <v>406</v>
      </c>
      <c r="D612" s="817">
        <v>108202</v>
      </c>
      <c r="E612" s="293"/>
      <c r="F612" s="293"/>
    </row>
    <row r="613" spans="2:6">
      <c r="B613" s="1735">
        <v>5</v>
      </c>
      <c r="C613" s="2318" t="s">
        <v>274</v>
      </c>
      <c r="D613" s="817">
        <v>77278</v>
      </c>
      <c r="E613" s="293"/>
      <c r="F613" s="293"/>
    </row>
    <row r="614" spans="2:6">
      <c r="B614" s="1735">
        <v>6</v>
      </c>
      <c r="C614" s="2318" t="s">
        <v>275</v>
      </c>
      <c r="D614" s="841"/>
      <c r="E614" s="293"/>
      <c r="F614" s="293"/>
    </row>
    <row r="615" spans="2:6">
      <c r="B615" s="1735">
        <v>7</v>
      </c>
      <c r="C615" s="2318" t="s">
        <v>276</v>
      </c>
      <c r="D615" s="841"/>
      <c r="E615" s="293"/>
      <c r="F615" s="293"/>
    </row>
    <row r="616" spans="2:6">
      <c r="B616" s="1735"/>
      <c r="C616" s="2558" t="s">
        <v>393</v>
      </c>
      <c r="D616" s="841"/>
      <c r="E616" s="293"/>
      <c r="F616" s="293"/>
    </row>
    <row r="617" spans="2:6">
      <c r="B617" s="1735"/>
      <c r="C617" s="2558" t="s">
        <v>394</v>
      </c>
      <c r="D617" s="841"/>
      <c r="E617" s="293"/>
      <c r="F617" s="293"/>
    </row>
    <row r="618" spans="2:6">
      <c r="B618" s="1735">
        <v>8</v>
      </c>
      <c r="C618" s="2318" t="s">
        <v>279</v>
      </c>
      <c r="D618" s="841"/>
      <c r="E618" s="293"/>
      <c r="F618" s="293"/>
    </row>
    <row r="619" spans="2:6">
      <c r="B619" s="1735"/>
      <c r="C619" s="2558" t="s">
        <v>395</v>
      </c>
      <c r="D619" s="841"/>
      <c r="E619" s="293"/>
      <c r="F619" s="293"/>
    </row>
    <row r="620" spans="2:6">
      <c r="B620" s="1735"/>
      <c r="C620" s="2558" t="s">
        <v>396</v>
      </c>
      <c r="D620" s="841"/>
      <c r="E620" s="293"/>
      <c r="F620" s="293"/>
    </row>
    <row r="621" spans="2:6">
      <c r="B621" s="2596">
        <v>9</v>
      </c>
      <c r="C621" s="2562" t="s">
        <v>282</v>
      </c>
      <c r="D621" s="842">
        <v>8486380</v>
      </c>
      <c r="E621" s="293"/>
      <c r="F621" s="293"/>
    </row>
    <row r="622" spans="2:6">
      <c r="B622" s="1735">
        <v>10</v>
      </c>
      <c r="C622" s="2558" t="s">
        <v>283</v>
      </c>
      <c r="D622" s="841"/>
      <c r="E622" s="293"/>
      <c r="F622" s="293"/>
    </row>
    <row r="623" spans="2:6">
      <c r="B623" s="1735">
        <v>11</v>
      </c>
      <c r="C623" s="2558" t="s">
        <v>284</v>
      </c>
      <c r="D623" s="817">
        <v>6443698</v>
      </c>
      <c r="E623" s="293"/>
      <c r="F623" s="293"/>
    </row>
    <row r="624" spans="2:6">
      <c r="B624" s="1735">
        <v>12</v>
      </c>
      <c r="C624" s="2558" t="s">
        <v>285</v>
      </c>
      <c r="D624" s="817">
        <v>1287418</v>
      </c>
      <c r="E624" s="293"/>
      <c r="F624" s="293"/>
    </row>
    <row r="625" spans="2:6" ht="25.5">
      <c r="B625" s="1735">
        <v>13</v>
      </c>
      <c r="C625" s="2558" t="s">
        <v>286</v>
      </c>
      <c r="D625" s="817">
        <v>755264</v>
      </c>
      <c r="E625" s="293"/>
      <c r="F625" s="293"/>
    </row>
    <row r="626" spans="2:6">
      <c r="B626" s="1735">
        <v>14</v>
      </c>
      <c r="C626" s="2178" t="s">
        <v>287</v>
      </c>
      <c r="D626" s="841"/>
      <c r="E626" s="293"/>
      <c r="F626" s="293"/>
    </row>
    <row r="627" spans="2:6">
      <c r="B627" s="1735">
        <v>15</v>
      </c>
      <c r="C627" s="2178" t="s">
        <v>288</v>
      </c>
      <c r="D627" s="2606">
        <v>398998</v>
      </c>
      <c r="E627" s="293"/>
      <c r="F627" s="293"/>
    </row>
    <row r="628" spans="2:6">
      <c r="B628" s="1735">
        <v>16</v>
      </c>
      <c r="C628" s="2178" t="s">
        <v>289</v>
      </c>
      <c r="D628" s="818">
        <v>1132744</v>
      </c>
      <c r="E628" s="293"/>
      <c r="F628" s="293"/>
    </row>
    <row r="629" spans="2:6">
      <c r="B629" s="1735">
        <v>17</v>
      </c>
      <c r="C629" s="2178" t="s">
        <v>290</v>
      </c>
      <c r="D629" s="818">
        <v>241957</v>
      </c>
      <c r="E629" s="383"/>
      <c r="F629" s="383"/>
    </row>
    <row r="630" spans="2:6">
      <c r="B630" s="1735">
        <v>18</v>
      </c>
      <c r="C630" s="2178" t="s">
        <v>291</v>
      </c>
      <c r="D630" s="2613"/>
      <c r="E630" s="293"/>
      <c r="F630" s="293"/>
    </row>
    <row r="631" spans="2:6" ht="13.5" thickBot="1">
      <c r="B631" s="1735">
        <v>19</v>
      </c>
      <c r="C631" s="2575" t="s">
        <v>292</v>
      </c>
      <c r="D631" s="2608">
        <v>50972</v>
      </c>
      <c r="E631" s="293"/>
      <c r="F631" s="293"/>
    </row>
    <row r="632" spans="2:6" ht="26.25" thickBot="1">
      <c r="B632" s="1686">
        <v>20</v>
      </c>
      <c r="C632" s="1726" t="s">
        <v>293</v>
      </c>
      <c r="D632" s="1754">
        <v>10783719</v>
      </c>
      <c r="E632" s="293"/>
      <c r="F632" s="293"/>
    </row>
    <row r="633" spans="2:6">
      <c r="B633" s="1674"/>
      <c r="C633" s="1696" t="s">
        <v>294</v>
      </c>
      <c r="D633" s="841"/>
      <c r="E633" s="293"/>
      <c r="F633" s="293"/>
    </row>
    <row r="634" spans="2:6">
      <c r="B634" s="1674"/>
      <c r="C634" s="2586" t="s">
        <v>295</v>
      </c>
      <c r="D634" s="841"/>
      <c r="E634" s="293"/>
      <c r="F634" s="293"/>
    </row>
    <row r="635" spans="2:6">
      <c r="B635" s="1674">
        <v>21</v>
      </c>
      <c r="C635" s="2178" t="s">
        <v>296</v>
      </c>
      <c r="D635" s="2606">
        <v>4623435</v>
      </c>
      <c r="E635" s="293"/>
      <c r="F635" s="293"/>
    </row>
    <row r="636" spans="2:6">
      <c r="B636" s="1674">
        <v>22</v>
      </c>
      <c r="C636" s="2178" t="s">
        <v>297</v>
      </c>
      <c r="D636" s="818">
        <v>42735</v>
      </c>
      <c r="E636" s="293"/>
      <c r="F636" s="293"/>
    </row>
    <row r="637" spans="2:6">
      <c r="B637" s="1674">
        <v>23</v>
      </c>
      <c r="C637" s="2178" t="s">
        <v>298</v>
      </c>
      <c r="D637" s="818">
        <v>253354</v>
      </c>
      <c r="E637" s="293"/>
      <c r="F637" s="293"/>
    </row>
    <row r="638" spans="2:6">
      <c r="B638" s="1674">
        <v>24</v>
      </c>
      <c r="C638" s="2178" t="s">
        <v>299</v>
      </c>
      <c r="D638" s="841"/>
      <c r="E638" s="293"/>
      <c r="F638" s="293"/>
    </row>
    <row r="639" spans="2:6">
      <c r="B639" s="1674">
        <v>25</v>
      </c>
      <c r="C639" s="2558" t="s">
        <v>300</v>
      </c>
      <c r="D639" s="841"/>
      <c r="E639" s="293"/>
      <c r="F639" s="293"/>
    </row>
    <row r="640" spans="2:6" ht="13.5" thickBot="1">
      <c r="B640" s="1674">
        <v>26</v>
      </c>
      <c r="C640" s="2575" t="s">
        <v>301</v>
      </c>
      <c r="D640" s="2608">
        <v>1245011</v>
      </c>
      <c r="E640" s="293"/>
      <c r="F640" s="293"/>
    </row>
    <row r="641" spans="2:7" ht="13.5" thickBot="1">
      <c r="B641" s="1677">
        <v>27</v>
      </c>
      <c r="C641" s="1698" t="s">
        <v>302</v>
      </c>
      <c r="D641" s="843">
        <v>6164535</v>
      </c>
      <c r="E641" s="293"/>
      <c r="F641" s="293"/>
    </row>
    <row r="642" spans="2:7">
      <c r="B642" s="1674"/>
      <c r="C642" s="1696" t="s">
        <v>303</v>
      </c>
      <c r="D642" s="841"/>
      <c r="E642" s="293"/>
      <c r="F642" s="293"/>
    </row>
    <row r="643" spans="2:7">
      <c r="B643" s="1674">
        <v>28</v>
      </c>
      <c r="C643" s="2318" t="s">
        <v>304</v>
      </c>
      <c r="D643" s="2606">
        <v>1350000</v>
      </c>
      <c r="E643" s="383"/>
      <c r="F643" s="383"/>
    </row>
    <row r="644" spans="2:7">
      <c r="B644" s="1674">
        <v>29</v>
      </c>
      <c r="C644" s="2318" t="s">
        <v>305</v>
      </c>
      <c r="D644" s="818">
        <v>-1830</v>
      </c>
      <c r="E644" s="293"/>
      <c r="F644" s="293"/>
    </row>
    <row r="645" spans="2:7">
      <c r="B645" s="1674">
        <v>30</v>
      </c>
      <c r="C645" s="2584" t="s">
        <v>306</v>
      </c>
      <c r="D645" s="841"/>
      <c r="E645" s="293"/>
      <c r="F645" s="293"/>
    </row>
    <row r="646" spans="2:7" ht="13.5" thickBot="1">
      <c r="B646" s="1674">
        <v>31</v>
      </c>
      <c r="C646" s="2584" t="s">
        <v>308</v>
      </c>
      <c r="D646" s="2608">
        <v>3271015</v>
      </c>
      <c r="E646" s="293"/>
      <c r="F646" s="293"/>
    </row>
    <row r="647" spans="2:7" ht="13.5" thickBot="1">
      <c r="B647" s="1677">
        <v>32</v>
      </c>
      <c r="C647" s="1698" t="s">
        <v>309</v>
      </c>
      <c r="D647" s="843">
        <v>4619185</v>
      </c>
      <c r="E647" s="293"/>
      <c r="F647" s="293"/>
    </row>
    <row r="648" spans="2:7" ht="26.25" thickBot="1">
      <c r="B648" s="1689">
        <v>33</v>
      </c>
      <c r="C648" s="1724" t="s">
        <v>310</v>
      </c>
      <c r="D648" s="1755">
        <v>10783719</v>
      </c>
      <c r="E648" s="293"/>
      <c r="F648" s="293"/>
    </row>
    <row r="649" spans="2:7">
      <c r="B649" s="274"/>
      <c r="C649" s="391"/>
      <c r="D649" s="383"/>
      <c r="E649" s="293"/>
      <c r="F649" s="293"/>
    </row>
    <row r="650" spans="2:7">
      <c r="B650" s="274"/>
      <c r="C650" s="391"/>
      <c r="D650" s="383"/>
      <c r="E650" s="293"/>
      <c r="F650" s="293"/>
      <c r="G650" s="292">
        <v>108</v>
      </c>
    </row>
    <row r="651" spans="2:7">
      <c r="B651" s="274"/>
      <c r="C651" s="391"/>
      <c r="D651" s="383"/>
      <c r="E651" s="293"/>
      <c r="F651" s="293"/>
    </row>
    <row r="652" spans="2:7" ht="14.25">
      <c r="B652" s="3593" t="s">
        <v>407</v>
      </c>
      <c r="C652" s="3594"/>
      <c r="D652" s="3594"/>
      <c r="E652" s="3594"/>
      <c r="F652" s="3594"/>
      <c r="G652" s="3594"/>
    </row>
    <row r="653" spans="2:7" ht="13.5" thickBot="1">
      <c r="B653" s="51" t="s">
        <v>408</v>
      </c>
      <c r="C653" s="51"/>
      <c r="D653" s="51"/>
      <c r="E653" s="51"/>
      <c r="F653" s="51"/>
      <c r="G653" s="51"/>
    </row>
    <row r="654" spans="2:7" ht="13.5" thickBot="1">
      <c r="B654" s="3582" t="s">
        <v>134</v>
      </c>
      <c r="C654" s="3583"/>
      <c r="D654" s="425"/>
      <c r="E654" s="396"/>
      <c r="F654" s="396"/>
    </row>
    <row r="655" spans="2:7">
      <c r="B655" s="3520" t="s">
        <v>372</v>
      </c>
      <c r="C655" s="3585"/>
      <c r="D655" s="3518" t="s">
        <v>391</v>
      </c>
      <c r="E655" s="274"/>
      <c r="F655" s="274"/>
    </row>
    <row r="656" spans="2:7">
      <c r="B656" s="3520"/>
      <c r="C656" s="3585"/>
      <c r="D656" s="3520"/>
      <c r="E656" s="443"/>
      <c r="F656" s="443"/>
    </row>
    <row r="657" spans="2:9">
      <c r="B657" s="3519"/>
      <c r="C657" s="3586"/>
      <c r="D657" s="3519"/>
      <c r="E657" s="443"/>
      <c r="F657" s="443"/>
    </row>
    <row r="658" spans="2:9">
      <c r="B658" s="1674"/>
      <c r="C658" s="1681" t="s">
        <v>269</v>
      </c>
      <c r="D658" s="845"/>
      <c r="E658" s="293"/>
      <c r="F658" s="293"/>
    </row>
    <row r="659" spans="2:9">
      <c r="B659" s="1735">
        <v>1</v>
      </c>
      <c r="C659" s="2318" t="s">
        <v>270</v>
      </c>
      <c r="D659" s="791"/>
      <c r="E659" s="293"/>
      <c r="F659" s="293"/>
      <c r="H659" s="515"/>
      <c r="I659" s="396"/>
    </row>
    <row r="660" spans="2:9">
      <c r="B660" s="1735">
        <v>2</v>
      </c>
      <c r="C660" s="2587" t="s">
        <v>271</v>
      </c>
      <c r="D660" s="808"/>
      <c r="E660" s="293"/>
      <c r="F660" s="293"/>
      <c r="H660" s="515"/>
      <c r="I660" s="396"/>
    </row>
    <row r="661" spans="2:9">
      <c r="B661" s="1735">
        <v>3</v>
      </c>
      <c r="C661" s="2318" t="s">
        <v>272</v>
      </c>
      <c r="D661" s="783"/>
      <c r="E661" s="293"/>
      <c r="F661" s="293"/>
      <c r="H661" s="515"/>
      <c r="I661" s="396"/>
    </row>
    <row r="662" spans="2:9">
      <c r="B662" s="1735">
        <v>4</v>
      </c>
      <c r="C662" s="2594" t="s">
        <v>406</v>
      </c>
      <c r="D662" s="783"/>
      <c r="E662" s="293"/>
      <c r="F662" s="293"/>
      <c r="H662" s="515"/>
      <c r="I662" s="396"/>
    </row>
    <row r="663" spans="2:9">
      <c r="B663" s="1735">
        <v>5</v>
      </c>
      <c r="C663" s="2318" t="s">
        <v>274</v>
      </c>
      <c r="D663" s="781">
        <v>68196</v>
      </c>
      <c r="E663" s="293"/>
      <c r="F663" s="293"/>
      <c r="H663" s="515"/>
      <c r="I663" s="396"/>
    </row>
    <row r="664" spans="2:9">
      <c r="B664" s="1735">
        <v>6</v>
      </c>
      <c r="C664" s="2318" t="s">
        <v>275</v>
      </c>
      <c r="D664" s="781">
        <v>65500</v>
      </c>
      <c r="E664" s="293"/>
      <c r="F664" s="293"/>
      <c r="H664" s="515"/>
      <c r="I664" s="396"/>
    </row>
    <row r="665" spans="2:9">
      <c r="B665" s="1735">
        <v>7</v>
      </c>
      <c r="C665" s="2318" t="s">
        <v>276</v>
      </c>
      <c r="D665" s="791"/>
      <c r="E665" s="293"/>
      <c r="F665" s="293"/>
      <c r="H665" s="515"/>
      <c r="I665" s="396"/>
    </row>
    <row r="666" spans="2:9">
      <c r="B666" s="1735"/>
      <c r="C666" s="2558" t="s">
        <v>393</v>
      </c>
      <c r="D666" s="791"/>
      <c r="E666" s="293"/>
      <c r="F666" s="293"/>
      <c r="H666" s="515"/>
      <c r="I666" s="396"/>
    </row>
    <row r="667" spans="2:9">
      <c r="B667" s="1735"/>
      <c r="C667" s="2558" t="s">
        <v>394</v>
      </c>
      <c r="D667" s="791"/>
      <c r="E667" s="293"/>
      <c r="F667" s="293"/>
      <c r="H667" s="515"/>
      <c r="I667" s="396"/>
    </row>
    <row r="668" spans="2:9">
      <c r="B668" s="1735">
        <v>8</v>
      </c>
      <c r="C668" s="2318" t="s">
        <v>279</v>
      </c>
      <c r="D668" s="791"/>
      <c r="E668" s="293"/>
      <c r="F668" s="293"/>
      <c r="H668" s="515"/>
      <c r="I668" s="396"/>
    </row>
    <row r="669" spans="2:9">
      <c r="B669" s="1735"/>
      <c r="C669" s="2558" t="s">
        <v>395</v>
      </c>
      <c r="D669" s="791"/>
      <c r="E669" s="293"/>
      <c r="F669" s="293"/>
      <c r="H669" s="515"/>
      <c r="I669" s="396"/>
    </row>
    <row r="670" spans="2:9">
      <c r="B670" s="1735"/>
      <c r="C670" s="2558" t="s">
        <v>396</v>
      </c>
      <c r="D670" s="791"/>
      <c r="E670" s="293"/>
      <c r="F670" s="293"/>
      <c r="H670" s="515"/>
      <c r="I670" s="396"/>
    </row>
    <row r="671" spans="2:9">
      <c r="B671" s="2596">
        <v>9</v>
      </c>
      <c r="C671" s="2562" t="s">
        <v>282</v>
      </c>
      <c r="D671" s="793">
        <v>771542</v>
      </c>
      <c r="E671" s="293"/>
      <c r="F671" s="293"/>
      <c r="H671" s="515"/>
      <c r="I671" s="396"/>
    </row>
    <row r="672" spans="2:9">
      <c r="B672" s="1735">
        <v>10</v>
      </c>
      <c r="C672" s="2558" t="s">
        <v>283</v>
      </c>
      <c r="D672" s="791"/>
      <c r="E672" s="293"/>
      <c r="F672" s="293"/>
      <c r="H672" s="515"/>
      <c r="I672" s="396"/>
    </row>
    <row r="673" spans="2:9">
      <c r="B673" s="1735">
        <v>11</v>
      </c>
      <c r="C673" s="2558" t="s">
        <v>284</v>
      </c>
      <c r="D673" s="781">
        <v>677102</v>
      </c>
      <c r="E673" s="293"/>
      <c r="F673" s="293"/>
      <c r="H673" s="515"/>
      <c r="I673" s="396"/>
    </row>
    <row r="674" spans="2:9">
      <c r="B674" s="1735">
        <v>12</v>
      </c>
      <c r="C674" s="2558" t="s">
        <v>285</v>
      </c>
      <c r="D674" s="783"/>
      <c r="E674" s="293"/>
      <c r="F674" s="293"/>
      <c r="H674" s="515"/>
      <c r="I674" s="396"/>
    </row>
    <row r="675" spans="2:9" ht="25.5">
      <c r="B675" s="1735">
        <v>13</v>
      </c>
      <c r="C675" s="2558" t="s">
        <v>286</v>
      </c>
      <c r="D675" s="781">
        <v>94440</v>
      </c>
      <c r="E675" s="293"/>
      <c r="F675" s="293"/>
      <c r="H675" s="515"/>
      <c r="I675" s="396"/>
    </row>
    <row r="676" spans="2:9">
      <c r="B676" s="1735">
        <v>14</v>
      </c>
      <c r="C676" s="2178" t="s">
        <v>287</v>
      </c>
      <c r="D676" s="783"/>
      <c r="E676" s="293"/>
      <c r="F676" s="293"/>
      <c r="H676" s="515"/>
      <c r="I676" s="396"/>
    </row>
    <row r="677" spans="2:9">
      <c r="B677" s="1735">
        <v>15</v>
      </c>
      <c r="C677" s="2178" t="s">
        <v>288</v>
      </c>
      <c r="D677" s="781">
        <v>21033</v>
      </c>
      <c r="E677" s="293"/>
      <c r="F677" s="293"/>
      <c r="H677" s="515"/>
      <c r="I677" s="396"/>
    </row>
    <row r="678" spans="2:9">
      <c r="B678" s="1735">
        <v>16</v>
      </c>
      <c r="C678" s="2178" t="s">
        <v>289</v>
      </c>
      <c r="D678" s="781">
        <v>139876</v>
      </c>
      <c r="E678" s="293"/>
      <c r="F678" s="293"/>
      <c r="H678" s="515"/>
      <c r="I678" s="396"/>
    </row>
    <row r="679" spans="2:9">
      <c r="B679" s="1735">
        <v>17</v>
      </c>
      <c r="C679" s="2178" t="s">
        <v>290</v>
      </c>
      <c r="D679" s="781">
        <v>113584</v>
      </c>
      <c r="E679" s="293"/>
      <c r="F679" s="293"/>
      <c r="H679" s="515"/>
      <c r="I679" s="396"/>
    </row>
    <row r="680" spans="2:9">
      <c r="B680" s="1735">
        <v>18</v>
      </c>
      <c r="C680" s="2178" t="s">
        <v>291</v>
      </c>
      <c r="D680" s="783"/>
      <c r="E680" s="293"/>
      <c r="F680" s="293"/>
      <c r="H680" s="515"/>
      <c r="I680" s="396"/>
    </row>
    <row r="681" spans="2:9" ht="13.5" thickBot="1">
      <c r="B681" s="1735">
        <v>19</v>
      </c>
      <c r="C681" s="2575" t="s">
        <v>292</v>
      </c>
      <c r="D681" s="786">
        <v>123350</v>
      </c>
      <c r="E681" s="293"/>
      <c r="F681" s="293"/>
      <c r="H681" s="515"/>
      <c r="I681" s="396"/>
    </row>
    <row r="682" spans="2:9" ht="26.25" thickBot="1">
      <c r="B682" s="1686">
        <v>20</v>
      </c>
      <c r="C682" s="1726" t="s">
        <v>293</v>
      </c>
      <c r="D682" s="1714">
        <v>1303081</v>
      </c>
      <c r="E682" s="293"/>
      <c r="F682" s="293"/>
      <c r="H682" s="515"/>
      <c r="I682" s="396"/>
    </row>
    <row r="683" spans="2:9">
      <c r="B683" s="1674"/>
      <c r="C683" s="2586" t="s">
        <v>294</v>
      </c>
      <c r="D683" s="791"/>
      <c r="E683" s="293"/>
      <c r="F683" s="293"/>
      <c r="H683" s="515"/>
      <c r="I683" s="396"/>
    </row>
    <row r="684" spans="2:9">
      <c r="B684" s="1674"/>
      <c r="C684" s="2586" t="s">
        <v>295</v>
      </c>
      <c r="D684" s="791"/>
      <c r="E684" s="293"/>
      <c r="F684" s="293"/>
      <c r="H684" s="515"/>
      <c r="I684" s="396"/>
    </row>
    <row r="685" spans="2:9">
      <c r="B685" s="1674">
        <v>21</v>
      </c>
      <c r="C685" s="2178" t="s">
        <v>296</v>
      </c>
      <c r="D685" s="781">
        <v>346025</v>
      </c>
      <c r="E685" s="293"/>
      <c r="F685" s="293"/>
      <c r="H685" s="515"/>
      <c r="I685" s="396"/>
    </row>
    <row r="686" spans="2:9">
      <c r="B686" s="1674">
        <v>22</v>
      </c>
      <c r="C686" s="2178" t="s">
        <v>297</v>
      </c>
      <c r="D686" s="781">
        <v>18759</v>
      </c>
      <c r="E686" s="293"/>
      <c r="F686" s="293"/>
      <c r="H686" s="515"/>
      <c r="I686" s="396"/>
    </row>
    <row r="687" spans="2:9">
      <c r="B687" s="1674">
        <v>23</v>
      </c>
      <c r="C687" s="2178" t="s">
        <v>298</v>
      </c>
      <c r="D687" s="781">
        <v>12562</v>
      </c>
      <c r="E687" s="293"/>
      <c r="F687" s="293"/>
      <c r="H687" s="515"/>
      <c r="I687" s="396"/>
    </row>
    <row r="688" spans="2:9">
      <c r="B688" s="1674">
        <v>24</v>
      </c>
      <c r="C688" s="2178" t="s">
        <v>299</v>
      </c>
      <c r="D688" s="783"/>
      <c r="E688" s="293"/>
      <c r="F688" s="293"/>
      <c r="H688" s="515"/>
      <c r="I688" s="396"/>
    </row>
    <row r="689" spans="2:9">
      <c r="B689" s="1674">
        <v>25</v>
      </c>
      <c r="C689" s="2558" t="s">
        <v>300</v>
      </c>
      <c r="D689" s="783"/>
      <c r="E689" s="293"/>
      <c r="F689" s="293"/>
      <c r="H689" s="515"/>
      <c r="I689" s="396"/>
    </row>
    <row r="690" spans="2:9" ht="13.5" thickBot="1">
      <c r="B690" s="1674">
        <v>26</v>
      </c>
      <c r="C690" s="2575" t="s">
        <v>301</v>
      </c>
      <c r="D690" s="786">
        <v>193386</v>
      </c>
      <c r="E690" s="293"/>
      <c r="F690" s="293"/>
      <c r="H690" s="515"/>
      <c r="I690" s="396"/>
    </row>
    <row r="691" spans="2:9" ht="13.5" thickBot="1">
      <c r="B691" s="1677">
        <v>27</v>
      </c>
      <c r="C691" s="1698" t="s">
        <v>302</v>
      </c>
      <c r="D691" s="788">
        <v>570732</v>
      </c>
      <c r="E691" s="293"/>
      <c r="F691" s="293"/>
      <c r="H691" s="515"/>
      <c r="I691" s="396"/>
    </row>
    <row r="692" spans="2:9">
      <c r="B692" s="1674"/>
      <c r="C692" s="1696" t="s">
        <v>303</v>
      </c>
      <c r="D692" s="791"/>
      <c r="E692" s="293"/>
      <c r="F692" s="293"/>
      <c r="H692" s="515"/>
      <c r="I692" s="396"/>
    </row>
    <row r="693" spans="2:9">
      <c r="B693" s="1674">
        <v>28</v>
      </c>
      <c r="C693" s="2318" t="s">
        <v>304</v>
      </c>
      <c r="D693" s="781">
        <v>508996</v>
      </c>
      <c r="E693" s="293"/>
      <c r="F693" s="293"/>
      <c r="H693" s="515"/>
      <c r="I693" s="396"/>
    </row>
    <row r="694" spans="2:9">
      <c r="B694" s="1674">
        <v>29</v>
      </c>
      <c r="C694" s="2318" t="s">
        <v>305</v>
      </c>
      <c r="D694" s="783"/>
      <c r="E694" s="293"/>
      <c r="F694" s="293"/>
      <c r="H694" s="515"/>
      <c r="I694" s="396"/>
    </row>
    <row r="695" spans="2:9">
      <c r="B695" s="1674">
        <v>30</v>
      </c>
      <c r="C695" s="2584" t="s">
        <v>306</v>
      </c>
      <c r="D695" s="783"/>
      <c r="E695" s="293"/>
      <c r="F695" s="293"/>
      <c r="H695" s="515"/>
      <c r="I695" s="396"/>
    </row>
    <row r="696" spans="2:9" ht="13.5" thickBot="1">
      <c r="B696" s="1674">
        <v>31</v>
      </c>
      <c r="C696" s="2584" t="s">
        <v>308</v>
      </c>
      <c r="D696" s="786">
        <v>223353</v>
      </c>
      <c r="E696" s="293"/>
      <c r="F696" s="293"/>
      <c r="H696" s="515"/>
      <c r="I696" s="396"/>
    </row>
    <row r="697" spans="2:9" ht="13.5" thickBot="1">
      <c r="B697" s="1677">
        <v>32</v>
      </c>
      <c r="C697" s="1698" t="s">
        <v>309</v>
      </c>
      <c r="D697" s="787">
        <v>732349</v>
      </c>
      <c r="E697" s="293"/>
      <c r="F697" s="293"/>
      <c r="H697" s="515"/>
      <c r="I697" s="396"/>
    </row>
    <row r="698" spans="2:9" ht="26.25" thickBot="1">
      <c r="B698" s="1689">
        <v>33</v>
      </c>
      <c r="C698" s="1726" t="s">
        <v>310</v>
      </c>
      <c r="D698" s="1714">
        <v>1303081</v>
      </c>
      <c r="E698" s="293"/>
      <c r="F698" s="293"/>
      <c r="H698" s="515"/>
      <c r="I698" s="396"/>
    </row>
    <row r="699" spans="2:9">
      <c r="B699" s="274"/>
      <c r="C699" s="391"/>
      <c r="D699" s="383" t="s">
        <v>119</v>
      </c>
      <c r="E699" s="293"/>
      <c r="F699" s="293"/>
    </row>
    <row r="700" spans="2:9">
      <c r="B700" s="274"/>
      <c r="C700" s="391"/>
      <c r="D700" s="383"/>
      <c r="E700" s="293"/>
      <c r="F700" s="293"/>
      <c r="G700" s="292">
        <v>109</v>
      </c>
    </row>
    <row r="701" spans="2:9">
      <c r="B701" s="274"/>
      <c r="C701" s="391"/>
      <c r="D701" s="383"/>
      <c r="E701" s="293"/>
      <c r="F701" s="293"/>
    </row>
    <row r="702" spans="2:9" ht="14.25">
      <c r="B702" s="3593" t="s">
        <v>409</v>
      </c>
      <c r="C702" s="3594"/>
      <c r="D702" s="3594"/>
      <c r="E702" s="3594"/>
      <c r="F702" s="3594"/>
      <c r="G702" s="3594"/>
    </row>
    <row r="703" spans="2:9" ht="13.5" thickBot="1">
      <c r="B703" s="51" t="s">
        <v>408</v>
      </c>
      <c r="C703" s="51"/>
      <c r="D703" s="51"/>
      <c r="E703" s="51"/>
      <c r="F703" s="51"/>
      <c r="G703" s="51"/>
    </row>
    <row r="704" spans="2:9" ht="13.5" thickBot="1">
      <c r="B704" s="3582" t="s">
        <v>115</v>
      </c>
      <c r="C704" s="3583"/>
      <c r="D704" s="425"/>
      <c r="E704" s="396"/>
      <c r="F704" s="396"/>
    </row>
    <row r="705" spans="2:6" ht="45">
      <c r="B705" s="1590" t="s">
        <v>372</v>
      </c>
      <c r="C705" s="1730"/>
      <c r="D705" s="1756" t="s">
        <v>410</v>
      </c>
      <c r="E705" s="274"/>
      <c r="F705" s="274"/>
    </row>
    <row r="706" spans="2:6" ht="15" thickBot="1">
      <c r="B706" s="1674"/>
      <c r="C706" s="1681" t="s">
        <v>269</v>
      </c>
      <c r="D706" s="2614"/>
      <c r="E706" s="293"/>
      <c r="F706" s="293"/>
    </row>
    <row r="707" spans="2:6" ht="14.25">
      <c r="B707" s="1735">
        <v>1</v>
      </c>
      <c r="C707" s="2587" t="s">
        <v>270</v>
      </c>
      <c r="D707" s="844"/>
      <c r="E707" s="293"/>
      <c r="F707" s="293"/>
    </row>
    <row r="708" spans="2:6">
      <c r="B708" s="1735">
        <v>2</v>
      </c>
      <c r="C708" s="2587" t="s">
        <v>271</v>
      </c>
      <c r="D708" s="780">
        <v>37172</v>
      </c>
      <c r="E708" s="293"/>
      <c r="F708" s="293"/>
    </row>
    <row r="709" spans="2:6">
      <c r="B709" s="1735">
        <v>3</v>
      </c>
      <c r="C709" s="2587" t="s">
        <v>272</v>
      </c>
      <c r="D709" s="808"/>
      <c r="E709" s="293"/>
      <c r="F709" s="293"/>
    </row>
    <row r="710" spans="2:6">
      <c r="B710" s="1735">
        <v>4</v>
      </c>
      <c r="C710" s="2602" t="s">
        <v>406</v>
      </c>
      <c r="D710" s="780">
        <v>172755</v>
      </c>
      <c r="E710" s="293"/>
      <c r="F710" s="293"/>
    </row>
    <row r="711" spans="2:6">
      <c r="B711" s="1735">
        <v>5</v>
      </c>
      <c r="C711" s="2587" t="s">
        <v>274</v>
      </c>
      <c r="D711" s="780">
        <v>10781352</v>
      </c>
      <c r="E711" s="293"/>
      <c r="F711" s="293"/>
    </row>
    <row r="712" spans="2:6">
      <c r="B712" s="1735">
        <v>6</v>
      </c>
      <c r="C712" s="2587" t="s">
        <v>275</v>
      </c>
      <c r="D712" s="780">
        <v>1719966</v>
      </c>
      <c r="E712" s="293"/>
      <c r="F712" s="293"/>
    </row>
    <row r="713" spans="2:6">
      <c r="B713" s="1735">
        <v>7</v>
      </c>
      <c r="C713" s="2587" t="s">
        <v>276</v>
      </c>
      <c r="D713" s="808"/>
      <c r="E713" s="293"/>
      <c r="F713" s="293"/>
    </row>
    <row r="714" spans="2:6">
      <c r="B714" s="1735"/>
      <c r="C714" s="2569" t="s">
        <v>393</v>
      </c>
      <c r="D714" s="808"/>
      <c r="E714" s="293"/>
      <c r="F714" s="293"/>
    </row>
    <row r="715" spans="2:6">
      <c r="B715" s="1735"/>
      <c r="C715" s="2569" t="s">
        <v>394</v>
      </c>
      <c r="D715" s="780">
        <v>19634852</v>
      </c>
      <c r="E715" s="293"/>
      <c r="F715" s="293"/>
    </row>
    <row r="716" spans="2:6">
      <c r="B716" s="1735">
        <v>8</v>
      </c>
      <c r="C716" s="2587" t="s">
        <v>279</v>
      </c>
      <c r="D716" s="808"/>
      <c r="E716" s="293"/>
      <c r="F716" s="293"/>
    </row>
    <row r="717" spans="2:6">
      <c r="B717" s="1735"/>
      <c r="C717" s="2569" t="s">
        <v>395</v>
      </c>
      <c r="D717" s="808"/>
      <c r="E717" s="293"/>
      <c r="F717" s="293"/>
    </row>
    <row r="718" spans="2:6">
      <c r="B718" s="1735"/>
      <c r="C718" s="2569" t="s">
        <v>396</v>
      </c>
      <c r="D718" s="780">
        <v>164125</v>
      </c>
      <c r="E718" s="293"/>
      <c r="F718" s="293"/>
    </row>
    <row r="719" spans="2:6">
      <c r="B719" s="2615">
        <v>9</v>
      </c>
      <c r="C719" s="2580" t="s">
        <v>282</v>
      </c>
      <c r="D719" s="1757">
        <v>31693114</v>
      </c>
      <c r="E719" s="293"/>
      <c r="F719" s="293"/>
    </row>
    <row r="720" spans="2:6">
      <c r="B720" s="1735">
        <v>10</v>
      </c>
      <c r="C720" s="2569" t="s">
        <v>283</v>
      </c>
      <c r="D720" s="780">
        <v>566710</v>
      </c>
      <c r="E720" s="293"/>
      <c r="F720" s="293"/>
    </row>
    <row r="721" spans="2:6">
      <c r="B721" s="1735">
        <v>11</v>
      </c>
      <c r="C721" s="2569" t="s">
        <v>284</v>
      </c>
      <c r="D721" s="780">
        <v>15000226</v>
      </c>
      <c r="E721" s="293"/>
      <c r="F721" s="293"/>
    </row>
    <row r="722" spans="2:6">
      <c r="B722" s="1735">
        <v>12</v>
      </c>
      <c r="C722" s="2569" t="s">
        <v>285</v>
      </c>
      <c r="D722" s="780">
        <v>12157222</v>
      </c>
      <c r="E722" s="293"/>
      <c r="F722" s="293"/>
    </row>
    <row r="723" spans="2:6" ht="25.5">
      <c r="B723" s="1735">
        <v>13</v>
      </c>
      <c r="C723" s="2569" t="s">
        <v>286</v>
      </c>
      <c r="D723" s="780">
        <v>3968956</v>
      </c>
      <c r="E723" s="293"/>
      <c r="F723" s="293"/>
    </row>
    <row r="724" spans="2:6">
      <c r="B724" s="1735">
        <v>14</v>
      </c>
      <c r="C724" s="2570" t="s">
        <v>287</v>
      </c>
      <c r="D724" s="808"/>
      <c r="E724" s="293"/>
      <c r="F724" s="293"/>
    </row>
    <row r="725" spans="2:6">
      <c r="B725" s="1735">
        <v>15</v>
      </c>
      <c r="C725" s="2570" t="s">
        <v>288</v>
      </c>
      <c r="D725" s="780">
        <v>1545865</v>
      </c>
      <c r="E725" s="293"/>
      <c r="F725" s="293"/>
    </row>
    <row r="726" spans="2:6">
      <c r="B726" s="1735">
        <v>16</v>
      </c>
      <c r="C726" s="2570" t="s">
        <v>289</v>
      </c>
      <c r="D726" s="780">
        <v>6202338</v>
      </c>
      <c r="E726" s="293"/>
      <c r="F726" s="293"/>
    </row>
    <row r="727" spans="2:6">
      <c r="B727" s="1735">
        <v>17</v>
      </c>
      <c r="C727" s="2570" t="s">
        <v>290</v>
      </c>
      <c r="D727" s="780">
        <v>783960</v>
      </c>
      <c r="E727" s="383"/>
      <c r="F727" s="383"/>
    </row>
    <row r="728" spans="2:6">
      <c r="B728" s="1735">
        <v>18</v>
      </c>
      <c r="C728" s="2570" t="s">
        <v>291</v>
      </c>
      <c r="D728" s="780">
        <v>478162</v>
      </c>
      <c r="E728" s="293"/>
      <c r="F728" s="293"/>
    </row>
    <row r="729" spans="2:6" ht="13.5" thickBot="1">
      <c r="B729" s="1735">
        <v>19</v>
      </c>
      <c r="C729" s="2571" t="s">
        <v>292</v>
      </c>
      <c r="D729" s="789">
        <v>3186885</v>
      </c>
      <c r="E729" s="293"/>
      <c r="F729" s="293"/>
    </row>
    <row r="730" spans="2:6" ht="26.25" thickBot="1">
      <c r="B730" s="1686">
        <v>20</v>
      </c>
      <c r="C730" s="1705" t="s">
        <v>293</v>
      </c>
      <c r="D730" s="1745">
        <v>76400546</v>
      </c>
      <c r="E730" s="293"/>
      <c r="F730" s="293"/>
    </row>
    <row r="731" spans="2:6">
      <c r="B731" s="1674"/>
      <c r="C731" s="1678" t="s">
        <v>294</v>
      </c>
      <c r="D731" s="808"/>
      <c r="E731" s="293"/>
      <c r="F731" s="293"/>
    </row>
    <row r="732" spans="2:6">
      <c r="B732" s="1674"/>
      <c r="C732" s="2588" t="s">
        <v>295</v>
      </c>
      <c r="D732" s="808"/>
      <c r="E732" s="293"/>
      <c r="F732" s="293"/>
    </row>
    <row r="733" spans="2:6">
      <c r="B733" s="1674">
        <v>21</v>
      </c>
      <c r="C733" s="2570" t="s">
        <v>296</v>
      </c>
      <c r="D733" s="780">
        <v>18866402</v>
      </c>
      <c r="E733" s="293"/>
      <c r="F733" s="293"/>
    </row>
    <row r="734" spans="2:6">
      <c r="B734" s="1674">
        <v>22</v>
      </c>
      <c r="C734" s="2570" t="s">
        <v>297</v>
      </c>
      <c r="D734" s="780">
        <v>1332255</v>
      </c>
      <c r="E734" s="293"/>
      <c r="F734" s="293"/>
    </row>
    <row r="735" spans="2:6">
      <c r="B735" s="1674">
        <v>23</v>
      </c>
      <c r="C735" s="2570" t="s">
        <v>298</v>
      </c>
      <c r="D735" s="780">
        <v>924867</v>
      </c>
      <c r="E735" s="293"/>
      <c r="F735" s="293"/>
    </row>
    <row r="736" spans="2:6">
      <c r="B736" s="1674">
        <v>24</v>
      </c>
      <c r="C736" s="2570" t="s">
        <v>299</v>
      </c>
      <c r="D736" s="808"/>
      <c r="E736" s="293"/>
      <c r="F736" s="293"/>
    </row>
    <row r="737" spans="1:7">
      <c r="B737" s="1674">
        <v>25</v>
      </c>
      <c r="C737" s="2569" t="s">
        <v>300</v>
      </c>
      <c r="D737" s="808"/>
      <c r="E737" s="293"/>
      <c r="F737" s="293"/>
    </row>
    <row r="738" spans="1:7" ht="13.5" thickBot="1">
      <c r="B738" s="1674">
        <v>26</v>
      </c>
      <c r="C738" s="2571" t="s">
        <v>301</v>
      </c>
      <c r="D738" s="789">
        <v>8075761</v>
      </c>
      <c r="E738" s="293"/>
      <c r="F738" s="293"/>
    </row>
    <row r="739" spans="1:7" ht="13.5" thickBot="1">
      <c r="B739" s="1677">
        <v>27</v>
      </c>
      <c r="C739" s="1699" t="s">
        <v>302</v>
      </c>
      <c r="D739" s="826">
        <v>29199285</v>
      </c>
      <c r="E739" s="293"/>
      <c r="F739" s="293"/>
    </row>
    <row r="740" spans="1:7">
      <c r="B740" s="1674"/>
      <c r="C740" s="1678" t="s">
        <v>303</v>
      </c>
      <c r="D740" s="808"/>
      <c r="E740" s="293"/>
      <c r="F740" s="293"/>
    </row>
    <row r="741" spans="1:7">
      <c r="B741" s="1674">
        <v>28</v>
      </c>
      <c r="C741" s="2587" t="s">
        <v>304</v>
      </c>
      <c r="D741" s="780">
        <v>6000000</v>
      </c>
      <c r="E741" s="293"/>
      <c r="F741" s="293"/>
    </row>
    <row r="742" spans="1:7">
      <c r="B742" s="1674">
        <v>29</v>
      </c>
      <c r="C742" s="2587" t="s">
        <v>305</v>
      </c>
      <c r="D742" s="780">
        <v>2819764</v>
      </c>
      <c r="E742" s="293"/>
      <c r="F742" s="293"/>
    </row>
    <row r="743" spans="1:7">
      <c r="B743" s="1674">
        <v>30</v>
      </c>
      <c r="C743" s="2573" t="s">
        <v>306</v>
      </c>
      <c r="D743" s="780">
        <v>7301747</v>
      </c>
      <c r="E743" s="293"/>
      <c r="F743" s="293"/>
    </row>
    <row r="744" spans="1:7" ht="13.5" thickBot="1">
      <c r="B744" s="1674">
        <v>31</v>
      </c>
      <c r="C744" s="2573" t="s">
        <v>308</v>
      </c>
      <c r="D744" s="789">
        <v>31079750</v>
      </c>
      <c r="E744" s="293"/>
      <c r="F744" s="293"/>
    </row>
    <row r="745" spans="1:7" ht="13.5" thickBot="1">
      <c r="B745" s="1677">
        <v>32</v>
      </c>
      <c r="C745" s="1699" t="s">
        <v>309</v>
      </c>
      <c r="D745" s="826">
        <v>47201261</v>
      </c>
      <c r="E745" s="293"/>
      <c r="F745" s="293"/>
    </row>
    <row r="746" spans="1:7" ht="26.25" thickBot="1">
      <c r="A746" s="1758"/>
      <c r="B746" s="1689">
        <v>33</v>
      </c>
      <c r="C746" s="1710" t="s">
        <v>310</v>
      </c>
      <c r="D746" s="1743">
        <v>76400546</v>
      </c>
      <c r="E746" s="293"/>
      <c r="F746" s="293"/>
    </row>
    <row r="747" spans="1:7">
      <c r="B747" s="274"/>
      <c r="C747" s="391"/>
      <c r="D747" s="383"/>
      <c r="E747" s="293"/>
      <c r="F747" s="293"/>
    </row>
    <row r="748" spans="1:7">
      <c r="B748" s="274"/>
      <c r="C748" s="391"/>
      <c r="D748" s="383"/>
      <c r="E748" s="293"/>
      <c r="F748" s="293"/>
      <c r="G748" s="292">
        <v>110</v>
      </c>
    </row>
    <row r="750" spans="1:7">
      <c r="C750" s="52"/>
    </row>
  </sheetData>
  <mergeCells count="78">
    <mergeCell ref="B704:C704"/>
    <mergeCell ref="B602:G602"/>
    <mergeCell ref="B604:C604"/>
    <mergeCell ref="B605:B607"/>
    <mergeCell ref="C605:C607"/>
    <mergeCell ref="D605:D607"/>
    <mergeCell ref="B652:G652"/>
    <mergeCell ref="B654:C654"/>
    <mergeCell ref="B655:B657"/>
    <mergeCell ref="C655:C657"/>
    <mergeCell ref="D655:D657"/>
    <mergeCell ref="B702:G702"/>
    <mergeCell ref="G505:G507"/>
    <mergeCell ref="B552:G552"/>
    <mergeCell ref="B554:C554"/>
    <mergeCell ref="B555:B557"/>
    <mergeCell ref="C555:C557"/>
    <mergeCell ref="D555:D557"/>
    <mergeCell ref="F505:F507"/>
    <mergeCell ref="B504:C504"/>
    <mergeCell ref="B505:B507"/>
    <mergeCell ref="C505:C507"/>
    <mergeCell ref="D505:D507"/>
    <mergeCell ref="E505:E507"/>
    <mergeCell ref="B502:G502"/>
    <mergeCell ref="B402:G402"/>
    <mergeCell ref="B404:C404"/>
    <mergeCell ref="B405:B407"/>
    <mergeCell ref="C405:C407"/>
    <mergeCell ref="D405:D407"/>
    <mergeCell ref="B452:G452"/>
    <mergeCell ref="B454:C454"/>
    <mergeCell ref="B455:B457"/>
    <mergeCell ref="C455:C457"/>
    <mergeCell ref="D455:D457"/>
    <mergeCell ref="B352:G352"/>
    <mergeCell ref="B354:C354"/>
    <mergeCell ref="B355:B357"/>
    <mergeCell ref="C355:C357"/>
    <mergeCell ref="D355:D357"/>
    <mergeCell ref="B302:G302"/>
    <mergeCell ref="B304:C304"/>
    <mergeCell ref="B305:B307"/>
    <mergeCell ref="C305:C307"/>
    <mergeCell ref="D305:D307"/>
    <mergeCell ref="B255:B257"/>
    <mergeCell ref="C255:C257"/>
    <mergeCell ref="D255:D257"/>
    <mergeCell ref="B154:C154"/>
    <mergeCell ref="B155:B157"/>
    <mergeCell ref="C155:C157"/>
    <mergeCell ref="D155:D157"/>
    <mergeCell ref="B202:G202"/>
    <mergeCell ref="B204:C204"/>
    <mergeCell ref="B205:B207"/>
    <mergeCell ref="C205:C207"/>
    <mergeCell ref="D205:D207"/>
    <mergeCell ref="B252:G252"/>
    <mergeCell ref="B254:C254"/>
    <mergeCell ref="B152:G152"/>
    <mergeCell ref="G5:G7"/>
    <mergeCell ref="B52:G52"/>
    <mergeCell ref="B54:C54"/>
    <mergeCell ref="B55:B57"/>
    <mergeCell ref="C55:C57"/>
    <mergeCell ref="D55:D57"/>
    <mergeCell ref="F5:F7"/>
    <mergeCell ref="B102:G102"/>
    <mergeCell ref="B104:C104"/>
    <mergeCell ref="B105:B107"/>
    <mergeCell ref="C105:C107"/>
    <mergeCell ref="D105:D107"/>
    <mergeCell ref="C50:D50"/>
    <mergeCell ref="B4:C4"/>
    <mergeCell ref="B5:B7"/>
    <mergeCell ref="C5:C7"/>
    <mergeCell ref="D5:D7"/>
    <mergeCell ref="E5:E7"/>
  </mergeCells>
  <pageMargins left="0.7" right="0.7" top="0.75" bottom="0.75" header="0.3" footer="0.3"/>
  <pageSetup paperSize="9" scale="75" orientation="portrait" r:id="rId1"/>
  <rowBreaks count="14" manualBreakCount="14">
    <brk id="50" max="16383" man="1"/>
    <brk id="100" max="16383" man="1"/>
    <brk id="150" max="16383" man="1"/>
    <brk id="200" max="16383" man="1"/>
    <brk id="250" max="16383" man="1"/>
    <brk id="300" max="16383" man="1"/>
    <brk id="350" max="16383" man="1"/>
    <brk id="400" max="16383" man="1"/>
    <brk id="450" max="16383" man="1"/>
    <brk id="500" max="16383" man="1"/>
    <brk id="550" max="16383" man="1"/>
    <brk id="600" max="16383" man="1"/>
    <brk id="650" max="16383" man="1"/>
    <brk id="700"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6699"/>
  </sheetPr>
  <dimension ref="A1:U559"/>
  <sheetViews>
    <sheetView showGridLines="0" view="pageBreakPreview" topLeftCell="A49" zoomScaleNormal="100" zoomScaleSheetLayoutView="100" workbookViewId="0">
      <pane xSplit="2" topLeftCell="C1" activePane="topRight" state="frozen"/>
      <selection pane="topRight" activeCell="O45" sqref="O45"/>
    </sheetView>
  </sheetViews>
  <sheetFormatPr defaultColWidth="9.140625" defaultRowHeight="13.5" customHeight="1"/>
  <cols>
    <col min="1" max="1" width="5.85546875" style="515" customWidth="1"/>
    <col min="2" max="2" width="31.140625" style="413" customWidth="1"/>
    <col min="3" max="3" width="15.42578125" style="292" customWidth="1"/>
    <col min="4" max="4" width="13.7109375" style="292" customWidth="1"/>
    <col min="5" max="5" width="15.5703125" style="292" customWidth="1"/>
    <col min="6" max="6" width="16" style="292" customWidth="1"/>
    <col min="7" max="7" width="14.7109375" style="292" bestFit="1" customWidth="1"/>
    <col min="8" max="8" width="14" style="292" customWidth="1"/>
    <col min="9" max="9" width="14.5703125" style="292" customWidth="1"/>
    <col min="10" max="10" width="16.42578125" style="292" customWidth="1"/>
    <col min="11" max="11" width="16.42578125" style="394" customWidth="1"/>
    <col min="12" max="12" width="15.140625" style="292" customWidth="1"/>
    <col min="13" max="15" width="14.85546875" style="292" bestFit="1" customWidth="1"/>
    <col min="16" max="17" width="16" style="292" bestFit="1" customWidth="1"/>
    <col min="18" max="18" width="15.7109375" style="292" bestFit="1" customWidth="1"/>
    <col min="19" max="19" width="14.85546875" style="292" bestFit="1" customWidth="1"/>
    <col min="20" max="20" width="16" style="292" bestFit="1" customWidth="1"/>
    <col min="21" max="21" width="14.85546875" style="292" bestFit="1" customWidth="1"/>
    <col min="22" max="16384" width="9.140625" style="292"/>
  </cols>
  <sheetData>
    <row r="1" spans="1:21" ht="13.5" customHeight="1">
      <c r="B1" s="292"/>
    </row>
    <row r="2" spans="1:21" ht="13.5" customHeight="1">
      <c r="B2" s="295" t="s">
        <v>411</v>
      </c>
      <c r="C2" s="295"/>
      <c r="D2" s="295"/>
    </row>
    <row r="3" spans="1:21" ht="13.5" customHeight="1" thickBot="1">
      <c r="B3" s="295"/>
    </row>
    <row r="4" spans="1:21" ht="13.5" customHeight="1" thickBot="1">
      <c r="B4" s="1759" t="s">
        <v>253</v>
      </c>
      <c r="I4" s="554"/>
      <c r="J4" s="535" t="s">
        <v>232</v>
      </c>
    </row>
    <row r="5" spans="1:21" s="52" customFormat="1" ht="13.5" customHeight="1" thickBot="1">
      <c r="A5" s="414"/>
      <c r="B5" s="3601"/>
      <c r="C5" s="3604">
        <v>2021</v>
      </c>
      <c r="D5" s="3605"/>
      <c r="E5" s="3605"/>
      <c r="F5" s="3605"/>
      <c r="G5" s="3605"/>
      <c r="H5" s="3605"/>
      <c r="I5" s="3605"/>
      <c r="J5" s="3605"/>
      <c r="K5" s="3606"/>
      <c r="M5" s="236"/>
      <c r="N5" s="236"/>
      <c r="O5" s="236"/>
      <c r="P5" s="236"/>
      <c r="Q5" s="236"/>
      <c r="R5" s="236"/>
      <c r="S5" s="236"/>
      <c r="T5" s="236"/>
      <c r="U5" s="236"/>
    </row>
    <row r="6" spans="1:21" s="52" customFormat="1" ht="13.5" customHeight="1" thickBot="1">
      <c r="A6" s="415"/>
      <c r="B6" s="3602"/>
      <c r="C6" s="3607" t="s">
        <v>412</v>
      </c>
      <c r="D6" s="3607" t="s">
        <v>413</v>
      </c>
      <c r="E6" s="3609" t="s">
        <v>414</v>
      </c>
      <c r="F6" s="3610"/>
      <c r="G6" s="3611" t="s">
        <v>415</v>
      </c>
      <c r="H6" s="3611" t="s">
        <v>416</v>
      </c>
      <c r="I6" s="3613" t="s">
        <v>374</v>
      </c>
      <c r="J6" s="3615" t="s">
        <v>118</v>
      </c>
      <c r="K6" s="3615" t="s">
        <v>417</v>
      </c>
      <c r="M6" s="236"/>
      <c r="N6" s="236"/>
      <c r="O6" s="236"/>
      <c r="P6" s="236"/>
      <c r="Q6" s="236"/>
      <c r="R6" s="236"/>
      <c r="S6" s="279"/>
      <c r="T6" s="279"/>
      <c r="U6" s="279"/>
    </row>
    <row r="7" spans="1:21" s="52" customFormat="1" ht="27" customHeight="1" thickBot="1">
      <c r="A7" s="415"/>
      <c r="B7" s="3603"/>
      <c r="C7" s="3608"/>
      <c r="D7" s="3608"/>
      <c r="E7" s="1744" t="s">
        <v>418</v>
      </c>
      <c r="F7" s="1744" t="s">
        <v>419</v>
      </c>
      <c r="G7" s="3612"/>
      <c r="H7" s="3612"/>
      <c r="I7" s="3614"/>
      <c r="J7" s="3616"/>
      <c r="K7" s="3616"/>
      <c r="M7" s="236"/>
      <c r="N7" s="236"/>
      <c r="O7" s="274"/>
      <c r="P7" s="274"/>
      <c r="Q7" s="236"/>
      <c r="R7" s="236"/>
      <c r="S7" s="279"/>
      <c r="T7" s="279"/>
      <c r="U7" s="279"/>
    </row>
    <row r="8" spans="1:21" s="52" customFormat="1" ht="13.5" customHeight="1">
      <c r="A8" s="427"/>
      <c r="B8" s="1761" t="s">
        <v>333</v>
      </c>
      <c r="C8" s="485">
        <f t="shared" ref="C8:H11" si="0">+C44+C80+C116+C152+C188+C224+C260+C296+C332+C368+C404+C440+C476+C512</f>
        <v>14918643</v>
      </c>
      <c r="D8" s="526">
        <f t="shared" si="0"/>
        <v>3134795</v>
      </c>
      <c r="E8" s="485">
        <f t="shared" si="0"/>
        <v>2593268</v>
      </c>
      <c r="F8" s="526">
        <f t="shared" si="0"/>
        <v>58411821</v>
      </c>
      <c r="G8" s="485">
        <f t="shared" si="0"/>
        <v>19979215</v>
      </c>
      <c r="H8" s="526">
        <f t="shared" si="0"/>
        <v>10020780</v>
      </c>
      <c r="I8" s="485">
        <f>+I368</f>
        <v>6754134</v>
      </c>
      <c r="J8" s="1763">
        <f>SUM(C8:I8)</f>
        <v>115812656</v>
      </c>
      <c r="K8" s="485">
        <f>+K368</f>
        <v>3548785</v>
      </c>
      <c r="L8" s="305"/>
      <c r="M8" s="305"/>
      <c r="N8" s="305"/>
      <c r="O8" s="305"/>
      <c r="P8" s="305"/>
      <c r="Q8" s="305"/>
      <c r="R8" s="305"/>
      <c r="S8" s="305"/>
      <c r="T8" s="305"/>
      <c r="U8" s="305"/>
    </row>
    <row r="9" spans="1:21" s="52" customFormat="1" ht="13.5" customHeight="1">
      <c r="A9" s="427"/>
      <c r="B9" s="2616" t="s">
        <v>420</v>
      </c>
      <c r="C9" s="2191">
        <f t="shared" si="0"/>
        <v>-157839</v>
      </c>
      <c r="D9" s="2190">
        <f t="shared" si="0"/>
        <v>-28216</v>
      </c>
      <c r="E9" s="2191">
        <f t="shared" si="0"/>
        <v>0</v>
      </c>
      <c r="F9" s="2190">
        <f t="shared" si="0"/>
        <v>-600</v>
      </c>
      <c r="G9" s="2191">
        <f t="shared" si="0"/>
        <v>-130</v>
      </c>
      <c r="H9" s="2190">
        <f t="shared" si="0"/>
        <v>-92227</v>
      </c>
      <c r="I9" s="2191">
        <f t="shared" ref="I9:I19" si="1">+I369</f>
        <v>0</v>
      </c>
      <c r="J9" s="2617">
        <f t="shared" ref="J9:J11" si="2">SUM(C9:I9)</f>
        <v>-279012</v>
      </c>
      <c r="K9" s="2191">
        <f t="shared" ref="K9:K34" si="3">+K369</f>
        <v>0</v>
      </c>
      <c r="L9" s="305"/>
      <c r="M9" s="305"/>
      <c r="N9" s="305"/>
      <c r="O9" s="305"/>
      <c r="P9" s="305"/>
      <c r="Q9" s="305"/>
      <c r="R9" s="305"/>
      <c r="S9" s="305"/>
      <c r="T9" s="305"/>
      <c r="U9" s="305"/>
    </row>
    <row r="10" spans="1:21" s="52" customFormat="1" ht="13.5" customHeight="1">
      <c r="A10" s="427"/>
      <c r="B10" s="2616" t="s">
        <v>421</v>
      </c>
      <c r="C10" s="2191">
        <f t="shared" si="0"/>
        <v>-4435951</v>
      </c>
      <c r="D10" s="2190">
        <f t="shared" si="0"/>
        <v>-32469</v>
      </c>
      <c r="E10" s="2191">
        <f t="shared" si="0"/>
        <v>0</v>
      </c>
      <c r="F10" s="2190">
        <f t="shared" si="0"/>
        <v>-1270530</v>
      </c>
      <c r="G10" s="2191">
        <f t="shared" si="0"/>
        <v>-18938</v>
      </c>
      <c r="H10" s="2190">
        <f t="shared" si="0"/>
        <v>-1015369</v>
      </c>
      <c r="I10" s="2191">
        <f t="shared" si="1"/>
        <v>0</v>
      </c>
      <c r="J10" s="2617">
        <f>SUM(C10:I10)</f>
        <v>-6773257</v>
      </c>
      <c r="K10" s="2191">
        <f t="shared" si="3"/>
        <v>0</v>
      </c>
      <c r="L10" s="305"/>
      <c r="M10" s="305"/>
      <c r="N10" s="305"/>
      <c r="O10" s="305"/>
      <c r="P10" s="305"/>
      <c r="Q10" s="305"/>
      <c r="R10" s="305"/>
      <c r="S10" s="305"/>
      <c r="T10" s="305"/>
      <c r="U10" s="305"/>
    </row>
    <row r="11" spans="1:21" s="52" customFormat="1" ht="13.5" customHeight="1">
      <c r="A11" s="427"/>
      <c r="B11" s="2616" t="s">
        <v>422</v>
      </c>
      <c r="C11" s="2191">
        <f t="shared" si="0"/>
        <v>-7997992</v>
      </c>
      <c r="D11" s="2190">
        <f t="shared" si="0"/>
        <v>-1885797</v>
      </c>
      <c r="E11" s="2191">
        <f t="shared" si="0"/>
        <v>-244411</v>
      </c>
      <c r="F11" s="2190">
        <f t="shared" si="0"/>
        <v>-3381568</v>
      </c>
      <c r="G11" s="2191">
        <f t="shared" si="0"/>
        <v>-1662947</v>
      </c>
      <c r="H11" s="2190">
        <f t="shared" si="0"/>
        <v>-5305779</v>
      </c>
      <c r="I11" s="2191">
        <f t="shared" si="1"/>
        <v>0</v>
      </c>
      <c r="J11" s="2617">
        <f t="shared" si="2"/>
        <v>-20478494</v>
      </c>
      <c r="K11" s="2191">
        <f t="shared" si="3"/>
        <v>-466293</v>
      </c>
      <c r="L11" s="305"/>
      <c r="M11" s="305"/>
      <c r="N11" s="305"/>
      <c r="O11" s="305"/>
      <c r="P11" s="305"/>
      <c r="Q11" s="305"/>
      <c r="R11" s="305"/>
      <c r="S11" s="305"/>
      <c r="T11" s="305"/>
      <c r="U11" s="305"/>
    </row>
    <row r="12" spans="1:21" s="236" customFormat="1" ht="13.5" customHeight="1">
      <c r="A12" s="428"/>
      <c r="B12" s="2618" t="s">
        <v>423</v>
      </c>
      <c r="C12" s="2619">
        <f>SUM(C8:C11)</f>
        <v>2326861</v>
      </c>
      <c r="D12" s="2620">
        <f t="shared" ref="D12:I12" si="4">SUM(D8:D11)</f>
        <v>1188313</v>
      </c>
      <c r="E12" s="2619">
        <f t="shared" si="4"/>
        <v>2348857</v>
      </c>
      <c r="F12" s="2620">
        <f t="shared" si="4"/>
        <v>53759123</v>
      </c>
      <c r="G12" s="2619">
        <f t="shared" si="4"/>
        <v>18297200</v>
      </c>
      <c r="H12" s="2620">
        <f t="shared" si="4"/>
        <v>3607405</v>
      </c>
      <c r="I12" s="2619">
        <f t="shared" si="4"/>
        <v>6754134</v>
      </c>
      <c r="J12" s="2621">
        <f>SUM(J8:J11)</f>
        <v>88281893</v>
      </c>
      <c r="K12" s="2619">
        <f>SUM(K8:K11)</f>
        <v>3082492</v>
      </c>
      <c r="L12" s="305"/>
      <c r="M12" s="305"/>
      <c r="N12" s="305"/>
      <c r="O12" s="305"/>
      <c r="P12" s="305"/>
      <c r="Q12" s="305"/>
      <c r="R12" s="305"/>
      <c r="S12" s="305"/>
      <c r="T12" s="305"/>
      <c r="U12" s="305"/>
    </row>
    <row r="13" spans="1:21" s="52" customFormat="1" ht="13.5" customHeight="1">
      <c r="A13" s="427"/>
      <c r="B13" s="2616" t="s">
        <v>424</v>
      </c>
      <c r="C13" s="2191">
        <f t="shared" ref="C13:H13" si="5">+C49+C85+C121+C157+C193+C229+C265+C301+C337+C373+C409+C445+C481+C517</f>
        <v>-182719</v>
      </c>
      <c r="D13" s="2190">
        <f t="shared" si="5"/>
        <v>-52343</v>
      </c>
      <c r="E13" s="2191">
        <f t="shared" si="5"/>
        <v>21695</v>
      </c>
      <c r="F13" s="2190">
        <f t="shared" si="5"/>
        <v>-128119</v>
      </c>
      <c r="G13" s="2191">
        <f t="shared" si="5"/>
        <v>-219640</v>
      </c>
      <c r="H13" s="2190">
        <f t="shared" si="5"/>
        <v>-300051</v>
      </c>
      <c r="I13" s="2191">
        <f t="shared" si="1"/>
        <v>-439755</v>
      </c>
      <c r="J13" s="2617">
        <f>SUM(C13:I13)</f>
        <v>-1300932</v>
      </c>
      <c r="K13" s="2191">
        <f t="shared" si="3"/>
        <v>-763068</v>
      </c>
      <c r="L13" s="305"/>
      <c r="M13" s="305"/>
      <c r="N13" s="305"/>
      <c r="O13" s="305"/>
      <c r="P13" s="305"/>
      <c r="Q13" s="305"/>
      <c r="R13" s="305"/>
      <c r="S13" s="305"/>
      <c r="T13" s="305"/>
      <c r="U13" s="305"/>
    </row>
    <row r="14" spans="1:21" s="236" customFormat="1" ht="13.5" customHeight="1">
      <c r="A14" s="428"/>
      <c r="B14" s="2618" t="s">
        <v>425</v>
      </c>
      <c r="C14" s="2619">
        <f>SUM(C12:C13)</f>
        <v>2144142</v>
      </c>
      <c r="D14" s="2620">
        <f t="shared" ref="D14:J14" si="6">SUM(D12:D13)</f>
        <v>1135970</v>
      </c>
      <c r="E14" s="2619">
        <f t="shared" si="6"/>
        <v>2370552</v>
      </c>
      <c r="F14" s="2620">
        <f t="shared" si="6"/>
        <v>53631004</v>
      </c>
      <c r="G14" s="2619">
        <f t="shared" si="6"/>
        <v>18077560</v>
      </c>
      <c r="H14" s="2620">
        <f t="shared" si="6"/>
        <v>3307354</v>
      </c>
      <c r="I14" s="2619">
        <f t="shared" si="6"/>
        <v>6314379</v>
      </c>
      <c r="J14" s="2621">
        <f t="shared" si="6"/>
        <v>86980961</v>
      </c>
      <c r="K14" s="2619">
        <f>SUM(K12:K13)</f>
        <v>2319424</v>
      </c>
      <c r="L14" s="305"/>
      <c r="M14" s="305"/>
      <c r="N14" s="305"/>
      <c r="O14" s="305"/>
      <c r="P14" s="305"/>
      <c r="Q14" s="305"/>
      <c r="R14" s="305"/>
      <c r="S14" s="305"/>
      <c r="T14" s="305"/>
      <c r="U14" s="305"/>
    </row>
    <row r="15" spans="1:21" s="52" customFormat="1" ht="13.5" customHeight="1">
      <c r="A15" s="427"/>
      <c r="B15" s="2616"/>
      <c r="C15" s="2191">
        <f>+C51+C87+C123+C159+C195+C231+C267+C303+C339+C375+C411+C447+C483+C519</f>
        <v>0</v>
      </c>
      <c r="D15" s="2190">
        <v>0</v>
      </c>
      <c r="E15" s="2191">
        <v>0</v>
      </c>
      <c r="F15" s="2190">
        <v>0</v>
      </c>
      <c r="G15" s="2191">
        <v>0</v>
      </c>
      <c r="H15" s="2190">
        <v>0</v>
      </c>
      <c r="I15" s="2191">
        <f t="shared" si="1"/>
        <v>0</v>
      </c>
      <c r="J15" s="2617">
        <v>0</v>
      </c>
      <c r="K15" s="2191">
        <f t="shared" si="3"/>
        <v>0</v>
      </c>
      <c r="L15" s="305"/>
      <c r="M15" s="305"/>
      <c r="N15" s="305"/>
      <c r="O15" s="305"/>
      <c r="P15" s="305"/>
      <c r="Q15" s="305"/>
      <c r="R15" s="305"/>
      <c r="S15" s="305"/>
      <c r="T15" s="305"/>
      <c r="U15" s="305"/>
    </row>
    <row r="16" spans="1:21" s="236" customFormat="1" ht="13.5" customHeight="1">
      <c r="A16" s="428"/>
      <c r="B16" s="2618" t="s">
        <v>426</v>
      </c>
      <c r="C16" s="2619">
        <f>SUM(C17:C19)</f>
        <v>-3330461</v>
      </c>
      <c r="D16" s="2620">
        <f t="shared" ref="D16:I16" si="7">SUM(D17:D19)</f>
        <v>-857598</v>
      </c>
      <c r="E16" s="2619">
        <f t="shared" si="7"/>
        <v>-1222626</v>
      </c>
      <c r="F16" s="2620">
        <f t="shared" si="7"/>
        <v>-36658557</v>
      </c>
      <c r="G16" s="2619">
        <f t="shared" si="7"/>
        <v>-19543109</v>
      </c>
      <c r="H16" s="2620">
        <f t="shared" si="7"/>
        <v>-2616395</v>
      </c>
      <c r="I16" s="2619">
        <f t="shared" si="7"/>
        <v>-1180554</v>
      </c>
      <c r="J16" s="2621">
        <f>SUM(J17:J19)</f>
        <v>-65409300</v>
      </c>
      <c r="K16" s="2619">
        <f>SUM(K17:K19)</f>
        <v>-3093283</v>
      </c>
      <c r="L16" s="305"/>
      <c r="M16" s="305"/>
      <c r="N16" s="305"/>
      <c r="O16" s="305"/>
      <c r="P16" s="305"/>
      <c r="Q16" s="305"/>
      <c r="R16" s="305"/>
      <c r="S16" s="305"/>
      <c r="T16" s="305"/>
      <c r="U16" s="305"/>
    </row>
    <row r="17" spans="1:21" s="52" customFormat="1" ht="27.75" customHeight="1">
      <c r="A17" s="427"/>
      <c r="B17" s="2616" t="s">
        <v>427</v>
      </c>
      <c r="C17" s="2191">
        <f t="shared" ref="C17:H19" si="8">+C53+C89+C125+C161+C197+C233+C269+C305+C341+C377+C413+C449+C485+C521</f>
        <v>-2431448</v>
      </c>
      <c r="D17" s="2190">
        <f t="shared" si="8"/>
        <v>-519210</v>
      </c>
      <c r="E17" s="2191">
        <f t="shared" si="8"/>
        <v>-499881</v>
      </c>
      <c r="F17" s="2190">
        <f t="shared" si="8"/>
        <v>-26088009</v>
      </c>
      <c r="G17" s="2191">
        <f t="shared" si="8"/>
        <v>-17267200</v>
      </c>
      <c r="H17" s="2190">
        <f t="shared" si="8"/>
        <v>-1510957</v>
      </c>
      <c r="I17" s="2191">
        <f t="shared" si="1"/>
        <v>-36899</v>
      </c>
      <c r="J17" s="2617">
        <f>SUM(C17:I17)</f>
        <v>-48353604</v>
      </c>
      <c r="K17" s="2191">
        <f t="shared" si="3"/>
        <v>-2379115</v>
      </c>
      <c r="L17" s="305"/>
      <c r="M17" s="305"/>
      <c r="N17" s="305"/>
      <c r="O17" s="305"/>
      <c r="P17" s="305"/>
      <c r="Q17" s="305"/>
      <c r="R17" s="305"/>
      <c r="S17" s="305"/>
      <c r="T17" s="305"/>
      <c r="U17" s="305"/>
    </row>
    <row r="18" spans="1:21" s="52" customFormat="1" ht="26.25" customHeight="1">
      <c r="A18" s="427"/>
      <c r="B18" s="2616" t="s">
        <v>428</v>
      </c>
      <c r="C18" s="2191">
        <f t="shared" si="8"/>
        <v>-162919</v>
      </c>
      <c r="D18" s="2190">
        <f t="shared" si="8"/>
        <v>-69474</v>
      </c>
      <c r="E18" s="2191">
        <f t="shared" si="8"/>
        <v>-29341</v>
      </c>
      <c r="F18" s="2190">
        <f t="shared" si="8"/>
        <v>-6494195</v>
      </c>
      <c r="G18" s="2191">
        <f t="shared" si="8"/>
        <v>-818710</v>
      </c>
      <c r="H18" s="2190">
        <f t="shared" si="8"/>
        <v>-568727</v>
      </c>
      <c r="I18" s="2191">
        <f t="shared" si="1"/>
        <v>-1028622</v>
      </c>
      <c r="J18" s="2617">
        <f t="shared" ref="J18:J19" si="9">SUM(C18:I18)</f>
        <v>-9171988</v>
      </c>
      <c r="K18" s="2191">
        <f t="shared" si="3"/>
        <v>-714168</v>
      </c>
      <c r="L18" s="305"/>
      <c r="M18" s="305"/>
      <c r="N18" s="305"/>
      <c r="O18" s="305"/>
      <c r="P18" s="305"/>
      <c r="Q18" s="305"/>
      <c r="R18" s="305"/>
      <c r="S18" s="305"/>
      <c r="T18" s="305"/>
      <c r="U18" s="305"/>
    </row>
    <row r="19" spans="1:21" s="52" customFormat="1" ht="25.5" customHeight="1">
      <c r="A19" s="427"/>
      <c r="B19" s="2616" t="s">
        <v>429</v>
      </c>
      <c r="C19" s="2191">
        <f t="shared" si="8"/>
        <v>-736094</v>
      </c>
      <c r="D19" s="2190">
        <f t="shared" si="8"/>
        <v>-268914</v>
      </c>
      <c r="E19" s="2191">
        <f t="shared" si="8"/>
        <v>-693404</v>
      </c>
      <c r="F19" s="2190">
        <f t="shared" si="8"/>
        <v>-4076353</v>
      </c>
      <c r="G19" s="2191">
        <f t="shared" si="8"/>
        <v>-1457199</v>
      </c>
      <c r="H19" s="2190">
        <f t="shared" si="8"/>
        <v>-536711</v>
      </c>
      <c r="I19" s="2191">
        <f t="shared" si="1"/>
        <v>-115033</v>
      </c>
      <c r="J19" s="2617">
        <f t="shared" si="9"/>
        <v>-7883708</v>
      </c>
      <c r="K19" s="2191">
        <f t="shared" si="3"/>
        <v>0</v>
      </c>
      <c r="L19" s="305"/>
      <c r="M19" s="305"/>
      <c r="N19" s="305"/>
      <c r="O19" s="305"/>
      <c r="P19" s="305"/>
      <c r="Q19" s="305"/>
      <c r="R19" s="305"/>
      <c r="S19" s="305"/>
      <c r="T19" s="305"/>
      <c r="U19" s="305"/>
    </row>
    <row r="20" spans="1:21" s="236" customFormat="1" ht="13.5" customHeight="1">
      <c r="A20" s="428"/>
      <c r="B20" s="2622" t="s">
        <v>430</v>
      </c>
      <c r="C20" s="2619">
        <f>+C14+C16</f>
        <v>-1186319</v>
      </c>
      <c r="D20" s="2620">
        <f t="shared" ref="D20:I20" si="10">+D14+D16</f>
        <v>278372</v>
      </c>
      <c r="E20" s="2619">
        <f t="shared" si="10"/>
        <v>1147926</v>
      </c>
      <c r="F20" s="2620">
        <f t="shared" si="10"/>
        <v>16972447</v>
      </c>
      <c r="G20" s="2619">
        <f t="shared" si="10"/>
        <v>-1465549</v>
      </c>
      <c r="H20" s="2620">
        <f t="shared" si="10"/>
        <v>690959</v>
      </c>
      <c r="I20" s="2619">
        <f t="shared" si="10"/>
        <v>5133825</v>
      </c>
      <c r="J20" s="2621">
        <f>+J14+J16</f>
        <v>21571661</v>
      </c>
      <c r="K20" s="2619">
        <f>+K14+K16</f>
        <v>-773859</v>
      </c>
      <c r="L20" s="305"/>
      <c r="M20" s="305"/>
      <c r="N20" s="305"/>
      <c r="O20" s="305"/>
      <c r="P20" s="305"/>
      <c r="Q20" s="305"/>
      <c r="R20" s="305"/>
      <c r="S20" s="305"/>
      <c r="T20" s="305"/>
      <c r="U20" s="305"/>
    </row>
    <row r="21" spans="1:21" s="52" customFormat="1" ht="13.5" customHeight="1">
      <c r="A21" s="427"/>
      <c r="B21" s="2623"/>
      <c r="C21" s="2191"/>
      <c r="D21" s="2190"/>
      <c r="E21" s="2191"/>
      <c r="F21" s="2190"/>
      <c r="G21" s="2191"/>
      <c r="H21" s="2190"/>
      <c r="I21" s="2191"/>
      <c r="J21" s="2617">
        <v>0</v>
      </c>
      <c r="K21" s="2191">
        <f t="shared" si="3"/>
        <v>0</v>
      </c>
      <c r="L21" s="305"/>
      <c r="M21" s="305"/>
      <c r="N21" s="305"/>
      <c r="O21" s="305"/>
      <c r="P21" s="305"/>
      <c r="Q21" s="305"/>
      <c r="R21" s="305"/>
      <c r="S21" s="305"/>
      <c r="T21" s="305"/>
      <c r="U21" s="305"/>
    </row>
    <row r="22" spans="1:21" s="52" customFormat="1" ht="13.5" customHeight="1">
      <c r="A22" s="427"/>
      <c r="B22" s="2618" t="s">
        <v>431</v>
      </c>
      <c r="C22" s="2624"/>
      <c r="D22" s="2625"/>
      <c r="E22" s="2624"/>
      <c r="F22" s="2625"/>
      <c r="G22" s="2624"/>
      <c r="H22" s="2625"/>
      <c r="I22" s="2624"/>
      <c r="J22" s="2621">
        <f>SUM(J23:J25)</f>
        <v>14948948</v>
      </c>
      <c r="K22" s="2619">
        <f>SUM(K23:K25)</f>
        <v>282825</v>
      </c>
      <c r="L22" s="305"/>
      <c r="M22" s="305"/>
      <c r="N22" s="492"/>
      <c r="O22" s="305"/>
      <c r="P22" s="305"/>
      <c r="Q22" s="305"/>
      <c r="R22" s="305"/>
      <c r="S22" s="305"/>
      <c r="T22" s="305"/>
      <c r="U22" s="305"/>
    </row>
    <row r="23" spans="1:21" s="52" customFormat="1" ht="13.5" customHeight="1">
      <c r="A23" s="427"/>
      <c r="B23" s="2616" t="s">
        <v>432</v>
      </c>
      <c r="C23" s="2624"/>
      <c r="D23" s="2625"/>
      <c r="E23" s="2624"/>
      <c r="F23" s="2625"/>
      <c r="G23" s="2624"/>
      <c r="H23" s="2625"/>
      <c r="I23" s="2624"/>
      <c r="J23" s="2617">
        <f t="shared" ref="J23:J29" si="11">+I59+I95+I131+I167+I203+I239+I275+I311+I347+J383+I419+I455+I491+I527</f>
        <v>1915255</v>
      </c>
      <c r="K23" s="2191">
        <f t="shared" si="3"/>
        <v>0</v>
      </c>
      <c r="L23" s="305"/>
      <c r="M23" s="305"/>
      <c r="N23" s="305"/>
      <c r="O23" s="305"/>
      <c r="P23" s="305"/>
      <c r="Q23" s="305"/>
      <c r="R23" s="305"/>
      <c r="S23" s="305"/>
      <c r="T23" s="305"/>
      <c r="U23" s="305"/>
    </row>
    <row r="24" spans="1:21" s="52" customFormat="1" ht="13.5" customHeight="1">
      <c r="A24" s="427"/>
      <c r="B24" s="2616" t="s">
        <v>433</v>
      </c>
      <c r="C24" s="2624"/>
      <c r="D24" s="2625"/>
      <c r="E24" s="2624"/>
      <c r="F24" s="2625"/>
      <c r="G24" s="2624"/>
      <c r="H24" s="2625"/>
      <c r="I24" s="2624"/>
      <c r="J24" s="2617">
        <f t="shared" si="11"/>
        <v>11282156</v>
      </c>
      <c r="K24" s="2191">
        <f t="shared" si="3"/>
        <v>145401</v>
      </c>
      <c r="L24" s="305"/>
      <c r="M24" s="305"/>
      <c r="N24" s="305"/>
      <c r="O24" s="305"/>
      <c r="P24" s="305"/>
      <c r="Q24" s="305"/>
      <c r="R24" s="305"/>
      <c r="S24" s="305"/>
      <c r="T24" s="305"/>
      <c r="U24" s="305"/>
    </row>
    <row r="25" spans="1:21" s="52" customFormat="1" ht="13.5" customHeight="1">
      <c r="A25" s="427"/>
      <c r="B25" s="2616" t="s">
        <v>434</v>
      </c>
      <c r="C25" s="2624"/>
      <c r="D25" s="2625"/>
      <c r="E25" s="2624"/>
      <c r="F25" s="2625"/>
      <c r="G25" s="2624"/>
      <c r="H25" s="2625"/>
      <c r="I25" s="2624"/>
      <c r="J25" s="2617">
        <f t="shared" si="11"/>
        <v>1751537</v>
      </c>
      <c r="K25" s="2191">
        <f t="shared" si="3"/>
        <v>137424</v>
      </c>
      <c r="L25" s="305"/>
      <c r="M25" s="305"/>
      <c r="N25" s="305"/>
      <c r="O25" s="305"/>
      <c r="P25" s="305"/>
      <c r="Q25" s="305"/>
      <c r="R25" s="305"/>
      <c r="S25" s="305"/>
      <c r="T25" s="305"/>
      <c r="U25" s="305"/>
    </row>
    <row r="26" spans="1:21" s="52" customFormat="1" ht="13.5" customHeight="1">
      <c r="A26" s="427"/>
      <c r="B26" s="2616"/>
      <c r="C26" s="2624"/>
      <c r="D26" s="2625"/>
      <c r="E26" s="2624"/>
      <c r="F26" s="2625"/>
      <c r="G26" s="2624"/>
      <c r="H26" s="2625"/>
      <c r="I26" s="2624"/>
      <c r="J26" s="2617">
        <f t="shared" si="11"/>
        <v>0</v>
      </c>
      <c r="K26" s="2191">
        <f t="shared" si="3"/>
        <v>0</v>
      </c>
      <c r="L26" s="305"/>
      <c r="M26" s="305"/>
      <c r="N26" s="305"/>
      <c r="O26" s="305"/>
      <c r="P26" s="305"/>
      <c r="Q26" s="305"/>
      <c r="R26" s="305"/>
      <c r="S26" s="305"/>
      <c r="T26" s="305"/>
      <c r="U26" s="305"/>
    </row>
    <row r="27" spans="1:21" s="52" customFormat="1" ht="13.5" customHeight="1">
      <c r="A27" s="427"/>
      <c r="B27" s="2618" t="s">
        <v>435</v>
      </c>
      <c r="C27" s="2624"/>
      <c r="D27" s="2625"/>
      <c r="E27" s="2624"/>
      <c r="F27" s="2625"/>
      <c r="G27" s="2624"/>
      <c r="H27" s="2625"/>
      <c r="I27" s="2624"/>
      <c r="J27" s="2621">
        <f>+I63+I99+I135+I171+I207+I243+I279+I315+I351+J387+I423+I459+I495+I531</f>
        <v>-17229909</v>
      </c>
      <c r="K27" s="2619">
        <f>SUM(K28:K29)</f>
        <v>-34471</v>
      </c>
      <c r="L27" s="305"/>
      <c r="M27" s="305"/>
      <c r="N27" s="305"/>
      <c r="O27" s="305"/>
      <c r="P27" s="305"/>
      <c r="Q27" s="305"/>
      <c r="R27" s="305"/>
      <c r="S27" s="305"/>
      <c r="T27" s="305"/>
      <c r="U27" s="305"/>
    </row>
    <row r="28" spans="1:21" s="52" customFormat="1" ht="24.75" customHeight="1">
      <c r="A28" s="427"/>
      <c r="B28" s="2616" t="s">
        <v>436</v>
      </c>
      <c r="C28" s="2624"/>
      <c r="D28" s="2625"/>
      <c r="E28" s="2624"/>
      <c r="F28" s="2625"/>
      <c r="G28" s="2624"/>
      <c r="H28" s="2625"/>
      <c r="I28" s="2624"/>
      <c r="J28" s="2617">
        <f>+I64+I100+I136+I172+I208+I244+I280+I316+I352+J388+I424+I460+I496+I532</f>
        <v>-17229909</v>
      </c>
      <c r="K28" s="2191">
        <f t="shared" si="3"/>
        <v>-34471</v>
      </c>
      <c r="L28" s="305"/>
      <c r="M28" s="305"/>
      <c r="N28" s="305"/>
      <c r="O28" s="305"/>
      <c r="P28" s="305"/>
      <c r="Q28" s="305"/>
      <c r="R28" s="305"/>
      <c r="S28" s="305"/>
      <c r="T28" s="305"/>
      <c r="U28" s="305"/>
    </row>
    <row r="29" spans="1:21" s="52" customFormat="1" ht="30" customHeight="1">
      <c r="A29" s="427"/>
      <c r="B29" s="2616" t="s">
        <v>437</v>
      </c>
      <c r="C29" s="2624"/>
      <c r="D29" s="2625"/>
      <c r="E29" s="2624"/>
      <c r="F29" s="2625"/>
      <c r="G29" s="2624"/>
      <c r="H29" s="2625"/>
      <c r="I29" s="2624"/>
      <c r="J29" s="2617">
        <f t="shared" si="11"/>
        <v>0</v>
      </c>
      <c r="K29" s="2191">
        <f t="shared" si="3"/>
        <v>0</v>
      </c>
      <c r="L29" s="305"/>
      <c r="M29" s="305"/>
      <c r="N29" s="305"/>
      <c r="O29" s="305"/>
      <c r="P29" s="305"/>
      <c r="Q29" s="305"/>
      <c r="R29" s="305"/>
      <c r="S29" s="305"/>
      <c r="T29" s="305"/>
      <c r="U29" s="305"/>
    </row>
    <row r="30" spans="1:21" s="236" customFormat="1" ht="13.5" customHeight="1">
      <c r="A30" s="428"/>
      <c r="B30" s="2618" t="s">
        <v>438</v>
      </c>
      <c r="C30" s="2624"/>
      <c r="D30" s="2625"/>
      <c r="E30" s="2624"/>
      <c r="F30" s="2625"/>
      <c r="G30" s="2624"/>
      <c r="H30" s="2625"/>
      <c r="I30" s="2624"/>
      <c r="J30" s="2621">
        <f>+J20+J22+J27</f>
        <v>19290700</v>
      </c>
      <c r="K30" s="2619">
        <f>+K20+K22+K27</f>
        <v>-525505</v>
      </c>
      <c r="L30" s="305"/>
      <c r="M30" s="305"/>
      <c r="N30" s="305"/>
      <c r="O30" s="305"/>
      <c r="P30" s="305"/>
      <c r="Q30" s="305"/>
      <c r="R30" s="305"/>
      <c r="S30" s="305"/>
      <c r="T30" s="305"/>
      <c r="U30" s="305"/>
    </row>
    <row r="31" spans="1:21" s="52" customFormat="1" ht="13.5" customHeight="1">
      <c r="A31" s="427"/>
      <c r="B31" s="2616" t="s">
        <v>439</v>
      </c>
      <c r="C31" s="2624"/>
      <c r="D31" s="2625"/>
      <c r="E31" s="2624"/>
      <c r="F31" s="2625"/>
      <c r="G31" s="2624"/>
      <c r="H31" s="2625"/>
      <c r="I31" s="2624"/>
      <c r="J31" s="2617">
        <f>+I67+I103+I139+I175+I211+I247+I283+I319+I355+J391+I427+I463+I499+I535</f>
        <v>-248323</v>
      </c>
      <c r="K31" s="2191">
        <f t="shared" si="3"/>
        <v>0</v>
      </c>
      <c r="L31" s="305"/>
      <c r="M31" s="305"/>
      <c r="N31" s="305"/>
      <c r="O31" s="305"/>
      <c r="P31" s="305"/>
      <c r="Q31" s="305"/>
      <c r="R31" s="305"/>
      <c r="S31" s="305"/>
      <c r="T31" s="305"/>
      <c r="U31" s="305"/>
    </row>
    <row r="32" spans="1:21" s="236" customFormat="1" ht="13.5" customHeight="1">
      <c r="A32" s="428"/>
      <c r="B32" s="2626" t="s">
        <v>440</v>
      </c>
      <c r="C32" s="2624"/>
      <c r="D32" s="2625"/>
      <c r="E32" s="2624"/>
      <c r="F32" s="2625"/>
      <c r="G32" s="2624"/>
      <c r="H32" s="2625"/>
      <c r="I32" s="2624"/>
      <c r="J32" s="2621">
        <f>+I68+I104+I140+I176+I212+I248+I284+I320+I356+J392+I428+I464+I500+I536</f>
        <v>19042377</v>
      </c>
      <c r="K32" s="2619">
        <f t="shared" si="3"/>
        <v>-525505</v>
      </c>
      <c r="L32" s="305"/>
      <c r="M32" s="305"/>
      <c r="N32" s="305"/>
      <c r="O32" s="305"/>
      <c r="P32" s="305"/>
      <c r="Q32" s="305"/>
      <c r="R32" s="305"/>
      <c r="S32" s="305"/>
      <c r="T32" s="305"/>
      <c r="U32" s="305"/>
    </row>
    <row r="33" spans="1:21" s="52" customFormat="1" ht="13.5" customHeight="1">
      <c r="A33" s="427"/>
      <c r="B33" s="2627" t="s">
        <v>441</v>
      </c>
      <c r="C33" s="2624"/>
      <c r="D33" s="2625"/>
      <c r="E33" s="2624"/>
      <c r="F33" s="2625"/>
      <c r="G33" s="2624"/>
      <c r="H33" s="2625"/>
      <c r="I33" s="2624"/>
      <c r="J33" s="2617">
        <f>+I69+I105+I141+I177+I213+I249+I285+I321+I357+J393+I429+I465+I501+I537</f>
        <v>-3054638</v>
      </c>
      <c r="K33" s="2191">
        <f t="shared" si="3"/>
        <v>0</v>
      </c>
      <c r="L33" s="305"/>
      <c r="M33" s="305"/>
      <c r="N33" s="305"/>
      <c r="O33" s="305"/>
      <c r="P33" s="305"/>
      <c r="Q33" s="305"/>
      <c r="R33" s="305"/>
      <c r="S33" s="305"/>
      <c r="T33" s="305"/>
      <c r="U33" s="305"/>
    </row>
    <row r="34" spans="1:21" s="236" customFormat="1" ht="13.5" customHeight="1" thickBot="1">
      <c r="A34" s="428"/>
      <c r="B34" s="1762" t="s">
        <v>442</v>
      </c>
      <c r="C34" s="489"/>
      <c r="D34" s="1312"/>
      <c r="E34" s="489"/>
      <c r="F34" s="1312"/>
      <c r="G34" s="489"/>
      <c r="H34" s="1312"/>
      <c r="I34" s="489"/>
      <c r="J34" s="1764">
        <f>SUM(J32:J33)</f>
        <v>15987739</v>
      </c>
      <c r="K34" s="486">
        <f t="shared" si="3"/>
        <v>-525505</v>
      </c>
      <c r="L34" s="305"/>
      <c r="M34" s="305"/>
      <c r="N34" s="305"/>
      <c r="O34" s="305"/>
      <c r="P34" s="305"/>
      <c r="Q34" s="305"/>
      <c r="R34" s="305"/>
      <c r="S34" s="305"/>
      <c r="T34" s="305"/>
      <c r="U34" s="305"/>
    </row>
    <row r="35" spans="1:21" s="236" customFormat="1" ht="13.5" customHeight="1">
      <c r="A35" s="287"/>
      <c r="B35" s="455"/>
      <c r="C35" s="279"/>
      <c r="D35" s="279"/>
      <c r="E35" s="279"/>
      <c r="F35" s="279"/>
      <c r="G35" s="279"/>
      <c r="H35" s="279"/>
      <c r="I35" s="279"/>
      <c r="J35" s="305"/>
      <c r="K35" s="279"/>
      <c r="M35" s="305"/>
      <c r="N35" s="305"/>
      <c r="O35" s="305"/>
      <c r="P35" s="305"/>
      <c r="Q35" s="305"/>
      <c r="R35" s="305"/>
      <c r="S35" s="305"/>
      <c r="T35" s="305"/>
      <c r="U35" s="305"/>
    </row>
    <row r="36" spans="1:21" s="236" customFormat="1" ht="13.5" customHeight="1">
      <c r="A36" s="287"/>
      <c r="B36" s="455"/>
      <c r="C36" s="279"/>
      <c r="D36" s="279"/>
      <c r="E36" s="279"/>
      <c r="F36" s="279"/>
      <c r="G36" s="279"/>
      <c r="H36" s="279"/>
      <c r="I36" s="279"/>
      <c r="J36" s="305"/>
      <c r="K36" s="264">
        <v>111</v>
      </c>
      <c r="M36" s="305"/>
      <c r="N36" s="305"/>
      <c r="O36" s="305"/>
      <c r="P36" s="305"/>
      <c r="Q36" s="305"/>
      <c r="R36" s="305"/>
      <c r="S36" s="305"/>
      <c r="T36" s="305"/>
      <c r="U36" s="305"/>
    </row>
    <row r="37" spans="1:21" s="52" customFormat="1" ht="13.5" customHeight="1">
      <c r="A37" s="427"/>
      <c r="B37" s="455"/>
      <c r="C37" s="433"/>
      <c r="D37" s="433"/>
      <c r="E37" s="433"/>
      <c r="F37" s="433"/>
      <c r="G37" s="433"/>
      <c r="H37" s="433"/>
      <c r="I37" s="555"/>
      <c r="J37" s="555"/>
      <c r="K37" s="394"/>
      <c r="L37" s="305"/>
      <c r="M37" s="305"/>
      <c r="N37" s="305"/>
      <c r="O37" s="305"/>
      <c r="P37" s="305"/>
      <c r="Q37" s="305"/>
      <c r="R37" s="305"/>
      <c r="S37" s="305"/>
      <c r="T37" s="305"/>
      <c r="U37" s="305"/>
    </row>
    <row r="38" spans="1:21" s="52" customFormat="1" ht="13.5" customHeight="1">
      <c r="A38" s="427"/>
      <c r="B38" s="295" t="s">
        <v>443</v>
      </c>
      <c r="C38" s="295"/>
      <c r="D38" s="295"/>
      <c r="E38" s="433"/>
      <c r="F38" s="433"/>
      <c r="G38" s="433"/>
      <c r="H38" s="433"/>
      <c r="I38" s="555"/>
      <c r="J38" s="555"/>
      <c r="K38" s="394"/>
      <c r="L38" s="305"/>
      <c r="M38" s="305"/>
      <c r="N38" s="305"/>
      <c r="O38" s="305"/>
      <c r="P38" s="305"/>
      <c r="Q38" s="305"/>
      <c r="R38" s="305"/>
      <c r="S38" s="305"/>
      <c r="T38" s="305"/>
      <c r="U38" s="305"/>
    </row>
    <row r="39" spans="1:21" s="52" customFormat="1" ht="13.5" customHeight="1" thickBot="1">
      <c r="A39" s="427"/>
      <c r="B39" s="218"/>
      <c r="C39" s="218"/>
      <c r="D39" s="218"/>
      <c r="E39" s="433"/>
      <c r="F39" s="433"/>
      <c r="G39" s="433"/>
      <c r="H39" s="433"/>
      <c r="I39" s="555"/>
      <c r="J39" s="555"/>
      <c r="K39" s="394"/>
      <c r="L39" s="305"/>
      <c r="M39" s="305"/>
      <c r="N39" s="305"/>
      <c r="O39" s="305"/>
      <c r="P39" s="305"/>
      <c r="Q39" s="305"/>
      <c r="R39" s="305"/>
      <c r="S39" s="305"/>
      <c r="T39" s="305"/>
      <c r="U39" s="305"/>
    </row>
    <row r="40" spans="1:21" ht="13.5" customHeight="1" thickBot="1">
      <c r="B40" s="1765" t="s">
        <v>92</v>
      </c>
      <c r="I40" s="535" t="s">
        <v>232</v>
      </c>
      <c r="J40" s="556"/>
      <c r="L40" s="305"/>
      <c r="M40" s="305"/>
      <c r="N40" s="305"/>
      <c r="O40" s="305"/>
      <c r="P40" s="305"/>
      <c r="Q40" s="305"/>
      <c r="R40" s="305"/>
      <c r="S40" s="305"/>
      <c r="T40" s="305"/>
      <c r="U40" s="305"/>
    </row>
    <row r="41" spans="1:21" s="52" customFormat="1" ht="13.5" customHeight="1" thickBot="1">
      <c r="A41" s="414"/>
      <c r="B41" s="3518"/>
      <c r="C41" s="3619">
        <v>2021</v>
      </c>
      <c r="D41" s="3605"/>
      <c r="E41" s="3618"/>
      <c r="F41" s="3618"/>
      <c r="G41" s="3618"/>
      <c r="H41" s="3618"/>
      <c r="I41" s="3610"/>
      <c r="J41" s="454"/>
      <c r="K41" s="394"/>
      <c r="L41" s="305"/>
      <c r="M41" s="305"/>
      <c r="N41" s="305"/>
      <c r="O41" s="305"/>
      <c r="P41" s="305"/>
      <c r="Q41" s="305"/>
      <c r="R41" s="305"/>
      <c r="S41" s="305"/>
      <c r="T41" s="305"/>
      <c r="U41" s="305"/>
    </row>
    <row r="42" spans="1:21" s="52" customFormat="1" ht="13.5" customHeight="1" thickBot="1">
      <c r="A42" s="415"/>
      <c r="B42" s="3520"/>
      <c r="C42" s="3620" t="s">
        <v>412</v>
      </c>
      <c r="D42" s="3607" t="s">
        <v>413</v>
      </c>
      <c r="E42" s="3619" t="s">
        <v>414</v>
      </c>
      <c r="F42" s="3610"/>
      <c r="G42" s="3611" t="s">
        <v>415</v>
      </c>
      <c r="H42" s="3622" t="s">
        <v>416</v>
      </c>
      <c r="I42" s="3607" t="s">
        <v>118</v>
      </c>
      <c r="J42" s="454"/>
      <c r="K42" s="3617"/>
      <c r="L42" s="305"/>
      <c r="M42" s="305"/>
      <c r="N42" s="305"/>
      <c r="O42" s="305"/>
      <c r="P42" s="305"/>
      <c r="Q42" s="305"/>
      <c r="R42" s="305"/>
      <c r="S42" s="305"/>
      <c r="T42" s="305"/>
      <c r="U42" s="305"/>
    </row>
    <row r="43" spans="1:21" s="52" customFormat="1" ht="13.5" customHeight="1" thickBot="1">
      <c r="A43" s="415"/>
      <c r="B43" s="3519"/>
      <c r="C43" s="3621"/>
      <c r="D43" s="3608"/>
      <c r="E43" s="1729" t="s">
        <v>418</v>
      </c>
      <c r="F43" s="1760" t="s">
        <v>419</v>
      </c>
      <c r="G43" s="3612"/>
      <c r="H43" s="3623"/>
      <c r="I43" s="3608"/>
      <c r="J43" s="454"/>
      <c r="K43" s="3617"/>
      <c r="L43" s="305"/>
      <c r="M43" s="305"/>
      <c r="N43" s="305"/>
      <c r="O43" s="305"/>
      <c r="P43" s="305"/>
      <c r="Q43" s="305"/>
      <c r="R43" s="305"/>
      <c r="S43" s="305"/>
      <c r="T43" s="305"/>
      <c r="U43" s="305"/>
    </row>
    <row r="44" spans="1:21" s="52" customFormat="1" ht="13.5" customHeight="1">
      <c r="A44" s="427"/>
      <c r="B44" s="1766" t="s">
        <v>333</v>
      </c>
      <c r="C44" s="2628">
        <v>2724266</v>
      </c>
      <c r="D44" s="2629">
        <v>394122</v>
      </c>
      <c r="E44" s="2628"/>
      <c r="F44" s="865">
        <v>8169548</v>
      </c>
      <c r="G44" s="2628">
        <v>1594647</v>
      </c>
      <c r="H44" s="865">
        <v>706442</v>
      </c>
      <c r="I44" s="2630">
        <f>SUM(C44:H44)</f>
        <v>13589025</v>
      </c>
      <c r="J44" s="431"/>
      <c r="K44" s="286"/>
      <c r="L44" s="305"/>
      <c r="M44" s="305"/>
      <c r="N44" s="305"/>
      <c r="O44" s="305"/>
      <c r="P44" s="305"/>
      <c r="Q44" s="305"/>
      <c r="R44" s="305"/>
      <c r="S44" s="305"/>
      <c r="T44" s="305"/>
      <c r="U44" s="305"/>
    </row>
    <row r="45" spans="1:21" s="52" customFormat="1" ht="13.5" customHeight="1">
      <c r="A45" s="427"/>
      <c r="B45" s="2631" t="s">
        <v>420</v>
      </c>
      <c r="C45" s="2628"/>
      <c r="D45" s="866"/>
      <c r="E45" s="867"/>
      <c r="F45" s="866"/>
      <c r="G45" s="867"/>
      <c r="H45" s="866"/>
      <c r="I45" s="2630"/>
      <c r="J45" s="431"/>
      <c r="K45" s="286"/>
      <c r="L45" s="305"/>
      <c r="M45" s="305"/>
      <c r="N45" s="305"/>
      <c r="O45" s="305"/>
      <c r="P45" s="305"/>
      <c r="Q45" s="305"/>
      <c r="R45" s="305"/>
      <c r="S45" s="305"/>
      <c r="T45" s="305"/>
      <c r="U45" s="305"/>
    </row>
    <row r="46" spans="1:21" s="52" customFormat="1" ht="13.5" customHeight="1">
      <c r="A46" s="427"/>
      <c r="B46" s="2631" t="s">
        <v>421</v>
      </c>
      <c r="C46" s="872">
        <v>-793297</v>
      </c>
      <c r="D46" s="873">
        <v>-3100</v>
      </c>
      <c r="E46" s="872"/>
      <c r="F46" s="873">
        <v>-205621</v>
      </c>
      <c r="G46" s="872">
        <v>-18938</v>
      </c>
      <c r="H46" s="873">
        <v>-77936</v>
      </c>
      <c r="I46" s="2630">
        <f>SUM(C46:H46)</f>
        <v>-1098892</v>
      </c>
      <c r="J46" s="431"/>
      <c r="K46" s="286"/>
      <c r="L46" s="305"/>
      <c r="M46" s="305"/>
      <c r="N46" s="305"/>
      <c r="O46" s="305"/>
      <c r="P46" s="305"/>
      <c r="Q46" s="305"/>
      <c r="R46" s="305"/>
      <c r="S46" s="305"/>
      <c r="T46" s="305"/>
      <c r="U46" s="305"/>
    </row>
    <row r="47" spans="1:21" s="52" customFormat="1" ht="13.5" customHeight="1">
      <c r="A47" s="427"/>
      <c r="B47" s="2631" t="s">
        <v>422</v>
      </c>
      <c r="C47" s="867">
        <v>-1206533</v>
      </c>
      <c r="D47" s="866">
        <v>-45558</v>
      </c>
      <c r="E47" s="867"/>
      <c r="F47" s="866">
        <v>-13971</v>
      </c>
      <c r="G47" s="867">
        <v>-216995</v>
      </c>
      <c r="H47" s="866">
        <v>-239622</v>
      </c>
      <c r="I47" s="2630">
        <f>SUM(C47:H47)</f>
        <v>-1722679</v>
      </c>
      <c r="J47" s="431"/>
      <c r="K47" s="394"/>
      <c r="L47" s="305"/>
      <c r="M47" s="305"/>
      <c r="N47" s="305"/>
      <c r="O47" s="305"/>
      <c r="P47" s="305"/>
      <c r="Q47" s="305"/>
      <c r="R47" s="305"/>
      <c r="S47" s="305"/>
      <c r="T47" s="305"/>
      <c r="U47" s="305"/>
    </row>
    <row r="48" spans="1:21" s="236" customFormat="1" ht="13.5" customHeight="1">
      <c r="A48" s="428"/>
      <c r="B48" s="2632" t="s">
        <v>423</v>
      </c>
      <c r="C48" s="2633">
        <f>SUM(C44:C47)</f>
        <v>724436</v>
      </c>
      <c r="D48" s="2634">
        <f t="shared" ref="D48:I48" si="12">SUM(D44:D47)</f>
        <v>345464</v>
      </c>
      <c r="E48" s="2633"/>
      <c r="F48" s="2634">
        <f t="shared" si="12"/>
        <v>7949956</v>
      </c>
      <c r="G48" s="2633">
        <f t="shared" si="12"/>
        <v>1358714</v>
      </c>
      <c r="H48" s="2634">
        <f t="shared" si="12"/>
        <v>388884</v>
      </c>
      <c r="I48" s="2635">
        <f t="shared" si="12"/>
        <v>10767454</v>
      </c>
      <c r="J48" s="431"/>
      <c r="K48" s="463"/>
      <c r="L48" s="305"/>
      <c r="M48" s="305"/>
      <c r="N48" s="305"/>
      <c r="O48" s="305"/>
      <c r="P48" s="305"/>
      <c r="Q48" s="305"/>
      <c r="R48" s="305"/>
      <c r="S48" s="305"/>
      <c r="T48" s="305"/>
      <c r="U48" s="305"/>
    </row>
    <row r="49" spans="1:21" s="52" customFormat="1" ht="13.5" customHeight="1">
      <c r="A49" s="427"/>
      <c r="B49" s="2631" t="s">
        <v>424</v>
      </c>
      <c r="C49" s="2628">
        <v>147920</v>
      </c>
      <c r="D49" s="2629">
        <v>-8159</v>
      </c>
      <c r="E49" s="2628"/>
      <c r="F49" s="2629">
        <v>475692</v>
      </c>
      <c r="G49" s="2628">
        <v>-124612</v>
      </c>
      <c r="H49" s="2629">
        <v>82867</v>
      </c>
      <c r="I49" s="2630">
        <f>SUM(C49:H49)</f>
        <v>573708</v>
      </c>
      <c r="J49" s="431"/>
      <c r="K49" s="394"/>
      <c r="L49" s="305"/>
      <c r="M49" s="305"/>
      <c r="N49" s="305"/>
      <c r="O49" s="305"/>
      <c r="P49" s="305"/>
      <c r="Q49" s="305"/>
      <c r="R49" s="305"/>
      <c r="S49" s="305"/>
      <c r="T49" s="305"/>
      <c r="U49" s="305"/>
    </row>
    <row r="50" spans="1:21" s="236" customFormat="1" ht="13.5" customHeight="1">
      <c r="A50" s="428"/>
      <c r="B50" s="2632" t="s">
        <v>425</v>
      </c>
      <c r="C50" s="2633">
        <f>SUM(C48:C49)</f>
        <v>872356</v>
      </c>
      <c r="D50" s="2634">
        <f t="shared" ref="D50:H50" si="13">SUM(D48:D49)</f>
        <v>337305</v>
      </c>
      <c r="E50" s="2633">
        <f t="shared" si="13"/>
        <v>0</v>
      </c>
      <c r="F50" s="2634">
        <f t="shared" si="13"/>
        <v>8425648</v>
      </c>
      <c r="G50" s="2633">
        <f t="shared" si="13"/>
        <v>1234102</v>
      </c>
      <c r="H50" s="2634">
        <f t="shared" si="13"/>
        <v>471751</v>
      </c>
      <c r="I50" s="2635">
        <f>SUM(I48:I49)</f>
        <v>11341162</v>
      </c>
      <c r="J50" s="431"/>
      <c r="K50" s="463"/>
      <c r="L50" s="305"/>
      <c r="M50" s="305"/>
      <c r="N50" s="305"/>
      <c r="O50" s="305"/>
      <c r="P50" s="305"/>
      <c r="Q50" s="305"/>
      <c r="R50" s="305"/>
      <c r="S50" s="305"/>
      <c r="T50" s="305"/>
      <c r="U50" s="305"/>
    </row>
    <row r="51" spans="1:21" s="52" customFormat="1" ht="13.5" customHeight="1">
      <c r="A51" s="427"/>
      <c r="B51" s="2631"/>
      <c r="C51" s="2636"/>
      <c r="D51" s="2637"/>
      <c r="E51" s="2636"/>
      <c r="F51" s="2637"/>
      <c r="G51" s="2636"/>
      <c r="H51" s="2637"/>
      <c r="I51" s="2630"/>
      <c r="J51" s="431"/>
      <c r="K51" s="394"/>
      <c r="L51" s="305"/>
      <c r="M51" s="305"/>
      <c r="N51" s="305"/>
      <c r="O51" s="305"/>
      <c r="P51" s="305"/>
      <c r="Q51" s="305"/>
      <c r="R51" s="305"/>
      <c r="S51" s="305"/>
      <c r="T51" s="305"/>
      <c r="U51" s="305"/>
    </row>
    <row r="52" spans="1:21" s="52" customFormat="1" ht="13.5" customHeight="1">
      <c r="A52" s="427"/>
      <c r="B52" s="2632" t="s">
        <v>426</v>
      </c>
      <c r="C52" s="2638">
        <f>SUM(C53:C55)</f>
        <v>-1356697</v>
      </c>
      <c r="D52" s="2639">
        <f t="shared" ref="D52:H52" si="14">SUM(D53:D55)</f>
        <v>-278740</v>
      </c>
      <c r="E52" s="2638">
        <f t="shared" si="14"/>
        <v>0</v>
      </c>
      <c r="F52" s="2639">
        <f t="shared" si="14"/>
        <v>-5881525</v>
      </c>
      <c r="G52" s="2638">
        <f t="shared" si="14"/>
        <v>-1024136</v>
      </c>
      <c r="H52" s="2639">
        <f t="shared" si="14"/>
        <v>-247026</v>
      </c>
      <c r="I52" s="2630">
        <f>SUM(C52:H52)</f>
        <v>-8788124</v>
      </c>
      <c r="J52" s="431"/>
      <c r="K52" s="415"/>
      <c r="L52" s="305"/>
      <c r="M52" s="305"/>
      <c r="N52" s="305"/>
      <c r="O52" s="305"/>
      <c r="P52" s="305"/>
      <c r="Q52" s="305"/>
      <c r="R52" s="305"/>
      <c r="S52" s="305"/>
      <c r="T52" s="305"/>
      <c r="U52" s="305"/>
    </row>
    <row r="53" spans="1:21" s="52" customFormat="1" ht="27" customHeight="1">
      <c r="A53" s="427"/>
      <c r="B53" s="2631" t="s">
        <v>427</v>
      </c>
      <c r="C53" s="2628">
        <v>-997880</v>
      </c>
      <c r="D53" s="2629">
        <v>-203649</v>
      </c>
      <c r="E53" s="2628"/>
      <c r="F53" s="2629">
        <v>-3514364</v>
      </c>
      <c r="G53" s="2628">
        <v>-850150</v>
      </c>
      <c r="H53" s="2629">
        <v>5323</v>
      </c>
      <c r="I53" s="2630">
        <f>SUM(C53:H53)</f>
        <v>-5560720</v>
      </c>
      <c r="J53" s="431"/>
      <c r="K53" s="394"/>
      <c r="L53" s="305"/>
      <c r="M53" s="305"/>
      <c r="N53" s="305"/>
      <c r="O53" s="305"/>
      <c r="P53" s="305"/>
      <c r="Q53" s="305"/>
      <c r="R53" s="305"/>
      <c r="S53" s="305"/>
      <c r="T53" s="305"/>
      <c r="U53" s="305"/>
    </row>
    <row r="54" spans="1:21" s="52" customFormat="1" ht="22.5" customHeight="1">
      <c r="A54" s="427"/>
      <c r="B54" s="2631" t="s">
        <v>428</v>
      </c>
      <c r="C54" s="867">
        <v>-358817</v>
      </c>
      <c r="D54" s="866">
        <v>-75091</v>
      </c>
      <c r="E54" s="867"/>
      <c r="F54" s="866">
        <v>-2367161</v>
      </c>
      <c r="G54" s="867">
        <v>-173986</v>
      </c>
      <c r="H54" s="866">
        <v>-252349</v>
      </c>
      <c r="I54" s="2630">
        <f>SUM(C54:H54)</f>
        <v>-3227404</v>
      </c>
      <c r="J54" s="431"/>
      <c r="K54" s="394"/>
      <c r="L54" s="305"/>
      <c r="M54" s="305"/>
      <c r="N54" s="305"/>
      <c r="O54" s="305"/>
      <c r="P54" s="305"/>
      <c r="Q54" s="305"/>
      <c r="R54" s="305"/>
      <c r="S54" s="305"/>
      <c r="T54" s="305"/>
      <c r="U54" s="305"/>
    </row>
    <row r="55" spans="1:21" s="52" customFormat="1" ht="13.5" customHeight="1">
      <c r="A55" s="427"/>
      <c r="B55" s="2631" t="s">
        <v>429</v>
      </c>
      <c r="C55" s="867"/>
      <c r="D55" s="866"/>
      <c r="E55" s="867"/>
      <c r="F55" s="866"/>
      <c r="G55" s="867"/>
      <c r="H55" s="866"/>
      <c r="I55" s="2630"/>
      <c r="J55" s="431"/>
      <c r="K55" s="394"/>
      <c r="L55" s="305"/>
      <c r="M55" s="305"/>
      <c r="N55" s="305"/>
      <c r="O55" s="305"/>
      <c r="P55" s="305"/>
      <c r="Q55" s="305"/>
      <c r="R55" s="305"/>
      <c r="S55" s="305"/>
      <c r="T55" s="305"/>
      <c r="U55" s="305"/>
    </row>
    <row r="56" spans="1:21" s="52" customFormat="1" ht="13.5" customHeight="1">
      <c r="A56" s="427"/>
      <c r="B56" s="2640" t="s">
        <v>430</v>
      </c>
      <c r="C56" s="2633">
        <f>+C50+C53+C54</f>
        <v>-484341</v>
      </c>
      <c r="D56" s="2634">
        <f t="shared" ref="D56:H56" si="15">+D50+D53+D54</f>
        <v>58565</v>
      </c>
      <c r="E56" s="2633">
        <f t="shared" si="15"/>
        <v>0</v>
      </c>
      <c r="F56" s="2634">
        <f t="shared" si="15"/>
        <v>2544123</v>
      </c>
      <c r="G56" s="2633">
        <f t="shared" si="15"/>
        <v>209966</v>
      </c>
      <c r="H56" s="2634">
        <f t="shared" si="15"/>
        <v>224725</v>
      </c>
      <c r="I56" s="2635">
        <f>+I50+I53+I54</f>
        <v>2553038</v>
      </c>
      <c r="J56" s="431"/>
      <c r="K56" s="288"/>
      <c r="L56" s="305"/>
      <c r="M56" s="305"/>
      <c r="N56" s="305"/>
      <c r="O56" s="305"/>
      <c r="P56" s="305"/>
      <c r="Q56" s="305"/>
      <c r="R56" s="305"/>
      <c r="S56" s="305"/>
      <c r="T56" s="305"/>
      <c r="U56" s="305"/>
    </row>
    <row r="57" spans="1:21" s="52" customFormat="1" ht="13.5" customHeight="1">
      <c r="A57" s="427"/>
      <c r="B57" s="2641"/>
      <c r="C57" s="2636"/>
      <c r="D57" s="2637"/>
      <c r="E57" s="2636"/>
      <c r="F57" s="2637"/>
      <c r="G57" s="2636"/>
      <c r="H57" s="2637"/>
      <c r="I57" s="2642"/>
      <c r="J57" s="431"/>
      <c r="K57" s="394"/>
      <c r="L57" s="305"/>
      <c r="M57" s="305"/>
      <c r="N57" s="305"/>
      <c r="O57" s="305"/>
      <c r="P57" s="305"/>
      <c r="Q57" s="305"/>
      <c r="R57" s="305"/>
      <c r="S57" s="305"/>
      <c r="T57" s="305"/>
      <c r="U57" s="305"/>
    </row>
    <row r="58" spans="1:21" s="52" customFormat="1" ht="13.5" customHeight="1">
      <c r="A58" s="427"/>
      <c r="B58" s="2632" t="s">
        <v>431</v>
      </c>
      <c r="C58" s="2625"/>
      <c r="D58" s="2624"/>
      <c r="E58" s="2625"/>
      <c r="F58" s="2624"/>
      <c r="G58" s="2625"/>
      <c r="H58" s="2624"/>
      <c r="I58" s="2642">
        <f>SUM(I59:I61)</f>
        <v>1478016</v>
      </c>
      <c r="J58" s="431"/>
      <c r="K58" s="394"/>
      <c r="L58" s="305"/>
      <c r="M58" s="305"/>
      <c r="N58" s="305"/>
      <c r="O58" s="305"/>
      <c r="P58" s="305"/>
      <c r="Q58" s="305"/>
      <c r="R58" s="305"/>
      <c r="S58" s="305"/>
      <c r="T58" s="305"/>
      <c r="U58" s="305"/>
    </row>
    <row r="59" spans="1:21" s="52" customFormat="1" ht="13.5" customHeight="1">
      <c r="A59" s="427"/>
      <c r="B59" s="2631" t="s">
        <v>432</v>
      </c>
      <c r="C59" s="2625"/>
      <c r="D59" s="2624"/>
      <c r="E59" s="2625"/>
      <c r="F59" s="2624"/>
      <c r="G59" s="2625"/>
      <c r="H59" s="2624"/>
      <c r="I59" s="2643">
        <v>211598</v>
      </c>
      <c r="J59" s="431"/>
      <c r="K59" s="394"/>
      <c r="L59" s="305"/>
      <c r="M59" s="305"/>
      <c r="N59" s="305"/>
      <c r="O59" s="305"/>
      <c r="P59" s="305"/>
      <c r="Q59" s="305"/>
      <c r="R59" s="305"/>
      <c r="S59" s="305"/>
      <c r="T59" s="305"/>
      <c r="U59" s="305"/>
    </row>
    <row r="60" spans="1:21" s="52" customFormat="1" ht="13.5" customHeight="1">
      <c r="A60" s="427"/>
      <c r="B60" s="2631" t="s">
        <v>433</v>
      </c>
      <c r="C60" s="2625"/>
      <c r="D60" s="2624"/>
      <c r="E60" s="2625"/>
      <c r="F60" s="2624"/>
      <c r="G60" s="2625"/>
      <c r="H60" s="2624"/>
      <c r="I60" s="1768">
        <v>1186704</v>
      </c>
      <c r="J60" s="431"/>
      <c r="K60" s="394"/>
      <c r="L60" s="305"/>
      <c r="M60" s="305"/>
      <c r="N60" s="305"/>
      <c r="O60" s="305"/>
      <c r="P60" s="305"/>
      <c r="Q60" s="305"/>
      <c r="R60" s="305"/>
      <c r="S60" s="305"/>
      <c r="T60" s="305"/>
      <c r="U60" s="305"/>
    </row>
    <row r="61" spans="1:21" s="52" customFormat="1" ht="13.5" customHeight="1">
      <c r="A61" s="427"/>
      <c r="B61" s="2631" t="s">
        <v>434</v>
      </c>
      <c r="C61" s="2625"/>
      <c r="D61" s="2624"/>
      <c r="E61" s="2625"/>
      <c r="F61" s="2624"/>
      <c r="G61" s="2625"/>
      <c r="H61" s="2624"/>
      <c r="I61" s="1387">
        <v>79714</v>
      </c>
      <c r="J61" s="431"/>
      <c r="K61" s="394"/>
      <c r="L61" s="305"/>
      <c r="M61" s="305"/>
      <c r="N61" s="305"/>
      <c r="O61" s="305"/>
      <c r="P61" s="305"/>
      <c r="Q61" s="305"/>
      <c r="R61" s="305"/>
      <c r="S61" s="305"/>
      <c r="T61" s="305"/>
      <c r="U61" s="305"/>
    </row>
    <row r="62" spans="1:21" s="52" customFormat="1" ht="13.5" customHeight="1">
      <c r="A62" s="427"/>
      <c r="B62" s="2631"/>
      <c r="C62" s="2625"/>
      <c r="D62" s="2624"/>
      <c r="E62" s="2625"/>
      <c r="F62" s="2624"/>
      <c r="G62" s="2625"/>
      <c r="H62" s="2624"/>
      <c r="I62" s="2630"/>
      <c r="J62" s="431"/>
      <c r="K62" s="394"/>
      <c r="L62" s="305"/>
      <c r="M62" s="305"/>
      <c r="N62" s="305"/>
      <c r="O62" s="305"/>
      <c r="P62" s="305"/>
      <c r="Q62" s="305"/>
      <c r="R62" s="305"/>
      <c r="S62" s="305"/>
      <c r="T62" s="305"/>
      <c r="U62" s="305"/>
    </row>
    <row r="63" spans="1:21" s="52" customFormat="1" ht="13.5" customHeight="1">
      <c r="A63" s="427"/>
      <c r="B63" s="2632" t="s">
        <v>435</v>
      </c>
      <c r="C63" s="2625"/>
      <c r="D63" s="2624"/>
      <c r="E63" s="2625"/>
      <c r="F63" s="2624"/>
      <c r="G63" s="2625"/>
      <c r="H63" s="2624"/>
      <c r="I63" s="2630">
        <f>SUM(I64:I65)</f>
        <v>-2488161</v>
      </c>
      <c r="J63" s="431"/>
      <c r="K63" s="394"/>
      <c r="L63" s="305"/>
      <c r="M63" s="305"/>
      <c r="N63" s="305"/>
      <c r="O63" s="305"/>
      <c r="P63" s="305"/>
      <c r="Q63" s="305"/>
      <c r="R63" s="305"/>
      <c r="S63" s="305"/>
      <c r="T63" s="305"/>
      <c r="U63" s="305"/>
    </row>
    <row r="64" spans="1:21" s="52" customFormat="1" ht="27.6" customHeight="1">
      <c r="A64" s="427"/>
      <c r="B64" s="2631" t="s">
        <v>436</v>
      </c>
      <c r="C64" s="2625"/>
      <c r="D64" s="2624"/>
      <c r="E64" s="2625"/>
      <c r="F64" s="2624"/>
      <c r="G64" s="2625"/>
      <c r="H64" s="2624"/>
      <c r="I64" s="2643">
        <v>-2488161</v>
      </c>
      <c r="J64" s="431"/>
      <c r="K64" s="394"/>
      <c r="L64" s="305"/>
      <c r="M64" s="305"/>
      <c r="N64" s="305"/>
      <c r="O64" s="305"/>
      <c r="P64" s="305"/>
      <c r="Q64" s="305"/>
      <c r="R64" s="305"/>
      <c r="S64" s="305"/>
      <c r="T64" s="305"/>
      <c r="U64" s="305"/>
    </row>
    <row r="65" spans="1:21" s="52" customFormat="1" ht="27.6" customHeight="1">
      <c r="A65" s="427"/>
      <c r="B65" s="2631" t="s">
        <v>437</v>
      </c>
      <c r="C65" s="2625"/>
      <c r="D65" s="2624"/>
      <c r="E65" s="2625"/>
      <c r="F65" s="2624"/>
      <c r="G65" s="2625"/>
      <c r="H65" s="2624"/>
      <c r="I65" s="2630"/>
      <c r="J65" s="431"/>
      <c r="K65" s="394"/>
      <c r="L65" s="305"/>
      <c r="M65" s="305"/>
      <c r="N65" s="305"/>
      <c r="O65" s="305"/>
      <c r="P65" s="305"/>
      <c r="Q65" s="305"/>
      <c r="R65" s="305"/>
      <c r="S65" s="305"/>
      <c r="T65" s="305"/>
      <c r="U65" s="305"/>
    </row>
    <row r="66" spans="1:21" s="52" customFormat="1" ht="13.5" customHeight="1">
      <c r="A66" s="427"/>
      <c r="B66" s="2632" t="s">
        <v>438</v>
      </c>
      <c r="C66" s="2625"/>
      <c r="D66" s="2624"/>
      <c r="E66" s="2625"/>
      <c r="F66" s="2624"/>
      <c r="G66" s="2625"/>
      <c r="H66" s="2624"/>
      <c r="I66" s="2642">
        <f>+I56+I58+I63</f>
        <v>1542893</v>
      </c>
      <c r="J66" s="431"/>
      <c r="K66" s="394"/>
      <c r="L66" s="305"/>
      <c r="M66" s="305"/>
      <c r="N66" s="305"/>
      <c r="O66" s="305"/>
      <c r="P66" s="305"/>
      <c r="Q66" s="305"/>
      <c r="R66" s="305"/>
      <c r="S66" s="305"/>
      <c r="T66" s="305"/>
      <c r="U66" s="305"/>
    </row>
    <row r="67" spans="1:21" s="52" customFormat="1" ht="13.5" customHeight="1">
      <c r="A67" s="427"/>
      <c r="B67" s="2631" t="s">
        <v>439</v>
      </c>
      <c r="C67" s="2625"/>
      <c r="D67" s="2624"/>
      <c r="E67" s="2625"/>
      <c r="F67" s="2624"/>
      <c r="G67" s="2625"/>
      <c r="H67" s="2624"/>
      <c r="I67" s="2630"/>
      <c r="J67" s="431"/>
      <c r="K67" s="394"/>
      <c r="L67" s="305"/>
      <c r="M67" s="305"/>
      <c r="N67" s="305"/>
      <c r="O67" s="305"/>
      <c r="P67" s="305"/>
      <c r="Q67" s="305"/>
      <c r="R67" s="305"/>
      <c r="S67" s="305"/>
      <c r="T67" s="305"/>
      <c r="U67" s="305"/>
    </row>
    <row r="68" spans="1:21" s="52" customFormat="1" ht="13.5" customHeight="1">
      <c r="A68" s="427"/>
      <c r="B68" s="2632" t="s">
        <v>440</v>
      </c>
      <c r="C68" s="2625"/>
      <c r="D68" s="2624"/>
      <c r="E68" s="2625"/>
      <c r="F68" s="2624"/>
      <c r="G68" s="2625"/>
      <c r="H68" s="2624"/>
      <c r="I68" s="2642">
        <f>SUM(I66:I67)</f>
        <v>1542893</v>
      </c>
      <c r="J68" s="431"/>
      <c r="K68" s="394"/>
      <c r="L68" s="305"/>
      <c r="M68" s="305"/>
      <c r="N68" s="305"/>
      <c r="O68" s="305"/>
      <c r="P68" s="305"/>
      <c r="Q68" s="305"/>
      <c r="R68" s="305"/>
      <c r="S68" s="305"/>
      <c r="T68" s="305"/>
      <c r="U68" s="305"/>
    </row>
    <row r="69" spans="1:21" s="52" customFormat="1" ht="13.5" customHeight="1">
      <c r="A69" s="427"/>
      <c r="B69" s="2631" t="s">
        <v>441</v>
      </c>
      <c r="C69" s="2625"/>
      <c r="D69" s="2624"/>
      <c r="E69" s="2625"/>
      <c r="F69" s="2624"/>
      <c r="G69" s="2625"/>
      <c r="H69" s="2624"/>
      <c r="I69" s="2643">
        <v>-387833</v>
      </c>
      <c r="J69" s="431"/>
      <c r="K69" s="394"/>
      <c r="L69" s="305"/>
      <c r="M69" s="305"/>
      <c r="N69" s="305"/>
      <c r="O69" s="305"/>
      <c r="P69" s="305"/>
      <c r="Q69" s="305"/>
      <c r="R69" s="305"/>
      <c r="S69" s="305"/>
      <c r="T69" s="305"/>
      <c r="U69" s="305"/>
    </row>
    <row r="70" spans="1:21" s="52" customFormat="1" ht="13.5" customHeight="1" thickBot="1">
      <c r="A70" s="427"/>
      <c r="B70" s="1767" t="s">
        <v>442</v>
      </c>
      <c r="C70" s="1312"/>
      <c r="D70" s="489"/>
      <c r="E70" s="1312"/>
      <c r="F70" s="489"/>
      <c r="G70" s="1312"/>
      <c r="H70" s="489"/>
      <c r="I70" s="1769">
        <f>SUM(I68:I69)</f>
        <v>1155060</v>
      </c>
      <c r="J70" s="431"/>
      <c r="K70" s="394"/>
      <c r="L70" s="305"/>
      <c r="M70" s="305"/>
      <c r="N70" s="305"/>
      <c r="O70" s="305"/>
      <c r="P70" s="305"/>
      <c r="Q70" s="305"/>
      <c r="R70" s="305"/>
      <c r="S70" s="305"/>
      <c r="T70" s="305"/>
      <c r="U70" s="305"/>
    </row>
    <row r="71" spans="1:21" s="52" customFormat="1" ht="13.5" customHeight="1">
      <c r="A71" s="427"/>
      <c r="B71" s="455"/>
      <c r="C71" s="433"/>
      <c r="D71" s="433"/>
      <c r="E71" s="433"/>
      <c r="F71" s="433"/>
      <c r="G71" s="433"/>
      <c r="H71" s="433"/>
      <c r="I71" s="433"/>
      <c r="J71" s="431"/>
      <c r="K71" s="394"/>
      <c r="L71" s="305"/>
      <c r="M71" s="305"/>
      <c r="N71" s="305"/>
      <c r="O71" s="305"/>
      <c r="P71" s="305"/>
      <c r="Q71" s="305"/>
      <c r="R71" s="305"/>
      <c r="S71" s="305"/>
      <c r="T71" s="305"/>
      <c r="U71" s="305"/>
    </row>
    <row r="72" spans="1:21" s="52" customFormat="1" ht="13.5" customHeight="1">
      <c r="A72" s="427"/>
      <c r="B72" s="455"/>
      <c r="C72" s="433"/>
      <c r="D72" s="433"/>
      <c r="E72" s="433"/>
      <c r="F72" s="433"/>
      <c r="G72" s="433"/>
      <c r="H72" s="433"/>
      <c r="I72" s="433"/>
      <c r="J72" s="431"/>
      <c r="K72" s="394">
        <v>112</v>
      </c>
      <c r="L72" s="305"/>
      <c r="M72" s="305"/>
      <c r="N72" s="305"/>
      <c r="O72" s="305"/>
      <c r="P72" s="305"/>
      <c r="Q72" s="305"/>
      <c r="R72" s="305"/>
      <c r="S72" s="305"/>
      <c r="T72" s="305"/>
      <c r="U72" s="305"/>
    </row>
    <row r="73" spans="1:21" s="52" customFormat="1" ht="13.5" customHeight="1">
      <c r="A73" s="427"/>
      <c r="B73" s="455"/>
      <c r="C73" s="431"/>
      <c r="D73" s="431"/>
      <c r="E73" s="431"/>
      <c r="F73" s="431"/>
      <c r="G73" s="431"/>
      <c r="H73" s="431"/>
      <c r="I73" s="431"/>
      <c r="J73" s="431"/>
      <c r="K73" s="394"/>
      <c r="L73" s="305"/>
      <c r="M73" s="305"/>
      <c r="N73" s="305"/>
      <c r="O73" s="305"/>
      <c r="P73" s="305"/>
      <c r="Q73" s="305"/>
      <c r="R73" s="305"/>
      <c r="S73" s="305"/>
      <c r="T73" s="305"/>
      <c r="U73" s="305"/>
    </row>
    <row r="74" spans="1:21" s="52" customFormat="1" ht="13.5" customHeight="1">
      <c r="A74" s="427"/>
      <c r="B74" s="295" t="s">
        <v>444</v>
      </c>
      <c r="C74" s="295"/>
      <c r="D74" s="295"/>
      <c r="E74" s="431"/>
      <c r="F74" s="431"/>
      <c r="G74" s="431"/>
      <c r="H74" s="431"/>
      <c r="I74" s="431"/>
      <c r="J74" s="431"/>
      <c r="K74" s="394"/>
      <c r="L74" s="305"/>
      <c r="M74" s="305"/>
      <c r="N74" s="305"/>
      <c r="O74" s="305"/>
      <c r="P74" s="305"/>
      <c r="Q74" s="305"/>
      <c r="R74" s="305"/>
      <c r="S74" s="305"/>
      <c r="T74" s="305"/>
      <c r="U74" s="305"/>
    </row>
    <row r="75" spans="1:21" s="52" customFormat="1" ht="13.5" customHeight="1" thickBot="1">
      <c r="A75" s="427"/>
      <c r="B75" s="218"/>
      <c r="C75" s="218"/>
      <c r="D75" s="218"/>
      <c r="E75" s="431"/>
      <c r="F75" s="431"/>
      <c r="G75" s="431"/>
      <c r="H75" s="431"/>
      <c r="I75" s="431"/>
      <c r="J75" s="431"/>
      <c r="K75" s="394"/>
      <c r="L75" s="305"/>
      <c r="M75" s="305"/>
      <c r="N75" s="305"/>
      <c r="O75" s="305"/>
      <c r="P75" s="305"/>
      <c r="Q75" s="305"/>
      <c r="R75" s="305"/>
      <c r="S75" s="305"/>
      <c r="T75" s="305"/>
      <c r="U75" s="305"/>
    </row>
    <row r="76" spans="1:21" ht="13.5" customHeight="1" thickBot="1">
      <c r="A76" s="468"/>
      <c r="B76" s="1765" t="s">
        <v>95</v>
      </c>
      <c r="I76" s="535" t="s">
        <v>232</v>
      </c>
      <c r="J76" s="556"/>
      <c r="K76" s="264"/>
      <c r="L76" s="305"/>
      <c r="M76" s="305"/>
      <c r="N76" s="305"/>
      <c r="O76" s="305"/>
      <c r="P76" s="305"/>
      <c r="Q76" s="305"/>
      <c r="R76" s="305"/>
      <c r="S76" s="305"/>
      <c r="T76" s="305"/>
      <c r="U76" s="305"/>
    </row>
    <row r="77" spans="1:21" s="52" customFormat="1" ht="13.5" customHeight="1" thickBot="1">
      <c r="A77" s="414"/>
      <c r="B77" s="3518"/>
      <c r="C77" s="3609">
        <v>2021</v>
      </c>
      <c r="D77" s="3618"/>
      <c r="E77" s="3618"/>
      <c r="F77" s="3618"/>
      <c r="G77" s="3618"/>
      <c r="H77" s="3618"/>
      <c r="I77" s="3610"/>
      <c r="J77" s="454"/>
      <c r="K77" s="286"/>
      <c r="L77" s="305"/>
      <c r="M77" s="305"/>
      <c r="N77" s="305"/>
      <c r="O77" s="305"/>
      <c r="P77" s="305"/>
      <c r="Q77" s="305"/>
      <c r="R77" s="305"/>
      <c r="S77" s="305"/>
      <c r="T77" s="305"/>
      <c r="U77" s="305"/>
    </row>
    <row r="78" spans="1:21" s="52" customFormat="1" ht="13.5" customHeight="1" thickBot="1">
      <c r="A78" s="415"/>
      <c r="B78" s="3520"/>
      <c r="C78" s="3607" t="s">
        <v>412</v>
      </c>
      <c r="D78" s="3607" t="s">
        <v>413</v>
      </c>
      <c r="E78" s="3609" t="s">
        <v>414</v>
      </c>
      <c r="F78" s="3610"/>
      <c r="G78" s="3611" t="s">
        <v>415</v>
      </c>
      <c r="H78" s="3611" t="s">
        <v>416</v>
      </c>
      <c r="I78" s="3607" t="s">
        <v>118</v>
      </c>
      <c r="J78" s="454"/>
      <c r="K78" s="286"/>
      <c r="L78" s="305"/>
      <c r="M78" s="305"/>
      <c r="N78" s="305"/>
      <c r="O78" s="305"/>
      <c r="P78" s="305"/>
      <c r="Q78" s="305"/>
      <c r="R78" s="305"/>
      <c r="S78" s="305"/>
      <c r="T78" s="305"/>
      <c r="U78" s="305"/>
    </row>
    <row r="79" spans="1:21" s="52" customFormat="1" ht="13.5" customHeight="1" thickBot="1">
      <c r="A79" s="415"/>
      <c r="B79" s="3519"/>
      <c r="C79" s="3608"/>
      <c r="D79" s="3608"/>
      <c r="E79" s="1744" t="s">
        <v>418</v>
      </c>
      <c r="F79" s="1744" t="s">
        <v>419</v>
      </c>
      <c r="G79" s="3612"/>
      <c r="H79" s="3612"/>
      <c r="I79" s="3608"/>
      <c r="J79" s="454"/>
      <c r="K79" s="286"/>
      <c r="L79" s="305"/>
      <c r="M79" s="305"/>
      <c r="N79" s="305"/>
      <c r="O79" s="305"/>
      <c r="P79" s="305"/>
      <c r="Q79" s="305"/>
      <c r="R79" s="305"/>
      <c r="S79" s="305"/>
      <c r="T79" s="305"/>
      <c r="U79" s="305"/>
    </row>
    <row r="80" spans="1:21" s="52" customFormat="1" ht="13.5" customHeight="1">
      <c r="A80" s="427"/>
      <c r="B80" s="1770" t="s">
        <v>333</v>
      </c>
      <c r="C80" s="855">
        <v>321981</v>
      </c>
      <c r="D80" s="2644">
        <v>271431</v>
      </c>
      <c r="E80" s="855">
        <v>54966</v>
      </c>
      <c r="F80" s="2644">
        <v>1141941</v>
      </c>
      <c r="G80" s="855">
        <v>408510</v>
      </c>
      <c r="H80" s="2644">
        <v>244461</v>
      </c>
      <c r="I80" s="1771">
        <f>SUM(C80:H80)</f>
        <v>2443290</v>
      </c>
      <c r="J80" s="431"/>
      <c r="K80" s="286"/>
      <c r="L80" s="305"/>
      <c r="M80" s="305"/>
      <c r="N80" s="305"/>
      <c r="O80" s="305"/>
      <c r="P80" s="305"/>
      <c r="Q80" s="305"/>
      <c r="R80" s="305"/>
      <c r="S80" s="305"/>
      <c r="T80" s="305"/>
      <c r="U80" s="305"/>
    </row>
    <row r="81" spans="1:21" s="52" customFormat="1" ht="13.5" customHeight="1">
      <c r="A81" s="427"/>
      <c r="B81" s="2616" t="s">
        <v>420</v>
      </c>
      <c r="C81" s="856">
        <v>-37390</v>
      </c>
      <c r="D81" s="857">
        <v>-4130</v>
      </c>
      <c r="E81" s="856"/>
      <c r="F81" s="857">
        <v>-435</v>
      </c>
      <c r="G81" s="856"/>
      <c r="H81" s="857">
        <v>-43976</v>
      </c>
      <c r="I81" s="2591">
        <f t="shared" ref="I81:I83" si="16">SUM(C81:H81)</f>
        <v>-85931</v>
      </c>
      <c r="J81" s="431"/>
      <c r="K81" s="286"/>
      <c r="L81" s="305"/>
      <c r="M81" s="305"/>
      <c r="N81" s="305"/>
      <c r="O81" s="305"/>
      <c r="P81" s="305"/>
      <c r="Q81" s="305"/>
      <c r="R81" s="305"/>
      <c r="S81" s="305"/>
      <c r="T81" s="305"/>
      <c r="U81" s="305"/>
    </row>
    <row r="82" spans="1:21" s="52" customFormat="1" ht="13.5" customHeight="1">
      <c r="A82" s="427"/>
      <c r="B82" s="2616" t="s">
        <v>445</v>
      </c>
      <c r="C82" s="856">
        <v>-150527</v>
      </c>
      <c r="D82" s="857">
        <v>-6054</v>
      </c>
      <c r="E82" s="856"/>
      <c r="F82" s="857"/>
      <c r="G82" s="856"/>
      <c r="H82" s="857">
        <v>-27705</v>
      </c>
      <c r="I82" s="2591">
        <f t="shared" si="16"/>
        <v>-184286</v>
      </c>
      <c r="J82" s="431"/>
      <c r="K82" s="286"/>
      <c r="L82" s="305"/>
      <c r="M82" s="305"/>
      <c r="N82" s="305"/>
      <c r="O82" s="305"/>
      <c r="P82" s="305"/>
      <c r="Q82" s="305"/>
      <c r="R82" s="305"/>
      <c r="S82" s="305"/>
      <c r="T82" s="305"/>
      <c r="U82" s="305"/>
    </row>
    <row r="83" spans="1:21" s="52" customFormat="1" ht="13.5" customHeight="1">
      <c r="A83" s="427"/>
      <c r="B83" s="2616" t="s">
        <v>422</v>
      </c>
      <c r="C83" s="856">
        <v>-141511</v>
      </c>
      <c r="D83" s="857">
        <v>-159469</v>
      </c>
      <c r="E83" s="856"/>
      <c r="F83" s="857">
        <v>-66397</v>
      </c>
      <c r="G83" s="856"/>
      <c r="H83" s="857">
        <v>-101898</v>
      </c>
      <c r="I83" s="2591">
        <f t="shared" si="16"/>
        <v>-469275</v>
      </c>
      <c r="J83" s="431"/>
      <c r="K83" s="286"/>
      <c r="L83" s="305"/>
      <c r="M83" s="305"/>
      <c r="N83" s="305"/>
      <c r="O83" s="305"/>
      <c r="P83" s="305"/>
      <c r="Q83" s="305"/>
      <c r="R83" s="305"/>
      <c r="S83" s="305"/>
      <c r="T83" s="305"/>
      <c r="U83" s="305"/>
    </row>
    <row r="84" spans="1:21" s="236" customFormat="1" ht="13.5" customHeight="1">
      <c r="A84" s="428"/>
      <c r="B84" s="2618" t="s">
        <v>423</v>
      </c>
      <c r="C84" s="2634">
        <f>SUM(C80:C83)</f>
        <v>-7447</v>
      </c>
      <c r="D84" s="2633">
        <f t="shared" ref="D84:I84" si="17">+D80+D81+D82+D83</f>
        <v>101778</v>
      </c>
      <c r="E84" s="2634">
        <f t="shared" si="17"/>
        <v>54966</v>
      </c>
      <c r="F84" s="2633">
        <f t="shared" si="17"/>
        <v>1075109</v>
      </c>
      <c r="G84" s="2634">
        <f t="shared" si="17"/>
        <v>408510</v>
      </c>
      <c r="H84" s="2633">
        <f t="shared" si="17"/>
        <v>70882</v>
      </c>
      <c r="I84" s="2599">
        <f t="shared" si="17"/>
        <v>1703798</v>
      </c>
      <c r="J84" s="431"/>
      <c r="K84" s="286"/>
      <c r="L84" s="305"/>
      <c r="M84" s="305"/>
      <c r="N84" s="305"/>
      <c r="O84" s="305"/>
      <c r="P84" s="305"/>
      <c r="Q84" s="305"/>
      <c r="R84" s="305"/>
      <c r="S84" s="305"/>
      <c r="T84" s="305"/>
      <c r="U84" s="305"/>
    </row>
    <row r="85" spans="1:21" s="52" customFormat="1" ht="13.5" customHeight="1">
      <c r="A85" s="427"/>
      <c r="B85" s="2616" t="s">
        <v>424</v>
      </c>
      <c r="C85" s="2645">
        <v>780</v>
      </c>
      <c r="D85" s="2644">
        <v>5376</v>
      </c>
      <c r="E85" s="2645">
        <v>429</v>
      </c>
      <c r="F85" s="2644">
        <v>-71470</v>
      </c>
      <c r="G85" s="2645">
        <v>-48845</v>
      </c>
      <c r="H85" s="2644">
        <v>10469</v>
      </c>
      <c r="I85" s="2591">
        <f>SUM(C85:H85)</f>
        <v>-103261</v>
      </c>
      <c r="J85" s="431"/>
      <c r="K85" s="286"/>
      <c r="L85" s="305"/>
      <c r="M85" s="305"/>
      <c r="N85" s="305"/>
      <c r="O85" s="305"/>
      <c r="P85" s="305"/>
      <c r="Q85" s="305"/>
      <c r="R85" s="305"/>
      <c r="S85" s="305"/>
      <c r="T85" s="305"/>
      <c r="U85" s="305"/>
    </row>
    <row r="86" spans="1:21" s="236" customFormat="1" ht="13.5" customHeight="1">
      <c r="A86" s="428"/>
      <c r="B86" s="2618" t="s">
        <v>425</v>
      </c>
      <c r="C86" s="2634">
        <f>SUM(C84:C85)</f>
        <v>-6667</v>
      </c>
      <c r="D86" s="2633">
        <f t="shared" ref="D86:I86" si="18">SUM(D84:D85)</f>
        <v>107154</v>
      </c>
      <c r="E86" s="2634">
        <f t="shared" si="18"/>
        <v>55395</v>
      </c>
      <c r="F86" s="2646">
        <f t="shared" si="18"/>
        <v>1003639</v>
      </c>
      <c r="G86" s="2634">
        <f t="shared" si="18"/>
        <v>359665</v>
      </c>
      <c r="H86" s="2633">
        <f t="shared" si="18"/>
        <v>81351</v>
      </c>
      <c r="I86" s="2599">
        <f t="shared" si="18"/>
        <v>1600537</v>
      </c>
      <c r="J86" s="431"/>
      <c r="K86" s="286"/>
      <c r="L86" s="305"/>
      <c r="M86" s="305"/>
      <c r="N86" s="305"/>
      <c r="O86" s="305"/>
      <c r="P86" s="305"/>
      <c r="Q86" s="305"/>
      <c r="R86" s="305"/>
      <c r="S86" s="305"/>
      <c r="T86" s="305"/>
      <c r="U86" s="305"/>
    </row>
    <row r="87" spans="1:21" s="52" customFormat="1" ht="13.5" customHeight="1">
      <c r="A87" s="427"/>
      <c r="B87" s="2616"/>
      <c r="C87" s="2637"/>
      <c r="D87" s="2636"/>
      <c r="E87" s="2637"/>
      <c r="F87" s="2636"/>
      <c r="G87" s="2637"/>
      <c r="H87" s="2636"/>
      <c r="I87" s="2591"/>
      <c r="J87" s="431"/>
      <c r="K87" s="286"/>
      <c r="L87" s="305"/>
      <c r="M87" s="305"/>
      <c r="N87" s="305"/>
      <c r="O87" s="305"/>
      <c r="P87" s="305"/>
      <c r="Q87" s="305"/>
      <c r="R87" s="305"/>
      <c r="S87" s="305"/>
      <c r="T87" s="305"/>
      <c r="U87" s="305"/>
    </row>
    <row r="88" spans="1:21" s="52" customFormat="1" ht="13.5" customHeight="1">
      <c r="A88" s="427"/>
      <c r="B88" s="2618" t="s">
        <v>426</v>
      </c>
      <c r="C88" s="2639">
        <f>SUM(C89:C91)</f>
        <v>-49905</v>
      </c>
      <c r="D88" s="2638">
        <f t="shared" ref="D88:H88" si="19">SUM(D89:D91)</f>
        <v>-48238</v>
      </c>
      <c r="E88" s="2639">
        <f t="shared" si="19"/>
        <v>-7241</v>
      </c>
      <c r="F88" s="2638">
        <f t="shared" si="19"/>
        <v>-556232</v>
      </c>
      <c r="G88" s="2639">
        <f t="shared" si="19"/>
        <v>-284656</v>
      </c>
      <c r="H88" s="2638">
        <f t="shared" si="19"/>
        <v>-75749</v>
      </c>
      <c r="I88" s="2591">
        <f>SUM(C88:H88)</f>
        <v>-1022021</v>
      </c>
      <c r="J88" s="431"/>
      <c r="K88" s="286"/>
      <c r="L88" s="305"/>
      <c r="M88" s="305"/>
      <c r="N88" s="305"/>
      <c r="O88" s="305"/>
      <c r="P88" s="305"/>
      <c r="Q88" s="305"/>
      <c r="R88" s="305"/>
      <c r="S88" s="305"/>
      <c r="T88" s="305"/>
      <c r="U88" s="305"/>
    </row>
    <row r="89" spans="1:21" s="52" customFormat="1" ht="26.25" customHeight="1">
      <c r="A89" s="427"/>
      <c r="B89" s="2616" t="s">
        <v>427</v>
      </c>
      <c r="C89" s="2645">
        <v>-32370</v>
      </c>
      <c r="D89" s="2644">
        <v>-33456</v>
      </c>
      <c r="E89" s="2645">
        <v>-4248</v>
      </c>
      <c r="F89" s="2644">
        <v>-494042</v>
      </c>
      <c r="G89" s="2645">
        <v>-262409</v>
      </c>
      <c r="H89" s="2644">
        <v>-62436</v>
      </c>
      <c r="I89" s="2591">
        <f>SUM(C89:H89)</f>
        <v>-888961</v>
      </c>
      <c r="J89" s="431"/>
      <c r="K89" s="286"/>
      <c r="L89" s="305"/>
      <c r="M89" s="305"/>
      <c r="N89" s="305"/>
      <c r="O89" s="305"/>
      <c r="P89" s="305"/>
      <c r="Q89" s="305"/>
      <c r="R89" s="305"/>
      <c r="S89" s="305"/>
      <c r="T89" s="305"/>
      <c r="U89" s="305"/>
    </row>
    <row r="90" spans="1:21" s="52" customFormat="1" ht="28.5" customHeight="1">
      <c r="A90" s="427"/>
      <c r="B90" s="2616" t="s">
        <v>428</v>
      </c>
      <c r="C90" s="856">
        <v>-17535</v>
      </c>
      <c r="D90" s="857">
        <v>-14782</v>
      </c>
      <c r="E90" s="856">
        <v>-2993</v>
      </c>
      <c r="F90" s="857">
        <v>-62190</v>
      </c>
      <c r="G90" s="856">
        <v>-22247</v>
      </c>
      <c r="H90" s="857">
        <v>-13313</v>
      </c>
      <c r="I90" s="2591">
        <f t="shared" ref="I90" si="20">SUM(C90:H90)</f>
        <v>-133060</v>
      </c>
      <c r="J90" s="431"/>
      <c r="K90" s="286"/>
      <c r="L90" s="305"/>
      <c r="M90" s="305"/>
      <c r="N90" s="305"/>
      <c r="O90" s="305"/>
      <c r="P90" s="305"/>
      <c r="Q90" s="305"/>
      <c r="R90" s="305"/>
      <c r="S90" s="305"/>
      <c r="T90" s="305"/>
      <c r="U90" s="305"/>
    </row>
    <row r="91" spans="1:21" s="52" customFormat="1" ht="27" customHeight="1">
      <c r="A91" s="427"/>
      <c r="B91" s="2616" t="s">
        <v>429</v>
      </c>
      <c r="C91" s="2639"/>
      <c r="D91" s="2638"/>
      <c r="E91" s="2639"/>
      <c r="F91" s="2638"/>
      <c r="G91" s="2639"/>
      <c r="H91" s="2638"/>
      <c r="I91" s="2591"/>
      <c r="J91" s="431"/>
      <c r="K91" s="286"/>
      <c r="L91" s="305"/>
      <c r="M91" s="305"/>
      <c r="N91" s="305"/>
      <c r="O91" s="305"/>
      <c r="P91" s="305"/>
      <c r="Q91" s="305"/>
      <c r="R91" s="305"/>
      <c r="S91" s="305"/>
      <c r="T91" s="305"/>
      <c r="U91" s="305"/>
    </row>
    <row r="92" spans="1:21" s="52" customFormat="1" ht="13.5" customHeight="1">
      <c r="A92" s="427"/>
      <c r="B92" s="2622" t="s">
        <v>430</v>
      </c>
      <c r="C92" s="2634">
        <f>+C86+C89+C90</f>
        <v>-56572</v>
      </c>
      <c r="D92" s="2633">
        <f t="shared" ref="D92:H92" si="21">+D86+D89+D90</f>
        <v>58916</v>
      </c>
      <c r="E92" s="2634">
        <f t="shared" si="21"/>
        <v>48154</v>
      </c>
      <c r="F92" s="2633">
        <f t="shared" si="21"/>
        <v>447407</v>
      </c>
      <c r="G92" s="2634">
        <f t="shared" si="21"/>
        <v>75009</v>
      </c>
      <c r="H92" s="2633">
        <f t="shared" si="21"/>
        <v>5602</v>
      </c>
      <c r="I92" s="2599">
        <f>+I86+I89+I90</f>
        <v>578516</v>
      </c>
      <c r="J92" s="431"/>
      <c r="K92" s="286"/>
      <c r="L92" s="305"/>
      <c r="M92" s="305"/>
      <c r="N92" s="305"/>
      <c r="O92" s="305"/>
      <c r="P92" s="305"/>
      <c r="Q92" s="305"/>
      <c r="R92" s="305"/>
      <c r="S92" s="305"/>
      <c r="T92" s="305"/>
      <c r="U92" s="305"/>
    </row>
    <row r="93" spans="1:21" s="52" customFormat="1" ht="13.5" customHeight="1">
      <c r="A93" s="427"/>
      <c r="B93" s="2623"/>
      <c r="C93" s="2637"/>
      <c r="D93" s="2636"/>
      <c r="E93" s="2637"/>
      <c r="F93" s="2636"/>
      <c r="G93" s="2637"/>
      <c r="H93" s="2636"/>
      <c r="I93" s="2647"/>
      <c r="J93" s="431"/>
      <c r="K93" s="286"/>
      <c r="L93" s="305"/>
      <c r="M93" s="305"/>
      <c r="N93" s="305"/>
      <c r="O93" s="305"/>
      <c r="P93" s="305"/>
      <c r="Q93" s="305"/>
      <c r="R93" s="305"/>
      <c r="S93" s="305"/>
      <c r="T93" s="305"/>
      <c r="U93" s="305"/>
    </row>
    <row r="94" spans="1:21" s="52" customFormat="1" ht="13.5" customHeight="1">
      <c r="A94" s="427"/>
      <c r="B94" s="2618" t="s">
        <v>431</v>
      </c>
      <c r="C94" s="2624"/>
      <c r="D94" s="2625"/>
      <c r="E94" s="2624"/>
      <c r="F94" s="2625"/>
      <c r="G94" s="2624"/>
      <c r="H94" s="2625"/>
      <c r="I94" s="2647">
        <f>SUM(I95:I97)</f>
        <v>132858</v>
      </c>
      <c r="J94" s="431"/>
      <c r="K94" s="286"/>
      <c r="L94" s="305"/>
      <c r="M94" s="305"/>
      <c r="N94" s="305"/>
      <c r="O94" s="305"/>
      <c r="P94" s="305"/>
      <c r="Q94" s="305"/>
      <c r="R94" s="305"/>
      <c r="S94" s="305"/>
      <c r="T94" s="305"/>
      <c r="U94" s="305"/>
    </row>
    <row r="95" spans="1:21" s="52" customFormat="1" ht="13.5" customHeight="1">
      <c r="A95" s="427"/>
      <c r="B95" s="2616" t="s">
        <v>432</v>
      </c>
      <c r="C95" s="2624"/>
      <c r="D95" s="2625"/>
      <c r="E95" s="2624"/>
      <c r="F95" s="2625"/>
      <c r="G95" s="2624"/>
      <c r="H95" s="2625"/>
      <c r="I95" s="2648"/>
      <c r="J95" s="431"/>
      <c r="K95" s="286"/>
      <c r="L95" s="305"/>
      <c r="M95" s="305"/>
      <c r="N95" s="305"/>
      <c r="O95" s="305"/>
      <c r="P95" s="305"/>
      <c r="Q95" s="305"/>
      <c r="R95" s="305"/>
      <c r="S95" s="305"/>
      <c r="T95" s="305"/>
      <c r="U95" s="305"/>
    </row>
    <row r="96" spans="1:21" s="52" customFormat="1" ht="13.5" customHeight="1">
      <c r="A96" s="427"/>
      <c r="B96" s="2616" t="s">
        <v>446</v>
      </c>
      <c r="C96" s="2624"/>
      <c r="D96" s="2625"/>
      <c r="E96" s="2624"/>
      <c r="F96" s="2625"/>
      <c r="G96" s="2624"/>
      <c r="H96" s="2625"/>
      <c r="I96" s="1772">
        <v>113270</v>
      </c>
      <c r="J96" s="431"/>
      <c r="K96" s="286"/>
      <c r="L96" s="305"/>
      <c r="M96" s="305"/>
      <c r="N96" s="305"/>
      <c r="O96" s="305"/>
      <c r="P96" s="305"/>
      <c r="Q96" s="305"/>
      <c r="R96" s="305"/>
      <c r="S96" s="305"/>
      <c r="T96" s="305"/>
      <c r="U96" s="305"/>
    </row>
    <row r="97" spans="1:21" s="52" customFormat="1" ht="13.5" customHeight="1">
      <c r="A97" s="427"/>
      <c r="B97" s="2616" t="s">
        <v>434</v>
      </c>
      <c r="C97" s="2624"/>
      <c r="D97" s="2625"/>
      <c r="E97" s="2624"/>
      <c r="F97" s="2625"/>
      <c r="G97" s="2624"/>
      <c r="H97" s="2625"/>
      <c r="I97" s="1772">
        <v>19588</v>
      </c>
      <c r="J97" s="431"/>
      <c r="K97" s="286"/>
      <c r="L97" s="305"/>
      <c r="M97" s="305"/>
      <c r="N97" s="305"/>
      <c r="O97" s="305"/>
      <c r="P97" s="305"/>
      <c r="Q97" s="305"/>
      <c r="R97" s="305"/>
      <c r="S97" s="305"/>
      <c r="T97" s="305"/>
      <c r="U97" s="305"/>
    </row>
    <row r="98" spans="1:21" s="52" customFormat="1" ht="13.5" customHeight="1">
      <c r="A98" s="427"/>
      <c r="B98" s="2616"/>
      <c r="C98" s="2624"/>
      <c r="D98" s="2625"/>
      <c r="E98" s="2624"/>
      <c r="F98" s="2625"/>
      <c r="G98" s="2624"/>
      <c r="H98" s="2625"/>
      <c r="I98" s="1773"/>
      <c r="J98" s="431"/>
      <c r="K98" s="286"/>
      <c r="L98" s="305"/>
      <c r="M98" s="305"/>
      <c r="N98" s="305"/>
      <c r="O98" s="305"/>
      <c r="P98" s="305"/>
      <c r="Q98" s="305"/>
      <c r="R98" s="305"/>
      <c r="S98" s="305"/>
      <c r="T98" s="305"/>
      <c r="U98" s="305"/>
    </row>
    <row r="99" spans="1:21" s="52" customFormat="1" ht="13.5" customHeight="1">
      <c r="A99" s="427"/>
      <c r="B99" s="2618" t="s">
        <v>435</v>
      </c>
      <c r="C99" s="2624"/>
      <c r="D99" s="2625"/>
      <c r="E99" s="2624"/>
      <c r="F99" s="2625"/>
      <c r="G99" s="2624"/>
      <c r="H99" s="2625"/>
      <c r="I99" s="2591">
        <f>SUM(I100:I101)</f>
        <v>-687610</v>
      </c>
      <c r="J99" s="431"/>
      <c r="K99" s="286"/>
      <c r="L99" s="305"/>
      <c r="M99" s="305"/>
      <c r="N99" s="305"/>
      <c r="O99" s="305"/>
      <c r="P99" s="305"/>
      <c r="Q99" s="305"/>
      <c r="R99" s="305"/>
      <c r="S99" s="305"/>
      <c r="T99" s="305"/>
      <c r="U99" s="305"/>
    </row>
    <row r="100" spans="1:21" s="52" customFormat="1" ht="26.45" customHeight="1">
      <c r="A100" s="427"/>
      <c r="B100" s="2616" t="s">
        <v>436</v>
      </c>
      <c r="C100" s="2624"/>
      <c r="D100" s="2625"/>
      <c r="E100" s="2624"/>
      <c r="F100" s="2625"/>
      <c r="G100" s="2624"/>
      <c r="H100" s="2625"/>
      <c r="I100" s="2649">
        <v>-687610</v>
      </c>
      <c r="J100" s="431"/>
      <c r="K100" s="286"/>
      <c r="L100" s="305"/>
      <c r="M100" s="305"/>
      <c r="N100" s="305"/>
      <c r="O100" s="305"/>
      <c r="P100" s="305"/>
      <c r="Q100" s="305"/>
      <c r="R100" s="305"/>
      <c r="S100" s="305"/>
      <c r="T100" s="305"/>
      <c r="U100" s="305"/>
    </row>
    <row r="101" spans="1:21" s="52" customFormat="1" ht="26.45" customHeight="1">
      <c r="A101" s="427"/>
      <c r="B101" s="2616" t="s">
        <v>437</v>
      </c>
      <c r="C101" s="2624"/>
      <c r="D101" s="2625"/>
      <c r="E101" s="2624"/>
      <c r="F101" s="2625"/>
      <c r="G101" s="2624"/>
      <c r="H101" s="2625"/>
      <c r="I101" s="2591"/>
      <c r="J101" s="431"/>
      <c r="K101" s="286"/>
      <c r="L101" s="305"/>
      <c r="M101" s="305"/>
      <c r="N101" s="305"/>
      <c r="O101" s="305"/>
      <c r="P101" s="305"/>
      <c r="Q101" s="305"/>
      <c r="R101" s="305"/>
      <c r="S101" s="305"/>
      <c r="T101" s="305"/>
      <c r="U101" s="305"/>
    </row>
    <row r="102" spans="1:21" s="52" customFormat="1" ht="13.5" customHeight="1">
      <c r="A102" s="427"/>
      <c r="B102" s="2618" t="s">
        <v>438</v>
      </c>
      <c r="C102" s="2624"/>
      <c r="D102" s="2625"/>
      <c r="E102" s="2624"/>
      <c r="F102" s="2625"/>
      <c r="G102" s="2624"/>
      <c r="H102" s="2625"/>
      <c r="I102" s="2647">
        <f>+I92+I94+I99</f>
        <v>23764</v>
      </c>
      <c r="J102" s="431"/>
      <c r="K102" s="286"/>
      <c r="L102" s="305"/>
      <c r="M102" s="305"/>
      <c r="N102" s="305"/>
      <c r="O102" s="305"/>
      <c r="P102" s="305"/>
      <c r="Q102" s="305"/>
      <c r="R102" s="305"/>
      <c r="S102" s="305"/>
      <c r="T102" s="305"/>
      <c r="U102" s="305"/>
    </row>
    <row r="103" spans="1:21" s="52" customFormat="1" ht="13.5" customHeight="1">
      <c r="A103" s="427"/>
      <c r="B103" s="2616" t="s">
        <v>439</v>
      </c>
      <c r="C103" s="2624"/>
      <c r="D103" s="2625"/>
      <c r="E103" s="2624"/>
      <c r="F103" s="2625"/>
      <c r="G103" s="2624"/>
      <c r="H103" s="2625"/>
      <c r="I103" s="2591"/>
      <c r="J103" s="431"/>
      <c r="K103" s="286"/>
      <c r="L103" s="305"/>
      <c r="M103" s="305"/>
      <c r="N103" s="305"/>
      <c r="O103" s="305"/>
      <c r="P103" s="305"/>
      <c r="Q103" s="305"/>
      <c r="R103" s="305"/>
      <c r="S103" s="305"/>
      <c r="T103" s="305"/>
      <c r="U103" s="305"/>
    </row>
    <row r="104" spans="1:21" s="52" customFormat="1" ht="13.5" customHeight="1">
      <c r="A104" s="427"/>
      <c r="B104" s="2626" t="s">
        <v>440</v>
      </c>
      <c r="C104" s="2624"/>
      <c r="D104" s="2625"/>
      <c r="E104" s="2624"/>
      <c r="F104" s="2625"/>
      <c r="G104" s="2624"/>
      <c r="H104" s="2625"/>
      <c r="I104" s="2647">
        <f>+I103+I102</f>
        <v>23764</v>
      </c>
      <c r="J104" s="431"/>
      <c r="K104" s="286"/>
      <c r="L104" s="305"/>
      <c r="M104" s="305"/>
      <c r="N104" s="305"/>
      <c r="O104" s="305"/>
      <c r="P104" s="305"/>
      <c r="Q104" s="305"/>
      <c r="R104" s="305"/>
      <c r="S104" s="305"/>
      <c r="T104" s="305"/>
      <c r="U104" s="305"/>
    </row>
    <row r="105" spans="1:21" s="52" customFormat="1" ht="13.5" customHeight="1">
      <c r="A105" s="427"/>
      <c r="B105" s="2627" t="s">
        <v>441</v>
      </c>
      <c r="C105" s="2624"/>
      <c r="D105" s="2625"/>
      <c r="E105" s="2624"/>
      <c r="F105" s="2625"/>
      <c r="G105" s="2624"/>
      <c r="H105" s="2625"/>
      <c r="I105" s="2591"/>
      <c r="J105" s="431"/>
      <c r="K105" s="286"/>
      <c r="L105" s="305"/>
      <c r="M105" s="305"/>
      <c r="N105" s="305"/>
      <c r="O105" s="305"/>
      <c r="P105" s="305"/>
      <c r="Q105" s="305"/>
      <c r="R105" s="305"/>
      <c r="S105" s="305"/>
      <c r="T105" s="305"/>
      <c r="U105" s="305"/>
    </row>
    <row r="106" spans="1:21" s="52" customFormat="1" ht="13.5" customHeight="1" thickBot="1">
      <c r="A106" s="427"/>
      <c r="B106" s="1762" t="s">
        <v>442</v>
      </c>
      <c r="C106" s="489"/>
      <c r="D106" s="1312"/>
      <c r="E106" s="489"/>
      <c r="F106" s="1312"/>
      <c r="G106" s="489"/>
      <c r="H106" s="1312"/>
      <c r="I106" s="1774">
        <f>I104+I105</f>
        <v>23764</v>
      </c>
      <c r="J106" s="431"/>
      <c r="K106" s="286"/>
      <c r="L106" s="305"/>
      <c r="M106" s="305"/>
      <c r="N106" s="305"/>
      <c r="O106" s="305"/>
      <c r="P106" s="305"/>
      <c r="Q106" s="305"/>
      <c r="R106" s="305"/>
      <c r="S106" s="305"/>
      <c r="T106" s="305"/>
      <c r="U106" s="305"/>
    </row>
    <row r="107" spans="1:21" s="52" customFormat="1" ht="13.5" customHeight="1">
      <c r="A107" s="427"/>
      <c r="B107" s="425"/>
      <c r="C107" s="556"/>
      <c r="D107" s="556"/>
      <c r="E107" s="556"/>
      <c r="F107" s="556"/>
      <c r="G107" s="556"/>
      <c r="H107" s="556"/>
      <c r="I107" s="556"/>
      <c r="J107" s="431"/>
      <c r="K107" s="264"/>
      <c r="L107" s="305"/>
      <c r="M107" s="305"/>
      <c r="N107" s="305"/>
      <c r="O107" s="305"/>
      <c r="P107" s="305"/>
      <c r="Q107" s="305"/>
      <c r="R107" s="305"/>
      <c r="S107" s="305"/>
      <c r="T107" s="305"/>
      <c r="U107" s="305"/>
    </row>
    <row r="108" spans="1:21" s="52" customFormat="1" ht="13.5" customHeight="1">
      <c r="A108" s="427"/>
      <c r="B108" s="425"/>
      <c r="C108" s="556"/>
      <c r="D108" s="556"/>
      <c r="E108" s="556"/>
      <c r="F108" s="556"/>
      <c r="G108" s="556"/>
      <c r="H108" s="556"/>
      <c r="I108" s="556"/>
      <c r="J108" s="431"/>
      <c r="K108" s="264">
        <v>113</v>
      </c>
      <c r="L108" s="305"/>
      <c r="M108" s="305"/>
      <c r="N108" s="305"/>
      <c r="O108" s="305"/>
      <c r="P108" s="305"/>
      <c r="Q108" s="305"/>
      <c r="R108" s="305"/>
      <c r="S108" s="305"/>
      <c r="T108" s="305"/>
      <c r="U108" s="305"/>
    </row>
    <row r="109" spans="1:21" s="52" customFormat="1" ht="13.5" customHeight="1">
      <c r="A109" s="427"/>
      <c r="B109" s="455"/>
      <c r="C109" s="433"/>
      <c r="D109" s="433"/>
      <c r="E109" s="433"/>
      <c r="F109" s="433"/>
      <c r="G109" s="433"/>
      <c r="H109" s="433"/>
      <c r="I109" s="433"/>
      <c r="J109" s="431"/>
      <c r="K109" s="394"/>
      <c r="L109" s="305"/>
      <c r="M109" s="305"/>
      <c r="N109" s="305"/>
      <c r="O109" s="305"/>
      <c r="P109" s="305"/>
      <c r="Q109" s="305"/>
      <c r="R109" s="305"/>
      <c r="S109" s="305"/>
      <c r="T109" s="305"/>
      <c r="U109" s="305"/>
    </row>
    <row r="110" spans="1:21" s="52" customFormat="1" ht="13.5" customHeight="1">
      <c r="A110" s="427"/>
      <c r="B110" s="295" t="s">
        <v>444</v>
      </c>
      <c r="C110" s="295"/>
      <c r="D110" s="295"/>
      <c r="E110" s="433"/>
      <c r="F110" s="433"/>
      <c r="G110" s="433"/>
      <c r="H110" s="433"/>
      <c r="I110" s="433"/>
      <c r="J110" s="431"/>
      <c r="K110" s="394"/>
      <c r="L110" s="305"/>
      <c r="M110" s="305"/>
      <c r="N110" s="305"/>
      <c r="O110" s="305"/>
      <c r="P110" s="305"/>
      <c r="Q110" s="305"/>
      <c r="R110" s="305"/>
      <c r="S110" s="305"/>
      <c r="T110" s="305"/>
      <c r="U110" s="305"/>
    </row>
    <row r="111" spans="1:21" s="52" customFormat="1" ht="13.5" customHeight="1" thickBot="1">
      <c r="A111" s="427"/>
      <c r="B111" s="218"/>
      <c r="C111" s="218"/>
      <c r="D111" s="218"/>
      <c r="E111" s="433"/>
      <c r="F111" s="433"/>
      <c r="G111" s="433"/>
      <c r="H111" s="433"/>
      <c r="I111" s="433"/>
      <c r="J111" s="431"/>
      <c r="K111" s="394"/>
      <c r="L111" s="305"/>
      <c r="M111" s="305"/>
      <c r="N111" s="305"/>
      <c r="O111" s="305"/>
      <c r="P111" s="305"/>
      <c r="Q111" s="305"/>
      <c r="R111" s="305"/>
      <c r="S111" s="305"/>
      <c r="T111" s="305"/>
      <c r="U111" s="305"/>
    </row>
    <row r="112" spans="1:21" ht="13.5" customHeight="1">
      <c r="B112" s="1765" t="s">
        <v>99</v>
      </c>
      <c r="I112" s="535" t="s">
        <v>232</v>
      </c>
      <c r="J112" s="556"/>
      <c r="L112" s="305"/>
      <c r="M112" s="305"/>
      <c r="N112" s="305"/>
      <c r="O112" s="305"/>
      <c r="P112" s="305"/>
      <c r="Q112" s="305"/>
      <c r="R112" s="305"/>
      <c r="S112" s="305"/>
      <c r="T112" s="305"/>
      <c r="U112" s="305"/>
    </row>
    <row r="113" spans="1:21" s="52" customFormat="1" ht="13.5" customHeight="1">
      <c r="A113" s="414"/>
      <c r="B113" s="3518"/>
      <c r="C113" s="3609">
        <v>2021</v>
      </c>
      <c r="D113" s="3618"/>
      <c r="E113" s="3618"/>
      <c r="F113" s="3618"/>
      <c r="G113" s="3618"/>
      <c r="H113" s="3618"/>
      <c r="I113" s="3610"/>
      <c r="J113" s="454"/>
      <c r="K113" s="394"/>
      <c r="L113" s="305"/>
      <c r="M113" s="305"/>
      <c r="N113" s="305"/>
      <c r="O113" s="305"/>
      <c r="P113" s="305"/>
      <c r="Q113" s="305"/>
      <c r="R113" s="305"/>
      <c r="S113" s="305"/>
      <c r="T113" s="305"/>
      <c r="U113" s="305"/>
    </row>
    <row r="114" spans="1:21" s="52" customFormat="1" ht="13.5" customHeight="1">
      <c r="A114" s="415"/>
      <c r="B114" s="3520"/>
      <c r="C114" s="3607" t="s">
        <v>412</v>
      </c>
      <c r="D114" s="3607" t="s">
        <v>413</v>
      </c>
      <c r="E114" s="3609" t="s">
        <v>414</v>
      </c>
      <c r="F114" s="3610"/>
      <c r="G114" s="3611" t="s">
        <v>415</v>
      </c>
      <c r="H114" s="3611" t="s">
        <v>416</v>
      </c>
      <c r="I114" s="3607" t="s">
        <v>118</v>
      </c>
      <c r="J114" s="454"/>
      <c r="K114" s="3617"/>
      <c r="L114" s="305"/>
      <c r="M114" s="305"/>
      <c r="N114" s="305"/>
      <c r="O114" s="305"/>
      <c r="P114" s="305"/>
      <c r="Q114" s="305"/>
      <c r="R114" s="305"/>
      <c r="S114" s="305"/>
      <c r="T114" s="305"/>
      <c r="U114" s="305"/>
    </row>
    <row r="115" spans="1:21" s="52" customFormat="1" ht="13.5" customHeight="1" thickBot="1">
      <c r="A115" s="415"/>
      <c r="B115" s="3519"/>
      <c r="C115" s="3608"/>
      <c r="D115" s="3608"/>
      <c r="E115" s="1744" t="s">
        <v>418</v>
      </c>
      <c r="F115" s="1744" t="s">
        <v>419</v>
      </c>
      <c r="G115" s="3612"/>
      <c r="H115" s="3612"/>
      <c r="I115" s="3608"/>
      <c r="J115" s="454"/>
      <c r="K115" s="3617"/>
      <c r="L115" s="305"/>
      <c r="M115" s="305"/>
      <c r="N115" s="305"/>
      <c r="O115" s="305"/>
      <c r="P115" s="305"/>
      <c r="Q115" s="305"/>
      <c r="R115" s="305"/>
      <c r="S115" s="305"/>
      <c r="T115" s="305"/>
      <c r="U115" s="305"/>
    </row>
    <row r="116" spans="1:21" s="52" customFormat="1" ht="13.5" customHeight="1">
      <c r="A116" s="427"/>
      <c r="B116" s="1775" t="s">
        <v>333</v>
      </c>
      <c r="C116" s="868">
        <v>1163564</v>
      </c>
      <c r="D116" s="2650">
        <v>122829</v>
      </c>
      <c r="E116" s="868">
        <v>9566</v>
      </c>
      <c r="F116" s="2650">
        <v>2745672</v>
      </c>
      <c r="G116" s="868">
        <v>853150</v>
      </c>
      <c r="H116" s="2650">
        <v>408580</v>
      </c>
      <c r="I116" s="1777">
        <f>SUM(C116:H116)</f>
        <v>5303361</v>
      </c>
      <c r="J116" s="431"/>
      <c r="K116" s="286"/>
      <c r="L116" s="305"/>
      <c r="M116" s="305"/>
      <c r="N116" s="305"/>
      <c r="O116" s="305"/>
      <c r="P116" s="305"/>
      <c r="Q116" s="305"/>
      <c r="R116" s="305"/>
      <c r="S116" s="305"/>
      <c r="T116" s="305"/>
      <c r="U116" s="305"/>
    </row>
    <row r="117" spans="1:21" s="52" customFormat="1" ht="13.5" customHeight="1">
      <c r="A117" s="427"/>
      <c r="B117" s="2651" t="s">
        <v>420</v>
      </c>
      <c r="C117" s="869">
        <v>-41946</v>
      </c>
      <c r="D117" s="870">
        <v>-11734</v>
      </c>
      <c r="E117" s="869"/>
      <c r="F117" s="870"/>
      <c r="G117" s="869">
        <v>-130</v>
      </c>
      <c r="H117" s="870">
        <v>-37357</v>
      </c>
      <c r="I117" s="2652">
        <f t="shared" ref="I117:I119" si="22">SUM(C117:H117)</f>
        <v>-91167</v>
      </c>
      <c r="J117" s="431"/>
      <c r="K117" s="286"/>
      <c r="L117" s="305"/>
      <c r="M117" s="305"/>
      <c r="N117" s="305"/>
      <c r="O117" s="305"/>
      <c r="P117" s="305"/>
      <c r="Q117" s="305"/>
      <c r="R117" s="305"/>
      <c r="S117" s="305"/>
      <c r="T117" s="305"/>
      <c r="U117" s="305"/>
    </row>
    <row r="118" spans="1:21" s="52" customFormat="1" ht="13.5" customHeight="1">
      <c r="A118" s="427"/>
      <c r="B118" s="2651" t="s">
        <v>421</v>
      </c>
      <c r="C118" s="869">
        <v>-204958</v>
      </c>
      <c r="D118" s="870">
        <v>-13</v>
      </c>
      <c r="E118" s="869"/>
      <c r="F118" s="870">
        <v>-66117</v>
      </c>
      <c r="G118" s="869"/>
      <c r="H118" s="870">
        <v>-52176</v>
      </c>
      <c r="I118" s="2652">
        <f t="shared" si="22"/>
        <v>-323264</v>
      </c>
      <c r="J118" s="431"/>
      <c r="K118" s="286"/>
      <c r="L118" s="305"/>
      <c r="M118" s="305"/>
      <c r="N118" s="305"/>
      <c r="O118" s="305"/>
      <c r="P118" s="305"/>
      <c r="Q118" s="305"/>
      <c r="R118" s="305"/>
      <c r="S118" s="305"/>
      <c r="T118" s="305"/>
      <c r="U118" s="305"/>
    </row>
    <row r="119" spans="1:21" s="52" customFormat="1" ht="13.5" customHeight="1">
      <c r="A119" s="427"/>
      <c r="B119" s="2651" t="s">
        <v>422</v>
      </c>
      <c r="C119" s="869">
        <v>-707064</v>
      </c>
      <c r="D119" s="870">
        <v>-95005</v>
      </c>
      <c r="E119" s="869"/>
      <c r="F119" s="870">
        <v>-38314</v>
      </c>
      <c r="G119" s="869">
        <v>-11824</v>
      </c>
      <c r="H119" s="870">
        <v>-293217</v>
      </c>
      <c r="I119" s="2652">
        <f t="shared" si="22"/>
        <v>-1145424</v>
      </c>
      <c r="J119" s="431"/>
      <c r="K119" s="394"/>
      <c r="L119" s="305"/>
      <c r="M119" s="305"/>
      <c r="N119" s="305"/>
      <c r="O119" s="305"/>
      <c r="P119" s="305"/>
      <c r="Q119" s="305"/>
      <c r="R119" s="305"/>
      <c r="S119" s="305"/>
      <c r="T119" s="305"/>
      <c r="U119" s="305"/>
    </row>
    <row r="120" spans="1:21" s="236" customFormat="1" ht="13.5" customHeight="1">
      <c r="A120" s="428"/>
      <c r="B120" s="2653" t="s">
        <v>423</v>
      </c>
      <c r="C120" s="2654">
        <f>SUM(C116:C119)</f>
        <v>209596</v>
      </c>
      <c r="D120" s="2655">
        <f t="shared" ref="D120:I120" si="23">SUM(D116:D119)</f>
        <v>16077</v>
      </c>
      <c r="E120" s="2654">
        <f t="shared" si="23"/>
        <v>9566</v>
      </c>
      <c r="F120" s="2655">
        <f t="shared" si="23"/>
        <v>2641241</v>
      </c>
      <c r="G120" s="2654">
        <f t="shared" si="23"/>
        <v>841196</v>
      </c>
      <c r="H120" s="2655">
        <f t="shared" si="23"/>
        <v>25830</v>
      </c>
      <c r="I120" s="2656">
        <f t="shared" si="23"/>
        <v>3743506</v>
      </c>
      <c r="J120" s="431"/>
      <c r="K120" s="463"/>
      <c r="L120" s="305"/>
      <c r="M120" s="305"/>
      <c r="N120" s="305"/>
      <c r="O120" s="305"/>
      <c r="P120" s="305"/>
      <c r="Q120" s="305"/>
      <c r="R120" s="305"/>
      <c r="S120" s="305"/>
      <c r="T120" s="305"/>
      <c r="U120" s="305"/>
    </row>
    <row r="121" spans="1:21" s="52" customFormat="1" ht="13.5" customHeight="1">
      <c r="A121" s="427"/>
      <c r="B121" s="2651" t="s">
        <v>424</v>
      </c>
      <c r="C121" s="2657">
        <v>15049</v>
      </c>
      <c r="D121" s="2650">
        <v>-4176</v>
      </c>
      <c r="E121" s="2657"/>
      <c r="F121" s="2650">
        <v>156030</v>
      </c>
      <c r="G121" s="2657">
        <v>-84700</v>
      </c>
      <c r="H121" s="2650">
        <v>-9081</v>
      </c>
      <c r="I121" s="2652">
        <f>SUM(C121:H121)</f>
        <v>73122</v>
      </c>
      <c r="J121" s="431"/>
      <c r="K121" s="394"/>
      <c r="L121" s="305"/>
      <c r="M121" s="305"/>
      <c r="N121" s="305"/>
      <c r="O121" s="305"/>
      <c r="P121" s="305"/>
      <c r="Q121" s="305"/>
      <c r="R121" s="305"/>
      <c r="S121" s="305"/>
      <c r="T121" s="305"/>
      <c r="U121" s="305"/>
    </row>
    <row r="122" spans="1:21" s="236" customFormat="1" ht="13.5" customHeight="1">
      <c r="A122" s="428"/>
      <c r="B122" s="2653" t="s">
        <v>425</v>
      </c>
      <c r="C122" s="2654">
        <f>+C120+C121</f>
        <v>224645</v>
      </c>
      <c r="D122" s="2655">
        <f t="shared" ref="D122:I122" si="24">+D120+D121</f>
        <v>11901</v>
      </c>
      <c r="E122" s="2654">
        <f t="shared" si="24"/>
        <v>9566</v>
      </c>
      <c r="F122" s="2655">
        <f t="shared" si="24"/>
        <v>2797271</v>
      </c>
      <c r="G122" s="2654">
        <f t="shared" si="24"/>
        <v>756496</v>
      </c>
      <c r="H122" s="2655">
        <f t="shared" si="24"/>
        <v>16749</v>
      </c>
      <c r="I122" s="2656">
        <f t="shared" si="24"/>
        <v>3816628</v>
      </c>
      <c r="J122" s="431"/>
      <c r="K122" s="463"/>
      <c r="L122" s="305"/>
      <c r="M122" s="305"/>
      <c r="N122" s="305"/>
      <c r="O122" s="305"/>
      <c r="P122" s="305"/>
      <c r="Q122" s="305"/>
      <c r="R122" s="305"/>
      <c r="S122" s="305"/>
      <c r="T122" s="305"/>
      <c r="U122" s="305"/>
    </row>
    <row r="123" spans="1:21" s="52" customFormat="1" ht="13.5" customHeight="1">
      <c r="A123" s="427"/>
      <c r="B123" s="2651"/>
      <c r="C123" s="2658"/>
      <c r="D123" s="2659"/>
      <c r="E123" s="2658"/>
      <c r="F123" s="2659"/>
      <c r="G123" s="2658"/>
      <c r="H123" s="2659"/>
      <c r="I123" s="2652"/>
      <c r="J123" s="431"/>
      <c r="K123" s="394"/>
      <c r="L123" s="305"/>
      <c r="M123" s="305"/>
      <c r="N123" s="305"/>
      <c r="O123" s="305"/>
      <c r="P123" s="305"/>
      <c r="Q123" s="305"/>
      <c r="R123" s="305"/>
      <c r="S123" s="305"/>
      <c r="T123" s="305"/>
      <c r="U123" s="305"/>
    </row>
    <row r="124" spans="1:21" s="52" customFormat="1" ht="13.5" customHeight="1">
      <c r="A124" s="427"/>
      <c r="B124" s="2653" t="s">
        <v>426</v>
      </c>
      <c r="C124" s="2660">
        <f>SUM(C125:C127)</f>
        <v>-8837</v>
      </c>
      <c r="D124" s="2661">
        <f t="shared" ref="D124:H124" si="25">SUM(D125:D127)</f>
        <v>8636</v>
      </c>
      <c r="E124" s="2660">
        <f t="shared" si="25"/>
        <v>0</v>
      </c>
      <c r="F124" s="2661">
        <f t="shared" si="25"/>
        <v>-1521028</v>
      </c>
      <c r="G124" s="2660">
        <f t="shared" si="25"/>
        <v>-782388</v>
      </c>
      <c r="H124" s="2661">
        <f t="shared" si="25"/>
        <v>-5504</v>
      </c>
      <c r="I124" s="2652">
        <f>SUM(C124:H124)</f>
        <v>-2309121</v>
      </c>
      <c r="J124" s="431"/>
      <c r="K124" s="415"/>
      <c r="L124" s="305"/>
      <c r="M124" s="305"/>
      <c r="N124" s="305"/>
      <c r="O124" s="305"/>
      <c r="P124" s="305"/>
      <c r="Q124" s="305"/>
      <c r="R124" s="305"/>
      <c r="S124" s="305"/>
      <c r="T124" s="305"/>
      <c r="U124" s="305"/>
    </row>
    <row r="125" spans="1:21" s="52" customFormat="1" ht="25.5" customHeight="1">
      <c r="A125" s="427"/>
      <c r="B125" s="2651" t="s">
        <v>427</v>
      </c>
      <c r="C125" s="2657">
        <v>-18443</v>
      </c>
      <c r="D125" s="2650">
        <v>15</v>
      </c>
      <c r="E125" s="2657"/>
      <c r="F125" s="2650">
        <v>-1108236</v>
      </c>
      <c r="G125" s="2657">
        <v>-714746</v>
      </c>
      <c r="H125" s="2650">
        <v>-10497</v>
      </c>
      <c r="I125" s="2652">
        <f>SUM(C125:H125)</f>
        <v>-1851907</v>
      </c>
      <c r="J125" s="431"/>
      <c r="K125" s="394"/>
      <c r="L125" s="305"/>
      <c r="M125" s="305"/>
      <c r="N125" s="305"/>
      <c r="O125" s="305"/>
      <c r="P125" s="305"/>
      <c r="Q125" s="305"/>
      <c r="R125" s="305"/>
      <c r="S125" s="305"/>
      <c r="T125" s="305"/>
      <c r="U125" s="305"/>
    </row>
    <row r="126" spans="1:21" s="52" customFormat="1" ht="25.5" customHeight="1">
      <c r="A126" s="427"/>
      <c r="B126" s="2651" t="s">
        <v>428</v>
      </c>
      <c r="C126" s="869">
        <v>11899</v>
      </c>
      <c r="D126" s="870">
        <v>8621</v>
      </c>
      <c r="E126" s="869"/>
      <c r="F126" s="870">
        <v>-383218</v>
      </c>
      <c r="G126" s="869">
        <v>-62603</v>
      </c>
      <c r="H126" s="870">
        <v>5002</v>
      </c>
      <c r="I126" s="2652">
        <f t="shared" ref="I126:I127" si="26">SUM(C126:H126)</f>
        <v>-420299</v>
      </c>
      <c r="J126" s="431"/>
      <c r="K126" s="394"/>
      <c r="L126" s="305"/>
      <c r="M126" s="305"/>
      <c r="N126" s="305"/>
      <c r="O126" s="305"/>
      <c r="P126" s="305"/>
      <c r="Q126" s="305"/>
      <c r="R126" s="305"/>
      <c r="S126" s="305"/>
      <c r="T126" s="305"/>
      <c r="U126" s="305"/>
    </row>
    <row r="127" spans="1:21" s="52" customFormat="1" ht="25.5" customHeight="1">
      <c r="A127" s="427"/>
      <c r="B127" s="2651" t="s">
        <v>429</v>
      </c>
      <c r="C127" s="869">
        <v>-2293</v>
      </c>
      <c r="D127" s="870"/>
      <c r="E127" s="869"/>
      <c r="F127" s="870">
        <v>-29574</v>
      </c>
      <c r="G127" s="869">
        <v>-5039</v>
      </c>
      <c r="H127" s="870">
        <v>-9</v>
      </c>
      <c r="I127" s="2652">
        <f t="shared" si="26"/>
        <v>-36915</v>
      </c>
      <c r="J127" s="431"/>
      <c r="K127" s="394"/>
      <c r="L127" s="305"/>
      <c r="M127" s="305"/>
      <c r="N127" s="305"/>
      <c r="O127" s="305"/>
      <c r="P127" s="305"/>
      <c r="Q127" s="305"/>
      <c r="R127" s="305"/>
      <c r="S127" s="305"/>
      <c r="T127" s="305"/>
      <c r="U127" s="305"/>
    </row>
    <row r="128" spans="1:21" s="52" customFormat="1" ht="13.5" customHeight="1">
      <c r="A128" s="427"/>
      <c r="B128" s="2662" t="s">
        <v>430</v>
      </c>
      <c r="C128" s="2654">
        <f>+C122+C126+C127+C125</f>
        <v>215808</v>
      </c>
      <c r="D128" s="2655">
        <f t="shared" ref="D128:I128" si="27">+D122+D126+D127+D125</f>
        <v>20537</v>
      </c>
      <c r="E128" s="2654">
        <f t="shared" si="27"/>
        <v>9566</v>
      </c>
      <c r="F128" s="2655">
        <f t="shared" si="27"/>
        <v>1276243</v>
      </c>
      <c r="G128" s="2654">
        <f t="shared" si="27"/>
        <v>-25892</v>
      </c>
      <c r="H128" s="2655">
        <f t="shared" si="27"/>
        <v>11245</v>
      </c>
      <c r="I128" s="2656">
        <f t="shared" si="27"/>
        <v>1507507</v>
      </c>
      <c r="J128" s="431"/>
      <c r="K128" s="288"/>
      <c r="L128" s="305"/>
      <c r="M128" s="305"/>
      <c r="N128" s="305"/>
      <c r="O128" s="305"/>
      <c r="P128" s="305"/>
      <c r="Q128" s="305"/>
      <c r="R128" s="305"/>
      <c r="S128" s="305"/>
      <c r="T128" s="305"/>
      <c r="U128" s="305"/>
    </row>
    <row r="129" spans="1:21" s="52" customFormat="1" ht="13.5" customHeight="1">
      <c r="A129" s="427"/>
      <c r="B129" s="2663"/>
      <c r="C129" s="2658"/>
      <c r="D129" s="2659"/>
      <c r="E129" s="2658"/>
      <c r="F129" s="2659"/>
      <c r="G129" s="2658"/>
      <c r="H129" s="2659"/>
      <c r="I129" s="2664"/>
      <c r="J129" s="431"/>
      <c r="K129" s="394"/>
      <c r="L129" s="305"/>
      <c r="M129" s="305"/>
      <c r="N129" s="305"/>
      <c r="O129" s="305"/>
      <c r="P129" s="305"/>
      <c r="Q129" s="305"/>
      <c r="R129" s="305"/>
      <c r="S129" s="305"/>
      <c r="T129" s="305"/>
      <c r="U129" s="305"/>
    </row>
    <row r="130" spans="1:21" s="52" customFormat="1" ht="13.5" customHeight="1">
      <c r="A130" s="427"/>
      <c r="B130" s="2653" t="s">
        <v>431</v>
      </c>
      <c r="C130" s="2665"/>
      <c r="D130" s="2666"/>
      <c r="E130" s="2665"/>
      <c r="F130" s="2666"/>
      <c r="G130" s="2665"/>
      <c r="H130" s="2666"/>
      <c r="I130" s="2664">
        <f>SUM(I131:I133)</f>
        <v>591367</v>
      </c>
      <c r="J130" s="431"/>
      <c r="K130" s="394"/>
      <c r="L130" s="305"/>
      <c r="M130" s="305"/>
      <c r="N130" s="305"/>
      <c r="O130" s="305"/>
      <c r="P130" s="305"/>
      <c r="Q130" s="305"/>
      <c r="R130" s="305"/>
      <c r="S130" s="305"/>
      <c r="T130" s="305"/>
      <c r="U130" s="305"/>
    </row>
    <row r="131" spans="1:21" s="52" customFormat="1" ht="13.5" customHeight="1">
      <c r="A131" s="427"/>
      <c r="B131" s="2651" t="s">
        <v>432</v>
      </c>
      <c r="C131" s="2665"/>
      <c r="D131" s="2666"/>
      <c r="E131" s="2665"/>
      <c r="F131" s="2666"/>
      <c r="G131" s="2665"/>
      <c r="H131" s="2666"/>
      <c r="I131" s="2667">
        <v>38840</v>
      </c>
      <c r="J131" s="431"/>
      <c r="K131" s="394"/>
      <c r="L131" s="305"/>
      <c r="M131" s="305"/>
      <c r="N131" s="305"/>
      <c r="O131" s="305"/>
      <c r="P131" s="305"/>
      <c r="Q131" s="305"/>
      <c r="R131" s="305"/>
      <c r="S131" s="305"/>
      <c r="T131" s="305"/>
      <c r="U131" s="305"/>
    </row>
    <row r="132" spans="1:21" s="52" customFormat="1" ht="13.5" customHeight="1">
      <c r="A132" s="427"/>
      <c r="B132" s="2651" t="s">
        <v>446</v>
      </c>
      <c r="C132" s="2665"/>
      <c r="D132" s="2666"/>
      <c r="E132" s="2665"/>
      <c r="F132" s="2666"/>
      <c r="G132" s="2665"/>
      <c r="H132" s="2666"/>
      <c r="I132" s="1778">
        <v>455091</v>
      </c>
      <c r="J132" s="431"/>
      <c r="K132" s="394"/>
      <c r="L132" s="305"/>
      <c r="M132" s="305"/>
      <c r="N132" s="305"/>
      <c r="O132" s="305"/>
      <c r="P132" s="305"/>
      <c r="Q132" s="305"/>
      <c r="R132" s="305"/>
      <c r="S132" s="305"/>
      <c r="T132" s="305"/>
      <c r="U132" s="305"/>
    </row>
    <row r="133" spans="1:21" s="52" customFormat="1" ht="13.5" customHeight="1">
      <c r="A133" s="427"/>
      <c r="B133" s="2651" t="s">
        <v>434</v>
      </c>
      <c r="C133" s="2665"/>
      <c r="D133" s="2666"/>
      <c r="E133" s="2665"/>
      <c r="F133" s="2666"/>
      <c r="G133" s="2665"/>
      <c r="H133" s="2666"/>
      <c r="I133" s="1778">
        <v>97436</v>
      </c>
      <c r="J133" s="431"/>
      <c r="K133" s="394"/>
      <c r="L133" s="305"/>
      <c r="M133" s="305"/>
      <c r="N133" s="305"/>
      <c r="O133" s="305"/>
      <c r="P133" s="305"/>
      <c r="Q133" s="305"/>
      <c r="R133" s="305"/>
      <c r="S133" s="305"/>
      <c r="T133" s="305"/>
      <c r="U133" s="305"/>
    </row>
    <row r="134" spans="1:21" s="52" customFormat="1" ht="13.5" customHeight="1">
      <c r="A134" s="427"/>
      <c r="B134" s="2651"/>
      <c r="C134" s="2665"/>
      <c r="D134" s="2666"/>
      <c r="E134" s="2665"/>
      <c r="F134" s="2666"/>
      <c r="G134" s="2665"/>
      <c r="H134" s="2666"/>
      <c r="I134" s="2652"/>
      <c r="J134" s="431"/>
      <c r="K134" s="394"/>
      <c r="L134" s="305"/>
      <c r="M134" s="305"/>
      <c r="N134" s="305"/>
      <c r="O134" s="305"/>
      <c r="P134" s="305"/>
      <c r="Q134" s="305"/>
      <c r="R134" s="305"/>
      <c r="S134" s="305"/>
      <c r="T134" s="305"/>
      <c r="U134" s="305"/>
    </row>
    <row r="135" spans="1:21" s="52" customFormat="1" ht="13.5" customHeight="1">
      <c r="A135" s="427"/>
      <c r="B135" s="2653" t="s">
        <v>435</v>
      </c>
      <c r="C135" s="2665"/>
      <c r="D135" s="2666"/>
      <c r="E135" s="2665"/>
      <c r="F135" s="2666"/>
      <c r="G135" s="2665"/>
      <c r="H135" s="2666"/>
      <c r="I135" s="2652">
        <f>SUM(I136:I137)</f>
        <v>-1089894</v>
      </c>
      <c r="J135" s="431"/>
      <c r="K135" s="394"/>
      <c r="L135" s="305"/>
      <c r="M135" s="305"/>
      <c r="N135" s="305"/>
      <c r="O135" s="305"/>
      <c r="P135" s="305"/>
      <c r="Q135" s="305"/>
      <c r="R135" s="305"/>
      <c r="S135" s="305"/>
      <c r="T135" s="305"/>
      <c r="U135" s="305"/>
    </row>
    <row r="136" spans="1:21" s="52" customFormat="1" ht="30" customHeight="1">
      <c r="A136" s="427"/>
      <c r="B136" s="2651" t="s">
        <v>436</v>
      </c>
      <c r="C136" s="2665"/>
      <c r="D136" s="2666"/>
      <c r="E136" s="2665"/>
      <c r="F136" s="2666"/>
      <c r="G136" s="2665"/>
      <c r="H136" s="2666"/>
      <c r="I136" s="2667">
        <v>-1089894</v>
      </c>
      <c r="J136" s="431"/>
      <c r="K136" s="394"/>
      <c r="L136" s="305"/>
      <c r="M136" s="305"/>
      <c r="N136" s="305"/>
      <c r="O136" s="305"/>
      <c r="P136" s="305"/>
      <c r="Q136" s="305"/>
      <c r="R136" s="305"/>
      <c r="S136" s="305"/>
      <c r="T136" s="305"/>
      <c r="U136" s="305"/>
    </row>
    <row r="137" spans="1:21" s="52" customFormat="1" ht="30" customHeight="1">
      <c r="A137" s="427"/>
      <c r="B137" s="2651" t="s">
        <v>437</v>
      </c>
      <c r="C137" s="2665"/>
      <c r="D137" s="2666"/>
      <c r="E137" s="2665"/>
      <c r="F137" s="2666"/>
      <c r="G137" s="2665"/>
      <c r="H137" s="2666"/>
      <c r="I137" s="2652"/>
      <c r="J137" s="431"/>
      <c r="K137" s="394"/>
      <c r="L137" s="305"/>
      <c r="M137" s="305"/>
      <c r="N137" s="305"/>
      <c r="O137" s="305"/>
      <c r="P137" s="305"/>
      <c r="Q137" s="305"/>
      <c r="R137" s="305"/>
      <c r="S137" s="305"/>
      <c r="T137" s="305"/>
      <c r="U137" s="305"/>
    </row>
    <row r="138" spans="1:21" s="52" customFormat="1" ht="13.5" customHeight="1">
      <c r="A138" s="427"/>
      <c r="B138" s="2653" t="s">
        <v>438</v>
      </c>
      <c r="C138" s="2665"/>
      <c r="D138" s="2666"/>
      <c r="E138" s="2665"/>
      <c r="F138" s="2666"/>
      <c r="G138" s="2665"/>
      <c r="H138" s="2666"/>
      <c r="I138" s="2664">
        <f>+I128+I130+I135</f>
        <v>1008980</v>
      </c>
      <c r="J138" s="431"/>
      <c r="K138" s="394"/>
      <c r="L138" s="305"/>
      <c r="M138" s="305"/>
      <c r="N138" s="305"/>
      <c r="O138" s="305"/>
      <c r="P138" s="305"/>
      <c r="Q138" s="305"/>
      <c r="R138" s="305"/>
      <c r="S138" s="305"/>
      <c r="T138" s="305"/>
      <c r="U138" s="305"/>
    </row>
    <row r="139" spans="1:21" s="52" customFormat="1" ht="13.5" customHeight="1">
      <c r="A139" s="427"/>
      <c r="B139" s="2651" t="s">
        <v>439</v>
      </c>
      <c r="C139" s="2665"/>
      <c r="D139" s="2666"/>
      <c r="E139" s="2665"/>
      <c r="F139" s="2666"/>
      <c r="G139" s="2665"/>
      <c r="H139" s="2666"/>
      <c r="I139" s="2667">
        <v>-8654</v>
      </c>
      <c r="J139" s="431"/>
      <c r="K139" s="394"/>
      <c r="L139" s="305"/>
      <c r="M139" s="305"/>
      <c r="N139" s="305"/>
      <c r="O139" s="305"/>
      <c r="P139" s="305"/>
      <c r="Q139" s="305"/>
      <c r="R139" s="305"/>
      <c r="S139" s="305"/>
      <c r="T139" s="305"/>
      <c r="U139" s="305"/>
    </row>
    <row r="140" spans="1:21" s="52" customFormat="1" ht="13.5" customHeight="1">
      <c r="A140" s="427"/>
      <c r="B140" s="2668" t="s">
        <v>440</v>
      </c>
      <c r="C140" s="2665"/>
      <c r="D140" s="2666"/>
      <c r="E140" s="2665"/>
      <c r="F140" s="2666"/>
      <c r="G140" s="2665"/>
      <c r="H140" s="2666"/>
      <c r="I140" s="2664">
        <f>I138+I139</f>
        <v>1000326</v>
      </c>
      <c r="J140" s="431"/>
      <c r="K140" s="394"/>
      <c r="L140" s="305"/>
      <c r="M140" s="305"/>
      <c r="N140" s="305"/>
      <c r="O140" s="305"/>
      <c r="P140" s="305"/>
      <c r="Q140" s="305"/>
      <c r="R140" s="305"/>
      <c r="S140" s="305"/>
      <c r="T140" s="305"/>
      <c r="U140" s="305"/>
    </row>
    <row r="141" spans="1:21" s="52" customFormat="1" ht="13.5" customHeight="1">
      <c r="A141" s="427"/>
      <c r="B141" s="2669" t="s">
        <v>441</v>
      </c>
      <c r="C141" s="2665"/>
      <c r="D141" s="2666"/>
      <c r="E141" s="2665"/>
      <c r="F141" s="2666"/>
      <c r="G141" s="2665"/>
      <c r="H141" s="2666"/>
      <c r="I141" s="2667">
        <v>-228412</v>
      </c>
      <c r="J141" s="431"/>
      <c r="K141" s="394"/>
      <c r="L141" s="305"/>
      <c r="M141" s="305"/>
      <c r="N141" s="305"/>
      <c r="O141" s="305"/>
      <c r="P141" s="305"/>
      <c r="Q141" s="305"/>
      <c r="R141" s="305"/>
      <c r="S141" s="305"/>
      <c r="T141" s="305"/>
      <c r="U141" s="305"/>
    </row>
    <row r="142" spans="1:21" s="52" customFormat="1" ht="13.5" customHeight="1" thickBot="1">
      <c r="A142" s="427"/>
      <c r="B142" s="1776" t="s">
        <v>442</v>
      </c>
      <c r="C142" s="771"/>
      <c r="D142" s="1313"/>
      <c r="E142" s="771"/>
      <c r="F142" s="1313"/>
      <c r="G142" s="771"/>
      <c r="H142" s="1313"/>
      <c r="I142" s="1779">
        <f>+I140+I141</f>
        <v>771914</v>
      </c>
      <c r="J142" s="431"/>
      <c r="K142" s="394"/>
      <c r="L142" s="305"/>
      <c r="M142" s="305"/>
      <c r="N142" s="305"/>
      <c r="O142" s="305"/>
      <c r="P142" s="305"/>
      <c r="Q142" s="305"/>
      <c r="R142" s="305"/>
      <c r="S142" s="305"/>
      <c r="T142" s="305"/>
      <c r="U142" s="305"/>
    </row>
    <row r="143" spans="1:21" s="52" customFormat="1" ht="13.5" customHeight="1">
      <c r="A143" s="427"/>
      <c r="B143" s="455"/>
      <c r="C143" s="433"/>
      <c r="D143" s="433"/>
      <c r="E143" s="433"/>
      <c r="F143" s="433"/>
      <c r="G143" s="433"/>
      <c r="H143" s="433"/>
      <c r="I143" s="433"/>
      <c r="J143" s="431"/>
      <c r="K143" s="394"/>
      <c r="L143" s="305"/>
      <c r="M143" s="305"/>
      <c r="N143" s="305"/>
      <c r="O143" s="305"/>
      <c r="P143" s="305"/>
      <c r="Q143" s="305"/>
      <c r="R143" s="305"/>
      <c r="S143" s="305"/>
      <c r="T143" s="305"/>
      <c r="U143" s="305"/>
    </row>
    <row r="144" spans="1:21" s="52" customFormat="1" ht="13.5" customHeight="1">
      <c r="A144" s="427"/>
      <c r="B144" s="455"/>
      <c r="C144" s="433"/>
      <c r="D144" s="433"/>
      <c r="E144" s="433"/>
      <c r="F144" s="433"/>
      <c r="G144" s="433"/>
      <c r="H144" s="433"/>
      <c r="I144" s="433"/>
      <c r="J144" s="431"/>
      <c r="K144" s="394">
        <v>114</v>
      </c>
      <c r="L144" s="305"/>
      <c r="M144" s="305"/>
      <c r="N144" s="305"/>
      <c r="O144" s="305"/>
      <c r="P144" s="305"/>
      <c r="Q144" s="305"/>
      <c r="R144" s="305"/>
      <c r="S144" s="305"/>
      <c r="T144" s="305"/>
      <c r="U144" s="305"/>
    </row>
    <row r="145" spans="1:21" s="52" customFormat="1" ht="13.5" customHeight="1">
      <c r="A145" s="427"/>
      <c r="B145" s="455"/>
      <c r="C145" s="433"/>
      <c r="D145" s="433"/>
      <c r="E145" s="433"/>
      <c r="F145" s="433"/>
      <c r="G145" s="433"/>
      <c r="H145" s="433"/>
      <c r="I145" s="433"/>
      <c r="J145" s="431"/>
      <c r="K145" s="394"/>
      <c r="L145" s="305"/>
      <c r="M145" s="305"/>
      <c r="N145" s="305"/>
      <c r="O145" s="305"/>
      <c r="P145" s="305"/>
      <c r="Q145" s="305"/>
      <c r="R145" s="305"/>
      <c r="S145" s="305"/>
      <c r="T145" s="305"/>
      <c r="U145" s="305"/>
    </row>
    <row r="146" spans="1:21" s="52" customFormat="1" ht="13.5" customHeight="1">
      <c r="A146" s="427"/>
      <c r="B146" s="295" t="s">
        <v>443</v>
      </c>
      <c r="C146" s="295"/>
      <c r="D146" s="295"/>
      <c r="E146" s="433"/>
      <c r="F146" s="433"/>
      <c r="G146" s="433"/>
      <c r="H146" s="433"/>
      <c r="I146" s="433"/>
      <c r="J146" s="431"/>
      <c r="K146" s="394"/>
      <c r="L146" s="305"/>
      <c r="M146" s="305"/>
      <c r="N146" s="305"/>
      <c r="O146" s="305"/>
      <c r="P146" s="305"/>
      <c r="Q146" s="305"/>
      <c r="R146" s="305"/>
      <c r="S146" s="305"/>
      <c r="T146" s="305"/>
      <c r="U146" s="305"/>
    </row>
    <row r="147" spans="1:21" s="52" customFormat="1" ht="13.5" customHeight="1" thickBot="1">
      <c r="A147" s="427"/>
      <c r="B147" s="218"/>
      <c r="C147" s="218"/>
      <c r="D147" s="218"/>
      <c r="E147" s="433"/>
      <c r="F147" s="433"/>
      <c r="G147" s="433"/>
      <c r="H147" s="433"/>
      <c r="I147" s="433"/>
      <c r="J147" s="431"/>
      <c r="K147" s="394"/>
      <c r="L147" s="305"/>
      <c r="M147" s="305"/>
      <c r="N147" s="305"/>
      <c r="O147" s="305"/>
      <c r="P147" s="305"/>
      <c r="Q147" s="305"/>
      <c r="R147" s="305"/>
      <c r="S147" s="305"/>
      <c r="T147" s="305"/>
      <c r="U147" s="305"/>
    </row>
    <row r="148" spans="1:21" ht="13.5" customHeight="1">
      <c r="B148" s="1765" t="s">
        <v>98</v>
      </c>
      <c r="I148" s="535" t="s">
        <v>232</v>
      </c>
      <c r="J148" s="556"/>
      <c r="L148" s="305"/>
      <c r="M148" s="305"/>
      <c r="N148" s="305"/>
      <c r="O148" s="305"/>
      <c r="P148" s="305"/>
      <c r="Q148" s="305"/>
      <c r="R148" s="305"/>
      <c r="S148" s="305"/>
      <c r="T148" s="305"/>
      <c r="U148" s="305"/>
    </row>
    <row r="149" spans="1:21" s="52" customFormat="1" ht="13.5" customHeight="1">
      <c r="A149" s="414"/>
      <c r="B149" s="3624"/>
      <c r="C149" s="3627">
        <v>2021</v>
      </c>
      <c r="D149" s="3628"/>
      <c r="E149" s="3628"/>
      <c r="F149" s="3628"/>
      <c r="G149" s="3628"/>
      <c r="H149" s="3628"/>
      <c r="I149" s="3629"/>
      <c r="J149" s="454"/>
      <c r="K149" s="394"/>
      <c r="L149" s="305"/>
      <c r="M149" s="305"/>
      <c r="N149" s="305"/>
      <c r="O149" s="305"/>
      <c r="P149" s="305"/>
      <c r="Q149" s="305"/>
      <c r="R149" s="305"/>
      <c r="S149" s="305"/>
      <c r="T149" s="305"/>
      <c r="U149" s="305"/>
    </row>
    <row r="150" spans="1:21" s="52" customFormat="1" ht="13.5" customHeight="1">
      <c r="A150" s="415"/>
      <c r="B150" s="3625"/>
      <c r="C150" s="3630" t="s">
        <v>412</v>
      </c>
      <c r="D150" s="3630" t="s">
        <v>413</v>
      </c>
      <c r="E150" s="3627" t="s">
        <v>414</v>
      </c>
      <c r="F150" s="3629"/>
      <c r="G150" s="3632" t="s">
        <v>415</v>
      </c>
      <c r="H150" s="3632" t="s">
        <v>416</v>
      </c>
      <c r="I150" s="3630" t="s">
        <v>118</v>
      </c>
      <c r="J150" s="454"/>
      <c r="K150" s="3617"/>
      <c r="L150" s="305"/>
      <c r="M150" s="305"/>
      <c r="N150" s="305"/>
      <c r="O150" s="305"/>
      <c r="P150" s="305"/>
      <c r="Q150" s="305"/>
      <c r="R150" s="305"/>
      <c r="S150" s="305"/>
      <c r="T150" s="305"/>
      <c r="U150" s="305"/>
    </row>
    <row r="151" spans="1:21" s="52" customFormat="1" ht="13.5" customHeight="1" thickBot="1">
      <c r="A151" s="415"/>
      <c r="B151" s="3626"/>
      <c r="C151" s="3631"/>
      <c r="D151" s="3631"/>
      <c r="E151" s="1686" t="s">
        <v>418</v>
      </c>
      <c r="F151" s="1686" t="s">
        <v>419</v>
      </c>
      <c r="G151" s="3633"/>
      <c r="H151" s="3633"/>
      <c r="I151" s="3631"/>
      <c r="J151" s="454"/>
      <c r="K151" s="3617"/>
      <c r="L151" s="305"/>
      <c r="M151" s="305"/>
      <c r="N151" s="305"/>
      <c r="O151" s="305"/>
      <c r="P151" s="305"/>
      <c r="Q151" s="305"/>
      <c r="R151" s="305"/>
      <c r="S151" s="305"/>
      <c r="T151" s="305"/>
      <c r="U151" s="305"/>
    </row>
    <row r="152" spans="1:21" s="52" customFormat="1" ht="13.5" customHeight="1">
      <c r="A152" s="427"/>
      <c r="B152" s="1770" t="s">
        <v>333</v>
      </c>
      <c r="C152" s="865">
        <v>3384913</v>
      </c>
      <c r="D152" s="2628">
        <v>762733</v>
      </c>
      <c r="E152" s="865">
        <v>726443</v>
      </c>
      <c r="F152" s="2628">
        <v>9453238</v>
      </c>
      <c r="G152" s="865">
        <v>2076839</v>
      </c>
      <c r="H152" s="2628">
        <v>3801938</v>
      </c>
      <c r="I152" s="1780">
        <f>SUM(C152:H152)</f>
        <v>20206104</v>
      </c>
      <c r="J152" s="431"/>
      <c r="K152" s="286"/>
      <c r="L152" s="305"/>
      <c r="M152" s="305"/>
      <c r="N152" s="305"/>
      <c r="O152" s="305"/>
      <c r="P152" s="305"/>
      <c r="Q152" s="305"/>
      <c r="R152" s="305"/>
      <c r="S152" s="305"/>
      <c r="T152" s="305"/>
      <c r="U152" s="305"/>
    </row>
    <row r="153" spans="1:21" s="52" customFormat="1" ht="13.5" customHeight="1">
      <c r="A153" s="427"/>
      <c r="B153" s="2616" t="s">
        <v>447</v>
      </c>
      <c r="C153" s="866">
        <v>-52021</v>
      </c>
      <c r="D153" s="867"/>
      <c r="E153" s="866"/>
      <c r="F153" s="867"/>
      <c r="G153" s="866"/>
      <c r="H153" s="867">
        <v>-9122</v>
      </c>
      <c r="I153" s="2591">
        <f t="shared" ref="I153:I155" si="28">SUM(C153:H153)</f>
        <v>-61143</v>
      </c>
      <c r="J153" s="431"/>
      <c r="K153" s="286"/>
      <c r="L153" s="305"/>
      <c r="M153" s="305"/>
      <c r="N153" s="305"/>
      <c r="O153" s="305"/>
      <c r="P153" s="305"/>
      <c r="Q153" s="305"/>
      <c r="R153" s="305"/>
      <c r="S153" s="305"/>
      <c r="T153" s="305"/>
      <c r="U153" s="305"/>
    </row>
    <row r="154" spans="1:21" s="52" customFormat="1" ht="13.5" customHeight="1">
      <c r="A154" s="427"/>
      <c r="B154" s="2616" t="s">
        <v>421</v>
      </c>
      <c r="C154" s="866">
        <v>-1212075</v>
      </c>
      <c r="D154" s="867">
        <v>-4768</v>
      </c>
      <c r="E154" s="866"/>
      <c r="F154" s="867">
        <v>-135189</v>
      </c>
      <c r="G154" s="866"/>
      <c r="H154" s="867">
        <v>-294178</v>
      </c>
      <c r="I154" s="2591">
        <f t="shared" si="28"/>
        <v>-1646210</v>
      </c>
      <c r="J154" s="431"/>
      <c r="K154" s="286"/>
      <c r="L154" s="305"/>
      <c r="M154" s="305"/>
      <c r="N154" s="305"/>
      <c r="O154" s="305"/>
      <c r="P154" s="305"/>
      <c r="Q154" s="305"/>
      <c r="R154" s="305"/>
      <c r="S154" s="305"/>
      <c r="T154" s="305"/>
      <c r="U154" s="305"/>
    </row>
    <row r="155" spans="1:21" s="52" customFormat="1" ht="13.5" customHeight="1">
      <c r="A155" s="427"/>
      <c r="B155" s="2616" t="s">
        <v>422</v>
      </c>
      <c r="C155" s="866">
        <v>-1918932</v>
      </c>
      <c r="D155" s="867">
        <v>-384967</v>
      </c>
      <c r="E155" s="866">
        <v>-136344</v>
      </c>
      <c r="F155" s="867">
        <v>-649103</v>
      </c>
      <c r="G155" s="866">
        <v>-238759</v>
      </c>
      <c r="H155" s="867">
        <v>-2092236</v>
      </c>
      <c r="I155" s="2591">
        <f t="shared" si="28"/>
        <v>-5420341</v>
      </c>
      <c r="J155" s="431"/>
      <c r="K155" s="394"/>
      <c r="L155" s="305"/>
      <c r="M155" s="305"/>
      <c r="N155" s="305"/>
      <c r="O155" s="305"/>
      <c r="P155" s="305"/>
      <c r="Q155" s="305"/>
      <c r="R155" s="305"/>
      <c r="S155" s="305"/>
      <c r="T155" s="305"/>
      <c r="U155" s="305"/>
    </row>
    <row r="156" spans="1:21" s="236" customFormat="1" ht="13.5" customHeight="1">
      <c r="A156" s="428"/>
      <c r="B156" s="2618" t="s">
        <v>423</v>
      </c>
      <c r="C156" s="2634">
        <f>SUM(C152:C155)</f>
        <v>201885</v>
      </c>
      <c r="D156" s="2633">
        <f t="shared" ref="D156:I156" si="29">SUM(D152:D155)</f>
        <v>372998</v>
      </c>
      <c r="E156" s="2634">
        <f t="shared" si="29"/>
        <v>590099</v>
      </c>
      <c r="F156" s="2633">
        <f t="shared" si="29"/>
        <v>8668946</v>
      </c>
      <c r="G156" s="2634">
        <f t="shared" si="29"/>
        <v>1838080</v>
      </c>
      <c r="H156" s="2633">
        <f t="shared" si="29"/>
        <v>1406402</v>
      </c>
      <c r="I156" s="2599">
        <f t="shared" si="29"/>
        <v>13078410</v>
      </c>
      <c r="J156" s="431"/>
      <c r="K156" s="463"/>
      <c r="L156" s="305"/>
      <c r="M156" s="305"/>
      <c r="N156" s="305"/>
      <c r="O156" s="305"/>
      <c r="P156" s="305"/>
      <c r="Q156" s="305"/>
      <c r="R156" s="305"/>
      <c r="S156" s="305"/>
      <c r="T156" s="305"/>
      <c r="U156" s="305"/>
    </row>
    <row r="157" spans="1:21" s="52" customFormat="1" ht="13.5" customHeight="1">
      <c r="A157" s="427"/>
      <c r="B157" s="2616" t="s">
        <v>424</v>
      </c>
      <c r="C157" s="2629">
        <v>-43684</v>
      </c>
      <c r="D157" s="2628">
        <v>-9713</v>
      </c>
      <c r="E157" s="2629">
        <v>9472</v>
      </c>
      <c r="F157" s="2628">
        <v>252712</v>
      </c>
      <c r="G157" s="2629">
        <v>103814</v>
      </c>
      <c r="H157" s="2628">
        <v>-137489</v>
      </c>
      <c r="I157" s="2591">
        <f>SUM(C157:H157)</f>
        <v>175112</v>
      </c>
      <c r="J157" s="431"/>
      <c r="K157" s="394"/>
      <c r="L157" s="305"/>
      <c r="M157" s="305"/>
      <c r="N157" s="305"/>
      <c r="O157" s="305"/>
      <c r="P157" s="305"/>
      <c r="Q157" s="305"/>
      <c r="R157" s="305"/>
      <c r="S157" s="305"/>
      <c r="T157" s="305"/>
      <c r="U157" s="305"/>
    </row>
    <row r="158" spans="1:21" s="236" customFormat="1" ht="13.5" customHeight="1">
      <c r="A158" s="428"/>
      <c r="B158" s="2618" t="s">
        <v>425</v>
      </c>
      <c r="C158" s="2634">
        <f>+C156+C157</f>
        <v>158201</v>
      </c>
      <c r="D158" s="2633">
        <f t="shared" ref="D158:I158" si="30">+D156+D157</f>
        <v>363285</v>
      </c>
      <c r="E158" s="2634">
        <f t="shared" si="30"/>
        <v>599571</v>
      </c>
      <c r="F158" s="2633">
        <f t="shared" si="30"/>
        <v>8921658</v>
      </c>
      <c r="G158" s="2634">
        <f t="shared" si="30"/>
        <v>1941894</v>
      </c>
      <c r="H158" s="2633">
        <f t="shared" si="30"/>
        <v>1268913</v>
      </c>
      <c r="I158" s="2599">
        <f t="shared" si="30"/>
        <v>13253522</v>
      </c>
      <c r="J158" s="431"/>
      <c r="K158" s="463"/>
      <c r="L158" s="305"/>
      <c r="M158" s="305"/>
      <c r="N158" s="305"/>
      <c r="O158" s="305"/>
      <c r="P158" s="305"/>
      <c r="Q158" s="305"/>
      <c r="R158" s="305"/>
      <c r="S158" s="305"/>
      <c r="T158" s="305"/>
      <c r="U158" s="305"/>
    </row>
    <row r="159" spans="1:21" s="52" customFormat="1" ht="13.5" customHeight="1">
      <c r="A159" s="427"/>
      <c r="B159" s="2616"/>
      <c r="C159" s="2637"/>
      <c r="D159" s="2636"/>
      <c r="E159" s="2637"/>
      <c r="F159" s="2636"/>
      <c r="G159" s="2637"/>
      <c r="H159" s="2636"/>
      <c r="I159" s="2591"/>
      <c r="J159" s="431"/>
      <c r="K159" s="415"/>
      <c r="L159" s="305"/>
      <c r="M159" s="305"/>
      <c r="N159" s="305"/>
      <c r="O159" s="305"/>
      <c r="P159" s="305"/>
      <c r="Q159" s="305"/>
      <c r="R159" s="305"/>
      <c r="S159" s="305"/>
      <c r="T159" s="305"/>
      <c r="U159" s="305"/>
    </row>
    <row r="160" spans="1:21" s="52" customFormat="1" ht="13.5" customHeight="1">
      <c r="A160" s="427"/>
      <c r="B160" s="2618" t="s">
        <v>426</v>
      </c>
      <c r="C160" s="2639">
        <f>SUM(C161:C163)</f>
        <v>-981236</v>
      </c>
      <c r="D160" s="2638">
        <f t="shared" ref="D160:H160" si="31">SUM(D161:D163)</f>
        <v>-244711</v>
      </c>
      <c r="E160" s="2639">
        <f t="shared" si="31"/>
        <v>19271</v>
      </c>
      <c r="F160" s="2638">
        <f t="shared" si="31"/>
        <v>-5192171</v>
      </c>
      <c r="G160" s="2639">
        <f t="shared" si="31"/>
        <v>-1769398</v>
      </c>
      <c r="H160" s="2638">
        <f t="shared" si="31"/>
        <v>-854673</v>
      </c>
      <c r="I160" s="2591">
        <f>SUM(C160:H160)</f>
        <v>-9022918</v>
      </c>
      <c r="J160" s="431"/>
      <c r="K160" s="394"/>
      <c r="L160" s="305"/>
      <c r="M160" s="305"/>
      <c r="N160" s="305"/>
      <c r="O160" s="305"/>
      <c r="P160" s="305"/>
      <c r="Q160" s="305"/>
      <c r="R160" s="305"/>
      <c r="S160" s="305"/>
      <c r="T160" s="305"/>
      <c r="U160" s="305"/>
    </row>
    <row r="161" spans="1:21" s="52" customFormat="1" ht="24.75" customHeight="1">
      <c r="A161" s="427"/>
      <c r="B161" s="2616" t="s">
        <v>427</v>
      </c>
      <c r="C161" s="2629">
        <v>-673930</v>
      </c>
      <c r="D161" s="2628">
        <v>-125820</v>
      </c>
      <c r="E161" s="2629">
        <v>-10487</v>
      </c>
      <c r="F161" s="2628">
        <v>-4111016</v>
      </c>
      <c r="G161" s="2629">
        <v>-1590350</v>
      </c>
      <c r="H161" s="2628">
        <v>-551938</v>
      </c>
      <c r="I161" s="2591">
        <f>SUM(C161:H161)</f>
        <v>-7063541</v>
      </c>
      <c r="J161" s="431"/>
      <c r="K161" s="394"/>
      <c r="L161" s="305"/>
      <c r="M161" s="305"/>
      <c r="N161" s="305"/>
      <c r="O161" s="305"/>
      <c r="P161" s="305"/>
      <c r="Q161" s="305"/>
      <c r="R161" s="305"/>
      <c r="S161" s="305"/>
      <c r="T161" s="305"/>
      <c r="U161" s="305"/>
    </row>
    <row r="162" spans="1:21" s="52" customFormat="1" ht="22.5" customHeight="1">
      <c r="A162" s="427"/>
      <c r="B162" s="2616" t="s">
        <v>428</v>
      </c>
      <c r="C162" s="866">
        <v>-307306</v>
      </c>
      <c r="D162" s="867">
        <v>-118891</v>
      </c>
      <c r="E162" s="866">
        <v>29758</v>
      </c>
      <c r="F162" s="867">
        <v>-1081155</v>
      </c>
      <c r="G162" s="866">
        <v>-179048</v>
      </c>
      <c r="H162" s="867">
        <v>-302735</v>
      </c>
      <c r="I162" s="2591">
        <f>SUM(C162:H162)</f>
        <v>-1959377</v>
      </c>
      <c r="J162" s="431"/>
      <c r="K162" s="394"/>
      <c r="L162" s="305"/>
      <c r="M162" s="305"/>
      <c r="N162" s="305"/>
      <c r="O162" s="305"/>
      <c r="P162" s="305"/>
      <c r="Q162" s="305"/>
      <c r="R162" s="305"/>
      <c r="S162" s="305"/>
      <c r="T162" s="305"/>
      <c r="U162" s="305"/>
    </row>
    <row r="163" spans="1:21" s="52" customFormat="1" ht="27" customHeight="1">
      <c r="A163" s="427"/>
      <c r="B163" s="2616" t="s">
        <v>429</v>
      </c>
      <c r="C163" s="2639"/>
      <c r="D163" s="2638"/>
      <c r="E163" s="2639"/>
      <c r="F163" s="2638"/>
      <c r="G163" s="2639"/>
      <c r="H163" s="2638"/>
      <c r="I163" s="2591"/>
      <c r="J163" s="421"/>
      <c r="K163" s="288"/>
      <c r="L163" s="305"/>
      <c r="M163" s="305"/>
      <c r="N163" s="305"/>
      <c r="O163" s="305"/>
      <c r="P163" s="305"/>
      <c r="Q163" s="305"/>
      <c r="R163" s="305"/>
      <c r="S163" s="305"/>
      <c r="T163" s="305"/>
      <c r="U163" s="305"/>
    </row>
    <row r="164" spans="1:21" s="52" customFormat="1" ht="13.5" customHeight="1">
      <c r="A164" s="427"/>
      <c r="B164" s="2622" t="s">
        <v>430</v>
      </c>
      <c r="C164" s="2634">
        <f>+C158+C161+C162+C163</f>
        <v>-823035</v>
      </c>
      <c r="D164" s="2633">
        <f t="shared" ref="D164:H164" si="32">+D158+D161+D162+D163</f>
        <v>118574</v>
      </c>
      <c r="E164" s="2634">
        <f t="shared" si="32"/>
        <v>618842</v>
      </c>
      <c r="F164" s="2633">
        <f t="shared" si="32"/>
        <v>3729487</v>
      </c>
      <c r="G164" s="2634">
        <f t="shared" si="32"/>
        <v>172496</v>
      </c>
      <c r="H164" s="2633">
        <f t="shared" si="32"/>
        <v>414240</v>
      </c>
      <c r="I164" s="2599">
        <f>+I158+I161+I162+I163</f>
        <v>4230604</v>
      </c>
      <c r="J164" s="431"/>
      <c r="K164" s="394"/>
      <c r="L164" s="305"/>
      <c r="M164" s="305"/>
      <c r="N164" s="305"/>
      <c r="O164" s="305"/>
      <c r="P164" s="305"/>
      <c r="Q164" s="305"/>
      <c r="R164" s="305"/>
      <c r="S164" s="305"/>
      <c r="T164" s="305"/>
      <c r="U164" s="305"/>
    </row>
    <row r="165" spans="1:21" s="52" customFormat="1" ht="13.5" customHeight="1">
      <c r="A165" s="427"/>
      <c r="B165" s="2623"/>
      <c r="C165" s="2637"/>
      <c r="D165" s="2636"/>
      <c r="E165" s="2637"/>
      <c r="F165" s="2636"/>
      <c r="G165" s="2637"/>
      <c r="H165" s="2636"/>
      <c r="I165" s="2647"/>
      <c r="J165" s="431"/>
      <c r="K165" s="394"/>
      <c r="L165" s="305"/>
      <c r="M165" s="305"/>
      <c r="N165" s="305"/>
      <c r="O165" s="305"/>
      <c r="P165" s="305"/>
      <c r="Q165" s="305"/>
      <c r="R165" s="305"/>
      <c r="S165" s="305"/>
      <c r="T165" s="305"/>
      <c r="U165" s="305"/>
    </row>
    <row r="166" spans="1:21" s="52" customFormat="1" ht="13.5" customHeight="1">
      <c r="A166" s="427"/>
      <c r="B166" s="2618" t="s">
        <v>431</v>
      </c>
      <c r="C166" s="2624"/>
      <c r="D166" s="2625"/>
      <c r="E166" s="2624"/>
      <c r="F166" s="2625"/>
      <c r="G166" s="2624"/>
      <c r="H166" s="2625"/>
      <c r="I166" s="2647">
        <f>SUM(I167:I169)</f>
        <v>2534915</v>
      </c>
      <c r="J166" s="431"/>
      <c r="K166" s="394"/>
      <c r="L166" s="305"/>
      <c r="M166" s="305"/>
      <c r="N166" s="305"/>
      <c r="O166" s="305"/>
      <c r="P166" s="305"/>
      <c r="Q166" s="305"/>
      <c r="R166" s="305"/>
      <c r="S166" s="305"/>
      <c r="T166" s="305"/>
      <c r="U166" s="305"/>
    </row>
    <row r="167" spans="1:21" s="52" customFormat="1" ht="13.5" customHeight="1">
      <c r="A167" s="427"/>
      <c r="B167" s="2616" t="s">
        <v>432</v>
      </c>
      <c r="C167" s="2624"/>
      <c r="D167" s="2625"/>
      <c r="E167" s="2624"/>
      <c r="F167" s="2625"/>
      <c r="G167" s="2624"/>
      <c r="H167" s="2625"/>
      <c r="I167" s="2670">
        <v>789772</v>
      </c>
      <c r="J167" s="431"/>
      <c r="K167" s="394"/>
      <c r="L167" s="305"/>
      <c r="M167" s="305"/>
      <c r="N167" s="305"/>
      <c r="O167" s="305"/>
      <c r="P167" s="305"/>
      <c r="Q167" s="305"/>
      <c r="R167" s="305"/>
      <c r="S167" s="305"/>
      <c r="T167" s="305"/>
      <c r="U167" s="305"/>
    </row>
    <row r="168" spans="1:21" s="52" customFormat="1" ht="13.5" customHeight="1">
      <c r="A168" s="427"/>
      <c r="B168" s="2616" t="s">
        <v>433</v>
      </c>
      <c r="C168" s="2624"/>
      <c r="D168" s="2625"/>
      <c r="E168" s="2624"/>
      <c r="F168" s="2625"/>
      <c r="G168" s="2624"/>
      <c r="H168" s="2625"/>
      <c r="I168" s="1781">
        <v>1738643</v>
      </c>
      <c r="J168" s="431"/>
      <c r="K168" s="394"/>
      <c r="L168" s="305"/>
      <c r="M168" s="305"/>
      <c r="N168" s="305"/>
      <c r="O168" s="305"/>
      <c r="P168" s="305"/>
      <c r="Q168" s="305"/>
      <c r="R168" s="305"/>
      <c r="S168" s="305"/>
      <c r="T168" s="305"/>
      <c r="U168" s="305"/>
    </row>
    <row r="169" spans="1:21" s="52" customFormat="1" ht="13.5" customHeight="1">
      <c r="A169" s="427"/>
      <c r="B169" s="2616" t="s">
        <v>434</v>
      </c>
      <c r="C169" s="2624"/>
      <c r="D169" s="2625"/>
      <c r="E169" s="2624"/>
      <c r="F169" s="2625"/>
      <c r="G169" s="2624"/>
      <c r="H169" s="2625"/>
      <c r="I169" s="1781">
        <v>6500</v>
      </c>
      <c r="J169" s="431"/>
      <c r="K169" s="394"/>
      <c r="L169" s="305"/>
      <c r="M169" s="305"/>
      <c r="N169" s="305"/>
      <c r="O169" s="305"/>
      <c r="P169" s="305"/>
      <c r="Q169" s="305"/>
      <c r="R169" s="305"/>
      <c r="S169" s="305"/>
      <c r="T169" s="305"/>
      <c r="U169" s="305"/>
    </row>
    <row r="170" spans="1:21" s="52" customFormat="1" ht="13.5" customHeight="1">
      <c r="A170" s="427"/>
      <c r="B170" s="2616"/>
      <c r="C170" s="2624"/>
      <c r="D170" s="2625"/>
      <c r="E170" s="2624"/>
      <c r="F170" s="2625"/>
      <c r="G170" s="2624"/>
      <c r="H170" s="2625"/>
      <c r="I170" s="2591"/>
      <c r="J170" s="431"/>
      <c r="K170" s="394"/>
      <c r="L170" s="305"/>
      <c r="M170" s="305"/>
      <c r="N170" s="305"/>
      <c r="O170" s="305"/>
      <c r="P170" s="305"/>
      <c r="Q170" s="305"/>
      <c r="R170" s="305"/>
      <c r="S170" s="305"/>
      <c r="T170" s="305"/>
      <c r="U170" s="305"/>
    </row>
    <row r="171" spans="1:21" s="52" customFormat="1" ht="13.5" customHeight="1">
      <c r="A171" s="427"/>
      <c r="B171" s="2618" t="s">
        <v>435</v>
      </c>
      <c r="C171" s="2624"/>
      <c r="D171" s="2625"/>
      <c r="E171" s="2624"/>
      <c r="F171" s="2625"/>
      <c r="G171" s="2624"/>
      <c r="H171" s="2625"/>
      <c r="I171" s="2591">
        <f>SUM(I172:I173)</f>
        <v>-4966757</v>
      </c>
      <c r="J171" s="431"/>
      <c r="K171" s="394"/>
      <c r="L171" s="305"/>
      <c r="M171" s="305"/>
      <c r="N171" s="305"/>
      <c r="O171" s="305"/>
      <c r="P171" s="305"/>
      <c r="Q171" s="305"/>
      <c r="R171" s="305"/>
      <c r="S171" s="305"/>
      <c r="T171" s="305"/>
      <c r="U171" s="305"/>
    </row>
    <row r="172" spans="1:21" s="52" customFormat="1" ht="24" customHeight="1">
      <c r="A172" s="427"/>
      <c r="B172" s="2616" t="s">
        <v>436</v>
      </c>
      <c r="C172" s="2624"/>
      <c r="D172" s="2625"/>
      <c r="E172" s="2624"/>
      <c r="F172" s="2625"/>
      <c r="G172" s="2624"/>
      <c r="H172" s="2625"/>
      <c r="I172" s="2670">
        <v>-4966757</v>
      </c>
      <c r="J172" s="431"/>
      <c r="K172" s="394"/>
      <c r="L172" s="305"/>
      <c r="M172" s="305"/>
      <c r="N172" s="305"/>
      <c r="O172" s="305"/>
      <c r="P172" s="305"/>
      <c r="Q172" s="305"/>
      <c r="R172" s="305"/>
      <c r="S172" s="305"/>
      <c r="T172" s="305"/>
      <c r="U172" s="305"/>
    </row>
    <row r="173" spans="1:21" s="52" customFormat="1" ht="25.5" customHeight="1">
      <c r="A173" s="427"/>
      <c r="B173" s="2616" t="s">
        <v>437</v>
      </c>
      <c r="C173" s="2624"/>
      <c r="D173" s="2625"/>
      <c r="E173" s="2624"/>
      <c r="F173" s="2625"/>
      <c r="G173" s="2624"/>
      <c r="H173" s="2625"/>
      <c r="I173" s="2591"/>
      <c r="J173" s="431"/>
      <c r="K173" s="394"/>
      <c r="L173" s="305"/>
      <c r="M173" s="305"/>
      <c r="N173" s="305"/>
      <c r="O173" s="305"/>
      <c r="P173" s="305"/>
      <c r="Q173" s="305"/>
      <c r="R173" s="305"/>
      <c r="S173" s="305"/>
      <c r="T173" s="305"/>
      <c r="U173" s="305"/>
    </row>
    <row r="174" spans="1:21" s="52" customFormat="1" ht="13.5" customHeight="1">
      <c r="A174" s="427"/>
      <c r="B174" s="2618" t="s">
        <v>438</v>
      </c>
      <c r="C174" s="2624"/>
      <c r="D174" s="2625"/>
      <c r="E174" s="2624"/>
      <c r="F174" s="2625"/>
      <c r="G174" s="2624"/>
      <c r="H174" s="2625"/>
      <c r="I174" s="2647">
        <f>+I164+I166+I171</f>
        <v>1798762</v>
      </c>
      <c r="J174" s="431"/>
      <c r="K174" s="394"/>
      <c r="L174" s="305"/>
      <c r="M174" s="305"/>
      <c r="N174" s="305"/>
      <c r="O174" s="305"/>
      <c r="P174" s="305"/>
      <c r="Q174" s="305"/>
      <c r="R174" s="305"/>
      <c r="S174" s="305"/>
      <c r="T174" s="305"/>
      <c r="U174" s="305"/>
    </row>
    <row r="175" spans="1:21" s="52" customFormat="1" ht="13.5" customHeight="1">
      <c r="A175" s="427"/>
      <c r="B175" s="2616" t="s">
        <v>439</v>
      </c>
      <c r="C175" s="2624"/>
      <c r="D175" s="2625"/>
      <c r="E175" s="2624"/>
      <c r="F175" s="2625"/>
      <c r="G175" s="2624"/>
      <c r="H175" s="2625"/>
      <c r="I175" s="2670">
        <v>-51239</v>
      </c>
      <c r="J175" s="431"/>
      <c r="K175" s="394"/>
      <c r="L175" s="305"/>
      <c r="M175" s="305"/>
      <c r="N175" s="305"/>
      <c r="O175" s="305"/>
      <c r="P175" s="305"/>
      <c r="Q175" s="305"/>
      <c r="R175" s="305"/>
      <c r="S175" s="305"/>
      <c r="T175" s="305"/>
      <c r="U175" s="305"/>
    </row>
    <row r="176" spans="1:21" s="52" customFormat="1" ht="13.5" customHeight="1">
      <c r="A176" s="427"/>
      <c r="B176" s="2626" t="s">
        <v>440</v>
      </c>
      <c r="C176" s="2624"/>
      <c r="D176" s="2625"/>
      <c r="E176" s="2624"/>
      <c r="F176" s="2625"/>
      <c r="G176" s="2624"/>
      <c r="H176" s="2625"/>
      <c r="I176" s="2647">
        <f>+I174+I175</f>
        <v>1747523</v>
      </c>
      <c r="J176" s="431"/>
      <c r="K176" s="394"/>
      <c r="L176" s="305"/>
      <c r="M176" s="305"/>
      <c r="N176" s="305"/>
      <c r="O176" s="305"/>
      <c r="P176" s="305"/>
      <c r="Q176" s="305"/>
      <c r="R176" s="305"/>
      <c r="S176" s="305"/>
      <c r="T176" s="305"/>
      <c r="U176" s="305"/>
    </row>
    <row r="177" spans="1:21" s="52" customFormat="1" ht="13.5" customHeight="1">
      <c r="A177" s="427"/>
      <c r="B177" s="2627" t="s">
        <v>441</v>
      </c>
      <c r="C177" s="2624"/>
      <c r="D177" s="2625"/>
      <c r="E177" s="2624"/>
      <c r="F177" s="2625"/>
      <c r="G177" s="2624"/>
      <c r="H177" s="2625"/>
      <c r="I177" s="2670">
        <v>-238177</v>
      </c>
      <c r="J177" s="431"/>
      <c r="K177" s="394"/>
      <c r="L177" s="305"/>
      <c r="M177" s="305"/>
      <c r="N177" s="305"/>
      <c r="O177" s="305"/>
      <c r="P177" s="305"/>
      <c r="Q177" s="305"/>
      <c r="R177" s="305"/>
      <c r="S177" s="305"/>
      <c r="T177" s="305"/>
      <c r="U177" s="305"/>
    </row>
    <row r="178" spans="1:21" s="52" customFormat="1" ht="13.5" customHeight="1" thickBot="1">
      <c r="A178" s="427"/>
      <c r="B178" s="1762" t="s">
        <v>442</v>
      </c>
      <c r="C178" s="489"/>
      <c r="D178" s="1312"/>
      <c r="E178" s="489"/>
      <c r="F178" s="1312"/>
      <c r="G178" s="489"/>
      <c r="H178" s="1312"/>
      <c r="I178" s="1774">
        <f>+I176+I177</f>
        <v>1509346</v>
      </c>
      <c r="J178" s="431"/>
      <c r="K178" s="394"/>
      <c r="L178" s="305"/>
      <c r="M178" s="305"/>
      <c r="N178" s="305"/>
      <c r="O178" s="305"/>
      <c r="P178" s="305"/>
      <c r="Q178" s="305"/>
      <c r="R178" s="305"/>
      <c r="S178" s="305"/>
      <c r="T178" s="305"/>
      <c r="U178" s="305"/>
    </row>
    <row r="179" spans="1:21" s="52" customFormat="1" ht="13.5" customHeight="1">
      <c r="A179" s="427"/>
      <c r="B179" s="413"/>
      <c r="C179" s="468"/>
      <c r="D179" s="468"/>
      <c r="E179" s="468"/>
      <c r="F179" s="468"/>
      <c r="G179" s="468"/>
      <c r="H179" s="468"/>
      <c r="I179" s="383"/>
      <c r="J179" s="431"/>
      <c r="K179" s="394"/>
      <c r="L179" s="305"/>
      <c r="M179" s="305"/>
      <c r="N179" s="305"/>
      <c r="O179" s="305"/>
      <c r="P179" s="305"/>
      <c r="Q179" s="305"/>
      <c r="R179" s="305"/>
      <c r="S179" s="305"/>
      <c r="T179" s="305"/>
      <c r="U179" s="305"/>
    </row>
    <row r="180" spans="1:21" s="52" customFormat="1" ht="13.5" customHeight="1">
      <c r="A180" s="427"/>
      <c r="B180" s="413"/>
      <c r="C180" s="468"/>
      <c r="D180" s="468"/>
      <c r="E180" s="468"/>
      <c r="F180" s="468"/>
      <c r="G180" s="468"/>
      <c r="H180" s="468"/>
      <c r="I180" s="383"/>
      <c r="J180" s="431"/>
      <c r="K180" s="394">
        <v>115</v>
      </c>
      <c r="L180" s="305"/>
      <c r="M180" s="305"/>
      <c r="N180" s="305"/>
      <c r="O180" s="305"/>
      <c r="P180" s="305"/>
      <c r="Q180" s="305"/>
      <c r="R180" s="305"/>
      <c r="S180" s="305"/>
      <c r="T180" s="305"/>
      <c r="U180" s="305"/>
    </row>
    <row r="181" spans="1:21" s="52" customFormat="1" ht="13.5" customHeight="1">
      <c r="A181" s="427"/>
      <c r="J181" s="431"/>
      <c r="K181" s="394"/>
      <c r="L181" s="305"/>
      <c r="M181" s="305"/>
      <c r="N181" s="305"/>
      <c r="O181" s="305"/>
      <c r="P181" s="305"/>
      <c r="Q181" s="305"/>
      <c r="R181" s="305"/>
      <c r="S181" s="305"/>
      <c r="T181" s="305"/>
      <c r="U181" s="305"/>
    </row>
    <row r="182" spans="1:21" s="52" customFormat="1" ht="13.5" customHeight="1">
      <c r="A182" s="427"/>
      <c r="B182" s="295" t="s">
        <v>444</v>
      </c>
      <c r="C182" s="295"/>
      <c r="D182" s="295"/>
      <c r="E182" s="433"/>
      <c r="F182" s="433"/>
      <c r="G182" s="433"/>
      <c r="H182" s="236"/>
      <c r="I182" s="433"/>
      <c r="J182" s="431"/>
      <c r="K182" s="394"/>
      <c r="L182" s="305"/>
      <c r="M182" s="305"/>
      <c r="N182" s="305"/>
      <c r="O182" s="305"/>
      <c r="P182" s="305"/>
      <c r="Q182" s="305"/>
      <c r="R182" s="305"/>
      <c r="S182" s="305"/>
      <c r="T182" s="305"/>
      <c r="U182" s="305"/>
    </row>
    <row r="183" spans="1:21" s="52" customFormat="1" ht="13.5" customHeight="1" thickBot="1">
      <c r="A183" s="427"/>
      <c r="B183" s="218"/>
      <c r="C183" s="218"/>
      <c r="D183" s="218"/>
      <c r="E183" s="433"/>
      <c r="F183" s="433"/>
      <c r="G183" s="433"/>
      <c r="H183" s="236"/>
      <c r="I183" s="433"/>
      <c r="J183" s="431"/>
      <c r="K183" s="394"/>
      <c r="L183" s="305"/>
      <c r="M183" s="305"/>
      <c r="N183" s="305"/>
      <c r="O183" s="305"/>
      <c r="P183" s="305"/>
      <c r="Q183" s="305"/>
      <c r="R183" s="305"/>
      <c r="S183" s="305"/>
      <c r="T183" s="305"/>
      <c r="U183" s="305"/>
    </row>
    <row r="184" spans="1:21" ht="13.5" customHeight="1">
      <c r="B184" s="1765" t="s">
        <v>101</v>
      </c>
      <c r="H184" s="471"/>
      <c r="I184" s="535" t="s">
        <v>232</v>
      </c>
      <c r="J184" s="556"/>
      <c r="L184" s="305"/>
      <c r="M184" s="305"/>
      <c r="N184" s="305"/>
      <c r="O184" s="305"/>
      <c r="P184" s="305"/>
      <c r="Q184" s="305"/>
      <c r="R184" s="305"/>
      <c r="S184" s="305"/>
      <c r="T184" s="305"/>
      <c r="U184" s="305"/>
    </row>
    <row r="185" spans="1:21" s="52" customFormat="1" ht="13.5" customHeight="1">
      <c r="A185" s="414"/>
      <c r="B185" s="3518"/>
      <c r="C185" s="3609">
        <v>2021</v>
      </c>
      <c r="D185" s="3618"/>
      <c r="E185" s="3618"/>
      <c r="F185" s="3618"/>
      <c r="G185" s="3618"/>
      <c r="H185" s="3618"/>
      <c r="I185" s="3610"/>
      <c r="J185" s="454"/>
      <c r="K185" s="394"/>
      <c r="L185" s="305"/>
      <c r="M185" s="305"/>
      <c r="N185" s="305"/>
      <c r="O185" s="305"/>
      <c r="P185" s="305"/>
      <c r="Q185" s="305"/>
      <c r="R185" s="305"/>
      <c r="S185" s="305"/>
      <c r="T185" s="305"/>
      <c r="U185" s="305"/>
    </row>
    <row r="186" spans="1:21" s="52" customFormat="1" ht="13.5" customHeight="1">
      <c r="A186" s="415"/>
      <c r="B186" s="3587"/>
      <c r="C186" s="3607" t="s">
        <v>412</v>
      </c>
      <c r="D186" s="3635" t="s">
        <v>413</v>
      </c>
      <c r="E186" s="3609" t="s">
        <v>414</v>
      </c>
      <c r="F186" s="3610"/>
      <c r="G186" s="3611" t="s">
        <v>415</v>
      </c>
      <c r="H186" s="3611" t="s">
        <v>416</v>
      </c>
      <c r="I186" s="3607" t="s">
        <v>118</v>
      </c>
      <c r="J186" s="454"/>
      <c r="K186" s="3617"/>
      <c r="L186" s="305"/>
      <c r="M186" s="305"/>
      <c r="N186" s="305"/>
      <c r="O186" s="305"/>
      <c r="P186" s="305"/>
      <c r="Q186" s="305"/>
      <c r="R186" s="305"/>
      <c r="S186" s="305"/>
      <c r="T186" s="305"/>
      <c r="U186" s="305"/>
    </row>
    <row r="187" spans="1:21" s="52" customFormat="1" ht="13.5" customHeight="1" thickBot="1">
      <c r="A187" s="415"/>
      <c r="B187" s="3545"/>
      <c r="C187" s="3608"/>
      <c r="D187" s="3636"/>
      <c r="E187" s="1744" t="s">
        <v>418</v>
      </c>
      <c r="F187" s="1744" t="s">
        <v>419</v>
      </c>
      <c r="G187" s="3612"/>
      <c r="H187" s="3612"/>
      <c r="I187" s="3608"/>
      <c r="J187" s="454"/>
      <c r="K187" s="3617"/>
      <c r="L187" s="305"/>
      <c r="M187" s="305"/>
      <c r="N187" s="305"/>
      <c r="O187" s="305"/>
      <c r="P187" s="305"/>
      <c r="Q187" s="305"/>
      <c r="R187" s="305"/>
      <c r="S187" s="305"/>
      <c r="T187" s="305"/>
      <c r="U187" s="305"/>
    </row>
    <row r="188" spans="1:21" s="52" customFormat="1" ht="13.5" customHeight="1">
      <c r="A188" s="427"/>
      <c r="B188" s="1770" t="s">
        <v>333</v>
      </c>
      <c r="C188" s="2645">
        <v>177675</v>
      </c>
      <c r="D188" s="2644">
        <v>49864</v>
      </c>
      <c r="E188" s="855">
        <v>300204</v>
      </c>
      <c r="F188" s="2644">
        <v>3438823</v>
      </c>
      <c r="G188" s="855">
        <v>169822</v>
      </c>
      <c r="H188" s="2644">
        <v>382971</v>
      </c>
      <c r="I188" s="1780">
        <f>SUM(C188:H188)</f>
        <v>4519359</v>
      </c>
      <c r="J188" s="431"/>
      <c r="K188" s="286"/>
      <c r="L188" s="305"/>
      <c r="M188" s="305"/>
      <c r="N188" s="305"/>
      <c r="O188" s="305"/>
      <c r="P188" s="305"/>
      <c r="Q188" s="305"/>
      <c r="R188" s="305"/>
      <c r="S188" s="305"/>
      <c r="T188" s="305"/>
      <c r="U188" s="305"/>
    </row>
    <row r="189" spans="1:21" s="52" customFormat="1" ht="13.5" customHeight="1">
      <c r="A189" s="427"/>
      <c r="B189" s="2616" t="s">
        <v>447</v>
      </c>
      <c r="C189" s="856"/>
      <c r="D189" s="857"/>
      <c r="E189" s="856"/>
      <c r="F189" s="857"/>
      <c r="G189" s="856"/>
      <c r="H189" s="857"/>
      <c r="I189" s="2591">
        <f t="shared" ref="I189:I191" si="33">SUM(C189:H189)</f>
        <v>0</v>
      </c>
      <c r="J189" s="431"/>
      <c r="K189" s="286"/>
      <c r="L189" s="305"/>
      <c r="M189" s="305"/>
      <c r="N189" s="305"/>
      <c r="O189" s="305"/>
      <c r="P189" s="305"/>
      <c r="Q189" s="305"/>
      <c r="R189" s="305"/>
      <c r="S189" s="305"/>
      <c r="T189" s="305"/>
      <c r="U189" s="305"/>
    </row>
    <row r="190" spans="1:21" s="52" customFormat="1" ht="13.5" customHeight="1">
      <c r="A190" s="427"/>
      <c r="B190" s="2616" t="s">
        <v>421</v>
      </c>
      <c r="C190" s="856">
        <v>-48406</v>
      </c>
      <c r="D190" s="857">
        <v>-2999</v>
      </c>
      <c r="E190" s="856"/>
      <c r="F190" s="857">
        <v>-80444</v>
      </c>
      <c r="G190" s="856"/>
      <c r="H190" s="857">
        <v>-12920</v>
      </c>
      <c r="I190" s="2591">
        <f t="shared" si="33"/>
        <v>-144769</v>
      </c>
      <c r="J190" s="431"/>
      <c r="K190" s="286"/>
      <c r="L190" s="305"/>
      <c r="M190" s="305"/>
      <c r="N190" s="305"/>
      <c r="O190" s="305"/>
      <c r="P190" s="305"/>
      <c r="Q190" s="305"/>
      <c r="R190" s="305"/>
      <c r="S190" s="305"/>
      <c r="T190" s="305"/>
      <c r="U190" s="305"/>
    </row>
    <row r="191" spans="1:21" s="52" customFormat="1" ht="13.5" customHeight="1">
      <c r="A191" s="427"/>
      <c r="B191" s="2616" t="s">
        <v>422</v>
      </c>
      <c r="C191" s="856">
        <v>-86621</v>
      </c>
      <c r="D191" s="857">
        <v>-32324</v>
      </c>
      <c r="E191" s="856">
        <v>-30020</v>
      </c>
      <c r="F191" s="857">
        <v>-280775</v>
      </c>
      <c r="G191" s="856">
        <v>-1276</v>
      </c>
      <c r="H191" s="857">
        <v>-136737</v>
      </c>
      <c r="I191" s="2591">
        <f t="shared" si="33"/>
        <v>-567753</v>
      </c>
      <c r="J191" s="431"/>
      <c r="K191" s="394"/>
      <c r="L191" s="305"/>
      <c r="M191" s="305"/>
      <c r="N191" s="305"/>
      <c r="O191" s="305"/>
      <c r="P191" s="305"/>
      <c r="Q191" s="305"/>
      <c r="R191" s="305"/>
      <c r="S191" s="305"/>
      <c r="T191" s="305"/>
      <c r="U191" s="305"/>
    </row>
    <row r="192" spans="1:21" s="236" customFormat="1" ht="13.5" customHeight="1">
      <c r="A192" s="428"/>
      <c r="B192" s="2618" t="s">
        <v>423</v>
      </c>
      <c r="C192" s="2634">
        <f>SUM(C188:C191)</f>
        <v>42648</v>
      </c>
      <c r="D192" s="2633">
        <f t="shared" ref="D192:H192" si="34">SUM(D188:D191)</f>
        <v>14541</v>
      </c>
      <c r="E192" s="2634">
        <f t="shared" si="34"/>
        <v>270184</v>
      </c>
      <c r="F192" s="2633">
        <f t="shared" si="34"/>
        <v>3077604</v>
      </c>
      <c r="G192" s="2634">
        <f t="shared" si="34"/>
        <v>168546</v>
      </c>
      <c r="H192" s="2633">
        <f t="shared" si="34"/>
        <v>233314</v>
      </c>
      <c r="I192" s="2599">
        <f>SUM(C192:H192)</f>
        <v>3806837</v>
      </c>
      <c r="J192" s="431"/>
      <c r="K192" s="463"/>
      <c r="L192" s="305"/>
      <c r="M192" s="305"/>
      <c r="N192" s="305"/>
      <c r="O192" s="305"/>
      <c r="P192" s="305"/>
      <c r="Q192" s="305"/>
      <c r="R192" s="305"/>
      <c r="S192" s="305"/>
      <c r="T192" s="305"/>
      <c r="U192" s="305"/>
    </row>
    <row r="193" spans="1:21" s="52" customFormat="1" ht="13.5" customHeight="1">
      <c r="A193" s="427"/>
      <c r="B193" s="2616" t="s">
        <v>424</v>
      </c>
      <c r="C193" s="2645">
        <v>-7257</v>
      </c>
      <c r="D193" s="2644">
        <v>-2579</v>
      </c>
      <c r="E193" s="2645"/>
      <c r="F193" s="2644">
        <v>32957</v>
      </c>
      <c r="G193" s="2645">
        <v>-39874</v>
      </c>
      <c r="H193" s="2644">
        <v>-29951</v>
      </c>
      <c r="I193" s="2591">
        <f>SUM(C193:H193)</f>
        <v>-46704</v>
      </c>
      <c r="J193" s="431"/>
      <c r="K193" s="394"/>
      <c r="L193" s="305"/>
      <c r="M193" s="305"/>
      <c r="N193" s="305"/>
      <c r="O193" s="305"/>
      <c r="P193" s="305"/>
      <c r="Q193" s="305"/>
      <c r="R193" s="305"/>
      <c r="S193" s="305"/>
      <c r="T193" s="305"/>
      <c r="U193" s="305"/>
    </row>
    <row r="194" spans="1:21" s="236" customFormat="1" ht="13.5" customHeight="1">
      <c r="A194" s="428"/>
      <c r="B194" s="2618" t="s">
        <v>425</v>
      </c>
      <c r="C194" s="2634">
        <f>+C192+C193</f>
        <v>35391</v>
      </c>
      <c r="D194" s="2633">
        <f t="shared" ref="D194:I194" si="35">+D192+D193</f>
        <v>11962</v>
      </c>
      <c r="E194" s="2634">
        <f t="shared" si="35"/>
        <v>270184</v>
      </c>
      <c r="F194" s="2633">
        <f t="shared" si="35"/>
        <v>3110561</v>
      </c>
      <c r="G194" s="2634">
        <f t="shared" si="35"/>
        <v>128672</v>
      </c>
      <c r="H194" s="2633">
        <f t="shared" si="35"/>
        <v>203363</v>
      </c>
      <c r="I194" s="2599">
        <f t="shared" si="35"/>
        <v>3760133</v>
      </c>
      <c r="J194" s="431"/>
      <c r="K194" s="463"/>
      <c r="L194" s="305"/>
      <c r="M194" s="305"/>
      <c r="N194" s="305"/>
      <c r="O194" s="305"/>
      <c r="P194" s="305"/>
      <c r="Q194" s="305"/>
      <c r="R194" s="305"/>
      <c r="S194" s="305"/>
      <c r="T194" s="305"/>
      <c r="U194" s="305"/>
    </row>
    <row r="195" spans="1:21" s="52" customFormat="1" ht="13.5" customHeight="1">
      <c r="A195" s="427"/>
      <c r="B195" s="2616"/>
      <c r="C195" s="2637"/>
      <c r="D195" s="2636"/>
      <c r="E195" s="2637"/>
      <c r="F195" s="2636"/>
      <c r="G195" s="2637"/>
      <c r="H195" s="2636"/>
      <c r="I195" s="2591"/>
      <c r="J195" s="431"/>
      <c r="K195" s="394"/>
      <c r="L195" s="305"/>
      <c r="M195" s="305"/>
      <c r="N195" s="305"/>
      <c r="O195" s="305"/>
      <c r="P195" s="305"/>
      <c r="Q195" s="305"/>
      <c r="R195" s="305"/>
      <c r="S195" s="305"/>
      <c r="T195" s="305"/>
      <c r="U195" s="305"/>
    </row>
    <row r="196" spans="1:21" s="52" customFormat="1" ht="13.5" customHeight="1">
      <c r="A196" s="427"/>
      <c r="B196" s="2618" t="s">
        <v>426</v>
      </c>
      <c r="C196" s="2639">
        <f>SUM(C197:C199)</f>
        <v>-22556</v>
      </c>
      <c r="D196" s="2638">
        <f t="shared" ref="D196:H196" si="36">SUM(D197:D199)</f>
        <v>-6426</v>
      </c>
      <c r="E196" s="2639">
        <f t="shared" si="36"/>
        <v>-8162</v>
      </c>
      <c r="F196" s="2638">
        <f t="shared" si="36"/>
        <v>-2111404</v>
      </c>
      <c r="G196" s="2639">
        <f t="shared" si="36"/>
        <v>-163062</v>
      </c>
      <c r="H196" s="2638">
        <f t="shared" si="36"/>
        <v>-107422</v>
      </c>
      <c r="I196" s="2591">
        <f>SUM(C196:H196)</f>
        <v>-2419032</v>
      </c>
      <c r="J196" s="431"/>
      <c r="K196" s="415"/>
      <c r="L196" s="305"/>
      <c r="M196" s="305"/>
      <c r="N196" s="305"/>
      <c r="O196" s="305"/>
      <c r="P196" s="305"/>
      <c r="Q196" s="305"/>
      <c r="R196" s="305"/>
      <c r="S196" s="305"/>
      <c r="T196" s="305"/>
      <c r="U196" s="305"/>
    </row>
    <row r="197" spans="1:21" s="52" customFormat="1" ht="22.5" customHeight="1">
      <c r="A197" s="427"/>
      <c r="B197" s="2616" t="s">
        <v>427</v>
      </c>
      <c r="C197" s="2645">
        <v>-27317</v>
      </c>
      <c r="D197" s="2644">
        <v>-9054</v>
      </c>
      <c r="E197" s="2645">
        <v>-8162</v>
      </c>
      <c r="F197" s="2644">
        <v>-1823517</v>
      </c>
      <c r="G197" s="2645">
        <v>-153471</v>
      </c>
      <c r="H197" s="2644">
        <v>-103694</v>
      </c>
      <c r="I197" s="2591">
        <f t="shared" ref="I197:I199" si="37">SUM(C197:H197)</f>
        <v>-2125215</v>
      </c>
      <c r="J197" s="431"/>
      <c r="K197" s="394"/>
      <c r="L197" s="305"/>
      <c r="M197" s="305"/>
      <c r="N197" s="305"/>
      <c r="O197" s="305"/>
      <c r="P197" s="305"/>
      <c r="Q197" s="305"/>
      <c r="R197" s="305"/>
      <c r="S197" s="305"/>
      <c r="T197" s="305"/>
      <c r="U197" s="305"/>
    </row>
    <row r="198" spans="1:21" s="52" customFormat="1" ht="26.25" customHeight="1">
      <c r="A198" s="427"/>
      <c r="B198" s="2616" t="s">
        <v>428</v>
      </c>
      <c r="C198" s="856">
        <v>4761</v>
      </c>
      <c r="D198" s="857">
        <v>2628</v>
      </c>
      <c r="E198" s="856"/>
      <c r="F198" s="857">
        <v>-287887</v>
      </c>
      <c r="G198" s="856">
        <v>-9591</v>
      </c>
      <c r="H198" s="857">
        <v>-3728</v>
      </c>
      <c r="I198" s="2591">
        <f t="shared" si="37"/>
        <v>-293817</v>
      </c>
      <c r="J198" s="431"/>
      <c r="K198" s="394"/>
      <c r="L198" s="305"/>
      <c r="M198" s="305"/>
      <c r="N198" s="305"/>
      <c r="O198" s="305"/>
      <c r="P198" s="305"/>
      <c r="Q198" s="305"/>
      <c r="R198" s="305"/>
      <c r="S198" s="305"/>
      <c r="T198" s="305"/>
      <c r="U198" s="305"/>
    </row>
    <row r="199" spans="1:21" s="52" customFormat="1" ht="24" customHeight="1">
      <c r="A199" s="427"/>
      <c r="B199" s="2616" t="s">
        <v>429</v>
      </c>
      <c r="C199" s="2639"/>
      <c r="D199" s="2638"/>
      <c r="E199" s="2639"/>
      <c r="F199" s="2638"/>
      <c r="G199" s="2639"/>
      <c r="H199" s="2638"/>
      <c r="I199" s="2591">
        <f t="shared" si="37"/>
        <v>0</v>
      </c>
      <c r="J199" s="431"/>
      <c r="K199" s="394"/>
      <c r="L199" s="305"/>
      <c r="M199" s="305"/>
      <c r="N199" s="305"/>
      <c r="O199" s="305"/>
      <c r="P199" s="305"/>
      <c r="Q199" s="305"/>
      <c r="R199" s="305"/>
      <c r="S199" s="305"/>
      <c r="T199" s="305"/>
      <c r="U199" s="305"/>
    </row>
    <row r="200" spans="1:21" s="52" customFormat="1" ht="13.5" customHeight="1">
      <c r="A200" s="427"/>
      <c r="B200" s="2622" t="s">
        <v>430</v>
      </c>
      <c r="C200" s="2634">
        <f>+C194+C197+C198+C199</f>
        <v>12835</v>
      </c>
      <c r="D200" s="2633">
        <f t="shared" ref="D200:I200" si="38">+D194+D197+D198+D199</f>
        <v>5536</v>
      </c>
      <c r="E200" s="2634">
        <f t="shared" si="38"/>
        <v>262022</v>
      </c>
      <c r="F200" s="2633">
        <f t="shared" si="38"/>
        <v>999157</v>
      </c>
      <c r="G200" s="2634">
        <f t="shared" si="38"/>
        <v>-34390</v>
      </c>
      <c r="H200" s="2633">
        <f t="shared" si="38"/>
        <v>95941</v>
      </c>
      <c r="I200" s="2599">
        <f t="shared" si="38"/>
        <v>1341101</v>
      </c>
      <c r="J200" s="431"/>
      <c r="K200" s="288"/>
      <c r="L200" s="305"/>
      <c r="M200" s="305"/>
      <c r="N200" s="305"/>
      <c r="O200" s="305"/>
      <c r="P200" s="305"/>
      <c r="Q200" s="305"/>
      <c r="R200" s="305"/>
      <c r="S200" s="305"/>
      <c r="T200" s="305"/>
      <c r="U200" s="305"/>
    </row>
    <row r="201" spans="1:21" s="52" customFormat="1" ht="13.5" customHeight="1">
      <c r="A201" s="427"/>
      <c r="B201" s="2623"/>
      <c r="C201" s="2637"/>
      <c r="D201" s="2636"/>
      <c r="E201" s="2637"/>
      <c r="F201" s="2636"/>
      <c r="G201" s="2637"/>
      <c r="H201" s="2636"/>
      <c r="I201" s="2647"/>
      <c r="J201" s="431"/>
      <c r="K201" s="394"/>
      <c r="L201" s="305"/>
      <c r="M201" s="305"/>
      <c r="N201" s="305"/>
      <c r="O201" s="305"/>
      <c r="P201" s="305"/>
      <c r="Q201" s="305"/>
      <c r="R201" s="305"/>
      <c r="S201" s="305"/>
      <c r="T201" s="305"/>
      <c r="U201" s="305"/>
    </row>
    <row r="202" spans="1:21" s="52" customFormat="1" ht="13.5" customHeight="1">
      <c r="A202" s="427"/>
      <c r="B202" s="2618" t="s">
        <v>431</v>
      </c>
      <c r="C202" s="2624"/>
      <c r="D202" s="2625"/>
      <c r="E202" s="2624"/>
      <c r="F202" s="2625"/>
      <c r="G202" s="2624"/>
      <c r="H202" s="2625"/>
      <c r="I202" s="2647">
        <f>SUM(I203:I205)</f>
        <v>755717</v>
      </c>
      <c r="J202" s="431"/>
      <c r="K202" s="394"/>
      <c r="L202" s="305"/>
      <c r="M202" s="305"/>
      <c r="N202" s="305"/>
      <c r="O202" s="305"/>
      <c r="P202" s="305"/>
      <c r="Q202" s="305"/>
      <c r="R202" s="305"/>
      <c r="S202" s="305"/>
      <c r="T202" s="305"/>
      <c r="U202" s="305"/>
    </row>
    <row r="203" spans="1:21" s="52" customFormat="1" ht="13.5" customHeight="1">
      <c r="A203" s="427"/>
      <c r="B203" s="2616" t="s">
        <v>432</v>
      </c>
      <c r="C203" s="2624"/>
      <c r="D203" s="2625"/>
      <c r="E203" s="2624"/>
      <c r="F203" s="2625"/>
      <c r="G203" s="2624"/>
      <c r="H203" s="2625"/>
      <c r="I203" s="2670">
        <v>255974</v>
      </c>
      <c r="J203" s="431"/>
      <c r="K203" s="394"/>
      <c r="L203" s="305"/>
      <c r="M203" s="305"/>
      <c r="N203" s="305"/>
      <c r="O203" s="305"/>
      <c r="P203" s="305"/>
      <c r="Q203" s="305"/>
      <c r="R203" s="305"/>
      <c r="S203" s="305"/>
      <c r="T203" s="305"/>
      <c r="U203" s="305"/>
    </row>
    <row r="204" spans="1:21" s="52" customFormat="1" ht="13.5" customHeight="1">
      <c r="A204" s="427"/>
      <c r="B204" s="2616" t="s">
        <v>446</v>
      </c>
      <c r="C204" s="2624"/>
      <c r="D204" s="2625"/>
      <c r="E204" s="2624"/>
      <c r="F204" s="2625"/>
      <c r="G204" s="2624"/>
      <c r="H204" s="2625"/>
      <c r="I204" s="1781">
        <v>490113</v>
      </c>
      <c r="J204" s="431"/>
      <c r="K204" s="394"/>
      <c r="L204" s="305"/>
      <c r="M204" s="305"/>
      <c r="N204" s="305"/>
      <c r="O204" s="305"/>
      <c r="P204" s="305"/>
      <c r="Q204" s="305"/>
      <c r="R204" s="305"/>
      <c r="S204" s="305"/>
      <c r="T204" s="305"/>
      <c r="U204" s="305"/>
    </row>
    <row r="205" spans="1:21" s="52" customFormat="1" ht="13.5" customHeight="1">
      <c r="A205" s="427"/>
      <c r="B205" s="2616" t="s">
        <v>434</v>
      </c>
      <c r="C205" s="2624"/>
      <c r="D205" s="2625"/>
      <c r="E205" s="2624"/>
      <c r="F205" s="2625"/>
      <c r="G205" s="2624"/>
      <c r="H205" s="2625"/>
      <c r="I205" s="1781">
        <v>9630</v>
      </c>
      <c r="J205" s="431"/>
      <c r="K205" s="394"/>
      <c r="L205" s="305"/>
      <c r="M205" s="305"/>
      <c r="N205" s="305"/>
      <c r="O205" s="305"/>
      <c r="P205" s="305"/>
      <c r="Q205" s="305"/>
      <c r="R205" s="305"/>
      <c r="S205" s="305"/>
      <c r="T205" s="305"/>
      <c r="U205" s="305"/>
    </row>
    <row r="206" spans="1:21" s="52" customFormat="1" ht="13.5" customHeight="1">
      <c r="A206" s="427"/>
      <c r="B206" s="2616"/>
      <c r="C206" s="2624"/>
      <c r="D206" s="2625"/>
      <c r="E206" s="2624"/>
      <c r="F206" s="2625"/>
      <c r="G206" s="2624"/>
      <c r="H206" s="2625"/>
      <c r="I206" s="2591"/>
      <c r="J206" s="431"/>
      <c r="K206" s="394"/>
      <c r="L206" s="305"/>
      <c r="M206" s="305"/>
      <c r="N206" s="305"/>
      <c r="O206" s="305"/>
      <c r="P206" s="305"/>
      <c r="Q206" s="305"/>
      <c r="R206" s="305"/>
      <c r="S206" s="305"/>
      <c r="T206" s="305"/>
      <c r="U206" s="305"/>
    </row>
    <row r="207" spans="1:21" s="52" customFormat="1" ht="13.5" customHeight="1">
      <c r="A207" s="427"/>
      <c r="B207" s="2618" t="s">
        <v>435</v>
      </c>
      <c r="C207" s="2624"/>
      <c r="D207" s="2625"/>
      <c r="E207" s="2624"/>
      <c r="F207" s="2625"/>
      <c r="G207" s="2624"/>
      <c r="H207" s="2625"/>
      <c r="I207" s="2591">
        <f>SUM(I208:I209)</f>
        <v>-1295522</v>
      </c>
      <c r="J207" s="431"/>
      <c r="K207" s="394"/>
      <c r="L207" s="305"/>
      <c r="M207" s="305"/>
      <c r="N207" s="305"/>
      <c r="O207" s="305"/>
      <c r="P207" s="305"/>
      <c r="Q207" s="305"/>
      <c r="R207" s="305"/>
      <c r="S207" s="305"/>
      <c r="T207" s="305"/>
      <c r="U207" s="305"/>
    </row>
    <row r="208" spans="1:21" s="52" customFormat="1" ht="30" customHeight="1">
      <c r="A208" s="427"/>
      <c r="B208" s="2616" t="s">
        <v>436</v>
      </c>
      <c r="C208" s="2624"/>
      <c r="D208" s="2625"/>
      <c r="E208" s="2624"/>
      <c r="F208" s="2625"/>
      <c r="G208" s="2624"/>
      <c r="H208" s="2625"/>
      <c r="I208" s="2670">
        <v>-1295522</v>
      </c>
      <c r="J208" s="431"/>
      <c r="K208" s="394"/>
      <c r="L208" s="305"/>
      <c r="M208" s="305"/>
      <c r="N208" s="305"/>
      <c r="O208" s="305"/>
      <c r="P208" s="305"/>
      <c r="Q208" s="305"/>
      <c r="R208" s="305"/>
      <c r="S208" s="305"/>
      <c r="T208" s="305"/>
      <c r="U208" s="305"/>
    </row>
    <row r="209" spans="1:21" s="52" customFormat="1" ht="27.75" customHeight="1">
      <c r="A209" s="427"/>
      <c r="B209" s="2616" t="s">
        <v>437</v>
      </c>
      <c r="C209" s="2624"/>
      <c r="D209" s="2625"/>
      <c r="E209" s="2624"/>
      <c r="F209" s="2625"/>
      <c r="G209" s="2624"/>
      <c r="H209" s="2625"/>
      <c r="I209" s="2591"/>
      <c r="J209" s="431"/>
      <c r="K209" s="394"/>
      <c r="L209" s="305"/>
      <c r="M209" s="305"/>
      <c r="N209" s="305"/>
      <c r="O209" s="305"/>
      <c r="P209" s="305"/>
      <c r="Q209" s="305"/>
      <c r="R209" s="305"/>
      <c r="S209" s="305"/>
      <c r="T209" s="305"/>
      <c r="U209" s="305"/>
    </row>
    <row r="210" spans="1:21" s="52" customFormat="1" ht="13.5" customHeight="1">
      <c r="A210" s="427"/>
      <c r="B210" s="2618" t="s">
        <v>438</v>
      </c>
      <c r="C210" s="2624"/>
      <c r="D210" s="2625"/>
      <c r="E210" s="2624"/>
      <c r="F210" s="2625"/>
      <c r="G210" s="2624"/>
      <c r="H210" s="2625"/>
      <c r="I210" s="2647">
        <f>I200+I202+I207</f>
        <v>801296</v>
      </c>
      <c r="J210" s="431"/>
      <c r="K210" s="394"/>
      <c r="L210" s="305"/>
      <c r="M210" s="305"/>
      <c r="N210" s="305"/>
      <c r="O210" s="305"/>
      <c r="P210" s="305"/>
      <c r="Q210" s="305"/>
      <c r="R210" s="305"/>
      <c r="S210" s="305"/>
      <c r="T210" s="305"/>
      <c r="U210" s="305"/>
    </row>
    <row r="211" spans="1:21" s="52" customFormat="1" ht="13.5" customHeight="1">
      <c r="A211" s="427"/>
      <c r="B211" s="2616" t="s">
        <v>439</v>
      </c>
      <c r="C211" s="2624"/>
      <c r="D211" s="2625"/>
      <c r="E211" s="2624"/>
      <c r="F211" s="2625"/>
      <c r="G211" s="2624"/>
      <c r="H211" s="2625"/>
      <c r="I211" s="2670">
        <v>-52757</v>
      </c>
      <c r="J211" s="431"/>
      <c r="K211" s="394"/>
      <c r="L211" s="305"/>
      <c r="M211" s="305"/>
      <c r="N211" s="305"/>
      <c r="O211" s="305"/>
      <c r="P211" s="305"/>
      <c r="Q211" s="305"/>
      <c r="R211" s="305"/>
      <c r="S211" s="305"/>
      <c r="T211" s="305"/>
      <c r="U211" s="305"/>
    </row>
    <row r="212" spans="1:21" s="52" customFormat="1" ht="13.5" customHeight="1">
      <c r="A212" s="427"/>
      <c r="B212" s="2626" t="s">
        <v>440</v>
      </c>
      <c r="C212" s="2624"/>
      <c r="D212" s="2625"/>
      <c r="E212" s="2624"/>
      <c r="F212" s="2625"/>
      <c r="G212" s="2624"/>
      <c r="H212" s="2625"/>
      <c r="I212" s="2647">
        <f>+I210+I211</f>
        <v>748539</v>
      </c>
      <c r="J212" s="431"/>
      <c r="K212" s="394"/>
      <c r="L212" s="305"/>
      <c r="M212" s="305"/>
      <c r="N212" s="305"/>
      <c r="O212" s="305"/>
      <c r="P212" s="305"/>
      <c r="Q212" s="305"/>
      <c r="R212" s="305"/>
      <c r="S212" s="305"/>
      <c r="T212" s="305"/>
      <c r="U212" s="305"/>
    </row>
    <row r="213" spans="1:21" s="52" customFormat="1" ht="13.5" customHeight="1">
      <c r="A213" s="427"/>
      <c r="B213" s="2627" t="s">
        <v>441</v>
      </c>
      <c r="C213" s="2624"/>
      <c r="D213" s="2625"/>
      <c r="E213" s="2624"/>
      <c r="F213" s="2625"/>
      <c r="G213" s="2624"/>
      <c r="H213" s="2625"/>
      <c r="I213" s="2670">
        <v>-113554</v>
      </c>
      <c r="J213" s="431"/>
      <c r="K213" s="394"/>
      <c r="L213" s="305"/>
      <c r="M213" s="305"/>
      <c r="N213" s="305"/>
      <c r="O213" s="305"/>
      <c r="P213" s="305"/>
      <c r="Q213" s="305"/>
      <c r="R213" s="305"/>
      <c r="S213" s="305"/>
      <c r="T213" s="305"/>
      <c r="U213" s="305"/>
    </row>
    <row r="214" spans="1:21" s="52" customFormat="1" ht="13.5" customHeight="1" thickBot="1">
      <c r="A214" s="427"/>
      <c r="B214" s="1762" t="s">
        <v>442</v>
      </c>
      <c r="C214" s="489"/>
      <c r="D214" s="1312"/>
      <c r="E214" s="489"/>
      <c r="F214" s="1312"/>
      <c r="G214" s="489"/>
      <c r="H214" s="1312"/>
      <c r="I214" s="1774">
        <f>+I212+I213</f>
        <v>634985</v>
      </c>
      <c r="J214" s="431"/>
      <c r="K214" s="394"/>
      <c r="L214" s="305"/>
      <c r="M214" s="305"/>
      <c r="N214" s="305"/>
      <c r="O214" s="305"/>
      <c r="P214" s="305"/>
      <c r="Q214" s="305"/>
      <c r="R214" s="305"/>
      <c r="S214" s="305"/>
      <c r="T214" s="305"/>
      <c r="U214" s="305"/>
    </row>
    <row r="215" spans="1:21" s="52" customFormat="1" ht="13.5" customHeight="1">
      <c r="A215" s="427"/>
      <c r="B215" s="455"/>
      <c r="C215" s="433"/>
      <c r="D215" s="433"/>
      <c r="E215" s="433"/>
      <c r="F215" s="433"/>
      <c r="G215" s="433"/>
      <c r="H215" s="433"/>
      <c r="I215" s="433"/>
      <c r="J215" s="431"/>
      <c r="K215" s="394"/>
      <c r="L215" s="305"/>
      <c r="M215" s="305"/>
      <c r="N215" s="305"/>
      <c r="O215" s="305"/>
      <c r="P215" s="305"/>
      <c r="Q215" s="305"/>
      <c r="R215" s="305"/>
      <c r="S215" s="305"/>
      <c r="T215" s="305"/>
      <c r="U215" s="305"/>
    </row>
    <row r="216" spans="1:21" s="52" customFormat="1" ht="13.5" customHeight="1">
      <c r="A216" s="427"/>
      <c r="B216" s="455"/>
      <c r="C216" s="433"/>
      <c r="D216" s="433"/>
      <c r="E216" s="433"/>
      <c r="F216" s="433"/>
      <c r="G216" s="433"/>
      <c r="H216" s="433"/>
      <c r="I216" s="433"/>
      <c r="J216" s="431"/>
      <c r="K216" s="394">
        <v>116</v>
      </c>
      <c r="L216" s="305"/>
      <c r="M216" s="305"/>
      <c r="N216" s="305"/>
      <c r="O216" s="305"/>
      <c r="P216" s="305"/>
      <c r="Q216" s="305"/>
      <c r="R216" s="305"/>
      <c r="S216" s="305"/>
      <c r="T216" s="305"/>
      <c r="U216" s="305"/>
    </row>
    <row r="217" spans="1:21" s="236" customFormat="1" ht="13.5" customHeight="1">
      <c r="A217" s="287"/>
      <c r="B217" s="455"/>
      <c r="C217" s="279"/>
      <c r="D217" s="279"/>
      <c r="E217" s="279"/>
      <c r="F217" s="279"/>
      <c r="G217" s="279"/>
      <c r="H217" s="279"/>
      <c r="I217" s="279"/>
      <c r="J217" s="305"/>
      <c r="K217" s="279"/>
      <c r="L217" s="305"/>
      <c r="M217" s="305"/>
      <c r="N217" s="305"/>
      <c r="O217" s="305"/>
      <c r="P217" s="305"/>
      <c r="Q217" s="305"/>
      <c r="R217" s="305"/>
      <c r="S217" s="305"/>
      <c r="T217" s="305"/>
      <c r="U217" s="305"/>
    </row>
    <row r="218" spans="1:21" ht="13.5" customHeight="1">
      <c r="A218" s="427"/>
      <c r="B218" s="295" t="s">
        <v>444</v>
      </c>
      <c r="C218" s="295"/>
      <c r="D218" s="295"/>
      <c r="E218" s="437"/>
      <c r="F218" s="437"/>
      <c r="G218" s="437"/>
      <c r="H218" s="437"/>
      <c r="I218" s="437"/>
      <c r="J218" s="437"/>
      <c r="L218" s="305"/>
      <c r="M218" s="305"/>
      <c r="N218" s="305"/>
      <c r="O218" s="305"/>
      <c r="P218" s="305"/>
      <c r="Q218" s="305"/>
      <c r="R218" s="305"/>
      <c r="S218" s="305"/>
      <c r="T218" s="305"/>
      <c r="U218" s="305"/>
    </row>
    <row r="219" spans="1:21" ht="13.5" customHeight="1" thickBot="1">
      <c r="A219" s="427"/>
      <c r="B219" s="218"/>
      <c r="C219" s="218"/>
      <c r="D219" s="218"/>
      <c r="E219" s="437"/>
      <c r="F219" s="437"/>
      <c r="G219" s="437"/>
      <c r="H219" s="437"/>
      <c r="I219" s="437"/>
      <c r="J219" s="437"/>
      <c r="L219" s="305"/>
      <c r="M219" s="305"/>
      <c r="N219" s="305"/>
      <c r="O219" s="305"/>
      <c r="P219" s="305"/>
      <c r="Q219" s="305"/>
      <c r="R219" s="305"/>
      <c r="S219" s="305"/>
      <c r="T219" s="305"/>
      <c r="U219" s="305"/>
    </row>
    <row r="220" spans="1:21" ht="13.5" customHeight="1">
      <c r="B220" s="1765" t="s">
        <v>102</v>
      </c>
      <c r="I220" s="535" t="s">
        <v>232</v>
      </c>
      <c r="L220" s="305"/>
      <c r="M220" s="305"/>
      <c r="N220" s="305"/>
      <c r="O220" s="305"/>
      <c r="P220" s="305"/>
      <c r="Q220" s="305"/>
      <c r="R220" s="305"/>
      <c r="S220" s="305"/>
      <c r="T220" s="305"/>
      <c r="U220" s="305"/>
    </row>
    <row r="221" spans="1:21" s="52" customFormat="1" ht="13.5" customHeight="1">
      <c r="A221" s="414"/>
      <c r="B221" s="3518"/>
      <c r="C221" s="3609">
        <v>2021</v>
      </c>
      <c r="D221" s="3618"/>
      <c r="E221" s="3618"/>
      <c r="F221" s="3618"/>
      <c r="G221" s="3618"/>
      <c r="H221" s="3618"/>
      <c r="I221" s="3610"/>
      <c r="J221" s="274"/>
      <c r="K221" s="394"/>
      <c r="L221" s="305"/>
      <c r="M221" s="305"/>
      <c r="N221" s="305"/>
      <c r="O221" s="305"/>
      <c r="P221" s="305"/>
      <c r="Q221" s="305"/>
      <c r="R221" s="305"/>
      <c r="S221" s="305"/>
      <c r="T221" s="305"/>
      <c r="U221" s="305"/>
    </row>
    <row r="222" spans="1:21" s="52" customFormat="1" ht="13.5" customHeight="1">
      <c r="A222" s="415"/>
      <c r="B222" s="3520"/>
      <c r="C222" s="3611" t="s">
        <v>412</v>
      </c>
      <c r="D222" s="3611" t="s">
        <v>413</v>
      </c>
      <c r="E222" s="3575" t="s">
        <v>414</v>
      </c>
      <c r="F222" s="3577"/>
      <c r="G222" s="3611" t="s">
        <v>415</v>
      </c>
      <c r="H222" s="3611" t="s">
        <v>416</v>
      </c>
      <c r="I222" s="3611" t="s">
        <v>118</v>
      </c>
      <c r="J222" s="274"/>
      <c r="K222" s="3617"/>
      <c r="L222" s="305"/>
      <c r="M222" s="305"/>
      <c r="N222" s="305"/>
      <c r="O222" s="305"/>
      <c r="P222" s="305"/>
      <c r="Q222" s="305"/>
      <c r="R222" s="305"/>
      <c r="S222" s="305"/>
      <c r="T222" s="305"/>
      <c r="U222" s="305"/>
    </row>
    <row r="223" spans="1:21" s="52" customFormat="1" ht="13.5" customHeight="1" thickBot="1">
      <c r="A223" s="415"/>
      <c r="B223" s="3519"/>
      <c r="C223" s="3612"/>
      <c r="D223" s="3634"/>
      <c r="E223" s="1744" t="s">
        <v>418</v>
      </c>
      <c r="F223" s="1729" t="s">
        <v>419</v>
      </c>
      <c r="G223" s="3612"/>
      <c r="H223" s="3612"/>
      <c r="I223" s="3612"/>
      <c r="J223" s="274"/>
      <c r="K223" s="3617"/>
      <c r="L223" s="305"/>
      <c r="M223" s="305"/>
      <c r="N223" s="305"/>
      <c r="O223" s="305"/>
      <c r="P223" s="305"/>
      <c r="Q223" s="305"/>
      <c r="R223" s="305"/>
      <c r="S223" s="305"/>
      <c r="T223" s="305"/>
      <c r="U223" s="305"/>
    </row>
    <row r="224" spans="1:21" s="52" customFormat="1" ht="13.5" customHeight="1">
      <c r="A224" s="427"/>
      <c r="B224" s="1770" t="s">
        <v>333</v>
      </c>
      <c r="C224" s="855">
        <v>1964322</v>
      </c>
      <c r="D224" s="2644">
        <v>638991</v>
      </c>
      <c r="E224" s="2645">
        <v>184442</v>
      </c>
      <c r="F224" s="2644">
        <v>5963613</v>
      </c>
      <c r="G224" s="855">
        <v>2997014</v>
      </c>
      <c r="H224" s="2644">
        <v>950011</v>
      </c>
      <c r="I224" s="1780">
        <f>SUM(C224:H224)</f>
        <v>12698393</v>
      </c>
      <c r="J224" s="557"/>
      <c r="K224" s="286"/>
      <c r="L224" s="305"/>
      <c r="M224" s="305"/>
      <c r="N224" s="305"/>
      <c r="O224" s="305"/>
      <c r="P224" s="305"/>
      <c r="Q224" s="305"/>
      <c r="R224" s="305"/>
      <c r="S224" s="305"/>
      <c r="T224" s="305"/>
      <c r="U224" s="305"/>
    </row>
    <row r="225" spans="1:21" s="52" customFormat="1" ht="13.5" customHeight="1">
      <c r="A225" s="427"/>
      <c r="B225" s="2616" t="s">
        <v>420</v>
      </c>
      <c r="C225" s="856"/>
      <c r="D225" s="857"/>
      <c r="E225" s="856"/>
      <c r="F225" s="857"/>
      <c r="G225" s="856"/>
      <c r="H225" s="857"/>
      <c r="I225" s="2591">
        <f t="shared" ref="I225:I227" si="39">SUM(C225:H225)</f>
        <v>0</v>
      </c>
      <c r="J225" s="289"/>
      <c r="K225" s="286"/>
      <c r="L225" s="305"/>
      <c r="M225" s="305"/>
      <c r="N225" s="305"/>
      <c r="O225" s="305"/>
      <c r="P225" s="305"/>
      <c r="Q225" s="305"/>
      <c r="R225" s="305"/>
      <c r="S225" s="305"/>
      <c r="T225" s="305"/>
      <c r="U225" s="305"/>
    </row>
    <row r="226" spans="1:21" s="52" customFormat="1" ht="13.5" customHeight="1">
      <c r="A226" s="427"/>
      <c r="B226" s="2616" t="s">
        <v>421</v>
      </c>
      <c r="C226" s="856">
        <v>-269620</v>
      </c>
      <c r="D226" s="857">
        <v>-6122</v>
      </c>
      <c r="E226" s="856"/>
      <c r="F226" s="857">
        <v>-145890</v>
      </c>
      <c r="G226" s="856"/>
      <c r="H226" s="857">
        <v>-362697</v>
      </c>
      <c r="I226" s="2591">
        <f t="shared" si="39"/>
        <v>-784329</v>
      </c>
      <c r="J226" s="557"/>
      <c r="K226" s="286"/>
      <c r="L226" s="305"/>
      <c r="M226" s="305"/>
      <c r="N226" s="305"/>
      <c r="O226" s="305"/>
      <c r="P226" s="305"/>
      <c r="Q226" s="305"/>
      <c r="R226" s="305"/>
      <c r="S226" s="305"/>
      <c r="T226" s="305"/>
      <c r="U226" s="305"/>
    </row>
    <row r="227" spans="1:21" s="52" customFormat="1" ht="13.5" customHeight="1">
      <c r="A227" s="427"/>
      <c r="B227" s="2616" t="s">
        <v>422</v>
      </c>
      <c r="C227" s="856">
        <v>-1411130</v>
      </c>
      <c r="D227" s="857">
        <v>-527881</v>
      </c>
      <c r="E227" s="856">
        <v>-71360</v>
      </c>
      <c r="F227" s="857">
        <v>-1973408</v>
      </c>
      <c r="G227" s="856">
        <v>-1191033</v>
      </c>
      <c r="H227" s="857">
        <v>-415214</v>
      </c>
      <c r="I227" s="2591">
        <f t="shared" si="39"/>
        <v>-5590026</v>
      </c>
      <c r="J227" s="557"/>
      <c r="K227" s="394"/>
      <c r="L227" s="305"/>
      <c r="M227" s="305"/>
      <c r="N227" s="305"/>
      <c r="O227" s="305"/>
      <c r="P227" s="305"/>
      <c r="Q227" s="305"/>
      <c r="R227" s="305"/>
      <c r="S227" s="305"/>
      <c r="T227" s="305"/>
      <c r="U227" s="305"/>
    </row>
    <row r="228" spans="1:21" s="236" customFormat="1" ht="13.5" customHeight="1">
      <c r="A228" s="428"/>
      <c r="B228" s="2618" t="s">
        <v>423</v>
      </c>
      <c r="C228" s="2634">
        <f>SUM(C224:C227)</f>
        <v>283572</v>
      </c>
      <c r="D228" s="2633">
        <f t="shared" ref="D228:I228" si="40">SUM(D224:D227)</f>
        <v>104988</v>
      </c>
      <c r="E228" s="2634">
        <f t="shared" si="40"/>
        <v>113082</v>
      </c>
      <c r="F228" s="2633">
        <f t="shared" si="40"/>
        <v>3844315</v>
      </c>
      <c r="G228" s="2634">
        <f t="shared" si="40"/>
        <v>1805981</v>
      </c>
      <c r="H228" s="2633">
        <f t="shared" si="40"/>
        <v>172100</v>
      </c>
      <c r="I228" s="2599">
        <f t="shared" si="40"/>
        <v>6324038</v>
      </c>
      <c r="J228" s="558"/>
      <c r="K228" s="463"/>
      <c r="L228" s="305"/>
      <c r="M228" s="305"/>
      <c r="N228" s="305"/>
      <c r="O228" s="305"/>
      <c r="P228" s="305"/>
      <c r="Q228" s="305"/>
      <c r="R228" s="305"/>
      <c r="S228" s="305"/>
      <c r="T228" s="305"/>
      <c r="U228" s="305"/>
    </row>
    <row r="229" spans="1:21" s="52" customFormat="1" ht="13.5" customHeight="1">
      <c r="A229" s="427"/>
      <c r="B229" s="2616" t="s">
        <v>424</v>
      </c>
      <c r="C229" s="2645">
        <v>-11543</v>
      </c>
      <c r="D229" s="2644">
        <v>-9498</v>
      </c>
      <c r="E229" s="2645">
        <v>5583</v>
      </c>
      <c r="F229" s="2644">
        <v>-29447</v>
      </c>
      <c r="G229" s="2645">
        <v>1023</v>
      </c>
      <c r="H229" s="2644">
        <v>-6279</v>
      </c>
      <c r="I229" s="2591">
        <f>SUM(C229:H229)</f>
        <v>-50161</v>
      </c>
      <c r="J229" s="555"/>
      <c r="K229" s="394"/>
      <c r="L229" s="305"/>
      <c r="M229" s="305"/>
      <c r="N229" s="305"/>
      <c r="O229" s="305"/>
      <c r="P229" s="305"/>
      <c r="Q229" s="305"/>
      <c r="R229" s="305"/>
      <c r="S229" s="305"/>
      <c r="T229" s="305"/>
      <c r="U229" s="305"/>
    </row>
    <row r="230" spans="1:21" s="236" customFormat="1" ht="13.5" customHeight="1">
      <c r="A230" s="428"/>
      <c r="B230" s="2618" t="s">
        <v>425</v>
      </c>
      <c r="C230" s="2634">
        <f>+C228+C229</f>
        <v>272029</v>
      </c>
      <c r="D230" s="2633">
        <f t="shared" ref="D230:I230" si="41">+D228+D229</f>
        <v>95490</v>
      </c>
      <c r="E230" s="2634">
        <f t="shared" si="41"/>
        <v>118665</v>
      </c>
      <c r="F230" s="2633">
        <f t="shared" si="41"/>
        <v>3814868</v>
      </c>
      <c r="G230" s="2634">
        <f t="shared" si="41"/>
        <v>1807004</v>
      </c>
      <c r="H230" s="2633">
        <f t="shared" si="41"/>
        <v>165821</v>
      </c>
      <c r="I230" s="2599">
        <f t="shared" si="41"/>
        <v>6273877</v>
      </c>
      <c r="J230" s="558"/>
      <c r="K230" s="463"/>
      <c r="L230" s="305"/>
      <c r="M230" s="305"/>
      <c r="N230" s="305"/>
      <c r="O230" s="305"/>
      <c r="P230" s="305"/>
      <c r="Q230" s="305"/>
      <c r="R230" s="305"/>
      <c r="S230" s="305"/>
      <c r="T230" s="305"/>
      <c r="U230" s="305"/>
    </row>
    <row r="231" spans="1:21" s="52" customFormat="1" ht="13.5" customHeight="1">
      <c r="A231" s="427"/>
      <c r="B231" s="2616"/>
      <c r="C231" s="2637"/>
      <c r="D231" s="2636"/>
      <c r="E231" s="2637"/>
      <c r="F231" s="2636"/>
      <c r="G231" s="2637"/>
      <c r="H231" s="2636"/>
      <c r="I231" s="2591"/>
      <c r="J231" s="431"/>
      <c r="K231" s="394"/>
      <c r="L231" s="305"/>
      <c r="M231" s="305"/>
      <c r="N231" s="305"/>
      <c r="O231" s="305"/>
      <c r="P231" s="305"/>
      <c r="Q231" s="305"/>
      <c r="R231" s="305"/>
      <c r="S231" s="305"/>
      <c r="T231" s="305"/>
      <c r="U231" s="305"/>
    </row>
    <row r="232" spans="1:21" s="52" customFormat="1" ht="13.5" customHeight="1">
      <c r="A232" s="427"/>
      <c r="B232" s="2618" t="s">
        <v>426</v>
      </c>
      <c r="C232" s="2639">
        <f>SUM(C233:C235)</f>
        <v>-83336</v>
      </c>
      <c r="D232" s="2638">
        <f t="shared" ref="D232:H232" si="42">SUM(D233:D235)</f>
        <v>-36044</v>
      </c>
      <c r="E232" s="2639">
        <f t="shared" si="42"/>
        <v>-100722</v>
      </c>
      <c r="F232" s="2638">
        <f t="shared" si="42"/>
        <v>-3573228</v>
      </c>
      <c r="G232" s="2639">
        <f t="shared" si="42"/>
        <v>-2186359</v>
      </c>
      <c r="H232" s="2638">
        <f t="shared" si="42"/>
        <v>-107245</v>
      </c>
      <c r="I232" s="2591">
        <f>SUM(C232:H232)</f>
        <v>-6086934</v>
      </c>
      <c r="J232" s="431"/>
      <c r="K232" s="415"/>
      <c r="L232" s="305"/>
      <c r="M232" s="305"/>
      <c r="N232" s="305"/>
      <c r="O232" s="305"/>
      <c r="P232" s="305"/>
      <c r="Q232" s="305"/>
      <c r="R232" s="305"/>
      <c r="S232" s="305"/>
      <c r="T232" s="305"/>
      <c r="U232" s="305"/>
    </row>
    <row r="233" spans="1:21" s="52" customFormat="1" ht="24" customHeight="1">
      <c r="A233" s="427"/>
      <c r="B233" s="2616" t="s">
        <v>427</v>
      </c>
      <c r="C233" s="2645">
        <v>-79409</v>
      </c>
      <c r="D233" s="2644">
        <v>-48826</v>
      </c>
      <c r="E233" s="2645">
        <v>-68592</v>
      </c>
      <c r="F233" s="2644">
        <v>-2217802</v>
      </c>
      <c r="G233" s="2645">
        <v>-1401810</v>
      </c>
      <c r="H233" s="2644">
        <v>-66912</v>
      </c>
      <c r="I233" s="2591">
        <f>SUM(C233:H233)</f>
        <v>-3883351</v>
      </c>
      <c r="J233" s="559"/>
      <c r="K233" s="394"/>
      <c r="L233" s="305"/>
      <c r="M233" s="305"/>
      <c r="N233" s="305"/>
      <c r="O233" s="305"/>
      <c r="P233" s="305"/>
      <c r="Q233" s="305"/>
      <c r="R233" s="305"/>
      <c r="S233" s="305"/>
      <c r="T233" s="305"/>
      <c r="U233" s="305"/>
    </row>
    <row r="234" spans="1:21" s="52" customFormat="1" ht="26.25" customHeight="1">
      <c r="A234" s="427"/>
      <c r="B234" s="2616" t="s">
        <v>428</v>
      </c>
      <c r="C234" s="856">
        <v>80931</v>
      </c>
      <c r="D234" s="857">
        <v>42570</v>
      </c>
      <c r="E234" s="856">
        <v>4887</v>
      </c>
      <c r="F234" s="857">
        <v>-165393</v>
      </c>
      <c r="G234" s="856">
        <v>-220861</v>
      </c>
      <c r="H234" s="857">
        <v>11394</v>
      </c>
      <c r="I234" s="2591">
        <f t="shared" ref="I234:I235" si="43">SUM(C234:H234)</f>
        <v>-246472</v>
      </c>
      <c r="J234" s="557"/>
      <c r="K234" s="394"/>
      <c r="L234" s="305"/>
      <c r="M234" s="305"/>
      <c r="N234" s="305"/>
      <c r="O234" s="305"/>
      <c r="P234" s="305"/>
      <c r="Q234" s="305"/>
      <c r="R234" s="305"/>
      <c r="S234" s="305"/>
      <c r="T234" s="305"/>
      <c r="U234" s="305"/>
    </row>
    <row r="235" spans="1:21" s="52" customFormat="1" ht="26.25" customHeight="1">
      <c r="A235" s="427"/>
      <c r="B235" s="2616" t="s">
        <v>429</v>
      </c>
      <c r="C235" s="856">
        <v>-84858</v>
      </c>
      <c r="D235" s="857">
        <v>-29788</v>
      </c>
      <c r="E235" s="856">
        <v>-37017</v>
      </c>
      <c r="F235" s="857">
        <v>-1190033</v>
      </c>
      <c r="G235" s="856">
        <v>-563688</v>
      </c>
      <c r="H235" s="857">
        <v>-51727</v>
      </c>
      <c r="I235" s="2591">
        <f t="shared" si="43"/>
        <v>-1957111</v>
      </c>
      <c r="J235" s="289"/>
      <c r="K235" s="394"/>
      <c r="L235" s="305"/>
      <c r="M235" s="305"/>
      <c r="N235" s="305"/>
      <c r="O235" s="305"/>
      <c r="P235" s="305"/>
      <c r="Q235" s="305"/>
      <c r="R235" s="305"/>
      <c r="S235" s="305"/>
      <c r="T235" s="305"/>
      <c r="U235" s="305"/>
    </row>
    <row r="236" spans="1:21" s="52" customFormat="1" ht="13.5" customHeight="1">
      <c r="A236" s="427"/>
      <c r="B236" s="2622" t="s">
        <v>430</v>
      </c>
      <c r="C236" s="2634">
        <f>+C230+C233+C234+C235</f>
        <v>188693</v>
      </c>
      <c r="D236" s="2633">
        <f t="shared" ref="D236:H236" si="44">+D230+D233+D234+D235</f>
        <v>59446</v>
      </c>
      <c r="E236" s="2634">
        <f t="shared" si="44"/>
        <v>17943</v>
      </c>
      <c r="F236" s="2633">
        <f t="shared" si="44"/>
        <v>241640</v>
      </c>
      <c r="G236" s="2634">
        <f t="shared" si="44"/>
        <v>-379355</v>
      </c>
      <c r="H236" s="2633">
        <f t="shared" si="44"/>
        <v>58576</v>
      </c>
      <c r="I236" s="2599">
        <f>+I230+I233+I234+I235</f>
        <v>186943</v>
      </c>
      <c r="J236" s="557"/>
      <c r="K236" s="288"/>
      <c r="L236" s="305"/>
      <c r="M236" s="305"/>
      <c r="N236" s="305"/>
      <c r="O236" s="305"/>
      <c r="P236" s="305"/>
      <c r="Q236" s="305"/>
      <c r="R236" s="305"/>
      <c r="S236" s="305"/>
      <c r="T236" s="305"/>
      <c r="U236" s="305"/>
    </row>
    <row r="237" spans="1:21" s="52" customFormat="1" ht="13.5" customHeight="1">
      <c r="A237" s="427"/>
      <c r="B237" s="2623"/>
      <c r="C237" s="2637"/>
      <c r="D237" s="2636"/>
      <c r="E237" s="2637"/>
      <c r="F237" s="2636"/>
      <c r="G237" s="2637"/>
      <c r="H237" s="2636"/>
      <c r="I237" s="2647"/>
      <c r="J237" s="431"/>
      <c r="K237" s="394"/>
      <c r="L237" s="305"/>
      <c r="M237" s="305"/>
      <c r="N237" s="305"/>
      <c r="O237" s="305"/>
      <c r="P237" s="305"/>
      <c r="Q237" s="305"/>
      <c r="R237" s="305"/>
      <c r="S237" s="305"/>
      <c r="T237" s="305"/>
      <c r="U237" s="305"/>
    </row>
    <row r="238" spans="1:21" s="52" customFormat="1" ht="13.5" customHeight="1">
      <c r="A238" s="427"/>
      <c r="B238" s="2618" t="s">
        <v>431</v>
      </c>
      <c r="C238" s="2624"/>
      <c r="D238" s="2625"/>
      <c r="E238" s="2624"/>
      <c r="F238" s="2625"/>
      <c r="G238" s="2624"/>
      <c r="H238" s="2625"/>
      <c r="I238" s="2647">
        <f>SUM(I239:I241)</f>
        <v>932380</v>
      </c>
      <c r="J238" s="431"/>
      <c r="K238" s="394"/>
      <c r="L238" s="305"/>
      <c r="M238" s="305"/>
      <c r="N238" s="305"/>
      <c r="O238" s="305"/>
      <c r="P238" s="305"/>
      <c r="Q238" s="305"/>
      <c r="R238" s="305"/>
      <c r="S238" s="305"/>
      <c r="T238" s="305"/>
      <c r="U238" s="305"/>
    </row>
    <row r="239" spans="1:21" s="52" customFormat="1" ht="13.5" customHeight="1">
      <c r="A239" s="427"/>
      <c r="B239" s="2616" t="s">
        <v>432</v>
      </c>
      <c r="C239" s="2624"/>
      <c r="D239" s="2625"/>
      <c r="E239" s="2624"/>
      <c r="F239" s="2625"/>
      <c r="G239" s="2624"/>
      <c r="H239" s="2625"/>
      <c r="I239" s="2647"/>
      <c r="J239" s="431"/>
      <c r="K239" s="394"/>
      <c r="L239" s="305"/>
      <c r="M239" s="305"/>
      <c r="N239" s="305"/>
      <c r="O239" s="305"/>
      <c r="P239" s="305"/>
      <c r="Q239" s="305"/>
      <c r="R239" s="305"/>
      <c r="S239" s="305"/>
      <c r="T239" s="305"/>
      <c r="U239" s="305"/>
    </row>
    <row r="240" spans="1:21" s="52" customFormat="1" ht="13.5" customHeight="1">
      <c r="A240" s="427"/>
      <c r="B240" s="2616" t="s">
        <v>433</v>
      </c>
      <c r="C240" s="2624"/>
      <c r="D240" s="2625"/>
      <c r="E240" s="2624"/>
      <c r="F240" s="2625"/>
      <c r="G240" s="2624"/>
      <c r="H240" s="2625"/>
      <c r="I240" s="2670">
        <v>778042</v>
      </c>
      <c r="J240" s="431"/>
      <c r="K240" s="394"/>
      <c r="L240" s="305"/>
      <c r="M240" s="305"/>
      <c r="N240" s="305"/>
      <c r="O240" s="305"/>
      <c r="P240" s="305"/>
      <c r="Q240" s="305"/>
      <c r="R240" s="305"/>
      <c r="S240" s="305"/>
      <c r="T240" s="305"/>
      <c r="U240" s="305"/>
    </row>
    <row r="241" spans="1:21" s="52" customFormat="1" ht="13.5" customHeight="1">
      <c r="A241" s="427"/>
      <c r="B241" s="2616" t="s">
        <v>434</v>
      </c>
      <c r="C241" s="2624"/>
      <c r="D241" s="2625"/>
      <c r="E241" s="2624"/>
      <c r="F241" s="2625"/>
      <c r="G241" s="2624"/>
      <c r="H241" s="2625"/>
      <c r="I241" s="1781">
        <v>154338</v>
      </c>
      <c r="J241" s="431"/>
      <c r="K241" s="394"/>
      <c r="L241" s="305"/>
      <c r="M241" s="305"/>
      <c r="N241" s="305"/>
      <c r="O241" s="305"/>
      <c r="P241" s="305"/>
      <c r="Q241" s="305"/>
      <c r="R241" s="305"/>
      <c r="S241" s="305"/>
      <c r="T241" s="305"/>
      <c r="U241" s="305"/>
    </row>
    <row r="242" spans="1:21" s="52" customFormat="1" ht="13.5" customHeight="1">
      <c r="A242" s="427"/>
      <c r="B242" s="2616"/>
      <c r="C242" s="2624"/>
      <c r="D242" s="2625"/>
      <c r="E242" s="2624"/>
      <c r="F242" s="2625"/>
      <c r="G242" s="2624"/>
      <c r="H242" s="2625"/>
      <c r="I242" s="2591"/>
      <c r="J242" s="431"/>
      <c r="K242" s="394"/>
      <c r="L242" s="305"/>
      <c r="M242" s="305"/>
      <c r="N242" s="305"/>
      <c r="O242" s="305"/>
      <c r="P242" s="305"/>
      <c r="Q242" s="305"/>
      <c r="R242" s="305"/>
      <c r="S242" s="305"/>
      <c r="T242" s="305"/>
      <c r="U242" s="305"/>
    </row>
    <row r="243" spans="1:21" s="52" customFormat="1" ht="13.5" customHeight="1">
      <c r="A243" s="427"/>
      <c r="B243" s="2618" t="s">
        <v>435</v>
      </c>
      <c r="C243" s="2624"/>
      <c r="D243" s="2625"/>
      <c r="E243" s="2624"/>
      <c r="F243" s="2625"/>
      <c r="G243" s="2624"/>
      <c r="H243" s="2625"/>
      <c r="I243" s="2591">
        <f>SUM(I244:I245)</f>
        <v>-236330</v>
      </c>
      <c r="J243" s="431"/>
      <c r="K243" s="394"/>
      <c r="L243" s="305"/>
      <c r="M243" s="305"/>
      <c r="N243" s="305"/>
      <c r="O243" s="305"/>
      <c r="P243" s="305"/>
      <c r="Q243" s="305"/>
      <c r="R243" s="305"/>
      <c r="S243" s="305"/>
      <c r="T243" s="305"/>
      <c r="U243" s="305"/>
    </row>
    <row r="244" spans="1:21" s="52" customFormat="1" ht="28.9" customHeight="1">
      <c r="A244" s="427"/>
      <c r="B244" s="2616" t="s">
        <v>436</v>
      </c>
      <c r="C244" s="2624"/>
      <c r="D244" s="2625"/>
      <c r="E244" s="2624"/>
      <c r="F244" s="2625"/>
      <c r="G244" s="2624"/>
      <c r="H244" s="2625"/>
      <c r="I244" s="2671">
        <v>-236330</v>
      </c>
      <c r="J244" s="431"/>
      <c r="K244" s="394"/>
      <c r="L244" s="305"/>
      <c r="M244" s="305"/>
      <c r="N244" s="305"/>
      <c r="O244" s="305"/>
      <c r="P244" s="305"/>
      <c r="Q244" s="305"/>
      <c r="R244" s="305"/>
      <c r="S244" s="305"/>
      <c r="T244" s="305"/>
      <c r="U244" s="305"/>
    </row>
    <row r="245" spans="1:21" s="52" customFormat="1" ht="28.9" customHeight="1">
      <c r="A245" s="427"/>
      <c r="B245" s="2616" t="s">
        <v>437</v>
      </c>
      <c r="C245" s="2624"/>
      <c r="D245" s="2625"/>
      <c r="E245" s="2624"/>
      <c r="F245" s="2625"/>
      <c r="G245" s="2624"/>
      <c r="H245" s="2625"/>
      <c r="I245" s="2591"/>
      <c r="J245" s="431"/>
      <c r="K245" s="394"/>
      <c r="L245" s="305"/>
      <c r="M245" s="305"/>
      <c r="N245" s="305"/>
      <c r="O245" s="305"/>
      <c r="P245" s="305"/>
      <c r="Q245" s="305"/>
      <c r="R245" s="305"/>
      <c r="S245" s="305"/>
      <c r="T245" s="305"/>
      <c r="U245" s="305"/>
    </row>
    <row r="246" spans="1:21" s="52" customFormat="1" ht="13.5" customHeight="1">
      <c r="A246" s="427"/>
      <c r="B246" s="2618" t="s">
        <v>438</v>
      </c>
      <c r="C246" s="2624"/>
      <c r="D246" s="2625"/>
      <c r="E246" s="2624"/>
      <c r="F246" s="2625"/>
      <c r="G246" s="2624"/>
      <c r="H246" s="2625"/>
      <c r="I246" s="2647">
        <f>+I236+I238+I243</f>
        <v>882993</v>
      </c>
      <c r="J246" s="431"/>
      <c r="K246" s="394"/>
      <c r="L246" s="305"/>
      <c r="M246" s="305"/>
      <c r="N246" s="305"/>
      <c r="O246" s="305"/>
      <c r="P246" s="305"/>
      <c r="Q246" s="305"/>
      <c r="R246" s="305"/>
      <c r="S246" s="305"/>
      <c r="T246" s="305"/>
      <c r="U246" s="305"/>
    </row>
    <row r="247" spans="1:21" s="52" customFormat="1" ht="13.5" customHeight="1">
      <c r="A247" s="427"/>
      <c r="B247" s="2616" t="s">
        <v>439</v>
      </c>
      <c r="C247" s="2624"/>
      <c r="D247" s="2625"/>
      <c r="E247" s="2624"/>
      <c r="F247" s="2625"/>
      <c r="G247" s="2624"/>
      <c r="H247" s="2625"/>
      <c r="I247" s="2591"/>
      <c r="J247" s="431"/>
      <c r="K247" s="394"/>
      <c r="L247" s="305"/>
      <c r="M247" s="305"/>
      <c r="N247" s="305"/>
      <c r="O247" s="305"/>
      <c r="P247" s="305"/>
      <c r="Q247" s="305"/>
      <c r="R247" s="305"/>
      <c r="S247" s="305"/>
      <c r="T247" s="305"/>
      <c r="U247" s="305"/>
    </row>
    <row r="248" spans="1:21" s="52" customFormat="1" ht="13.5" customHeight="1">
      <c r="A248" s="427"/>
      <c r="B248" s="2626" t="s">
        <v>440</v>
      </c>
      <c r="C248" s="2624"/>
      <c r="D248" s="2625"/>
      <c r="E248" s="2624"/>
      <c r="F248" s="2625"/>
      <c r="G248" s="2624"/>
      <c r="H248" s="2625"/>
      <c r="I248" s="2647">
        <f>+I246+I247</f>
        <v>882993</v>
      </c>
      <c r="J248" s="431"/>
      <c r="K248" s="394"/>
      <c r="L248" s="305"/>
      <c r="M248" s="305"/>
      <c r="N248" s="305"/>
      <c r="O248" s="305"/>
      <c r="P248" s="305"/>
      <c r="Q248" s="305"/>
      <c r="R248" s="305"/>
      <c r="S248" s="305"/>
      <c r="T248" s="305"/>
      <c r="U248" s="305"/>
    </row>
    <row r="249" spans="1:21" s="52" customFormat="1" ht="13.5" customHeight="1">
      <c r="A249" s="427"/>
      <c r="B249" s="2627" t="s">
        <v>441</v>
      </c>
      <c r="C249" s="2624"/>
      <c r="D249" s="2625"/>
      <c r="E249" s="2624"/>
      <c r="F249" s="2625"/>
      <c r="G249" s="2624"/>
      <c r="H249" s="2625"/>
      <c r="I249" s="2671">
        <v>-194096</v>
      </c>
      <c r="J249" s="431"/>
      <c r="K249" s="394"/>
      <c r="L249" s="305"/>
      <c r="M249" s="305"/>
      <c r="N249" s="305"/>
      <c r="O249" s="305"/>
      <c r="P249" s="305"/>
      <c r="Q249" s="305"/>
      <c r="R249" s="305"/>
      <c r="S249" s="305"/>
      <c r="T249" s="305"/>
      <c r="U249" s="305"/>
    </row>
    <row r="250" spans="1:21" s="52" customFormat="1" ht="13.5" customHeight="1" thickBot="1">
      <c r="A250" s="427"/>
      <c r="B250" s="1762" t="s">
        <v>442</v>
      </c>
      <c r="C250" s="489"/>
      <c r="D250" s="1312"/>
      <c r="E250" s="489"/>
      <c r="F250" s="1312"/>
      <c r="G250" s="489"/>
      <c r="H250" s="1312"/>
      <c r="I250" s="1774">
        <f>+I248+I249</f>
        <v>688897</v>
      </c>
      <c r="J250" s="431"/>
      <c r="K250" s="394"/>
      <c r="L250" s="305"/>
      <c r="M250" s="305"/>
      <c r="N250" s="305"/>
      <c r="O250" s="305"/>
      <c r="P250" s="305"/>
      <c r="Q250" s="305"/>
      <c r="R250" s="305"/>
      <c r="S250" s="305"/>
      <c r="T250" s="305"/>
      <c r="U250" s="305"/>
    </row>
    <row r="251" spans="1:21" s="52" customFormat="1" ht="13.5" customHeight="1">
      <c r="A251" s="285"/>
      <c r="B251" s="455"/>
      <c r="C251" s="278"/>
      <c r="D251" s="278"/>
      <c r="E251" s="278"/>
      <c r="F251" s="278"/>
      <c r="G251" s="278"/>
      <c r="H251" s="278"/>
      <c r="I251" s="278"/>
      <c r="J251" s="560"/>
      <c r="K251" s="394"/>
      <c r="L251" s="305"/>
      <c r="M251" s="305"/>
      <c r="N251" s="305"/>
      <c r="O251" s="305"/>
      <c r="P251" s="305"/>
      <c r="Q251" s="305"/>
      <c r="R251" s="305"/>
      <c r="S251" s="305"/>
      <c r="T251" s="305"/>
      <c r="U251" s="305"/>
    </row>
    <row r="252" spans="1:21" s="52" customFormat="1" ht="13.5" customHeight="1">
      <c r="A252" s="427"/>
      <c r="B252" s="455"/>
      <c r="C252" s="433"/>
      <c r="D252" s="433"/>
      <c r="E252" s="433"/>
      <c r="F252" s="433"/>
      <c r="G252" s="433"/>
      <c r="H252" s="433"/>
      <c r="I252" s="555"/>
      <c r="J252" s="555"/>
      <c r="K252" s="394">
        <v>117</v>
      </c>
      <c r="L252" s="305"/>
      <c r="M252" s="305"/>
      <c r="N252" s="305"/>
      <c r="O252" s="305"/>
      <c r="P252" s="305"/>
      <c r="Q252" s="305"/>
      <c r="R252" s="305"/>
      <c r="S252" s="305"/>
      <c r="T252" s="305"/>
      <c r="U252" s="305"/>
    </row>
    <row r="253" spans="1:21" s="52" customFormat="1" ht="13.5" customHeight="1">
      <c r="A253" s="427"/>
      <c r="B253" s="455"/>
      <c r="C253" s="433"/>
      <c r="D253" s="433"/>
      <c r="E253" s="433"/>
      <c r="F253" s="433"/>
      <c r="G253" s="433"/>
      <c r="H253" s="433"/>
      <c r="I253" s="433"/>
      <c r="J253" s="431"/>
      <c r="K253" s="394"/>
      <c r="L253" s="305"/>
      <c r="M253" s="305"/>
      <c r="N253" s="305"/>
      <c r="O253" s="305"/>
      <c r="P253" s="305"/>
      <c r="Q253" s="305"/>
      <c r="R253" s="305"/>
      <c r="S253" s="305"/>
      <c r="T253" s="305"/>
      <c r="U253" s="305"/>
    </row>
    <row r="254" spans="1:21" s="52" customFormat="1" ht="13.5" customHeight="1">
      <c r="A254" s="427"/>
      <c r="B254" s="295" t="s">
        <v>444</v>
      </c>
      <c r="C254" s="295"/>
      <c r="D254" s="295"/>
      <c r="E254" s="433"/>
      <c r="F254" s="433"/>
      <c r="G254" s="433"/>
      <c r="H254" s="433"/>
      <c r="I254" s="433"/>
      <c r="J254" s="431"/>
      <c r="K254" s="394"/>
      <c r="L254" s="305"/>
      <c r="M254" s="305"/>
      <c r="N254" s="305"/>
      <c r="O254" s="305"/>
      <c r="P254" s="305"/>
      <c r="Q254" s="305"/>
      <c r="R254" s="305"/>
      <c r="S254" s="305"/>
      <c r="T254" s="305"/>
      <c r="U254" s="305"/>
    </row>
    <row r="255" spans="1:21" s="52" customFormat="1" ht="13.5" customHeight="1" thickBot="1">
      <c r="A255" s="427"/>
      <c r="B255" s="218"/>
      <c r="C255" s="218"/>
      <c r="D255" s="218"/>
      <c r="E255" s="433"/>
      <c r="F255" s="433"/>
      <c r="G255" s="433"/>
      <c r="H255" s="433"/>
      <c r="I255" s="433"/>
      <c r="J255" s="431"/>
      <c r="K255" s="394"/>
      <c r="L255" s="305"/>
      <c r="M255" s="305"/>
      <c r="N255" s="305"/>
      <c r="O255" s="305"/>
      <c r="P255" s="305"/>
      <c r="Q255" s="305"/>
      <c r="R255" s="305"/>
      <c r="S255" s="305"/>
      <c r="T255" s="305"/>
      <c r="U255" s="305"/>
    </row>
    <row r="256" spans="1:21" ht="13.5" customHeight="1">
      <c r="B256" s="1765" t="s">
        <v>104</v>
      </c>
      <c r="I256" s="535" t="s">
        <v>232</v>
      </c>
      <c r="J256" s="556"/>
      <c r="L256" s="305"/>
      <c r="M256" s="305"/>
      <c r="N256" s="305"/>
      <c r="O256" s="305"/>
      <c r="P256" s="305"/>
      <c r="Q256" s="305"/>
      <c r="R256" s="305"/>
      <c r="S256" s="305"/>
      <c r="T256" s="305"/>
      <c r="U256" s="305"/>
    </row>
    <row r="257" spans="1:21" s="52" customFormat="1" ht="13.5" customHeight="1">
      <c r="A257" s="414"/>
      <c r="B257" s="3518"/>
      <c r="C257" s="3609">
        <v>2021</v>
      </c>
      <c r="D257" s="3618"/>
      <c r="E257" s="3618"/>
      <c r="F257" s="3618"/>
      <c r="G257" s="3618"/>
      <c r="H257" s="3618"/>
      <c r="I257" s="3610"/>
      <c r="J257" s="454"/>
      <c r="K257" s="394"/>
      <c r="L257" s="305"/>
      <c r="M257" s="305"/>
      <c r="N257" s="305"/>
      <c r="O257" s="305"/>
      <c r="P257" s="305"/>
      <c r="Q257" s="305"/>
      <c r="R257" s="305"/>
      <c r="S257" s="305"/>
      <c r="T257" s="305"/>
      <c r="U257" s="305"/>
    </row>
    <row r="258" spans="1:21" s="52" customFormat="1" ht="13.5" customHeight="1">
      <c r="A258" s="415"/>
      <c r="B258" s="3587"/>
      <c r="C258" s="3607" t="s">
        <v>412</v>
      </c>
      <c r="D258" s="3635" t="s">
        <v>413</v>
      </c>
      <c r="E258" s="3609" t="s">
        <v>414</v>
      </c>
      <c r="F258" s="3639"/>
      <c r="G258" s="3611" t="s">
        <v>415</v>
      </c>
      <c r="H258" s="3637" t="s">
        <v>416</v>
      </c>
      <c r="I258" s="3607" t="s">
        <v>118</v>
      </c>
      <c r="J258" s="454"/>
      <c r="K258" s="3617"/>
      <c r="L258" s="305"/>
      <c r="M258" s="305"/>
      <c r="N258" s="305"/>
      <c r="O258" s="305"/>
      <c r="P258" s="305"/>
      <c r="Q258" s="305"/>
      <c r="R258" s="305"/>
      <c r="S258" s="305"/>
      <c r="T258" s="305"/>
      <c r="U258" s="305"/>
    </row>
    <row r="259" spans="1:21" s="52" customFormat="1" ht="13.5" customHeight="1" thickBot="1">
      <c r="A259" s="415"/>
      <c r="B259" s="3545"/>
      <c r="C259" s="3608"/>
      <c r="D259" s="3621"/>
      <c r="E259" s="1744" t="s">
        <v>418</v>
      </c>
      <c r="F259" s="1728" t="s">
        <v>419</v>
      </c>
      <c r="G259" s="3612"/>
      <c r="H259" s="3638"/>
      <c r="I259" s="3608"/>
      <c r="J259" s="454"/>
      <c r="K259" s="3617"/>
      <c r="L259" s="305"/>
      <c r="M259" s="305"/>
      <c r="N259" s="305"/>
      <c r="O259" s="305"/>
      <c r="P259" s="305"/>
      <c r="Q259" s="305"/>
      <c r="R259" s="305"/>
      <c r="S259" s="305"/>
      <c r="T259" s="305"/>
      <c r="U259" s="305"/>
    </row>
    <row r="260" spans="1:21" s="52" customFormat="1" ht="13.5" customHeight="1">
      <c r="A260" s="427"/>
      <c r="B260" s="1770" t="s">
        <v>333</v>
      </c>
      <c r="C260" s="2645">
        <v>759119</v>
      </c>
      <c r="D260" s="2644">
        <v>81874</v>
      </c>
      <c r="E260" s="2645">
        <v>3947</v>
      </c>
      <c r="F260" s="2644">
        <v>3861339</v>
      </c>
      <c r="G260" s="2645">
        <v>584277</v>
      </c>
      <c r="H260" s="2644">
        <v>358022</v>
      </c>
      <c r="I260" s="2591">
        <f>SUM(C260:H260)</f>
        <v>5648578</v>
      </c>
      <c r="J260" s="431"/>
      <c r="K260" s="286"/>
      <c r="L260" s="305"/>
      <c r="M260" s="305"/>
      <c r="N260" s="305"/>
      <c r="O260" s="305"/>
      <c r="P260" s="305"/>
      <c r="Q260" s="305"/>
      <c r="R260" s="305"/>
      <c r="S260" s="305"/>
      <c r="T260" s="305"/>
      <c r="U260" s="305"/>
    </row>
    <row r="261" spans="1:21" s="52" customFormat="1" ht="13.5" customHeight="1">
      <c r="A261" s="427"/>
      <c r="B261" s="2616" t="s">
        <v>447</v>
      </c>
      <c r="C261" s="856"/>
      <c r="D261" s="857"/>
      <c r="E261" s="856"/>
      <c r="F261" s="857"/>
      <c r="G261" s="856"/>
      <c r="H261" s="857"/>
      <c r="I261" s="2591">
        <f t="shared" ref="I261:I263" si="45">SUM(C261:H261)</f>
        <v>0</v>
      </c>
      <c r="J261" s="431"/>
      <c r="K261" s="286"/>
      <c r="L261" s="305"/>
      <c r="M261" s="305"/>
      <c r="N261" s="305"/>
      <c r="O261" s="305"/>
      <c r="P261" s="305"/>
      <c r="Q261" s="305"/>
      <c r="R261" s="305"/>
      <c r="S261" s="305"/>
      <c r="T261" s="305"/>
      <c r="U261" s="305"/>
    </row>
    <row r="262" spans="1:21" s="52" customFormat="1" ht="13.5" customHeight="1">
      <c r="A262" s="427"/>
      <c r="B262" s="2616" t="s">
        <v>421</v>
      </c>
      <c r="C262" s="856">
        <v>-326774</v>
      </c>
      <c r="D262" s="857">
        <v>-994</v>
      </c>
      <c r="E262" s="856"/>
      <c r="F262" s="857">
        <v>-103838</v>
      </c>
      <c r="G262" s="856"/>
      <c r="H262" s="857">
        <v>-50160</v>
      </c>
      <c r="I262" s="2591">
        <f t="shared" si="45"/>
        <v>-481766</v>
      </c>
      <c r="J262" s="431"/>
      <c r="K262" s="286"/>
      <c r="L262" s="305"/>
      <c r="M262" s="305"/>
      <c r="N262" s="305"/>
      <c r="O262" s="305"/>
      <c r="P262" s="305"/>
      <c r="Q262" s="305"/>
      <c r="R262" s="305"/>
      <c r="S262" s="305"/>
      <c r="T262" s="305"/>
      <c r="U262" s="305"/>
    </row>
    <row r="263" spans="1:21" s="52" customFormat="1" ht="13.5" customHeight="1">
      <c r="A263" s="427"/>
      <c r="B263" s="2616" t="s">
        <v>422</v>
      </c>
      <c r="C263" s="856">
        <v>-405688</v>
      </c>
      <c r="D263" s="857">
        <v>-75429</v>
      </c>
      <c r="E263" s="856">
        <v>-166</v>
      </c>
      <c r="F263" s="857">
        <v>-71607</v>
      </c>
      <c r="G263" s="856"/>
      <c r="H263" s="857">
        <v>-258667</v>
      </c>
      <c r="I263" s="2591">
        <f t="shared" si="45"/>
        <v>-811557</v>
      </c>
      <c r="J263" s="431"/>
      <c r="K263" s="394"/>
      <c r="L263" s="305"/>
      <c r="M263" s="305"/>
      <c r="N263" s="305"/>
      <c r="O263" s="305"/>
      <c r="P263" s="305"/>
      <c r="Q263" s="305"/>
      <c r="R263" s="305"/>
      <c r="S263" s="305"/>
      <c r="T263" s="305"/>
      <c r="U263" s="305"/>
    </row>
    <row r="264" spans="1:21" s="236" customFormat="1" ht="13.5" customHeight="1">
      <c r="A264" s="428"/>
      <c r="B264" s="2618" t="s">
        <v>423</v>
      </c>
      <c r="C264" s="2634">
        <f>SUM(C260:C263)</f>
        <v>26657</v>
      </c>
      <c r="D264" s="2633">
        <f t="shared" ref="D264:I264" si="46">SUM(D260:D263)</f>
        <v>5451</v>
      </c>
      <c r="E264" s="2634">
        <f t="shared" si="46"/>
        <v>3781</v>
      </c>
      <c r="F264" s="2633">
        <f t="shared" si="46"/>
        <v>3685894</v>
      </c>
      <c r="G264" s="2634">
        <f t="shared" si="46"/>
        <v>584277</v>
      </c>
      <c r="H264" s="2633">
        <f t="shared" si="46"/>
        <v>49195</v>
      </c>
      <c r="I264" s="2599">
        <f t="shared" si="46"/>
        <v>4355255</v>
      </c>
      <c r="J264" s="431"/>
      <c r="K264" s="463"/>
      <c r="L264" s="305"/>
      <c r="M264" s="305"/>
      <c r="N264" s="305"/>
      <c r="O264" s="305"/>
      <c r="P264" s="305"/>
      <c r="Q264" s="305"/>
      <c r="R264" s="305"/>
      <c r="S264" s="305"/>
      <c r="T264" s="305"/>
      <c r="U264" s="305"/>
    </row>
    <row r="265" spans="1:21" s="52" customFormat="1" ht="13.5" customHeight="1">
      <c r="A265" s="427"/>
      <c r="B265" s="2616" t="s">
        <v>424</v>
      </c>
      <c r="C265" s="2645">
        <v>-6237</v>
      </c>
      <c r="D265" s="2644">
        <v>-363</v>
      </c>
      <c r="E265" s="2645">
        <v>-301</v>
      </c>
      <c r="F265" s="2644">
        <v>-165563</v>
      </c>
      <c r="G265" s="2645">
        <v>-60594</v>
      </c>
      <c r="H265" s="2644">
        <v>-9194</v>
      </c>
      <c r="I265" s="2591">
        <f>SUM(C265:H265)</f>
        <v>-242252</v>
      </c>
      <c r="J265" s="431"/>
      <c r="K265" s="394"/>
      <c r="L265" s="305"/>
      <c r="M265" s="305"/>
      <c r="N265" s="305"/>
      <c r="O265" s="305"/>
      <c r="P265" s="305"/>
      <c r="Q265" s="305"/>
      <c r="R265" s="305"/>
      <c r="S265" s="305"/>
      <c r="T265" s="305"/>
      <c r="U265" s="305"/>
    </row>
    <row r="266" spans="1:21" s="236" customFormat="1" ht="13.5" customHeight="1">
      <c r="A266" s="428"/>
      <c r="B266" s="2618" t="s">
        <v>425</v>
      </c>
      <c r="C266" s="2634">
        <f>SUM(C264:C265)</f>
        <v>20420</v>
      </c>
      <c r="D266" s="2633">
        <f t="shared" ref="D266:I266" si="47">SUM(D264:D265)</f>
        <v>5088</v>
      </c>
      <c r="E266" s="2634">
        <f t="shared" si="47"/>
        <v>3480</v>
      </c>
      <c r="F266" s="2633">
        <f t="shared" si="47"/>
        <v>3520331</v>
      </c>
      <c r="G266" s="2634">
        <f t="shared" si="47"/>
        <v>523683</v>
      </c>
      <c r="H266" s="2633">
        <f t="shared" si="47"/>
        <v>40001</v>
      </c>
      <c r="I266" s="2599">
        <f t="shared" si="47"/>
        <v>4113003</v>
      </c>
      <c r="J266" s="431"/>
      <c r="K266" s="463"/>
      <c r="L266" s="305"/>
      <c r="M266" s="305"/>
      <c r="N266" s="305"/>
      <c r="O266" s="305"/>
      <c r="P266" s="305"/>
      <c r="Q266" s="305"/>
      <c r="R266" s="305"/>
      <c r="S266" s="305"/>
      <c r="T266" s="305"/>
      <c r="U266" s="305"/>
    </row>
    <row r="267" spans="1:21" s="52" customFormat="1" ht="13.5" customHeight="1">
      <c r="A267" s="427"/>
      <c r="B267" s="2616"/>
      <c r="C267" s="2637"/>
      <c r="D267" s="2636"/>
      <c r="E267" s="2637"/>
      <c r="F267" s="2636"/>
      <c r="G267" s="2637"/>
      <c r="H267" s="2636"/>
      <c r="I267" s="2591">
        <v>0</v>
      </c>
      <c r="J267" s="431"/>
      <c r="K267" s="394"/>
      <c r="L267" s="305"/>
      <c r="M267" s="305"/>
      <c r="N267" s="305"/>
      <c r="O267" s="305"/>
      <c r="P267" s="305"/>
      <c r="Q267" s="305"/>
      <c r="R267" s="305"/>
      <c r="S267" s="305"/>
      <c r="T267" s="305"/>
      <c r="U267" s="305"/>
    </row>
    <row r="268" spans="1:21" s="52" customFormat="1" ht="13.5" customHeight="1">
      <c r="A268" s="427"/>
      <c r="B268" s="2618" t="s">
        <v>426</v>
      </c>
      <c r="C268" s="2639">
        <f>SUM(C269:C271)</f>
        <v>39257</v>
      </c>
      <c r="D268" s="2638">
        <f t="shared" ref="D268:H268" si="48">SUM(D269:D271)</f>
        <v>10660</v>
      </c>
      <c r="E268" s="2639">
        <f t="shared" si="48"/>
        <v>-1625</v>
      </c>
      <c r="F268" s="2638">
        <f t="shared" si="48"/>
        <v>-2381317</v>
      </c>
      <c r="G268" s="2639">
        <f t="shared" si="48"/>
        <v>-644773</v>
      </c>
      <c r="H268" s="2638">
        <f t="shared" si="48"/>
        <v>18673</v>
      </c>
      <c r="I268" s="2591">
        <f>SUM(C268:H268)</f>
        <v>-2959125</v>
      </c>
      <c r="J268" s="431"/>
      <c r="K268" s="415"/>
      <c r="L268" s="305"/>
      <c r="M268" s="305"/>
      <c r="N268" s="305"/>
      <c r="O268" s="305"/>
      <c r="P268" s="305"/>
      <c r="Q268" s="305"/>
      <c r="R268" s="305"/>
      <c r="S268" s="305"/>
      <c r="T268" s="305"/>
      <c r="U268" s="305"/>
    </row>
    <row r="269" spans="1:21" s="52" customFormat="1" ht="27.75" customHeight="1">
      <c r="A269" s="427"/>
      <c r="B269" s="2616" t="s">
        <v>427</v>
      </c>
      <c r="C269" s="2645">
        <v>-29124</v>
      </c>
      <c r="D269" s="2644">
        <v>-3759</v>
      </c>
      <c r="E269" s="2645">
        <v>-1448</v>
      </c>
      <c r="F269" s="2644">
        <v>-1927261</v>
      </c>
      <c r="G269" s="2645">
        <v>-599085</v>
      </c>
      <c r="H269" s="2644">
        <v>-18077</v>
      </c>
      <c r="I269" s="2591">
        <f>SUM(C269:H269)</f>
        <v>-2578754</v>
      </c>
      <c r="J269" s="431"/>
      <c r="K269" s="394"/>
      <c r="L269" s="305"/>
      <c r="M269" s="305"/>
      <c r="N269" s="305"/>
      <c r="O269" s="305"/>
      <c r="P269" s="305"/>
      <c r="Q269" s="305"/>
      <c r="R269" s="305"/>
      <c r="S269" s="305"/>
      <c r="T269" s="305"/>
      <c r="U269" s="305"/>
    </row>
    <row r="270" spans="1:21" s="52" customFormat="1" ht="26.25" customHeight="1">
      <c r="A270" s="427"/>
      <c r="B270" s="2616" t="s">
        <v>428</v>
      </c>
      <c r="C270" s="856">
        <v>64909</v>
      </c>
      <c r="D270" s="857">
        <v>14329</v>
      </c>
      <c r="E270" s="856">
        <v>-176</v>
      </c>
      <c r="F270" s="857">
        <v>-449036</v>
      </c>
      <c r="G270" s="856">
        <v>-44336</v>
      </c>
      <c r="H270" s="857">
        <v>37594</v>
      </c>
      <c r="I270" s="2591">
        <f t="shared" ref="I270:I271" si="49">SUM(C270:H270)</f>
        <v>-376716</v>
      </c>
      <c r="J270" s="431"/>
      <c r="K270" s="394"/>
      <c r="L270" s="305"/>
      <c r="M270" s="305"/>
      <c r="N270" s="305"/>
      <c r="O270" s="305"/>
      <c r="P270" s="305"/>
      <c r="Q270" s="305"/>
      <c r="R270" s="305"/>
      <c r="S270" s="305"/>
      <c r="T270" s="305"/>
      <c r="U270" s="305"/>
    </row>
    <row r="271" spans="1:21" s="52" customFormat="1" ht="27.75" customHeight="1">
      <c r="A271" s="427"/>
      <c r="B271" s="2616" t="s">
        <v>429</v>
      </c>
      <c r="C271" s="856">
        <v>3472</v>
      </c>
      <c r="D271" s="857">
        <v>90</v>
      </c>
      <c r="E271" s="856">
        <v>-1</v>
      </c>
      <c r="F271" s="857">
        <v>-5020</v>
      </c>
      <c r="G271" s="856">
        <v>-1352</v>
      </c>
      <c r="H271" s="857">
        <v>-844</v>
      </c>
      <c r="I271" s="2591">
        <f t="shared" si="49"/>
        <v>-3655</v>
      </c>
      <c r="J271" s="431"/>
      <c r="K271" s="394"/>
      <c r="L271" s="305"/>
      <c r="M271" s="305"/>
      <c r="N271" s="305"/>
      <c r="O271" s="305"/>
      <c r="P271" s="305"/>
      <c r="Q271" s="305"/>
      <c r="R271" s="305"/>
      <c r="S271" s="305"/>
      <c r="T271" s="305"/>
      <c r="U271" s="305"/>
    </row>
    <row r="272" spans="1:21" s="52" customFormat="1" ht="13.5" customHeight="1">
      <c r="A272" s="427"/>
      <c r="B272" s="2622" t="s">
        <v>430</v>
      </c>
      <c r="C272" s="2634">
        <f>+C266+C269+C270+C271</f>
        <v>59677</v>
      </c>
      <c r="D272" s="2633">
        <f t="shared" ref="D272:I272" si="50">+D266+D269+D270+D271</f>
        <v>15748</v>
      </c>
      <c r="E272" s="2634">
        <f t="shared" si="50"/>
        <v>1855</v>
      </c>
      <c r="F272" s="2633">
        <f t="shared" si="50"/>
        <v>1139014</v>
      </c>
      <c r="G272" s="2634">
        <f t="shared" si="50"/>
        <v>-121090</v>
      </c>
      <c r="H272" s="2633">
        <f t="shared" si="50"/>
        <v>58674</v>
      </c>
      <c r="I272" s="2599">
        <f t="shared" si="50"/>
        <v>1153878</v>
      </c>
      <c r="J272" s="431"/>
      <c r="K272" s="288"/>
      <c r="L272" s="305"/>
      <c r="M272" s="305"/>
      <c r="N272" s="305"/>
      <c r="O272" s="305"/>
      <c r="P272" s="305"/>
      <c r="Q272" s="305"/>
      <c r="R272" s="305"/>
      <c r="S272" s="305"/>
      <c r="T272" s="305"/>
      <c r="U272" s="305"/>
    </row>
    <row r="273" spans="1:21" s="52" customFormat="1" ht="13.5" customHeight="1">
      <c r="A273" s="427"/>
      <c r="B273" s="2618"/>
      <c r="C273" s="2637"/>
      <c r="D273" s="2636"/>
      <c r="E273" s="2637"/>
      <c r="F273" s="2636"/>
      <c r="G273" s="2637"/>
      <c r="H273" s="2636"/>
      <c r="I273" s="2647"/>
      <c r="J273" s="431"/>
      <c r="K273" s="394"/>
      <c r="L273" s="305"/>
      <c r="M273" s="305"/>
      <c r="N273" s="305"/>
      <c r="O273" s="305"/>
      <c r="P273" s="305"/>
      <c r="Q273" s="305"/>
      <c r="R273" s="305"/>
      <c r="S273" s="305"/>
      <c r="T273" s="305"/>
      <c r="U273" s="305"/>
    </row>
    <row r="274" spans="1:21" s="52" customFormat="1" ht="13.5" customHeight="1">
      <c r="A274" s="427"/>
      <c r="B274" s="2618" t="s">
        <v>431</v>
      </c>
      <c r="C274" s="2624"/>
      <c r="D274" s="2625"/>
      <c r="E274" s="2624"/>
      <c r="F274" s="2625"/>
      <c r="G274" s="2624"/>
      <c r="H274" s="2625"/>
      <c r="I274" s="2647">
        <f>SUM(I275:I277)</f>
        <v>583503</v>
      </c>
      <c r="J274" s="431"/>
      <c r="K274" s="394"/>
      <c r="L274" s="305"/>
      <c r="M274" s="305"/>
      <c r="N274" s="305"/>
      <c r="O274" s="305"/>
      <c r="P274" s="305"/>
      <c r="Q274" s="305"/>
      <c r="R274" s="305"/>
      <c r="S274" s="305"/>
      <c r="T274" s="305"/>
      <c r="U274" s="305"/>
    </row>
    <row r="275" spans="1:21" s="52" customFormat="1" ht="13.5" customHeight="1">
      <c r="A275" s="427"/>
      <c r="B275" s="2616" t="s">
        <v>432</v>
      </c>
      <c r="C275" s="2624"/>
      <c r="D275" s="2625"/>
      <c r="E275" s="2624"/>
      <c r="F275" s="2625"/>
      <c r="G275" s="2624"/>
      <c r="H275" s="2625"/>
      <c r="I275" s="2670">
        <v>181325</v>
      </c>
      <c r="J275" s="431"/>
      <c r="K275" s="394"/>
      <c r="L275" s="305"/>
      <c r="M275" s="305"/>
      <c r="N275" s="305"/>
      <c r="O275" s="305"/>
      <c r="P275" s="305"/>
      <c r="Q275" s="305"/>
      <c r="R275" s="305"/>
      <c r="S275" s="305"/>
      <c r="T275" s="305"/>
      <c r="U275" s="305"/>
    </row>
    <row r="276" spans="1:21" s="52" customFormat="1" ht="13.5" customHeight="1">
      <c r="A276" s="427"/>
      <c r="B276" s="2616" t="s">
        <v>446</v>
      </c>
      <c r="C276" s="2624"/>
      <c r="D276" s="2625"/>
      <c r="E276" s="2624"/>
      <c r="F276" s="2625"/>
      <c r="G276" s="2624"/>
      <c r="H276" s="2625"/>
      <c r="I276" s="1781">
        <v>361966</v>
      </c>
      <c r="J276" s="431"/>
      <c r="K276" s="394"/>
      <c r="L276" s="305"/>
      <c r="M276" s="305"/>
      <c r="N276" s="305"/>
      <c r="O276" s="305"/>
      <c r="P276" s="305"/>
      <c r="Q276" s="305"/>
      <c r="R276" s="305"/>
      <c r="S276" s="305"/>
      <c r="T276" s="305"/>
      <c r="U276" s="305"/>
    </row>
    <row r="277" spans="1:21" s="52" customFormat="1" ht="13.5" customHeight="1">
      <c r="A277" s="427"/>
      <c r="B277" s="2616" t="s">
        <v>434</v>
      </c>
      <c r="C277" s="2624"/>
      <c r="D277" s="2625"/>
      <c r="E277" s="2624"/>
      <c r="F277" s="2625"/>
      <c r="G277" s="2624"/>
      <c r="H277" s="2625"/>
      <c r="I277" s="1781">
        <v>40212</v>
      </c>
      <c r="J277" s="431"/>
      <c r="K277" s="394"/>
      <c r="L277" s="305"/>
      <c r="M277" s="305"/>
      <c r="N277" s="305"/>
      <c r="O277" s="305"/>
      <c r="P277" s="305"/>
      <c r="Q277" s="305"/>
      <c r="R277" s="305"/>
      <c r="S277" s="305"/>
      <c r="T277" s="305"/>
      <c r="U277" s="305"/>
    </row>
    <row r="278" spans="1:21" s="52" customFormat="1" ht="13.5" customHeight="1">
      <c r="A278" s="427"/>
      <c r="B278" s="2616"/>
      <c r="C278" s="2624"/>
      <c r="D278" s="2625"/>
      <c r="E278" s="2624"/>
      <c r="F278" s="2625"/>
      <c r="G278" s="2624"/>
      <c r="H278" s="2625"/>
      <c r="I278" s="2591"/>
      <c r="J278" s="431"/>
      <c r="K278" s="394"/>
      <c r="L278" s="305"/>
      <c r="M278" s="305"/>
      <c r="N278" s="305"/>
      <c r="O278" s="305"/>
      <c r="P278" s="305"/>
      <c r="Q278" s="305"/>
      <c r="R278" s="305"/>
      <c r="S278" s="305"/>
      <c r="T278" s="305"/>
      <c r="U278" s="305"/>
    </row>
    <row r="279" spans="1:21" s="52" customFormat="1" ht="13.5" customHeight="1">
      <c r="A279" s="427"/>
      <c r="B279" s="2618" t="s">
        <v>435</v>
      </c>
      <c r="C279" s="2624"/>
      <c r="D279" s="2625"/>
      <c r="E279" s="2624"/>
      <c r="F279" s="2625"/>
      <c r="G279" s="2624"/>
      <c r="H279" s="2625"/>
      <c r="I279" s="2591">
        <f>SUM(I280:I281)</f>
        <v>-1302901</v>
      </c>
      <c r="J279" s="431"/>
      <c r="K279" s="394"/>
      <c r="L279" s="305"/>
      <c r="M279" s="305"/>
      <c r="N279" s="305"/>
      <c r="O279" s="305"/>
      <c r="P279" s="305"/>
      <c r="Q279" s="305"/>
      <c r="R279" s="305"/>
      <c r="S279" s="305"/>
      <c r="T279" s="305"/>
      <c r="U279" s="305"/>
    </row>
    <row r="280" spans="1:21" s="52" customFormat="1" ht="27" customHeight="1">
      <c r="A280" s="427"/>
      <c r="B280" s="2616" t="s">
        <v>436</v>
      </c>
      <c r="C280" s="2624"/>
      <c r="D280" s="2625"/>
      <c r="E280" s="2624"/>
      <c r="F280" s="2625"/>
      <c r="G280" s="2624"/>
      <c r="H280" s="2625"/>
      <c r="I280" s="2672">
        <v>-1302901</v>
      </c>
      <c r="J280" s="431"/>
      <c r="K280" s="394"/>
      <c r="L280" s="305"/>
      <c r="M280" s="305"/>
      <c r="N280" s="305"/>
      <c r="O280" s="305"/>
      <c r="P280" s="305"/>
      <c r="Q280" s="305"/>
      <c r="R280" s="305"/>
      <c r="S280" s="305"/>
      <c r="T280" s="305"/>
      <c r="U280" s="305"/>
    </row>
    <row r="281" spans="1:21" s="52" customFormat="1" ht="27" customHeight="1">
      <c r="A281" s="427"/>
      <c r="B281" s="2616" t="s">
        <v>437</v>
      </c>
      <c r="C281" s="2624"/>
      <c r="D281" s="2625"/>
      <c r="E281" s="2624"/>
      <c r="F281" s="2625"/>
      <c r="G281" s="2624"/>
      <c r="H281" s="2625"/>
      <c r="I281" s="2591"/>
      <c r="J281" s="431"/>
      <c r="K281" s="394"/>
      <c r="L281" s="305"/>
      <c r="M281" s="305"/>
      <c r="N281" s="305"/>
      <c r="O281" s="305"/>
      <c r="P281" s="305"/>
      <c r="Q281" s="305"/>
      <c r="R281" s="305"/>
      <c r="S281" s="305"/>
      <c r="T281" s="305"/>
      <c r="U281" s="305"/>
    </row>
    <row r="282" spans="1:21" s="52" customFormat="1" ht="13.5" customHeight="1">
      <c r="A282" s="427"/>
      <c r="B282" s="2618" t="s">
        <v>438</v>
      </c>
      <c r="C282" s="2624"/>
      <c r="D282" s="2625"/>
      <c r="E282" s="2624"/>
      <c r="F282" s="2625"/>
      <c r="G282" s="2624"/>
      <c r="H282" s="2625"/>
      <c r="I282" s="2647">
        <f>+I272+I274+I279</f>
        <v>434480</v>
      </c>
      <c r="J282" s="431"/>
      <c r="K282" s="394"/>
      <c r="L282" s="305"/>
      <c r="M282" s="305"/>
      <c r="N282" s="305"/>
      <c r="O282" s="305"/>
      <c r="P282" s="305"/>
      <c r="Q282" s="305"/>
      <c r="R282" s="305"/>
      <c r="S282" s="305"/>
      <c r="T282" s="305"/>
      <c r="U282" s="305"/>
    </row>
    <row r="283" spans="1:21" s="52" customFormat="1" ht="13.5" customHeight="1">
      <c r="A283" s="427"/>
      <c r="B283" s="2616" t="s">
        <v>439</v>
      </c>
      <c r="C283" s="2624"/>
      <c r="D283" s="2625"/>
      <c r="E283" s="2624"/>
      <c r="F283" s="2625"/>
      <c r="G283" s="2624"/>
      <c r="H283" s="2625"/>
      <c r="I283" s="2670">
        <v>-23312</v>
      </c>
      <c r="J283" s="431"/>
      <c r="K283" s="394"/>
      <c r="L283" s="305"/>
      <c r="M283" s="305"/>
      <c r="N283" s="305"/>
      <c r="O283" s="305"/>
      <c r="P283" s="305"/>
      <c r="Q283" s="305"/>
      <c r="R283" s="305"/>
      <c r="S283" s="305"/>
      <c r="T283" s="305"/>
      <c r="U283" s="305"/>
    </row>
    <row r="284" spans="1:21" s="52" customFormat="1" ht="13.5" customHeight="1">
      <c r="A284" s="427"/>
      <c r="B284" s="2626" t="s">
        <v>440</v>
      </c>
      <c r="C284" s="2624"/>
      <c r="D284" s="2625"/>
      <c r="E284" s="2624"/>
      <c r="F284" s="2625"/>
      <c r="G284" s="2624"/>
      <c r="H284" s="2625"/>
      <c r="I284" s="2647">
        <f>+I282+I283</f>
        <v>411168</v>
      </c>
      <c r="J284" s="431"/>
      <c r="K284" s="394"/>
      <c r="L284" s="305"/>
      <c r="M284" s="305"/>
      <c r="N284" s="305"/>
      <c r="O284" s="305"/>
      <c r="P284" s="305"/>
      <c r="Q284" s="305"/>
      <c r="R284" s="305"/>
      <c r="S284" s="305"/>
      <c r="T284" s="305"/>
      <c r="U284" s="305"/>
    </row>
    <row r="285" spans="1:21" s="52" customFormat="1" ht="13.5" customHeight="1">
      <c r="A285" s="427"/>
      <c r="B285" s="2627" t="s">
        <v>441</v>
      </c>
      <c r="C285" s="2624"/>
      <c r="D285" s="2625"/>
      <c r="E285" s="2624"/>
      <c r="F285" s="2625"/>
      <c r="G285" s="2624"/>
      <c r="H285" s="2625"/>
      <c r="I285" s="2649">
        <v>-73018</v>
      </c>
      <c r="J285" s="431"/>
      <c r="K285" s="394"/>
      <c r="L285" s="305"/>
      <c r="M285" s="305"/>
      <c r="N285" s="305"/>
      <c r="O285" s="305"/>
      <c r="P285" s="305"/>
      <c r="Q285" s="305"/>
      <c r="R285" s="305"/>
      <c r="S285" s="305"/>
      <c r="T285" s="305"/>
      <c r="U285" s="305"/>
    </row>
    <row r="286" spans="1:21" s="52" customFormat="1" ht="13.5" customHeight="1" thickBot="1">
      <c r="A286" s="427"/>
      <c r="B286" s="1762" t="s">
        <v>442</v>
      </c>
      <c r="C286" s="489"/>
      <c r="D286" s="1312"/>
      <c r="E286" s="489"/>
      <c r="F286" s="1312"/>
      <c r="G286" s="489"/>
      <c r="H286" s="1312"/>
      <c r="I286" s="1774">
        <f>+I284+I285</f>
        <v>338150</v>
      </c>
      <c r="J286" s="431"/>
      <c r="K286" s="394"/>
      <c r="L286" s="305"/>
      <c r="M286" s="305"/>
      <c r="N286" s="305"/>
      <c r="O286" s="305"/>
      <c r="P286" s="305"/>
      <c r="Q286" s="305"/>
      <c r="R286" s="305"/>
      <c r="S286" s="305"/>
      <c r="T286" s="305"/>
      <c r="U286" s="305"/>
    </row>
    <row r="287" spans="1:21" s="52" customFormat="1" ht="13.5" customHeight="1">
      <c r="A287" s="427"/>
      <c r="B287" s="391"/>
      <c r="C287" s="293"/>
      <c r="D287" s="293"/>
      <c r="E287" s="293"/>
      <c r="F287" s="293"/>
      <c r="G287" s="293"/>
      <c r="H287" s="293"/>
      <c r="I287" s="383"/>
      <c r="J287" s="431"/>
      <c r="K287" s="394"/>
      <c r="L287" s="305"/>
      <c r="M287" s="305"/>
      <c r="N287" s="305"/>
      <c r="O287" s="305"/>
      <c r="P287" s="305"/>
      <c r="Q287" s="305"/>
      <c r="R287" s="305"/>
      <c r="S287" s="305"/>
      <c r="T287" s="305"/>
      <c r="U287" s="305"/>
    </row>
    <row r="288" spans="1:21" s="52" customFormat="1" ht="13.5" customHeight="1">
      <c r="A288" s="427"/>
      <c r="B288" s="391"/>
      <c r="C288" s="293"/>
      <c r="D288" s="293"/>
      <c r="E288" s="293"/>
      <c r="F288" s="293"/>
      <c r="G288" s="293"/>
      <c r="H288" s="293"/>
      <c r="I288" s="383"/>
      <c r="J288" s="431"/>
      <c r="K288" s="394">
        <v>118</v>
      </c>
      <c r="L288" s="305"/>
      <c r="M288" s="305"/>
      <c r="N288" s="305"/>
      <c r="O288" s="305"/>
      <c r="P288" s="305"/>
      <c r="Q288" s="305"/>
      <c r="R288" s="305"/>
      <c r="S288" s="305"/>
      <c r="T288" s="305"/>
      <c r="U288" s="305"/>
    </row>
    <row r="289" spans="1:21" s="52" customFormat="1" ht="13.5" customHeight="1">
      <c r="A289" s="427"/>
      <c r="B289" s="455"/>
      <c r="C289" s="433"/>
      <c r="D289" s="433"/>
      <c r="E289" s="433"/>
      <c r="F289" s="433"/>
      <c r="G289" s="433"/>
      <c r="H289" s="433"/>
      <c r="I289" s="433"/>
      <c r="J289" s="431"/>
      <c r="K289" s="394"/>
      <c r="L289" s="305"/>
      <c r="M289" s="305"/>
      <c r="N289" s="305"/>
      <c r="O289" s="305"/>
      <c r="P289" s="305"/>
      <c r="Q289" s="305"/>
      <c r="R289" s="305"/>
      <c r="S289" s="305"/>
      <c r="T289" s="305"/>
      <c r="U289" s="305"/>
    </row>
    <row r="290" spans="1:21" s="52" customFormat="1" ht="13.5" customHeight="1">
      <c r="A290" s="427"/>
      <c r="B290" s="295" t="s">
        <v>444</v>
      </c>
      <c r="C290" s="295"/>
      <c r="D290" s="295"/>
      <c r="E290" s="433"/>
      <c r="F290" s="433"/>
      <c r="G290" s="433"/>
      <c r="H290" s="433"/>
      <c r="I290" s="433"/>
      <c r="J290" s="431"/>
      <c r="K290" s="394"/>
      <c r="L290" s="305"/>
      <c r="M290" s="305"/>
      <c r="N290" s="305"/>
      <c r="O290" s="305"/>
      <c r="P290" s="305"/>
      <c r="Q290" s="305"/>
      <c r="R290" s="305"/>
      <c r="S290" s="305"/>
      <c r="T290" s="305"/>
      <c r="U290" s="305"/>
    </row>
    <row r="291" spans="1:21" s="52" customFormat="1" ht="13.5" customHeight="1" thickBot="1">
      <c r="A291" s="427"/>
      <c r="B291" s="295"/>
      <c r="C291" s="295"/>
      <c r="D291" s="295"/>
      <c r="E291" s="433"/>
      <c r="F291" s="433"/>
      <c r="G291" s="433"/>
      <c r="H291" s="433"/>
      <c r="I291" s="433"/>
      <c r="J291" s="431"/>
      <c r="K291" s="394"/>
      <c r="L291" s="305"/>
      <c r="M291" s="305"/>
      <c r="N291" s="305"/>
      <c r="O291" s="305"/>
      <c r="P291" s="305"/>
      <c r="Q291" s="305"/>
      <c r="R291" s="305"/>
      <c r="S291" s="305"/>
      <c r="T291" s="305"/>
      <c r="U291" s="305"/>
    </row>
    <row r="292" spans="1:21" ht="13.5" customHeight="1">
      <c r="B292" s="1765" t="s">
        <v>108</v>
      </c>
      <c r="I292" s="535" t="s">
        <v>232</v>
      </c>
      <c r="J292" s="556"/>
      <c r="L292" s="305"/>
      <c r="M292" s="305"/>
      <c r="N292" s="305"/>
      <c r="O292" s="305"/>
      <c r="P292" s="305"/>
      <c r="Q292" s="305"/>
      <c r="R292" s="305"/>
      <c r="S292" s="305"/>
      <c r="T292" s="305"/>
      <c r="U292" s="305"/>
    </row>
    <row r="293" spans="1:21" s="52" customFormat="1" ht="13.5" customHeight="1">
      <c r="A293" s="414"/>
      <c r="B293" s="3518"/>
      <c r="C293" s="3609">
        <v>2021</v>
      </c>
      <c r="D293" s="3618"/>
      <c r="E293" s="3618"/>
      <c r="F293" s="3618"/>
      <c r="G293" s="3618"/>
      <c r="H293" s="3618"/>
      <c r="I293" s="3610"/>
      <c r="J293" s="434"/>
      <c r="K293" s="394"/>
      <c r="L293" s="305"/>
      <c r="M293" s="305"/>
      <c r="N293" s="305"/>
      <c r="O293" s="305"/>
      <c r="P293" s="305"/>
      <c r="Q293" s="305"/>
      <c r="R293" s="305"/>
      <c r="S293" s="305"/>
      <c r="T293" s="305"/>
      <c r="U293" s="305"/>
    </row>
    <row r="294" spans="1:21" s="52" customFormat="1" ht="13.5" customHeight="1">
      <c r="A294" s="415"/>
      <c r="B294" s="3587"/>
      <c r="C294" s="3607" t="s">
        <v>412</v>
      </c>
      <c r="D294" s="3620" t="s">
        <v>413</v>
      </c>
      <c r="E294" s="3609" t="s">
        <v>414</v>
      </c>
      <c r="F294" s="3610"/>
      <c r="G294" s="3611" t="s">
        <v>415</v>
      </c>
      <c r="H294" s="3637" t="s">
        <v>416</v>
      </c>
      <c r="I294" s="3607" t="s">
        <v>118</v>
      </c>
      <c r="J294" s="454"/>
      <c r="K294" s="3617"/>
      <c r="L294" s="305"/>
      <c r="M294" s="305"/>
      <c r="N294" s="305"/>
      <c r="O294" s="305"/>
      <c r="P294" s="305"/>
      <c r="Q294" s="305"/>
      <c r="R294" s="305"/>
      <c r="S294" s="305"/>
      <c r="T294" s="305"/>
      <c r="U294" s="305"/>
    </row>
    <row r="295" spans="1:21" s="52" customFormat="1" ht="13.5" customHeight="1" thickBot="1">
      <c r="A295" s="415"/>
      <c r="B295" s="3545"/>
      <c r="C295" s="3608"/>
      <c r="D295" s="3636"/>
      <c r="E295" s="1744" t="s">
        <v>418</v>
      </c>
      <c r="F295" s="1727" t="s">
        <v>419</v>
      </c>
      <c r="G295" s="3612"/>
      <c r="H295" s="3638"/>
      <c r="I295" s="3608"/>
      <c r="J295" s="454"/>
      <c r="K295" s="3617"/>
      <c r="L295" s="305"/>
      <c r="M295" s="305"/>
      <c r="N295" s="305"/>
      <c r="O295" s="305"/>
      <c r="P295" s="305"/>
      <c r="Q295" s="305"/>
      <c r="R295" s="305"/>
      <c r="S295" s="305"/>
      <c r="T295" s="305"/>
      <c r="U295" s="305"/>
    </row>
    <row r="296" spans="1:21" s="52" customFormat="1" ht="13.5" customHeight="1">
      <c r="A296" s="427"/>
      <c r="B296" s="1770" t="s">
        <v>333</v>
      </c>
      <c r="C296" s="2673">
        <v>1283530</v>
      </c>
      <c r="D296" s="2674">
        <v>47960</v>
      </c>
      <c r="E296" s="863">
        <v>16967</v>
      </c>
      <c r="F296" s="2674">
        <v>5719072</v>
      </c>
      <c r="G296" s="2673"/>
      <c r="H296" s="2674">
        <v>216952</v>
      </c>
      <c r="I296" s="2591">
        <f>SUM(C296:H296)</f>
        <v>7284481</v>
      </c>
      <c r="J296" s="410"/>
      <c r="K296" s="286"/>
      <c r="L296" s="305"/>
      <c r="M296" s="305"/>
      <c r="N296" s="305"/>
      <c r="O296" s="305"/>
      <c r="P296" s="305"/>
      <c r="Q296" s="305"/>
      <c r="R296" s="305"/>
      <c r="S296" s="305"/>
      <c r="T296" s="305"/>
      <c r="U296" s="305"/>
    </row>
    <row r="297" spans="1:21" s="52" customFormat="1" ht="13.5" customHeight="1">
      <c r="A297" s="427"/>
      <c r="B297" s="2616" t="s">
        <v>420</v>
      </c>
      <c r="C297" s="514">
        <v>839</v>
      </c>
      <c r="D297" s="850"/>
      <c r="E297" s="514"/>
      <c r="F297" s="850"/>
      <c r="G297" s="514"/>
      <c r="H297" s="850"/>
      <c r="I297" s="2591">
        <f t="shared" ref="I297:I299" si="51">SUM(C297:H297)</f>
        <v>839</v>
      </c>
      <c r="J297" s="410"/>
      <c r="K297" s="286"/>
      <c r="L297" s="305"/>
      <c r="M297" s="305"/>
      <c r="N297" s="305"/>
      <c r="O297" s="305"/>
      <c r="P297" s="305"/>
      <c r="Q297" s="305"/>
      <c r="R297" s="305"/>
      <c r="S297" s="305"/>
      <c r="T297" s="305"/>
      <c r="U297" s="305"/>
    </row>
    <row r="298" spans="1:21" s="52" customFormat="1" ht="13.5" customHeight="1">
      <c r="A298" s="427"/>
      <c r="B298" s="2616" t="s">
        <v>445</v>
      </c>
      <c r="C298" s="514">
        <v>-540603</v>
      </c>
      <c r="D298" s="850">
        <v>-455</v>
      </c>
      <c r="E298" s="514"/>
      <c r="F298" s="850">
        <v>-133016</v>
      </c>
      <c r="G298" s="514"/>
      <c r="H298" s="850">
        <v>-48595</v>
      </c>
      <c r="I298" s="2591">
        <f t="shared" si="51"/>
        <v>-722669</v>
      </c>
      <c r="J298" s="410"/>
      <c r="K298" s="286"/>
      <c r="L298" s="305"/>
      <c r="M298" s="305"/>
      <c r="N298" s="305"/>
      <c r="O298" s="305"/>
      <c r="P298" s="305"/>
      <c r="Q298" s="305"/>
      <c r="R298" s="305"/>
      <c r="S298" s="305"/>
      <c r="T298" s="305"/>
      <c r="U298" s="305"/>
    </row>
    <row r="299" spans="1:21" s="52" customFormat="1" ht="13.5" customHeight="1">
      <c r="A299" s="427"/>
      <c r="B299" s="2616" t="s">
        <v>422</v>
      </c>
      <c r="C299" s="856">
        <v>-300813</v>
      </c>
      <c r="D299" s="857">
        <v>-27650</v>
      </c>
      <c r="E299" s="856"/>
      <c r="F299" s="857">
        <v>-86705</v>
      </c>
      <c r="G299" s="856"/>
      <c r="H299" s="857">
        <v>-23314</v>
      </c>
      <c r="I299" s="2591">
        <f t="shared" si="51"/>
        <v>-438482</v>
      </c>
      <c r="J299" s="410"/>
      <c r="K299" s="394"/>
      <c r="L299" s="305"/>
      <c r="M299" s="305"/>
      <c r="N299" s="305"/>
      <c r="O299" s="305"/>
      <c r="P299" s="305"/>
      <c r="Q299" s="305"/>
      <c r="R299" s="305"/>
      <c r="S299" s="305"/>
      <c r="T299" s="305"/>
      <c r="U299" s="305"/>
    </row>
    <row r="300" spans="1:21" s="236" customFormat="1" ht="13.5" customHeight="1">
      <c r="A300" s="428"/>
      <c r="B300" s="2618" t="s">
        <v>423</v>
      </c>
      <c r="C300" s="2634">
        <f>SUM(C296:C299)</f>
        <v>442953</v>
      </c>
      <c r="D300" s="2633">
        <f t="shared" ref="D300:H300" si="52">SUM(D296:D299)</f>
        <v>19855</v>
      </c>
      <c r="E300" s="2634">
        <f t="shared" si="52"/>
        <v>16967</v>
      </c>
      <c r="F300" s="2633">
        <f t="shared" si="52"/>
        <v>5499351</v>
      </c>
      <c r="G300" s="2634">
        <f t="shared" si="52"/>
        <v>0</v>
      </c>
      <c r="H300" s="2633">
        <f t="shared" si="52"/>
        <v>145043</v>
      </c>
      <c r="I300" s="2599">
        <f>SUM(I296:I299)</f>
        <v>6124169</v>
      </c>
      <c r="J300" s="459"/>
      <c r="K300" s="463"/>
      <c r="L300" s="305"/>
      <c r="M300" s="305"/>
      <c r="N300" s="305"/>
      <c r="O300" s="305"/>
      <c r="P300" s="305"/>
      <c r="Q300" s="305"/>
      <c r="R300" s="305"/>
      <c r="S300" s="305"/>
      <c r="T300" s="305"/>
      <c r="U300" s="305"/>
    </row>
    <row r="301" spans="1:21" s="52" customFormat="1" ht="13.5" customHeight="1">
      <c r="A301" s="427"/>
      <c r="B301" s="2616" t="s">
        <v>424</v>
      </c>
      <c r="C301" s="2645">
        <v>-204005</v>
      </c>
      <c r="D301" s="2644">
        <v>-2127</v>
      </c>
      <c r="E301" s="2645"/>
      <c r="F301" s="2644">
        <v>-572108</v>
      </c>
      <c r="G301" s="2645"/>
      <c r="H301" s="2644">
        <v>-48577</v>
      </c>
      <c r="I301" s="2591">
        <f>SUM(C301:H301)</f>
        <v>-826817</v>
      </c>
      <c r="J301" s="410"/>
      <c r="K301" s="394"/>
      <c r="L301" s="305"/>
      <c r="M301" s="305"/>
      <c r="N301" s="305"/>
      <c r="O301" s="305"/>
      <c r="P301" s="305"/>
      <c r="Q301" s="305"/>
      <c r="R301" s="305"/>
      <c r="S301" s="305"/>
      <c r="T301" s="305"/>
      <c r="U301" s="305"/>
    </row>
    <row r="302" spans="1:21" s="236" customFormat="1" ht="13.5" customHeight="1">
      <c r="A302" s="428"/>
      <c r="B302" s="2618" t="s">
        <v>425</v>
      </c>
      <c r="C302" s="2634">
        <f>SUM(C300:C301)</f>
        <v>238948</v>
      </c>
      <c r="D302" s="2633">
        <f t="shared" ref="D302:I302" si="53">SUM(D300:D301)</f>
        <v>17728</v>
      </c>
      <c r="E302" s="2634">
        <f t="shared" si="53"/>
        <v>16967</v>
      </c>
      <c r="F302" s="2633">
        <f t="shared" si="53"/>
        <v>4927243</v>
      </c>
      <c r="G302" s="2634">
        <f t="shared" si="53"/>
        <v>0</v>
      </c>
      <c r="H302" s="2633">
        <f t="shared" si="53"/>
        <v>96466</v>
      </c>
      <c r="I302" s="2599">
        <f t="shared" si="53"/>
        <v>5297352</v>
      </c>
      <c r="J302" s="459"/>
      <c r="K302" s="463"/>
      <c r="L302" s="305"/>
      <c r="M302" s="305"/>
      <c r="N302" s="305"/>
      <c r="O302" s="305"/>
      <c r="P302" s="305"/>
      <c r="Q302" s="305"/>
      <c r="R302" s="305"/>
      <c r="S302" s="305"/>
      <c r="T302" s="305"/>
      <c r="U302" s="305"/>
    </row>
    <row r="303" spans="1:21" s="52" customFormat="1" ht="13.5" customHeight="1">
      <c r="A303" s="427"/>
      <c r="B303" s="2616"/>
      <c r="C303" s="2637"/>
      <c r="D303" s="2636"/>
      <c r="E303" s="2637"/>
      <c r="F303" s="2636"/>
      <c r="G303" s="2637"/>
      <c r="H303" s="2636"/>
      <c r="I303" s="2591">
        <v>0</v>
      </c>
      <c r="J303" s="410"/>
      <c r="K303" s="394"/>
      <c r="L303" s="305"/>
      <c r="M303" s="305"/>
      <c r="N303" s="305"/>
      <c r="O303" s="305"/>
      <c r="P303" s="305"/>
      <c r="Q303" s="305"/>
      <c r="R303" s="305"/>
      <c r="S303" s="305"/>
      <c r="T303" s="305"/>
      <c r="U303" s="305"/>
    </row>
    <row r="304" spans="1:21" s="52" customFormat="1" ht="13.5" customHeight="1">
      <c r="A304" s="427"/>
      <c r="B304" s="2618" t="s">
        <v>426</v>
      </c>
      <c r="C304" s="2639">
        <f>SUM(C305:C307)</f>
        <v>-199860</v>
      </c>
      <c r="D304" s="2638">
        <f t="shared" ref="D304:H304" si="54">SUM(D305:D307)</f>
        <v>-229</v>
      </c>
      <c r="E304" s="2639">
        <f t="shared" si="54"/>
        <v>-67790</v>
      </c>
      <c r="F304" s="2638">
        <f t="shared" si="54"/>
        <v>-2420697</v>
      </c>
      <c r="G304" s="2639">
        <f t="shared" si="54"/>
        <v>0</v>
      </c>
      <c r="H304" s="2638">
        <f t="shared" si="54"/>
        <v>-16244</v>
      </c>
      <c r="I304" s="2591">
        <f>SUM(C304:H304)</f>
        <v>-2704820</v>
      </c>
      <c r="J304" s="410"/>
      <c r="K304" s="415"/>
      <c r="L304" s="305"/>
      <c r="M304" s="305"/>
      <c r="N304" s="305"/>
      <c r="O304" s="305"/>
      <c r="P304" s="305"/>
      <c r="Q304" s="305"/>
      <c r="R304" s="305"/>
      <c r="S304" s="305"/>
      <c r="T304" s="305"/>
      <c r="U304" s="305"/>
    </row>
    <row r="305" spans="1:21" s="52" customFormat="1" ht="29.25" customHeight="1">
      <c r="A305" s="427"/>
      <c r="B305" s="2616" t="s">
        <v>427</v>
      </c>
      <c r="C305" s="2675">
        <v>-317121</v>
      </c>
      <c r="D305" s="2676">
        <v>-4531</v>
      </c>
      <c r="E305" s="2675">
        <v>-67790</v>
      </c>
      <c r="F305" s="2676">
        <v>-2240564</v>
      </c>
      <c r="G305" s="2675"/>
      <c r="H305" s="2676">
        <v>-37812</v>
      </c>
      <c r="I305" s="2591">
        <f>SUM(C305:H305)</f>
        <v>-2667818</v>
      </c>
      <c r="J305" s="410"/>
      <c r="K305" s="394"/>
      <c r="L305" s="305"/>
      <c r="M305" s="305"/>
      <c r="N305" s="305"/>
      <c r="O305" s="305"/>
      <c r="P305" s="305"/>
      <c r="Q305" s="305"/>
      <c r="R305" s="305"/>
      <c r="S305" s="305"/>
      <c r="T305" s="305"/>
      <c r="U305" s="305"/>
    </row>
    <row r="306" spans="1:21" s="52" customFormat="1" ht="29.25" customHeight="1">
      <c r="A306" s="427"/>
      <c r="B306" s="2616" t="s">
        <v>428</v>
      </c>
      <c r="C306" s="514">
        <v>117261</v>
      </c>
      <c r="D306" s="850">
        <v>4302</v>
      </c>
      <c r="E306" s="856"/>
      <c r="F306" s="850">
        <v>-180133</v>
      </c>
      <c r="G306" s="856"/>
      <c r="H306" s="850">
        <v>21568</v>
      </c>
      <c r="I306" s="2591">
        <f t="shared" ref="I306:I307" si="55">SUM(C306:H306)</f>
        <v>-37002</v>
      </c>
      <c r="J306" s="410"/>
      <c r="K306" s="394"/>
      <c r="L306" s="305"/>
      <c r="M306" s="305"/>
      <c r="N306" s="305"/>
      <c r="O306" s="305"/>
      <c r="P306" s="305"/>
      <c r="Q306" s="305"/>
      <c r="R306" s="305"/>
      <c r="S306" s="305"/>
      <c r="T306" s="305"/>
      <c r="U306" s="305"/>
    </row>
    <row r="307" spans="1:21" s="52" customFormat="1" ht="24" customHeight="1">
      <c r="A307" s="427"/>
      <c r="B307" s="2616" t="s">
        <v>429</v>
      </c>
      <c r="C307" s="2639"/>
      <c r="D307" s="2638"/>
      <c r="E307" s="2639"/>
      <c r="F307" s="2638"/>
      <c r="G307" s="2639"/>
      <c r="H307" s="2638"/>
      <c r="I307" s="2591">
        <f t="shared" si="55"/>
        <v>0</v>
      </c>
      <c r="J307" s="410"/>
      <c r="K307" s="394"/>
      <c r="L307" s="305"/>
      <c r="M307" s="305"/>
      <c r="N307" s="305"/>
      <c r="O307" s="305"/>
      <c r="P307" s="305"/>
      <c r="Q307" s="305"/>
      <c r="R307" s="305"/>
      <c r="S307" s="305"/>
      <c r="T307" s="305"/>
      <c r="U307" s="305"/>
    </row>
    <row r="308" spans="1:21" s="52" customFormat="1" ht="15.75" customHeight="1">
      <c r="A308" s="427"/>
      <c r="B308" s="2622" t="s">
        <v>430</v>
      </c>
      <c r="C308" s="2634">
        <f>+C302+C305+C306+C307</f>
        <v>39088</v>
      </c>
      <c r="D308" s="2633">
        <f t="shared" ref="D308:I308" si="56">+D302+D305+D306+D307</f>
        <v>17499</v>
      </c>
      <c r="E308" s="2634">
        <f t="shared" si="56"/>
        <v>-50823</v>
      </c>
      <c r="F308" s="2633">
        <f t="shared" si="56"/>
        <v>2506546</v>
      </c>
      <c r="G308" s="2634">
        <f t="shared" si="56"/>
        <v>0</v>
      </c>
      <c r="H308" s="2633">
        <f t="shared" si="56"/>
        <v>80222</v>
      </c>
      <c r="I308" s="2599">
        <f t="shared" si="56"/>
        <v>2592532</v>
      </c>
      <c r="J308" s="410"/>
      <c r="K308" s="288"/>
      <c r="L308" s="305"/>
      <c r="M308" s="305"/>
      <c r="N308" s="305"/>
      <c r="O308" s="305"/>
      <c r="P308" s="305"/>
      <c r="Q308" s="305"/>
      <c r="R308" s="305"/>
      <c r="S308" s="305"/>
      <c r="T308" s="305"/>
      <c r="U308" s="305"/>
    </row>
    <row r="309" spans="1:21" s="52" customFormat="1" ht="13.5" customHeight="1">
      <c r="A309" s="427"/>
      <c r="B309" s="2623"/>
      <c r="C309" s="2637"/>
      <c r="D309" s="2636"/>
      <c r="E309" s="2637"/>
      <c r="F309" s="2636"/>
      <c r="G309" s="2637"/>
      <c r="H309" s="2636"/>
      <c r="I309" s="2647"/>
      <c r="J309" s="410"/>
      <c r="K309" s="394"/>
      <c r="L309" s="305"/>
      <c r="M309" s="305"/>
      <c r="N309" s="305"/>
      <c r="O309" s="305"/>
      <c r="P309" s="305"/>
      <c r="Q309" s="305"/>
      <c r="R309" s="305"/>
      <c r="S309" s="305"/>
      <c r="T309" s="305"/>
      <c r="U309" s="305"/>
    </row>
    <row r="310" spans="1:21" s="52" customFormat="1" ht="13.5" customHeight="1">
      <c r="A310" s="427"/>
      <c r="B310" s="2618" t="s">
        <v>431</v>
      </c>
      <c r="C310" s="2624"/>
      <c r="D310" s="2625"/>
      <c r="E310" s="2624"/>
      <c r="F310" s="2625"/>
      <c r="G310" s="2624"/>
      <c r="H310" s="2625"/>
      <c r="I310" s="2647">
        <f>SUM(I311:I313)</f>
        <v>780393</v>
      </c>
      <c r="J310" s="410"/>
      <c r="K310" s="394"/>
      <c r="L310" s="305"/>
      <c r="M310" s="305"/>
      <c r="N310" s="305"/>
      <c r="O310" s="305"/>
      <c r="P310" s="305"/>
      <c r="Q310" s="305"/>
      <c r="R310" s="305"/>
      <c r="S310" s="305"/>
      <c r="T310" s="305"/>
      <c r="U310" s="305"/>
    </row>
    <row r="311" spans="1:21" s="52" customFormat="1" ht="13.5" customHeight="1">
      <c r="A311" s="427"/>
      <c r="B311" s="2616" t="s">
        <v>432</v>
      </c>
      <c r="C311" s="2624"/>
      <c r="D311" s="2625"/>
      <c r="E311" s="2624"/>
      <c r="F311" s="2625"/>
      <c r="G311" s="2624"/>
      <c r="H311" s="2625"/>
      <c r="I311" s="2670">
        <v>157511</v>
      </c>
      <c r="J311" s="410"/>
      <c r="K311" s="394"/>
      <c r="L311" s="305"/>
      <c r="M311" s="305"/>
      <c r="N311" s="305"/>
      <c r="O311" s="305"/>
      <c r="P311" s="305"/>
      <c r="Q311" s="305"/>
      <c r="R311" s="305"/>
      <c r="S311" s="305"/>
      <c r="T311" s="305"/>
      <c r="U311" s="305"/>
    </row>
    <row r="312" spans="1:21" s="52" customFormat="1" ht="13.5" customHeight="1">
      <c r="A312" s="427"/>
      <c r="B312" s="2616" t="s">
        <v>446</v>
      </c>
      <c r="C312" s="2624"/>
      <c r="D312" s="2625"/>
      <c r="E312" s="2624"/>
      <c r="F312" s="2625"/>
      <c r="G312" s="2624"/>
      <c r="H312" s="2625"/>
      <c r="I312" s="1782">
        <v>616812</v>
      </c>
      <c r="J312" s="410"/>
      <c r="K312" s="394"/>
      <c r="L312" s="305"/>
      <c r="M312" s="305"/>
      <c r="N312" s="305"/>
      <c r="O312" s="305"/>
      <c r="P312" s="305"/>
      <c r="Q312" s="305"/>
      <c r="R312" s="305"/>
      <c r="S312" s="305"/>
      <c r="T312" s="305"/>
      <c r="U312" s="305"/>
    </row>
    <row r="313" spans="1:21" s="52" customFormat="1" ht="13.5" customHeight="1">
      <c r="A313" s="427"/>
      <c r="B313" s="2616" t="s">
        <v>434</v>
      </c>
      <c r="C313" s="2624"/>
      <c r="D313" s="2625"/>
      <c r="E313" s="2624"/>
      <c r="F313" s="2625"/>
      <c r="G313" s="2624"/>
      <c r="H313" s="2625"/>
      <c r="I313" s="1781">
        <v>6070</v>
      </c>
      <c r="J313" s="410"/>
      <c r="K313" s="394"/>
      <c r="L313" s="305"/>
      <c r="M313" s="305"/>
      <c r="N313" s="305"/>
      <c r="O313" s="305"/>
      <c r="P313" s="305"/>
      <c r="Q313" s="305"/>
      <c r="R313" s="305"/>
      <c r="S313" s="305"/>
      <c r="T313" s="305"/>
      <c r="U313" s="305"/>
    </row>
    <row r="314" spans="1:21" s="52" customFormat="1" ht="13.5" customHeight="1">
      <c r="A314" s="427"/>
      <c r="B314" s="2616"/>
      <c r="C314" s="2624"/>
      <c r="D314" s="2625"/>
      <c r="E314" s="2624"/>
      <c r="F314" s="2625"/>
      <c r="G314" s="2624"/>
      <c r="H314" s="2625"/>
      <c r="I314" s="2591"/>
      <c r="J314" s="410"/>
      <c r="K314" s="394"/>
      <c r="L314" s="305"/>
      <c r="M314" s="305"/>
      <c r="N314" s="305"/>
      <c r="O314" s="305"/>
      <c r="P314" s="305"/>
      <c r="Q314" s="305"/>
      <c r="R314" s="305"/>
      <c r="S314" s="305"/>
      <c r="T314" s="305"/>
      <c r="U314" s="305"/>
    </row>
    <row r="315" spans="1:21" s="52" customFormat="1" ht="13.5" customHeight="1">
      <c r="A315" s="427"/>
      <c r="B315" s="2618" t="s">
        <v>435</v>
      </c>
      <c r="C315" s="2624"/>
      <c r="D315" s="2625"/>
      <c r="E315" s="2624"/>
      <c r="F315" s="2625"/>
      <c r="G315" s="2624"/>
      <c r="H315" s="2625"/>
      <c r="I315" s="2591">
        <f>SUM(I316:I317)</f>
        <v>-2071694</v>
      </c>
      <c r="J315" s="410"/>
      <c r="K315" s="394"/>
      <c r="L315" s="305"/>
      <c r="M315" s="305"/>
      <c r="N315" s="305"/>
      <c r="O315" s="305"/>
      <c r="P315" s="305"/>
      <c r="Q315" s="305"/>
      <c r="R315" s="305"/>
      <c r="S315" s="305"/>
      <c r="T315" s="305"/>
      <c r="U315" s="305"/>
    </row>
    <row r="316" spans="1:21" s="52" customFormat="1" ht="27.75" customHeight="1">
      <c r="A316" s="427"/>
      <c r="B316" s="2616" t="s">
        <v>436</v>
      </c>
      <c r="C316" s="2624"/>
      <c r="D316" s="2625"/>
      <c r="E316" s="2624"/>
      <c r="F316" s="2625"/>
      <c r="G316" s="2624"/>
      <c r="H316" s="2625"/>
      <c r="I316" s="2670">
        <v>-2071694</v>
      </c>
      <c r="J316" s="410"/>
      <c r="K316" s="394"/>
      <c r="L316" s="305"/>
      <c r="M316" s="305"/>
      <c r="N316" s="305"/>
      <c r="O316" s="305"/>
      <c r="P316" s="305"/>
      <c r="Q316" s="305"/>
      <c r="R316" s="305"/>
      <c r="S316" s="305"/>
      <c r="T316" s="305"/>
      <c r="U316" s="305"/>
    </row>
    <row r="317" spans="1:21" s="52" customFormat="1" ht="28.5" customHeight="1">
      <c r="A317" s="427"/>
      <c r="B317" s="2616" t="s">
        <v>437</v>
      </c>
      <c r="C317" s="2624"/>
      <c r="D317" s="2625"/>
      <c r="E317" s="2624"/>
      <c r="F317" s="2625"/>
      <c r="G317" s="2624"/>
      <c r="H317" s="2625"/>
      <c r="I317" s="2591"/>
      <c r="J317" s="410"/>
      <c r="K317" s="394"/>
      <c r="L317" s="305"/>
      <c r="M317" s="305"/>
      <c r="N317" s="305"/>
      <c r="O317" s="305"/>
      <c r="P317" s="305"/>
      <c r="Q317" s="305"/>
      <c r="R317" s="305"/>
      <c r="S317" s="305"/>
      <c r="T317" s="305"/>
      <c r="U317" s="305"/>
    </row>
    <row r="318" spans="1:21" s="52" customFormat="1" ht="13.5" customHeight="1">
      <c r="A318" s="427"/>
      <c r="B318" s="2618" t="s">
        <v>438</v>
      </c>
      <c r="C318" s="2624"/>
      <c r="D318" s="2625"/>
      <c r="E318" s="2624"/>
      <c r="F318" s="2625"/>
      <c r="G318" s="2624"/>
      <c r="H318" s="2625"/>
      <c r="I318" s="2647">
        <f>+I308+I310+I315</f>
        <v>1301231</v>
      </c>
      <c r="J318" s="410"/>
      <c r="K318" s="394"/>
      <c r="L318" s="305"/>
      <c r="M318" s="305"/>
      <c r="N318" s="305"/>
      <c r="O318" s="305"/>
      <c r="P318" s="305"/>
      <c r="Q318" s="305"/>
      <c r="R318" s="305"/>
      <c r="S318" s="305"/>
      <c r="T318" s="305"/>
      <c r="U318" s="305"/>
    </row>
    <row r="319" spans="1:21" s="52" customFormat="1" ht="13.5" customHeight="1">
      <c r="A319" s="427"/>
      <c r="B319" s="2616" t="s">
        <v>439</v>
      </c>
      <c r="C319" s="2624"/>
      <c r="D319" s="2625"/>
      <c r="E319" s="2624"/>
      <c r="F319" s="2625"/>
      <c r="G319" s="2624"/>
      <c r="H319" s="2625"/>
      <c r="I319" s="2670">
        <v>-29828</v>
      </c>
      <c r="J319" s="410"/>
      <c r="K319" s="394"/>
      <c r="L319" s="305"/>
      <c r="M319" s="305"/>
      <c r="N319" s="305"/>
      <c r="O319" s="305"/>
      <c r="P319" s="305"/>
      <c r="Q319" s="305"/>
      <c r="R319" s="305"/>
      <c r="S319" s="305"/>
      <c r="T319" s="305"/>
      <c r="U319" s="305"/>
    </row>
    <row r="320" spans="1:21" s="52" customFormat="1" ht="13.5" customHeight="1">
      <c r="A320" s="427"/>
      <c r="B320" s="2626" t="s">
        <v>440</v>
      </c>
      <c r="C320" s="2624"/>
      <c r="D320" s="2625"/>
      <c r="E320" s="2624"/>
      <c r="F320" s="2625"/>
      <c r="G320" s="2624"/>
      <c r="H320" s="2625"/>
      <c r="I320" s="2647">
        <f>SUM(I318:I319)</f>
        <v>1271403</v>
      </c>
      <c r="J320" s="410"/>
      <c r="K320" s="394"/>
      <c r="L320" s="305"/>
      <c r="M320" s="305"/>
      <c r="N320" s="305"/>
      <c r="O320" s="305"/>
      <c r="P320" s="305"/>
      <c r="Q320" s="305"/>
      <c r="R320" s="305"/>
      <c r="S320" s="305"/>
      <c r="T320" s="305"/>
      <c r="U320" s="305"/>
    </row>
    <row r="321" spans="1:21" s="52" customFormat="1" ht="13.5" customHeight="1">
      <c r="A321" s="427"/>
      <c r="B321" s="2627" t="s">
        <v>441</v>
      </c>
      <c r="C321" s="2624"/>
      <c r="D321" s="2625"/>
      <c r="E321" s="2624"/>
      <c r="F321" s="2625"/>
      <c r="G321" s="2624"/>
      <c r="H321" s="2625"/>
      <c r="I321" s="2670">
        <v>-176681</v>
      </c>
      <c r="J321" s="410"/>
      <c r="K321" s="394"/>
      <c r="L321" s="305"/>
      <c r="M321" s="305"/>
      <c r="N321" s="305"/>
      <c r="O321" s="305"/>
      <c r="P321" s="305"/>
      <c r="Q321" s="305"/>
      <c r="R321" s="305"/>
      <c r="S321" s="305"/>
      <c r="T321" s="305"/>
      <c r="U321" s="305"/>
    </row>
    <row r="322" spans="1:21" s="52" customFormat="1" ht="13.5" customHeight="1" thickBot="1">
      <c r="A322" s="427"/>
      <c r="B322" s="1762" t="s">
        <v>442</v>
      </c>
      <c r="C322" s="489"/>
      <c r="D322" s="1312"/>
      <c r="E322" s="489"/>
      <c r="F322" s="1312"/>
      <c r="G322" s="489"/>
      <c r="H322" s="1312"/>
      <c r="I322" s="1774">
        <f>SUM(I320:I321)</f>
        <v>1094722</v>
      </c>
      <c r="J322" s="410"/>
      <c r="K322" s="394"/>
      <c r="L322" s="305"/>
      <c r="M322" s="305"/>
      <c r="N322" s="305"/>
      <c r="O322" s="305"/>
      <c r="P322" s="305"/>
      <c r="Q322" s="305"/>
      <c r="R322" s="305"/>
      <c r="S322" s="305"/>
      <c r="T322" s="305"/>
      <c r="U322" s="305"/>
    </row>
    <row r="323" spans="1:21" s="52" customFormat="1" ht="13.5" customHeight="1">
      <c r="A323" s="427"/>
      <c r="B323" s="455"/>
      <c r="C323" s="433"/>
      <c r="D323" s="433"/>
      <c r="E323" s="433"/>
      <c r="F323" s="433"/>
      <c r="G323" s="433"/>
      <c r="H323" s="433"/>
      <c r="I323" s="410"/>
      <c r="J323" s="410"/>
      <c r="K323" s="394"/>
      <c r="L323" s="305"/>
      <c r="M323" s="305"/>
      <c r="N323" s="305"/>
      <c r="O323" s="305"/>
      <c r="P323" s="305"/>
      <c r="Q323" s="305"/>
      <c r="R323" s="305"/>
      <c r="S323" s="305"/>
      <c r="T323" s="305"/>
      <c r="U323" s="305"/>
    </row>
    <row r="324" spans="1:21" s="52" customFormat="1" ht="13.5" customHeight="1">
      <c r="A324" s="427"/>
      <c r="B324" s="455"/>
      <c r="C324" s="433"/>
      <c r="D324" s="433"/>
      <c r="E324" s="433"/>
      <c r="F324" s="433"/>
      <c r="G324" s="433"/>
      <c r="H324" s="433"/>
      <c r="I324" s="410"/>
      <c r="J324" s="410"/>
      <c r="K324" s="394">
        <v>119</v>
      </c>
      <c r="L324" s="305"/>
      <c r="M324" s="305"/>
      <c r="N324" s="305"/>
      <c r="O324" s="305"/>
      <c r="P324" s="305"/>
      <c r="Q324" s="305"/>
      <c r="R324" s="305"/>
      <c r="S324" s="305"/>
      <c r="T324" s="305"/>
      <c r="U324" s="305"/>
    </row>
    <row r="325" spans="1:21" s="52" customFormat="1" ht="13.5" customHeight="1">
      <c r="A325" s="427"/>
      <c r="B325" s="455"/>
      <c r="C325" s="433"/>
      <c r="D325" s="433"/>
      <c r="E325" s="433"/>
      <c r="F325" s="433"/>
      <c r="G325" s="433"/>
      <c r="H325" s="433"/>
      <c r="I325" s="410"/>
      <c r="J325" s="410"/>
      <c r="K325" s="394"/>
      <c r="L325" s="305"/>
      <c r="M325" s="305"/>
      <c r="N325" s="305"/>
      <c r="O325" s="305"/>
      <c r="P325" s="305"/>
      <c r="Q325" s="305"/>
      <c r="R325" s="305"/>
      <c r="S325" s="305"/>
      <c r="T325" s="305"/>
      <c r="U325" s="305"/>
    </row>
    <row r="326" spans="1:21" s="52" customFormat="1" ht="13.5" customHeight="1">
      <c r="A326" s="427"/>
      <c r="B326" s="295" t="s">
        <v>444</v>
      </c>
      <c r="C326" s="295"/>
      <c r="D326" s="295"/>
      <c r="E326" s="433"/>
      <c r="F326" s="433"/>
      <c r="G326" s="433"/>
      <c r="H326" s="433"/>
      <c r="I326" s="410"/>
      <c r="J326" s="410"/>
      <c r="K326" s="394"/>
      <c r="L326" s="305"/>
      <c r="M326" s="305"/>
      <c r="N326" s="305"/>
      <c r="O326" s="305"/>
      <c r="P326" s="305"/>
      <c r="Q326" s="305"/>
      <c r="R326" s="305"/>
      <c r="S326" s="305"/>
      <c r="T326" s="305"/>
      <c r="U326" s="305"/>
    </row>
    <row r="327" spans="1:21" s="52" customFormat="1" ht="13.5" customHeight="1" thickBot="1">
      <c r="A327" s="427"/>
      <c r="B327" s="218"/>
      <c r="C327" s="218"/>
      <c r="D327" s="218"/>
      <c r="E327" s="433"/>
      <c r="F327" s="433"/>
      <c r="G327" s="433"/>
      <c r="H327" s="433"/>
      <c r="I327" s="410"/>
      <c r="J327" s="410"/>
      <c r="K327" s="394"/>
      <c r="L327" s="305"/>
      <c r="M327" s="305"/>
      <c r="N327" s="305"/>
      <c r="O327" s="305"/>
      <c r="P327" s="305"/>
      <c r="Q327" s="305"/>
      <c r="R327" s="305"/>
      <c r="S327" s="305"/>
      <c r="T327" s="305"/>
      <c r="U327" s="305"/>
    </row>
    <row r="328" spans="1:21" ht="13.5" customHeight="1">
      <c r="B328" s="1765" t="s">
        <v>109</v>
      </c>
      <c r="I328" s="535" t="s">
        <v>232</v>
      </c>
      <c r="J328" s="556"/>
      <c r="L328" s="305"/>
      <c r="M328" s="305"/>
      <c r="N328" s="305"/>
      <c r="O328" s="305"/>
      <c r="P328" s="305"/>
      <c r="Q328" s="305"/>
      <c r="R328" s="305"/>
      <c r="S328" s="305"/>
      <c r="T328" s="305"/>
      <c r="U328" s="305"/>
    </row>
    <row r="329" spans="1:21" s="52" customFormat="1" ht="13.5" customHeight="1">
      <c r="A329" s="414"/>
      <c r="B329" s="3518"/>
      <c r="C329" s="3609">
        <v>2021</v>
      </c>
      <c r="D329" s="3618"/>
      <c r="E329" s="3618"/>
      <c r="F329" s="3618"/>
      <c r="G329" s="3618"/>
      <c r="H329" s="3618"/>
      <c r="I329" s="3610"/>
      <c r="J329" s="434"/>
      <c r="K329" s="394"/>
      <c r="L329" s="305"/>
      <c r="M329" s="305"/>
      <c r="N329" s="305"/>
      <c r="O329" s="305"/>
      <c r="P329" s="305"/>
      <c r="Q329" s="305"/>
      <c r="R329" s="305"/>
      <c r="S329" s="305"/>
      <c r="T329" s="305"/>
      <c r="U329" s="305"/>
    </row>
    <row r="330" spans="1:21" s="52" customFormat="1" ht="13.5" customHeight="1">
      <c r="A330" s="415"/>
      <c r="B330" s="3520"/>
      <c r="C330" s="3607" t="s">
        <v>412</v>
      </c>
      <c r="D330" s="3607" t="s">
        <v>413</v>
      </c>
      <c r="E330" s="3609" t="s">
        <v>414</v>
      </c>
      <c r="F330" s="3610"/>
      <c r="G330" s="3611" t="s">
        <v>415</v>
      </c>
      <c r="H330" s="3611" t="s">
        <v>416</v>
      </c>
      <c r="I330" s="3607" t="s">
        <v>118</v>
      </c>
      <c r="J330" s="454"/>
      <c r="K330" s="3617"/>
      <c r="L330" s="305"/>
      <c r="M330" s="305"/>
      <c r="N330" s="305"/>
      <c r="O330" s="305"/>
      <c r="P330" s="305"/>
      <c r="Q330" s="305"/>
      <c r="R330" s="305"/>
      <c r="S330" s="305"/>
      <c r="T330" s="305"/>
      <c r="U330" s="305"/>
    </row>
    <row r="331" spans="1:21" s="52" customFormat="1" ht="13.5" customHeight="1" thickBot="1">
      <c r="A331" s="415"/>
      <c r="B331" s="3519"/>
      <c r="C331" s="3608"/>
      <c r="D331" s="3608"/>
      <c r="E331" s="1744" t="s">
        <v>418</v>
      </c>
      <c r="F331" s="1744" t="s">
        <v>419</v>
      </c>
      <c r="G331" s="3612"/>
      <c r="H331" s="3612"/>
      <c r="I331" s="3608"/>
      <c r="J331" s="454"/>
      <c r="K331" s="3617"/>
      <c r="L331" s="305"/>
      <c r="M331" s="305"/>
      <c r="N331" s="305"/>
      <c r="O331" s="305"/>
      <c r="P331" s="305"/>
      <c r="Q331" s="305"/>
      <c r="R331" s="305"/>
      <c r="S331" s="305"/>
      <c r="T331" s="305"/>
      <c r="U331" s="305"/>
    </row>
    <row r="332" spans="1:21" s="52" customFormat="1" ht="13.5" customHeight="1">
      <c r="A332" s="427"/>
      <c r="B332" s="1770" t="s">
        <v>333</v>
      </c>
      <c r="C332" s="855">
        <v>32175</v>
      </c>
      <c r="D332" s="2644">
        <v>1017</v>
      </c>
      <c r="E332" s="855">
        <v>29894</v>
      </c>
      <c r="F332" s="2644">
        <v>298044</v>
      </c>
      <c r="G332" s="855">
        <v>9100</v>
      </c>
      <c r="H332" s="2644">
        <v>67006</v>
      </c>
      <c r="I332" s="1780">
        <f>SUM(C332:H332)</f>
        <v>437236</v>
      </c>
      <c r="J332" s="431"/>
      <c r="K332" s="286"/>
      <c r="L332" s="305"/>
      <c r="M332" s="305"/>
      <c r="N332" s="305"/>
      <c r="O332" s="305"/>
      <c r="P332" s="305"/>
      <c r="Q332" s="305"/>
      <c r="R332" s="305"/>
      <c r="S332" s="305"/>
      <c r="T332" s="305"/>
      <c r="U332" s="305"/>
    </row>
    <row r="333" spans="1:21" s="52" customFormat="1" ht="13.5" customHeight="1">
      <c r="A333" s="427"/>
      <c r="B333" s="2616" t="s">
        <v>420</v>
      </c>
      <c r="C333" s="856">
        <v>-4653</v>
      </c>
      <c r="D333" s="857">
        <v>-15</v>
      </c>
      <c r="E333" s="856"/>
      <c r="F333" s="857">
        <v>-165</v>
      </c>
      <c r="G333" s="856"/>
      <c r="H333" s="857">
        <v>-1262</v>
      </c>
      <c r="I333" s="2591">
        <f t="shared" ref="I333:I335" si="57">SUM(C333:H333)</f>
        <v>-6095</v>
      </c>
      <c r="J333" s="431"/>
      <c r="K333" s="286"/>
      <c r="L333" s="305"/>
      <c r="M333" s="305"/>
      <c r="N333" s="305"/>
      <c r="O333" s="305"/>
      <c r="P333" s="305"/>
      <c r="Q333" s="305"/>
      <c r="R333" s="305"/>
      <c r="S333" s="305"/>
      <c r="T333" s="305"/>
      <c r="U333" s="305"/>
    </row>
    <row r="334" spans="1:21" s="52" customFormat="1" ht="13.5" customHeight="1">
      <c r="A334" s="427"/>
      <c r="B334" s="2616" t="s">
        <v>445</v>
      </c>
      <c r="C334" s="856">
        <v>-15692</v>
      </c>
      <c r="D334" s="857"/>
      <c r="E334" s="856"/>
      <c r="F334" s="857"/>
      <c r="G334" s="856"/>
      <c r="H334" s="857">
        <v>-2379</v>
      </c>
      <c r="I334" s="2591">
        <f t="shared" si="57"/>
        <v>-18071</v>
      </c>
      <c r="J334" s="431"/>
      <c r="K334" s="286"/>
      <c r="L334" s="305"/>
      <c r="M334" s="305"/>
      <c r="N334" s="305"/>
      <c r="O334" s="305"/>
      <c r="P334" s="305"/>
      <c r="Q334" s="305"/>
      <c r="R334" s="305"/>
      <c r="S334" s="305"/>
      <c r="T334" s="305"/>
      <c r="U334" s="305"/>
    </row>
    <row r="335" spans="1:21" s="52" customFormat="1" ht="13.5" customHeight="1">
      <c r="A335" s="427"/>
      <c r="B335" s="2616" t="s">
        <v>422</v>
      </c>
      <c r="C335" s="856">
        <v>-9362</v>
      </c>
      <c r="D335" s="857">
        <v>-767</v>
      </c>
      <c r="E335" s="856">
        <v>-2857</v>
      </c>
      <c r="F335" s="857">
        <v>-34956</v>
      </c>
      <c r="G335" s="856"/>
      <c r="H335" s="857">
        <v>-54515</v>
      </c>
      <c r="I335" s="2591">
        <f t="shared" si="57"/>
        <v>-102457</v>
      </c>
      <c r="J335" s="431"/>
      <c r="K335" s="394"/>
      <c r="L335" s="305"/>
      <c r="M335" s="305"/>
      <c r="N335" s="305"/>
      <c r="O335" s="305"/>
      <c r="P335" s="305"/>
      <c r="Q335" s="305"/>
      <c r="R335" s="305"/>
      <c r="S335" s="305"/>
      <c r="T335" s="305"/>
      <c r="U335" s="305"/>
    </row>
    <row r="336" spans="1:21" s="236" customFormat="1" ht="13.5" customHeight="1">
      <c r="A336" s="428"/>
      <c r="B336" s="2618" t="s">
        <v>423</v>
      </c>
      <c r="C336" s="2634">
        <f>SUM(C332:C335)</f>
        <v>2468</v>
      </c>
      <c r="D336" s="2633">
        <f t="shared" ref="D336:I336" si="58">SUM(D332:D335)</f>
        <v>235</v>
      </c>
      <c r="E336" s="2634">
        <f t="shared" si="58"/>
        <v>27037</v>
      </c>
      <c r="F336" s="2633">
        <f t="shared" si="58"/>
        <v>262923</v>
      </c>
      <c r="G336" s="2634">
        <f t="shared" si="58"/>
        <v>9100</v>
      </c>
      <c r="H336" s="2633">
        <f t="shared" si="58"/>
        <v>8850</v>
      </c>
      <c r="I336" s="2599">
        <f t="shared" si="58"/>
        <v>310613</v>
      </c>
      <c r="J336" s="431"/>
      <c r="K336" s="463"/>
      <c r="L336" s="305"/>
      <c r="M336" s="305"/>
      <c r="N336" s="305"/>
      <c r="O336" s="305"/>
      <c r="P336" s="305"/>
      <c r="Q336" s="305"/>
      <c r="R336" s="305"/>
      <c r="S336" s="305"/>
      <c r="T336" s="305"/>
      <c r="U336" s="305"/>
    </row>
    <row r="337" spans="1:21" s="52" customFormat="1" ht="13.5" customHeight="1">
      <c r="A337" s="427"/>
      <c r="B337" s="2616" t="s">
        <v>424</v>
      </c>
      <c r="C337" s="2645">
        <v>-1166</v>
      </c>
      <c r="D337" s="2644">
        <v>2</v>
      </c>
      <c r="E337" s="2645">
        <v>-5752</v>
      </c>
      <c r="F337" s="2644">
        <v>-22606</v>
      </c>
      <c r="G337" s="2645">
        <v>1568</v>
      </c>
      <c r="H337" s="2644">
        <v>-3775</v>
      </c>
      <c r="I337" s="2591">
        <f>SUM(C337:H337)</f>
        <v>-31729</v>
      </c>
      <c r="J337" s="431"/>
      <c r="K337" s="394"/>
      <c r="L337" s="305"/>
      <c r="M337" s="305"/>
      <c r="N337" s="305"/>
      <c r="O337" s="305"/>
      <c r="P337" s="305"/>
      <c r="Q337" s="305"/>
      <c r="R337" s="305"/>
      <c r="S337" s="305"/>
      <c r="T337" s="305"/>
      <c r="U337" s="305"/>
    </row>
    <row r="338" spans="1:21" s="236" customFormat="1" ht="13.5" customHeight="1">
      <c r="A338" s="428"/>
      <c r="B338" s="2618" t="s">
        <v>425</v>
      </c>
      <c r="C338" s="2634">
        <f>SUM(C336:C337)</f>
        <v>1302</v>
      </c>
      <c r="D338" s="2633">
        <f t="shared" ref="D338:I338" si="59">SUM(D336:D337)</f>
        <v>237</v>
      </c>
      <c r="E338" s="2634">
        <f t="shared" si="59"/>
        <v>21285</v>
      </c>
      <c r="F338" s="2633">
        <f t="shared" si="59"/>
        <v>240317</v>
      </c>
      <c r="G338" s="2634">
        <f t="shared" si="59"/>
        <v>10668</v>
      </c>
      <c r="H338" s="2633">
        <f t="shared" si="59"/>
        <v>5075</v>
      </c>
      <c r="I338" s="2599">
        <f t="shared" si="59"/>
        <v>278884</v>
      </c>
      <c r="J338" s="431"/>
      <c r="K338" s="463"/>
      <c r="L338" s="305"/>
      <c r="M338" s="305"/>
      <c r="N338" s="305"/>
      <c r="O338" s="305"/>
      <c r="P338" s="305"/>
      <c r="Q338" s="305"/>
      <c r="R338" s="305"/>
      <c r="S338" s="305"/>
      <c r="T338" s="305"/>
      <c r="U338" s="305"/>
    </row>
    <row r="339" spans="1:21" s="52" customFormat="1" ht="13.5" customHeight="1">
      <c r="A339" s="427"/>
      <c r="B339" s="2616"/>
      <c r="C339" s="2637"/>
      <c r="D339" s="2636"/>
      <c r="E339" s="2637"/>
      <c r="F339" s="2636"/>
      <c r="G339" s="2637"/>
      <c r="H339" s="2636"/>
      <c r="I339" s="2591"/>
      <c r="J339" s="431"/>
      <c r="K339" s="394"/>
      <c r="L339" s="305"/>
      <c r="M339" s="305"/>
      <c r="N339" s="305"/>
      <c r="O339" s="305"/>
      <c r="P339" s="305"/>
      <c r="Q339" s="305"/>
      <c r="R339" s="305"/>
      <c r="S339" s="305"/>
      <c r="T339" s="305"/>
      <c r="U339" s="305"/>
    </row>
    <row r="340" spans="1:21" s="52" customFormat="1" ht="13.5" customHeight="1">
      <c r="A340" s="427"/>
      <c r="B340" s="2618" t="s">
        <v>426</v>
      </c>
      <c r="C340" s="2639">
        <f>SUM(C341:C343)</f>
        <v>-3390</v>
      </c>
      <c r="D340" s="2638">
        <f t="shared" ref="D340:H340" si="60">SUM(D341:D343)</f>
        <v>-42</v>
      </c>
      <c r="E340" s="2639">
        <f t="shared" si="60"/>
        <v>-4327</v>
      </c>
      <c r="F340" s="2638">
        <f t="shared" si="60"/>
        <v>-162079</v>
      </c>
      <c r="G340" s="2639">
        <f t="shared" si="60"/>
        <v>-275</v>
      </c>
      <c r="H340" s="2638">
        <f t="shared" si="60"/>
        <v>-26947</v>
      </c>
      <c r="I340" s="2264">
        <f>SUM(I341:I343)</f>
        <v>-197060</v>
      </c>
      <c r="J340" s="431"/>
      <c r="K340" s="415"/>
      <c r="L340" s="305"/>
      <c r="M340" s="305"/>
      <c r="N340" s="305"/>
      <c r="O340" s="305"/>
      <c r="P340" s="305"/>
      <c r="Q340" s="305"/>
      <c r="R340" s="305"/>
      <c r="S340" s="305"/>
      <c r="T340" s="305"/>
      <c r="U340" s="305"/>
    </row>
    <row r="341" spans="1:21" s="52" customFormat="1" ht="28.5" customHeight="1">
      <c r="A341" s="427"/>
      <c r="B341" s="2616" t="s">
        <v>427</v>
      </c>
      <c r="C341" s="2645">
        <v>-469</v>
      </c>
      <c r="D341" s="2644">
        <v>-29</v>
      </c>
      <c r="E341" s="2645"/>
      <c r="F341" s="2644">
        <v>-149615</v>
      </c>
      <c r="G341" s="2645"/>
      <c r="H341" s="2644">
        <v>-18732</v>
      </c>
      <c r="I341" s="2591">
        <f>SUM(C341:H341)</f>
        <v>-168845</v>
      </c>
      <c r="J341" s="431"/>
      <c r="K341" s="394"/>
      <c r="L341" s="305"/>
      <c r="M341" s="305"/>
      <c r="N341" s="305"/>
      <c r="O341" s="305"/>
      <c r="P341" s="305"/>
      <c r="Q341" s="305"/>
      <c r="R341" s="305"/>
      <c r="S341" s="305"/>
      <c r="T341" s="305"/>
      <c r="U341" s="305"/>
    </row>
    <row r="342" spans="1:21" s="52" customFormat="1" ht="27.75" customHeight="1">
      <c r="A342" s="427"/>
      <c r="B342" s="2616" t="s">
        <v>428</v>
      </c>
      <c r="C342" s="856">
        <v>-2814</v>
      </c>
      <c r="D342" s="857">
        <v>-12</v>
      </c>
      <c r="E342" s="856">
        <v>-4327</v>
      </c>
      <c r="F342" s="857">
        <v>-4951</v>
      </c>
      <c r="G342" s="856">
        <v>-275</v>
      </c>
      <c r="H342" s="857">
        <v>-6900</v>
      </c>
      <c r="I342" s="2591">
        <f t="shared" ref="I342:I343" si="61">SUM(C342:H342)</f>
        <v>-19279</v>
      </c>
      <c r="J342" s="431"/>
      <c r="K342" s="394"/>
      <c r="L342" s="305"/>
      <c r="M342" s="305"/>
      <c r="N342" s="305"/>
      <c r="O342" s="305"/>
      <c r="P342" s="305"/>
      <c r="Q342" s="305"/>
      <c r="R342" s="305"/>
      <c r="S342" s="305"/>
      <c r="T342" s="305"/>
      <c r="U342" s="305"/>
    </row>
    <row r="343" spans="1:21" s="52" customFormat="1" ht="27.75" customHeight="1">
      <c r="A343" s="427"/>
      <c r="B343" s="2616" t="s">
        <v>429</v>
      </c>
      <c r="C343" s="856">
        <v>-107</v>
      </c>
      <c r="D343" s="857">
        <v>-1</v>
      </c>
      <c r="E343" s="856"/>
      <c r="F343" s="857">
        <v>-7513</v>
      </c>
      <c r="G343" s="856"/>
      <c r="H343" s="857">
        <v>-1315</v>
      </c>
      <c r="I343" s="2591">
        <f t="shared" si="61"/>
        <v>-8936</v>
      </c>
      <c r="J343" s="431"/>
      <c r="K343" s="394"/>
      <c r="L343" s="305"/>
      <c r="M343" s="305"/>
      <c r="N343" s="305"/>
      <c r="O343" s="305"/>
      <c r="P343" s="305"/>
      <c r="Q343" s="305"/>
      <c r="R343" s="305"/>
      <c r="S343" s="305"/>
      <c r="T343" s="305"/>
      <c r="U343" s="305"/>
    </row>
    <row r="344" spans="1:21" s="236" customFormat="1" ht="13.5" customHeight="1">
      <c r="A344" s="428"/>
      <c r="B344" s="2622" t="s">
        <v>430</v>
      </c>
      <c r="C344" s="2634">
        <f>+C338+C341+C342+C343</f>
        <v>-2088</v>
      </c>
      <c r="D344" s="2633">
        <f t="shared" ref="D344:I344" si="62">+D338+D341+D342+D343</f>
        <v>195</v>
      </c>
      <c r="E344" s="2634">
        <f t="shared" si="62"/>
        <v>16958</v>
      </c>
      <c r="F344" s="2633">
        <f t="shared" si="62"/>
        <v>78238</v>
      </c>
      <c r="G344" s="2634">
        <f t="shared" si="62"/>
        <v>10393</v>
      </c>
      <c r="H344" s="2633">
        <f t="shared" si="62"/>
        <v>-21872</v>
      </c>
      <c r="I344" s="2599">
        <f t="shared" si="62"/>
        <v>81824</v>
      </c>
      <c r="J344" s="431"/>
      <c r="K344" s="288"/>
      <c r="L344" s="305"/>
      <c r="M344" s="305"/>
      <c r="N344" s="305"/>
      <c r="O344" s="305"/>
      <c r="P344" s="305"/>
      <c r="Q344" s="305"/>
      <c r="R344" s="305"/>
      <c r="S344" s="305"/>
      <c r="T344" s="305"/>
      <c r="U344" s="305"/>
    </row>
    <row r="345" spans="1:21" s="422" customFormat="1" ht="13.5" customHeight="1">
      <c r="A345" s="435"/>
      <c r="B345" s="2623"/>
      <c r="C345" s="2637"/>
      <c r="D345" s="2636"/>
      <c r="E345" s="2637"/>
      <c r="F345" s="2636"/>
      <c r="G345" s="2637"/>
      <c r="H345" s="2636"/>
      <c r="I345" s="2647"/>
      <c r="J345" s="436"/>
      <c r="K345" s="463"/>
      <c r="L345" s="305"/>
      <c r="M345" s="305"/>
      <c r="N345" s="305"/>
      <c r="O345" s="305"/>
      <c r="P345" s="305"/>
      <c r="Q345" s="305"/>
      <c r="R345" s="305"/>
      <c r="S345" s="305"/>
      <c r="T345" s="305"/>
      <c r="U345" s="305"/>
    </row>
    <row r="346" spans="1:21" s="422" customFormat="1" ht="13.5" customHeight="1">
      <c r="A346" s="435"/>
      <c r="B346" s="2618" t="s">
        <v>431</v>
      </c>
      <c r="C346" s="2624"/>
      <c r="D346" s="2625"/>
      <c r="E346" s="2624"/>
      <c r="F346" s="2625"/>
      <c r="G346" s="2624"/>
      <c r="H346" s="2625"/>
      <c r="I346" s="2647">
        <f>SUM(I347:I349)</f>
        <v>110085</v>
      </c>
      <c r="J346" s="436"/>
      <c r="K346" s="463"/>
      <c r="L346" s="305"/>
      <c r="M346" s="305"/>
      <c r="N346" s="305"/>
      <c r="O346" s="305"/>
      <c r="P346" s="305"/>
      <c r="Q346" s="305"/>
      <c r="R346" s="305"/>
      <c r="S346" s="305"/>
      <c r="T346" s="305"/>
      <c r="U346" s="305"/>
    </row>
    <row r="347" spans="1:21" s="52" customFormat="1" ht="13.5" customHeight="1">
      <c r="A347" s="427"/>
      <c r="B347" s="2616" t="s">
        <v>432</v>
      </c>
      <c r="C347" s="2624"/>
      <c r="D347" s="2625"/>
      <c r="E347" s="2624"/>
      <c r="F347" s="2625"/>
      <c r="G347" s="2624"/>
      <c r="H347" s="2625"/>
      <c r="I347" s="2670">
        <v>37910</v>
      </c>
      <c r="J347" s="436"/>
      <c r="K347" s="394"/>
      <c r="L347" s="305"/>
      <c r="M347" s="305"/>
      <c r="N347" s="305"/>
      <c r="O347" s="305"/>
      <c r="P347" s="305"/>
      <c r="Q347" s="305"/>
      <c r="R347" s="305"/>
      <c r="S347" s="305"/>
      <c r="T347" s="305"/>
      <c r="U347" s="305"/>
    </row>
    <row r="348" spans="1:21" s="52" customFormat="1" ht="13.5" customHeight="1">
      <c r="A348" s="427"/>
      <c r="B348" s="2616" t="s">
        <v>446</v>
      </c>
      <c r="C348" s="2624"/>
      <c r="D348" s="2625"/>
      <c r="E348" s="2624"/>
      <c r="F348" s="2625"/>
      <c r="G348" s="2624"/>
      <c r="H348" s="2625"/>
      <c r="I348" s="1781">
        <v>66705</v>
      </c>
      <c r="J348" s="436"/>
      <c r="K348" s="394"/>
      <c r="L348" s="305"/>
      <c r="M348" s="305"/>
      <c r="N348" s="305"/>
      <c r="O348" s="305"/>
      <c r="P348" s="305"/>
      <c r="Q348" s="305"/>
      <c r="R348" s="305"/>
      <c r="S348" s="305"/>
      <c r="T348" s="305"/>
      <c r="U348" s="305"/>
    </row>
    <row r="349" spans="1:21" s="52" customFormat="1" ht="13.5" customHeight="1">
      <c r="A349" s="427"/>
      <c r="B349" s="2616" t="s">
        <v>434</v>
      </c>
      <c r="C349" s="2624"/>
      <c r="D349" s="2625"/>
      <c r="E349" s="2624"/>
      <c r="F349" s="2625"/>
      <c r="G349" s="2624"/>
      <c r="H349" s="2625"/>
      <c r="I349" s="1781">
        <v>5470</v>
      </c>
      <c r="J349" s="436"/>
      <c r="K349" s="394"/>
      <c r="L349" s="305"/>
      <c r="M349" s="305"/>
      <c r="N349" s="305"/>
      <c r="O349" s="305"/>
      <c r="P349" s="305"/>
      <c r="Q349" s="305"/>
      <c r="R349" s="305"/>
      <c r="S349" s="305"/>
      <c r="T349" s="305"/>
      <c r="U349" s="305"/>
    </row>
    <row r="350" spans="1:21" s="52" customFormat="1" ht="13.5" customHeight="1">
      <c r="A350" s="427"/>
      <c r="B350" s="2616"/>
      <c r="C350" s="2624"/>
      <c r="D350" s="2625"/>
      <c r="E350" s="2624"/>
      <c r="F350" s="2625"/>
      <c r="G350" s="2624"/>
      <c r="H350" s="2625"/>
      <c r="I350" s="2591"/>
      <c r="J350" s="436"/>
      <c r="K350" s="394"/>
      <c r="L350" s="305"/>
      <c r="M350" s="305"/>
      <c r="N350" s="305"/>
      <c r="O350" s="305"/>
      <c r="P350" s="305"/>
      <c r="Q350" s="305"/>
      <c r="R350" s="305"/>
      <c r="S350" s="305"/>
      <c r="T350" s="305"/>
      <c r="U350" s="305"/>
    </row>
    <row r="351" spans="1:21" s="52" customFormat="1" ht="13.5" customHeight="1">
      <c r="A351" s="427"/>
      <c r="B351" s="2618" t="s">
        <v>435</v>
      </c>
      <c r="C351" s="2624"/>
      <c r="D351" s="2625"/>
      <c r="E351" s="2624"/>
      <c r="F351" s="2625"/>
      <c r="G351" s="2624"/>
      <c r="H351" s="2625"/>
      <c r="I351" s="2591">
        <f>SUM(I352:I353)</f>
        <v>-232051</v>
      </c>
      <c r="J351" s="436"/>
      <c r="K351" s="394"/>
      <c r="L351" s="305"/>
      <c r="M351" s="305"/>
      <c r="N351" s="305"/>
      <c r="O351" s="305"/>
      <c r="P351" s="305"/>
      <c r="Q351" s="305"/>
      <c r="R351" s="305"/>
      <c r="S351" s="305"/>
      <c r="T351" s="305"/>
      <c r="U351" s="305"/>
    </row>
    <row r="352" spans="1:21" s="52" customFormat="1" ht="26.25" customHeight="1">
      <c r="A352" s="427"/>
      <c r="B352" s="2616" t="s">
        <v>436</v>
      </c>
      <c r="C352" s="2624"/>
      <c r="D352" s="2625"/>
      <c r="E352" s="2624"/>
      <c r="F352" s="2625"/>
      <c r="G352" s="2624"/>
      <c r="H352" s="2625"/>
      <c r="I352" s="2670">
        <v>-232051</v>
      </c>
      <c r="J352" s="436"/>
      <c r="K352" s="394"/>
      <c r="L352" s="305"/>
      <c r="M352" s="305"/>
      <c r="N352" s="305"/>
      <c r="O352" s="305"/>
      <c r="P352" s="305"/>
      <c r="Q352" s="305"/>
      <c r="R352" s="305"/>
      <c r="S352" s="305"/>
      <c r="T352" s="305"/>
      <c r="U352" s="305"/>
    </row>
    <row r="353" spans="1:21" s="52" customFormat="1" ht="27" customHeight="1">
      <c r="A353" s="427"/>
      <c r="B353" s="2616" t="s">
        <v>437</v>
      </c>
      <c r="C353" s="2624"/>
      <c r="D353" s="2625"/>
      <c r="E353" s="2624"/>
      <c r="F353" s="2625"/>
      <c r="G353" s="2624"/>
      <c r="H353" s="2625"/>
      <c r="I353" s="2591"/>
      <c r="J353" s="436"/>
      <c r="K353" s="394"/>
      <c r="L353" s="305"/>
      <c r="M353" s="305"/>
      <c r="N353" s="305"/>
      <c r="O353" s="305"/>
      <c r="P353" s="305"/>
      <c r="Q353" s="305"/>
      <c r="R353" s="305"/>
      <c r="S353" s="305"/>
      <c r="T353" s="305"/>
      <c r="U353" s="305"/>
    </row>
    <row r="354" spans="1:21" s="52" customFormat="1" ht="13.5" customHeight="1">
      <c r="A354" s="427"/>
      <c r="B354" s="2618" t="s">
        <v>438</v>
      </c>
      <c r="C354" s="2624"/>
      <c r="D354" s="2625"/>
      <c r="E354" s="2624"/>
      <c r="F354" s="2625"/>
      <c r="G354" s="2624"/>
      <c r="H354" s="2625"/>
      <c r="I354" s="2647">
        <f>+I344+I346+I351</f>
        <v>-40142</v>
      </c>
      <c r="J354" s="436"/>
      <c r="K354" s="394"/>
      <c r="L354" s="305"/>
      <c r="M354" s="305"/>
      <c r="N354" s="305"/>
      <c r="O354" s="305"/>
      <c r="P354" s="305"/>
      <c r="Q354" s="305"/>
      <c r="R354" s="305"/>
      <c r="S354" s="305"/>
      <c r="T354" s="305"/>
      <c r="U354" s="305"/>
    </row>
    <row r="355" spans="1:21" s="52" customFormat="1" ht="13.5" customHeight="1">
      <c r="A355" s="427"/>
      <c r="B355" s="2616" t="s">
        <v>439</v>
      </c>
      <c r="C355" s="2624"/>
      <c r="D355" s="2625"/>
      <c r="E355" s="2624"/>
      <c r="F355" s="2625"/>
      <c r="G355" s="2624"/>
      <c r="H355" s="2625"/>
      <c r="I355" s="2670">
        <v>-47217</v>
      </c>
      <c r="J355" s="436"/>
      <c r="K355" s="394"/>
      <c r="L355" s="305"/>
      <c r="M355" s="305"/>
      <c r="N355" s="305"/>
      <c r="O355" s="305"/>
      <c r="P355" s="305"/>
      <c r="Q355" s="305"/>
      <c r="R355" s="305"/>
      <c r="S355" s="305"/>
      <c r="T355" s="305"/>
      <c r="U355" s="305"/>
    </row>
    <row r="356" spans="1:21" s="52" customFormat="1" ht="13.5" customHeight="1">
      <c r="A356" s="427"/>
      <c r="B356" s="2626" t="s">
        <v>440</v>
      </c>
      <c r="C356" s="2624"/>
      <c r="D356" s="2625"/>
      <c r="E356" s="2624"/>
      <c r="F356" s="2625"/>
      <c r="G356" s="2624"/>
      <c r="H356" s="2625"/>
      <c r="I356" s="2647">
        <f>+I354+I355</f>
        <v>-87359</v>
      </c>
      <c r="J356" s="436"/>
      <c r="K356" s="394"/>
      <c r="L356" s="305"/>
      <c r="M356" s="305"/>
      <c r="N356" s="305"/>
      <c r="O356" s="305"/>
      <c r="P356" s="305"/>
      <c r="Q356" s="305"/>
      <c r="R356" s="305"/>
      <c r="S356" s="305"/>
      <c r="T356" s="305"/>
      <c r="U356" s="305"/>
    </row>
    <row r="357" spans="1:21" s="52" customFormat="1" ht="13.5" customHeight="1">
      <c r="A357" s="427"/>
      <c r="B357" s="2627" t="s">
        <v>441</v>
      </c>
      <c r="C357" s="2624"/>
      <c r="D357" s="2625"/>
      <c r="E357" s="2624"/>
      <c r="F357" s="2625"/>
      <c r="G357" s="2624"/>
      <c r="H357" s="2625"/>
      <c r="I357" s="2591">
        <v>0</v>
      </c>
      <c r="J357" s="436"/>
      <c r="K357" s="394"/>
      <c r="L357" s="305"/>
      <c r="M357" s="305"/>
      <c r="N357" s="305"/>
      <c r="O357" s="305"/>
      <c r="P357" s="305"/>
      <c r="Q357" s="305"/>
      <c r="R357" s="305"/>
      <c r="S357" s="305"/>
      <c r="T357" s="305"/>
      <c r="U357" s="305"/>
    </row>
    <row r="358" spans="1:21" s="52" customFormat="1" ht="13.5" customHeight="1" thickBot="1">
      <c r="A358" s="427"/>
      <c r="B358" s="1762" t="s">
        <v>442</v>
      </c>
      <c r="C358" s="489"/>
      <c r="D358" s="1312"/>
      <c r="E358" s="489"/>
      <c r="F358" s="1312"/>
      <c r="G358" s="489"/>
      <c r="H358" s="1312"/>
      <c r="I358" s="1774">
        <f>SUM(I356:I357)</f>
        <v>-87359</v>
      </c>
      <c r="J358" s="436"/>
      <c r="K358" s="394"/>
      <c r="L358" s="305"/>
      <c r="M358" s="305"/>
      <c r="N358" s="305"/>
      <c r="O358" s="305"/>
      <c r="P358" s="305"/>
      <c r="Q358" s="305"/>
      <c r="R358" s="305"/>
      <c r="S358" s="305"/>
      <c r="T358" s="305"/>
      <c r="U358" s="305"/>
    </row>
    <row r="359" spans="1:21" s="52" customFormat="1" ht="13.5" customHeight="1">
      <c r="A359" s="427"/>
      <c r="B359" s="455"/>
      <c r="C359" s="433"/>
      <c r="D359" s="433"/>
      <c r="E359" s="433"/>
      <c r="F359" s="433"/>
      <c r="G359" s="433"/>
      <c r="H359" s="433"/>
      <c r="I359" s="433"/>
      <c r="J359" s="431"/>
      <c r="K359" s="394"/>
      <c r="L359" s="305"/>
      <c r="M359" s="305"/>
      <c r="N359" s="305"/>
      <c r="O359" s="305"/>
      <c r="P359" s="305"/>
      <c r="Q359" s="305"/>
      <c r="R359" s="305"/>
      <c r="S359" s="305"/>
      <c r="T359" s="305"/>
      <c r="U359" s="305"/>
    </row>
    <row r="360" spans="1:21" s="52" customFormat="1" ht="13.5" customHeight="1">
      <c r="A360" s="427"/>
      <c r="B360" s="455"/>
      <c r="C360" s="433"/>
      <c r="D360" s="433"/>
      <c r="E360" s="433"/>
      <c r="F360" s="433"/>
      <c r="G360" s="433"/>
      <c r="H360" s="433"/>
      <c r="I360" s="433"/>
      <c r="J360" s="431"/>
      <c r="K360" s="394">
        <v>120</v>
      </c>
      <c r="L360" s="305"/>
      <c r="M360" s="305"/>
      <c r="N360" s="305"/>
      <c r="O360" s="305"/>
      <c r="P360" s="305"/>
      <c r="Q360" s="305"/>
      <c r="R360" s="305"/>
      <c r="S360" s="305"/>
      <c r="T360" s="305"/>
      <c r="U360" s="305"/>
    </row>
    <row r="361" spans="1:21" s="52" customFormat="1" ht="13.5" customHeight="1">
      <c r="A361" s="427"/>
      <c r="B361" s="455"/>
      <c r="C361" s="433"/>
      <c r="D361" s="433"/>
      <c r="E361" s="433"/>
      <c r="F361" s="433"/>
      <c r="G361" s="433"/>
      <c r="H361" s="433"/>
      <c r="I361" s="433"/>
      <c r="J361" s="431"/>
      <c r="K361" s="394"/>
      <c r="L361" s="305"/>
      <c r="M361" s="305"/>
      <c r="N361" s="305"/>
      <c r="O361" s="305"/>
      <c r="P361" s="305"/>
      <c r="Q361" s="305"/>
      <c r="R361" s="305"/>
      <c r="S361" s="305"/>
      <c r="T361" s="305"/>
      <c r="U361" s="305"/>
    </row>
    <row r="362" spans="1:21" s="52" customFormat="1" ht="13.5" customHeight="1">
      <c r="A362" s="427"/>
      <c r="B362" s="295" t="s">
        <v>444</v>
      </c>
      <c r="C362" s="295"/>
      <c r="D362" s="295"/>
      <c r="E362" s="433"/>
      <c r="F362" s="433"/>
      <c r="G362" s="433"/>
      <c r="H362" s="433"/>
      <c r="K362" s="394"/>
      <c r="L362" s="305"/>
      <c r="M362" s="305"/>
      <c r="N362" s="305"/>
      <c r="O362" s="305"/>
      <c r="P362" s="305"/>
      <c r="Q362" s="305"/>
      <c r="R362" s="305"/>
      <c r="S362" s="305"/>
      <c r="T362" s="305"/>
      <c r="U362" s="305"/>
    </row>
    <row r="363" spans="1:21" s="52" customFormat="1" ht="13.5" customHeight="1" thickBot="1">
      <c r="A363" s="427"/>
      <c r="B363" s="218"/>
      <c r="C363" s="218"/>
      <c r="D363" s="218"/>
      <c r="E363" s="433"/>
      <c r="F363" s="433"/>
      <c r="G363" s="433"/>
      <c r="H363" s="433"/>
      <c r="I363" s="433"/>
      <c r="L363" s="305"/>
      <c r="M363" s="305"/>
      <c r="N363" s="305"/>
      <c r="O363" s="305"/>
      <c r="P363" s="305"/>
      <c r="Q363" s="305"/>
      <c r="R363" s="305"/>
      <c r="S363" s="305"/>
      <c r="T363" s="305"/>
      <c r="U363" s="305"/>
    </row>
    <row r="364" spans="1:21" s="52" customFormat="1" ht="13.5" customHeight="1" thickBot="1">
      <c r="A364" s="427"/>
      <c r="B364" s="1783" t="s">
        <v>110</v>
      </c>
      <c r="C364" s="218"/>
      <c r="D364" s="218"/>
      <c r="E364" s="433"/>
      <c r="F364" s="433"/>
      <c r="G364" s="433"/>
      <c r="H364" s="433"/>
      <c r="I364" s="433"/>
      <c r="J364" s="433"/>
      <c r="K364" s="535" t="s">
        <v>232</v>
      </c>
      <c r="L364" s="305"/>
      <c r="M364" s="305"/>
      <c r="N364" s="305"/>
      <c r="O364" s="305"/>
      <c r="P364" s="305"/>
      <c r="Q364" s="305"/>
      <c r="R364" s="305"/>
      <c r="S364" s="305"/>
      <c r="T364" s="305"/>
      <c r="U364" s="305"/>
    </row>
    <row r="365" spans="1:21" s="52" customFormat="1" ht="13.5" customHeight="1" thickBot="1">
      <c r="A365" s="427"/>
      <c r="B365" s="3601"/>
      <c r="C365" s="3604">
        <v>2021</v>
      </c>
      <c r="D365" s="3605"/>
      <c r="E365" s="3605"/>
      <c r="F365" s="3605"/>
      <c r="G365" s="3605"/>
      <c r="H365" s="3605"/>
      <c r="I365" s="3605"/>
      <c r="J365" s="3605"/>
      <c r="K365" s="3606"/>
      <c r="L365" s="305"/>
      <c r="M365" s="305"/>
      <c r="N365" s="305"/>
      <c r="O365" s="305"/>
      <c r="P365" s="305"/>
      <c r="Q365" s="305"/>
      <c r="R365" s="305"/>
      <c r="S365" s="305"/>
      <c r="T365" s="305"/>
      <c r="U365" s="305"/>
    </row>
    <row r="366" spans="1:21" s="52" customFormat="1" ht="13.5" customHeight="1" thickBot="1">
      <c r="A366" s="427"/>
      <c r="B366" s="3602"/>
      <c r="C366" s="3607" t="s">
        <v>412</v>
      </c>
      <c r="D366" s="3607" t="s">
        <v>413</v>
      </c>
      <c r="E366" s="3609" t="s">
        <v>414</v>
      </c>
      <c r="F366" s="3639"/>
      <c r="G366" s="3611" t="s">
        <v>415</v>
      </c>
      <c r="H366" s="3637" t="s">
        <v>416</v>
      </c>
      <c r="I366" s="3615" t="s">
        <v>448</v>
      </c>
      <c r="J366" s="3641" t="s">
        <v>118</v>
      </c>
      <c r="K366" s="3615" t="s">
        <v>417</v>
      </c>
      <c r="L366" s="305"/>
      <c r="M366" s="305"/>
      <c r="N366" s="305"/>
      <c r="O366" s="305"/>
      <c r="P366" s="305"/>
      <c r="Q366" s="305"/>
      <c r="R366" s="305"/>
      <c r="S366" s="305"/>
      <c r="T366" s="305"/>
      <c r="U366" s="305"/>
    </row>
    <row r="367" spans="1:21" s="52" customFormat="1" ht="13.5" customHeight="1" thickBot="1">
      <c r="A367" s="427"/>
      <c r="B367" s="3603"/>
      <c r="C367" s="3608"/>
      <c r="D367" s="3640"/>
      <c r="E367" s="1744" t="s">
        <v>418</v>
      </c>
      <c r="F367" s="1728" t="s">
        <v>419</v>
      </c>
      <c r="G367" s="3612"/>
      <c r="H367" s="3638"/>
      <c r="I367" s="3616"/>
      <c r="J367" s="3642"/>
      <c r="K367" s="3616"/>
      <c r="L367" s="305"/>
      <c r="M367" s="305"/>
      <c r="N367" s="305"/>
      <c r="O367" s="305"/>
      <c r="P367" s="305"/>
      <c r="Q367" s="305"/>
      <c r="R367" s="305"/>
      <c r="S367" s="305"/>
      <c r="T367" s="305"/>
      <c r="U367" s="305"/>
    </row>
    <row r="368" spans="1:21" s="52" customFormat="1" ht="13.5" customHeight="1">
      <c r="A368" s="427"/>
      <c r="B368" s="2618" t="s">
        <v>333</v>
      </c>
      <c r="C368" s="851">
        <v>6567</v>
      </c>
      <c r="D368" s="852">
        <v>1597</v>
      </c>
      <c r="E368" s="859">
        <v>0</v>
      </c>
      <c r="F368" s="860">
        <v>175572</v>
      </c>
      <c r="G368" s="859">
        <v>6322002</v>
      </c>
      <c r="H368" s="860">
        <v>105476</v>
      </c>
      <c r="I368" s="859">
        <v>6754134</v>
      </c>
      <c r="J368" s="1784">
        <f>SUM(C368:I368)</f>
        <v>13365348</v>
      </c>
      <c r="K368" s="861">
        <v>3548785</v>
      </c>
      <c r="L368" s="305"/>
      <c r="M368" s="305"/>
      <c r="N368" s="305"/>
      <c r="O368" s="305"/>
      <c r="P368" s="305"/>
      <c r="Q368" s="305"/>
      <c r="R368" s="305"/>
      <c r="S368" s="305"/>
      <c r="T368" s="305"/>
      <c r="U368" s="305"/>
    </row>
    <row r="369" spans="1:21" s="52" customFormat="1" ht="13.5" customHeight="1">
      <c r="A369" s="427"/>
      <c r="B369" s="2616" t="s">
        <v>447</v>
      </c>
      <c r="C369" s="514"/>
      <c r="D369" s="850"/>
      <c r="E369" s="514"/>
      <c r="F369" s="850"/>
      <c r="G369" s="514"/>
      <c r="H369" s="850"/>
      <c r="I369" s="2191"/>
      <c r="J369" s="2677">
        <f t="shared" ref="J369:J370" si="63">SUM(C369:I369)</f>
        <v>0</v>
      </c>
      <c r="K369" s="2191"/>
      <c r="L369" s="305"/>
      <c r="M369" s="305"/>
      <c r="N369" s="305"/>
      <c r="O369" s="305"/>
      <c r="P369" s="305"/>
      <c r="Q369" s="305"/>
      <c r="R369" s="305"/>
      <c r="S369" s="305"/>
      <c r="T369" s="305"/>
      <c r="U369" s="305"/>
    </row>
    <row r="370" spans="1:21" s="52" customFormat="1" ht="13.5" customHeight="1">
      <c r="A370" s="427"/>
      <c r="B370" s="2616" t="s">
        <v>421</v>
      </c>
      <c r="C370" s="514"/>
      <c r="D370" s="850"/>
      <c r="E370" s="514"/>
      <c r="F370" s="850"/>
      <c r="G370" s="514"/>
      <c r="H370" s="850"/>
      <c r="I370" s="2191"/>
      <c r="J370" s="2677">
        <f t="shared" si="63"/>
        <v>0</v>
      </c>
      <c r="K370" s="2191"/>
      <c r="L370" s="305"/>
      <c r="M370" s="305"/>
      <c r="N370" s="305"/>
      <c r="O370" s="305"/>
      <c r="P370" s="305"/>
      <c r="Q370" s="305"/>
      <c r="R370" s="305"/>
      <c r="S370" s="305"/>
      <c r="T370" s="305"/>
      <c r="U370" s="305"/>
    </row>
    <row r="371" spans="1:21" s="52" customFormat="1" ht="13.5" customHeight="1">
      <c r="A371" s="427"/>
      <c r="B371" s="2616" t="s">
        <v>422</v>
      </c>
      <c r="C371" s="514"/>
      <c r="D371" s="850"/>
      <c r="E371" s="514"/>
      <c r="F371" s="853"/>
      <c r="G371" s="514"/>
      <c r="H371" s="850">
        <v>-123388</v>
      </c>
      <c r="I371" s="2191"/>
      <c r="J371" s="1785">
        <f>SUM(C371:I371)</f>
        <v>-123388</v>
      </c>
      <c r="K371" s="2678">
        <v>-466293</v>
      </c>
      <c r="L371" s="305"/>
      <c r="M371" s="305"/>
      <c r="N371" s="305"/>
      <c r="O371" s="305"/>
      <c r="P371" s="305"/>
      <c r="Q371" s="305"/>
      <c r="R371" s="305"/>
      <c r="S371" s="305"/>
      <c r="T371" s="305"/>
      <c r="U371" s="305"/>
    </row>
    <row r="372" spans="1:21" s="52" customFormat="1" ht="13.5" customHeight="1">
      <c r="A372" s="427"/>
      <c r="B372" s="2618" t="s">
        <v>423</v>
      </c>
      <c r="C372" s="2619">
        <f>SUM(C368:C371)</f>
        <v>6567</v>
      </c>
      <c r="D372" s="2620">
        <f t="shared" ref="D372:I372" si="64">SUM(D368:D371)</f>
        <v>1597</v>
      </c>
      <c r="E372" s="2619">
        <f t="shared" si="64"/>
        <v>0</v>
      </c>
      <c r="F372" s="2620">
        <f t="shared" si="64"/>
        <v>175572</v>
      </c>
      <c r="G372" s="2619">
        <f t="shared" si="64"/>
        <v>6322002</v>
      </c>
      <c r="H372" s="2620">
        <f t="shared" si="64"/>
        <v>-17912</v>
      </c>
      <c r="I372" s="2619">
        <f t="shared" si="64"/>
        <v>6754134</v>
      </c>
      <c r="J372" s="2679">
        <f>SUM(J368:J371)</f>
        <v>13241960</v>
      </c>
      <c r="K372" s="2673">
        <f>SUM(K368:K371)</f>
        <v>3082492</v>
      </c>
      <c r="L372" s="305"/>
      <c r="M372" s="305"/>
      <c r="N372" s="305"/>
      <c r="O372" s="305"/>
      <c r="P372" s="305"/>
      <c r="Q372" s="305"/>
      <c r="R372" s="305"/>
      <c r="S372" s="305"/>
      <c r="T372" s="305"/>
      <c r="U372" s="305"/>
    </row>
    <row r="373" spans="1:21" s="52" customFormat="1" ht="13.5" customHeight="1">
      <c r="A373" s="427"/>
      <c r="B373" s="2616" t="s">
        <v>424</v>
      </c>
      <c r="C373" s="2675"/>
      <c r="D373" s="2676"/>
      <c r="E373" s="2675"/>
      <c r="F373" s="2680">
        <v>27581</v>
      </c>
      <c r="G373" s="2675"/>
      <c r="H373" s="2676">
        <v>35869</v>
      </c>
      <c r="I373" s="2675">
        <v>-439755</v>
      </c>
      <c r="J373" s="2677">
        <f>SUM(C373:I373)</f>
        <v>-376305</v>
      </c>
      <c r="K373" s="2678">
        <v>-763068</v>
      </c>
      <c r="L373" s="305"/>
      <c r="M373" s="305"/>
      <c r="N373" s="305"/>
      <c r="O373" s="305"/>
      <c r="P373" s="305"/>
      <c r="Q373" s="305"/>
      <c r="R373" s="305"/>
      <c r="S373" s="305"/>
      <c r="T373" s="305"/>
      <c r="U373" s="305"/>
    </row>
    <row r="374" spans="1:21" s="52" customFormat="1" ht="13.5" customHeight="1">
      <c r="A374" s="427"/>
      <c r="B374" s="2618" t="s">
        <v>425</v>
      </c>
      <c r="C374" s="2619">
        <f>SUM(C372:C373)</f>
        <v>6567</v>
      </c>
      <c r="D374" s="2620">
        <f t="shared" ref="D374:I374" si="65">SUM(D372:D373)</f>
        <v>1597</v>
      </c>
      <c r="E374" s="2619">
        <f t="shared" si="65"/>
        <v>0</v>
      </c>
      <c r="F374" s="2620">
        <f t="shared" si="65"/>
        <v>203153</v>
      </c>
      <c r="G374" s="2619">
        <f t="shared" si="65"/>
        <v>6322002</v>
      </c>
      <c r="H374" s="2620">
        <f t="shared" si="65"/>
        <v>17957</v>
      </c>
      <c r="I374" s="2619">
        <f t="shared" si="65"/>
        <v>6314379</v>
      </c>
      <c r="J374" s="2679">
        <f>SUM(C374:I374)</f>
        <v>12865655</v>
      </c>
      <c r="K374" s="2673">
        <f>SUM(K372:K373)</f>
        <v>2319424</v>
      </c>
      <c r="L374" s="305"/>
      <c r="M374" s="305"/>
      <c r="N374" s="305"/>
      <c r="O374" s="305"/>
      <c r="P374" s="305"/>
      <c r="Q374" s="305"/>
      <c r="R374" s="305"/>
      <c r="S374" s="305"/>
      <c r="T374" s="305"/>
      <c r="U374" s="305"/>
    </row>
    <row r="375" spans="1:21" s="52" customFormat="1" ht="13.5" customHeight="1">
      <c r="A375" s="427"/>
      <c r="B375" s="2616"/>
      <c r="C375" s="2191"/>
      <c r="D375" s="2190"/>
      <c r="E375" s="2191"/>
      <c r="F375" s="2190"/>
      <c r="G375" s="2191"/>
      <c r="H375" s="2190"/>
      <c r="I375" s="2191"/>
      <c r="J375" s="2677"/>
      <c r="K375" s="2191"/>
      <c r="L375" s="305"/>
      <c r="M375" s="305"/>
      <c r="N375" s="305"/>
      <c r="O375" s="305"/>
      <c r="P375" s="305"/>
      <c r="Q375" s="305"/>
      <c r="R375" s="305"/>
      <c r="S375" s="305"/>
      <c r="T375" s="305"/>
      <c r="U375" s="305"/>
    </row>
    <row r="376" spans="1:21" s="52" customFormat="1" ht="13.5" customHeight="1">
      <c r="A376" s="427"/>
      <c r="B376" s="2618" t="s">
        <v>426</v>
      </c>
      <c r="C376" s="2191">
        <f>SUM(C377:C379)</f>
        <v>-49</v>
      </c>
      <c r="D376" s="2190">
        <f t="shared" ref="D376:J376" si="66">SUM(D377:D379)</f>
        <v>-13787</v>
      </c>
      <c r="E376" s="2191">
        <f t="shared" si="66"/>
        <v>0</v>
      </c>
      <c r="F376" s="2190">
        <f>SUM(F377:F379)</f>
        <v>-202403</v>
      </c>
      <c r="G376" s="2191">
        <f t="shared" si="66"/>
        <v>-6759392</v>
      </c>
      <c r="H376" s="2190">
        <f t="shared" si="66"/>
        <v>-223287</v>
      </c>
      <c r="I376" s="2191">
        <f t="shared" si="66"/>
        <v>-1180554</v>
      </c>
      <c r="J376" s="2617">
        <f t="shared" si="66"/>
        <v>-8379472</v>
      </c>
      <c r="K376" s="2191">
        <f>SUM(K377:K379)</f>
        <v>-3093283</v>
      </c>
      <c r="L376" s="305"/>
      <c r="M376" s="305"/>
      <c r="N376" s="305"/>
      <c r="O376" s="305"/>
      <c r="P376" s="305"/>
      <c r="Q376" s="305"/>
      <c r="R376" s="305"/>
      <c r="S376" s="305"/>
      <c r="T376" s="305"/>
      <c r="U376" s="305"/>
    </row>
    <row r="377" spans="1:21" s="52" customFormat="1" ht="27.75" customHeight="1">
      <c r="A377" s="427"/>
      <c r="B377" s="2616" t="s">
        <v>427</v>
      </c>
      <c r="C377" s="2675">
        <v>-49</v>
      </c>
      <c r="D377" s="2676">
        <v>-13787</v>
      </c>
      <c r="E377" s="2675"/>
      <c r="F377" s="2681">
        <v>-202355</v>
      </c>
      <c r="G377" s="2675">
        <v>-6759392</v>
      </c>
      <c r="H377" s="2676">
        <v>-217236</v>
      </c>
      <c r="I377" s="2675">
        <v>-36899</v>
      </c>
      <c r="J377" s="2677">
        <f>SUM(C377:I377)</f>
        <v>-7229718</v>
      </c>
      <c r="K377" s="2678">
        <v>-2379115</v>
      </c>
      <c r="L377" s="305"/>
      <c r="M377" s="305"/>
      <c r="N377" s="305"/>
      <c r="O377" s="305"/>
      <c r="P377" s="305"/>
      <c r="Q377" s="305"/>
      <c r="R377" s="305"/>
      <c r="S377" s="305"/>
      <c r="T377" s="305"/>
      <c r="U377" s="305"/>
    </row>
    <row r="378" spans="1:21" s="52" customFormat="1" ht="27.75" customHeight="1">
      <c r="A378" s="427"/>
      <c r="B378" s="2616" t="s">
        <v>428</v>
      </c>
      <c r="C378" s="514"/>
      <c r="D378" s="850"/>
      <c r="E378" s="514"/>
      <c r="F378" s="854">
        <v>-48</v>
      </c>
      <c r="G378" s="514"/>
      <c r="H378" s="850">
        <v>-6051</v>
      </c>
      <c r="I378" s="514">
        <v>-1028622</v>
      </c>
      <c r="J378" s="2677">
        <f>SUM(C378:I378)</f>
        <v>-1034721</v>
      </c>
      <c r="K378" s="862">
        <v>-714168</v>
      </c>
      <c r="L378" s="305"/>
      <c r="M378" s="305"/>
      <c r="N378" s="305"/>
      <c r="O378" s="305"/>
      <c r="P378" s="305"/>
      <c r="Q378" s="305"/>
      <c r="R378" s="305"/>
      <c r="S378" s="305"/>
      <c r="T378" s="305"/>
      <c r="U378" s="305"/>
    </row>
    <row r="379" spans="1:21" s="52" customFormat="1" ht="24" customHeight="1">
      <c r="A379" s="427"/>
      <c r="B379" s="2616" t="s">
        <v>429</v>
      </c>
      <c r="C379" s="514"/>
      <c r="D379" s="850"/>
      <c r="E379" s="514"/>
      <c r="F379" s="854">
        <v>0</v>
      </c>
      <c r="G379" s="514"/>
      <c r="H379" s="850"/>
      <c r="I379" s="514">
        <v>-115033</v>
      </c>
      <c r="J379" s="2677">
        <f>SUM(C379:I379)</f>
        <v>-115033</v>
      </c>
      <c r="K379" s="514"/>
      <c r="L379" s="305"/>
      <c r="M379" s="305"/>
      <c r="N379" s="305"/>
      <c r="O379" s="305"/>
      <c r="P379" s="305"/>
      <c r="Q379" s="305"/>
      <c r="R379" s="305"/>
      <c r="S379" s="305"/>
      <c r="T379" s="305"/>
      <c r="U379" s="305"/>
    </row>
    <row r="380" spans="1:21" s="52" customFormat="1" ht="13.5" customHeight="1">
      <c r="A380" s="427"/>
      <c r="B380" s="2622" t="s">
        <v>430</v>
      </c>
      <c r="C380" s="2619">
        <f>+C374+C377+C378+C379</f>
        <v>6518</v>
      </c>
      <c r="D380" s="2620">
        <f t="shared" ref="D380:K380" si="67">+D374+D377+D378+D379</f>
        <v>-12190</v>
      </c>
      <c r="E380" s="2619">
        <f t="shared" si="67"/>
        <v>0</v>
      </c>
      <c r="F380" s="2620">
        <f>+F374+F377+F378+F379</f>
        <v>750</v>
      </c>
      <c r="G380" s="2619">
        <f t="shared" si="67"/>
        <v>-437390</v>
      </c>
      <c r="H380" s="2620">
        <f t="shared" si="67"/>
        <v>-205330</v>
      </c>
      <c r="I380" s="2619">
        <f>+I374+I377+I378+I379</f>
        <v>5133825</v>
      </c>
      <c r="J380" s="2621">
        <f>+J374+J377+J378+J379</f>
        <v>4486183</v>
      </c>
      <c r="K380" s="2619">
        <f t="shared" si="67"/>
        <v>-773859</v>
      </c>
      <c r="L380" s="305"/>
      <c r="M380" s="305"/>
      <c r="N380" s="305"/>
      <c r="O380" s="305"/>
      <c r="P380" s="305"/>
      <c r="Q380" s="305"/>
      <c r="R380" s="305"/>
      <c r="S380" s="305"/>
      <c r="T380" s="305"/>
      <c r="U380" s="305"/>
    </row>
    <row r="381" spans="1:21" s="52" customFormat="1" ht="13.5" customHeight="1">
      <c r="A381" s="427"/>
      <c r="B381" s="2623"/>
      <c r="C381" s="2191"/>
      <c r="D381" s="2190"/>
      <c r="E381" s="2191"/>
      <c r="F381" s="2190"/>
      <c r="G381" s="2191"/>
      <c r="H381" s="2190"/>
      <c r="I381" s="2191"/>
      <c r="J381" s="2677"/>
      <c r="K381" s="2191"/>
      <c r="L381" s="305"/>
      <c r="M381" s="305"/>
      <c r="N381" s="305"/>
      <c r="O381" s="305"/>
      <c r="P381" s="305"/>
      <c r="Q381" s="305"/>
      <c r="R381" s="305"/>
      <c r="S381" s="305"/>
      <c r="T381" s="305"/>
      <c r="U381" s="305"/>
    </row>
    <row r="382" spans="1:21" s="52" customFormat="1" ht="13.5" customHeight="1">
      <c r="A382" s="427"/>
      <c r="B382" s="2618" t="s">
        <v>431</v>
      </c>
      <c r="C382" s="2624"/>
      <c r="D382" s="2625"/>
      <c r="E382" s="2624"/>
      <c r="F382" s="2625"/>
      <c r="G382" s="2624"/>
      <c r="H382" s="2625"/>
      <c r="I382" s="2624"/>
      <c r="J382" s="2679">
        <f>SUM(J383:J385)</f>
        <v>1226481</v>
      </c>
      <c r="K382" s="2673">
        <f>SUM(K383:K385)</f>
        <v>282825</v>
      </c>
      <c r="L382" s="305"/>
      <c r="M382" s="305"/>
      <c r="N382" s="305"/>
      <c r="O382" s="305"/>
      <c r="P382" s="305"/>
      <c r="Q382" s="305"/>
      <c r="R382" s="305"/>
      <c r="S382" s="305"/>
      <c r="T382" s="305"/>
      <c r="U382" s="305"/>
    </row>
    <row r="383" spans="1:21" s="52" customFormat="1" ht="13.5" customHeight="1">
      <c r="A383" s="427"/>
      <c r="B383" s="2616" t="s">
        <v>432</v>
      </c>
      <c r="C383" s="2624"/>
      <c r="D383" s="2625"/>
      <c r="E383" s="2624"/>
      <c r="F383" s="2625"/>
      <c r="G383" s="2624"/>
      <c r="H383" s="2625"/>
      <c r="I383" s="2624"/>
      <c r="J383" s="2677">
        <v>1330</v>
      </c>
      <c r="K383" s="2675"/>
      <c r="L383" s="305"/>
      <c r="M383" s="305"/>
      <c r="N383" s="305"/>
      <c r="O383" s="305"/>
      <c r="P383" s="305"/>
      <c r="Q383" s="305"/>
      <c r="R383" s="305"/>
      <c r="S383" s="305"/>
      <c r="T383" s="305"/>
      <c r="U383" s="305"/>
    </row>
    <row r="384" spans="1:21" s="52" customFormat="1" ht="13.5" customHeight="1">
      <c r="A384" s="427"/>
      <c r="B384" s="2616" t="s">
        <v>446</v>
      </c>
      <c r="C384" s="2624"/>
      <c r="D384" s="2625"/>
      <c r="E384" s="2624"/>
      <c r="F384" s="2625"/>
      <c r="G384" s="2624"/>
      <c r="H384" s="2625"/>
      <c r="I384" s="2624"/>
      <c r="J384" s="2677">
        <v>1198507</v>
      </c>
      <c r="K384" s="514">
        <v>145401</v>
      </c>
      <c r="L384" s="305"/>
      <c r="M384" s="305"/>
      <c r="N384" s="305"/>
      <c r="O384" s="305"/>
      <c r="P384" s="305"/>
      <c r="Q384" s="305"/>
      <c r="R384" s="305"/>
      <c r="S384" s="305"/>
      <c r="T384" s="305"/>
      <c r="U384" s="305"/>
    </row>
    <row r="385" spans="1:21" s="52" customFormat="1" ht="13.5" customHeight="1">
      <c r="A385" s="427"/>
      <c r="B385" s="2616" t="s">
        <v>434</v>
      </c>
      <c r="C385" s="2624"/>
      <c r="D385" s="2625"/>
      <c r="E385" s="2624"/>
      <c r="F385" s="2625"/>
      <c r="G385" s="2624"/>
      <c r="H385" s="2625"/>
      <c r="I385" s="2624"/>
      <c r="J385" s="2677">
        <v>26644</v>
      </c>
      <c r="K385" s="514">
        <v>137424</v>
      </c>
      <c r="L385" s="305"/>
      <c r="M385" s="305"/>
      <c r="N385" s="305"/>
      <c r="O385" s="305"/>
      <c r="P385" s="305"/>
      <c r="Q385" s="305"/>
      <c r="R385" s="305"/>
      <c r="S385" s="305"/>
      <c r="T385" s="305"/>
      <c r="U385" s="305"/>
    </row>
    <row r="386" spans="1:21" s="52" customFormat="1" ht="13.5" customHeight="1">
      <c r="A386" s="427"/>
      <c r="B386" s="2616"/>
      <c r="C386" s="2624"/>
      <c r="D386" s="2625"/>
      <c r="E386" s="2624"/>
      <c r="F386" s="2625"/>
      <c r="G386" s="2624"/>
      <c r="H386" s="2625"/>
      <c r="I386" s="2624"/>
      <c r="J386" s="2677"/>
      <c r="K386" s="2191"/>
      <c r="L386" s="305"/>
      <c r="M386" s="305"/>
      <c r="N386" s="305"/>
      <c r="O386" s="305"/>
      <c r="P386" s="305"/>
      <c r="Q386" s="305"/>
      <c r="R386" s="305"/>
      <c r="S386" s="305"/>
      <c r="T386" s="305"/>
      <c r="U386" s="305"/>
    </row>
    <row r="387" spans="1:21" s="52" customFormat="1" ht="13.5" customHeight="1">
      <c r="A387" s="427"/>
      <c r="B387" s="2618" t="s">
        <v>435</v>
      </c>
      <c r="C387" s="2624"/>
      <c r="D387" s="2625"/>
      <c r="E387" s="2624"/>
      <c r="F387" s="2625"/>
      <c r="G387" s="2624"/>
      <c r="H387" s="2625"/>
      <c r="I387" s="2624"/>
      <c r="J387" s="2677">
        <f>SUM(J388+J389)</f>
        <v>-354418</v>
      </c>
      <c r="K387" s="2191">
        <f>SUM(K388+K389)</f>
        <v>-34471</v>
      </c>
      <c r="L387" s="305"/>
      <c r="M387" s="305"/>
      <c r="N387" s="305"/>
      <c r="O387" s="305"/>
      <c r="P387" s="305"/>
      <c r="Q387" s="305"/>
      <c r="R387" s="305"/>
      <c r="S387" s="305"/>
      <c r="T387" s="305"/>
      <c r="U387" s="305"/>
    </row>
    <row r="388" spans="1:21" s="52" customFormat="1" ht="27.75" customHeight="1">
      <c r="A388" s="427"/>
      <c r="B388" s="2616" t="s">
        <v>436</v>
      </c>
      <c r="C388" s="2624"/>
      <c r="D388" s="2625"/>
      <c r="E388" s="2624"/>
      <c r="F388" s="2625"/>
      <c r="G388" s="2624"/>
      <c r="H388" s="2625"/>
      <c r="I388" s="2624"/>
      <c r="J388" s="2677">
        <v>-354418</v>
      </c>
      <c r="K388" s="2675">
        <v>-34471</v>
      </c>
      <c r="L388" s="305"/>
      <c r="M388" s="305"/>
      <c r="N388" s="305"/>
      <c r="O388" s="305"/>
      <c r="P388" s="305"/>
      <c r="Q388" s="305"/>
      <c r="R388" s="305"/>
      <c r="S388" s="305"/>
      <c r="T388" s="305"/>
      <c r="U388" s="305"/>
    </row>
    <row r="389" spans="1:21" s="52" customFormat="1" ht="26.25" customHeight="1">
      <c r="A389" s="427"/>
      <c r="B389" s="2616" t="s">
        <v>437</v>
      </c>
      <c r="C389" s="2624"/>
      <c r="D389" s="2625"/>
      <c r="E389" s="2624"/>
      <c r="F389" s="2625"/>
      <c r="G389" s="2624"/>
      <c r="H389" s="2625"/>
      <c r="I389" s="2624"/>
      <c r="J389" s="2677"/>
      <c r="K389" s="2191"/>
      <c r="L389" s="305"/>
      <c r="M389" s="305"/>
      <c r="N389" s="305"/>
      <c r="O389" s="305"/>
      <c r="P389" s="305"/>
      <c r="Q389" s="305"/>
      <c r="R389" s="305"/>
      <c r="S389" s="305"/>
      <c r="T389" s="305"/>
      <c r="U389" s="305"/>
    </row>
    <row r="390" spans="1:21" s="52" customFormat="1" ht="13.5" customHeight="1">
      <c r="A390" s="427"/>
      <c r="B390" s="2618" t="s">
        <v>438</v>
      </c>
      <c r="C390" s="2624"/>
      <c r="D390" s="2625"/>
      <c r="E390" s="2624"/>
      <c r="F390" s="2625"/>
      <c r="G390" s="2624"/>
      <c r="H390" s="2625"/>
      <c r="I390" s="2624"/>
      <c r="J390" s="2679">
        <f>+J380+J382+J387</f>
        <v>5358246</v>
      </c>
      <c r="K390" s="2673">
        <f>+K380+K382+K387</f>
        <v>-525505</v>
      </c>
      <c r="L390" s="305"/>
      <c r="M390" s="305"/>
      <c r="N390" s="305"/>
      <c r="O390" s="305"/>
      <c r="P390" s="305"/>
      <c r="Q390" s="305"/>
      <c r="R390" s="305"/>
      <c r="S390" s="305"/>
      <c r="T390" s="305"/>
      <c r="U390" s="305"/>
    </row>
    <row r="391" spans="1:21" s="52" customFormat="1" ht="13.5" customHeight="1">
      <c r="A391" s="427"/>
      <c r="B391" s="2616" t="s">
        <v>439</v>
      </c>
      <c r="C391" s="2624"/>
      <c r="D391" s="2625"/>
      <c r="E391" s="2624"/>
      <c r="F391" s="2625"/>
      <c r="G391" s="2624"/>
      <c r="H391" s="2625"/>
      <c r="I391" s="2624"/>
      <c r="J391" s="2677">
        <v>-15677</v>
      </c>
      <c r="K391" s="2675"/>
      <c r="L391" s="305"/>
      <c r="M391" s="305"/>
      <c r="N391" s="305"/>
      <c r="O391" s="305"/>
      <c r="P391" s="305"/>
      <c r="Q391" s="305"/>
      <c r="R391" s="305"/>
      <c r="S391" s="305"/>
      <c r="T391" s="305"/>
      <c r="U391" s="305"/>
    </row>
    <row r="392" spans="1:21" s="52" customFormat="1" ht="13.5" customHeight="1">
      <c r="A392" s="427"/>
      <c r="B392" s="2626" t="s">
        <v>440</v>
      </c>
      <c r="C392" s="2624"/>
      <c r="D392" s="2625"/>
      <c r="E392" s="2624"/>
      <c r="F392" s="2625"/>
      <c r="G392" s="2624"/>
      <c r="H392" s="2625"/>
      <c r="I392" s="2624"/>
      <c r="J392" s="2679">
        <f>SUM(J390:J391)</f>
        <v>5342569</v>
      </c>
      <c r="K392" s="2619">
        <f>SUM(K390:K391)</f>
        <v>-525505</v>
      </c>
      <c r="L392" s="305"/>
      <c r="M392" s="305"/>
      <c r="N392" s="305"/>
      <c r="O392" s="305"/>
      <c r="P392" s="305"/>
      <c r="Q392" s="305"/>
      <c r="R392" s="305"/>
      <c r="S392" s="305"/>
      <c r="T392" s="305"/>
      <c r="U392" s="305"/>
    </row>
    <row r="393" spans="1:21" s="52" customFormat="1" ht="13.5" customHeight="1">
      <c r="A393" s="427"/>
      <c r="B393" s="2627" t="s">
        <v>441</v>
      </c>
      <c r="C393" s="2624"/>
      <c r="D393" s="2625"/>
      <c r="E393" s="2624"/>
      <c r="F393" s="2625"/>
      <c r="G393" s="2624"/>
      <c r="H393" s="2625"/>
      <c r="I393" s="2624"/>
      <c r="J393" s="2677">
        <v>-991504</v>
      </c>
      <c r="K393" s="2675"/>
      <c r="L393" s="305"/>
      <c r="M393" s="305"/>
      <c r="N393" s="305"/>
      <c r="O393" s="305"/>
      <c r="P393" s="305"/>
      <c r="Q393" s="305"/>
      <c r="R393" s="305"/>
      <c r="S393" s="305"/>
      <c r="T393" s="305"/>
      <c r="U393" s="305"/>
    </row>
    <row r="394" spans="1:21" s="52" customFormat="1" ht="13.5" customHeight="1" thickBot="1">
      <c r="A394" s="427"/>
      <c r="B394" s="1762" t="s">
        <v>442</v>
      </c>
      <c r="C394" s="489"/>
      <c r="D394" s="1312"/>
      <c r="E394" s="489"/>
      <c r="F394" s="1312"/>
      <c r="G394" s="489"/>
      <c r="H394" s="1312"/>
      <c r="I394" s="489"/>
      <c r="J394" s="1764">
        <f>SUM(J392:J393)</f>
        <v>4351065</v>
      </c>
      <c r="K394" s="486">
        <f>SUM(K392:K393)</f>
        <v>-525505</v>
      </c>
      <c r="L394" s="305"/>
      <c r="M394" s="305"/>
      <c r="N394" s="305"/>
      <c r="O394" s="305"/>
      <c r="P394" s="305"/>
      <c r="Q394" s="305"/>
      <c r="R394" s="305"/>
      <c r="S394" s="305"/>
      <c r="T394" s="305"/>
      <c r="U394" s="305"/>
    </row>
    <row r="395" spans="1:21" s="52" customFormat="1" ht="13.5" customHeight="1">
      <c r="A395" s="427"/>
      <c r="B395" s="425"/>
      <c r="C395" s="556"/>
      <c r="D395" s="556"/>
      <c r="E395" s="556"/>
      <c r="F395" s="556"/>
      <c r="G395" s="556"/>
      <c r="H395" s="556"/>
      <c r="I395" s="556"/>
      <c r="J395" s="295"/>
      <c r="K395" s="415"/>
      <c r="L395" s="305"/>
      <c r="M395" s="305"/>
      <c r="N395" s="305"/>
      <c r="O395" s="305"/>
      <c r="P395" s="305"/>
      <c r="Q395" s="305"/>
      <c r="R395" s="305"/>
      <c r="S395" s="305"/>
      <c r="T395" s="305"/>
      <c r="U395" s="305"/>
    </row>
    <row r="396" spans="1:21" s="52" customFormat="1" ht="13.5" customHeight="1">
      <c r="A396" s="427"/>
      <c r="B396" s="455"/>
      <c r="C396" s="433"/>
      <c r="D396" s="433"/>
      <c r="E396" s="433"/>
      <c r="F396" s="433"/>
      <c r="G396" s="433"/>
      <c r="H396" s="433"/>
      <c r="I396" s="433"/>
      <c r="J396" s="431"/>
      <c r="K396" s="394">
        <v>121</v>
      </c>
      <c r="L396" s="305"/>
      <c r="M396" s="305"/>
      <c r="N396" s="305"/>
      <c r="O396" s="305"/>
      <c r="P396" s="305"/>
      <c r="Q396" s="305"/>
      <c r="R396" s="305"/>
      <c r="S396" s="305"/>
      <c r="T396" s="305"/>
      <c r="U396" s="305"/>
    </row>
    <row r="397" spans="1:21" s="52" customFormat="1" ht="12" customHeight="1">
      <c r="A397" s="427"/>
      <c r="B397" s="455"/>
      <c r="C397" s="433"/>
      <c r="D397" s="433"/>
      <c r="E397" s="433"/>
      <c r="F397" s="433"/>
      <c r="G397" s="433"/>
      <c r="H397" s="433"/>
      <c r="I397" s="433"/>
      <c r="J397" s="431"/>
      <c r="K397" s="394"/>
      <c r="L397" s="305"/>
      <c r="M397" s="305"/>
      <c r="N397" s="305"/>
      <c r="O397" s="305"/>
      <c r="P397" s="305"/>
      <c r="Q397" s="305"/>
      <c r="R397" s="305"/>
      <c r="S397" s="305"/>
      <c r="T397" s="305"/>
      <c r="U397" s="305"/>
    </row>
    <row r="398" spans="1:21" s="52" customFormat="1" ht="13.5" customHeight="1">
      <c r="A398" s="427"/>
      <c r="B398" s="295" t="s">
        <v>444</v>
      </c>
      <c r="C398" s="295"/>
      <c r="D398" s="295"/>
      <c r="E398" s="433"/>
      <c r="F398" s="433"/>
      <c r="G398" s="433"/>
      <c r="H398" s="433"/>
      <c r="I398" s="433"/>
      <c r="J398" s="431"/>
      <c r="K398" s="394"/>
      <c r="L398" s="305"/>
      <c r="M398" s="305"/>
      <c r="N398" s="305"/>
      <c r="O398" s="305"/>
      <c r="P398" s="305"/>
      <c r="Q398" s="305"/>
      <c r="R398" s="305"/>
      <c r="S398" s="305"/>
      <c r="T398" s="305"/>
      <c r="U398" s="305"/>
    </row>
    <row r="399" spans="1:21" s="52" customFormat="1" ht="13.5" customHeight="1" thickBot="1">
      <c r="A399" s="427"/>
      <c r="B399" s="218"/>
      <c r="C399" s="218"/>
      <c r="D399" s="218"/>
      <c r="E399" s="433"/>
      <c r="F399" s="433"/>
      <c r="G399" s="433"/>
      <c r="H399" s="433"/>
      <c r="I399" s="433"/>
      <c r="J399" s="431"/>
      <c r="K399" s="394"/>
      <c r="L399" s="305"/>
      <c r="M399" s="305"/>
      <c r="N399" s="305"/>
      <c r="O399" s="305"/>
      <c r="P399" s="305"/>
      <c r="Q399" s="305"/>
      <c r="R399" s="305"/>
      <c r="S399" s="305"/>
      <c r="T399" s="305"/>
      <c r="U399" s="305"/>
    </row>
    <row r="400" spans="1:21" s="52" customFormat="1" ht="13.5" customHeight="1">
      <c r="A400" s="427"/>
      <c r="B400" s="1765" t="s">
        <v>111</v>
      </c>
      <c r="C400" s="292"/>
      <c r="D400" s="292"/>
      <c r="E400" s="292"/>
      <c r="F400" s="292"/>
      <c r="G400" s="292"/>
      <c r="H400" s="292"/>
      <c r="I400" s="535" t="s">
        <v>232</v>
      </c>
      <c r="J400" s="431"/>
      <c r="K400" s="394"/>
      <c r="L400" s="305"/>
      <c r="M400" s="305"/>
      <c r="N400" s="305"/>
      <c r="O400" s="305"/>
      <c r="P400" s="305"/>
      <c r="Q400" s="305"/>
      <c r="R400" s="305"/>
      <c r="S400" s="305"/>
      <c r="T400" s="305"/>
      <c r="U400" s="305"/>
    </row>
    <row r="401" spans="1:21" s="52" customFormat="1" ht="13.5" customHeight="1">
      <c r="A401" s="427"/>
      <c r="B401" s="3518"/>
      <c r="C401" s="3609">
        <v>2021</v>
      </c>
      <c r="D401" s="3618"/>
      <c r="E401" s="3618"/>
      <c r="F401" s="3618"/>
      <c r="G401" s="3618"/>
      <c r="H401" s="3618"/>
      <c r="I401" s="3610"/>
      <c r="J401" s="431"/>
      <c r="K401" s="394"/>
      <c r="L401" s="305"/>
      <c r="M401" s="305"/>
      <c r="N401" s="305"/>
      <c r="O401" s="305"/>
      <c r="P401" s="305"/>
      <c r="Q401" s="305"/>
      <c r="R401" s="305"/>
      <c r="S401" s="305"/>
      <c r="T401" s="305"/>
      <c r="U401" s="305"/>
    </row>
    <row r="402" spans="1:21" s="52" customFormat="1" ht="13.5" customHeight="1">
      <c r="A402" s="427"/>
      <c r="B402" s="3520"/>
      <c r="C402" s="3607" t="s">
        <v>412</v>
      </c>
      <c r="D402" s="3607" t="s">
        <v>413</v>
      </c>
      <c r="E402" s="3609" t="s">
        <v>414</v>
      </c>
      <c r="F402" s="3610"/>
      <c r="G402" s="3611" t="s">
        <v>415</v>
      </c>
      <c r="H402" s="3611" t="s">
        <v>416</v>
      </c>
      <c r="I402" s="3607" t="s">
        <v>118</v>
      </c>
      <c r="J402" s="431"/>
      <c r="K402" s="394"/>
      <c r="L402" s="305"/>
      <c r="M402" s="305"/>
      <c r="N402" s="305"/>
      <c r="O402" s="305"/>
      <c r="P402" s="305"/>
      <c r="Q402" s="305"/>
      <c r="R402" s="305"/>
      <c r="S402" s="305"/>
      <c r="T402" s="305"/>
      <c r="U402" s="305"/>
    </row>
    <row r="403" spans="1:21" s="52" customFormat="1" ht="13.5" customHeight="1" thickBot="1">
      <c r="A403" s="427"/>
      <c r="B403" s="3519"/>
      <c r="C403" s="3608"/>
      <c r="D403" s="3608"/>
      <c r="E403" s="1744" t="s">
        <v>418</v>
      </c>
      <c r="F403" s="1744" t="s">
        <v>419</v>
      </c>
      <c r="G403" s="3612"/>
      <c r="H403" s="3612"/>
      <c r="I403" s="3608"/>
      <c r="J403" s="431"/>
      <c r="K403" s="394"/>
      <c r="L403" s="305"/>
      <c r="M403" s="305"/>
      <c r="N403" s="305"/>
      <c r="O403" s="305"/>
      <c r="P403" s="305"/>
      <c r="Q403" s="305"/>
      <c r="R403" s="305"/>
      <c r="S403" s="305"/>
      <c r="T403" s="305"/>
      <c r="U403" s="305"/>
    </row>
    <row r="404" spans="1:21" s="52" customFormat="1" ht="13.5" customHeight="1">
      <c r="A404" s="427"/>
      <c r="B404" s="1770" t="s">
        <v>333</v>
      </c>
      <c r="C404" s="855">
        <v>239845</v>
      </c>
      <c r="D404" s="2644">
        <v>17916</v>
      </c>
      <c r="E404" s="855"/>
      <c r="F404" s="2644">
        <v>1666172</v>
      </c>
      <c r="G404" s="855">
        <v>134939</v>
      </c>
      <c r="H404" s="2644">
        <v>110013</v>
      </c>
      <c r="I404" s="1780">
        <f>SUM(C404:H404)</f>
        <v>2168885</v>
      </c>
      <c r="J404" s="431"/>
      <c r="K404" s="394"/>
      <c r="L404" s="305"/>
      <c r="M404" s="305"/>
      <c r="N404" s="305"/>
      <c r="O404" s="305"/>
      <c r="P404" s="305"/>
      <c r="Q404" s="305"/>
      <c r="R404" s="305"/>
      <c r="S404" s="305"/>
      <c r="T404" s="305"/>
      <c r="U404" s="305"/>
    </row>
    <row r="405" spans="1:21" s="52" customFormat="1" ht="13.5" customHeight="1">
      <c r="A405" s="427"/>
      <c r="B405" s="2616" t="s">
        <v>447</v>
      </c>
      <c r="C405" s="856"/>
      <c r="D405" s="857"/>
      <c r="E405" s="856"/>
      <c r="F405" s="857"/>
      <c r="G405" s="856"/>
      <c r="H405" s="857"/>
      <c r="I405" s="2591">
        <f t="shared" ref="I405:I407" si="68">SUM(C405:H405)</f>
        <v>0</v>
      </c>
      <c r="J405" s="431"/>
      <c r="K405" s="394"/>
      <c r="L405" s="305"/>
      <c r="M405" s="305"/>
      <c r="N405" s="305"/>
      <c r="O405" s="305"/>
      <c r="P405" s="305"/>
      <c r="Q405" s="305"/>
      <c r="R405" s="305"/>
      <c r="S405" s="305"/>
      <c r="T405" s="305"/>
      <c r="U405" s="305"/>
    </row>
    <row r="406" spans="1:21" s="52" customFormat="1" ht="13.5" customHeight="1">
      <c r="A406" s="427"/>
      <c r="B406" s="2616" t="s">
        <v>445</v>
      </c>
      <c r="C406" s="856">
        <v>-89229</v>
      </c>
      <c r="D406" s="857">
        <v>-70</v>
      </c>
      <c r="E406" s="856"/>
      <c r="F406" s="857">
        <v>-43404</v>
      </c>
      <c r="G406" s="856"/>
      <c r="H406" s="857">
        <v>-8297</v>
      </c>
      <c r="I406" s="2591">
        <f t="shared" si="68"/>
        <v>-141000</v>
      </c>
      <c r="J406" s="431"/>
      <c r="K406" s="394"/>
      <c r="L406" s="305"/>
      <c r="M406" s="305"/>
      <c r="N406" s="305"/>
      <c r="O406" s="305"/>
      <c r="P406" s="305"/>
      <c r="Q406" s="305"/>
      <c r="R406" s="305"/>
      <c r="S406" s="305"/>
      <c r="T406" s="305"/>
      <c r="U406" s="305"/>
    </row>
    <row r="407" spans="1:21" s="52" customFormat="1" ht="13.5" customHeight="1">
      <c r="A407" s="427"/>
      <c r="B407" s="2616" t="s">
        <v>422</v>
      </c>
      <c r="C407" s="856">
        <v>-124632</v>
      </c>
      <c r="D407" s="857">
        <v>-12357</v>
      </c>
      <c r="E407" s="856"/>
      <c r="F407" s="857">
        <v>-30925</v>
      </c>
      <c r="G407" s="856"/>
      <c r="H407" s="857">
        <v>-69766</v>
      </c>
      <c r="I407" s="2591">
        <f t="shared" si="68"/>
        <v>-237680</v>
      </c>
      <c r="J407" s="431"/>
      <c r="K407" s="394"/>
      <c r="L407" s="305"/>
      <c r="M407" s="305"/>
      <c r="N407" s="305"/>
      <c r="O407" s="305"/>
      <c r="P407" s="305"/>
      <c r="Q407" s="305"/>
      <c r="R407" s="305"/>
      <c r="S407" s="305"/>
      <c r="T407" s="305"/>
      <c r="U407" s="305"/>
    </row>
    <row r="408" spans="1:21" s="52" customFormat="1" ht="13.5" customHeight="1">
      <c r="A408" s="427"/>
      <c r="B408" s="2618" t="s">
        <v>423</v>
      </c>
      <c r="C408" s="2634">
        <f>SUM(C404:C407)</f>
        <v>25984</v>
      </c>
      <c r="D408" s="2633">
        <f t="shared" ref="D408:I408" si="69">SUM(D404:D407)</f>
        <v>5489</v>
      </c>
      <c r="E408" s="2634">
        <f t="shared" si="69"/>
        <v>0</v>
      </c>
      <c r="F408" s="2633">
        <f t="shared" si="69"/>
        <v>1591843</v>
      </c>
      <c r="G408" s="2634">
        <f t="shared" si="69"/>
        <v>134939</v>
      </c>
      <c r="H408" s="2633">
        <f t="shared" si="69"/>
        <v>31950</v>
      </c>
      <c r="I408" s="2599">
        <f t="shared" si="69"/>
        <v>1790205</v>
      </c>
      <c r="J408" s="431"/>
      <c r="K408" s="394"/>
      <c r="L408" s="305"/>
      <c r="M408" s="305"/>
      <c r="N408" s="305"/>
      <c r="O408" s="305"/>
      <c r="P408" s="305"/>
      <c r="Q408" s="305"/>
      <c r="R408" s="305"/>
      <c r="S408" s="305"/>
      <c r="T408" s="305"/>
      <c r="U408" s="305"/>
    </row>
    <row r="409" spans="1:21" s="52" customFormat="1" ht="13.5" customHeight="1">
      <c r="A409" s="427"/>
      <c r="B409" s="2616" t="s">
        <v>424</v>
      </c>
      <c r="C409" s="2645">
        <v>-5672</v>
      </c>
      <c r="D409" s="2644">
        <v>-1517</v>
      </c>
      <c r="E409" s="2645"/>
      <c r="F409" s="2644">
        <v>-169308</v>
      </c>
      <c r="G409" s="2645">
        <v>-10766</v>
      </c>
      <c r="H409" s="2644">
        <v>-1632</v>
      </c>
      <c r="I409" s="2591">
        <f>SUM(C409:H409)</f>
        <v>-188895</v>
      </c>
      <c r="J409" s="431"/>
      <c r="K409" s="394"/>
      <c r="L409" s="305"/>
      <c r="M409" s="305"/>
      <c r="N409" s="305"/>
      <c r="O409" s="305"/>
      <c r="P409" s="305"/>
      <c r="Q409" s="305"/>
      <c r="R409" s="305"/>
      <c r="S409" s="305"/>
      <c r="T409" s="305"/>
      <c r="U409" s="305"/>
    </row>
    <row r="410" spans="1:21" s="52" customFormat="1" ht="13.5" customHeight="1">
      <c r="A410" s="427"/>
      <c r="B410" s="2618" t="s">
        <v>425</v>
      </c>
      <c r="C410" s="2634">
        <f>SUM(C408:C409)</f>
        <v>20312</v>
      </c>
      <c r="D410" s="2633">
        <f t="shared" ref="D410:H410" si="70">SUM(D408:D409)</f>
        <v>3972</v>
      </c>
      <c r="E410" s="2634">
        <f t="shared" si="70"/>
        <v>0</v>
      </c>
      <c r="F410" s="2633">
        <f t="shared" si="70"/>
        <v>1422535</v>
      </c>
      <c r="G410" s="2634">
        <f t="shared" si="70"/>
        <v>124173</v>
      </c>
      <c r="H410" s="2633">
        <f t="shared" si="70"/>
        <v>30318</v>
      </c>
      <c r="I410" s="2599">
        <f>SUM(I408:I409)</f>
        <v>1601310</v>
      </c>
      <c r="J410" s="431"/>
      <c r="K410" s="394"/>
      <c r="L410" s="305"/>
      <c r="M410" s="305"/>
      <c r="N410" s="305"/>
      <c r="O410" s="305"/>
      <c r="P410" s="305"/>
      <c r="Q410" s="305"/>
      <c r="R410" s="305"/>
      <c r="S410" s="305"/>
      <c r="T410" s="305"/>
      <c r="U410" s="305"/>
    </row>
    <row r="411" spans="1:21" s="52" customFormat="1" ht="13.5" customHeight="1">
      <c r="A411" s="427"/>
      <c r="B411" s="2616"/>
      <c r="C411" s="2637"/>
      <c r="D411" s="2636"/>
      <c r="E411" s="2637"/>
      <c r="F411" s="2636"/>
      <c r="G411" s="2637"/>
      <c r="H411" s="2636"/>
      <c r="I411" s="2591">
        <v>0</v>
      </c>
      <c r="J411" s="431"/>
      <c r="K411" s="394"/>
      <c r="L411" s="305"/>
      <c r="M411" s="305"/>
      <c r="N411" s="305"/>
      <c r="O411" s="305"/>
      <c r="P411" s="305"/>
      <c r="Q411" s="305"/>
      <c r="R411" s="305"/>
      <c r="S411" s="305"/>
      <c r="T411" s="305"/>
      <c r="U411" s="305"/>
    </row>
    <row r="412" spans="1:21" s="52" customFormat="1" ht="13.5" customHeight="1">
      <c r="A412" s="427"/>
      <c r="B412" s="2618" t="s">
        <v>426</v>
      </c>
      <c r="C412" s="2639">
        <f>SUM(C413:C415)</f>
        <v>10604</v>
      </c>
      <c r="D412" s="2638">
        <f t="shared" ref="D412:I412" si="71">SUM(D413:D415)</f>
        <v>-612</v>
      </c>
      <c r="E412" s="2639">
        <f t="shared" si="71"/>
        <v>0</v>
      </c>
      <c r="F412" s="2638">
        <f t="shared" si="71"/>
        <v>-933372</v>
      </c>
      <c r="G412" s="2639">
        <f t="shared" si="71"/>
        <v>-105727</v>
      </c>
      <c r="H412" s="2638">
        <f t="shared" si="71"/>
        <v>-6093</v>
      </c>
      <c r="I412" s="2264">
        <f t="shared" si="71"/>
        <v>-1035200</v>
      </c>
      <c r="J412" s="431"/>
      <c r="K412" s="394"/>
      <c r="L412" s="305"/>
      <c r="M412" s="305"/>
      <c r="N412" s="305"/>
      <c r="O412" s="305"/>
      <c r="P412" s="305"/>
      <c r="Q412" s="305"/>
      <c r="R412" s="305"/>
      <c r="S412" s="305"/>
      <c r="T412" s="305"/>
      <c r="U412" s="305"/>
    </row>
    <row r="413" spans="1:21" s="52" customFormat="1" ht="25.5" customHeight="1">
      <c r="A413" s="427"/>
      <c r="B413" s="2616" t="s">
        <v>427</v>
      </c>
      <c r="C413" s="2645">
        <v>-5883</v>
      </c>
      <c r="D413" s="2644">
        <v>-2012</v>
      </c>
      <c r="E413" s="2645"/>
      <c r="F413" s="2644">
        <v>-751597</v>
      </c>
      <c r="G413" s="2645">
        <v>-103703</v>
      </c>
      <c r="H413" s="2644">
        <v>-2700</v>
      </c>
      <c r="I413" s="2591">
        <f>SUM(C413:H413)</f>
        <v>-865895</v>
      </c>
      <c r="J413" s="431"/>
      <c r="K413" s="394"/>
      <c r="L413" s="305"/>
      <c r="M413" s="305"/>
      <c r="N413" s="305"/>
      <c r="O413" s="305"/>
      <c r="P413" s="305"/>
      <c r="Q413" s="305"/>
      <c r="R413" s="305"/>
      <c r="S413" s="305"/>
      <c r="T413" s="305"/>
      <c r="U413" s="305"/>
    </row>
    <row r="414" spans="1:21" s="52" customFormat="1" ht="25.5" customHeight="1">
      <c r="A414" s="427"/>
      <c r="B414" s="2616" t="s">
        <v>428</v>
      </c>
      <c r="C414" s="856">
        <v>16487</v>
      </c>
      <c r="D414" s="857">
        <v>1400</v>
      </c>
      <c r="E414" s="856"/>
      <c r="F414" s="857">
        <v>-181775</v>
      </c>
      <c r="G414" s="856">
        <v>-2024</v>
      </c>
      <c r="H414" s="857">
        <v>-3393</v>
      </c>
      <c r="I414" s="2591">
        <f t="shared" ref="I414:I415" si="72">SUM(C414:H414)</f>
        <v>-169305</v>
      </c>
      <c r="J414" s="431"/>
      <c r="K414" s="394"/>
      <c r="L414" s="305"/>
      <c r="M414" s="305"/>
      <c r="N414" s="305"/>
      <c r="O414" s="305"/>
      <c r="P414" s="305"/>
      <c r="Q414" s="305"/>
      <c r="R414" s="305"/>
      <c r="S414" s="305"/>
      <c r="T414" s="305"/>
      <c r="U414" s="305"/>
    </row>
    <row r="415" spans="1:21" s="52" customFormat="1" ht="26.25" customHeight="1">
      <c r="A415" s="427"/>
      <c r="B415" s="2616" t="s">
        <v>429</v>
      </c>
      <c r="C415" s="2639"/>
      <c r="D415" s="2638"/>
      <c r="E415" s="2639"/>
      <c r="F415" s="2638"/>
      <c r="G415" s="2639"/>
      <c r="H415" s="2638"/>
      <c r="I415" s="2591">
        <f t="shared" si="72"/>
        <v>0</v>
      </c>
      <c r="J415" s="431"/>
      <c r="K415" s="394"/>
      <c r="L415" s="305"/>
      <c r="M415" s="305"/>
      <c r="N415" s="305"/>
      <c r="O415" s="305"/>
      <c r="P415" s="305"/>
      <c r="Q415" s="305"/>
      <c r="R415" s="305"/>
      <c r="S415" s="305"/>
      <c r="T415" s="305"/>
      <c r="U415" s="305"/>
    </row>
    <row r="416" spans="1:21" s="52" customFormat="1" ht="13.5" customHeight="1">
      <c r="A416" s="427"/>
      <c r="B416" s="2622" t="s">
        <v>430</v>
      </c>
      <c r="C416" s="2634">
        <f>+C410+C413+C414+C415</f>
        <v>30916</v>
      </c>
      <c r="D416" s="2633">
        <f t="shared" ref="D416:I416" si="73">+D410+D413+D414+D415</f>
        <v>3360</v>
      </c>
      <c r="E416" s="2634">
        <f t="shared" si="73"/>
        <v>0</v>
      </c>
      <c r="F416" s="2633">
        <f t="shared" si="73"/>
        <v>489163</v>
      </c>
      <c r="G416" s="2634">
        <f t="shared" si="73"/>
        <v>18446</v>
      </c>
      <c r="H416" s="2633">
        <f t="shared" si="73"/>
        <v>24225</v>
      </c>
      <c r="I416" s="2599">
        <f t="shared" si="73"/>
        <v>566110</v>
      </c>
      <c r="J416" s="431"/>
      <c r="K416" s="394"/>
      <c r="L416" s="305"/>
      <c r="M416" s="305"/>
      <c r="N416" s="305"/>
      <c r="O416" s="305"/>
      <c r="P416" s="305"/>
      <c r="Q416" s="305"/>
      <c r="R416" s="305"/>
      <c r="S416" s="305"/>
      <c r="T416" s="305"/>
      <c r="U416" s="305"/>
    </row>
    <row r="417" spans="1:21" s="52" customFormat="1" ht="13.5" customHeight="1">
      <c r="A417" s="427"/>
      <c r="B417" s="2623"/>
      <c r="C417" s="2637"/>
      <c r="D417" s="2636"/>
      <c r="E417" s="2637"/>
      <c r="F417" s="2636"/>
      <c r="G417" s="2637"/>
      <c r="H417" s="2636"/>
      <c r="I417" s="2647"/>
      <c r="J417" s="431"/>
      <c r="K417" s="394"/>
      <c r="L417" s="305"/>
      <c r="M417" s="305"/>
      <c r="N417" s="305"/>
      <c r="O417" s="305"/>
      <c r="P417" s="305"/>
      <c r="Q417" s="305"/>
      <c r="R417" s="305"/>
      <c r="S417" s="305"/>
      <c r="T417" s="305"/>
      <c r="U417" s="305"/>
    </row>
    <row r="418" spans="1:21" s="52" customFormat="1" ht="13.5" customHeight="1">
      <c r="A418" s="427"/>
      <c r="B418" s="2618" t="s">
        <v>431</v>
      </c>
      <c r="C418" s="2624"/>
      <c r="D418" s="2625"/>
      <c r="E418" s="2624"/>
      <c r="F418" s="2625"/>
      <c r="G418" s="2624"/>
      <c r="H418" s="2625"/>
      <c r="I418" s="2647">
        <f>SUM(I419:I421)</f>
        <v>171540</v>
      </c>
      <c r="J418" s="431"/>
      <c r="K418" s="394"/>
      <c r="L418" s="305"/>
      <c r="M418" s="305"/>
      <c r="N418" s="305"/>
      <c r="O418" s="305"/>
      <c r="P418" s="305"/>
      <c r="Q418" s="305"/>
      <c r="R418" s="305"/>
      <c r="S418" s="305"/>
      <c r="T418" s="305"/>
      <c r="U418" s="305"/>
    </row>
    <row r="419" spans="1:21" s="52" customFormat="1" ht="13.5" customHeight="1">
      <c r="A419" s="427"/>
      <c r="B419" s="2616" t="s">
        <v>432</v>
      </c>
      <c r="C419" s="2624"/>
      <c r="D419" s="2625"/>
      <c r="E419" s="2624"/>
      <c r="F419" s="2625"/>
      <c r="G419" s="2624"/>
      <c r="H419" s="2625"/>
      <c r="I419" s="2670">
        <v>50957</v>
      </c>
      <c r="J419" s="431"/>
      <c r="K419" s="394"/>
      <c r="L419" s="305"/>
      <c r="M419" s="305"/>
      <c r="N419" s="305"/>
      <c r="O419" s="305"/>
      <c r="P419" s="305"/>
      <c r="Q419" s="305"/>
      <c r="R419" s="305"/>
      <c r="S419" s="305"/>
      <c r="T419" s="305"/>
      <c r="U419" s="305"/>
    </row>
    <row r="420" spans="1:21" s="52" customFormat="1" ht="13.5" customHeight="1">
      <c r="A420" s="427"/>
      <c r="B420" s="2616" t="s">
        <v>446</v>
      </c>
      <c r="C420" s="2624"/>
      <c r="D420" s="2625"/>
      <c r="E420" s="2624"/>
      <c r="F420" s="2625"/>
      <c r="G420" s="2624"/>
      <c r="H420" s="2625"/>
      <c r="I420" s="1781">
        <v>120583</v>
      </c>
      <c r="J420" s="431"/>
      <c r="K420" s="394"/>
      <c r="L420" s="305"/>
      <c r="M420" s="305"/>
      <c r="N420" s="305"/>
      <c r="O420" s="305"/>
      <c r="P420" s="305"/>
      <c r="Q420" s="305"/>
      <c r="R420" s="305"/>
      <c r="S420" s="305"/>
      <c r="T420" s="305"/>
      <c r="U420" s="305"/>
    </row>
    <row r="421" spans="1:21" s="52" customFormat="1" ht="13.5" customHeight="1">
      <c r="A421" s="427"/>
      <c r="B421" s="2616" t="s">
        <v>434</v>
      </c>
      <c r="C421" s="2624"/>
      <c r="D421" s="2625"/>
      <c r="E421" s="2624"/>
      <c r="F421" s="2625"/>
      <c r="G421" s="2624"/>
      <c r="H421" s="2625"/>
      <c r="I421" s="2591"/>
      <c r="J421" s="431"/>
      <c r="K421" s="394"/>
      <c r="L421" s="305"/>
      <c r="M421" s="305"/>
      <c r="N421" s="305"/>
      <c r="O421" s="305"/>
      <c r="P421" s="305"/>
      <c r="Q421" s="305"/>
      <c r="R421" s="305"/>
      <c r="S421" s="305"/>
      <c r="T421" s="305"/>
      <c r="U421" s="305"/>
    </row>
    <row r="422" spans="1:21" s="52" customFormat="1" ht="13.5" customHeight="1">
      <c r="A422" s="427"/>
      <c r="B422" s="2616"/>
      <c r="C422" s="2624"/>
      <c r="D422" s="2625"/>
      <c r="E422" s="2624"/>
      <c r="F422" s="2625"/>
      <c r="G422" s="2624"/>
      <c r="H422" s="2625"/>
      <c r="I422" s="2591"/>
      <c r="J422" s="431"/>
      <c r="K422" s="394"/>
      <c r="L422" s="305"/>
      <c r="M422" s="305"/>
      <c r="N422" s="305"/>
      <c r="O422" s="305"/>
      <c r="P422" s="305"/>
      <c r="Q422" s="305"/>
      <c r="R422" s="305"/>
      <c r="S422" s="305"/>
      <c r="T422" s="305"/>
      <c r="U422" s="305"/>
    </row>
    <row r="423" spans="1:21" s="52" customFormat="1" ht="13.5" customHeight="1">
      <c r="A423" s="427"/>
      <c r="B423" s="2618" t="s">
        <v>435</v>
      </c>
      <c r="C423" s="2624"/>
      <c r="D423" s="2625"/>
      <c r="E423" s="2624"/>
      <c r="F423" s="2625"/>
      <c r="G423" s="2624"/>
      <c r="H423" s="2625"/>
      <c r="I423" s="2591">
        <f>SUM(I424:I425)</f>
        <v>-553710</v>
      </c>
      <c r="J423" s="431"/>
      <c r="K423" s="394"/>
      <c r="L423" s="305"/>
      <c r="M423" s="305"/>
      <c r="N423" s="305"/>
      <c r="O423" s="305"/>
      <c r="P423" s="305"/>
      <c r="Q423" s="305"/>
      <c r="R423" s="305"/>
      <c r="S423" s="305"/>
      <c r="T423" s="305"/>
      <c r="U423" s="305"/>
    </row>
    <row r="424" spans="1:21" s="52" customFormat="1" ht="27" customHeight="1">
      <c r="A424" s="427"/>
      <c r="B424" s="2616" t="s">
        <v>436</v>
      </c>
      <c r="C424" s="2624"/>
      <c r="D424" s="2625"/>
      <c r="E424" s="2624"/>
      <c r="F424" s="2625"/>
      <c r="G424" s="2624"/>
      <c r="H424" s="2625"/>
      <c r="I424" s="2670">
        <v>-553710</v>
      </c>
      <c r="J424" s="431"/>
      <c r="K424" s="394"/>
      <c r="L424" s="305"/>
      <c r="M424" s="305"/>
      <c r="N424" s="305"/>
      <c r="O424" s="305"/>
      <c r="P424" s="305"/>
      <c r="Q424" s="305"/>
      <c r="R424" s="305"/>
      <c r="S424" s="305"/>
      <c r="T424" s="305"/>
      <c r="U424" s="305"/>
    </row>
    <row r="425" spans="1:21" s="52" customFormat="1" ht="27" customHeight="1">
      <c r="A425" s="427"/>
      <c r="B425" s="2616" t="s">
        <v>437</v>
      </c>
      <c r="C425" s="2624"/>
      <c r="D425" s="2625"/>
      <c r="E425" s="2624"/>
      <c r="F425" s="2625"/>
      <c r="G425" s="2624"/>
      <c r="H425" s="2625"/>
      <c r="I425" s="2591"/>
      <c r="J425" s="431"/>
      <c r="K425" s="394"/>
      <c r="L425" s="305"/>
      <c r="M425" s="305"/>
      <c r="N425" s="305"/>
      <c r="O425" s="305"/>
      <c r="P425" s="305"/>
      <c r="Q425" s="305"/>
      <c r="R425" s="305"/>
      <c r="S425" s="305"/>
      <c r="T425" s="305"/>
      <c r="U425" s="305"/>
    </row>
    <row r="426" spans="1:21" s="52" customFormat="1" ht="13.5" customHeight="1">
      <c r="A426" s="427"/>
      <c r="B426" s="2618" t="s">
        <v>438</v>
      </c>
      <c r="C426" s="2624"/>
      <c r="D426" s="2625"/>
      <c r="E426" s="2624"/>
      <c r="F426" s="2625"/>
      <c r="G426" s="2624"/>
      <c r="H426" s="2625"/>
      <c r="I426" s="2647">
        <f>+I416+I418+I423</f>
        <v>183940</v>
      </c>
      <c r="J426" s="431"/>
      <c r="K426" s="394"/>
      <c r="L426" s="305"/>
      <c r="M426" s="305"/>
      <c r="N426" s="305"/>
      <c r="O426" s="305"/>
      <c r="P426" s="305"/>
      <c r="Q426" s="305"/>
      <c r="R426" s="305"/>
      <c r="S426" s="305"/>
      <c r="T426" s="305"/>
      <c r="U426" s="305"/>
    </row>
    <row r="427" spans="1:21" s="52" customFormat="1" ht="13.5" customHeight="1">
      <c r="A427" s="427"/>
      <c r="B427" s="2616" t="s">
        <v>439</v>
      </c>
      <c r="C427" s="2624"/>
      <c r="D427" s="2625"/>
      <c r="E427" s="2624"/>
      <c r="F427" s="2625"/>
      <c r="G427" s="2624"/>
      <c r="H427" s="2625"/>
      <c r="I427" s="2591">
        <v>0</v>
      </c>
      <c r="J427" s="431"/>
      <c r="K427" s="394"/>
      <c r="L427" s="305"/>
      <c r="M427" s="305"/>
      <c r="N427" s="305"/>
      <c r="O427" s="305"/>
      <c r="P427" s="305"/>
      <c r="Q427" s="305"/>
      <c r="R427" s="305"/>
      <c r="S427" s="305"/>
      <c r="T427" s="305"/>
      <c r="U427" s="305"/>
    </row>
    <row r="428" spans="1:21" s="52" customFormat="1" ht="13.5" customHeight="1">
      <c r="A428" s="427"/>
      <c r="B428" s="2626" t="s">
        <v>440</v>
      </c>
      <c r="C428" s="2624"/>
      <c r="D428" s="2625"/>
      <c r="E428" s="2624"/>
      <c r="F428" s="2625"/>
      <c r="G428" s="2624"/>
      <c r="H428" s="2625"/>
      <c r="I428" s="2647">
        <f>SUM(I426:I427)</f>
        <v>183940</v>
      </c>
      <c r="J428" s="431"/>
      <c r="K428" s="394"/>
      <c r="L428" s="305"/>
      <c r="M428" s="305"/>
      <c r="N428" s="305"/>
      <c r="O428" s="305"/>
      <c r="P428" s="305"/>
      <c r="Q428" s="305"/>
      <c r="R428" s="305"/>
      <c r="S428" s="305"/>
      <c r="T428" s="305"/>
      <c r="U428" s="305"/>
    </row>
    <row r="429" spans="1:21" s="52" customFormat="1" ht="13.5" customHeight="1">
      <c r="A429" s="427"/>
      <c r="B429" s="2627" t="s">
        <v>441</v>
      </c>
      <c r="C429" s="2624"/>
      <c r="D429" s="2625"/>
      <c r="E429" s="2624"/>
      <c r="F429" s="2625"/>
      <c r="G429" s="2624"/>
      <c r="H429" s="2625"/>
      <c r="I429" s="2670">
        <v>-47041</v>
      </c>
      <c r="J429" s="431"/>
      <c r="K429" s="394"/>
      <c r="L429" s="305"/>
      <c r="M429" s="305"/>
      <c r="N429" s="305"/>
      <c r="O429" s="305"/>
      <c r="P429" s="305"/>
      <c r="Q429" s="305"/>
      <c r="R429" s="305"/>
      <c r="S429" s="305"/>
      <c r="T429" s="305"/>
      <c r="U429" s="305"/>
    </row>
    <row r="430" spans="1:21" s="52" customFormat="1" ht="13.5" customHeight="1" thickBot="1">
      <c r="A430" s="427"/>
      <c r="B430" s="1762" t="s">
        <v>442</v>
      </c>
      <c r="C430" s="489"/>
      <c r="D430" s="1312"/>
      <c r="E430" s="489"/>
      <c r="F430" s="1312"/>
      <c r="G430" s="489"/>
      <c r="H430" s="1312"/>
      <c r="I430" s="1774">
        <f>SUM(I428:I429)</f>
        <v>136899</v>
      </c>
      <c r="J430" s="431"/>
      <c r="K430" s="394"/>
      <c r="L430" s="305"/>
      <c r="M430" s="305"/>
      <c r="N430" s="305"/>
      <c r="O430" s="305"/>
      <c r="P430" s="305"/>
      <c r="Q430" s="305"/>
      <c r="R430" s="305"/>
      <c r="S430" s="305"/>
      <c r="T430" s="305"/>
      <c r="U430" s="305"/>
    </row>
    <row r="431" spans="1:21" s="52" customFormat="1" ht="13.5" customHeight="1">
      <c r="A431" s="427"/>
      <c r="B431" s="218"/>
      <c r="C431" s="218"/>
      <c r="D431" s="218"/>
      <c r="E431" s="433"/>
      <c r="F431" s="433"/>
      <c r="G431" s="433"/>
      <c r="H431" s="433"/>
      <c r="I431" s="433"/>
      <c r="J431" s="431"/>
      <c r="K431" s="394"/>
      <c r="L431" s="305"/>
      <c r="M431" s="305"/>
      <c r="N431" s="305"/>
      <c r="O431" s="305"/>
      <c r="P431" s="305"/>
      <c r="Q431" s="305"/>
      <c r="R431" s="305"/>
      <c r="S431" s="305"/>
      <c r="T431" s="305"/>
      <c r="U431" s="305"/>
    </row>
    <row r="432" spans="1:21" s="52" customFormat="1" ht="13.5" customHeight="1">
      <c r="A432" s="427"/>
      <c r="B432" s="218"/>
      <c r="C432" s="218"/>
      <c r="D432" s="218"/>
      <c r="E432" s="433"/>
      <c r="F432" s="433"/>
      <c r="G432" s="433"/>
      <c r="H432" s="433"/>
      <c r="I432" s="433"/>
      <c r="J432" s="431"/>
      <c r="K432" s="394">
        <v>122</v>
      </c>
      <c r="L432" s="305"/>
      <c r="M432" s="305"/>
      <c r="N432" s="305"/>
      <c r="O432" s="305"/>
      <c r="P432" s="305"/>
      <c r="Q432" s="305"/>
      <c r="R432" s="305"/>
      <c r="S432" s="305"/>
      <c r="T432" s="305"/>
      <c r="U432" s="305"/>
    </row>
    <row r="433" spans="1:21" s="52" customFormat="1" ht="13.5" customHeight="1">
      <c r="A433" s="427"/>
      <c r="B433" s="218"/>
      <c r="C433" s="218"/>
      <c r="D433" s="218"/>
      <c r="E433" s="433"/>
      <c r="F433" s="433"/>
      <c r="G433" s="433"/>
      <c r="H433" s="433"/>
      <c r="I433" s="433"/>
      <c r="J433" s="431"/>
      <c r="K433" s="394"/>
      <c r="L433" s="305"/>
      <c r="M433" s="305"/>
      <c r="N433" s="305"/>
      <c r="O433" s="305"/>
      <c r="P433" s="305"/>
      <c r="Q433" s="305"/>
      <c r="R433" s="305"/>
      <c r="S433" s="305"/>
      <c r="T433" s="305"/>
      <c r="U433" s="305"/>
    </row>
    <row r="434" spans="1:21" s="52" customFormat="1" ht="13.5" customHeight="1">
      <c r="A434" s="427"/>
      <c r="B434" s="295" t="s">
        <v>444</v>
      </c>
      <c r="C434" s="218"/>
      <c r="D434" s="218"/>
      <c r="E434" s="433"/>
      <c r="F434" s="433"/>
      <c r="G434" s="433"/>
      <c r="H434" s="433"/>
      <c r="I434" s="433"/>
      <c r="J434" s="431"/>
      <c r="K434" s="394"/>
      <c r="L434" s="305"/>
      <c r="M434" s="305"/>
      <c r="N434" s="305"/>
      <c r="O434" s="305"/>
      <c r="P434" s="305"/>
      <c r="Q434" s="305"/>
      <c r="R434" s="305"/>
      <c r="S434" s="305"/>
      <c r="T434" s="305"/>
      <c r="U434" s="305"/>
    </row>
    <row r="435" spans="1:21" s="52" customFormat="1" ht="13.5" customHeight="1" thickBot="1">
      <c r="A435" s="427"/>
      <c r="B435" s="218"/>
      <c r="C435" s="218"/>
      <c r="D435" s="218"/>
      <c r="E435" s="433"/>
      <c r="F435" s="433"/>
      <c r="G435" s="433"/>
      <c r="H435" s="433"/>
      <c r="I435" s="433"/>
      <c r="J435" s="431"/>
      <c r="K435" s="394"/>
      <c r="L435" s="305"/>
      <c r="M435" s="305"/>
      <c r="N435" s="305"/>
      <c r="O435" s="305"/>
      <c r="P435" s="305"/>
      <c r="Q435" s="305"/>
      <c r="R435" s="305"/>
      <c r="S435" s="305"/>
      <c r="T435" s="305"/>
      <c r="U435" s="305"/>
    </row>
    <row r="436" spans="1:21" ht="13.5" customHeight="1">
      <c r="B436" s="1765" t="s">
        <v>403</v>
      </c>
      <c r="I436" s="535" t="s">
        <v>232</v>
      </c>
      <c r="J436" s="556"/>
      <c r="L436" s="305"/>
      <c r="M436" s="305"/>
      <c r="N436" s="305"/>
      <c r="O436" s="305"/>
      <c r="P436" s="305"/>
      <c r="Q436" s="305"/>
      <c r="R436" s="305"/>
      <c r="S436" s="305"/>
      <c r="T436" s="305"/>
      <c r="U436" s="305"/>
    </row>
    <row r="437" spans="1:21" s="52" customFormat="1" ht="13.5" customHeight="1" thickBot="1">
      <c r="A437" s="414"/>
      <c r="B437" s="3536"/>
      <c r="C437" s="3609">
        <v>2021</v>
      </c>
      <c r="D437" s="3618"/>
      <c r="E437" s="3618"/>
      <c r="F437" s="3618"/>
      <c r="G437" s="3618"/>
      <c r="H437" s="3618"/>
      <c r="I437" s="3610"/>
      <c r="J437" s="434"/>
      <c r="K437" s="394"/>
      <c r="L437" s="305"/>
      <c r="M437" s="305"/>
      <c r="N437" s="305"/>
      <c r="O437" s="305"/>
      <c r="P437" s="305"/>
      <c r="Q437" s="305"/>
      <c r="R437" s="305"/>
      <c r="S437" s="305"/>
      <c r="T437" s="305"/>
      <c r="U437" s="305"/>
    </row>
    <row r="438" spans="1:21" s="52" customFormat="1" ht="13.5" customHeight="1" thickBot="1">
      <c r="A438" s="415"/>
      <c r="B438" s="3587"/>
      <c r="C438" s="3607" t="s">
        <v>412</v>
      </c>
      <c r="D438" s="3643" t="s">
        <v>413</v>
      </c>
      <c r="E438" s="3644" t="s">
        <v>414</v>
      </c>
      <c r="F438" s="3645"/>
      <c r="G438" s="3611" t="s">
        <v>415</v>
      </c>
      <c r="H438" s="3646" t="s">
        <v>416</v>
      </c>
      <c r="I438" s="3648" t="s">
        <v>118</v>
      </c>
      <c r="J438" s="454"/>
      <c r="K438" s="3617"/>
      <c r="L438" s="305"/>
      <c r="M438" s="305"/>
      <c r="N438" s="305"/>
      <c r="O438" s="305"/>
      <c r="P438" s="305"/>
      <c r="Q438" s="305"/>
      <c r="R438" s="305"/>
      <c r="S438" s="305"/>
      <c r="T438" s="305"/>
      <c r="U438" s="305"/>
    </row>
    <row r="439" spans="1:21" s="52" customFormat="1" ht="13.5" customHeight="1" thickBot="1">
      <c r="A439" s="415"/>
      <c r="B439" s="3545"/>
      <c r="C439" s="3608"/>
      <c r="D439" s="3621"/>
      <c r="E439" s="1744" t="s">
        <v>418</v>
      </c>
      <c r="F439" s="1728" t="s">
        <v>419</v>
      </c>
      <c r="G439" s="3612"/>
      <c r="H439" s="3647"/>
      <c r="I439" s="3608"/>
      <c r="J439" s="454"/>
      <c r="K439" s="3617"/>
      <c r="L439" s="305"/>
      <c r="M439" s="305"/>
      <c r="N439" s="305"/>
      <c r="O439" s="305"/>
      <c r="P439" s="305"/>
      <c r="Q439" s="305"/>
      <c r="R439" s="305"/>
      <c r="S439" s="305"/>
      <c r="T439" s="305"/>
      <c r="U439" s="305"/>
    </row>
    <row r="440" spans="1:21" s="52" customFormat="1" ht="13.5" customHeight="1">
      <c r="A440" s="427"/>
      <c r="B440" s="1770" t="s">
        <v>333</v>
      </c>
      <c r="C440" s="855">
        <v>507548</v>
      </c>
      <c r="D440" s="2644">
        <v>131414</v>
      </c>
      <c r="E440" s="2645">
        <v>212466</v>
      </c>
      <c r="F440" s="2644">
        <v>4551943</v>
      </c>
      <c r="G440" s="2645">
        <v>156917</v>
      </c>
      <c r="H440" s="2644">
        <v>443177</v>
      </c>
      <c r="I440" s="1780">
        <f>SUM(C440:H440)</f>
        <v>6003465</v>
      </c>
      <c r="J440" s="431"/>
      <c r="K440" s="286"/>
      <c r="L440" s="305"/>
      <c r="M440" s="305"/>
      <c r="N440" s="305"/>
      <c r="O440" s="305"/>
      <c r="P440" s="305"/>
      <c r="Q440" s="305"/>
      <c r="R440" s="305"/>
      <c r="S440" s="305"/>
      <c r="T440" s="305"/>
      <c r="U440" s="305"/>
    </row>
    <row r="441" spans="1:21" s="52" customFormat="1" ht="13.5" customHeight="1">
      <c r="A441" s="427"/>
      <c r="B441" s="2616" t="s">
        <v>447</v>
      </c>
      <c r="C441" s="856">
        <v>-22668</v>
      </c>
      <c r="D441" s="857">
        <v>-12337</v>
      </c>
      <c r="E441" s="856"/>
      <c r="F441" s="857"/>
      <c r="G441" s="856"/>
      <c r="H441" s="857">
        <v>-510</v>
      </c>
      <c r="I441" s="2591">
        <f t="shared" ref="I441:I443" si="74">SUM(C441:H441)</f>
        <v>-35515</v>
      </c>
      <c r="J441" s="431"/>
      <c r="K441" s="286"/>
      <c r="L441" s="305"/>
      <c r="M441" s="305"/>
      <c r="N441" s="305"/>
      <c r="O441" s="305"/>
      <c r="P441" s="305"/>
      <c r="Q441" s="305"/>
      <c r="R441" s="305"/>
      <c r="S441" s="305"/>
      <c r="T441" s="305"/>
      <c r="U441" s="305"/>
    </row>
    <row r="442" spans="1:21" s="52" customFormat="1" ht="13.5" customHeight="1">
      <c r="A442" s="427"/>
      <c r="B442" s="2616" t="s">
        <v>445</v>
      </c>
      <c r="C442" s="856">
        <v>-201876</v>
      </c>
      <c r="D442" s="857">
        <v>-1117</v>
      </c>
      <c r="E442" s="856"/>
      <c r="F442" s="857">
        <v>-118308</v>
      </c>
      <c r="G442" s="856"/>
      <c r="H442" s="857">
        <v>-12063</v>
      </c>
      <c r="I442" s="2591">
        <f t="shared" si="74"/>
        <v>-333364</v>
      </c>
      <c r="J442" s="431"/>
      <c r="K442" s="286"/>
      <c r="L442" s="305"/>
      <c r="M442" s="305"/>
      <c r="N442" s="305"/>
      <c r="O442" s="305"/>
      <c r="P442" s="305"/>
      <c r="Q442" s="305"/>
      <c r="R442" s="305"/>
      <c r="S442" s="305"/>
      <c r="T442" s="305"/>
      <c r="U442" s="305"/>
    </row>
    <row r="443" spans="1:21" s="52" customFormat="1" ht="13.5" customHeight="1">
      <c r="A443" s="427"/>
      <c r="B443" s="2616" t="s">
        <v>422</v>
      </c>
      <c r="C443" s="856">
        <v>-190829</v>
      </c>
      <c r="D443" s="857">
        <v>-88864</v>
      </c>
      <c r="E443" s="856"/>
      <c r="F443" s="857">
        <v>-50422</v>
      </c>
      <c r="G443" s="856"/>
      <c r="H443" s="857">
        <v>-260323</v>
      </c>
      <c r="I443" s="2591">
        <f t="shared" si="74"/>
        <v>-590438</v>
      </c>
      <c r="J443" s="431"/>
      <c r="K443" s="394"/>
      <c r="L443" s="305"/>
      <c r="M443" s="305"/>
      <c r="N443" s="305"/>
      <c r="O443" s="305"/>
      <c r="P443" s="305"/>
      <c r="Q443" s="305"/>
      <c r="R443" s="305"/>
      <c r="S443" s="305"/>
      <c r="T443" s="305"/>
      <c r="U443" s="305"/>
    </row>
    <row r="444" spans="1:21" s="236" customFormat="1" ht="13.5" customHeight="1">
      <c r="A444" s="428"/>
      <c r="B444" s="2618" t="s">
        <v>423</v>
      </c>
      <c r="C444" s="2634">
        <f>SUM(C440:C443)</f>
        <v>92175</v>
      </c>
      <c r="D444" s="2633">
        <f t="shared" ref="D444:I444" si="75">SUM(D440:D443)</f>
        <v>29096</v>
      </c>
      <c r="E444" s="2634">
        <f t="shared" si="75"/>
        <v>212466</v>
      </c>
      <c r="F444" s="2633">
        <f t="shared" si="75"/>
        <v>4383213</v>
      </c>
      <c r="G444" s="2634">
        <f t="shared" si="75"/>
        <v>156917</v>
      </c>
      <c r="H444" s="2633">
        <f t="shared" si="75"/>
        <v>170281</v>
      </c>
      <c r="I444" s="2599">
        <f t="shared" si="75"/>
        <v>5044148</v>
      </c>
      <c r="J444" s="431"/>
      <c r="K444" s="463"/>
      <c r="L444" s="305"/>
      <c r="M444" s="305"/>
      <c r="N444" s="305"/>
      <c r="O444" s="305"/>
      <c r="P444" s="305"/>
      <c r="Q444" s="305"/>
      <c r="R444" s="305"/>
      <c r="S444" s="305"/>
      <c r="T444" s="305"/>
      <c r="U444" s="305"/>
    </row>
    <row r="445" spans="1:21" s="52" customFormat="1" ht="13.5" customHeight="1">
      <c r="A445" s="427"/>
      <c r="B445" s="2616" t="s">
        <v>424</v>
      </c>
      <c r="C445" s="2645">
        <v>-3232</v>
      </c>
      <c r="D445" s="2644">
        <v>-6617</v>
      </c>
      <c r="E445" s="2645">
        <v>15885</v>
      </c>
      <c r="F445" s="2644">
        <v>94606</v>
      </c>
      <c r="G445" s="2645"/>
      <c r="H445" s="2644">
        <v>-24166</v>
      </c>
      <c r="I445" s="2591">
        <f>SUM(C445:H445)</f>
        <v>76476</v>
      </c>
      <c r="J445" s="431"/>
      <c r="K445" s="394"/>
      <c r="L445" s="305"/>
      <c r="M445" s="305"/>
      <c r="N445" s="305"/>
      <c r="O445" s="305"/>
      <c r="P445" s="305"/>
      <c r="Q445" s="305"/>
      <c r="R445" s="305"/>
      <c r="S445" s="305"/>
      <c r="T445" s="305"/>
      <c r="U445" s="305"/>
    </row>
    <row r="446" spans="1:21" s="236" customFormat="1" ht="13.5" customHeight="1">
      <c r="A446" s="428"/>
      <c r="B446" s="2618" t="s">
        <v>425</v>
      </c>
      <c r="C446" s="2634">
        <f>SUM(C444:C445)</f>
        <v>88943</v>
      </c>
      <c r="D446" s="2633">
        <f t="shared" ref="D446:I446" si="76">SUM(D444:D445)</f>
        <v>22479</v>
      </c>
      <c r="E446" s="2634">
        <f t="shared" si="76"/>
        <v>228351</v>
      </c>
      <c r="F446" s="2633">
        <f t="shared" si="76"/>
        <v>4477819</v>
      </c>
      <c r="G446" s="2634">
        <f t="shared" si="76"/>
        <v>156917</v>
      </c>
      <c r="H446" s="2633">
        <f t="shared" si="76"/>
        <v>146115</v>
      </c>
      <c r="I446" s="2599">
        <f t="shared" si="76"/>
        <v>5120624</v>
      </c>
      <c r="J446" s="431"/>
      <c r="K446" s="463"/>
      <c r="L446" s="305"/>
      <c r="M446" s="305"/>
      <c r="N446" s="305"/>
      <c r="O446" s="305"/>
      <c r="P446" s="305"/>
      <c r="Q446" s="305"/>
      <c r="R446" s="305"/>
      <c r="S446" s="305"/>
      <c r="T446" s="305"/>
      <c r="U446" s="305"/>
    </row>
    <row r="447" spans="1:21" s="52" customFormat="1" ht="13.5" customHeight="1">
      <c r="A447" s="427"/>
      <c r="B447" s="2616"/>
      <c r="C447" s="2637"/>
      <c r="D447" s="2636"/>
      <c r="E447" s="2637"/>
      <c r="F447" s="2636"/>
      <c r="G447" s="2637"/>
      <c r="H447" s="2636"/>
      <c r="I447" s="2591"/>
      <c r="J447" s="431"/>
      <c r="K447" s="394"/>
      <c r="L447" s="305"/>
      <c r="M447" s="305"/>
      <c r="N447" s="305"/>
      <c r="O447" s="305"/>
      <c r="P447" s="305"/>
      <c r="Q447" s="305"/>
      <c r="R447" s="305"/>
      <c r="S447" s="305"/>
      <c r="T447" s="305"/>
      <c r="U447" s="305"/>
    </row>
    <row r="448" spans="1:21" s="52" customFormat="1" ht="13.5" customHeight="1">
      <c r="A448" s="427"/>
      <c r="B448" s="2618" t="s">
        <v>426</v>
      </c>
      <c r="C448" s="2639">
        <f>SUM(C449:C451)</f>
        <v>764</v>
      </c>
      <c r="D448" s="2638">
        <f t="shared" ref="D448:I448" si="77">SUM(D449:D451)</f>
        <v>-15335</v>
      </c>
      <c r="E448" s="2639">
        <f t="shared" si="77"/>
        <v>-142549</v>
      </c>
      <c r="F448" s="2638">
        <f t="shared" si="77"/>
        <v>-3053181</v>
      </c>
      <c r="G448" s="2639">
        <f t="shared" si="77"/>
        <v>-213438</v>
      </c>
      <c r="H448" s="2638">
        <f t="shared" si="77"/>
        <v>-97643</v>
      </c>
      <c r="I448" s="2264">
        <f t="shared" si="77"/>
        <v>-3521382</v>
      </c>
      <c r="J448" s="431"/>
      <c r="K448" s="415"/>
      <c r="L448" s="305"/>
      <c r="M448" s="305"/>
      <c r="N448" s="305"/>
      <c r="O448" s="305"/>
      <c r="P448" s="305"/>
      <c r="Q448" s="305"/>
      <c r="R448" s="305"/>
      <c r="S448" s="305"/>
      <c r="T448" s="305"/>
      <c r="U448" s="305"/>
    </row>
    <row r="449" spans="1:21" s="52" customFormat="1" ht="30" customHeight="1">
      <c r="A449" s="427"/>
      <c r="B449" s="2616" t="s">
        <v>427</v>
      </c>
      <c r="C449" s="2645">
        <v>-33945</v>
      </c>
      <c r="D449" s="2644">
        <v>-20579</v>
      </c>
      <c r="E449" s="2645">
        <v>-122003</v>
      </c>
      <c r="F449" s="2644">
        <v>-2513051</v>
      </c>
      <c r="G449" s="2645">
        <v>-213438</v>
      </c>
      <c r="H449" s="2644">
        <v>-91302</v>
      </c>
      <c r="I449" s="2591">
        <f>SUM(C449:H449)</f>
        <v>-2994318</v>
      </c>
      <c r="J449" s="431"/>
      <c r="K449" s="394"/>
      <c r="L449" s="305"/>
      <c r="M449" s="305"/>
      <c r="N449" s="305"/>
      <c r="O449" s="305"/>
      <c r="P449" s="305"/>
      <c r="Q449" s="305"/>
      <c r="R449" s="305"/>
      <c r="S449" s="305"/>
      <c r="T449" s="305"/>
      <c r="U449" s="305"/>
    </row>
    <row r="450" spans="1:21" s="52" customFormat="1" ht="25.5" customHeight="1">
      <c r="A450" s="427"/>
      <c r="B450" s="2616" t="s">
        <v>428</v>
      </c>
      <c r="C450" s="856">
        <v>34709</v>
      </c>
      <c r="D450" s="857">
        <v>5244</v>
      </c>
      <c r="E450" s="856">
        <v>-20546</v>
      </c>
      <c r="F450" s="857">
        <v>-540130</v>
      </c>
      <c r="G450" s="856"/>
      <c r="H450" s="857">
        <v>-6341</v>
      </c>
      <c r="I450" s="2591">
        <f t="shared" ref="I450" si="78">SUM(C450:H450)</f>
        <v>-527064</v>
      </c>
      <c r="J450" s="431"/>
      <c r="K450" s="394"/>
      <c r="L450" s="305"/>
      <c r="M450" s="305"/>
      <c r="N450" s="305"/>
      <c r="O450" s="305"/>
      <c r="P450" s="305"/>
      <c r="Q450" s="305"/>
      <c r="R450" s="305"/>
      <c r="S450" s="305"/>
      <c r="T450" s="305"/>
      <c r="U450" s="305"/>
    </row>
    <row r="451" spans="1:21" s="52" customFormat="1" ht="16.5" customHeight="1">
      <c r="A451" s="427"/>
      <c r="B451" s="2616" t="s">
        <v>429</v>
      </c>
      <c r="C451" s="856"/>
      <c r="D451" s="857"/>
      <c r="E451" s="856"/>
      <c r="F451" s="857"/>
      <c r="G451" s="856"/>
      <c r="H451" s="857"/>
      <c r="I451" s="2591"/>
      <c r="J451" s="431"/>
      <c r="K451" s="394"/>
      <c r="L451" s="305"/>
      <c r="M451" s="305"/>
      <c r="N451" s="305"/>
      <c r="O451" s="305"/>
      <c r="P451" s="305"/>
      <c r="Q451" s="305"/>
      <c r="R451" s="305"/>
      <c r="S451" s="305"/>
      <c r="T451" s="305"/>
      <c r="U451" s="305"/>
    </row>
    <row r="452" spans="1:21" s="52" customFormat="1" ht="13.5" customHeight="1">
      <c r="A452" s="427"/>
      <c r="B452" s="2622" t="s">
        <v>430</v>
      </c>
      <c r="C452" s="2634">
        <f>+C446+C449+C450+C451</f>
        <v>89707</v>
      </c>
      <c r="D452" s="2633">
        <f t="shared" ref="D452:I452" si="79">+D446+D449+D450+D451</f>
        <v>7144</v>
      </c>
      <c r="E452" s="2634">
        <f t="shared" si="79"/>
        <v>85802</v>
      </c>
      <c r="F452" s="2633">
        <f t="shared" si="79"/>
        <v>1424638</v>
      </c>
      <c r="G452" s="2634">
        <f t="shared" si="79"/>
        <v>-56521</v>
      </c>
      <c r="H452" s="2633">
        <f t="shared" si="79"/>
        <v>48472</v>
      </c>
      <c r="I452" s="2599">
        <f t="shared" si="79"/>
        <v>1599242</v>
      </c>
      <c r="J452" s="431"/>
      <c r="K452" s="288"/>
      <c r="L452" s="305"/>
      <c r="M452" s="305"/>
      <c r="N452" s="305"/>
      <c r="O452" s="305"/>
      <c r="P452" s="305"/>
      <c r="Q452" s="305"/>
      <c r="R452" s="305"/>
      <c r="S452" s="305"/>
      <c r="T452" s="305"/>
      <c r="U452" s="305"/>
    </row>
    <row r="453" spans="1:21" s="52" customFormat="1" ht="13.5" customHeight="1">
      <c r="A453" s="427"/>
      <c r="B453" s="2623"/>
      <c r="C453" s="2637"/>
      <c r="D453" s="2636"/>
      <c r="E453" s="2637"/>
      <c r="F453" s="2636"/>
      <c r="G453" s="2637"/>
      <c r="H453" s="2636"/>
      <c r="I453" s="2647"/>
      <c r="J453" s="431"/>
      <c r="K453" s="394"/>
      <c r="L453" s="305"/>
      <c r="M453" s="305"/>
      <c r="N453" s="305"/>
      <c r="O453" s="305"/>
      <c r="P453" s="305"/>
      <c r="Q453" s="305"/>
      <c r="R453" s="305"/>
      <c r="S453" s="305"/>
      <c r="T453" s="305"/>
      <c r="U453" s="305"/>
    </row>
    <row r="454" spans="1:21" s="52" customFormat="1" ht="13.5" customHeight="1">
      <c r="A454" s="427"/>
      <c r="B454" s="2618" t="s">
        <v>431</v>
      </c>
      <c r="C454" s="2624"/>
      <c r="D454" s="2625"/>
      <c r="E454" s="2624"/>
      <c r="F454" s="2625"/>
      <c r="G454" s="2624"/>
      <c r="H454" s="2625"/>
      <c r="I454" s="2647">
        <f>SUM(I455:I457)</f>
        <v>785096</v>
      </c>
      <c r="J454" s="431"/>
      <c r="K454" s="394"/>
      <c r="L454" s="305"/>
      <c r="M454" s="305"/>
      <c r="N454" s="305"/>
      <c r="O454" s="305"/>
      <c r="P454" s="305"/>
      <c r="Q454" s="305"/>
      <c r="R454" s="305"/>
      <c r="S454" s="305"/>
      <c r="T454" s="305"/>
      <c r="U454" s="305"/>
    </row>
    <row r="455" spans="1:21" s="52" customFormat="1" ht="13.5" customHeight="1">
      <c r="A455" s="427"/>
      <c r="B455" s="2616" t="s">
        <v>432</v>
      </c>
      <c r="C455" s="2624"/>
      <c r="D455" s="2625"/>
      <c r="E455" s="2624"/>
      <c r="F455" s="2625"/>
      <c r="G455" s="2624"/>
      <c r="H455" s="2625"/>
      <c r="I455" s="2670">
        <v>54300</v>
      </c>
      <c r="J455" s="431"/>
      <c r="K455" s="394"/>
      <c r="L455" s="305"/>
      <c r="M455" s="305"/>
      <c r="N455" s="305"/>
      <c r="O455" s="305"/>
      <c r="P455" s="305"/>
      <c r="Q455" s="305"/>
      <c r="R455" s="305"/>
      <c r="S455" s="305"/>
      <c r="T455" s="305"/>
      <c r="U455" s="305"/>
    </row>
    <row r="456" spans="1:21" s="52" customFormat="1" ht="13.5" customHeight="1">
      <c r="A456" s="427"/>
      <c r="B456" s="2616" t="s">
        <v>433</v>
      </c>
      <c r="C456" s="2624"/>
      <c r="D456" s="2625"/>
      <c r="E456" s="2624"/>
      <c r="F456" s="2625"/>
      <c r="G456" s="2624"/>
      <c r="H456" s="2625"/>
      <c r="I456" s="1781">
        <v>679909</v>
      </c>
      <c r="J456" s="431"/>
      <c r="K456" s="394"/>
      <c r="L456" s="305"/>
      <c r="M456" s="305"/>
      <c r="N456" s="305"/>
      <c r="O456" s="305"/>
      <c r="P456" s="305"/>
      <c r="Q456" s="305"/>
      <c r="R456" s="305"/>
      <c r="S456" s="305"/>
      <c r="T456" s="305"/>
      <c r="U456" s="305"/>
    </row>
    <row r="457" spans="1:21" s="52" customFormat="1" ht="13.5" customHeight="1">
      <c r="A457" s="427"/>
      <c r="B457" s="2616" t="s">
        <v>434</v>
      </c>
      <c r="C457" s="2624"/>
      <c r="D457" s="2625"/>
      <c r="E457" s="2624"/>
      <c r="F457" s="2625"/>
      <c r="G457" s="2624"/>
      <c r="H457" s="2625"/>
      <c r="I457" s="1781">
        <v>50887</v>
      </c>
      <c r="J457" s="431"/>
      <c r="K457" s="394"/>
      <c r="L457" s="305"/>
      <c r="M457" s="305"/>
      <c r="N457" s="305"/>
      <c r="O457" s="305"/>
      <c r="P457" s="305"/>
      <c r="Q457" s="305"/>
      <c r="R457" s="305"/>
      <c r="S457" s="305"/>
      <c r="T457" s="305"/>
      <c r="U457" s="305"/>
    </row>
    <row r="458" spans="1:21" s="52" customFormat="1" ht="13.5" customHeight="1">
      <c r="A458" s="427"/>
      <c r="B458" s="2616"/>
      <c r="C458" s="2624"/>
      <c r="D458" s="2625"/>
      <c r="E458" s="2624"/>
      <c r="F458" s="2625"/>
      <c r="G458" s="2624"/>
      <c r="H458" s="2625"/>
      <c r="I458" s="2591"/>
      <c r="J458" s="431"/>
      <c r="K458" s="394"/>
      <c r="L458" s="305"/>
      <c r="M458" s="305"/>
      <c r="N458" s="305"/>
      <c r="O458" s="305"/>
      <c r="P458" s="305"/>
      <c r="Q458" s="305"/>
      <c r="R458" s="305"/>
      <c r="S458" s="305"/>
      <c r="T458" s="305"/>
      <c r="U458" s="305"/>
    </row>
    <row r="459" spans="1:21" s="52" customFormat="1" ht="13.5" customHeight="1">
      <c r="A459" s="427"/>
      <c r="B459" s="2618" t="s">
        <v>435</v>
      </c>
      <c r="C459" s="2624"/>
      <c r="D459" s="2625"/>
      <c r="E459" s="2624"/>
      <c r="F459" s="2625"/>
      <c r="G459" s="2624"/>
      <c r="H459" s="2625"/>
      <c r="I459" s="2591">
        <f>SUM(I460:I461)</f>
        <v>-1246958</v>
      </c>
      <c r="J459" s="431"/>
      <c r="K459" s="394"/>
      <c r="L459" s="305"/>
      <c r="M459" s="305"/>
      <c r="N459" s="305"/>
      <c r="O459" s="305"/>
      <c r="P459" s="305"/>
      <c r="Q459" s="305"/>
      <c r="R459" s="305"/>
      <c r="S459" s="305"/>
      <c r="T459" s="305"/>
      <c r="U459" s="305"/>
    </row>
    <row r="460" spans="1:21" s="52" customFormat="1" ht="27.6" customHeight="1">
      <c r="A460" s="427"/>
      <c r="B460" s="2616" t="s">
        <v>436</v>
      </c>
      <c r="C460" s="2624"/>
      <c r="D460" s="2625"/>
      <c r="E460" s="2624"/>
      <c r="F460" s="2625"/>
      <c r="G460" s="2624"/>
      <c r="H460" s="2625"/>
      <c r="I460" s="2670">
        <v>-1246958</v>
      </c>
      <c r="J460" s="431"/>
      <c r="K460" s="394"/>
      <c r="L460" s="305"/>
      <c r="M460" s="305"/>
      <c r="N460" s="305"/>
      <c r="O460" s="305"/>
      <c r="P460" s="305"/>
      <c r="Q460" s="305"/>
      <c r="R460" s="305"/>
      <c r="S460" s="305"/>
      <c r="T460" s="305"/>
      <c r="U460" s="305"/>
    </row>
    <row r="461" spans="1:21" s="52" customFormat="1" ht="27.6" customHeight="1">
      <c r="A461" s="427"/>
      <c r="B461" s="2616" t="s">
        <v>437</v>
      </c>
      <c r="C461" s="2682"/>
      <c r="D461" s="2625"/>
      <c r="E461" s="2624"/>
      <c r="F461" s="2625"/>
      <c r="G461" s="2624"/>
      <c r="H461" s="2625"/>
      <c r="I461" s="2591"/>
      <c r="J461" s="431"/>
      <c r="K461" s="394"/>
      <c r="L461" s="305"/>
      <c r="M461" s="305"/>
      <c r="N461" s="305"/>
      <c r="O461" s="305"/>
      <c r="P461" s="305"/>
      <c r="Q461" s="305"/>
      <c r="R461" s="305"/>
      <c r="S461" s="305"/>
      <c r="T461" s="305"/>
      <c r="U461" s="305"/>
    </row>
    <row r="462" spans="1:21" s="52" customFormat="1" ht="13.5" customHeight="1">
      <c r="A462" s="427"/>
      <c r="B462" s="2618" t="s">
        <v>438</v>
      </c>
      <c r="C462" s="2624"/>
      <c r="D462" s="2625"/>
      <c r="E462" s="2624"/>
      <c r="F462" s="2625"/>
      <c r="G462" s="2624"/>
      <c r="H462" s="2625"/>
      <c r="I462" s="2647">
        <f>+I452+I454+I459</f>
        <v>1137380</v>
      </c>
      <c r="J462" s="431"/>
      <c r="K462" s="394"/>
      <c r="L462" s="305"/>
      <c r="M462" s="305"/>
      <c r="N462" s="305"/>
      <c r="O462" s="305"/>
      <c r="P462" s="305"/>
      <c r="Q462" s="305"/>
      <c r="R462" s="305"/>
      <c r="S462" s="305"/>
      <c r="T462" s="305"/>
      <c r="U462" s="305"/>
    </row>
    <row r="463" spans="1:21" s="52" customFormat="1" ht="13.5" customHeight="1">
      <c r="A463" s="427"/>
      <c r="B463" s="2616" t="s">
        <v>439</v>
      </c>
      <c r="C463" s="2624"/>
      <c r="D463" s="2625"/>
      <c r="E463" s="2624"/>
      <c r="F463" s="2625"/>
      <c r="G463" s="2624"/>
      <c r="H463" s="2625"/>
      <c r="I463" s="2670">
        <v>-11501</v>
      </c>
      <c r="J463" s="431"/>
      <c r="K463" s="394"/>
      <c r="L463" s="305"/>
      <c r="M463" s="305"/>
      <c r="N463" s="305"/>
      <c r="O463" s="305"/>
      <c r="P463" s="305"/>
      <c r="Q463" s="305"/>
      <c r="R463" s="305"/>
      <c r="S463" s="305"/>
      <c r="T463" s="305"/>
      <c r="U463" s="305"/>
    </row>
    <row r="464" spans="1:21" s="52" customFormat="1" ht="13.5" customHeight="1">
      <c r="A464" s="427"/>
      <c r="B464" s="2626" t="s">
        <v>440</v>
      </c>
      <c r="C464" s="2624"/>
      <c r="D464" s="2625"/>
      <c r="E464" s="2624"/>
      <c r="F464" s="2625"/>
      <c r="G464" s="2624"/>
      <c r="H464" s="2625"/>
      <c r="I464" s="2647">
        <f>SUM(I462:I463)</f>
        <v>1125879</v>
      </c>
      <c r="J464" s="431"/>
      <c r="K464" s="394"/>
      <c r="L464" s="305"/>
      <c r="M464" s="305"/>
      <c r="N464" s="305"/>
      <c r="O464" s="305"/>
      <c r="P464" s="305"/>
      <c r="Q464" s="305"/>
      <c r="R464" s="305"/>
      <c r="S464" s="305"/>
      <c r="T464" s="305"/>
      <c r="U464" s="305"/>
    </row>
    <row r="465" spans="1:21" s="52" customFormat="1" ht="13.5" customHeight="1">
      <c r="A465" s="427"/>
      <c r="B465" s="2627" t="s">
        <v>441</v>
      </c>
      <c r="C465" s="2624"/>
      <c r="D465" s="2625"/>
      <c r="E465" s="2624"/>
      <c r="F465" s="2625"/>
      <c r="G465" s="2624"/>
      <c r="H465" s="2625"/>
      <c r="I465" s="2670">
        <v>-197688</v>
      </c>
      <c r="J465" s="431"/>
      <c r="K465" s="394"/>
      <c r="L465" s="305"/>
      <c r="M465" s="305"/>
      <c r="N465" s="305"/>
      <c r="O465" s="305"/>
      <c r="P465" s="305"/>
      <c r="Q465" s="305"/>
      <c r="R465" s="305"/>
      <c r="S465" s="305"/>
      <c r="T465" s="305"/>
      <c r="U465" s="305"/>
    </row>
    <row r="466" spans="1:21" s="52" customFormat="1" ht="13.5" customHeight="1" thickBot="1">
      <c r="A466" s="427"/>
      <c r="B466" s="1762" t="s">
        <v>442</v>
      </c>
      <c r="C466" s="489"/>
      <c r="D466" s="1312"/>
      <c r="E466" s="489"/>
      <c r="F466" s="1312"/>
      <c r="G466" s="489"/>
      <c r="H466" s="1312"/>
      <c r="I466" s="1774">
        <f>SUM(I464:I465)</f>
        <v>928191</v>
      </c>
      <c r="J466" s="431"/>
      <c r="K466" s="394"/>
      <c r="L466" s="305"/>
      <c r="M466" s="305"/>
      <c r="N466" s="305"/>
      <c r="O466" s="305"/>
      <c r="P466" s="305"/>
      <c r="Q466" s="305"/>
      <c r="R466" s="305"/>
      <c r="S466" s="305"/>
      <c r="T466" s="305"/>
      <c r="U466" s="305"/>
    </row>
    <row r="467" spans="1:21" s="52" customFormat="1" ht="13.5" customHeight="1">
      <c r="A467" s="427"/>
      <c r="B467" s="455"/>
      <c r="C467" s="433"/>
      <c r="D467" s="433"/>
      <c r="E467" s="433"/>
      <c r="F467" s="433"/>
      <c r="G467" s="433"/>
      <c r="H467" s="433"/>
      <c r="I467" s="433"/>
      <c r="J467" s="431"/>
      <c r="K467" s="394"/>
      <c r="L467" s="305"/>
      <c r="M467" s="305"/>
      <c r="N467" s="305"/>
      <c r="O467" s="305"/>
      <c r="P467" s="305"/>
      <c r="Q467" s="305"/>
      <c r="R467" s="305"/>
      <c r="S467" s="305"/>
      <c r="T467" s="305"/>
      <c r="U467" s="305"/>
    </row>
    <row r="468" spans="1:21" s="52" customFormat="1" ht="13.5" customHeight="1">
      <c r="A468" s="427"/>
      <c r="B468" s="455"/>
      <c r="C468" s="433"/>
      <c r="D468" s="433"/>
      <c r="E468" s="433"/>
      <c r="F468" s="433"/>
      <c r="G468" s="433"/>
      <c r="H468" s="433"/>
      <c r="I468" s="433"/>
      <c r="J468" s="431"/>
      <c r="K468" s="394">
        <v>123</v>
      </c>
      <c r="L468" s="305"/>
      <c r="M468" s="305"/>
      <c r="N468" s="305"/>
      <c r="O468" s="305"/>
      <c r="P468" s="305"/>
      <c r="Q468" s="305"/>
      <c r="R468" s="305"/>
      <c r="S468" s="305"/>
      <c r="T468" s="305"/>
      <c r="U468" s="305"/>
    </row>
    <row r="469" spans="1:21" s="52" customFormat="1" ht="13.5" customHeight="1">
      <c r="A469" s="427"/>
      <c r="B469" s="455"/>
      <c r="C469" s="433"/>
      <c r="D469" s="433"/>
      <c r="E469" s="433"/>
      <c r="F469" s="433"/>
      <c r="G469" s="433"/>
      <c r="H469" s="433"/>
      <c r="I469" s="433"/>
      <c r="J469" s="431"/>
      <c r="K469" s="394"/>
      <c r="L469" s="305"/>
      <c r="M469" s="305"/>
      <c r="N469" s="305"/>
      <c r="O469" s="305"/>
      <c r="P469" s="305"/>
      <c r="Q469" s="305"/>
      <c r="R469" s="305"/>
      <c r="S469" s="305"/>
      <c r="T469" s="305"/>
      <c r="U469" s="305"/>
    </row>
    <row r="470" spans="1:21" s="52" customFormat="1" ht="13.5" customHeight="1">
      <c r="A470" s="427"/>
      <c r="B470" s="295" t="s">
        <v>444</v>
      </c>
      <c r="C470" s="295"/>
      <c r="D470" s="295"/>
      <c r="E470" s="433"/>
      <c r="F470" s="433"/>
      <c r="G470" s="433"/>
      <c r="H470" s="433"/>
      <c r="I470" s="433"/>
      <c r="J470" s="431"/>
      <c r="K470" s="394"/>
      <c r="L470" s="305"/>
      <c r="M470" s="305"/>
      <c r="N470" s="305"/>
      <c r="O470" s="305"/>
      <c r="P470" s="305"/>
      <c r="Q470" s="305"/>
      <c r="R470" s="305"/>
      <c r="S470" s="305"/>
      <c r="T470" s="305"/>
      <c r="U470" s="305"/>
    </row>
    <row r="471" spans="1:21" s="52" customFormat="1" ht="13.5" customHeight="1" thickBot="1">
      <c r="A471" s="427"/>
      <c r="B471" s="218"/>
      <c r="C471" s="218"/>
      <c r="D471" s="218"/>
      <c r="E471" s="433"/>
      <c r="F471" s="433"/>
      <c r="G471" s="433"/>
      <c r="H471" s="433"/>
      <c r="I471" s="433"/>
      <c r="J471" s="431"/>
      <c r="K471" s="394"/>
      <c r="L471" s="305"/>
      <c r="M471" s="305"/>
      <c r="N471" s="305"/>
      <c r="O471" s="305"/>
      <c r="P471" s="305"/>
      <c r="Q471" s="305"/>
      <c r="R471" s="305"/>
      <c r="S471" s="305"/>
      <c r="T471" s="305"/>
      <c r="U471" s="305"/>
    </row>
    <row r="472" spans="1:21" s="52" customFormat="1" ht="13.5" customHeight="1">
      <c r="A472" s="427"/>
      <c r="B472" s="1765" t="s">
        <v>114</v>
      </c>
      <c r="C472" s="292"/>
      <c r="D472" s="292"/>
      <c r="E472" s="292"/>
      <c r="F472" s="292"/>
      <c r="G472" s="292"/>
      <c r="H472" s="292"/>
      <c r="I472" s="535" t="s">
        <v>232</v>
      </c>
      <c r="J472" s="431"/>
      <c r="K472" s="394"/>
      <c r="L472" s="305"/>
      <c r="M472" s="305"/>
      <c r="N472" s="305"/>
      <c r="O472" s="305"/>
      <c r="P472" s="305"/>
      <c r="Q472" s="305"/>
      <c r="R472" s="305"/>
      <c r="S472" s="305"/>
      <c r="T472" s="305"/>
      <c r="U472" s="305"/>
    </row>
    <row r="473" spans="1:21" s="52" customFormat="1" ht="13.5" customHeight="1">
      <c r="A473" s="427"/>
      <c r="B473" s="3518"/>
      <c r="C473" s="3609">
        <v>2021</v>
      </c>
      <c r="D473" s="3618"/>
      <c r="E473" s="3618"/>
      <c r="F473" s="3618"/>
      <c r="G473" s="3618"/>
      <c r="H473" s="3618"/>
      <c r="I473" s="3610"/>
      <c r="J473" s="431"/>
      <c r="K473" s="394"/>
      <c r="L473" s="305"/>
      <c r="M473" s="305"/>
      <c r="N473" s="305"/>
      <c r="O473" s="305"/>
      <c r="P473" s="305"/>
      <c r="Q473" s="305"/>
      <c r="R473" s="305"/>
      <c r="S473" s="305"/>
      <c r="T473" s="305"/>
      <c r="U473" s="305"/>
    </row>
    <row r="474" spans="1:21" s="52" customFormat="1" ht="13.5" customHeight="1">
      <c r="A474" s="427"/>
      <c r="B474" s="3587"/>
      <c r="C474" s="3607" t="s">
        <v>412</v>
      </c>
      <c r="D474" s="3635" t="s">
        <v>413</v>
      </c>
      <c r="E474" s="3609" t="s">
        <v>414</v>
      </c>
      <c r="F474" s="3639"/>
      <c r="G474" s="3611" t="s">
        <v>415</v>
      </c>
      <c r="H474" s="3637" t="s">
        <v>416</v>
      </c>
      <c r="I474" s="3607" t="s">
        <v>118</v>
      </c>
      <c r="J474" s="431"/>
      <c r="K474" s="394"/>
      <c r="L474" s="305"/>
      <c r="M474" s="305"/>
      <c r="N474" s="305"/>
      <c r="O474" s="305"/>
      <c r="P474" s="305"/>
      <c r="Q474" s="305"/>
      <c r="R474" s="305"/>
      <c r="S474" s="305"/>
      <c r="T474" s="305"/>
      <c r="U474" s="305"/>
    </row>
    <row r="475" spans="1:21" s="52" customFormat="1" ht="13.5" customHeight="1" thickBot="1">
      <c r="A475" s="427"/>
      <c r="B475" s="3545"/>
      <c r="C475" s="3608"/>
      <c r="D475" s="3621"/>
      <c r="E475" s="1744" t="s">
        <v>418</v>
      </c>
      <c r="F475" s="1728" t="s">
        <v>419</v>
      </c>
      <c r="G475" s="3612"/>
      <c r="H475" s="3638"/>
      <c r="I475" s="3608"/>
      <c r="J475" s="431"/>
      <c r="K475" s="394"/>
      <c r="L475" s="305"/>
      <c r="M475" s="305"/>
      <c r="N475" s="305"/>
      <c r="O475" s="305"/>
      <c r="P475" s="305"/>
      <c r="Q475" s="305"/>
      <c r="R475" s="305"/>
      <c r="S475" s="305"/>
      <c r="T475" s="305"/>
      <c r="U475" s="305"/>
    </row>
    <row r="476" spans="1:21" s="52" customFormat="1" ht="13.5" customHeight="1">
      <c r="A476" s="427"/>
      <c r="B476" s="1770" t="s">
        <v>333</v>
      </c>
      <c r="C476" s="2645">
        <v>14488</v>
      </c>
      <c r="D476" s="2644"/>
      <c r="E476" s="2645">
        <v>81874</v>
      </c>
      <c r="F476" s="2644">
        <v>526850</v>
      </c>
      <c r="G476" s="2645">
        <v>16522</v>
      </c>
      <c r="H476" s="2644">
        <v>250373</v>
      </c>
      <c r="I476" s="2591">
        <f>SUM(C476:H476)</f>
        <v>890107</v>
      </c>
      <c r="J476" s="431"/>
      <c r="K476" s="394"/>
      <c r="L476" s="305"/>
      <c r="M476" s="305"/>
      <c r="N476" s="305"/>
      <c r="O476" s="305"/>
      <c r="P476" s="305"/>
      <c r="Q476" s="305"/>
      <c r="R476" s="305"/>
      <c r="S476" s="305"/>
      <c r="T476" s="305"/>
      <c r="U476" s="305"/>
    </row>
    <row r="477" spans="1:21" s="52" customFormat="1" ht="13.5" customHeight="1">
      <c r="A477" s="427"/>
      <c r="B477" s="2616" t="s">
        <v>447</v>
      </c>
      <c r="C477" s="856"/>
      <c r="D477" s="857"/>
      <c r="E477" s="856"/>
      <c r="F477" s="857"/>
      <c r="G477" s="856"/>
      <c r="H477" s="857"/>
      <c r="I477" s="2591">
        <f t="shared" ref="I477:I479" si="80">SUM(C477:H477)</f>
        <v>0</v>
      </c>
      <c r="J477" s="431"/>
      <c r="K477" s="394"/>
      <c r="L477" s="305"/>
      <c r="M477" s="305"/>
      <c r="N477" s="305"/>
      <c r="O477" s="305"/>
      <c r="P477" s="305"/>
      <c r="Q477" s="305"/>
      <c r="R477" s="305"/>
      <c r="S477" s="305"/>
      <c r="T477" s="305"/>
      <c r="U477" s="305"/>
    </row>
    <row r="478" spans="1:21" s="52" customFormat="1" ht="13.5" customHeight="1">
      <c r="A478" s="427"/>
      <c r="B478" s="2616" t="s">
        <v>445</v>
      </c>
      <c r="C478" s="856">
        <v>-4931</v>
      </c>
      <c r="D478" s="857"/>
      <c r="E478" s="856"/>
      <c r="F478" s="857">
        <v>-10063</v>
      </c>
      <c r="G478" s="856"/>
      <c r="H478" s="857">
        <v>-6807</v>
      </c>
      <c r="I478" s="2591">
        <f t="shared" si="80"/>
        <v>-21801</v>
      </c>
      <c r="J478" s="431"/>
      <c r="K478" s="394"/>
      <c r="L478" s="305"/>
      <c r="M478" s="305"/>
      <c r="N478" s="305"/>
      <c r="O478" s="305"/>
      <c r="P478" s="305"/>
      <c r="Q478" s="305"/>
      <c r="R478" s="305"/>
      <c r="S478" s="305"/>
      <c r="T478" s="305"/>
      <c r="U478" s="305"/>
    </row>
    <row r="479" spans="1:21" s="52" customFormat="1" ht="13.5" customHeight="1">
      <c r="A479" s="427"/>
      <c r="B479" s="2616" t="s">
        <v>422</v>
      </c>
      <c r="C479" s="856">
        <v>-3758</v>
      </c>
      <c r="D479" s="857"/>
      <c r="E479" s="856"/>
      <c r="F479" s="857">
        <v>-15257</v>
      </c>
      <c r="G479" s="856">
        <v>-3060</v>
      </c>
      <c r="H479" s="857">
        <v>-80746</v>
      </c>
      <c r="I479" s="2591">
        <f t="shared" si="80"/>
        <v>-102821</v>
      </c>
      <c r="J479" s="431"/>
      <c r="K479" s="394"/>
      <c r="L479" s="305"/>
      <c r="M479" s="305"/>
      <c r="N479" s="305"/>
      <c r="O479" s="305"/>
      <c r="P479" s="305"/>
      <c r="Q479" s="305"/>
      <c r="R479" s="305"/>
      <c r="S479" s="305"/>
      <c r="T479" s="305"/>
      <c r="U479" s="305"/>
    </row>
    <row r="480" spans="1:21" s="52" customFormat="1" ht="13.5" customHeight="1">
      <c r="A480" s="427"/>
      <c r="B480" s="2618" t="s">
        <v>423</v>
      </c>
      <c r="C480" s="2634">
        <f>SUM(C476:C479)</f>
        <v>5799</v>
      </c>
      <c r="D480" s="2633">
        <f t="shared" ref="D480:I480" si="81">SUM(D476:D479)</f>
        <v>0</v>
      </c>
      <c r="E480" s="2634">
        <f t="shared" si="81"/>
        <v>81874</v>
      </c>
      <c r="F480" s="2633">
        <f t="shared" si="81"/>
        <v>501530</v>
      </c>
      <c r="G480" s="2634">
        <f t="shared" si="81"/>
        <v>13462</v>
      </c>
      <c r="H480" s="2633">
        <f t="shared" si="81"/>
        <v>162820</v>
      </c>
      <c r="I480" s="2599">
        <f t="shared" si="81"/>
        <v>765485</v>
      </c>
      <c r="J480" s="431"/>
      <c r="K480" s="394"/>
      <c r="L480" s="305"/>
      <c r="M480" s="305"/>
      <c r="N480" s="305"/>
      <c r="O480" s="305"/>
      <c r="P480" s="305"/>
      <c r="Q480" s="305"/>
      <c r="R480" s="305"/>
      <c r="S480" s="305"/>
      <c r="T480" s="305"/>
      <c r="U480" s="305"/>
    </row>
    <row r="481" spans="1:21" s="52" customFormat="1" ht="13.5" customHeight="1">
      <c r="A481" s="427"/>
      <c r="B481" s="2616" t="s">
        <v>424</v>
      </c>
      <c r="C481" s="2645">
        <v>-452</v>
      </c>
      <c r="D481" s="2644"/>
      <c r="E481" s="2645">
        <v>-489</v>
      </c>
      <c r="F481" s="2644">
        <v>-6484</v>
      </c>
      <c r="G481" s="2645">
        <v>-1098</v>
      </c>
      <c r="H481" s="2644">
        <v>721</v>
      </c>
      <c r="I481" s="2591">
        <f>SUM(C481:H481)</f>
        <v>-7802</v>
      </c>
      <c r="J481" s="431"/>
      <c r="K481" s="394"/>
      <c r="L481" s="305"/>
      <c r="M481" s="305"/>
      <c r="N481" s="305"/>
      <c r="O481" s="305"/>
      <c r="P481" s="305"/>
      <c r="Q481" s="305"/>
      <c r="R481" s="305"/>
      <c r="S481" s="305"/>
      <c r="T481" s="305"/>
      <c r="U481" s="305"/>
    </row>
    <row r="482" spans="1:21" s="52" customFormat="1" ht="13.5" customHeight="1">
      <c r="A482" s="427"/>
      <c r="B482" s="2618" t="s">
        <v>425</v>
      </c>
      <c r="C482" s="2634">
        <f>SUM(C480:C481)</f>
        <v>5347</v>
      </c>
      <c r="D482" s="2633">
        <f t="shared" ref="D482:I482" si="82">SUM(D480:D481)</f>
        <v>0</v>
      </c>
      <c r="E482" s="2634">
        <f t="shared" si="82"/>
        <v>81385</v>
      </c>
      <c r="F482" s="2633">
        <f t="shared" si="82"/>
        <v>495046</v>
      </c>
      <c r="G482" s="2634">
        <f t="shared" si="82"/>
        <v>12364</v>
      </c>
      <c r="H482" s="2633">
        <f t="shared" si="82"/>
        <v>163541</v>
      </c>
      <c r="I482" s="2599">
        <f t="shared" si="82"/>
        <v>757683</v>
      </c>
      <c r="J482" s="431"/>
      <c r="K482" s="394"/>
      <c r="L482" s="305"/>
      <c r="M482" s="305"/>
      <c r="N482" s="305"/>
      <c r="O482" s="305"/>
      <c r="P482" s="305"/>
      <c r="Q482" s="305"/>
      <c r="R482" s="305"/>
      <c r="S482" s="305"/>
      <c r="T482" s="305"/>
      <c r="U482" s="305"/>
    </row>
    <row r="483" spans="1:21" s="52" customFormat="1" ht="13.5" customHeight="1">
      <c r="A483" s="427"/>
      <c r="B483" s="2616"/>
      <c r="C483" s="2637"/>
      <c r="D483" s="2636"/>
      <c r="E483" s="2637"/>
      <c r="F483" s="2636"/>
      <c r="G483" s="2637"/>
      <c r="H483" s="2636"/>
      <c r="I483" s="2591"/>
      <c r="J483" s="431"/>
      <c r="K483" s="394"/>
      <c r="L483" s="305"/>
      <c r="M483" s="305"/>
      <c r="N483" s="305"/>
      <c r="O483" s="305"/>
      <c r="P483" s="305"/>
      <c r="Q483" s="305"/>
      <c r="R483" s="305"/>
      <c r="S483" s="305"/>
      <c r="T483" s="305"/>
      <c r="U483" s="305"/>
    </row>
    <row r="484" spans="1:21" s="52" customFormat="1" ht="13.5" customHeight="1">
      <c r="A484" s="427"/>
      <c r="B484" s="2618" t="s">
        <v>426</v>
      </c>
      <c r="C484" s="2639">
        <f>SUM(C485:C487)</f>
        <v>-5938</v>
      </c>
      <c r="D484" s="2638">
        <f t="shared" ref="D484:I484" si="83">SUM(D485:D487)</f>
        <v>0</v>
      </c>
      <c r="E484" s="2639">
        <f t="shared" si="83"/>
        <v>-214</v>
      </c>
      <c r="F484" s="2638">
        <f t="shared" si="83"/>
        <v>-274831</v>
      </c>
      <c r="G484" s="2639">
        <f t="shared" si="83"/>
        <v>-5034</v>
      </c>
      <c r="H484" s="2638">
        <f>SUM(H485:H487)</f>
        <v>-56927</v>
      </c>
      <c r="I484" s="2264">
        <f t="shared" si="83"/>
        <v>-342944</v>
      </c>
      <c r="J484" s="431"/>
      <c r="K484" s="394"/>
      <c r="L484" s="305"/>
      <c r="M484" s="305"/>
      <c r="N484" s="305"/>
      <c r="O484" s="305"/>
      <c r="P484" s="305"/>
      <c r="Q484" s="305"/>
      <c r="R484" s="305"/>
      <c r="S484" s="305"/>
      <c r="T484" s="305"/>
      <c r="U484" s="305"/>
    </row>
    <row r="485" spans="1:21" s="52" customFormat="1" ht="30.75" customHeight="1">
      <c r="A485" s="427"/>
      <c r="B485" s="2616" t="s">
        <v>427</v>
      </c>
      <c r="C485" s="2645">
        <v>-5430</v>
      </c>
      <c r="D485" s="2644"/>
      <c r="E485" s="2645">
        <v>-214</v>
      </c>
      <c r="F485" s="2644">
        <v>-228937</v>
      </c>
      <c r="G485" s="2645">
        <v>-5034</v>
      </c>
      <c r="H485" s="2644">
        <v>-29679</v>
      </c>
      <c r="I485" s="2591">
        <f>SUM(C485:H485)</f>
        <v>-269294</v>
      </c>
      <c r="J485" s="431"/>
      <c r="K485" s="394"/>
      <c r="L485" s="305"/>
      <c r="M485" s="305"/>
      <c r="N485" s="305"/>
      <c r="O485" s="305"/>
      <c r="P485" s="305"/>
      <c r="Q485" s="305"/>
      <c r="R485" s="305"/>
      <c r="S485" s="305"/>
      <c r="T485" s="305"/>
      <c r="U485" s="305"/>
    </row>
    <row r="486" spans="1:21" s="52" customFormat="1" ht="30.75" customHeight="1">
      <c r="A486" s="427"/>
      <c r="B486" s="2616" t="s">
        <v>428</v>
      </c>
      <c r="C486" s="856">
        <v>-508</v>
      </c>
      <c r="D486" s="857"/>
      <c r="E486" s="856"/>
      <c r="F486" s="857">
        <v>-45894</v>
      </c>
      <c r="G486" s="856"/>
      <c r="H486" s="857">
        <v>-27248</v>
      </c>
      <c r="I486" s="2591">
        <f>SUM(C486:H486)</f>
        <v>-73650</v>
      </c>
      <c r="J486" s="431"/>
      <c r="K486" s="394"/>
      <c r="L486" s="305"/>
      <c r="M486" s="305"/>
      <c r="N486" s="305"/>
      <c r="O486" s="305"/>
      <c r="P486" s="305"/>
      <c r="Q486" s="305"/>
      <c r="R486" s="305"/>
      <c r="S486" s="305"/>
      <c r="T486" s="305"/>
      <c r="U486" s="305"/>
    </row>
    <row r="487" spans="1:21" s="52" customFormat="1" ht="13.5" customHeight="1">
      <c r="A487" s="427"/>
      <c r="B487" s="2616" t="s">
        <v>429</v>
      </c>
      <c r="C487" s="2639"/>
      <c r="D487" s="2638"/>
      <c r="E487" s="2639"/>
      <c r="F487" s="2638"/>
      <c r="G487" s="2639"/>
      <c r="H487" s="2638"/>
      <c r="I487" s="2591"/>
      <c r="J487" s="431"/>
      <c r="K487" s="394"/>
      <c r="L487" s="305"/>
      <c r="M487" s="305"/>
      <c r="N487" s="305"/>
      <c r="O487" s="305"/>
      <c r="P487" s="305"/>
      <c r="Q487" s="305"/>
      <c r="R487" s="305"/>
      <c r="S487" s="305"/>
      <c r="T487" s="305"/>
      <c r="U487" s="305"/>
    </row>
    <row r="488" spans="1:21" s="52" customFormat="1" ht="13.5" customHeight="1">
      <c r="A488" s="427"/>
      <c r="B488" s="2622" t="s">
        <v>430</v>
      </c>
      <c r="C488" s="2634">
        <f>+C482+C485+C486+C487</f>
        <v>-591</v>
      </c>
      <c r="D488" s="2633">
        <f t="shared" ref="D488:H488" si="84">+D482+D485+D486+D487</f>
        <v>0</v>
      </c>
      <c r="E488" s="2634">
        <f t="shared" si="84"/>
        <v>81171</v>
      </c>
      <c r="F488" s="2633">
        <f t="shared" si="84"/>
        <v>220215</v>
      </c>
      <c r="G488" s="2634">
        <f t="shared" si="84"/>
        <v>7330</v>
      </c>
      <c r="H488" s="2633">
        <f t="shared" si="84"/>
        <v>106614</v>
      </c>
      <c r="I488" s="2599">
        <f>+I482+I485+I486+I487</f>
        <v>414739</v>
      </c>
      <c r="J488" s="431"/>
      <c r="K488" s="394"/>
      <c r="L488" s="305"/>
      <c r="M488" s="305"/>
      <c r="N488" s="305"/>
      <c r="O488" s="305"/>
      <c r="P488" s="305"/>
      <c r="Q488" s="305"/>
      <c r="R488" s="305"/>
      <c r="S488" s="305"/>
      <c r="T488" s="305"/>
      <c r="U488" s="305"/>
    </row>
    <row r="489" spans="1:21" s="52" customFormat="1" ht="13.5" customHeight="1">
      <c r="A489" s="427"/>
      <c r="B489" s="2623"/>
      <c r="C489" s="2637"/>
      <c r="D489" s="2636"/>
      <c r="E489" s="2637"/>
      <c r="F489" s="2636"/>
      <c r="G489" s="2637"/>
      <c r="H489" s="2636"/>
      <c r="I489" s="2647"/>
      <c r="J489" s="431"/>
      <c r="K489" s="394"/>
      <c r="L489" s="305"/>
      <c r="M489" s="305"/>
      <c r="N489" s="305"/>
      <c r="O489" s="305"/>
      <c r="P489" s="305"/>
      <c r="Q489" s="305"/>
      <c r="R489" s="305"/>
      <c r="S489" s="305"/>
      <c r="T489" s="305"/>
      <c r="U489" s="305"/>
    </row>
    <row r="490" spans="1:21" s="52" customFormat="1" ht="13.5" customHeight="1">
      <c r="A490" s="427"/>
      <c r="B490" s="2618" t="s">
        <v>431</v>
      </c>
      <c r="C490" s="2624"/>
      <c r="D490" s="2625"/>
      <c r="E490" s="2624"/>
      <c r="F490" s="2625"/>
      <c r="G490" s="2624"/>
      <c r="H490" s="2625"/>
      <c r="I490" s="2647">
        <f>SUM(I491:I493)</f>
        <v>210846</v>
      </c>
      <c r="J490" s="431"/>
      <c r="K490" s="394"/>
      <c r="L490" s="305"/>
      <c r="M490" s="305"/>
      <c r="N490" s="305"/>
      <c r="O490" s="305"/>
      <c r="P490" s="305"/>
      <c r="Q490" s="305"/>
      <c r="R490" s="305"/>
      <c r="S490" s="305"/>
      <c r="T490" s="305"/>
      <c r="U490" s="305"/>
    </row>
    <row r="491" spans="1:21" s="52" customFormat="1" ht="13.5" customHeight="1">
      <c r="A491" s="427"/>
      <c r="B491" s="2616" t="s">
        <v>432</v>
      </c>
      <c r="C491" s="2624"/>
      <c r="D491" s="2625"/>
      <c r="E491" s="2624"/>
      <c r="F491" s="2625"/>
      <c r="G491" s="2624"/>
      <c r="H491" s="2625"/>
      <c r="I491" s="2670">
        <v>135738</v>
      </c>
      <c r="J491" s="431"/>
      <c r="K491" s="394"/>
      <c r="L491" s="305"/>
      <c r="M491" s="305"/>
      <c r="N491" s="305"/>
      <c r="O491" s="305"/>
      <c r="P491" s="305"/>
      <c r="Q491" s="305"/>
      <c r="R491" s="305"/>
      <c r="S491" s="305"/>
      <c r="T491" s="305"/>
      <c r="U491" s="305"/>
    </row>
    <row r="492" spans="1:21" s="52" customFormat="1" ht="13.5" customHeight="1">
      <c r="A492" s="427"/>
      <c r="B492" s="2616" t="s">
        <v>446</v>
      </c>
      <c r="C492" s="2624"/>
      <c r="D492" s="2625"/>
      <c r="E492" s="2624"/>
      <c r="F492" s="2625"/>
      <c r="G492" s="2624"/>
      <c r="H492" s="2625"/>
      <c r="I492" s="1781">
        <v>71354</v>
      </c>
      <c r="J492" s="431"/>
      <c r="K492" s="394"/>
      <c r="L492" s="305"/>
      <c r="M492" s="305"/>
      <c r="N492" s="305"/>
      <c r="O492" s="305"/>
      <c r="P492" s="305"/>
      <c r="Q492" s="305"/>
      <c r="R492" s="305"/>
      <c r="S492" s="305"/>
      <c r="T492" s="305"/>
      <c r="U492" s="305"/>
    </row>
    <row r="493" spans="1:21" s="52" customFormat="1" ht="13.5" customHeight="1">
      <c r="A493" s="427"/>
      <c r="B493" s="2616" t="s">
        <v>434</v>
      </c>
      <c r="C493" s="2624"/>
      <c r="D493" s="2625"/>
      <c r="E493" s="2624"/>
      <c r="F493" s="2625"/>
      <c r="G493" s="2624"/>
      <c r="H493" s="2625"/>
      <c r="I493" s="1781">
        <v>3754</v>
      </c>
      <c r="J493" s="431"/>
      <c r="K493" s="394"/>
      <c r="L493" s="305"/>
      <c r="M493" s="305"/>
      <c r="N493" s="305"/>
      <c r="O493" s="305"/>
      <c r="P493" s="305"/>
      <c r="Q493" s="305"/>
      <c r="R493" s="305"/>
      <c r="S493" s="305"/>
      <c r="T493" s="305"/>
      <c r="U493" s="305"/>
    </row>
    <row r="494" spans="1:21" s="52" customFormat="1" ht="13.5" customHeight="1">
      <c r="A494" s="427"/>
      <c r="B494" s="2616"/>
      <c r="C494" s="2624"/>
      <c r="D494" s="2625"/>
      <c r="E494" s="2624"/>
      <c r="F494" s="2625"/>
      <c r="G494" s="2624"/>
      <c r="H494" s="2625"/>
      <c r="I494" s="2591"/>
      <c r="J494" s="431"/>
      <c r="K494" s="394"/>
      <c r="L494" s="305"/>
      <c r="M494" s="305"/>
      <c r="N494" s="305"/>
      <c r="O494" s="305"/>
      <c r="P494" s="305"/>
      <c r="Q494" s="305"/>
      <c r="R494" s="305"/>
      <c r="S494" s="305"/>
      <c r="T494" s="305"/>
      <c r="U494" s="305"/>
    </row>
    <row r="495" spans="1:21" s="52" customFormat="1" ht="13.5" customHeight="1">
      <c r="A495" s="427"/>
      <c r="B495" s="2618" t="s">
        <v>435</v>
      </c>
      <c r="C495" s="2624"/>
      <c r="D495" s="2625"/>
      <c r="E495" s="2624"/>
      <c r="F495" s="2625"/>
      <c r="G495" s="2624"/>
      <c r="H495" s="2625"/>
      <c r="I495" s="2591">
        <f>I496+I497</f>
        <v>-542198</v>
      </c>
      <c r="J495" s="431"/>
      <c r="K495" s="394"/>
      <c r="L495" s="305"/>
      <c r="M495" s="305"/>
      <c r="N495" s="305"/>
      <c r="O495" s="305"/>
      <c r="P495" s="305"/>
      <c r="Q495" s="305"/>
      <c r="R495" s="305"/>
      <c r="S495" s="305"/>
      <c r="T495" s="305"/>
      <c r="U495" s="305"/>
    </row>
    <row r="496" spans="1:21" s="52" customFormat="1" ht="26.25" customHeight="1">
      <c r="A496" s="427"/>
      <c r="B496" s="2616" t="s">
        <v>436</v>
      </c>
      <c r="C496" s="2624"/>
      <c r="D496" s="2625"/>
      <c r="E496" s="2624"/>
      <c r="F496" s="2625"/>
      <c r="G496" s="2624"/>
      <c r="H496" s="2625"/>
      <c r="I496" s="2683">
        <v>-542198</v>
      </c>
      <c r="J496" s="431"/>
      <c r="K496" s="394"/>
      <c r="L496" s="305"/>
      <c r="M496" s="305"/>
      <c r="N496" s="305"/>
      <c r="O496" s="305"/>
      <c r="P496" s="305"/>
      <c r="Q496" s="305"/>
      <c r="R496" s="305"/>
      <c r="S496" s="305"/>
      <c r="T496" s="305"/>
      <c r="U496" s="305"/>
    </row>
    <row r="497" spans="1:21" s="52" customFormat="1" ht="26.25" customHeight="1">
      <c r="A497" s="427"/>
      <c r="B497" s="2616" t="s">
        <v>437</v>
      </c>
      <c r="C497" s="2624"/>
      <c r="D497" s="2625"/>
      <c r="E497" s="2624"/>
      <c r="F497" s="2625"/>
      <c r="G497" s="2624"/>
      <c r="H497" s="2625"/>
      <c r="I497" s="2591"/>
      <c r="J497" s="431"/>
      <c r="K497" s="394"/>
      <c r="L497" s="305"/>
      <c r="M497" s="305"/>
      <c r="N497" s="305"/>
      <c r="O497" s="305"/>
      <c r="P497" s="305"/>
      <c r="Q497" s="305"/>
      <c r="R497" s="305"/>
      <c r="S497" s="305"/>
      <c r="T497" s="305"/>
      <c r="U497" s="305"/>
    </row>
    <row r="498" spans="1:21" s="52" customFormat="1" ht="13.5" customHeight="1">
      <c r="A498" s="427"/>
      <c r="B498" s="2618" t="s">
        <v>438</v>
      </c>
      <c r="C498" s="2624"/>
      <c r="D498" s="2625"/>
      <c r="E498" s="2624"/>
      <c r="F498" s="2625"/>
      <c r="G498" s="2624"/>
      <c r="H498" s="2625"/>
      <c r="I498" s="2647">
        <f>+I488+I490+I495</f>
        <v>83387</v>
      </c>
      <c r="J498" s="431"/>
      <c r="K498" s="394"/>
      <c r="L498" s="305"/>
      <c r="M498" s="305"/>
      <c r="N498" s="305"/>
      <c r="O498" s="305"/>
      <c r="P498" s="305"/>
      <c r="Q498" s="305"/>
      <c r="R498" s="305"/>
      <c r="S498" s="305"/>
      <c r="T498" s="305"/>
      <c r="U498" s="305"/>
    </row>
    <row r="499" spans="1:21" s="52" customFormat="1" ht="13.5" customHeight="1">
      <c r="A499" s="427"/>
      <c r="B499" s="2616" t="s">
        <v>439</v>
      </c>
      <c r="C499" s="2624"/>
      <c r="D499" s="2625"/>
      <c r="E499" s="2624"/>
      <c r="F499" s="2625"/>
      <c r="G499" s="2624"/>
      <c r="H499" s="2625"/>
      <c r="I499" s="2670">
        <v>-8138</v>
      </c>
      <c r="J499" s="431"/>
      <c r="K499" s="394"/>
      <c r="L499" s="305"/>
      <c r="M499" s="305"/>
      <c r="N499" s="305"/>
      <c r="O499" s="305"/>
      <c r="P499" s="305"/>
      <c r="Q499" s="305"/>
      <c r="R499" s="305"/>
      <c r="S499" s="305"/>
      <c r="T499" s="305"/>
      <c r="U499" s="305"/>
    </row>
    <row r="500" spans="1:21" s="52" customFormat="1" ht="13.5" customHeight="1">
      <c r="A500" s="427"/>
      <c r="B500" s="2626" t="s">
        <v>440</v>
      </c>
      <c r="C500" s="2624"/>
      <c r="D500" s="2625"/>
      <c r="E500" s="2624"/>
      <c r="F500" s="2625"/>
      <c r="G500" s="2624"/>
      <c r="H500" s="2625"/>
      <c r="I500" s="2647">
        <f>+I498+I499</f>
        <v>75249</v>
      </c>
      <c r="J500" s="431"/>
      <c r="K500" s="394"/>
      <c r="L500" s="305"/>
      <c r="M500" s="305"/>
      <c r="N500" s="305"/>
      <c r="O500" s="305"/>
      <c r="P500" s="305"/>
      <c r="Q500" s="305"/>
      <c r="R500" s="305"/>
      <c r="S500" s="305"/>
      <c r="T500" s="305"/>
      <c r="U500" s="305"/>
    </row>
    <row r="501" spans="1:21" s="52" customFormat="1" ht="13.5" customHeight="1">
      <c r="A501" s="427"/>
      <c r="B501" s="2627" t="s">
        <v>441</v>
      </c>
      <c r="C501" s="2624"/>
      <c r="D501" s="2625"/>
      <c r="E501" s="2624"/>
      <c r="F501" s="2625"/>
      <c r="G501" s="2624"/>
      <c r="H501" s="2625"/>
      <c r="I501" s="2670">
        <v>-17050</v>
      </c>
      <c r="J501" s="431"/>
      <c r="K501" s="394"/>
      <c r="L501" s="305"/>
      <c r="M501" s="305"/>
      <c r="N501" s="305"/>
      <c r="O501" s="305"/>
      <c r="P501" s="305"/>
      <c r="Q501" s="305"/>
      <c r="R501" s="305"/>
      <c r="S501" s="305"/>
      <c r="T501" s="305"/>
      <c r="U501" s="305"/>
    </row>
    <row r="502" spans="1:21" s="52" customFormat="1" ht="13.5" customHeight="1" thickBot="1">
      <c r="A502" s="427"/>
      <c r="B502" s="1762" t="s">
        <v>442</v>
      </c>
      <c r="C502" s="489"/>
      <c r="D502" s="1312"/>
      <c r="E502" s="489"/>
      <c r="F502" s="1312"/>
      <c r="G502" s="489"/>
      <c r="H502" s="1312"/>
      <c r="I502" s="1774">
        <f>SUM(I500:I501)</f>
        <v>58199</v>
      </c>
      <c r="J502" s="431"/>
      <c r="K502" s="394"/>
      <c r="L502" s="305"/>
      <c r="M502" s="305"/>
      <c r="N502" s="305"/>
      <c r="O502" s="305"/>
      <c r="P502" s="305"/>
      <c r="Q502" s="305"/>
      <c r="R502" s="305"/>
      <c r="S502" s="305"/>
      <c r="T502" s="305"/>
      <c r="U502" s="305"/>
    </row>
    <row r="503" spans="1:21" s="52" customFormat="1" ht="13.5" customHeight="1">
      <c r="A503" s="427"/>
      <c r="B503" s="218"/>
      <c r="C503" s="218"/>
      <c r="D503" s="218"/>
      <c r="E503" s="433"/>
      <c r="F503" s="433"/>
      <c r="G503" s="433"/>
      <c r="H503" s="433"/>
      <c r="I503" s="433"/>
      <c r="J503" s="431"/>
      <c r="K503" s="394"/>
      <c r="L503" s="305"/>
      <c r="M503" s="305"/>
      <c r="N503" s="305"/>
      <c r="O503" s="305"/>
      <c r="P503" s="305"/>
      <c r="Q503" s="305"/>
      <c r="R503" s="305"/>
      <c r="S503" s="305"/>
      <c r="T503" s="305"/>
      <c r="U503" s="305"/>
    </row>
    <row r="504" spans="1:21" s="52" customFormat="1" ht="13.5" customHeight="1">
      <c r="A504" s="427"/>
      <c r="B504" s="218"/>
      <c r="C504" s="218"/>
      <c r="D504" s="218"/>
      <c r="E504" s="433"/>
      <c r="F504" s="433"/>
      <c r="G504" s="433"/>
      <c r="H504" s="433"/>
      <c r="I504" s="433"/>
      <c r="J504" s="431"/>
      <c r="K504" s="394">
        <v>124</v>
      </c>
      <c r="L504" s="305"/>
      <c r="M504" s="305"/>
      <c r="N504" s="305"/>
      <c r="O504" s="305"/>
      <c r="P504" s="305"/>
      <c r="Q504" s="305"/>
      <c r="R504" s="305"/>
      <c r="S504" s="305"/>
      <c r="T504" s="305"/>
      <c r="U504" s="305"/>
    </row>
    <row r="505" spans="1:21" s="52" customFormat="1" ht="13.5" customHeight="1">
      <c r="A505" s="427"/>
      <c r="B505" s="218"/>
      <c r="C505" s="218"/>
      <c r="D505" s="218"/>
      <c r="E505" s="433"/>
      <c r="F505" s="433"/>
      <c r="G505" s="433"/>
      <c r="H505" s="433"/>
      <c r="I505" s="433"/>
      <c r="J505" s="431"/>
      <c r="K505" s="394"/>
      <c r="L505" s="305"/>
      <c r="M505" s="305"/>
      <c r="N505" s="305"/>
      <c r="O505" s="305"/>
      <c r="P505" s="305"/>
      <c r="Q505" s="305"/>
      <c r="R505" s="305"/>
      <c r="S505" s="305"/>
      <c r="T505" s="305"/>
      <c r="U505" s="305"/>
    </row>
    <row r="506" spans="1:21" s="52" customFormat="1" ht="13.5" customHeight="1">
      <c r="A506" s="427"/>
      <c r="B506" s="295" t="s">
        <v>444</v>
      </c>
      <c r="C506" s="218"/>
      <c r="D506" s="218"/>
      <c r="E506" s="433"/>
      <c r="F506" s="433"/>
      <c r="G506" s="433"/>
      <c r="H506" s="433"/>
      <c r="I506" s="433"/>
      <c r="J506" s="431"/>
      <c r="K506" s="394"/>
      <c r="L506" s="305"/>
      <c r="M506" s="305"/>
      <c r="N506" s="305"/>
      <c r="O506" s="305"/>
      <c r="P506" s="305"/>
      <c r="Q506" s="305"/>
      <c r="R506" s="305"/>
      <c r="S506" s="305"/>
      <c r="T506" s="305"/>
      <c r="U506" s="305"/>
    </row>
    <row r="507" spans="1:21" s="52" customFormat="1" ht="13.5" customHeight="1" thickBot="1">
      <c r="A507" s="427"/>
      <c r="B507" s="218"/>
      <c r="C507" s="218"/>
      <c r="D507" s="218"/>
      <c r="E507" s="433"/>
      <c r="F507" s="433"/>
      <c r="G507" s="433"/>
      <c r="H507" s="433"/>
      <c r="I507" s="433"/>
      <c r="J507" s="431"/>
      <c r="K507" s="394"/>
      <c r="L507" s="305"/>
      <c r="M507" s="305"/>
      <c r="N507" s="305"/>
      <c r="O507" s="305"/>
      <c r="P507" s="305"/>
      <c r="Q507" s="305"/>
      <c r="R507" s="305"/>
      <c r="S507" s="305"/>
      <c r="T507" s="305"/>
      <c r="U507" s="305"/>
    </row>
    <row r="508" spans="1:21" ht="13.5" customHeight="1">
      <c r="B508" s="1765" t="s">
        <v>115</v>
      </c>
      <c r="I508" s="535" t="s">
        <v>232</v>
      </c>
      <c r="J508" s="556"/>
      <c r="L508" s="305"/>
      <c r="M508" s="305"/>
      <c r="N508" s="305"/>
      <c r="O508" s="305"/>
      <c r="P508" s="305"/>
      <c r="Q508" s="305"/>
      <c r="R508" s="305"/>
      <c r="S508" s="305"/>
      <c r="T508" s="305"/>
      <c r="U508" s="305"/>
    </row>
    <row r="509" spans="1:21" s="52" customFormat="1" ht="13.5" customHeight="1">
      <c r="A509" s="414"/>
      <c r="B509" s="3518"/>
      <c r="C509" s="3609">
        <v>2021</v>
      </c>
      <c r="D509" s="3618"/>
      <c r="E509" s="3618"/>
      <c r="F509" s="3618"/>
      <c r="G509" s="3618"/>
      <c r="H509" s="3618"/>
      <c r="I509" s="3610"/>
      <c r="J509" s="434"/>
      <c r="K509" s="394"/>
      <c r="L509" s="305"/>
      <c r="M509" s="305"/>
      <c r="N509" s="305"/>
      <c r="O509" s="305"/>
      <c r="P509" s="305"/>
      <c r="Q509" s="305"/>
      <c r="R509" s="305"/>
      <c r="S509" s="305"/>
      <c r="T509" s="305"/>
      <c r="U509" s="305"/>
    </row>
    <row r="510" spans="1:21" s="52" customFormat="1" ht="13.5" customHeight="1">
      <c r="A510" s="415"/>
      <c r="B510" s="3520"/>
      <c r="C510" s="3607" t="s">
        <v>412</v>
      </c>
      <c r="D510" s="3607" t="s">
        <v>413</v>
      </c>
      <c r="E510" s="3609" t="s">
        <v>414</v>
      </c>
      <c r="F510" s="3610"/>
      <c r="G510" s="3611" t="s">
        <v>415</v>
      </c>
      <c r="H510" s="3611" t="s">
        <v>416</v>
      </c>
      <c r="I510" s="3607" t="s">
        <v>118</v>
      </c>
      <c r="J510" s="454"/>
      <c r="K510" s="3617"/>
      <c r="L510" s="305"/>
      <c r="M510" s="305"/>
      <c r="N510" s="305"/>
      <c r="O510" s="305"/>
      <c r="P510" s="305"/>
      <c r="Q510" s="305"/>
      <c r="R510" s="305"/>
      <c r="S510" s="305"/>
      <c r="T510" s="305"/>
      <c r="U510" s="305"/>
    </row>
    <row r="511" spans="1:21" s="52" customFormat="1" ht="13.5" customHeight="1" thickBot="1">
      <c r="A511" s="415"/>
      <c r="B511" s="3519"/>
      <c r="C511" s="3608"/>
      <c r="D511" s="3608"/>
      <c r="E511" s="1744" t="s">
        <v>418</v>
      </c>
      <c r="F511" s="1744" t="s">
        <v>419</v>
      </c>
      <c r="G511" s="3612"/>
      <c r="H511" s="3612"/>
      <c r="I511" s="3608"/>
      <c r="J511" s="454"/>
      <c r="K511" s="3617"/>
      <c r="L511" s="305"/>
      <c r="M511" s="305"/>
      <c r="N511" s="305"/>
      <c r="O511" s="305"/>
      <c r="P511" s="305"/>
      <c r="Q511" s="305"/>
      <c r="R511" s="305"/>
      <c r="S511" s="305"/>
      <c r="T511" s="305"/>
      <c r="U511" s="305"/>
    </row>
    <row r="512" spans="1:21" s="52" customFormat="1" ht="13.5" customHeight="1">
      <c r="A512" s="427"/>
      <c r="B512" s="1770" t="s">
        <v>333</v>
      </c>
      <c r="C512" s="855">
        <v>2338650</v>
      </c>
      <c r="D512" s="2644">
        <v>613047</v>
      </c>
      <c r="E512" s="855">
        <v>972499</v>
      </c>
      <c r="F512" s="2644">
        <v>10699994</v>
      </c>
      <c r="G512" s="855">
        <v>4655476</v>
      </c>
      <c r="H512" s="2644">
        <v>1975358</v>
      </c>
      <c r="I512" s="1780">
        <f>SUM(C512:H512)</f>
        <v>21255024</v>
      </c>
      <c r="J512" s="410"/>
      <c r="K512" s="286"/>
      <c r="L512" s="305"/>
      <c r="M512" s="305"/>
      <c r="N512" s="305"/>
      <c r="O512" s="305"/>
      <c r="P512" s="305"/>
      <c r="Q512" s="305"/>
      <c r="R512" s="305"/>
      <c r="S512" s="305"/>
      <c r="T512" s="305"/>
      <c r="U512" s="305"/>
    </row>
    <row r="513" spans="1:21" s="52" customFormat="1" ht="13.5" customHeight="1">
      <c r="A513" s="427"/>
      <c r="B513" s="2616" t="s">
        <v>447</v>
      </c>
      <c r="C513" s="856"/>
      <c r="D513" s="857"/>
      <c r="E513" s="856"/>
      <c r="F513" s="857"/>
      <c r="G513" s="856"/>
      <c r="H513" s="857"/>
      <c r="I513" s="2591">
        <f t="shared" ref="I513:I515" si="85">SUM(C513:H513)</f>
        <v>0</v>
      </c>
      <c r="J513" s="410"/>
      <c r="K513" s="286"/>
      <c r="L513" s="305"/>
      <c r="M513" s="305"/>
      <c r="N513" s="305"/>
      <c r="O513" s="305"/>
      <c r="P513" s="305"/>
      <c r="Q513" s="305"/>
      <c r="R513" s="305"/>
      <c r="S513" s="305"/>
      <c r="T513" s="305"/>
      <c r="U513" s="305"/>
    </row>
    <row r="514" spans="1:21" s="52" customFormat="1" ht="13.5" customHeight="1">
      <c r="A514" s="427"/>
      <c r="B514" s="2616" t="s">
        <v>421</v>
      </c>
      <c r="C514" s="856">
        <v>-577963</v>
      </c>
      <c r="D514" s="857">
        <v>-6777</v>
      </c>
      <c r="E514" s="856"/>
      <c r="F514" s="857">
        <v>-228640</v>
      </c>
      <c r="G514" s="856"/>
      <c r="H514" s="857">
        <v>-59456</v>
      </c>
      <c r="I514" s="2591">
        <f t="shared" si="85"/>
        <v>-872836</v>
      </c>
      <c r="J514" s="410"/>
      <c r="K514" s="286"/>
      <c r="L514" s="305"/>
      <c r="M514" s="305"/>
      <c r="N514" s="305"/>
      <c r="O514" s="305"/>
      <c r="P514" s="305"/>
      <c r="Q514" s="305"/>
      <c r="R514" s="305"/>
      <c r="S514" s="305"/>
      <c r="T514" s="305"/>
      <c r="U514" s="305"/>
    </row>
    <row r="515" spans="1:21" s="52" customFormat="1" ht="13.5" customHeight="1">
      <c r="A515" s="427"/>
      <c r="B515" s="2616" t="s">
        <v>422</v>
      </c>
      <c r="C515" s="856">
        <v>-1491119</v>
      </c>
      <c r="D515" s="857">
        <v>-435526</v>
      </c>
      <c r="E515" s="856">
        <v>-3664</v>
      </c>
      <c r="F515" s="857">
        <v>-69728</v>
      </c>
      <c r="G515" s="856"/>
      <c r="H515" s="857">
        <v>-1156136</v>
      </c>
      <c r="I515" s="2591">
        <f t="shared" si="85"/>
        <v>-3156173</v>
      </c>
      <c r="J515" s="410"/>
      <c r="K515" s="394"/>
      <c r="L515" s="305"/>
      <c r="M515" s="305"/>
      <c r="N515" s="305"/>
      <c r="O515" s="305"/>
      <c r="P515" s="305"/>
      <c r="Q515" s="305"/>
      <c r="R515" s="305"/>
      <c r="S515" s="305"/>
      <c r="T515" s="305"/>
      <c r="U515" s="305"/>
    </row>
    <row r="516" spans="1:21" s="236" customFormat="1" ht="13.5" customHeight="1">
      <c r="A516" s="428"/>
      <c r="B516" s="2618" t="s">
        <v>423</v>
      </c>
      <c r="C516" s="2634">
        <f>SUM(C512:C515)</f>
        <v>269568</v>
      </c>
      <c r="D516" s="2684">
        <f t="shared" ref="D516:H516" si="86">SUM(D512:D515)</f>
        <v>170744</v>
      </c>
      <c r="E516" s="2634">
        <f t="shared" si="86"/>
        <v>968835</v>
      </c>
      <c r="F516" s="2684">
        <f t="shared" si="86"/>
        <v>10401626</v>
      </c>
      <c r="G516" s="2634">
        <f t="shared" si="86"/>
        <v>4655476</v>
      </c>
      <c r="H516" s="2684">
        <f t="shared" si="86"/>
        <v>759766</v>
      </c>
      <c r="I516" s="2599">
        <f t="shared" ref="I516" si="87">SUM(I512:I515)</f>
        <v>17226015</v>
      </c>
      <c r="J516" s="459"/>
      <c r="K516" s="463"/>
      <c r="L516" s="305"/>
      <c r="M516" s="305"/>
      <c r="N516" s="305"/>
      <c r="O516" s="305"/>
      <c r="P516" s="305"/>
      <c r="Q516" s="305"/>
      <c r="R516" s="305"/>
      <c r="S516" s="305"/>
      <c r="T516" s="305"/>
      <c r="U516" s="305"/>
    </row>
    <row r="517" spans="1:21" s="52" customFormat="1" ht="13.5" customHeight="1">
      <c r="A517" s="427"/>
      <c r="B517" s="2616" t="s">
        <v>424</v>
      </c>
      <c r="C517" s="2645">
        <v>-63220</v>
      </c>
      <c r="D517" s="2644">
        <v>-12972</v>
      </c>
      <c r="E517" s="2645">
        <v>-3132</v>
      </c>
      <c r="F517" s="2644">
        <v>-130711</v>
      </c>
      <c r="G517" s="2645">
        <v>44444</v>
      </c>
      <c r="H517" s="2644">
        <v>-159833</v>
      </c>
      <c r="I517" s="2591">
        <f>SUM(C517:H517)</f>
        <v>-325424</v>
      </c>
      <c r="J517" s="410"/>
      <c r="K517" s="394"/>
      <c r="L517" s="305"/>
      <c r="M517" s="305"/>
      <c r="N517" s="305"/>
      <c r="O517" s="305"/>
      <c r="P517" s="305"/>
      <c r="Q517" s="305"/>
      <c r="R517" s="305"/>
      <c r="S517" s="305"/>
      <c r="T517" s="305"/>
      <c r="U517" s="305"/>
    </row>
    <row r="518" spans="1:21" s="236" customFormat="1" ht="13.5" customHeight="1">
      <c r="A518" s="428"/>
      <c r="B518" s="2618" t="s">
        <v>425</v>
      </c>
      <c r="C518" s="2634">
        <f>SUM(C516:C517)</f>
        <v>206348</v>
      </c>
      <c r="D518" s="2684">
        <f t="shared" ref="D518:I518" si="88">SUM(D516:D517)</f>
        <v>157772</v>
      </c>
      <c r="E518" s="2634">
        <f t="shared" si="88"/>
        <v>965703</v>
      </c>
      <c r="F518" s="2684">
        <f t="shared" si="88"/>
        <v>10270915</v>
      </c>
      <c r="G518" s="2634">
        <f t="shared" si="88"/>
        <v>4699920</v>
      </c>
      <c r="H518" s="2684">
        <f t="shared" si="88"/>
        <v>599933</v>
      </c>
      <c r="I518" s="2599">
        <f t="shared" si="88"/>
        <v>16900591</v>
      </c>
      <c r="J518" s="459"/>
      <c r="K518" s="463"/>
      <c r="L518" s="305"/>
      <c r="M518" s="305"/>
      <c r="N518" s="305"/>
      <c r="O518" s="305"/>
      <c r="P518" s="305"/>
      <c r="Q518" s="305"/>
      <c r="R518" s="305"/>
      <c r="S518" s="305"/>
      <c r="T518" s="305"/>
      <c r="U518" s="305"/>
    </row>
    <row r="519" spans="1:21" s="52" customFormat="1" ht="13.5" customHeight="1">
      <c r="A519" s="427"/>
      <c r="B519" s="2616"/>
      <c r="C519" s="2637"/>
      <c r="D519" s="2685"/>
      <c r="E519" s="2637"/>
      <c r="F519" s="2685"/>
      <c r="G519" s="2637"/>
      <c r="H519" s="2685"/>
      <c r="I519" s="2591">
        <v>0</v>
      </c>
      <c r="J519" s="410"/>
      <c r="K519" s="394"/>
      <c r="L519" s="305"/>
      <c r="M519" s="305"/>
      <c r="N519" s="305"/>
      <c r="O519" s="305"/>
      <c r="P519" s="305"/>
      <c r="Q519" s="305"/>
      <c r="R519" s="305"/>
      <c r="S519" s="305"/>
      <c r="T519" s="305"/>
      <c r="U519" s="305"/>
    </row>
    <row r="520" spans="1:21" s="52" customFormat="1" ht="13.5" customHeight="1">
      <c r="A520" s="427"/>
      <c r="B520" s="2618" t="s">
        <v>426</v>
      </c>
      <c r="C520" s="2639">
        <f>SUM(C521:C523)</f>
        <v>-669282</v>
      </c>
      <c r="D520" s="2686">
        <f t="shared" ref="D520:H520" si="89">SUM(D521:D523)</f>
        <v>-232730</v>
      </c>
      <c r="E520" s="2639">
        <f t="shared" si="89"/>
        <v>-909267</v>
      </c>
      <c r="F520" s="2686">
        <f t="shared" si="89"/>
        <v>-8395089</v>
      </c>
      <c r="G520" s="2639">
        <f t="shared" si="89"/>
        <v>-5604471</v>
      </c>
      <c r="H520" s="2686">
        <f t="shared" si="89"/>
        <v>-810308</v>
      </c>
      <c r="I520" s="2591">
        <f>SUM(I521:I523)</f>
        <v>-16621147</v>
      </c>
      <c r="J520" s="410"/>
      <c r="K520" s="415"/>
      <c r="L520" s="305"/>
      <c r="M520" s="305"/>
      <c r="N520" s="305"/>
      <c r="O520" s="305"/>
      <c r="P520" s="305"/>
      <c r="Q520" s="305"/>
      <c r="R520" s="305"/>
      <c r="S520" s="305"/>
      <c r="T520" s="305"/>
      <c r="U520" s="305"/>
    </row>
    <row r="521" spans="1:21" s="52" customFormat="1" ht="27" customHeight="1">
      <c r="A521" s="427"/>
      <c r="B521" s="2616" t="s">
        <v>427</v>
      </c>
      <c r="C521" s="2675">
        <v>-210078</v>
      </c>
      <c r="D521" s="2676">
        <v>-53723</v>
      </c>
      <c r="E521" s="2675">
        <v>-216937</v>
      </c>
      <c r="F521" s="2676">
        <v>-4805652</v>
      </c>
      <c r="G521" s="2675">
        <v>-4613612</v>
      </c>
      <c r="H521" s="2676">
        <v>-305265</v>
      </c>
      <c r="I521" s="2591">
        <f>SUM(C521:H521)</f>
        <v>-10205267</v>
      </c>
      <c r="J521" s="410"/>
      <c r="K521" s="394"/>
      <c r="L521" s="305"/>
      <c r="M521" s="305"/>
      <c r="N521" s="305"/>
      <c r="O521" s="305"/>
      <c r="P521" s="305"/>
      <c r="Q521" s="305"/>
      <c r="R521" s="305"/>
      <c r="S521" s="305"/>
      <c r="T521" s="305"/>
      <c r="U521" s="305"/>
    </row>
    <row r="522" spans="1:21" s="52" customFormat="1" ht="26.25" customHeight="1">
      <c r="A522" s="427"/>
      <c r="B522" s="2616" t="s">
        <v>428</v>
      </c>
      <c r="C522" s="514">
        <v>193104</v>
      </c>
      <c r="D522" s="850">
        <v>60208</v>
      </c>
      <c r="E522" s="514">
        <v>-35944</v>
      </c>
      <c r="F522" s="850">
        <v>-745224</v>
      </c>
      <c r="G522" s="514">
        <v>-103739</v>
      </c>
      <c r="H522" s="850">
        <v>-22227</v>
      </c>
      <c r="I522" s="2591">
        <f>SUM(C522:H522)</f>
        <v>-653822</v>
      </c>
      <c r="J522" s="410"/>
      <c r="K522" s="394"/>
      <c r="L522" s="305"/>
      <c r="M522" s="305"/>
      <c r="N522" s="305"/>
      <c r="O522" s="305"/>
      <c r="P522" s="305"/>
      <c r="Q522" s="305"/>
      <c r="R522" s="305"/>
      <c r="S522" s="305"/>
      <c r="T522" s="305"/>
      <c r="U522" s="305"/>
    </row>
    <row r="523" spans="1:21" s="52" customFormat="1" ht="13.5" customHeight="1">
      <c r="A523" s="427"/>
      <c r="B523" s="2616" t="s">
        <v>429</v>
      </c>
      <c r="C523" s="858">
        <v>-652308</v>
      </c>
      <c r="D523" s="305">
        <v>-239215</v>
      </c>
      <c r="E523" s="858">
        <v>-656386</v>
      </c>
      <c r="F523" s="305">
        <v>-2844213</v>
      </c>
      <c r="G523" s="858">
        <v>-887120</v>
      </c>
      <c r="H523" s="305">
        <v>-482816</v>
      </c>
      <c r="I523" s="2591">
        <f>SUM(C523:H523)</f>
        <v>-5762058</v>
      </c>
      <c r="J523" s="410"/>
      <c r="K523" s="394"/>
      <c r="L523" s="305"/>
      <c r="M523" s="305"/>
      <c r="N523" s="305"/>
      <c r="O523" s="305"/>
      <c r="P523" s="305"/>
      <c r="Q523" s="305"/>
      <c r="R523" s="305"/>
      <c r="S523" s="305"/>
      <c r="T523" s="305"/>
      <c r="U523" s="305"/>
    </row>
    <row r="524" spans="1:21" s="52" customFormat="1" ht="13.5" customHeight="1">
      <c r="A524" s="427"/>
      <c r="B524" s="2622" t="s">
        <v>430</v>
      </c>
      <c r="C524" s="2634">
        <f>+C518+C521+C522+C523</f>
        <v>-462934</v>
      </c>
      <c r="D524" s="2684">
        <f t="shared" ref="D524:I524" si="90">+D518+D521+D522+D523</f>
        <v>-74958</v>
      </c>
      <c r="E524" s="2634">
        <f t="shared" si="90"/>
        <v>56436</v>
      </c>
      <c r="F524" s="2684">
        <f t="shared" si="90"/>
        <v>1875826</v>
      </c>
      <c r="G524" s="2634">
        <f t="shared" si="90"/>
        <v>-904551</v>
      </c>
      <c r="H524" s="2684">
        <f t="shared" si="90"/>
        <v>-210375</v>
      </c>
      <c r="I524" s="2599">
        <f t="shared" si="90"/>
        <v>279444</v>
      </c>
      <c r="J524" s="410"/>
      <c r="K524" s="288"/>
      <c r="L524" s="305"/>
      <c r="M524" s="305"/>
      <c r="N524" s="305"/>
      <c r="O524" s="305"/>
      <c r="P524" s="305"/>
      <c r="Q524" s="305"/>
      <c r="R524" s="305"/>
      <c r="S524" s="305"/>
      <c r="T524" s="305"/>
      <c r="U524" s="305"/>
    </row>
    <row r="525" spans="1:21" s="52" customFormat="1" ht="13.5" customHeight="1">
      <c r="A525" s="427"/>
      <c r="B525" s="2623"/>
      <c r="C525" s="2637"/>
      <c r="D525" s="2685"/>
      <c r="E525" s="2637"/>
      <c r="F525" s="2685"/>
      <c r="G525" s="2637"/>
      <c r="H525" s="2685"/>
      <c r="I525" s="2647"/>
      <c r="J525" s="410"/>
      <c r="K525" s="394"/>
      <c r="L525" s="305"/>
      <c r="M525" s="305"/>
      <c r="N525" s="305"/>
      <c r="O525" s="305"/>
      <c r="P525" s="305"/>
      <c r="Q525" s="305"/>
      <c r="R525" s="305"/>
      <c r="S525" s="305"/>
      <c r="T525" s="305"/>
      <c r="U525" s="305"/>
    </row>
    <row r="526" spans="1:21" s="52" customFormat="1" ht="13.5" customHeight="1">
      <c r="A526" s="427"/>
      <c r="B526" s="2618" t="s">
        <v>431</v>
      </c>
      <c r="C526" s="2624"/>
      <c r="D526" s="2687"/>
      <c r="E526" s="2624"/>
      <c r="F526" s="2687"/>
      <c r="G526" s="2624"/>
      <c r="H526" s="2687"/>
      <c r="I526" s="2647">
        <f>SUM(I527:I529)</f>
        <v>4655751</v>
      </c>
      <c r="J526" s="410"/>
      <c r="K526" s="394"/>
      <c r="L526" s="305"/>
      <c r="M526" s="305"/>
      <c r="N526" s="305"/>
      <c r="O526" s="305"/>
      <c r="P526" s="305"/>
      <c r="Q526" s="305"/>
      <c r="R526" s="305"/>
      <c r="S526" s="305"/>
      <c r="T526" s="305"/>
      <c r="U526" s="305"/>
    </row>
    <row r="527" spans="1:21" s="52" customFormat="1" ht="13.5" customHeight="1">
      <c r="A527" s="427"/>
      <c r="B527" s="2616" t="s">
        <v>432</v>
      </c>
      <c r="C527" s="2624"/>
      <c r="D527" s="2687"/>
      <c r="E527" s="2624"/>
      <c r="F527" s="2687"/>
      <c r="G527" s="2624"/>
      <c r="H527" s="2687"/>
      <c r="I527" s="2647"/>
      <c r="J527" s="410"/>
      <c r="K527" s="394"/>
      <c r="L527" s="305"/>
      <c r="M527" s="305"/>
      <c r="N527" s="305"/>
      <c r="O527" s="305"/>
      <c r="P527" s="305"/>
      <c r="Q527" s="305"/>
      <c r="R527" s="305"/>
      <c r="S527" s="305"/>
      <c r="T527" s="305"/>
      <c r="U527" s="305"/>
    </row>
    <row r="528" spans="1:21" s="52" customFormat="1" ht="13.5" customHeight="1">
      <c r="A528" s="427"/>
      <c r="B528" s="2616" t="s">
        <v>446</v>
      </c>
      <c r="C528" s="2624"/>
      <c r="D528" s="2687"/>
      <c r="E528" s="2624"/>
      <c r="F528" s="2687"/>
      <c r="G528" s="2624"/>
      <c r="H528" s="2687"/>
      <c r="I528" s="2670">
        <v>3404457</v>
      </c>
      <c r="J528" s="410"/>
      <c r="K528" s="394"/>
      <c r="L528" s="305"/>
      <c r="M528" s="305"/>
      <c r="N528" s="305"/>
      <c r="O528" s="305"/>
      <c r="P528" s="305"/>
      <c r="Q528" s="305"/>
      <c r="R528" s="305"/>
      <c r="S528" s="305"/>
      <c r="T528" s="305"/>
      <c r="U528" s="305"/>
    </row>
    <row r="529" spans="1:21" s="52" customFormat="1" ht="13.5" customHeight="1">
      <c r="A529" s="427"/>
      <c r="B529" s="2616" t="s">
        <v>434</v>
      </c>
      <c r="C529" s="2624"/>
      <c r="D529" s="2687"/>
      <c r="E529" s="2624"/>
      <c r="F529" s="2687"/>
      <c r="G529" s="2624"/>
      <c r="H529" s="2687"/>
      <c r="I529" s="1781">
        <v>1251294</v>
      </c>
      <c r="J529" s="410"/>
      <c r="K529" s="394"/>
      <c r="L529" s="305"/>
      <c r="M529" s="305"/>
      <c r="N529" s="305"/>
      <c r="O529" s="305"/>
      <c r="P529" s="305"/>
      <c r="Q529" s="305"/>
      <c r="R529" s="305"/>
      <c r="S529" s="305"/>
      <c r="T529" s="305"/>
      <c r="U529" s="305"/>
    </row>
    <row r="530" spans="1:21" s="52" customFormat="1" ht="13.5" customHeight="1">
      <c r="A530" s="427"/>
      <c r="B530" s="2616"/>
      <c r="C530" s="2624"/>
      <c r="D530" s="2687"/>
      <c r="E530" s="2624"/>
      <c r="F530" s="2687"/>
      <c r="G530" s="2624"/>
      <c r="H530" s="2687"/>
      <c r="I530" s="2591"/>
      <c r="J530" s="410"/>
      <c r="K530" s="394"/>
      <c r="L530" s="305"/>
      <c r="M530" s="305"/>
      <c r="N530" s="305"/>
      <c r="O530" s="305"/>
      <c r="P530" s="305"/>
      <c r="Q530" s="305"/>
      <c r="R530" s="305"/>
      <c r="S530" s="305"/>
      <c r="T530" s="305"/>
      <c r="U530" s="305"/>
    </row>
    <row r="531" spans="1:21" s="52" customFormat="1" ht="13.5" customHeight="1">
      <c r="A531" s="427"/>
      <c r="B531" s="2618" t="s">
        <v>435</v>
      </c>
      <c r="C531" s="2624"/>
      <c r="D531" s="2687"/>
      <c r="E531" s="2624"/>
      <c r="F531" s="2687"/>
      <c r="G531" s="2624"/>
      <c r="H531" s="2687"/>
      <c r="I531" s="2591">
        <f>I532+I533</f>
        <v>-161705</v>
      </c>
      <c r="J531" s="410"/>
      <c r="K531" s="394"/>
      <c r="L531" s="305"/>
      <c r="M531" s="305"/>
      <c r="N531" s="305"/>
      <c r="O531" s="305"/>
      <c r="P531" s="305"/>
      <c r="Q531" s="305"/>
      <c r="R531" s="305"/>
      <c r="S531" s="305"/>
      <c r="T531" s="305"/>
      <c r="U531" s="305"/>
    </row>
    <row r="532" spans="1:21" s="52" customFormat="1" ht="28.5" customHeight="1">
      <c r="A532" s="427"/>
      <c r="B532" s="2616" t="s">
        <v>436</v>
      </c>
      <c r="C532" s="2624"/>
      <c r="D532" s="2687"/>
      <c r="E532" s="2624"/>
      <c r="F532" s="2687"/>
      <c r="G532" s="2624"/>
      <c r="H532" s="2687"/>
      <c r="I532" s="2670">
        <v>-161705</v>
      </c>
      <c r="J532" s="410"/>
      <c r="K532" s="394"/>
      <c r="L532" s="305"/>
      <c r="M532" s="305"/>
      <c r="N532" s="305"/>
      <c r="O532" s="305"/>
      <c r="P532" s="305"/>
      <c r="Q532" s="305"/>
      <c r="R532" s="305"/>
      <c r="S532" s="305"/>
      <c r="T532" s="305"/>
      <c r="U532" s="305"/>
    </row>
    <row r="533" spans="1:21" s="52" customFormat="1" ht="25.5" customHeight="1">
      <c r="A533" s="427"/>
      <c r="B533" s="2616" t="s">
        <v>437</v>
      </c>
      <c r="C533" s="2624"/>
      <c r="D533" s="2687"/>
      <c r="E533" s="2624"/>
      <c r="F533" s="2687"/>
      <c r="G533" s="2624"/>
      <c r="H533" s="2687"/>
      <c r="I533" s="2591"/>
      <c r="J533" s="410"/>
      <c r="K533" s="394"/>
      <c r="L533" s="305"/>
      <c r="M533" s="305"/>
      <c r="N533" s="305"/>
      <c r="O533" s="305"/>
      <c r="P533" s="305"/>
      <c r="Q533" s="305"/>
      <c r="R533" s="305"/>
      <c r="S533" s="305"/>
      <c r="T533" s="305"/>
      <c r="U533" s="305"/>
    </row>
    <row r="534" spans="1:21" s="52" customFormat="1" ht="13.5" customHeight="1">
      <c r="A534" s="427"/>
      <c r="B534" s="2618" t="s">
        <v>438</v>
      </c>
      <c r="C534" s="2624"/>
      <c r="D534" s="2687"/>
      <c r="E534" s="2624"/>
      <c r="F534" s="2687"/>
      <c r="G534" s="2624"/>
      <c r="H534" s="2687"/>
      <c r="I534" s="2647">
        <f>+I524+I526+I531</f>
        <v>4773490</v>
      </c>
      <c r="J534" s="410"/>
      <c r="K534" s="394"/>
      <c r="L534" s="305"/>
      <c r="M534" s="305"/>
      <c r="N534" s="305"/>
      <c r="O534" s="305"/>
      <c r="P534" s="305"/>
      <c r="Q534" s="305"/>
      <c r="R534" s="305"/>
      <c r="S534" s="305"/>
      <c r="T534" s="305"/>
      <c r="U534" s="305"/>
    </row>
    <row r="535" spans="1:21" s="52" customFormat="1" ht="13.5" customHeight="1">
      <c r="A535" s="427"/>
      <c r="B535" s="2616" t="s">
        <v>439</v>
      </c>
      <c r="C535" s="2624"/>
      <c r="D535" s="2687"/>
      <c r="E535" s="2624"/>
      <c r="F535" s="2687"/>
      <c r="G535" s="2624"/>
      <c r="H535" s="2687"/>
      <c r="I535" s="2591"/>
      <c r="J535" s="410"/>
      <c r="K535" s="394"/>
      <c r="L535" s="305"/>
      <c r="M535" s="305"/>
      <c r="N535" s="305"/>
      <c r="O535" s="305"/>
      <c r="P535" s="305"/>
      <c r="Q535" s="305"/>
      <c r="R535" s="305"/>
      <c r="S535" s="305"/>
      <c r="T535" s="305"/>
      <c r="U535" s="305"/>
    </row>
    <row r="536" spans="1:21" s="52" customFormat="1" ht="13.5" customHeight="1">
      <c r="A536" s="427"/>
      <c r="B536" s="2626" t="s">
        <v>440</v>
      </c>
      <c r="C536" s="2624"/>
      <c r="D536" s="2687"/>
      <c r="E536" s="2624"/>
      <c r="F536" s="2687"/>
      <c r="G536" s="2624"/>
      <c r="H536" s="2687"/>
      <c r="I536" s="2647">
        <f>SUM(I534:I535)</f>
        <v>4773490</v>
      </c>
      <c r="J536" s="410"/>
      <c r="K536" s="394"/>
      <c r="L536" s="305"/>
      <c r="M536" s="305"/>
      <c r="N536" s="305"/>
      <c r="O536" s="305"/>
      <c r="P536" s="305"/>
      <c r="Q536" s="305"/>
      <c r="R536" s="305"/>
      <c r="S536" s="305"/>
      <c r="T536" s="305"/>
      <c r="U536" s="305"/>
    </row>
    <row r="537" spans="1:21" s="52" customFormat="1" ht="13.5" customHeight="1">
      <c r="A537" s="427"/>
      <c r="B537" s="2627" t="s">
        <v>441</v>
      </c>
      <c r="C537" s="2624"/>
      <c r="D537" s="2687"/>
      <c r="E537" s="2624"/>
      <c r="F537" s="2687"/>
      <c r="G537" s="2624"/>
      <c r="H537" s="2687"/>
      <c r="I537" s="2670">
        <v>-389584</v>
      </c>
      <c r="J537" s="410"/>
      <c r="K537" s="394"/>
      <c r="L537" s="305"/>
      <c r="M537" s="305"/>
      <c r="N537" s="305"/>
      <c r="O537" s="305"/>
      <c r="P537" s="305"/>
      <c r="Q537" s="305"/>
      <c r="R537" s="305"/>
      <c r="S537" s="305"/>
      <c r="T537" s="305"/>
      <c r="U537" s="305"/>
    </row>
    <row r="538" spans="1:21" s="52" customFormat="1" ht="13.5" customHeight="1" thickBot="1">
      <c r="A538" s="427"/>
      <c r="B538" s="1762" t="s">
        <v>442</v>
      </c>
      <c r="C538" s="489"/>
      <c r="D538" s="525"/>
      <c r="E538" s="489"/>
      <c r="F538" s="525"/>
      <c r="G538" s="489"/>
      <c r="H538" s="525"/>
      <c r="I538" s="1774">
        <f>SUM(I536:I537)</f>
        <v>4383906</v>
      </c>
      <c r="J538" s="410"/>
      <c r="K538" s="394"/>
      <c r="L538" s="305"/>
      <c r="M538" s="305"/>
      <c r="N538" s="305"/>
      <c r="O538" s="305"/>
      <c r="P538" s="305"/>
      <c r="Q538" s="305"/>
      <c r="R538" s="305"/>
      <c r="S538" s="305"/>
      <c r="T538" s="305"/>
      <c r="U538" s="305"/>
    </row>
    <row r="539" spans="1:21" s="52" customFormat="1" ht="13.5" customHeight="1">
      <c r="A539" s="427"/>
      <c r="B539" s="455"/>
      <c r="C539" s="433"/>
      <c r="D539" s="433"/>
      <c r="E539" s="433"/>
      <c r="F539" s="433"/>
      <c r="G539" s="433"/>
      <c r="H539" s="433"/>
      <c r="I539" s="433"/>
      <c r="J539" s="431"/>
      <c r="K539" s="394"/>
      <c r="L539" s="305"/>
      <c r="M539" s="305"/>
      <c r="N539" s="305"/>
      <c r="O539" s="305"/>
      <c r="P539" s="305"/>
      <c r="Q539" s="305"/>
      <c r="R539" s="305"/>
      <c r="S539" s="305"/>
      <c r="T539" s="305"/>
      <c r="U539" s="305"/>
    </row>
    <row r="540" spans="1:21" s="52" customFormat="1" ht="13.5" customHeight="1">
      <c r="A540" s="427"/>
      <c r="B540" s="455"/>
      <c r="C540" s="433"/>
      <c r="D540" s="433"/>
      <c r="E540" s="433"/>
      <c r="F540" s="433"/>
      <c r="G540" s="433"/>
      <c r="H540" s="433"/>
      <c r="I540" s="433"/>
      <c r="J540" s="431"/>
      <c r="K540" s="394">
        <v>125</v>
      </c>
      <c r="L540" s="305"/>
      <c r="M540" s="305"/>
      <c r="N540" s="305"/>
      <c r="O540" s="305"/>
      <c r="P540" s="305"/>
      <c r="Q540" s="305"/>
      <c r="R540" s="305"/>
      <c r="S540" s="305"/>
      <c r="T540" s="305"/>
      <c r="U540" s="305"/>
    </row>
    <row r="541" spans="1:21" s="52" customFormat="1" ht="21" customHeight="1">
      <c r="A541" s="427"/>
      <c r="L541" s="305"/>
      <c r="M541" s="305"/>
      <c r="N541" s="305"/>
      <c r="O541" s="305"/>
      <c r="P541" s="305"/>
      <c r="Q541" s="305"/>
      <c r="R541" s="305"/>
      <c r="S541" s="305"/>
      <c r="T541" s="305"/>
      <c r="U541" s="305"/>
    </row>
    <row r="542" spans="1:21" s="52" customFormat="1" ht="13.5" customHeight="1">
      <c r="A542" s="427"/>
      <c r="L542" s="305"/>
      <c r="M542" s="305"/>
      <c r="N542" s="305"/>
      <c r="O542" s="305"/>
      <c r="P542" s="305"/>
      <c r="Q542" s="305"/>
      <c r="R542" s="305"/>
      <c r="S542" s="305"/>
      <c r="T542" s="305"/>
      <c r="U542" s="305"/>
    </row>
    <row r="543" spans="1:21" s="52" customFormat="1" ht="13.5" customHeight="1">
      <c r="A543" s="427"/>
      <c r="L543" s="305"/>
      <c r="M543" s="305"/>
      <c r="N543" s="305"/>
      <c r="O543" s="305"/>
      <c r="P543" s="305"/>
      <c r="Q543" s="305"/>
      <c r="R543" s="305"/>
      <c r="S543" s="305"/>
      <c r="T543" s="305"/>
      <c r="U543" s="305"/>
    </row>
    <row r="544" spans="1:21" s="52" customFormat="1" ht="13.5" customHeight="1">
      <c r="A544" s="427"/>
      <c r="L544" s="305"/>
      <c r="M544" s="305"/>
      <c r="N544" s="305"/>
      <c r="O544" s="305"/>
      <c r="P544" s="305"/>
      <c r="Q544" s="305"/>
      <c r="R544" s="305"/>
      <c r="S544" s="305"/>
      <c r="T544" s="305"/>
      <c r="U544" s="305"/>
    </row>
    <row r="545" spans="1:21" s="52" customFormat="1" ht="13.5" customHeight="1">
      <c r="A545" s="427"/>
      <c r="L545" s="305"/>
      <c r="M545" s="305"/>
      <c r="N545" s="305"/>
      <c r="O545" s="305"/>
      <c r="P545" s="305"/>
      <c r="Q545" s="305"/>
      <c r="R545" s="305"/>
      <c r="S545" s="305"/>
      <c r="T545" s="305"/>
      <c r="U545" s="305"/>
    </row>
    <row r="546" spans="1:21" s="52" customFormat="1" ht="13.5" customHeight="1">
      <c r="A546" s="427"/>
      <c r="L546" s="305"/>
      <c r="M546" s="305"/>
      <c r="N546" s="305"/>
      <c r="O546" s="305"/>
      <c r="P546" s="305"/>
      <c r="Q546" s="305"/>
      <c r="R546" s="305"/>
      <c r="S546" s="305"/>
      <c r="T546" s="305"/>
      <c r="U546" s="305"/>
    </row>
    <row r="547" spans="1:21" s="52" customFormat="1" ht="13.5" customHeight="1">
      <c r="A547" s="427"/>
      <c r="L547" s="305"/>
      <c r="M547" s="305"/>
      <c r="N547" s="305"/>
      <c r="O547" s="305"/>
      <c r="P547" s="305"/>
      <c r="Q547" s="305"/>
      <c r="R547" s="305"/>
      <c r="S547" s="305"/>
      <c r="T547" s="305"/>
      <c r="U547" s="305"/>
    </row>
    <row r="548" spans="1:21" s="52" customFormat="1" ht="13.5" customHeight="1">
      <c r="A548" s="427"/>
      <c r="L548" s="305"/>
      <c r="M548" s="305"/>
      <c r="N548" s="305"/>
      <c r="O548" s="305"/>
      <c r="P548" s="305"/>
      <c r="Q548" s="305"/>
      <c r="R548" s="305"/>
      <c r="S548" s="305"/>
      <c r="T548" s="305"/>
      <c r="U548" s="305"/>
    </row>
    <row r="549" spans="1:21" s="52" customFormat="1" ht="13.5" customHeight="1">
      <c r="A549" s="427"/>
      <c r="L549" s="305"/>
      <c r="M549" s="305"/>
      <c r="N549" s="305"/>
      <c r="O549" s="305"/>
      <c r="P549" s="305"/>
      <c r="Q549" s="305"/>
      <c r="R549" s="305"/>
      <c r="S549" s="305"/>
      <c r="T549" s="305"/>
      <c r="U549" s="305"/>
    </row>
    <row r="550" spans="1:21" s="52" customFormat="1" ht="13.5" customHeight="1">
      <c r="A550" s="427"/>
      <c r="L550" s="305"/>
      <c r="M550" s="305"/>
      <c r="N550" s="305"/>
      <c r="O550" s="305"/>
      <c r="P550" s="305"/>
      <c r="Q550" s="305"/>
      <c r="R550" s="305"/>
      <c r="S550" s="305"/>
      <c r="T550" s="305"/>
      <c r="U550" s="305"/>
    </row>
    <row r="551" spans="1:21" s="52" customFormat="1" ht="27.75" customHeight="1">
      <c r="A551" s="427"/>
      <c r="L551" s="305"/>
      <c r="M551" s="305"/>
      <c r="N551" s="305"/>
      <c r="O551" s="305"/>
      <c r="P551" s="305"/>
      <c r="Q551" s="305"/>
      <c r="R551" s="305"/>
      <c r="S551" s="305"/>
      <c r="T551" s="305"/>
      <c r="U551" s="305"/>
    </row>
    <row r="552" spans="1:21" s="52" customFormat="1" ht="24" customHeight="1">
      <c r="A552" s="427"/>
      <c r="L552" s="305"/>
      <c r="M552" s="305"/>
      <c r="N552" s="305"/>
      <c r="O552" s="305"/>
      <c r="P552" s="305"/>
      <c r="Q552" s="305"/>
      <c r="R552" s="305"/>
      <c r="S552" s="305"/>
      <c r="T552" s="305"/>
      <c r="U552" s="305"/>
    </row>
    <row r="553" spans="1:21" s="52" customFormat="1" ht="13.5" customHeight="1">
      <c r="A553" s="427"/>
      <c r="L553" s="305"/>
      <c r="M553" s="305"/>
      <c r="N553" s="305"/>
      <c r="O553" s="305"/>
      <c r="P553" s="305"/>
      <c r="Q553" s="305"/>
      <c r="R553" s="305"/>
      <c r="S553" s="305"/>
      <c r="T553" s="305"/>
      <c r="U553" s="305"/>
    </row>
    <row r="554" spans="1:21" s="52" customFormat="1" ht="13.5" customHeight="1">
      <c r="A554" s="427"/>
      <c r="L554" s="305"/>
      <c r="M554" s="305"/>
      <c r="N554" s="305"/>
      <c r="O554" s="305"/>
      <c r="P554" s="305"/>
      <c r="Q554" s="305"/>
      <c r="R554" s="305"/>
      <c r="S554" s="305"/>
      <c r="T554" s="305"/>
      <c r="U554" s="305"/>
    </row>
    <row r="555" spans="1:21" s="52" customFormat="1" ht="13.5" customHeight="1">
      <c r="A555" s="427"/>
      <c r="L555" s="305"/>
      <c r="M555" s="305"/>
      <c r="N555" s="305"/>
      <c r="O555" s="305"/>
      <c r="P555" s="305"/>
      <c r="Q555" s="305"/>
      <c r="R555" s="305"/>
      <c r="S555" s="305"/>
      <c r="T555" s="305"/>
      <c r="U555" s="305"/>
    </row>
    <row r="556" spans="1:21" s="52" customFormat="1" ht="13.5" customHeight="1">
      <c r="A556" s="427"/>
      <c r="L556" s="305"/>
      <c r="M556" s="305"/>
      <c r="N556" s="305"/>
      <c r="O556" s="305"/>
      <c r="P556" s="305"/>
      <c r="Q556" s="305"/>
      <c r="R556" s="305"/>
      <c r="S556" s="305"/>
      <c r="T556" s="305"/>
      <c r="U556" s="305"/>
    </row>
    <row r="557" spans="1:21" s="52" customFormat="1" ht="13.5" customHeight="1">
      <c r="A557" s="427"/>
      <c r="L557" s="305"/>
      <c r="M557" s="305"/>
      <c r="N557" s="305"/>
      <c r="O557" s="305"/>
      <c r="P557" s="305"/>
      <c r="Q557" s="305"/>
      <c r="R557" s="305"/>
      <c r="S557" s="305"/>
      <c r="T557" s="305"/>
      <c r="U557" s="305"/>
    </row>
    <row r="558" spans="1:21" ht="13.5" customHeight="1">
      <c r="A558" s="468"/>
      <c r="B558" s="292"/>
      <c r="K558" s="292"/>
      <c r="L558" s="305"/>
      <c r="M558" s="305"/>
      <c r="N558" s="305"/>
      <c r="O558" s="305"/>
      <c r="P558" s="305"/>
      <c r="Q558" s="305"/>
      <c r="R558" s="305"/>
      <c r="S558" s="305"/>
      <c r="T558" s="305"/>
      <c r="U558" s="305"/>
    </row>
    <row r="559" spans="1:21" ht="13.5" customHeight="1">
      <c r="L559" s="305"/>
      <c r="M559" s="305"/>
      <c r="N559" s="305"/>
      <c r="O559" s="305"/>
      <c r="P559" s="305"/>
      <c r="Q559" s="305"/>
      <c r="R559" s="305"/>
      <c r="S559" s="305"/>
      <c r="T559" s="305"/>
      <c r="U559" s="305"/>
    </row>
  </sheetData>
  <mergeCells count="134">
    <mergeCell ref="K510:K511"/>
    <mergeCell ref="B509:B511"/>
    <mergeCell ref="C509:I509"/>
    <mergeCell ref="C510:C511"/>
    <mergeCell ref="D510:D511"/>
    <mergeCell ref="E510:F510"/>
    <mergeCell ref="G510:G511"/>
    <mergeCell ref="H510:H511"/>
    <mergeCell ref="I510:I511"/>
    <mergeCell ref="B473:B475"/>
    <mergeCell ref="C473:I473"/>
    <mergeCell ref="C474:C475"/>
    <mergeCell ref="D474:D475"/>
    <mergeCell ref="E474:F474"/>
    <mergeCell ref="G474:G475"/>
    <mergeCell ref="H474:H475"/>
    <mergeCell ref="I474:I475"/>
    <mergeCell ref="B437:B439"/>
    <mergeCell ref="C437:I437"/>
    <mergeCell ref="C438:C439"/>
    <mergeCell ref="D438:D439"/>
    <mergeCell ref="E438:F438"/>
    <mergeCell ref="G438:G439"/>
    <mergeCell ref="H438:H439"/>
    <mergeCell ref="I438:I439"/>
    <mergeCell ref="B401:B403"/>
    <mergeCell ref="C401:I401"/>
    <mergeCell ref="C402:C403"/>
    <mergeCell ref="D402:D403"/>
    <mergeCell ref="E402:F402"/>
    <mergeCell ref="G402:G403"/>
    <mergeCell ref="H402:H403"/>
    <mergeCell ref="I402:I403"/>
    <mergeCell ref="K438:K439"/>
    <mergeCell ref="K330:K331"/>
    <mergeCell ref="B365:B367"/>
    <mergeCell ref="C365:K365"/>
    <mergeCell ref="C366:C367"/>
    <mergeCell ref="D366:D367"/>
    <mergeCell ref="E366:F366"/>
    <mergeCell ref="G366:G367"/>
    <mergeCell ref="H366:H367"/>
    <mergeCell ref="I366:I367"/>
    <mergeCell ref="J366:J367"/>
    <mergeCell ref="B329:B331"/>
    <mergeCell ref="C329:I329"/>
    <mergeCell ref="C330:C331"/>
    <mergeCell ref="D330:D331"/>
    <mergeCell ref="E330:F330"/>
    <mergeCell ref="G330:G331"/>
    <mergeCell ref="H330:H331"/>
    <mergeCell ref="I330:I331"/>
    <mergeCell ref="K366:K367"/>
    <mergeCell ref="K258:K259"/>
    <mergeCell ref="B293:B295"/>
    <mergeCell ref="C293:I293"/>
    <mergeCell ref="C294:C295"/>
    <mergeCell ref="D294:D295"/>
    <mergeCell ref="E294:F294"/>
    <mergeCell ref="G294:G295"/>
    <mergeCell ref="H294:H295"/>
    <mergeCell ref="I294:I295"/>
    <mergeCell ref="K294:K295"/>
    <mergeCell ref="B257:B259"/>
    <mergeCell ref="C257:I257"/>
    <mergeCell ref="C258:C259"/>
    <mergeCell ref="D258:D259"/>
    <mergeCell ref="E258:F258"/>
    <mergeCell ref="G258:G259"/>
    <mergeCell ref="H258:H259"/>
    <mergeCell ref="I258:I259"/>
    <mergeCell ref="K186:K187"/>
    <mergeCell ref="B221:B223"/>
    <mergeCell ref="C221:I221"/>
    <mergeCell ref="C222:C223"/>
    <mergeCell ref="D222:D223"/>
    <mergeCell ref="E222:F222"/>
    <mergeCell ref="G222:G223"/>
    <mergeCell ref="H222:H223"/>
    <mergeCell ref="I222:I223"/>
    <mergeCell ref="K222:K223"/>
    <mergeCell ref="B185:B187"/>
    <mergeCell ref="C185:I185"/>
    <mergeCell ref="C186:C187"/>
    <mergeCell ref="D186:D187"/>
    <mergeCell ref="E186:F186"/>
    <mergeCell ref="G186:G187"/>
    <mergeCell ref="H186:H187"/>
    <mergeCell ref="I186:I187"/>
    <mergeCell ref="K114:K115"/>
    <mergeCell ref="B149:B151"/>
    <mergeCell ref="C149:I149"/>
    <mergeCell ref="C150:C151"/>
    <mergeCell ref="D150:D151"/>
    <mergeCell ref="E150:F150"/>
    <mergeCell ref="G150:G151"/>
    <mergeCell ref="H150:H151"/>
    <mergeCell ref="I150:I151"/>
    <mergeCell ref="K150:K151"/>
    <mergeCell ref="B113:B115"/>
    <mergeCell ref="C113:I113"/>
    <mergeCell ref="C114:C115"/>
    <mergeCell ref="D114:D115"/>
    <mergeCell ref="E114:F114"/>
    <mergeCell ref="G114:G115"/>
    <mergeCell ref="H114:H115"/>
    <mergeCell ref="I114:I115"/>
    <mergeCell ref="K42:K43"/>
    <mergeCell ref="B77:B79"/>
    <mergeCell ref="C77:I77"/>
    <mergeCell ref="C78:C79"/>
    <mergeCell ref="D78:D79"/>
    <mergeCell ref="E78:F78"/>
    <mergeCell ref="G78:G79"/>
    <mergeCell ref="H78:H79"/>
    <mergeCell ref="I78:I79"/>
    <mergeCell ref="B41:B43"/>
    <mergeCell ref="C41:I41"/>
    <mergeCell ref="C42:C43"/>
    <mergeCell ref="D42:D43"/>
    <mergeCell ref="E42:F42"/>
    <mergeCell ref="G42:G43"/>
    <mergeCell ref="H42:H43"/>
    <mergeCell ref="I42:I43"/>
    <mergeCell ref="B5:B7"/>
    <mergeCell ref="C5:K5"/>
    <mergeCell ref="C6:C7"/>
    <mergeCell ref="D6:D7"/>
    <mergeCell ref="E6:F6"/>
    <mergeCell ref="G6:G7"/>
    <mergeCell ref="H6:H7"/>
    <mergeCell ref="I6:I7"/>
    <mergeCell ref="J6:J7"/>
    <mergeCell ref="K6:K7"/>
  </mergeCells>
  <pageMargins left="0.19" right="0.24" top="0.27" bottom="0.75" header="0.3" footer="0.3"/>
  <pageSetup paperSize="9" scale="47" orientation="landscape" r:id="rId1"/>
  <rowBreaks count="14" manualBreakCount="14">
    <brk id="36" max="16383" man="1"/>
    <brk id="72" max="16383" man="1"/>
    <brk id="108" max="16383" man="1"/>
    <brk id="144" max="16383" man="1"/>
    <brk id="180" max="16383" man="1"/>
    <brk id="216" max="16383" man="1"/>
    <brk id="252" max="16383" man="1"/>
    <brk id="288" max="16383" man="1"/>
    <brk id="324" max="16383" man="1"/>
    <brk id="360" max="10" man="1"/>
    <brk id="396" max="10" man="1"/>
    <brk id="432" max="10" man="1"/>
    <brk id="468" max="10" man="1"/>
    <brk id="504" max="10"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6699"/>
  </sheetPr>
  <dimension ref="A1:AF559"/>
  <sheetViews>
    <sheetView showGridLines="0" view="pageBreakPreview" topLeftCell="G1" zoomScale="55" zoomScaleNormal="90" zoomScaleSheetLayoutView="55" workbookViewId="0">
      <selection activeCell="O30" sqref="O30"/>
    </sheetView>
  </sheetViews>
  <sheetFormatPr defaultColWidth="9.140625" defaultRowHeight="12.75"/>
  <cols>
    <col min="1" max="1" width="5.85546875" style="385" customWidth="1"/>
    <col min="2" max="2" width="37.5703125" style="413" customWidth="1"/>
    <col min="3" max="3" width="15.42578125" style="292" customWidth="1"/>
    <col min="4" max="4" width="16.7109375" style="292" customWidth="1"/>
    <col min="5" max="5" width="14.7109375" style="292" customWidth="1"/>
    <col min="6" max="6" width="15.28515625" style="292" customWidth="1"/>
    <col min="7" max="7" width="15.7109375" style="292" customWidth="1"/>
    <col min="8" max="8" width="17.28515625" style="292" customWidth="1"/>
    <col min="9" max="9" width="16.28515625" style="292" customWidth="1"/>
    <col min="10" max="10" width="16.5703125" style="292" customWidth="1"/>
    <col min="11" max="11" width="13.5703125" style="416" customWidth="1"/>
    <col min="12" max="12" width="17.42578125" style="292" customWidth="1"/>
    <col min="13" max="13" width="14.7109375" style="292" customWidth="1"/>
    <col min="14" max="14" width="13.42578125" style="292" customWidth="1"/>
    <col min="15" max="16" width="16.42578125" style="292" customWidth="1"/>
    <col min="17" max="17" width="14.7109375" style="292" customWidth="1"/>
    <col min="18" max="18" width="16.42578125" style="292" customWidth="1"/>
    <col min="19" max="19" width="14.85546875" style="292" customWidth="1"/>
    <col min="20" max="20" width="16" style="292" customWidth="1"/>
    <col min="21" max="21" width="15.7109375" style="292" customWidth="1"/>
    <col min="22" max="22" width="11.42578125" style="292" customWidth="1"/>
    <col min="23" max="16384" width="9.140625" style="292"/>
  </cols>
  <sheetData>
    <row r="1" spans="1:32" ht="14.25" customHeight="1">
      <c r="B1" s="292"/>
    </row>
    <row r="2" spans="1:32" ht="14.25" customHeight="1">
      <c r="B2" s="236" t="s">
        <v>449</v>
      </c>
      <c r="C2" s="236"/>
      <c r="D2" s="236"/>
    </row>
    <row r="3" spans="1:32" ht="14.25" customHeight="1" thickBot="1">
      <c r="I3" s="3662" t="s">
        <v>232</v>
      </c>
      <c r="J3" s="3662"/>
      <c r="K3" s="3662"/>
      <c r="M3" s="264"/>
    </row>
    <row r="4" spans="1:32" ht="14.25" customHeight="1" thickBot="1">
      <c r="B4" s="1759" t="s">
        <v>253</v>
      </c>
      <c r="I4" s="1975"/>
      <c r="J4" s="1975"/>
      <c r="K4" s="1975"/>
      <c r="M4" s="264"/>
    </row>
    <row r="5" spans="1:32" s="52" customFormat="1" ht="14.25" customHeight="1" thickBot="1">
      <c r="A5" s="278"/>
      <c r="B5" s="3663" t="s">
        <v>253</v>
      </c>
      <c r="C5" s="3609">
        <v>2020</v>
      </c>
      <c r="D5" s="3618"/>
      <c r="E5" s="3618"/>
      <c r="F5" s="3618"/>
      <c r="G5" s="3618"/>
      <c r="H5" s="3618"/>
      <c r="I5" s="3618"/>
      <c r="J5" s="3618"/>
      <c r="K5" s="3610"/>
      <c r="M5" s="3649"/>
      <c r="N5" s="3649"/>
      <c r="O5" s="3649"/>
      <c r="P5" s="3649"/>
      <c r="Q5" s="3649"/>
      <c r="R5" s="3649"/>
      <c r="S5" s="3649"/>
      <c r="T5" s="3649"/>
      <c r="U5" s="3649"/>
    </row>
    <row r="6" spans="1:32" s="52" customFormat="1" ht="14.25" customHeight="1" thickBot="1">
      <c r="A6" s="394"/>
      <c r="B6" s="3664"/>
      <c r="C6" s="3650" t="s">
        <v>412</v>
      </c>
      <c r="D6" s="3650" t="s">
        <v>413</v>
      </c>
      <c r="E6" s="3653" t="s">
        <v>414</v>
      </c>
      <c r="F6" s="3654"/>
      <c r="G6" s="3655" t="s">
        <v>415</v>
      </c>
      <c r="H6" s="3655" t="s">
        <v>416</v>
      </c>
      <c r="I6" s="3657" t="s">
        <v>374</v>
      </c>
      <c r="J6" s="3659" t="s">
        <v>118</v>
      </c>
      <c r="K6" s="3659" t="s">
        <v>417</v>
      </c>
      <c r="M6" s="236"/>
      <c r="N6" s="236"/>
      <c r="O6" s="3649"/>
      <c r="P6" s="3649"/>
      <c r="Q6" s="3649"/>
      <c r="R6" s="3649"/>
      <c r="S6" s="3617"/>
      <c r="T6" s="3617"/>
      <c r="U6" s="3617"/>
    </row>
    <row r="7" spans="1:32" s="52" customFormat="1" ht="28.15" customHeight="1" thickBot="1">
      <c r="A7" s="394"/>
      <c r="B7" s="3665"/>
      <c r="C7" s="3651"/>
      <c r="D7" s="3652"/>
      <c r="E7" s="1786" t="s">
        <v>418</v>
      </c>
      <c r="F7" s="1786" t="s">
        <v>419</v>
      </c>
      <c r="G7" s="3656"/>
      <c r="H7" s="3656"/>
      <c r="I7" s="3658"/>
      <c r="J7" s="3660"/>
      <c r="K7" s="3660"/>
      <c r="M7" s="236"/>
      <c r="N7" s="236"/>
      <c r="O7" s="274"/>
      <c r="P7" s="274"/>
      <c r="Q7" s="3649"/>
      <c r="R7" s="3649"/>
      <c r="S7" s="3617"/>
      <c r="T7" s="3617"/>
      <c r="U7" s="3617"/>
    </row>
    <row r="8" spans="1:32" s="52" customFormat="1" ht="14.25" customHeight="1">
      <c r="A8" s="285"/>
      <c r="B8" s="1761" t="s">
        <v>333</v>
      </c>
      <c r="C8" s="657">
        <f>+C44+C80+C116+C152+C188+C224+C260+C297+C333+C369+C405+C441+C477+C513</f>
        <v>13238221</v>
      </c>
      <c r="D8" s="516">
        <f t="shared" ref="D8:K16" si="0">+D44+D80+D116+D152+D188+D224+D260+D297+D333+D369+D405+D441+D477+D513</f>
        <v>2353025</v>
      </c>
      <c r="E8" s="485">
        <f t="shared" si="0"/>
        <v>2516103</v>
      </c>
      <c r="F8" s="485">
        <f t="shared" si="0"/>
        <v>59980368</v>
      </c>
      <c r="G8" s="487">
        <f t="shared" si="0"/>
        <v>18919326</v>
      </c>
      <c r="H8" s="485">
        <f t="shared" si="0"/>
        <v>8538353</v>
      </c>
      <c r="I8" s="526">
        <f>I369</f>
        <v>6088496</v>
      </c>
      <c r="J8" s="1788">
        <f>SUM(C8:I8)</f>
        <v>111633892</v>
      </c>
      <c r="K8" s="516">
        <f t="shared" si="0"/>
        <v>3235474</v>
      </c>
      <c r="L8" s="394"/>
      <c r="M8" s="473"/>
      <c r="N8" s="264"/>
      <c r="O8" s="264"/>
      <c r="P8" s="264"/>
      <c r="Q8" s="264"/>
      <c r="R8" s="264"/>
      <c r="S8" s="264"/>
      <c r="T8" s="264"/>
      <c r="U8" s="473"/>
      <c r="V8" s="305"/>
      <c r="W8" s="305"/>
      <c r="X8" s="305"/>
      <c r="Y8" s="305"/>
      <c r="Z8" s="305"/>
      <c r="AA8" s="305"/>
      <c r="AB8" s="305"/>
      <c r="AC8" s="305"/>
      <c r="AD8" s="305"/>
      <c r="AE8" s="305"/>
      <c r="AF8" s="305"/>
    </row>
    <row r="9" spans="1:32" s="52" customFormat="1" ht="14.25" customHeight="1">
      <c r="A9" s="285"/>
      <c r="B9" s="2616" t="s">
        <v>447</v>
      </c>
      <c r="C9" s="658">
        <f t="shared" ref="C9:H20" si="1">+C45+C81+C117+C153+C189+C225+C261+C298+C334+C370+C406+C442+C478+C514</f>
        <v>-131516</v>
      </c>
      <c r="D9" s="2189">
        <f t="shared" si="1"/>
        <v>-41576</v>
      </c>
      <c r="E9" s="2191">
        <f t="shared" si="1"/>
        <v>0</v>
      </c>
      <c r="F9" s="2191">
        <f t="shared" si="1"/>
        <v>-9682</v>
      </c>
      <c r="G9" s="2238">
        <f t="shared" si="1"/>
        <v>-1483</v>
      </c>
      <c r="H9" s="2191">
        <f t="shared" si="1"/>
        <v>-69649</v>
      </c>
      <c r="I9" s="2190">
        <f t="shared" ref="I9:I20" si="2">I370</f>
        <v>0</v>
      </c>
      <c r="J9" s="2688">
        <f t="shared" ref="J9:J22" si="3">SUM(C9:I9)</f>
        <v>-253906</v>
      </c>
      <c r="K9" s="2189">
        <f t="shared" si="0"/>
        <v>0</v>
      </c>
      <c r="L9" s="394"/>
      <c r="M9" s="473"/>
      <c r="N9" s="264"/>
      <c r="O9" s="264"/>
      <c r="P9" s="264"/>
      <c r="Q9" s="264"/>
      <c r="R9" s="264"/>
      <c r="S9" s="264"/>
      <c r="T9" s="264"/>
      <c r="U9" s="473"/>
      <c r="V9" s="305"/>
      <c r="W9" s="305"/>
      <c r="X9" s="305"/>
      <c r="Y9" s="305"/>
      <c r="Z9" s="305"/>
      <c r="AA9" s="305"/>
      <c r="AB9" s="305"/>
      <c r="AC9" s="305"/>
      <c r="AD9" s="305"/>
      <c r="AE9" s="305"/>
      <c r="AF9" s="305"/>
    </row>
    <row r="10" spans="1:32" s="52" customFormat="1" ht="14.25" customHeight="1">
      <c r="A10" s="285"/>
      <c r="B10" s="2616" t="s">
        <v>421</v>
      </c>
      <c r="C10" s="658">
        <f t="shared" si="1"/>
        <v>-4218447</v>
      </c>
      <c r="D10" s="2189">
        <f t="shared" si="1"/>
        <v>-34976</v>
      </c>
      <c r="E10" s="2191">
        <f t="shared" si="1"/>
        <v>0</v>
      </c>
      <c r="F10" s="2191">
        <f t="shared" si="1"/>
        <v>-1210580</v>
      </c>
      <c r="G10" s="2238">
        <f t="shared" si="1"/>
        <v>-40258</v>
      </c>
      <c r="H10" s="2191">
        <f t="shared" si="1"/>
        <v>-610936</v>
      </c>
      <c r="I10" s="2190">
        <f t="shared" si="2"/>
        <v>0</v>
      </c>
      <c r="J10" s="2688">
        <f t="shared" si="3"/>
        <v>-6115197</v>
      </c>
      <c r="K10" s="2189">
        <f t="shared" si="0"/>
        <v>0</v>
      </c>
      <c r="L10" s="394"/>
      <c r="M10" s="473"/>
      <c r="N10" s="264"/>
      <c r="O10" s="264"/>
      <c r="P10" s="264"/>
      <c r="Q10" s="264"/>
      <c r="R10" s="264"/>
      <c r="S10" s="264"/>
      <c r="T10" s="264"/>
      <c r="U10" s="473"/>
      <c r="V10" s="305"/>
      <c r="W10" s="305"/>
      <c r="X10" s="305"/>
      <c r="Y10" s="305"/>
      <c r="Z10" s="305"/>
      <c r="AA10" s="305"/>
      <c r="AB10" s="305"/>
      <c r="AC10" s="305"/>
      <c r="AD10" s="305"/>
      <c r="AE10" s="305"/>
      <c r="AF10" s="305"/>
    </row>
    <row r="11" spans="1:32" s="52" customFormat="1" ht="14.25" customHeight="1">
      <c r="A11" s="285"/>
      <c r="B11" s="2616" t="s">
        <v>422</v>
      </c>
      <c r="C11" s="658">
        <f t="shared" si="1"/>
        <v>-6609886</v>
      </c>
      <c r="D11" s="2189">
        <f t="shared" si="1"/>
        <v>-1352679</v>
      </c>
      <c r="E11" s="2191">
        <f t="shared" si="1"/>
        <v>-231961</v>
      </c>
      <c r="F11" s="2191">
        <f t="shared" si="1"/>
        <v>-4124299</v>
      </c>
      <c r="G11" s="2238">
        <f t="shared" si="1"/>
        <v>-1645816</v>
      </c>
      <c r="H11" s="2191">
        <f t="shared" si="1"/>
        <v>-4546844</v>
      </c>
      <c r="I11" s="2190">
        <f t="shared" si="2"/>
        <v>-100121</v>
      </c>
      <c r="J11" s="2688">
        <f t="shared" si="3"/>
        <v>-18611606</v>
      </c>
      <c r="K11" s="2189">
        <f t="shared" si="0"/>
        <v>-985500</v>
      </c>
      <c r="L11" s="394"/>
      <c r="M11" s="473"/>
      <c r="N11" s="264"/>
      <c r="O11" s="264"/>
      <c r="P11" s="264"/>
      <c r="Q11" s="264"/>
      <c r="R11" s="264"/>
      <c r="S11" s="264"/>
      <c r="T11" s="264"/>
      <c r="U11" s="473"/>
      <c r="V11" s="305"/>
      <c r="W11" s="305"/>
      <c r="X11" s="305"/>
      <c r="Y11" s="305"/>
      <c r="Z11" s="305"/>
      <c r="AA11" s="305"/>
      <c r="AB11" s="305"/>
      <c r="AC11" s="305"/>
      <c r="AD11" s="305"/>
      <c r="AE11" s="305"/>
      <c r="AF11" s="305"/>
    </row>
    <row r="12" spans="1:32" s="52" customFormat="1" ht="14.25" customHeight="1">
      <c r="A12" s="285"/>
      <c r="B12" s="2618" t="s">
        <v>423</v>
      </c>
      <c r="C12" s="658">
        <f t="shared" si="1"/>
        <v>2278372</v>
      </c>
      <c r="D12" s="2189">
        <f t="shared" si="1"/>
        <v>923794</v>
      </c>
      <c r="E12" s="2191">
        <f t="shared" si="1"/>
        <v>2284142</v>
      </c>
      <c r="F12" s="2191">
        <f>+F48+F84+F120+F156+F192+F228+F264+F301+F337+F373+F409+F445+F481+F517</f>
        <v>54635807</v>
      </c>
      <c r="G12" s="2238">
        <f t="shared" si="1"/>
        <v>17231769</v>
      </c>
      <c r="H12" s="2191">
        <f t="shared" si="1"/>
        <v>3310924</v>
      </c>
      <c r="I12" s="2190">
        <f t="shared" si="2"/>
        <v>5988375</v>
      </c>
      <c r="J12" s="2688">
        <f t="shared" si="3"/>
        <v>86653183</v>
      </c>
      <c r="K12" s="2189">
        <f t="shared" si="0"/>
        <v>2249974</v>
      </c>
      <c r="L12" s="394"/>
      <c r="M12" s="473"/>
      <c r="N12" s="264"/>
      <c r="O12" s="264"/>
      <c r="P12" s="264"/>
      <c r="Q12" s="264"/>
      <c r="R12" s="264"/>
      <c r="S12" s="264"/>
      <c r="T12" s="264"/>
      <c r="U12" s="473"/>
      <c r="V12" s="305"/>
      <c r="W12" s="305"/>
      <c r="X12" s="305"/>
      <c r="Y12" s="305"/>
      <c r="Z12" s="305"/>
      <c r="AA12" s="305"/>
      <c r="AB12" s="305"/>
      <c r="AC12" s="305"/>
      <c r="AD12" s="305"/>
      <c r="AE12" s="305"/>
      <c r="AF12" s="305"/>
    </row>
    <row r="13" spans="1:32" s="52" customFormat="1" ht="14.25" customHeight="1">
      <c r="A13" s="285"/>
      <c r="B13" s="2616" t="s">
        <v>424</v>
      </c>
      <c r="C13" s="658">
        <f t="shared" si="1"/>
        <v>42605</v>
      </c>
      <c r="D13" s="2189">
        <f t="shared" si="1"/>
        <v>49467</v>
      </c>
      <c r="E13" s="2191">
        <f t="shared" si="1"/>
        <v>6444</v>
      </c>
      <c r="F13" s="2191">
        <f t="shared" si="1"/>
        <v>1003721</v>
      </c>
      <c r="G13" s="2238">
        <f t="shared" si="1"/>
        <v>-2236202</v>
      </c>
      <c r="H13" s="2191">
        <f t="shared" si="1"/>
        <v>799067</v>
      </c>
      <c r="I13" s="2190">
        <f t="shared" si="2"/>
        <v>171513</v>
      </c>
      <c r="J13" s="2688">
        <f t="shared" si="3"/>
        <v>-163385</v>
      </c>
      <c r="K13" s="2189">
        <f t="shared" si="0"/>
        <v>1039237</v>
      </c>
      <c r="L13" s="394"/>
      <c r="M13" s="473"/>
      <c r="N13" s="264"/>
      <c r="O13" s="264"/>
      <c r="P13" s="264"/>
      <c r="Q13" s="264"/>
      <c r="R13" s="264"/>
      <c r="S13" s="264"/>
      <c r="T13" s="264"/>
      <c r="U13" s="473"/>
      <c r="V13" s="305"/>
      <c r="W13" s="305"/>
      <c r="X13" s="305"/>
      <c r="Y13" s="305"/>
      <c r="Z13" s="305"/>
      <c r="AA13" s="305"/>
      <c r="AB13" s="305"/>
      <c r="AC13" s="305"/>
      <c r="AD13" s="305"/>
      <c r="AE13" s="305"/>
      <c r="AF13" s="305"/>
    </row>
    <row r="14" spans="1:32" s="52" customFormat="1" ht="14.25" customHeight="1">
      <c r="A14" s="285"/>
      <c r="B14" s="2618" t="s">
        <v>425</v>
      </c>
      <c r="C14" s="658">
        <f t="shared" si="1"/>
        <v>2320977</v>
      </c>
      <c r="D14" s="2189">
        <f t="shared" si="1"/>
        <v>973261</v>
      </c>
      <c r="E14" s="2191">
        <f t="shared" si="1"/>
        <v>2290586</v>
      </c>
      <c r="F14" s="2191">
        <f t="shared" si="1"/>
        <v>55639528</v>
      </c>
      <c r="G14" s="2238">
        <f t="shared" si="1"/>
        <v>14995567</v>
      </c>
      <c r="H14" s="2191">
        <f t="shared" si="1"/>
        <v>4109991</v>
      </c>
      <c r="I14" s="2190">
        <f t="shared" si="2"/>
        <v>6159888</v>
      </c>
      <c r="J14" s="2688">
        <f t="shared" si="3"/>
        <v>86489798</v>
      </c>
      <c r="K14" s="2189">
        <f t="shared" si="0"/>
        <v>3289211</v>
      </c>
      <c r="L14" s="394"/>
      <c r="M14" s="473"/>
      <c r="N14" s="264"/>
      <c r="O14" s="264"/>
      <c r="P14" s="264"/>
      <c r="Q14" s="264"/>
      <c r="R14" s="264"/>
      <c r="S14" s="264"/>
      <c r="T14" s="264"/>
      <c r="U14" s="473"/>
      <c r="V14" s="305"/>
      <c r="W14" s="305"/>
      <c r="X14" s="305"/>
      <c r="Y14" s="305"/>
      <c r="Z14" s="305"/>
      <c r="AA14" s="305"/>
      <c r="AB14" s="305"/>
      <c r="AC14" s="305"/>
      <c r="AD14" s="305"/>
      <c r="AE14" s="305"/>
      <c r="AF14" s="305"/>
    </row>
    <row r="15" spans="1:32" s="52" customFormat="1" ht="14.25" customHeight="1">
      <c r="A15" s="285"/>
      <c r="B15" s="2616"/>
      <c r="C15" s="658">
        <f t="shared" si="1"/>
        <v>0</v>
      </c>
      <c r="D15" s="2189">
        <f t="shared" si="1"/>
        <v>0</v>
      </c>
      <c r="E15" s="2191">
        <f t="shared" si="1"/>
        <v>0</v>
      </c>
      <c r="F15" s="2191">
        <f t="shared" si="1"/>
        <v>0</v>
      </c>
      <c r="G15" s="2238">
        <f t="shared" si="1"/>
        <v>0</v>
      </c>
      <c r="H15" s="2191">
        <f t="shared" si="1"/>
        <v>0</v>
      </c>
      <c r="I15" s="2190">
        <f t="shared" si="2"/>
        <v>0</v>
      </c>
      <c r="J15" s="2688">
        <f t="shared" si="3"/>
        <v>0</v>
      </c>
      <c r="K15" s="2189">
        <f t="shared" si="0"/>
        <v>0</v>
      </c>
      <c r="L15" s="394"/>
      <c r="M15" s="473"/>
      <c r="N15" s="264"/>
      <c r="O15" s="264"/>
      <c r="P15" s="473"/>
      <c r="Q15" s="473"/>
      <c r="R15" s="473"/>
      <c r="S15" s="473"/>
      <c r="T15" s="473"/>
      <c r="U15" s="473"/>
      <c r="W15" s="305"/>
      <c r="X15" s="305"/>
      <c r="Y15" s="305"/>
      <c r="Z15" s="305"/>
      <c r="AA15" s="305"/>
      <c r="AB15" s="305"/>
      <c r="AC15" s="305"/>
      <c r="AD15" s="305"/>
      <c r="AE15" s="305"/>
      <c r="AF15" s="305"/>
    </row>
    <row r="16" spans="1:32" s="52" customFormat="1" ht="14.25" customHeight="1">
      <c r="A16" s="285"/>
      <c r="B16" s="2618" t="s">
        <v>426</v>
      </c>
      <c r="C16" s="658">
        <f t="shared" si="1"/>
        <v>-2609667</v>
      </c>
      <c r="D16" s="2189">
        <f t="shared" si="1"/>
        <v>-486115</v>
      </c>
      <c r="E16" s="2191">
        <f t="shared" si="1"/>
        <v>-1618036</v>
      </c>
      <c r="F16" s="2191">
        <f t="shared" si="1"/>
        <v>-35869419</v>
      </c>
      <c r="G16" s="2238">
        <f t="shared" si="1"/>
        <v>-14297337</v>
      </c>
      <c r="H16" s="2191">
        <f t="shared" si="1"/>
        <v>-2077397</v>
      </c>
      <c r="I16" s="2190">
        <f>I377</f>
        <v>-864305</v>
      </c>
      <c r="J16" s="2688">
        <f t="shared" si="3"/>
        <v>-57822276</v>
      </c>
      <c r="K16" s="2189">
        <f t="shared" si="0"/>
        <v>-2238015</v>
      </c>
      <c r="L16" s="394"/>
      <c r="M16" s="473"/>
      <c r="N16" s="264"/>
      <c r="O16" s="264"/>
      <c r="P16" s="473"/>
      <c r="Q16" s="473"/>
      <c r="R16" s="473"/>
      <c r="S16" s="473"/>
      <c r="T16" s="473"/>
      <c r="U16" s="473"/>
      <c r="V16" s="305"/>
      <c r="W16" s="305"/>
      <c r="X16" s="305"/>
      <c r="Y16" s="305"/>
      <c r="Z16" s="305"/>
      <c r="AA16" s="305"/>
      <c r="AB16" s="305"/>
      <c r="AC16" s="305"/>
      <c r="AD16" s="305"/>
      <c r="AE16" s="305"/>
      <c r="AF16" s="305"/>
    </row>
    <row r="17" spans="1:32" s="52" customFormat="1" ht="29.45" customHeight="1">
      <c r="A17" s="285"/>
      <c r="B17" s="2616" t="s">
        <v>427</v>
      </c>
      <c r="C17" s="658">
        <f t="shared" si="1"/>
        <v>-2039484</v>
      </c>
      <c r="D17" s="2189">
        <f t="shared" si="1"/>
        <v>-277372</v>
      </c>
      <c r="E17" s="2191">
        <f t="shared" si="1"/>
        <v>-827708</v>
      </c>
      <c r="F17" s="2191">
        <f t="shared" si="1"/>
        <v>-26063564</v>
      </c>
      <c r="G17" s="2238">
        <f t="shared" si="1"/>
        <v>-12099917</v>
      </c>
      <c r="H17" s="2191">
        <f t="shared" si="1"/>
        <v>-1225842</v>
      </c>
      <c r="I17" s="2190">
        <f t="shared" si="2"/>
        <v>14382</v>
      </c>
      <c r="J17" s="2688">
        <f t="shared" si="3"/>
        <v>-42519505</v>
      </c>
      <c r="K17" s="2189">
        <f t="shared" ref="K17" si="4">+K53+K89+K125+K161+K197+K233+K269+K306+K342+K378+K414+K450+K486+K522</f>
        <v>-1505471</v>
      </c>
      <c r="L17" s="394"/>
      <c r="M17" s="473"/>
      <c r="N17" s="264"/>
      <c r="O17" s="264"/>
      <c r="P17" s="473"/>
      <c r="Q17" s="473"/>
      <c r="R17" s="473"/>
      <c r="S17" s="473"/>
      <c r="T17" s="473"/>
      <c r="U17" s="473"/>
      <c r="V17" s="305"/>
      <c r="W17" s="305"/>
      <c r="X17" s="305"/>
      <c r="Y17" s="305"/>
      <c r="Z17" s="305"/>
      <c r="AA17" s="305"/>
      <c r="AB17" s="305"/>
      <c r="AC17" s="305"/>
      <c r="AD17" s="305"/>
      <c r="AE17" s="305"/>
      <c r="AF17" s="305"/>
    </row>
    <row r="18" spans="1:32" s="52" customFormat="1" ht="14.25" customHeight="1">
      <c r="A18" s="285"/>
      <c r="B18" s="2616" t="s">
        <v>428</v>
      </c>
      <c r="C18" s="658">
        <f t="shared" si="1"/>
        <v>57794</v>
      </c>
      <c r="D18" s="2189">
        <f t="shared" si="1"/>
        <v>-44847</v>
      </c>
      <c r="E18" s="2191">
        <f t="shared" si="1"/>
        <v>-86971</v>
      </c>
      <c r="F18" s="2191">
        <f t="shared" si="1"/>
        <v>-6118936</v>
      </c>
      <c r="G18" s="2238">
        <f t="shared" si="1"/>
        <v>-899619</v>
      </c>
      <c r="H18" s="2191">
        <f t="shared" si="1"/>
        <v>-367441</v>
      </c>
      <c r="I18" s="2190">
        <f t="shared" si="2"/>
        <v>-996995</v>
      </c>
      <c r="J18" s="2688">
        <f t="shared" si="3"/>
        <v>-8457015</v>
      </c>
      <c r="K18" s="2189">
        <f t="shared" ref="K18" si="5">+K54+K90+K126+K162+K198+K234+K270+K307+K343+K379+K415+K451+K487+K523</f>
        <v>-732544</v>
      </c>
      <c r="L18" s="394"/>
      <c r="M18" s="473"/>
      <c r="N18" s="264"/>
      <c r="O18" s="264"/>
      <c r="P18" s="473"/>
      <c r="Q18" s="473"/>
      <c r="R18" s="473"/>
      <c r="S18" s="473"/>
      <c r="T18" s="473"/>
      <c r="U18" s="473"/>
      <c r="V18" s="305"/>
      <c r="W18" s="305"/>
      <c r="X18" s="305"/>
      <c r="Y18" s="305"/>
      <c r="Z18" s="305"/>
      <c r="AA18" s="305"/>
      <c r="AB18" s="305"/>
      <c r="AC18" s="305"/>
      <c r="AD18" s="305"/>
      <c r="AE18" s="305"/>
      <c r="AF18" s="305"/>
    </row>
    <row r="19" spans="1:32" s="52" customFormat="1" ht="14.25" customHeight="1">
      <c r="A19" s="285"/>
      <c r="B19" s="2616" t="s">
        <v>429</v>
      </c>
      <c r="C19" s="658">
        <f t="shared" si="1"/>
        <v>-627977</v>
      </c>
      <c r="D19" s="2189">
        <f t="shared" si="1"/>
        <v>-163896</v>
      </c>
      <c r="E19" s="2191">
        <f t="shared" si="1"/>
        <v>-703357</v>
      </c>
      <c r="F19" s="2191">
        <f t="shared" si="1"/>
        <v>-3686919</v>
      </c>
      <c r="G19" s="2238">
        <f t="shared" si="1"/>
        <v>-1297801</v>
      </c>
      <c r="H19" s="2191">
        <f t="shared" si="1"/>
        <v>-484114</v>
      </c>
      <c r="I19" s="2190">
        <f t="shared" si="2"/>
        <v>118308</v>
      </c>
      <c r="J19" s="2688">
        <f t="shared" si="3"/>
        <v>-6845756</v>
      </c>
      <c r="K19" s="2189">
        <f t="shared" ref="K19" si="6">+K55+K91+K127+K163+K199+K235+K271+K308+K344+K380+K416+K452+K488+K524</f>
        <v>0</v>
      </c>
      <c r="L19" s="394"/>
      <c r="M19" s="473"/>
      <c r="N19" s="264"/>
      <c r="O19" s="264"/>
      <c r="P19" s="473"/>
      <c r="Q19" s="473"/>
      <c r="R19" s="473"/>
      <c r="S19" s="473"/>
      <c r="T19" s="473"/>
      <c r="U19" s="473"/>
      <c r="V19" s="305"/>
      <c r="W19" s="305"/>
      <c r="X19" s="305"/>
      <c r="Y19" s="305"/>
      <c r="Z19" s="305"/>
      <c r="AA19" s="305"/>
      <c r="AB19" s="305"/>
      <c r="AC19" s="305"/>
      <c r="AD19" s="305"/>
      <c r="AE19" s="305"/>
      <c r="AF19" s="305"/>
    </row>
    <row r="20" spans="1:32" s="236" customFormat="1" ht="14.25" customHeight="1">
      <c r="A20" s="287"/>
      <c r="B20" s="2618" t="s">
        <v>430</v>
      </c>
      <c r="C20" s="658">
        <f>+C56+C92+C128+C164+C200+C236+C272+C309+C345+C381+C417+C453+C489+C525</f>
        <v>-288690</v>
      </c>
      <c r="D20" s="2189">
        <f t="shared" si="1"/>
        <v>487146</v>
      </c>
      <c r="E20" s="2191">
        <f t="shared" si="1"/>
        <v>672550</v>
      </c>
      <c r="F20" s="2191">
        <f t="shared" si="1"/>
        <v>19770109</v>
      </c>
      <c r="G20" s="2238">
        <f t="shared" si="1"/>
        <v>698230</v>
      </c>
      <c r="H20" s="2191">
        <f t="shared" si="1"/>
        <v>2032594</v>
      </c>
      <c r="I20" s="2190">
        <f t="shared" si="2"/>
        <v>5295583</v>
      </c>
      <c r="J20" s="2688">
        <f>SUM(C20:I20)</f>
        <v>28667522</v>
      </c>
      <c r="K20" s="2189">
        <f t="shared" ref="K20" si="7">+K56+K92+K128+K164+K200+K236+K272+K309+K345+K381+K417+K453+K489+K525</f>
        <v>1051196</v>
      </c>
      <c r="L20" s="394"/>
      <c r="M20" s="473"/>
      <c r="N20" s="264"/>
      <c r="O20" s="264"/>
      <c r="P20" s="473"/>
      <c r="Q20" s="473"/>
      <c r="R20" s="473"/>
      <c r="S20" s="473"/>
      <c r="T20" s="473"/>
      <c r="U20" s="473"/>
      <c r="V20" s="305"/>
      <c r="W20" s="305"/>
      <c r="X20" s="305"/>
      <c r="Y20" s="305"/>
      <c r="Z20" s="305"/>
      <c r="AA20" s="305"/>
      <c r="AB20" s="305"/>
      <c r="AC20" s="305"/>
      <c r="AD20" s="305"/>
      <c r="AE20" s="305"/>
      <c r="AF20" s="305"/>
    </row>
    <row r="21" spans="1:32" s="52" customFormat="1" ht="14.25" customHeight="1">
      <c r="A21" s="285"/>
      <c r="B21" s="2616"/>
      <c r="C21" s="659"/>
      <c r="D21" s="2689"/>
      <c r="E21" s="2690"/>
      <c r="F21" s="2690"/>
      <c r="G21" s="2691"/>
      <c r="H21" s="2690"/>
      <c r="I21" s="2692"/>
      <c r="J21" s="2688">
        <f t="shared" si="3"/>
        <v>0</v>
      </c>
      <c r="K21" s="2189">
        <f t="shared" ref="K21" si="8">+K57+K93+K129+K165+K201+K237+K273+K310+K346+K382+K418+K454+K490+K526</f>
        <v>0</v>
      </c>
      <c r="L21" s="394"/>
      <c r="M21" s="473"/>
      <c r="N21" s="264"/>
      <c r="O21" s="264"/>
      <c r="P21" s="473"/>
      <c r="Q21" s="473"/>
      <c r="R21" s="473"/>
      <c r="S21" s="473"/>
      <c r="T21" s="473"/>
      <c r="U21" s="473"/>
      <c r="W21" s="305"/>
      <c r="X21" s="305"/>
      <c r="Y21" s="305"/>
      <c r="Z21" s="305"/>
      <c r="AA21" s="305"/>
      <c r="AB21" s="305"/>
      <c r="AC21" s="305"/>
      <c r="AD21" s="305"/>
      <c r="AE21" s="305"/>
      <c r="AF21" s="305"/>
    </row>
    <row r="22" spans="1:32" s="52" customFormat="1" ht="14.25" customHeight="1">
      <c r="A22" s="285"/>
      <c r="B22" s="2618" t="s">
        <v>431</v>
      </c>
      <c r="C22" s="660"/>
      <c r="D22" s="2693"/>
      <c r="E22" s="2624"/>
      <c r="F22" s="2694"/>
      <c r="G22" s="2687"/>
      <c r="H22" s="2624"/>
      <c r="I22" s="2695"/>
      <c r="J22" s="2688">
        <f t="shared" si="3"/>
        <v>0</v>
      </c>
      <c r="K22" s="2189">
        <v>0</v>
      </c>
      <c r="L22" s="394"/>
      <c r="M22" s="473"/>
      <c r="N22" s="264"/>
      <c r="O22" s="264"/>
      <c r="P22" s="473"/>
      <c r="Q22" s="473"/>
      <c r="R22" s="473"/>
      <c r="S22" s="473"/>
      <c r="T22" s="473"/>
      <c r="U22" s="473"/>
      <c r="W22" s="305"/>
      <c r="X22" s="305"/>
      <c r="Y22" s="305"/>
      <c r="Z22" s="305"/>
      <c r="AA22" s="305"/>
      <c r="AB22" s="305"/>
      <c r="AC22" s="305"/>
      <c r="AD22" s="305"/>
      <c r="AE22" s="305"/>
      <c r="AF22" s="305"/>
    </row>
    <row r="23" spans="1:32" s="52" customFormat="1" ht="14.25" customHeight="1">
      <c r="A23" s="285"/>
      <c r="B23" s="2616" t="s">
        <v>432</v>
      </c>
      <c r="C23" s="2696"/>
      <c r="D23" s="2693"/>
      <c r="E23" s="2624"/>
      <c r="F23" s="2690"/>
      <c r="G23" s="2687"/>
      <c r="H23" s="2697"/>
      <c r="I23" s="2692"/>
      <c r="J23" s="2688">
        <f>+I59+I95+I131+I167+I203+I239+I275+I312+I348+J384+I420+I456+I492+I528</f>
        <v>1748877</v>
      </c>
      <c r="K23" s="2189">
        <v>0</v>
      </c>
      <c r="L23" s="394"/>
      <c r="M23" s="473"/>
      <c r="N23" s="264"/>
      <c r="O23" s="264"/>
      <c r="P23" s="473"/>
      <c r="Q23" s="473"/>
      <c r="R23" s="473"/>
      <c r="S23" s="473"/>
      <c r="T23" s="473"/>
      <c r="U23" s="473"/>
      <c r="W23" s="305"/>
      <c r="X23" s="305"/>
      <c r="Y23" s="305"/>
      <c r="Z23" s="305"/>
      <c r="AA23" s="305"/>
      <c r="AB23" s="305"/>
      <c r="AC23" s="305"/>
      <c r="AD23" s="305"/>
      <c r="AE23" s="305"/>
      <c r="AF23" s="305"/>
    </row>
    <row r="24" spans="1:32" s="52" customFormat="1" ht="14.25" customHeight="1">
      <c r="A24" s="285"/>
      <c r="B24" s="2616" t="s">
        <v>433</v>
      </c>
      <c r="C24" s="2696"/>
      <c r="D24" s="2693"/>
      <c r="E24" s="2624"/>
      <c r="F24" s="2690"/>
      <c r="G24" s="2687"/>
      <c r="H24" s="2697"/>
      <c r="I24" s="2692"/>
      <c r="J24" s="2688">
        <f t="shared" ref="J24:J25" si="9">+I60+I96+I132+I168+I204+I240+I276+I313+I349+J385+I421+I457+I493+I529</f>
        <v>10282414</v>
      </c>
      <c r="K24" s="2189">
        <f>+K385</f>
        <v>171019</v>
      </c>
      <c r="L24" s="394"/>
      <c r="M24" s="473"/>
      <c r="N24" s="264"/>
      <c r="O24" s="264"/>
      <c r="P24" s="473"/>
      <c r="Q24" s="473"/>
      <c r="R24" s="473"/>
      <c r="S24" s="473"/>
      <c r="T24" s="473"/>
      <c r="U24" s="473"/>
      <c r="W24" s="305"/>
      <c r="X24" s="305"/>
      <c r="Y24" s="305"/>
      <c r="Z24" s="305"/>
      <c r="AA24" s="305"/>
      <c r="AB24" s="305"/>
      <c r="AC24" s="305"/>
      <c r="AD24" s="305"/>
      <c r="AE24" s="305"/>
      <c r="AF24" s="305"/>
    </row>
    <row r="25" spans="1:32" s="52" customFormat="1" ht="14.25" customHeight="1">
      <c r="A25" s="285"/>
      <c r="B25" s="2616" t="s">
        <v>434</v>
      </c>
      <c r="C25" s="2696"/>
      <c r="D25" s="2693"/>
      <c r="E25" s="2624"/>
      <c r="F25" s="2690"/>
      <c r="G25" s="2687"/>
      <c r="H25" s="2697"/>
      <c r="I25" s="2692"/>
      <c r="J25" s="2688">
        <f t="shared" si="9"/>
        <v>1201851</v>
      </c>
      <c r="K25" s="2189">
        <f>+K386</f>
        <v>40325</v>
      </c>
      <c r="L25" s="394"/>
      <c r="M25" s="473"/>
      <c r="N25" s="264"/>
      <c r="O25" s="264"/>
      <c r="P25" s="473"/>
      <c r="Q25" s="473"/>
      <c r="R25" s="473"/>
      <c r="S25" s="473"/>
      <c r="T25" s="473"/>
      <c r="U25" s="473"/>
      <c r="W25" s="305"/>
      <c r="X25" s="305"/>
      <c r="Y25" s="305"/>
      <c r="Z25" s="305"/>
      <c r="AA25" s="305"/>
      <c r="AB25" s="305"/>
      <c r="AC25" s="305"/>
      <c r="AD25" s="305"/>
      <c r="AE25" s="305"/>
      <c r="AF25" s="305"/>
    </row>
    <row r="26" spans="1:32" s="52" customFormat="1" ht="14.25" customHeight="1">
      <c r="A26" s="285"/>
      <c r="B26" s="2616"/>
      <c r="C26" s="2696"/>
      <c r="D26" s="2693"/>
      <c r="E26" s="2624"/>
      <c r="F26" s="2690"/>
      <c r="G26" s="2687"/>
      <c r="H26" s="2624"/>
      <c r="I26" s="2692"/>
      <c r="J26" s="2688"/>
      <c r="K26" s="2189">
        <f t="shared" ref="K26" si="10">+K62+K98+K134+K170+K206+K242+K278+K315+K351+K387+K423+K459+K495+K531</f>
        <v>0</v>
      </c>
      <c r="L26" s="394"/>
      <c r="M26" s="473"/>
      <c r="N26" s="264"/>
      <c r="O26" s="264"/>
      <c r="P26" s="473"/>
      <c r="Q26" s="473"/>
      <c r="R26" s="473"/>
      <c r="S26" s="473"/>
      <c r="T26" s="473"/>
      <c r="U26" s="473"/>
      <c r="W26" s="305"/>
      <c r="X26" s="305"/>
      <c r="Y26" s="305"/>
      <c r="Z26" s="305"/>
      <c r="AA26" s="305"/>
      <c r="AB26" s="305"/>
      <c r="AC26" s="305"/>
      <c r="AD26" s="305"/>
      <c r="AE26" s="305"/>
      <c r="AF26" s="305"/>
    </row>
    <row r="27" spans="1:32" s="52" customFormat="1" ht="14.25" customHeight="1">
      <c r="A27" s="285"/>
      <c r="B27" s="2618" t="s">
        <v>435</v>
      </c>
      <c r="C27" s="2696"/>
      <c r="D27" s="2693"/>
      <c r="E27" s="2624"/>
      <c r="F27" s="2694"/>
      <c r="G27" s="2687"/>
      <c r="H27" s="2624"/>
      <c r="I27" s="2695"/>
      <c r="J27" s="2688"/>
      <c r="K27" s="2189"/>
      <c r="L27" s="394"/>
      <c r="M27" s="488"/>
      <c r="N27" s="418"/>
      <c r="O27" s="264"/>
      <c r="P27" s="473"/>
      <c r="Q27" s="473"/>
      <c r="R27" s="473"/>
      <c r="S27" s="473"/>
      <c r="T27" s="473"/>
      <c r="U27" s="473"/>
      <c r="W27" s="305"/>
      <c r="X27" s="305"/>
      <c r="Y27" s="305"/>
      <c r="Z27" s="305"/>
      <c r="AA27" s="305"/>
      <c r="AB27" s="305"/>
      <c r="AC27" s="305"/>
      <c r="AD27" s="305"/>
      <c r="AE27" s="305"/>
      <c r="AF27" s="305"/>
    </row>
    <row r="28" spans="1:32" s="52" customFormat="1" ht="31.9" customHeight="1">
      <c r="A28" s="285"/>
      <c r="B28" s="2616" t="s">
        <v>436</v>
      </c>
      <c r="C28" s="2696"/>
      <c r="D28" s="2693"/>
      <c r="E28" s="2624"/>
      <c r="F28" s="2690"/>
      <c r="G28" s="2687"/>
      <c r="H28" s="2697"/>
      <c r="I28" s="2692"/>
      <c r="J28" s="2688">
        <f t="shared" ref="J28:J34" si="11">+I64+I100+I136+I172+I208+I244+I280+I317+I353+J389+I425+I461+I497+I533</f>
        <v>-18276250</v>
      </c>
      <c r="K28" s="2189">
        <f t="shared" ref="K28:K34" si="12">+K64+K100+K136+K172+K208+K244+K280+K317+K353+K389+K425+K461+K497+K533</f>
        <v>-32016</v>
      </c>
      <c r="L28" s="394"/>
      <c r="M28" s="473"/>
      <c r="N28" s="264"/>
      <c r="O28" s="264"/>
      <c r="P28" s="473"/>
      <c r="Q28" s="473"/>
      <c r="R28" s="473"/>
      <c r="S28" s="473"/>
      <c r="T28" s="473"/>
      <c r="U28" s="473"/>
      <c r="W28" s="305"/>
      <c r="X28" s="305"/>
      <c r="Y28" s="305"/>
      <c r="Z28" s="305"/>
      <c r="AA28" s="305"/>
      <c r="AB28" s="305"/>
      <c r="AC28" s="305"/>
      <c r="AD28" s="305"/>
      <c r="AE28" s="305"/>
      <c r="AF28" s="305"/>
    </row>
    <row r="29" spans="1:32" s="52" customFormat="1" ht="22.5" customHeight="1">
      <c r="A29" s="285"/>
      <c r="B29" s="2616" t="s">
        <v>437</v>
      </c>
      <c r="C29" s="2696"/>
      <c r="D29" s="2693"/>
      <c r="E29" s="2624"/>
      <c r="F29" s="2690"/>
      <c r="G29" s="2687"/>
      <c r="H29" s="2624"/>
      <c r="I29" s="2692"/>
      <c r="J29" s="2688">
        <f>+I65+I101+I137+I173+I209+I245+I281+I318+I354+J390+I426+I462+I498+I534</f>
        <v>0</v>
      </c>
      <c r="K29" s="2189">
        <f t="shared" si="12"/>
        <v>0</v>
      </c>
      <c r="L29" s="394"/>
      <c r="M29" s="473"/>
      <c r="N29" s="264"/>
      <c r="O29" s="264"/>
      <c r="P29" s="473"/>
      <c r="Q29" s="473"/>
      <c r="R29" s="473"/>
      <c r="S29" s="473"/>
      <c r="T29" s="473"/>
      <c r="U29" s="473"/>
      <c r="W29" s="305"/>
      <c r="X29" s="305"/>
      <c r="Y29" s="305"/>
      <c r="Z29" s="305"/>
      <c r="AA29" s="305"/>
      <c r="AB29" s="305"/>
      <c r="AC29" s="305"/>
      <c r="AD29" s="305"/>
      <c r="AE29" s="305"/>
      <c r="AF29" s="305"/>
    </row>
    <row r="30" spans="1:32" s="52" customFormat="1" ht="14.25" customHeight="1">
      <c r="A30" s="285"/>
      <c r="B30" s="2618" t="s">
        <v>438</v>
      </c>
      <c r="C30" s="2696"/>
      <c r="D30" s="2693"/>
      <c r="E30" s="2624"/>
      <c r="F30" s="2694"/>
      <c r="G30" s="2687"/>
      <c r="H30" s="2624"/>
      <c r="I30" s="2695"/>
      <c r="J30" s="2688">
        <f t="shared" si="11"/>
        <v>23624417</v>
      </c>
      <c r="K30" s="2189">
        <f t="shared" si="12"/>
        <v>1230524</v>
      </c>
      <c r="L30" s="394"/>
      <c r="M30" s="473"/>
      <c r="N30" s="264"/>
      <c r="O30" s="264"/>
      <c r="P30" s="473"/>
      <c r="Q30" s="473"/>
      <c r="R30" s="473"/>
      <c r="S30" s="473"/>
      <c r="T30" s="473"/>
      <c r="U30" s="473"/>
      <c r="W30" s="305"/>
      <c r="X30" s="305"/>
      <c r="Y30" s="305"/>
      <c r="Z30" s="305"/>
      <c r="AA30" s="305"/>
      <c r="AB30" s="305"/>
      <c r="AC30" s="305"/>
      <c r="AD30" s="305"/>
      <c r="AE30" s="305"/>
      <c r="AF30" s="305"/>
    </row>
    <row r="31" spans="1:32" s="52" customFormat="1" ht="14.25" customHeight="1">
      <c r="A31" s="285"/>
      <c r="B31" s="2616" t="s">
        <v>439</v>
      </c>
      <c r="C31" s="2696"/>
      <c r="D31" s="2693"/>
      <c r="E31" s="2624"/>
      <c r="F31" s="2690"/>
      <c r="G31" s="2687"/>
      <c r="H31" s="2624"/>
      <c r="I31" s="2692"/>
      <c r="J31" s="2688">
        <f t="shared" si="11"/>
        <v>-263933</v>
      </c>
      <c r="K31" s="2189">
        <f t="shared" si="12"/>
        <v>0</v>
      </c>
      <c r="L31" s="394"/>
      <c r="M31" s="473"/>
      <c r="N31" s="264"/>
      <c r="O31" s="264"/>
      <c r="P31" s="473"/>
      <c r="Q31" s="473"/>
      <c r="R31" s="473"/>
      <c r="S31" s="473"/>
      <c r="T31" s="473"/>
      <c r="U31" s="473"/>
      <c r="W31" s="305"/>
      <c r="X31" s="305"/>
      <c r="Y31" s="305"/>
      <c r="Z31" s="305"/>
      <c r="AA31" s="305"/>
      <c r="AB31" s="305"/>
      <c r="AC31" s="305"/>
      <c r="AD31" s="305"/>
      <c r="AE31" s="305"/>
      <c r="AF31" s="305"/>
    </row>
    <row r="32" spans="1:32" s="52" customFormat="1" ht="14.25" customHeight="1">
      <c r="A32" s="285"/>
      <c r="B32" s="2618" t="s">
        <v>440</v>
      </c>
      <c r="C32" s="2696"/>
      <c r="D32" s="2693"/>
      <c r="E32" s="2624"/>
      <c r="F32" s="2694"/>
      <c r="G32" s="2687"/>
      <c r="H32" s="2624"/>
      <c r="I32" s="2695"/>
      <c r="J32" s="2688">
        <f t="shared" si="11"/>
        <v>23360484</v>
      </c>
      <c r="K32" s="2189">
        <f t="shared" si="12"/>
        <v>1230524</v>
      </c>
      <c r="L32" s="394"/>
      <c r="M32" s="473"/>
      <c r="N32" s="264"/>
      <c r="O32" s="264"/>
      <c r="P32" s="473"/>
      <c r="Q32" s="473"/>
      <c r="R32" s="473"/>
      <c r="S32" s="473"/>
      <c r="T32" s="473"/>
      <c r="U32" s="473"/>
      <c r="W32" s="305"/>
      <c r="X32" s="305"/>
      <c r="Y32" s="305"/>
      <c r="Z32" s="305"/>
      <c r="AA32" s="305"/>
      <c r="AB32" s="305"/>
      <c r="AC32" s="305"/>
      <c r="AD32" s="305"/>
      <c r="AE32" s="305"/>
      <c r="AF32" s="305"/>
    </row>
    <row r="33" spans="1:32" s="52" customFormat="1" ht="14.25" customHeight="1">
      <c r="A33" s="285"/>
      <c r="B33" s="2616" t="s">
        <v>441</v>
      </c>
      <c r="C33" s="2696"/>
      <c r="D33" s="2693"/>
      <c r="E33" s="2624"/>
      <c r="F33" s="2690"/>
      <c r="G33" s="2687"/>
      <c r="H33" s="2624"/>
      <c r="I33" s="2692"/>
      <c r="J33" s="2688">
        <f t="shared" si="11"/>
        <v>-5321159</v>
      </c>
      <c r="K33" s="2189">
        <f t="shared" si="12"/>
        <v>0</v>
      </c>
      <c r="L33" s="394"/>
      <c r="M33" s="473"/>
      <c r="N33" s="264"/>
      <c r="O33" s="264"/>
      <c r="P33" s="473"/>
      <c r="Q33" s="473"/>
      <c r="R33" s="473"/>
      <c r="S33" s="473"/>
      <c r="T33" s="473"/>
      <c r="U33" s="473"/>
      <c r="W33" s="305"/>
      <c r="X33" s="305"/>
      <c r="Y33" s="305"/>
      <c r="Z33" s="305"/>
      <c r="AA33" s="305"/>
      <c r="AB33" s="305"/>
      <c r="AC33" s="305"/>
      <c r="AD33" s="305"/>
      <c r="AE33" s="305"/>
      <c r="AF33" s="305"/>
    </row>
    <row r="34" spans="1:32" s="52" customFormat="1" ht="14.25" customHeight="1" thickBot="1">
      <c r="A34" s="285"/>
      <c r="B34" s="1787" t="s">
        <v>442</v>
      </c>
      <c r="C34" s="661"/>
      <c r="D34" s="662"/>
      <c r="E34" s="489"/>
      <c r="F34" s="521"/>
      <c r="G34" s="525"/>
      <c r="H34" s="489"/>
      <c r="I34" s="1314"/>
      <c r="J34" s="1789">
        <f t="shared" si="11"/>
        <v>18039325</v>
      </c>
      <c r="K34" s="636">
        <f t="shared" si="12"/>
        <v>1230524</v>
      </c>
      <c r="L34" s="394"/>
      <c r="M34" s="473"/>
      <c r="N34" s="264"/>
      <c r="O34" s="264"/>
      <c r="P34" s="473"/>
      <c r="Q34" s="473"/>
      <c r="R34" s="473"/>
      <c r="S34" s="473"/>
      <c r="T34" s="473"/>
      <c r="U34" s="473"/>
      <c r="W34" s="305"/>
      <c r="X34" s="305"/>
      <c r="Y34" s="305"/>
      <c r="Z34" s="305"/>
      <c r="AA34" s="305"/>
      <c r="AB34" s="305"/>
      <c r="AC34" s="305"/>
      <c r="AD34" s="305"/>
      <c r="AE34" s="305"/>
      <c r="AF34" s="305"/>
    </row>
    <row r="35" spans="1:32" s="52" customFormat="1" ht="14.25" customHeight="1">
      <c r="A35" s="285"/>
      <c r="B35" s="456"/>
      <c r="C35" s="279"/>
      <c r="D35" s="279"/>
      <c r="E35" s="279"/>
      <c r="F35" s="279"/>
      <c r="G35" s="279"/>
      <c r="H35" s="279"/>
      <c r="I35" s="279"/>
      <c r="J35" s="264"/>
      <c r="K35" s="279"/>
      <c r="W35" s="305"/>
      <c r="X35" s="305"/>
      <c r="Y35" s="305"/>
      <c r="Z35" s="305"/>
      <c r="AA35" s="305"/>
      <c r="AB35" s="305"/>
      <c r="AC35" s="305"/>
      <c r="AD35" s="305"/>
      <c r="AE35" s="305"/>
      <c r="AF35" s="305"/>
    </row>
    <row r="36" spans="1:32" s="52" customFormat="1" ht="14.25" customHeight="1">
      <c r="A36" s="285"/>
      <c r="B36" s="456"/>
      <c r="C36" s="279"/>
      <c r="D36" s="279"/>
      <c r="E36" s="279"/>
      <c r="F36" s="279"/>
      <c r="G36" s="279"/>
      <c r="H36" s="279"/>
      <c r="I36" s="279"/>
      <c r="J36" s="264"/>
      <c r="K36" s="264">
        <v>126</v>
      </c>
      <c r="W36" s="305"/>
      <c r="X36" s="305"/>
      <c r="Y36" s="305"/>
      <c r="Z36" s="305"/>
      <c r="AA36" s="305"/>
      <c r="AB36" s="305"/>
      <c r="AC36" s="305"/>
      <c r="AD36" s="305"/>
      <c r="AE36" s="305"/>
      <c r="AF36" s="305"/>
    </row>
    <row r="37" spans="1:32" s="52" customFormat="1" ht="14.25" customHeight="1">
      <c r="A37" s="285"/>
      <c r="B37" s="656"/>
      <c r="C37" s="433"/>
      <c r="D37" s="433"/>
      <c r="E37" s="433"/>
      <c r="F37" s="433"/>
      <c r="G37" s="433"/>
      <c r="H37" s="433"/>
      <c r="I37" s="555"/>
      <c r="J37" s="555"/>
      <c r="K37" s="417"/>
      <c r="L37" s="430"/>
      <c r="W37" s="305"/>
      <c r="X37" s="305"/>
      <c r="Y37" s="305"/>
      <c r="Z37" s="305"/>
      <c r="AA37" s="305"/>
      <c r="AB37" s="305"/>
      <c r="AC37" s="305"/>
      <c r="AD37" s="305"/>
      <c r="AE37" s="305"/>
      <c r="AF37" s="305"/>
    </row>
    <row r="38" spans="1:32" s="52" customFormat="1" ht="14.25" customHeight="1">
      <c r="A38" s="285"/>
      <c r="B38" s="236" t="s">
        <v>450</v>
      </c>
      <c r="C38" s="236"/>
      <c r="D38" s="236"/>
      <c r="E38" s="433"/>
      <c r="F38" s="433"/>
      <c r="G38" s="433"/>
      <c r="H38" s="433"/>
      <c r="I38" s="555"/>
      <c r="J38" s="555"/>
      <c r="K38" s="417"/>
      <c r="L38" s="430"/>
      <c r="W38" s="305"/>
      <c r="X38" s="305"/>
      <c r="Y38" s="305"/>
      <c r="Z38" s="305"/>
      <c r="AA38" s="305"/>
      <c r="AB38" s="305"/>
      <c r="AC38" s="305"/>
      <c r="AD38" s="305"/>
      <c r="AE38" s="305"/>
      <c r="AF38" s="305"/>
    </row>
    <row r="39" spans="1:32" s="52" customFormat="1" ht="14.25" customHeight="1" thickBot="1">
      <c r="A39" s="285"/>
      <c r="B39" s="51"/>
      <c r="C39" s="51"/>
      <c r="D39" s="51"/>
      <c r="E39" s="433"/>
      <c r="F39" s="433"/>
      <c r="G39" s="433"/>
      <c r="H39" s="433"/>
      <c r="I39" s="555"/>
      <c r="J39" s="555"/>
      <c r="K39" s="417"/>
      <c r="L39" s="430"/>
      <c r="W39" s="305"/>
      <c r="X39" s="305"/>
      <c r="Y39" s="305"/>
      <c r="Z39" s="305"/>
      <c r="AA39" s="305"/>
      <c r="AB39" s="305"/>
      <c r="AC39" s="305"/>
      <c r="AD39" s="305"/>
      <c r="AE39" s="305"/>
      <c r="AF39" s="305"/>
    </row>
    <row r="40" spans="1:32" ht="13.5" thickBot="1">
      <c r="B40" s="1765" t="s">
        <v>92</v>
      </c>
      <c r="H40" s="3662" t="s">
        <v>232</v>
      </c>
      <c r="I40" s="3662"/>
      <c r="J40" s="508"/>
      <c r="W40" s="305"/>
      <c r="X40" s="305"/>
      <c r="Y40" s="305"/>
      <c r="Z40" s="305"/>
      <c r="AA40" s="305"/>
      <c r="AB40" s="305"/>
      <c r="AC40" s="305"/>
      <c r="AD40" s="305"/>
      <c r="AE40" s="305"/>
      <c r="AF40" s="305"/>
    </row>
    <row r="41" spans="1:32" s="52" customFormat="1" ht="14.25" customHeight="1" thickBot="1">
      <c r="A41" s="278"/>
      <c r="B41" s="3663"/>
      <c r="C41" s="3575">
        <v>2020</v>
      </c>
      <c r="D41" s="3576"/>
      <c r="E41" s="3576"/>
      <c r="F41" s="3576"/>
      <c r="G41" s="3576"/>
      <c r="H41" s="3576"/>
      <c r="I41" s="3577"/>
      <c r="J41" s="454"/>
      <c r="K41" s="416"/>
      <c r="W41" s="305"/>
      <c r="X41" s="305"/>
      <c r="Y41" s="305"/>
      <c r="Z41" s="305"/>
      <c r="AA41" s="305"/>
      <c r="AB41" s="305"/>
      <c r="AC41" s="305"/>
      <c r="AD41" s="305"/>
      <c r="AE41" s="305"/>
      <c r="AF41" s="305"/>
    </row>
    <row r="42" spans="1:32" s="52" customFormat="1" ht="14.25" customHeight="1" thickBot="1">
      <c r="A42" s="394"/>
      <c r="B42" s="3664"/>
      <c r="C42" s="3611" t="s">
        <v>412</v>
      </c>
      <c r="D42" s="3611" t="s">
        <v>413</v>
      </c>
      <c r="E42" s="3575" t="s">
        <v>414</v>
      </c>
      <c r="F42" s="3577"/>
      <c r="G42" s="3611" t="s">
        <v>415</v>
      </c>
      <c r="H42" s="3622" t="s">
        <v>416</v>
      </c>
      <c r="I42" s="3666" t="s">
        <v>118</v>
      </c>
      <c r="J42" s="454"/>
      <c r="K42" s="457"/>
      <c r="W42" s="305"/>
      <c r="X42" s="305"/>
      <c r="Y42" s="305"/>
      <c r="Z42" s="305"/>
      <c r="AA42" s="305"/>
      <c r="AB42" s="305"/>
      <c r="AC42" s="305"/>
      <c r="AD42" s="305"/>
      <c r="AE42" s="305"/>
      <c r="AF42" s="305"/>
    </row>
    <row r="43" spans="1:32" s="52" customFormat="1" ht="14.25" customHeight="1" thickBot="1">
      <c r="A43" s="394"/>
      <c r="B43" s="3665"/>
      <c r="C43" s="3612"/>
      <c r="D43" s="3612"/>
      <c r="E43" s="1744" t="s">
        <v>418</v>
      </c>
      <c r="F43" s="1744" t="s">
        <v>419</v>
      </c>
      <c r="G43" s="3612"/>
      <c r="H43" s="3634"/>
      <c r="I43" s="3667"/>
      <c r="J43" s="454"/>
      <c r="K43" s="457"/>
      <c r="W43" s="305"/>
      <c r="X43" s="305"/>
      <c r="Y43" s="305"/>
      <c r="Z43" s="305"/>
      <c r="AA43" s="305"/>
      <c r="AB43" s="305"/>
      <c r="AC43" s="305"/>
      <c r="AD43" s="305"/>
      <c r="AE43" s="305"/>
      <c r="AF43" s="305"/>
    </row>
    <row r="44" spans="1:32" s="52" customFormat="1" ht="14.25" customHeight="1">
      <c r="A44" s="285"/>
      <c r="B44" s="1761" t="s">
        <v>333</v>
      </c>
      <c r="C44" s="859">
        <v>3154011</v>
      </c>
      <c r="D44" s="2698">
        <v>421795</v>
      </c>
      <c r="E44" s="859"/>
      <c r="F44" s="2698">
        <v>9030229</v>
      </c>
      <c r="G44" s="859">
        <v>1772655</v>
      </c>
      <c r="H44" s="2676">
        <v>804696</v>
      </c>
      <c r="I44" s="2688">
        <f t="shared" ref="I44:I55" si="13">C44+D44+E44+F44+G44+H44</f>
        <v>15183386</v>
      </c>
      <c r="J44" s="278"/>
      <c r="K44" s="429"/>
      <c r="L44" s="305"/>
      <c r="M44" s="305"/>
      <c r="N44" s="305"/>
      <c r="O44" s="305"/>
      <c r="P44" s="305"/>
      <c r="Q44" s="305"/>
      <c r="R44" s="305"/>
      <c r="W44" s="305"/>
      <c r="X44" s="305"/>
      <c r="Y44" s="305"/>
      <c r="Z44" s="305"/>
      <c r="AA44" s="305"/>
      <c r="AB44" s="305"/>
      <c r="AC44" s="305"/>
      <c r="AD44" s="305"/>
      <c r="AE44" s="305"/>
      <c r="AF44" s="305"/>
    </row>
    <row r="45" spans="1:32" s="52" customFormat="1" ht="14.25" customHeight="1">
      <c r="A45" s="285"/>
      <c r="B45" s="2616" t="s">
        <v>447</v>
      </c>
      <c r="C45" s="856"/>
      <c r="D45" s="2699"/>
      <c r="E45" s="2645"/>
      <c r="F45" s="2699"/>
      <c r="G45" s="2645"/>
      <c r="H45" s="2644"/>
      <c r="I45" s="2688">
        <f t="shared" si="13"/>
        <v>0</v>
      </c>
      <c r="J45" s="278"/>
      <c r="K45" s="429"/>
      <c r="L45" s="305"/>
      <c r="M45" s="305"/>
      <c r="N45" s="305"/>
      <c r="O45" s="305"/>
      <c r="P45" s="305"/>
      <c r="Q45" s="305"/>
      <c r="R45" s="305"/>
      <c r="W45" s="305"/>
      <c r="X45" s="305"/>
      <c r="Y45" s="305"/>
      <c r="Z45" s="305"/>
      <c r="AA45" s="305"/>
      <c r="AB45" s="305"/>
      <c r="AC45" s="305"/>
      <c r="AD45" s="305"/>
      <c r="AE45" s="305"/>
      <c r="AF45" s="305"/>
    </row>
    <row r="46" spans="1:32" s="52" customFormat="1" ht="14.25" customHeight="1">
      <c r="A46" s="285"/>
      <c r="B46" s="2616" t="s">
        <v>421</v>
      </c>
      <c r="C46" s="856">
        <v>-1026147</v>
      </c>
      <c r="D46" s="864">
        <v>-12527</v>
      </c>
      <c r="E46" s="856"/>
      <c r="F46" s="864">
        <v>-206997</v>
      </c>
      <c r="G46" s="856">
        <v>-40258</v>
      </c>
      <c r="H46" s="857">
        <v>-44628</v>
      </c>
      <c r="I46" s="2688">
        <f t="shared" si="13"/>
        <v>-1330557</v>
      </c>
      <c r="J46" s="278"/>
      <c r="K46" s="429"/>
      <c r="L46" s="305"/>
      <c r="M46" s="305"/>
      <c r="N46" s="305"/>
      <c r="O46" s="305"/>
      <c r="P46" s="305"/>
      <c r="Q46" s="305"/>
      <c r="R46" s="305"/>
      <c r="W46" s="305"/>
      <c r="X46" s="305"/>
      <c r="Y46" s="305"/>
      <c r="Z46" s="305"/>
      <c r="AA46" s="305"/>
      <c r="AB46" s="305"/>
      <c r="AC46" s="305"/>
      <c r="AD46" s="305"/>
      <c r="AE46" s="305"/>
      <c r="AF46" s="305"/>
    </row>
    <row r="47" spans="1:32" s="52" customFormat="1" ht="14.25" customHeight="1">
      <c r="A47" s="285"/>
      <c r="B47" s="2616" t="s">
        <v>422</v>
      </c>
      <c r="C47" s="856">
        <v>-1093785</v>
      </c>
      <c r="D47" s="864">
        <v>-73331</v>
      </c>
      <c r="E47" s="856"/>
      <c r="F47" s="864">
        <v>-6781</v>
      </c>
      <c r="G47" s="856">
        <v>-150594</v>
      </c>
      <c r="H47" s="857">
        <v>-293240</v>
      </c>
      <c r="I47" s="2688">
        <f t="shared" si="13"/>
        <v>-1617731</v>
      </c>
      <c r="J47" s="278"/>
      <c r="K47" s="416"/>
      <c r="L47" s="305"/>
      <c r="M47" s="305"/>
      <c r="N47" s="305"/>
      <c r="O47" s="305"/>
      <c r="P47" s="305"/>
      <c r="Q47" s="305"/>
      <c r="R47" s="305"/>
      <c r="W47" s="305"/>
      <c r="X47" s="305"/>
      <c r="Y47" s="305"/>
      <c r="Z47" s="305"/>
      <c r="AA47" s="305"/>
      <c r="AB47" s="305"/>
      <c r="AC47" s="305"/>
      <c r="AD47" s="305"/>
      <c r="AE47" s="305"/>
      <c r="AF47" s="305"/>
    </row>
    <row r="48" spans="1:32" s="52" customFormat="1" ht="14.25" customHeight="1">
      <c r="A48" s="285"/>
      <c r="B48" s="2618" t="s">
        <v>423</v>
      </c>
      <c r="C48" s="2619">
        <f t="shared" ref="C48:H48" si="14">C44+C45+C46++C47</f>
        <v>1034079</v>
      </c>
      <c r="D48" s="2700">
        <f t="shared" si="14"/>
        <v>335937</v>
      </c>
      <c r="E48" s="2619">
        <f t="shared" si="14"/>
        <v>0</v>
      </c>
      <c r="F48" s="2700">
        <f t="shared" si="14"/>
        <v>8816451</v>
      </c>
      <c r="G48" s="2619">
        <f t="shared" si="14"/>
        <v>1581803</v>
      </c>
      <c r="H48" s="2620">
        <f t="shared" si="14"/>
        <v>466828</v>
      </c>
      <c r="I48" s="2701">
        <f t="shared" si="13"/>
        <v>12235098</v>
      </c>
      <c r="J48" s="278"/>
      <c r="K48" s="416"/>
      <c r="L48" s="305"/>
      <c r="M48" s="305"/>
      <c r="N48" s="305"/>
      <c r="O48" s="305"/>
      <c r="P48" s="305"/>
      <c r="Q48" s="305"/>
      <c r="R48" s="305"/>
      <c r="W48" s="305"/>
      <c r="X48" s="305"/>
      <c r="Y48" s="305"/>
      <c r="Z48" s="305"/>
      <c r="AA48" s="305"/>
      <c r="AB48" s="305"/>
      <c r="AC48" s="305"/>
      <c r="AD48" s="305"/>
      <c r="AE48" s="305"/>
      <c r="AF48" s="305"/>
    </row>
    <row r="49" spans="1:32" s="52" customFormat="1" ht="14.25" customHeight="1">
      <c r="A49" s="285"/>
      <c r="B49" s="2616" t="s">
        <v>424</v>
      </c>
      <c r="C49" s="2611">
        <v>179256</v>
      </c>
      <c r="D49" s="2702">
        <v>7359</v>
      </c>
      <c r="E49" s="2607"/>
      <c r="F49" s="2702">
        <v>772685</v>
      </c>
      <c r="G49" s="2611">
        <v>458033</v>
      </c>
      <c r="H49" s="2612">
        <v>192034</v>
      </c>
      <c r="I49" s="2688">
        <f t="shared" si="13"/>
        <v>1609367</v>
      </c>
      <c r="J49" s="278"/>
      <c r="K49" s="416"/>
      <c r="L49" s="305"/>
      <c r="M49" s="305"/>
      <c r="N49" s="305"/>
      <c r="O49" s="305"/>
      <c r="P49" s="305"/>
      <c r="Q49" s="305"/>
      <c r="R49" s="305"/>
      <c r="W49" s="305"/>
      <c r="X49" s="305"/>
      <c r="Y49" s="305"/>
      <c r="Z49" s="305"/>
      <c r="AA49" s="305"/>
      <c r="AB49" s="305"/>
      <c r="AC49" s="305"/>
      <c r="AD49" s="305"/>
      <c r="AE49" s="305"/>
      <c r="AF49" s="305"/>
    </row>
    <row r="50" spans="1:32" s="52" customFormat="1" ht="14.25" customHeight="1">
      <c r="A50" s="285"/>
      <c r="B50" s="2618" t="s">
        <v>425</v>
      </c>
      <c r="C50" s="2619">
        <f t="shared" ref="C50:H50" si="15">C48+C49</f>
        <v>1213335</v>
      </c>
      <c r="D50" s="2700">
        <f t="shared" si="15"/>
        <v>343296</v>
      </c>
      <c r="E50" s="2619">
        <f t="shared" si="15"/>
        <v>0</v>
      </c>
      <c r="F50" s="2700">
        <f t="shared" si="15"/>
        <v>9589136</v>
      </c>
      <c r="G50" s="2619">
        <f t="shared" si="15"/>
        <v>2039836</v>
      </c>
      <c r="H50" s="2620">
        <f t="shared" si="15"/>
        <v>658862</v>
      </c>
      <c r="I50" s="2701">
        <f t="shared" si="13"/>
        <v>13844465</v>
      </c>
      <c r="J50" s="278"/>
      <c r="K50" s="416"/>
      <c r="L50" s="305"/>
      <c r="M50" s="305"/>
      <c r="N50" s="305"/>
      <c r="O50" s="305"/>
      <c r="P50" s="305"/>
      <c r="Q50" s="305"/>
      <c r="R50" s="305"/>
      <c r="W50" s="305"/>
      <c r="X50" s="305"/>
      <c r="Y50" s="305"/>
      <c r="Z50" s="305"/>
      <c r="AA50" s="305"/>
      <c r="AB50" s="305"/>
      <c r="AC50" s="305"/>
      <c r="AD50" s="305"/>
      <c r="AE50" s="305"/>
      <c r="AF50" s="305"/>
    </row>
    <row r="51" spans="1:32" s="52" customFormat="1" ht="14.25" customHeight="1">
      <c r="A51" s="285"/>
      <c r="B51" s="2616"/>
      <c r="C51" s="2191"/>
      <c r="D51" s="2548"/>
      <c r="E51" s="2191"/>
      <c r="F51" s="2548"/>
      <c r="G51" s="2191"/>
      <c r="H51" s="2190"/>
      <c r="I51" s="2688">
        <f t="shared" si="13"/>
        <v>0</v>
      </c>
      <c r="J51" s="278"/>
      <c r="K51" s="416"/>
      <c r="M51" s="305"/>
      <c r="W51" s="305"/>
      <c r="X51" s="305"/>
      <c r="Y51" s="305"/>
      <c r="Z51" s="305"/>
      <c r="AA51" s="305"/>
      <c r="AB51" s="305"/>
      <c r="AC51" s="305"/>
      <c r="AD51" s="305"/>
      <c r="AE51" s="305"/>
      <c r="AF51" s="305"/>
    </row>
    <row r="52" spans="1:32" s="52" customFormat="1" ht="14.25" customHeight="1">
      <c r="A52" s="285"/>
      <c r="B52" s="2618" t="s">
        <v>426</v>
      </c>
      <c r="C52" s="2191">
        <f>SUM(C53:C55)</f>
        <v>-1463563</v>
      </c>
      <c r="D52" s="2548">
        <f t="shared" ref="D52:H52" si="16">SUM(D53:D55)</f>
        <v>-114997</v>
      </c>
      <c r="E52" s="2191">
        <f t="shared" si="16"/>
        <v>0</v>
      </c>
      <c r="F52" s="2548">
        <f t="shared" si="16"/>
        <v>-6064136</v>
      </c>
      <c r="G52" s="2191">
        <f t="shared" si="16"/>
        <v>-1808357</v>
      </c>
      <c r="H52" s="2190">
        <f t="shared" si="16"/>
        <v>-386871</v>
      </c>
      <c r="I52" s="2688">
        <f t="shared" si="13"/>
        <v>-9837924</v>
      </c>
      <c r="J52" s="278"/>
      <c r="K52" s="416"/>
      <c r="L52" s="305"/>
      <c r="M52" s="305"/>
      <c r="W52" s="305"/>
      <c r="X52" s="305"/>
      <c r="Y52" s="305"/>
      <c r="Z52" s="305"/>
      <c r="AA52" s="305"/>
      <c r="AB52" s="305"/>
      <c r="AC52" s="305"/>
      <c r="AD52" s="305"/>
      <c r="AE52" s="305"/>
      <c r="AF52" s="305"/>
    </row>
    <row r="53" spans="1:32" s="52" customFormat="1" ht="31.5" customHeight="1">
      <c r="A53" s="285"/>
      <c r="B53" s="2616" t="s">
        <v>427</v>
      </c>
      <c r="C53" s="2645">
        <v>-1282938</v>
      </c>
      <c r="D53" s="2699">
        <v>-66907</v>
      </c>
      <c r="E53" s="2645"/>
      <c r="F53" s="2699">
        <v>-4238735</v>
      </c>
      <c r="G53" s="2645">
        <v>-1511607</v>
      </c>
      <c r="H53" s="2644">
        <v>-248836</v>
      </c>
      <c r="I53" s="2688">
        <f t="shared" si="13"/>
        <v>-7349023</v>
      </c>
      <c r="J53" s="278"/>
      <c r="K53" s="416"/>
      <c r="L53" s="305"/>
      <c r="M53" s="305"/>
      <c r="N53" s="305"/>
      <c r="O53" s="305"/>
      <c r="P53" s="305"/>
      <c r="Q53" s="305"/>
      <c r="R53" s="305"/>
      <c r="W53" s="305"/>
      <c r="X53" s="305"/>
      <c r="Y53" s="305"/>
      <c r="Z53" s="305"/>
      <c r="AA53" s="305"/>
      <c r="AB53" s="305"/>
      <c r="AC53" s="305"/>
      <c r="AD53" s="305"/>
      <c r="AE53" s="305"/>
      <c r="AF53" s="305"/>
    </row>
    <row r="54" spans="1:32" s="52" customFormat="1" ht="14.25" customHeight="1">
      <c r="A54" s="285"/>
      <c r="B54" s="2616" t="s">
        <v>428</v>
      </c>
      <c r="C54" s="856">
        <v>-180625</v>
      </c>
      <c r="D54" s="864">
        <v>-48090</v>
      </c>
      <c r="E54" s="856"/>
      <c r="F54" s="864">
        <v>-1825401</v>
      </c>
      <c r="G54" s="856">
        <v>-296750</v>
      </c>
      <c r="H54" s="857">
        <v>-138035</v>
      </c>
      <c r="I54" s="2688">
        <f t="shared" si="13"/>
        <v>-2488901</v>
      </c>
      <c r="J54" s="278"/>
      <c r="K54" s="416"/>
      <c r="L54" s="305"/>
      <c r="M54" s="305"/>
      <c r="N54" s="305"/>
      <c r="O54" s="305"/>
      <c r="P54" s="305"/>
      <c r="Q54" s="305"/>
      <c r="R54" s="305"/>
      <c r="W54" s="305"/>
      <c r="X54" s="305"/>
      <c r="Y54" s="305"/>
      <c r="Z54" s="305"/>
      <c r="AA54" s="305"/>
      <c r="AB54" s="305"/>
      <c r="AC54" s="305"/>
      <c r="AD54" s="305"/>
      <c r="AE54" s="305"/>
      <c r="AF54" s="305"/>
    </row>
    <row r="55" spans="1:32" s="52" customFormat="1" ht="14.25" customHeight="1">
      <c r="A55" s="285"/>
      <c r="B55" s="2616" t="s">
        <v>429</v>
      </c>
      <c r="C55" s="791"/>
      <c r="D55" s="874"/>
      <c r="E55" s="791"/>
      <c r="F55" s="874"/>
      <c r="G55" s="791"/>
      <c r="H55" s="828"/>
      <c r="I55" s="2688">
        <f t="shared" si="13"/>
        <v>0</v>
      </c>
      <c r="J55" s="278"/>
      <c r="K55" s="416"/>
      <c r="L55" s="305"/>
      <c r="M55" s="305"/>
      <c r="N55" s="305"/>
      <c r="O55" s="305"/>
      <c r="P55" s="305"/>
      <c r="Q55" s="305"/>
      <c r="R55" s="305"/>
      <c r="W55" s="305"/>
      <c r="X55" s="305"/>
      <c r="Y55" s="305"/>
      <c r="Z55" s="305"/>
      <c r="AA55" s="305"/>
      <c r="AB55" s="305"/>
      <c r="AC55" s="305"/>
      <c r="AD55" s="305"/>
      <c r="AE55" s="305"/>
      <c r="AF55" s="305"/>
    </row>
    <row r="56" spans="1:32" s="52" customFormat="1" ht="14.25" customHeight="1">
      <c r="A56" s="285"/>
      <c r="B56" s="2618" t="s">
        <v>430</v>
      </c>
      <c r="C56" s="2619">
        <f>C50+C53+C54+C55</f>
        <v>-250228</v>
      </c>
      <c r="D56" s="2700">
        <f t="shared" ref="D56:G56" si="17">D50+D53+D54+D55</f>
        <v>228299</v>
      </c>
      <c r="E56" s="2619">
        <f t="shared" si="17"/>
        <v>0</v>
      </c>
      <c r="F56" s="2700">
        <f t="shared" si="17"/>
        <v>3525000</v>
      </c>
      <c r="G56" s="2619">
        <f t="shared" si="17"/>
        <v>231479</v>
      </c>
      <c r="H56" s="2620">
        <f>H50+H53+H54+H55</f>
        <v>271991</v>
      </c>
      <c r="I56" s="2701">
        <f>C56+D56+E56+F56+G56+H56</f>
        <v>4006541</v>
      </c>
      <c r="J56" s="278"/>
      <c r="K56" s="432"/>
      <c r="L56" s="305"/>
      <c r="M56" s="305"/>
      <c r="N56" s="305"/>
      <c r="O56" s="305"/>
      <c r="P56" s="305"/>
      <c r="Q56" s="305"/>
      <c r="R56" s="305"/>
      <c r="W56" s="305"/>
      <c r="X56" s="305"/>
      <c r="Y56" s="305"/>
      <c r="Z56" s="305"/>
      <c r="AA56" s="305"/>
      <c r="AB56" s="305"/>
      <c r="AC56" s="305"/>
      <c r="AD56" s="305"/>
      <c r="AE56" s="305"/>
      <c r="AF56" s="305"/>
    </row>
    <row r="57" spans="1:32" s="52" customFormat="1" ht="14.25" customHeight="1">
      <c r="A57" s="285"/>
      <c r="B57" s="2616"/>
      <c r="C57" s="2690"/>
      <c r="D57" s="2703"/>
      <c r="E57" s="2690"/>
      <c r="F57" s="2703"/>
      <c r="G57" s="2690"/>
      <c r="H57" s="2692"/>
      <c r="I57" s="2688"/>
      <c r="J57" s="278"/>
      <c r="K57" s="416"/>
      <c r="M57" s="305"/>
      <c r="W57" s="305"/>
      <c r="X57" s="305"/>
      <c r="Y57" s="305"/>
      <c r="Z57" s="305"/>
      <c r="AA57" s="305"/>
      <c r="AB57" s="305"/>
      <c r="AC57" s="305"/>
      <c r="AD57" s="305"/>
      <c r="AE57" s="305"/>
      <c r="AF57" s="305"/>
    </row>
    <row r="58" spans="1:32" s="52" customFormat="1" ht="14.25" customHeight="1">
      <c r="A58" s="285"/>
      <c r="B58" s="2618" t="s">
        <v>431</v>
      </c>
      <c r="C58" s="2690"/>
      <c r="D58" s="2703"/>
      <c r="E58" s="2690"/>
      <c r="F58" s="2703"/>
      <c r="G58" s="2690"/>
      <c r="H58" s="2692"/>
      <c r="I58" s="2701">
        <f>SUM(I59:I61)</f>
        <v>2152800</v>
      </c>
      <c r="J58" s="278"/>
      <c r="K58" s="416"/>
      <c r="M58" s="305"/>
      <c r="W58" s="305"/>
      <c r="X58" s="305"/>
      <c r="Y58" s="305"/>
      <c r="Z58" s="305"/>
      <c r="AA58" s="305"/>
      <c r="AB58" s="305"/>
      <c r="AC58" s="305"/>
      <c r="AD58" s="305"/>
      <c r="AE58" s="305"/>
      <c r="AF58" s="305"/>
    </row>
    <row r="59" spans="1:32" s="52" customFormat="1" ht="14.25" customHeight="1">
      <c r="A59" s="285"/>
      <c r="B59" s="2616" t="s">
        <v>432</v>
      </c>
      <c r="C59" s="2690"/>
      <c r="D59" s="2703"/>
      <c r="E59" s="2690"/>
      <c r="F59" s="2703"/>
      <c r="G59" s="2690"/>
      <c r="H59" s="2692"/>
      <c r="I59" s="2704">
        <v>274305</v>
      </c>
      <c r="J59" s="278"/>
      <c r="K59" s="416"/>
      <c r="M59" s="305"/>
      <c r="W59" s="305"/>
      <c r="X59" s="305"/>
      <c r="Y59" s="305"/>
      <c r="Z59" s="305"/>
      <c r="AA59" s="305"/>
      <c r="AB59" s="305"/>
      <c r="AC59" s="305"/>
      <c r="AD59" s="305"/>
      <c r="AE59" s="305"/>
      <c r="AF59" s="305"/>
    </row>
    <row r="60" spans="1:32" s="52" customFormat="1" ht="14.25" customHeight="1">
      <c r="A60" s="285"/>
      <c r="B60" s="2616" t="s">
        <v>433</v>
      </c>
      <c r="C60" s="2690"/>
      <c r="D60" s="2703"/>
      <c r="E60" s="2690"/>
      <c r="F60" s="2703"/>
      <c r="G60" s="2690"/>
      <c r="H60" s="2692"/>
      <c r="I60" s="1772">
        <v>1518899</v>
      </c>
      <c r="J60" s="278"/>
      <c r="K60" s="416"/>
      <c r="M60" s="305"/>
      <c r="W60" s="305"/>
      <c r="X60" s="305"/>
      <c r="Y60" s="305"/>
      <c r="Z60" s="305"/>
      <c r="AA60" s="305"/>
      <c r="AB60" s="305"/>
      <c r="AC60" s="305"/>
      <c r="AD60" s="305"/>
      <c r="AE60" s="305"/>
      <c r="AF60" s="305"/>
    </row>
    <row r="61" spans="1:32" s="52" customFormat="1" ht="14.25" customHeight="1">
      <c r="A61" s="285"/>
      <c r="B61" s="2616" t="s">
        <v>434</v>
      </c>
      <c r="C61" s="2690"/>
      <c r="D61" s="2703"/>
      <c r="E61" s="2690"/>
      <c r="F61" s="2703"/>
      <c r="G61" s="2690"/>
      <c r="H61" s="2692"/>
      <c r="I61" s="1772">
        <v>359596</v>
      </c>
      <c r="J61" s="278"/>
      <c r="K61" s="416"/>
      <c r="M61" s="305"/>
      <c r="W61" s="305"/>
      <c r="X61" s="305"/>
      <c r="Y61" s="305"/>
      <c r="Z61" s="305"/>
      <c r="AA61" s="305"/>
      <c r="AB61" s="305"/>
      <c r="AC61" s="305"/>
      <c r="AD61" s="305"/>
      <c r="AE61" s="305"/>
      <c r="AF61" s="305"/>
    </row>
    <row r="62" spans="1:32" s="52" customFormat="1" ht="14.25" customHeight="1">
      <c r="A62" s="285"/>
      <c r="B62" s="2616"/>
      <c r="C62" s="2690"/>
      <c r="D62" s="2703"/>
      <c r="E62" s="2690"/>
      <c r="F62" s="2703"/>
      <c r="G62" s="2690"/>
      <c r="H62" s="2692"/>
      <c r="I62" s="2688"/>
      <c r="J62" s="278"/>
      <c r="K62" s="416"/>
      <c r="M62" s="305"/>
      <c r="W62" s="305"/>
      <c r="X62" s="305"/>
      <c r="Y62" s="305"/>
      <c r="Z62" s="305"/>
      <c r="AA62" s="305"/>
      <c r="AB62" s="305"/>
      <c r="AC62" s="305"/>
      <c r="AD62" s="305"/>
      <c r="AE62" s="305"/>
      <c r="AF62" s="305"/>
    </row>
    <row r="63" spans="1:32" s="52" customFormat="1" ht="14.25" customHeight="1">
      <c r="A63" s="285"/>
      <c r="B63" s="2618" t="s">
        <v>435</v>
      </c>
      <c r="C63" s="2690"/>
      <c r="D63" s="2703"/>
      <c r="E63" s="2690"/>
      <c r="F63" s="2703"/>
      <c r="G63" s="2690"/>
      <c r="H63" s="2692"/>
      <c r="I63" s="2688">
        <f>I64+I65</f>
        <v>-4024271</v>
      </c>
      <c r="J63" s="278"/>
      <c r="K63" s="416"/>
      <c r="M63" s="305"/>
      <c r="W63" s="305"/>
      <c r="X63" s="305"/>
      <c r="Y63" s="305"/>
      <c r="Z63" s="305"/>
      <c r="AA63" s="305"/>
      <c r="AB63" s="305"/>
      <c r="AC63" s="305"/>
      <c r="AD63" s="305"/>
      <c r="AE63" s="305"/>
      <c r="AF63" s="305"/>
    </row>
    <row r="64" spans="1:32" s="52" customFormat="1" ht="27.6" customHeight="1">
      <c r="A64" s="285"/>
      <c r="B64" s="2616" t="s">
        <v>436</v>
      </c>
      <c r="C64" s="2690"/>
      <c r="D64" s="2703"/>
      <c r="E64" s="2690"/>
      <c r="F64" s="2703"/>
      <c r="G64" s="2690"/>
      <c r="H64" s="2692"/>
      <c r="I64" s="1790">
        <v>-4024271</v>
      </c>
      <c r="J64" s="278"/>
      <c r="K64" s="416"/>
      <c r="M64" s="305"/>
      <c r="W64" s="305"/>
      <c r="X64" s="305"/>
      <c r="Y64" s="305"/>
      <c r="Z64" s="305"/>
      <c r="AA64" s="305"/>
      <c r="AB64" s="305"/>
      <c r="AC64" s="305"/>
      <c r="AD64" s="305"/>
      <c r="AE64" s="305"/>
      <c r="AF64" s="305"/>
    </row>
    <row r="65" spans="1:32" s="52" customFormat="1" ht="17.25" customHeight="1">
      <c r="A65" s="285"/>
      <c r="B65" s="2616" t="s">
        <v>437</v>
      </c>
      <c r="C65" s="2690"/>
      <c r="D65" s="2703"/>
      <c r="E65" s="2690"/>
      <c r="F65" s="2703"/>
      <c r="G65" s="2690"/>
      <c r="H65" s="2692"/>
      <c r="I65" s="2688"/>
      <c r="J65" s="278"/>
      <c r="K65" s="416"/>
      <c r="M65" s="305"/>
      <c r="W65" s="305"/>
      <c r="X65" s="305"/>
      <c r="Y65" s="305"/>
      <c r="Z65" s="305"/>
      <c r="AA65" s="305"/>
      <c r="AB65" s="305"/>
      <c r="AC65" s="305"/>
      <c r="AD65" s="305"/>
      <c r="AE65" s="305"/>
      <c r="AF65" s="305"/>
    </row>
    <row r="66" spans="1:32" s="52" customFormat="1" ht="14.25" customHeight="1">
      <c r="A66" s="285"/>
      <c r="B66" s="2618" t="s">
        <v>438</v>
      </c>
      <c r="C66" s="2690"/>
      <c r="D66" s="2703"/>
      <c r="E66" s="2690"/>
      <c r="F66" s="2703"/>
      <c r="G66" s="2690"/>
      <c r="H66" s="2692"/>
      <c r="I66" s="2701">
        <f>+I56+I58+I63</f>
        <v>2135070</v>
      </c>
      <c r="J66" s="278"/>
      <c r="K66" s="416"/>
      <c r="M66" s="305"/>
      <c r="W66" s="305"/>
      <c r="X66" s="305"/>
      <c r="Y66" s="305"/>
      <c r="Z66" s="305"/>
      <c r="AA66" s="305"/>
      <c r="AB66" s="305"/>
      <c r="AC66" s="305"/>
      <c r="AD66" s="305"/>
      <c r="AE66" s="305"/>
      <c r="AF66" s="305"/>
    </row>
    <row r="67" spans="1:32" s="52" customFormat="1" ht="14.25" customHeight="1">
      <c r="A67" s="285"/>
      <c r="B67" s="2616" t="s">
        <v>439</v>
      </c>
      <c r="C67" s="2690"/>
      <c r="D67" s="2703"/>
      <c r="E67" s="2690"/>
      <c r="F67" s="2703"/>
      <c r="G67" s="2690"/>
      <c r="H67" s="2692"/>
      <c r="I67" s="2688"/>
      <c r="J67" s="278"/>
      <c r="K67" s="416"/>
      <c r="M67" s="305"/>
      <c r="W67" s="305"/>
      <c r="X67" s="305"/>
      <c r="Y67" s="305"/>
      <c r="Z67" s="305"/>
      <c r="AA67" s="305"/>
      <c r="AB67" s="305"/>
      <c r="AC67" s="305"/>
      <c r="AD67" s="305"/>
      <c r="AE67" s="305"/>
      <c r="AF67" s="305"/>
    </row>
    <row r="68" spans="1:32" s="52" customFormat="1" ht="14.25" customHeight="1">
      <c r="A68" s="285"/>
      <c r="B68" s="2618" t="s">
        <v>440</v>
      </c>
      <c r="C68" s="2690"/>
      <c r="D68" s="2703"/>
      <c r="E68" s="2690"/>
      <c r="F68" s="2703"/>
      <c r="G68" s="2690"/>
      <c r="H68" s="2692"/>
      <c r="I68" s="2701">
        <f>SUM(I66:I67)</f>
        <v>2135070</v>
      </c>
      <c r="J68" s="278"/>
      <c r="K68" s="416"/>
      <c r="M68" s="305"/>
      <c r="W68" s="305"/>
      <c r="X68" s="305"/>
      <c r="Y68" s="305"/>
      <c r="Z68" s="305"/>
      <c r="AA68" s="305"/>
      <c r="AB68" s="305"/>
      <c r="AC68" s="305"/>
      <c r="AD68" s="305"/>
      <c r="AE68" s="305"/>
      <c r="AF68" s="305"/>
    </row>
    <row r="69" spans="1:32" s="52" customFormat="1" ht="14.25" customHeight="1">
      <c r="A69" s="285"/>
      <c r="B69" s="2616" t="s">
        <v>441</v>
      </c>
      <c r="C69" s="2690"/>
      <c r="D69" s="2703"/>
      <c r="E69" s="2690"/>
      <c r="F69" s="2703"/>
      <c r="G69" s="2690"/>
      <c r="H69" s="2692"/>
      <c r="I69" s="2670">
        <v>-401079</v>
      </c>
      <c r="J69" s="278"/>
      <c r="K69" s="416"/>
      <c r="M69" s="305"/>
      <c r="W69" s="305"/>
      <c r="X69" s="305"/>
      <c r="Y69" s="305"/>
      <c r="Z69" s="305"/>
      <c r="AA69" s="305"/>
      <c r="AB69" s="305"/>
      <c r="AC69" s="305"/>
      <c r="AD69" s="305"/>
      <c r="AE69" s="305"/>
      <c r="AF69" s="305"/>
    </row>
    <row r="70" spans="1:32" s="52" customFormat="1" ht="14.25" customHeight="1" thickBot="1">
      <c r="A70" s="285"/>
      <c r="B70" s="1787" t="s">
        <v>442</v>
      </c>
      <c r="C70" s="876"/>
      <c r="D70" s="875"/>
      <c r="E70" s="876"/>
      <c r="F70" s="875"/>
      <c r="G70" s="876"/>
      <c r="H70" s="1315"/>
      <c r="I70" s="1791">
        <f>SUM(I68:I69)</f>
        <v>1733991</v>
      </c>
      <c r="J70" s="278"/>
      <c r="K70" s="416"/>
      <c r="M70" s="305"/>
      <c r="W70" s="305"/>
      <c r="X70" s="305"/>
      <c r="Y70" s="305"/>
      <c r="Z70" s="305"/>
      <c r="AA70" s="305"/>
      <c r="AB70" s="305"/>
      <c r="AC70" s="305"/>
      <c r="AD70" s="305"/>
      <c r="AE70" s="305"/>
      <c r="AF70" s="305"/>
    </row>
    <row r="71" spans="1:32" s="52" customFormat="1" ht="14.25" customHeight="1">
      <c r="A71" s="285"/>
      <c r="B71" s="455"/>
      <c r="C71" s="414"/>
      <c r="D71" s="414"/>
      <c r="E71" s="414"/>
      <c r="F71" s="414"/>
      <c r="G71" s="414"/>
      <c r="H71" s="414"/>
      <c r="I71" s="278"/>
      <c r="J71" s="278"/>
      <c r="K71" s="416"/>
      <c r="M71" s="305"/>
      <c r="W71" s="305"/>
      <c r="X71" s="305"/>
      <c r="Y71" s="305"/>
      <c r="Z71" s="305"/>
      <c r="AA71" s="305"/>
      <c r="AB71" s="305"/>
      <c r="AC71" s="305"/>
      <c r="AD71" s="305"/>
      <c r="AE71" s="305"/>
      <c r="AF71" s="305"/>
    </row>
    <row r="72" spans="1:32" s="52" customFormat="1" ht="14.25" customHeight="1">
      <c r="A72" s="285"/>
      <c r="B72" s="455"/>
      <c r="C72" s="414"/>
      <c r="D72" s="414"/>
      <c r="E72" s="414"/>
      <c r="F72" s="414"/>
      <c r="G72" s="414"/>
      <c r="H72" s="414"/>
      <c r="I72" s="278"/>
      <c r="J72" s="278"/>
      <c r="K72" s="394">
        <v>127</v>
      </c>
      <c r="M72" s="305"/>
      <c r="W72" s="305"/>
      <c r="X72" s="305"/>
      <c r="Y72" s="305"/>
      <c r="Z72" s="305"/>
      <c r="AA72" s="305"/>
      <c r="AB72" s="305"/>
      <c r="AC72" s="305"/>
      <c r="AD72" s="305"/>
      <c r="AE72" s="305"/>
      <c r="AF72" s="305"/>
    </row>
    <row r="73" spans="1:32" s="52" customFormat="1" ht="14.25" customHeight="1">
      <c r="A73" s="285"/>
      <c r="B73" s="455"/>
      <c r="C73" s="278"/>
      <c r="D73" s="278"/>
      <c r="E73" s="278"/>
      <c r="F73" s="278"/>
      <c r="G73" s="278"/>
      <c r="H73" s="278"/>
      <c r="I73" s="278"/>
      <c r="J73" s="278"/>
      <c r="K73" s="416"/>
      <c r="M73" s="305"/>
      <c r="W73" s="305"/>
      <c r="X73" s="305"/>
      <c r="Y73" s="305"/>
      <c r="Z73" s="305"/>
      <c r="AA73" s="305"/>
      <c r="AB73" s="305"/>
      <c r="AC73" s="305"/>
      <c r="AD73" s="305"/>
      <c r="AE73" s="305"/>
      <c r="AF73" s="305"/>
    </row>
    <row r="74" spans="1:32" s="52" customFormat="1" ht="14.25" customHeight="1">
      <c r="A74" s="285"/>
      <c r="B74" s="236" t="s">
        <v>451</v>
      </c>
      <c r="C74" s="279"/>
      <c r="D74" s="279"/>
      <c r="E74" s="278"/>
      <c r="F74" s="278"/>
      <c r="G74" s="278"/>
      <c r="H74" s="278"/>
      <c r="I74" s="278"/>
      <c r="J74" s="278"/>
      <c r="K74" s="416"/>
      <c r="M74" s="305"/>
      <c r="W74" s="305"/>
      <c r="X74" s="305"/>
      <c r="Y74" s="305"/>
      <c r="Z74" s="305"/>
      <c r="AA74" s="305"/>
      <c r="AB74" s="305"/>
      <c r="AC74" s="305"/>
      <c r="AD74" s="305"/>
      <c r="AE74" s="305"/>
      <c r="AF74" s="305"/>
    </row>
    <row r="75" spans="1:32" s="52" customFormat="1" ht="14.25" customHeight="1" thickBot="1">
      <c r="A75" s="285"/>
      <c r="B75" s="51"/>
      <c r="C75" s="529"/>
      <c r="D75" s="529"/>
      <c r="E75" s="278"/>
      <c r="F75" s="278"/>
      <c r="G75" s="278"/>
      <c r="H75" s="278"/>
      <c r="I75" s="278"/>
      <c r="J75" s="278"/>
      <c r="K75" s="416"/>
      <c r="M75" s="305"/>
      <c r="W75" s="305"/>
      <c r="X75" s="305"/>
      <c r="Y75" s="305"/>
      <c r="Z75" s="305"/>
      <c r="AA75" s="305"/>
      <c r="AB75" s="305"/>
      <c r="AC75" s="305"/>
      <c r="AD75" s="305"/>
      <c r="AE75" s="305"/>
      <c r="AF75" s="305"/>
    </row>
    <row r="76" spans="1:32" ht="14.25" customHeight="1" thickBot="1">
      <c r="A76" s="293"/>
      <c r="B76" s="1765" t="s">
        <v>95</v>
      </c>
      <c r="C76" s="515"/>
      <c r="D76" s="515"/>
      <c r="E76" s="515"/>
      <c r="F76" s="515"/>
      <c r="G76" s="1976"/>
      <c r="H76" s="3661" t="s">
        <v>232</v>
      </c>
      <c r="I76" s="3661"/>
      <c r="J76" s="293"/>
      <c r="K76" s="418"/>
      <c r="M76" s="305"/>
      <c r="W76" s="305"/>
      <c r="X76" s="305"/>
      <c r="Y76" s="305"/>
      <c r="Z76" s="305"/>
      <c r="AA76" s="305"/>
      <c r="AB76" s="305"/>
      <c r="AC76" s="305"/>
      <c r="AD76" s="305"/>
      <c r="AE76" s="305"/>
      <c r="AF76" s="305"/>
    </row>
    <row r="77" spans="1:32" s="52" customFormat="1" ht="14.25" customHeight="1" thickBot="1">
      <c r="A77" s="278"/>
      <c r="B77" s="3663"/>
      <c r="C77" s="3575">
        <v>2020</v>
      </c>
      <c r="D77" s="3576"/>
      <c r="E77" s="3576"/>
      <c r="F77" s="3576"/>
      <c r="G77" s="3576"/>
      <c r="H77" s="3576"/>
      <c r="I77" s="3577"/>
      <c r="J77" s="278"/>
      <c r="K77" s="416"/>
      <c r="M77" s="305"/>
      <c r="W77" s="305"/>
      <c r="X77" s="305"/>
      <c r="Y77" s="305"/>
      <c r="Z77" s="305"/>
      <c r="AA77" s="305"/>
      <c r="AB77" s="305"/>
      <c r="AC77" s="305"/>
      <c r="AD77" s="305"/>
      <c r="AE77" s="305"/>
      <c r="AF77" s="305"/>
    </row>
    <row r="78" spans="1:32" s="52" customFormat="1" ht="14.25" customHeight="1" thickBot="1">
      <c r="A78" s="394"/>
      <c r="B78" s="3664"/>
      <c r="C78" s="3666" t="s">
        <v>412</v>
      </c>
      <c r="D78" s="3666" t="s">
        <v>413</v>
      </c>
      <c r="E78" s="3671" t="s">
        <v>414</v>
      </c>
      <c r="F78" s="3672"/>
      <c r="G78" s="3666" t="s">
        <v>415</v>
      </c>
      <c r="H78" s="3666" t="s">
        <v>416</v>
      </c>
      <c r="I78" s="3666" t="s">
        <v>118</v>
      </c>
      <c r="J78" s="278"/>
      <c r="K78" s="3669"/>
      <c r="M78" s="305"/>
      <c r="W78" s="305"/>
      <c r="X78" s="305"/>
      <c r="Y78" s="305"/>
      <c r="Z78" s="305"/>
      <c r="AA78" s="305"/>
      <c r="AB78" s="305"/>
      <c r="AC78" s="305"/>
      <c r="AD78" s="305"/>
      <c r="AE78" s="305"/>
      <c r="AF78" s="305"/>
    </row>
    <row r="79" spans="1:32" s="52" customFormat="1" ht="14.25" customHeight="1" thickBot="1">
      <c r="A79" s="394"/>
      <c r="B79" s="3665"/>
      <c r="C79" s="3670"/>
      <c r="D79" s="3670"/>
      <c r="E79" s="1793" t="s">
        <v>418</v>
      </c>
      <c r="F79" s="1793" t="s">
        <v>419</v>
      </c>
      <c r="G79" s="3670"/>
      <c r="H79" s="3670"/>
      <c r="I79" s="3670"/>
      <c r="J79" s="278"/>
      <c r="K79" s="3669"/>
      <c r="M79" s="305"/>
      <c r="W79" s="305"/>
      <c r="X79" s="305"/>
      <c r="Y79" s="305"/>
      <c r="Z79" s="305"/>
      <c r="AA79" s="305"/>
      <c r="AB79" s="305"/>
      <c r="AC79" s="305"/>
      <c r="AD79" s="305"/>
      <c r="AE79" s="305"/>
      <c r="AF79" s="305"/>
    </row>
    <row r="80" spans="1:32" s="52" customFormat="1" ht="14.25" customHeight="1">
      <c r="A80" s="285"/>
      <c r="B80" s="1761" t="s">
        <v>333</v>
      </c>
      <c r="C80" s="855">
        <v>245719</v>
      </c>
      <c r="D80" s="2644">
        <v>143651</v>
      </c>
      <c r="E80" s="855">
        <v>51787</v>
      </c>
      <c r="F80" s="2644">
        <v>940918</v>
      </c>
      <c r="G80" s="855">
        <v>248746</v>
      </c>
      <c r="H80" s="2644">
        <v>208676</v>
      </c>
      <c r="I80" s="1788">
        <f>C80+D80+E80+F80+G80+H80</f>
        <v>1839497</v>
      </c>
      <c r="J80" s="278"/>
      <c r="K80" s="429"/>
      <c r="L80" s="305"/>
      <c r="M80" s="305"/>
      <c r="N80" s="305"/>
      <c r="O80" s="305"/>
      <c r="P80" s="305"/>
      <c r="Q80" s="305"/>
      <c r="R80" s="305"/>
      <c r="W80" s="305"/>
      <c r="X80" s="305"/>
      <c r="Y80" s="305"/>
      <c r="Z80" s="305"/>
      <c r="AA80" s="305"/>
      <c r="AB80" s="305"/>
      <c r="AC80" s="305"/>
      <c r="AD80" s="305"/>
      <c r="AE80" s="305"/>
      <c r="AF80" s="305"/>
    </row>
    <row r="81" spans="1:32" s="52" customFormat="1" ht="14.25" customHeight="1">
      <c r="A81" s="285"/>
      <c r="B81" s="2616" t="s">
        <v>420</v>
      </c>
      <c r="C81" s="856">
        <v>-30894</v>
      </c>
      <c r="D81" s="857">
        <v>-12491</v>
      </c>
      <c r="E81" s="856"/>
      <c r="F81" s="857">
        <v>-3546</v>
      </c>
      <c r="G81" s="856"/>
      <c r="H81" s="857">
        <v>-26083</v>
      </c>
      <c r="I81" s="2688">
        <f t="shared" ref="I81:I87" si="18">C81+D81+E81+F81+G81+H81</f>
        <v>-73014</v>
      </c>
      <c r="J81" s="278"/>
      <c r="K81" s="429"/>
      <c r="L81" s="305"/>
      <c r="M81" s="305"/>
      <c r="N81" s="305"/>
      <c r="O81" s="305"/>
      <c r="P81" s="305"/>
      <c r="Q81" s="305"/>
      <c r="R81" s="305"/>
      <c r="W81" s="305"/>
      <c r="X81" s="305"/>
      <c r="Y81" s="305"/>
      <c r="Z81" s="305"/>
      <c r="AA81" s="305"/>
      <c r="AB81" s="305"/>
      <c r="AC81" s="305"/>
      <c r="AD81" s="305"/>
      <c r="AE81" s="305"/>
      <c r="AF81" s="305"/>
    </row>
    <row r="82" spans="1:32" s="52" customFormat="1" ht="14.25" customHeight="1">
      <c r="A82" s="285"/>
      <c r="B82" s="2616" t="s">
        <v>445</v>
      </c>
      <c r="C82" s="856">
        <v>-111692</v>
      </c>
      <c r="D82" s="857">
        <v>-4961</v>
      </c>
      <c r="E82" s="856"/>
      <c r="F82" s="857"/>
      <c r="G82" s="856"/>
      <c r="H82" s="857">
        <v>-18165</v>
      </c>
      <c r="I82" s="2688">
        <f t="shared" si="18"/>
        <v>-134818</v>
      </c>
      <c r="J82" s="278"/>
      <c r="K82" s="429"/>
      <c r="L82" s="305"/>
      <c r="M82" s="305"/>
      <c r="N82" s="305"/>
      <c r="O82" s="305"/>
      <c r="P82" s="305"/>
      <c r="Q82" s="305"/>
      <c r="R82" s="305"/>
      <c r="W82" s="305"/>
      <c r="X82" s="305"/>
      <c r="Y82" s="305"/>
      <c r="Z82" s="305"/>
      <c r="AA82" s="305"/>
      <c r="AB82" s="305"/>
      <c r="AC82" s="305"/>
      <c r="AD82" s="305"/>
      <c r="AE82" s="305"/>
      <c r="AF82" s="305"/>
    </row>
    <row r="83" spans="1:32" s="52" customFormat="1" ht="14.25" customHeight="1">
      <c r="A83" s="285"/>
      <c r="B83" s="2616" t="s">
        <v>422</v>
      </c>
      <c r="C83" s="856">
        <v>-88029</v>
      </c>
      <c r="D83" s="857">
        <v>-79260</v>
      </c>
      <c r="E83" s="856"/>
      <c r="F83" s="857">
        <v>-50240</v>
      </c>
      <c r="G83" s="856"/>
      <c r="H83" s="857">
        <v>-57802</v>
      </c>
      <c r="I83" s="2688">
        <f t="shared" si="18"/>
        <v>-275331</v>
      </c>
      <c r="J83" s="278"/>
      <c r="K83" s="429"/>
      <c r="L83" s="305"/>
      <c r="M83" s="305"/>
      <c r="N83" s="305"/>
      <c r="O83" s="305"/>
      <c r="P83" s="305"/>
      <c r="Q83" s="305"/>
      <c r="R83" s="305"/>
      <c r="W83" s="305"/>
      <c r="X83" s="305"/>
      <c r="Y83" s="305"/>
      <c r="Z83" s="305"/>
      <c r="AA83" s="305"/>
      <c r="AB83" s="305"/>
      <c r="AC83" s="305"/>
      <c r="AD83" s="305"/>
      <c r="AE83" s="305"/>
      <c r="AF83" s="305"/>
    </row>
    <row r="84" spans="1:32" s="52" customFormat="1" ht="14.25" customHeight="1">
      <c r="A84" s="285"/>
      <c r="B84" s="2618" t="s">
        <v>423</v>
      </c>
      <c r="C84" s="2619">
        <f>C80+C81+C82+C83</f>
        <v>15104</v>
      </c>
      <c r="D84" s="2620">
        <f t="shared" ref="D84:H84" si="19">D80+D81+D82+D83</f>
        <v>46939</v>
      </c>
      <c r="E84" s="2619">
        <f t="shared" si="19"/>
        <v>51787</v>
      </c>
      <c r="F84" s="2620">
        <f t="shared" si="19"/>
        <v>887132</v>
      </c>
      <c r="G84" s="2619">
        <f t="shared" si="19"/>
        <v>248746</v>
      </c>
      <c r="H84" s="2620">
        <f t="shared" si="19"/>
        <v>106626</v>
      </c>
      <c r="I84" s="2701">
        <f>C84+D84+E84+F84+G84+H84</f>
        <v>1356334</v>
      </c>
      <c r="J84" s="278"/>
      <c r="K84" s="429"/>
      <c r="L84" s="305"/>
      <c r="M84" s="305"/>
      <c r="N84" s="305"/>
      <c r="O84" s="305"/>
      <c r="P84" s="305"/>
      <c r="Q84" s="305"/>
      <c r="R84" s="305"/>
      <c r="W84" s="305"/>
      <c r="X84" s="305"/>
      <c r="Y84" s="305"/>
      <c r="Z84" s="305"/>
      <c r="AA84" s="305"/>
      <c r="AB84" s="305"/>
      <c r="AC84" s="305"/>
      <c r="AD84" s="305"/>
      <c r="AE84" s="305"/>
      <c r="AF84" s="305"/>
    </row>
    <row r="85" spans="1:32" s="52" customFormat="1" ht="14.25" customHeight="1">
      <c r="A85" s="285"/>
      <c r="B85" s="2616" t="s">
        <v>424</v>
      </c>
      <c r="C85" s="2645">
        <v>-4195</v>
      </c>
      <c r="D85" s="2644">
        <v>490</v>
      </c>
      <c r="E85" s="2645">
        <v>2234</v>
      </c>
      <c r="F85" s="2644">
        <v>26559</v>
      </c>
      <c r="G85" s="2645">
        <v>-42979</v>
      </c>
      <c r="H85" s="2644">
        <v>7258</v>
      </c>
      <c r="I85" s="2688">
        <f t="shared" si="18"/>
        <v>-10633</v>
      </c>
      <c r="J85" s="278"/>
      <c r="K85" s="429"/>
      <c r="L85" s="305"/>
      <c r="M85" s="305"/>
      <c r="N85" s="305"/>
      <c r="O85" s="305"/>
      <c r="P85" s="305"/>
      <c r="Q85" s="305"/>
      <c r="R85" s="305"/>
      <c r="W85" s="305"/>
      <c r="X85" s="305"/>
      <c r="Y85" s="305"/>
      <c r="Z85" s="305"/>
      <c r="AA85" s="305"/>
      <c r="AB85" s="305"/>
      <c r="AC85" s="305"/>
      <c r="AD85" s="305"/>
      <c r="AE85" s="305"/>
      <c r="AF85" s="305"/>
    </row>
    <row r="86" spans="1:32" s="52" customFormat="1" ht="14.25" customHeight="1">
      <c r="A86" s="285"/>
      <c r="B86" s="2618" t="s">
        <v>425</v>
      </c>
      <c r="C86" s="2619">
        <f>C84+C85</f>
        <v>10909</v>
      </c>
      <c r="D86" s="2620">
        <f t="shared" ref="D86:H86" si="20">D84+D85</f>
        <v>47429</v>
      </c>
      <c r="E86" s="2619">
        <f t="shared" si="20"/>
        <v>54021</v>
      </c>
      <c r="F86" s="2620">
        <f t="shared" si="20"/>
        <v>913691</v>
      </c>
      <c r="G86" s="2619">
        <f t="shared" si="20"/>
        <v>205767</v>
      </c>
      <c r="H86" s="2620">
        <f t="shared" si="20"/>
        <v>113884</v>
      </c>
      <c r="I86" s="2701">
        <f>C86+D86+E86+F86+G86+H86</f>
        <v>1345701</v>
      </c>
      <c r="J86" s="278"/>
      <c r="K86" s="429"/>
      <c r="L86" s="305"/>
      <c r="M86" s="305"/>
      <c r="N86" s="305"/>
      <c r="O86" s="305"/>
      <c r="P86" s="305"/>
      <c r="Q86" s="305"/>
      <c r="R86" s="305"/>
      <c r="W86" s="305"/>
      <c r="X86" s="305"/>
      <c r="Y86" s="305"/>
      <c r="Z86" s="305"/>
      <c r="AA86" s="305"/>
      <c r="AB86" s="305"/>
      <c r="AC86" s="305"/>
      <c r="AD86" s="305"/>
      <c r="AE86" s="305"/>
      <c r="AF86" s="305"/>
    </row>
    <row r="87" spans="1:32" s="52" customFormat="1" ht="14.25" customHeight="1">
      <c r="A87" s="285"/>
      <c r="B87" s="2616"/>
      <c r="C87" s="2191"/>
      <c r="D87" s="2190"/>
      <c r="E87" s="2191"/>
      <c r="F87" s="2190"/>
      <c r="G87" s="2191"/>
      <c r="H87" s="2190"/>
      <c r="I87" s="2688">
        <f t="shared" si="18"/>
        <v>0</v>
      </c>
      <c r="J87" s="278"/>
      <c r="K87" s="429"/>
      <c r="M87" s="305"/>
      <c r="W87" s="305"/>
      <c r="X87" s="305"/>
      <c r="Y87" s="305"/>
      <c r="Z87" s="305"/>
      <c r="AA87" s="305"/>
      <c r="AB87" s="305"/>
      <c r="AC87" s="305"/>
      <c r="AD87" s="305"/>
      <c r="AE87" s="305"/>
      <c r="AF87" s="305"/>
    </row>
    <row r="88" spans="1:32" s="52" customFormat="1" ht="14.25" customHeight="1">
      <c r="A88" s="285"/>
      <c r="B88" s="2618" t="s">
        <v>426</v>
      </c>
      <c r="C88" s="2191">
        <f>SUM(C89:C91)</f>
        <v>-7439</v>
      </c>
      <c r="D88" s="2190">
        <f t="shared" ref="D88:H88" si="21">SUM(D89:D91)</f>
        <v>-17861</v>
      </c>
      <c r="E88" s="2191">
        <f t="shared" si="21"/>
        <v>-11046</v>
      </c>
      <c r="F88" s="2190">
        <f t="shared" si="21"/>
        <v>-541803</v>
      </c>
      <c r="G88" s="2191">
        <f t="shared" si="21"/>
        <v>-222026</v>
      </c>
      <c r="H88" s="2190">
        <f t="shared" si="21"/>
        <v>-39921</v>
      </c>
      <c r="I88" s="2688">
        <f>SUM(C88:H88)</f>
        <v>-840096</v>
      </c>
      <c r="J88" s="278"/>
      <c r="K88" s="429"/>
      <c r="L88" s="305"/>
      <c r="M88" s="305"/>
      <c r="W88" s="305"/>
      <c r="X88" s="305"/>
      <c r="Y88" s="305"/>
      <c r="Z88" s="305"/>
      <c r="AA88" s="305"/>
      <c r="AB88" s="305"/>
      <c r="AC88" s="305"/>
      <c r="AD88" s="305"/>
      <c r="AE88" s="305"/>
      <c r="AF88" s="305"/>
    </row>
    <row r="89" spans="1:32" s="52" customFormat="1" ht="30" customHeight="1">
      <c r="A89" s="285"/>
      <c r="B89" s="2616" t="s">
        <v>427</v>
      </c>
      <c r="C89" s="2645">
        <v>-21897</v>
      </c>
      <c r="D89" s="2644">
        <v>-17353</v>
      </c>
      <c r="E89" s="2645">
        <v>-2365</v>
      </c>
      <c r="F89" s="2644">
        <v>-469649</v>
      </c>
      <c r="G89" s="2645">
        <v>-180920</v>
      </c>
      <c r="H89" s="2644">
        <v>-46691</v>
      </c>
      <c r="I89" s="2688">
        <f>SUM(C89:H89)</f>
        <v>-738875</v>
      </c>
      <c r="J89" s="278"/>
      <c r="K89" s="429"/>
      <c r="L89" s="305"/>
      <c r="M89" s="305"/>
      <c r="N89" s="305"/>
      <c r="O89" s="305"/>
      <c r="P89" s="305"/>
      <c r="Q89" s="305"/>
      <c r="R89" s="305"/>
      <c r="W89" s="305"/>
      <c r="X89" s="305"/>
      <c r="Y89" s="305"/>
      <c r="Z89" s="305"/>
      <c r="AA89" s="305"/>
      <c r="AB89" s="305"/>
      <c r="AC89" s="305"/>
      <c r="AD89" s="305"/>
      <c r="AE89" s="305"/>
      <c r="AF89" s="305"/>
    </row>
    <row r="90" spans="1:32" s="52" customFormat="1" ht="14.25" customHeight="1">
      <c r="A90" s="285"/>
      <c r="B90" s="2616" t="s">
        <v>428</v>
      </c>
      <c r="C90" s="856">
        <v>14458</v>
      </c>
      <c r="D90" s="857">
        <v>-508</v>
      </c>
      <c r="E90" s="856">
        <v>-8681</v>
      </c>
      <c r="F90" s="857">
        <v>-72154</v>
      </c>
      <c r="G90" s="856">
        <v>-41106</v>
      </c>
      <c r="H90" s="857">
        <v>6770</v>
      </c>
      <c r="I90" s="2688">
        <f>SUM(C90:H90)</f>
        <v>-101221</v>
      </c>
      <c r="J90" s="278"/>
      <c r="K90" s="429"/>
      <c r="L90" s="305"/>
      <c r="M90" s="305"/>
      <c r="N90" s="305"/>
      <c r="O90" s="305"/>
      <c r="P90" s="305"/>
      <c r="Q90" s="305"/>
      <c r="R90" s="305"/>
      <c r="W90" s="305"/>
      <c r="X90" s="305"/>
      <c r="Y90" s="305"/>
      <c r="Z90" s="305"/>
      <c r="AA90" s="305"/>
      <c r="AB90" s="305"/>
      <c r="AC90" s="305"/>
      <c r="AD90" s="305"/>
      <c r="AE90" s="305"/>
      <c r="AF90" s="305"/>
    </row>
    <row r="91" spans="1:32" s="52" customFormat="1" ht="14.25" customHeight="1">
      <c r="A91" s="285"/>
      <c r="B91" s="2616" t="s">
        <v>429</v>
      </c>
      <c r="C91" s="856"/>
      <c r="D91" s="857"/>
      <c r="E91" s="856"/>
      <c r="F91" s="857"/>
      <c r="G91" s="856"/>
      <c r="H91" s="857"/>
      <c r="I91" s="2688"/>
      <c r="J91" s="278"/>
      <c r="K91" s="429"/>
      <c r="L91" s="305"/>
      <c r="M91" s="305"/>
      <c r="N91" s="305"/>
      <c r="O91" s="305"/>
      <c r="P91" s="305"/>
      <c r="Q91" s="305"/>
      <c r="R91" s="305"/>
      <c r="W91" s="305"/>
      <c r="X91" s="305"/>
      <c r="Y91" s="305"/>
      <c r="Z91" s="305"/>
      <c r="AA91" s="305"/>
      <c r="AB91" s="305"/>
      <c r="AC91" s="305"/>
      <c r="AD91" s="305"/>
      <c r="AE91" s="305"/>
      <c r="AF91" s="305"/>
    </row>
    <row r="92" spans="1:32" s="52" customFormat="1" ht="14.25" customHeight="1">
      <c r="A92" s="285"/>
      <c r="B92" s="2618" t="s">
        <v>430</v>
      </c>
      <c r="C92" s="2619">
        <f>C86+C89+C90+C91</f>
        <v>3470</v>
      </c>
      <c r="D92" s="2620">
        <f>D86+D89+D90+D91</f>
        <v>29568</v>
      </c>
      <c r="E92" s="2619">
        <f t="shared" ref="E92:I92" si="22">E86+E89+E90+E91</f>
        <v>42975</v>
      </c>
      <c r="F92" s="2620">
        <f t="shared" si="22"/>
        <v>371888</v>
      </c>
      <c r="G92" s="2619">
        <f t="shared" si="22"/>
        <v>-16259</v>
      </c>
      <c r="H92" s="2620">
        <f t="shared" si="22"/>
        <v>73963</v>
      </c>
      <c r="I92" s="2701">
        <f t="shared" si="22"/>
        <v>505605</v>
      </c>
      <c r="J92" s="278"/>
      <c r="K92" s="429"/>
      <c r="L92" s="305"/>
      <c r="M92" s="305"/>
      <c r="N92" s="305"/>
      <c r="O92" s="305"/>
      <c r="P92" s="305"/>
      <c r="Q92" s="305"/>
      <c r="R92" s="305"/>
      <c r="W92" s="305"/>
      <c r="X92" s="305"/>
      <c r="Y92" s="305"/>
      <c r="Z92" s="305"/>
      <c r="AA92" s="305"/>
      <c r="AB92" s="305"/>
      <c r="AC92" s="305"/>
      <c r="AD92" s="305"/>
      <c r="AE92" s="305"/>
      <c r="AF92" s="305"/>
    </row>
    <row r="93" spans="1:32" s="52" customFormat="1" ht="14.25" customHeight="1">
      <c r="A93" s="285"/>
      <c r="B93" s="2616"/>
      <c r="C93" s="2690"/>
      <c r="D93" s="2692"/>
      <c r="E93" s="2690"/>
      <c r="F93" s="2692"/>
      <c r="G93" s="2690"/>
      <c r="H93" s="2692"/>
      <c r="I93" s="2688"/>
      <c r="J93" s="278"/>
      <c r="K93" s="429"/>
      <c r="M93" s="305"/>
      <c r="W93" s="305"/>
      <c r="X93" s="305"/>
      <c r="Y93" s="305"/>
      <c r="Z93" s="305"/>
      <c r="AA93" s="305"/>
      <c r="AB93" s="305"/>
      <c r="AC93" s="305"/>
      <c r="AD93" s="305"/>
      <c r="AE93" s="305"/>
      <c r="AF93" s="305"/>
    </row>
    <row r="94" spans="1:32" s="52" customFormat="1" ht="14.25" customHeight="1">
      <c r="A94" s="285"/>
      <c r="B94" s="2618" t="s">
        <v>431</v>
      </c>
      <c r="C94" s="2690"/>
      <c r="D94" s="2692"/>
      <c r="E94" s="2690"/>
      <c r="F94" s="2692"/>
      <c r="G94" s="2690"/>
      <c r="H94" s="2692"/>
      <c r="I94" s="2701">
        <f>SUM(I95:I97)</f>
        <v>105512</v>
      </c>
      <c r="J94" s="278"/>
      <c r="K94" s="429"/>
      <c r="M94" s="305"/>
      <c r="W94" s="305"/>
      <c r="X94" s="305"/>
      <c r="Y94" s="305"/>
      <c r="Z94" s="305"/>
      <c r="AA94" s="305"/>
      <c r="AB94" s="305"/>
      <c r="AC94" s="305"/>
      <c r="AD94" s="305"/>
      <c r="AE94" s="305"/>
      <c r="AF94" s="305"/>
    </row>
    <row r="95" spans="1:32" s="52" customFormat="1" ht="14.25" customHeight="1">
      <c r="A95" s="285"/>
      <c r="B95" s="2616" t="s">
        <v>432</v>
      </c>
      <c r="C95" s="2690"/>
      <c r="D95" s="2692"/>
      <c r="E95" s="2690"/>
      <c r="F95" s="2692"/>
      <c r="G95" s="2690"/>
      <c r="H95" s="2692"/>
      <c r="I95" s="2688"/>
      <c r="J95" s="278"/>
      <c r="K95" s="429"/>
      <c r="M95" s="305"/>
      <c r="W95" s="305"/>
      <c r="X95" s="305"/>
      <c r="Y95" s="305"/>
      <c r="Z95" s="305"/>
      <c r="AA95" s="305"/>
      <c r="AB95" s="305"/>
      <c r="AC95" s="305"/>
      <c r="AD95" s="305"/>
      <c r="AE95" s="305"/>
      <c r="AF95" s="305"/>
    </row>
    <row r="96" spans="1:32" s="52" customFormat="1" ht="14.25" customHeight="1">
      <c r="A96" s="285"/>
      <c r="B96" s="2616" t="s">
        <v>433</v>
      </c>
      <c r="C96" s="2690"/>
      <c r="D96" s="2692"/>
      <c r="E96" s="2690"/>
      <c r="F96" s="2692"/>
      <c r="G96" s="2690"/>
      <c r="H96" s="2692"/>
      <c r="I96" s="2670">
        <v>73940</v>
      </c>
      <c r="J96" s="278"/>
      <c r="K96" s="429"/>
      <c r="M96" s="305"/>
      <c r="W96" s="305"/>
      <c r="X96" s="305"/>
      <c r="Y96" s="305"/>
      <c r="Z96" s="305"/>
      <c r="AA96" s="305"/>
      <c r="AB96" s="305"/>
      <c r="AC96" s="305"/>
      <c r="AD96" s="305"/>
      <c r="AE96" s="305"/>
      <c r="AF96" s="305"/>
    </row>
    <row r="97" spans="1:32" s="52" customFormat="1" ht="14.25" customHeight="1">
      <c r="A97" s="285"/>
      <c r="B97" s="2616" t="s">
        <v>434</v>
      </c>
      <c r="C97" s="2690"/>
      <c r="D97" s="2692"/>
      <c r="E97" s="2690"/>
      <c r="F97" s="2692"/>
      <c r="G97" s="2690"/>
      <c r="H97" s="2692"/>
      <c r="I97" s="1781">
        <v>31572</v>
      </c>
      <c r="J97" s="278"/>
      <c r="K97" s="429"/>
      <c r="M97" s="305"/>
      <c r="W97" s="305"/>
      <c r="X97" s="305"/>
      <c r="Y97" s="305"/>
      <c r="Z97" s="305"/>
      <c r="AA97" s="305"/>
      <c r="AB97" s="305"/>
      <c r="AC97" s="305"/>
      <c r="AD97" s="305"/>
      <c r="AE97" s="305"/>
      <c r="AF97" s="305"/>
    </row>
    <row r="98" spans="1:32" s="52" customFormat="1" ht="14.25" customHeight="1">
      <c r="A98" s="285"/>
      <c r="B98" s="2616"/>
      <c r="C98" s="2690"/>
      <c r="D98" s="2692"/>
      <c r="E98" s="2690"/>
      <c r="F98" s="2692"/>
      <c r="G98" s="2690"/>
      <c r="H98" s="2692"/>
      <c r="I98" s="2688"/>
      <c r="J98" s="278"/>
      <c r="K98" s="429"/>
      <c r="M98" s="305"/>
      <c r="W98" s="305"/>
      <c r="X98" s="305"/>
      <c r="Y98" s="305"/>
      <c r="Z98" s="305"/>
      <c r="AA98" s="305"/>
      <c r="AB98" s="305"/>
      <c r="AC98" s="305"/>
      <c r="AD98" s="305"/>
      <c r="AE98" s="305"/>
      <c r="AF98" s="305"/>
    </row>
    <row r="99" spans="1:32" s="52" customFormat="1" ht="14.25" customHeight="1">
      <c r="A99" s="285"/>
      <c r="B99" s="2618" t="s">
        <v>435</v>
      </c>
      <c r="C99" s="2690"/>
      <c r="D99" s="2692"/>
      <c r="E99" s="2690"/>
      <c r="F99" s="2692"/>
      <c r="G99" s="2690"/>
      <c r="H99" s="2692"/>
      <c r="I99" s="2701">
        <f>I100+I101</f>
        <v>-572354</v>
      </c>
      <c r="J99" s="278"/>
      <c r="K99" s="429"/>
      <c r="M99" s="305"/>
      <c r="W99" s="305"/>
      <c r="X99" s="305"/>
      <c r="Y99" s="305"/>
      <c r="Z99" s="305"/>
      <c r="AA99" s="305"/>
      <c r="AB99" s="305"/>
      <c r="AC99" s="305"/>
      <c r="AD99" s="305"/>
      <c r="AE99" s="305"/>
      <c r="AF99" s="305"/>
    </row>
    <row r="100" spans="1:32" s="52" customFormat="1" ht="30.6" customHeight="1">
      <c r="A100" s="285"/>
      <c r="B100" s="2616" t="s">
        <v>436</v>
      </c>
      <c r="C100" s="2690"/>
      <c r="D100" s="2692"/>
      <c r="E100" s="2690"/>
      <c r="F100" s="2692"/>
      <c r="G100" s="2690"/>
      <c r="H100" s="2692"/>
      <c r="I100" s="2649">
        <v>-572354</v>
      </c>
      <c r="J100" s="278"/>
      <c r="K100" s="429"/>
      <c r="M100" s="305"/>
      <c r="W100" s="305"/>
      <c r="X100" s="305"/>
      <c r="Y100" s="305"/>
      <c r="Z100" s="305"/>
      <c r="AA100" s="305"/>
      <c r="AB100" s="305"/>
      <c r="AC100" s="305"/>
      <c r="AD100" s="305"/>
      <c r="AE100" s="305"/>
      <c r="AF100" s="305"/>
    </row>
    <row r="101" spans="1:32" s="52" customFormat="1" ht="30.6" customHeight="1">
      <c r="A101" s="285"/>
      <c r="B101" s="2616" t="s">
        <v>437</v>
      </c>
      <c r="C101" s="2690"/>
      <c r="D101" s="2692"/>
      <c r="E101" s="2690"/>
      <c r="F101" s="2692"/>
      <c r="G101" s="2690"/>
      <c r="H101" s="2692"/>
      <c r="I101" s="2688"/>
      <c r="J101" s="278"/>
      <c r="K101" s="429"/>
      <c r="M101" s="305"/>
      <c r="W101" s="305"/>
      <c r="X101" s="305"/>
      <c r="Y101" s="305"/>
      <c r="Z101" s="305"/>
      <c r="AA101" s="305"/>
      <c r="AB101" s="305"/>
      <c r="AC101" s="305"/>
      <c r="AD101" s="305"/>
      <c r="AE101" s="305"/>
      <c r="AF101" s="305"/>
    </row>
    <row r="102" spans="1:32" s="52" customFormat="1" ht="14.25" customHeight="1">
      <c r="A102" s="285"/>
      <c r="B102" s="2618" t="s">
        <v>438</v>
      </c>
      <c r="C102" s="2690"/>
      <c r="D102" s="2692"/>
      <c r="E102" s="2690"/>
      <c r="F102" s="2692"/>
      <c r="G102" s="2690"/>
      <c r="H102" s="2692"/>
      <c r="I102" s="2701">
        <f>+I92+I94+I99</f>
        <v>38763</v>
      </c>
      <c r="J102" s="278"/>
      <c r="K102" s="429"/>
      <c r="M102" s="305"/>
      <c r="W102" s="305"/>
      <c r="X102" s="305"/>
      <c r="Y102" s="305"/>
      <c r="Z102" s="305"/>
      <c r="AA102" s="305"/>
      <c r="AB102" s="305"/>
      <c r="AC102" s="305"/>
      <c r="AD102" s="305"/>
      <c r="AE102" s="305"/>
      <c r="AF102" s="305"/>
    </row>
    <row r="103" spans="1:32" s="52" customFormat="1" ht="14.25" customHeight="1">
      <c r="A103" s="285"/>
      <c r="B103" s="2616" t="s">
        <v>439</v>
      </c>
      <c r="C103" s="2690"/>
      <c r="D103" s="2692"/>
      <c r="E103" s="2690"/>
      <c r="F103" s="2692"/>
      <c r="G103" s="2690"/>
      <c r="H103" s="2692"/>
      <c r="I103" s="2688"/>
      <c r="J103" s="278"/>
      <c r="K103" s="429"/>
      <c r="M103" s="305"/>
      <c r="W103" s="305"/>
      <c r="X103" s="305"/>
      <c r="Y103" s="305"/>
      <c r="Z103" s="305"/>
      <c r="AA103" s="305"/>
      <c r="AB103" s="305"/>
      <c r="AC103" s="305"/>
      <c r="AD103" s="305"/>
      <c r="AE103" s="305"/>
      <c r="AF103" s="305"/>
    </row>
    <row r="104" spans="1:32" s="52" customFormat="1" ht="14.25" customHeight="1">
      <c r="A104" s="285"/>
      <c r="B104" s="2618" t="s">
        <v>440</v>
      </c>
      <c r="C104" s="2690"/>
      <c r="D104" s="2692"/>
      <c r="E104" s="2690"/>
      <c r="F104" s="2692"/>
      <c r="G104" s="2690"/>
      <c r="H104" s="2692"/>
      <c r="I104" s="2701">
        <f>SUM(I102:I103)</f>
        <v>38763</v>
      </c>
      <c r="J104" s="278"/>
      <c r="K104" s="429"/>
      <c r="M104" s="305"/>
      <c r="W104" s="305"/>
      <c r="X104" s="305"/>
      <c r="Y104" s="305"/>
      <c r="Z104" s="305"/>
      <c r="AA104" s="305"/>
      <c r="AB104" s="305"/>
      <c r="AC104" s="305"/>
      <c r="AD104" s="305"/>
      <c r="AE104" s="305"/>
      <c r="AF104" s="305"/>
    </row>
    <row r="105" spans="1:32" s="52" customFormat="1" ht="14.25" customHeight="1">
      <c r="A105" s="285"/>
      <c r="B105" s="2616" t="s">
        <v>441</v>
      </c>
      <c r="C105" s="2690"/>
      <c r="D105" s="2692"/>
      <c r="E105" s="2690"/>
      <c r="F105" s="2692"/>
      <c r="G105" s="2690"/>
      <c r="H105" s="2692"/>
      <c r="I105" s="2688"/>
      <c r="J105" s="278"/>
      <c r="K105" s="429"/>
      <c r="M105" s="305"/>
      <c r="W105" s="305"/>
      <c r="X105" s="305"/>
      <c r="Y105" s="305"/>
      <c r="Z105" s="305"/>
      <c r="AA105" s="305"/>
      <c r="AB105" s="305"/>
      <c r="AC105" s="305"/>
      <c r="AD105" s="305"/>
      <c r="AE105" s="305"/>
      <c r="AF105" s="305"/>
    </row>
    <row r="106" spans="1:32" s="52" customFormat="1" ht="14.25" customHeight="1" thickBot="1">
      <c r="A106" s="285"/>
      <c r="B106" s="1787" t="s">
        <v>442</v>
      </c>
      <c r="C106" s="876"/>
      <c r="D106" s="1315"/>
      <c r="E106" s="876"/>
      <c r="F106" s="1315"/>
      <c r="G106" s="876"/>
      <c r="H106" s="1315"/>
      <c r="I106" s="1791">
        <f>SUM(I104:I105)</f>
        <v>38763</v>
      </c>
      <c r="J106" s="278"/>
      <c r="K106" s="429"/>
      <c r="M106" s="305"/>
      <c r="W106" s="305"/>
      <c r="X106" s="305"/>
      <c r="Y106" s="305"/>
      <c r="Z106" s="305"/>
      <c r="AA106" s="305"/>
      <c r="AB106" s="305"/>
      <c r="AC106" s="305"/>
      <c r="AD106" s="305"/>
      <c r="AE106" s="305"/>
      <c r="AF106" s="305"/>
    </row>
    <row r="107" spans="1:32" s="52" customFormat="1" ht="14.25" customHeight="1">
      <c r="A107" s="285"/>
      <c r="B107" s="455"/>
      <c r="C107" s="414"/>
      <c r="D107" s="414"/>
      <c r="E107" s="414"/>
      <c r="F107" s="414"/>
      <c r="G107" s="414"/>
      <c r="H107" s="414"/>
      <c r="I107" s="278"/>
      <c r="J107" s="278"/>
      <c r="K107" s="418"/>
      <c r="M107" s="305"/>
      <c r="W107" s="305"/>
      <c r="X107" s="305"/>
      <c r="Y107" s="305"/>
      <c r="Z107" s="305"/>
      <c r="AA107" s="305"/>
      <c r="AB107" s="305"/>
      <c r="AC107" s="305"/>
      <c r="AD107" s="305"/>
      <c r="AE107" s="305"/>
      <c r="AF107" s="305"/>
    </row>
    <row r="108" spans="1:32" s="52" customFormat="1" ht="14.25" customHeight="1">
      <c r="A108" s="285"/>
      <c r="B108" s="455"/>
      <c r="C108" s="414"/>
      <c r="D108" s="414"/>
      <c r="E108" s="414"/>
      <c r="F108" s="414"/>
      <c r="G108" s="414"/>
      <c r="H108" s="414"/>
      <c r="I108" s="278"/>
      <c r="J108" s="278"/>
      <c r="K108" s="264">
        <v>128</v>
      </c>
      <c r="M108" s="305"/>
      <c r="W108" s="305"/>
      <c r="X108" s="305"/>
      <c r="Y108" s="305"/>
      <c r="Z108" s="305"/>
      <c r="AA108" s="305"/>
      <c r="AB108" s="305"/>
      <c r="AC108" s="305"/>
      <c r="AD108" s="305"/>
      <c r="AE108" s="305"/>
      <c r="AF108" s="305"/>
    </row>
    <row r="109" spans="1:32" s="52" customFormat="1" ht="14.25" customHeight="1">
      <c r="A109" s="285"/>
      <c r="B109" s="455"/>
      <c r="C109" s="414"/>
      <c r="D109" s="414"/>
      <c r="E109" s="414"/>
      <c r="F109" s="414"/>
      <c r="G109" s="414"/>
      <c r="H109" s="414"/>
      <c r="I109" s="278"/>
      <c r="J109" s="278"/>
      <c r="K109" s="416"/>
      <c r="M109" s="305"/>
      <c r="W109" s="305"/>
      <c r="X109" s="305"/>
      <c r="Y109" s="305"/>
      <c r="Z109" s="305"/>
      <c r="AA109" s="305"/>
      <c r="AB109" s="305"/>
      <c r="AC109" s="305"/>
      <c r="AD109" s="305"/>
      <c r="AE109" s="305"/>
      <c r="AF109" s="305"/>
    </row>
    <row r="110" spans="1:32" s="52" customFormat="1" ht="14.25" customHeight="1">
      <c r="A110" s="285"/>
      <c r="B110" s="236" t="s">
        <v>451</v>
      </c>
      <c r="C110" s="279"/>
      <c r="D110" s="279"/>
      <c r="E110" s="414"/>
      <c r="F110" s="414"/>
      <c r="G110" s="414"/>
      <c r="H110" s="414"/>
      <c r="I110" s="278"/>
      <c r="J110" s="278"/>
      <c r="K110" s="416"/>
      <c r="M110" s="305"/>
      <c r="W110" s="305"/>
      <c r="X110" s="305"/>
      <c r="Y110" s="305"/>
      <c r="Z110" s="305"/>
      <c r="AA110" s="305"/>
      <c r="AB110" s="305"/>
      <c r="AC110" s="305"/>
      <c r="AD110" s="305"/>
      <c r="AE110" s="305"/>
      <c r="AF110" s="305"/>
    </row>
    <row r="111" spans="1:32" s="52" customFormat="1" ht="14.25" customHeight="1" thickBot="1">
      <c r="A111" s="285"/>
      <c r="B111" s="51"/>
      <c r="C111" s="529"/>
      <c r="D111" s="529"/>
      <c r="E111" s="414"/>
      <c r="F111" s="414"/>
      <c r="G111" s="414"/>
      <c r="H111" s="414"/>
      <c r="I111" s="278"/>
      <c r="J111" s="278"/>
      <c r="K111" s="416"/>
      <c r="M111" s="305"/>
      <c r="W111" s="305"/>
      <c r="X111" s="305"/>
      <c r="Y111" s="305"/>
      <c r="Z111" s="305"/>
      <c r="AA111" s="305"/>
      <c r="AB111" s="305"/>
      <c r="AC111" s="305"/>
      <c r="AD111" s="305"/>
      <c r="AE111" s="305"/>
      <c r="AF111" s="305"/>
    </row>
    <row r="112" spans="1:32" ht="14.25" customHeight="1">
      <c r="B112" s="1765" t="s">
        <v>99</v>
      </c>
      <c r="C112" s="515"/>
      <c r="D112" s="515"/>
      <c r="E112" s="515"/>
      <c r="F112" s="515"/>
      <c r="G112" s="1977"/>
      <c r="H112" s="3668" t="s">
        <v>232</v>
      </c>
      <c r="I112" s="3668"/>
      <c r="J112" s="385"/>
      <c r="M112" s="305"/>
      <c r="W112" s="305"/>
      <c r="X112" s="305"/>
      <c r="Y112" s="305"/>
      <c r="Z112" s="305"/>
      <c r="AA112" s="305"/>
      <c r="AB112" s="305"/>
      <c r="AC112" s="305"/>
      <c r="AD112" s="305"/>
      <c r="AE112" s="305"/>
      <c r="AF112" s="305"/>
    </row>
    <row r="113" spans="1:32" s="52" customFormat="1" ht="14.25" customHeight="1">
      <c r="A113" s="278"/>
      <c r="B113" s="3663"/>
      <c r="C113" s="3575">
        <v>2020</v>
      </c>
      <c r="D113" s="3576"/>
      <c r="E113" s="3576"/>
      <c r="F113" s="3576"/>
      <c r="G113" s="3576"/>
      <c r="H113" s="3576"/>
      <c r="I113" s="3577"/>
      <c r="J113" s="278"/>
      <c r="K113" s="416"/>
      <c r="M113" s="305"/>
      <c r="W113" s="305"/>
      <c r="X113" s="305"/>
      <c r="Y113" s="305"/>
      <c r="Z113" s="305"/>
      <c r="AA113" s="305"/>
      <c r="AB113" s="305"/>
      <c r="AC113" s="305"/>
      <c r="AD113" s="305"/>
      <c r="AE113" s="305"/>
      <c r="AF113" s="305"/>
    </row>
    <row r="114" spans="1:32" s="52" customFormat="1" ht="14.25" customHeight="1">
      <c r="A114" s="394"/>
      <c r="B114" s="3664"/>
      <c r="C114" s="3666" t="s">
        <v>412</v>
      </c>
      <c r="D114" s="3666" t="s">
        <v>413</v>
      </c>
      <c r="E114" s="3671" t="s">
        <v>414</v>
      </c>
      <c r="F114" s="3672"/>
      <c r="G114" s="3666" t="s">
        <v>415</v>
      </c>
      <c r="H114" s="3666" t="s">
        <v>416</v>
      </c>
      <c r="I114" s="3666" t="s">
        <v>118</v>
      </c>
      <c r="J114" s="278"/>
      <c r="K114" s="3669"/>
      <c r="M114" s="305"/>
      <c r="W114" s="305"/>
      <c r="X114" s="305"/>
      <c r="Y114" s="305"/>
      <c r="Z114" s="305"/>
      <c r="AA114" s="305"/>
      <c r="AB114" s="305"/>
      <c r="AC114" s="305"/>
      <c r="AD114" s="305"/>
      <c r="AE114" s="305"/>
      <c r="AF114" s="305"/>
    </row>
    <row r="115" spans="1:32" s="52" customFormat="1" ht="14.25" customHeight="1" thickBot="1">
      <c r="A115" s="394"/>
      <c r="B115" s="3665"/>
      <c r="C115" s="3670"/>
      <c r="D115" s="3670"/>
      <c r="E115" s="1793" t="s">
        <v>418</v>
      </c>
      <c r="F115" s="1793" t="s">
        <v>419</v>
      </c>
      <c r="G115" s="3670"/>
      <c r="H115" s="3670"/>
      <c r="I115" s="3670"/>
      <c r="J115" s="278"/>
      <c r="K115" s="3669"/>
      <c r="M115" s="305"/>
      <c r="W115" s="305"/>
      <c r="X115" s="305"/>
      <c r="Y115" s="305"/>
      <c r="Z115" s="305"/>
      <c r="AA115" s="305"/>
      <c r="AB115" s="305"/>
      <c r="AC115" s="305"/>
      <c r="AD115" s="305"/>
      <c r="AE115" s="305"/>
      <c r="AF115" s="305"/>
    </row>
    <row r="116" spans="1:32" s="52" customFormat="1" ht="14.25" customHeight="1">
      <c r="A116" s="285"/>
      <c r="B116" s="1794" t="s">
        <v>333</v>
      </c>
      <c r="C116" s="879">
        <v>1049363</v>
      </c>
      <c r="D116" s="2705">
        <v>102228</v>
      </c>
      <c r="E116" s="879">
        <v>8355</v>
      </c>
      <c r="F116" s="2705">
        <v>3086527</v>
      </c>
      <c r="G116" s="879">
        <v>629880</v>
      </c>
      <c r="H116" s="2705">
        <v>275894</v>
      </c>
      <c r="I116" s="1796">
        <f t="shared" ref="I116:I124" si="23">H116+G116+F116+E116+D116+C116</f>
        <v>5152247</v>
      </c>
      <c r="J116" s="278"/>
      <c r="K116" s="429"/>
      <c r="L116" s="305"/>
      <c r="M116" s="305"/>
      <c r="N116" s="305"/>
      <c r="O116" s="305"/>
      <c r="P116" s="305"/>
      <c r="Q116" s="305"/>
      <c r="R116" s="305"/>
      <c r="W116" s="305"/>
      <c r="X116" s="305"/>
      <c r="Y116" s="305"/>
      <c r="Z116" s="305"/>
      <c r="AA116" s="305"/>
      <c r="AB116" s="305"/>
      <c r="AC116" s="305"/>
      <c r="AD116" s="305"/>
      <c r="AE116" s="305"/>
      <c r="AF116" s="305"/>
    </row>
    <row r="117" spans="1:32" s="52" customFormat="1" ht="14.25" customHeight="1">
      <c r="A117" s="285"/>
      <c r="B117" s="2706" t="s">
        <v>420</v>
      </c>
      <c r="C117" s="880">
        <v>-52449</v>
      </c>
      <c r="D117" s="877">
        <v>-12947</v>
      </c>
      <c r="E117" s="880"/>
      <c r="F117" s="877"/>
      <c r="G117" s="880">
        <v>-1483</v>
      </c>
      <c r="H117" s="877">
        <v>-6052</v>
      </c>
      <c r="I117" s="2707">
        <f t="shared" si="23"/>
        <v>-72931</v>
      </c>
      <c r="J117" s="278"/>
      <c r="K117" s="429"/>
      <c r="L117" s="305"/>
      <c r="M117" s="305"/>
      <c r="N117" s="305"/>
      <c r="O117" s="305"/>
      <c r="P117" s="305"/>
      <c r="Q117" s="305"/>
      <c r="R117" s="305"/>
      <c r="W117" s="305"/>
      <c r="X117" s="305"/>
      <c r="Y117" s="305"/>
      <c r="Z117" s="305"/>
      <c r="AA117" s="305"/>
      <c r="AB117" s="305"/>
      <c r="AC117" s="305"/>
      <c r="AD117" s="305"/>
      <c r="AE117" s="305"/>
      <c r="AF117" s="305"/>
    </row>
    <row r="118" spans="1:32" s="52" customFormat="1" ht="14.25" customHeight="1">
      <c r="A118" s="285"/>
      <c r="B118" s="2706" t="s">
        <v>421</v>
      </c>
      <c r="C118" s="880">
        <v>-155619</v>
      </c>
      <c r="D118" s="877">
        <v>-5</v>
      </c>
      <c r="E118" s="880"/>
      <c r="F118" s="877">
        <v>-67386</v>
      </c>
      <c r="G118" s="880"/>
      <c r="H118" s="877">
        <v>-47342</v>
      </c>
      <c r="I118" s="2707">
        <f t="shared" si="23"/>
        <v>-270352</v>
      </c>
      <c r="J118" s="278"/>
      <c r="K118" s="429"/>
      <c r="L118" s="305"/>
      <c r="M118" s="305"/>
      <c r="N118" s="305"/>
      <c r="O118" s="305"/>
      <c r="P118" s="305"/>
      <c r="Q118" s="305"/>
      <c r="R118" s="305"/>
      <c r="W118" s="305"/>
      <c r="X118" s="305"/>
      <c r="Y118" s="305"/>
      <c r="Z118" s="305"/>
      <c r="AA118" s="305"/>
      <c r="AB118" s="305"/>
      <c r="AC118" s="305"/>
      <c r="AD118" s="305"/>
      <c r="AE118" s="305"/>
      <c r="AF118" s="305"/>
    </row>
    <row r="119" spans="1:32" s="52" customFormat="1" ht="14.25" customHeight="1">
      <c r="A119" s="285"/>
      <c r="B119" s="2706" t="s">
        <v>422</v>
      </c>
      <c r="C119" s="880">
        <v>-623905</v>
      </c>
      <c r="D119" s="877">
        <v>-80831</v>
      </c>
      <c r="E119" s="880"/>
      <c r="F119" s="877">
        <v>-43112</v>
      </c>
      <c r="G119" s="880">
        <v>-7506</v>
      </c>
      <c r="H119" s="877">
        <v>-209011</v>
      </c>
      <c r="I119" s="2707">
        <f t="shared" si="23"/>
        <v>-964365</v>
      </c>
      <c r="J119" s="278"/>
      <c r="K119" s="416"/>
      <c r="L119" s="305"/>
      <c r="M119" s="305"/>
      <c r="N119" s="305"/>
      <c r="O119" s="305"/>
      <c r="P119" s="305"/>
      <c r="Q119" s="305"/>
      <c r="R119" s="305"/>
      <c r="W119" s="305"/>
      <c r="X119" s="305"/>
      <c r="Y119" s="305"/>
      <c r="Z119" s="305"/>
      <c r="AA119" s="305"/>
      <c r="AB119" s="305"/>
      <c r="AC119" s="305"/>
      <c r="AD119" s="305"/>
      <c r="AE119" s="305"/>
      <c r="AF119" s="305"/>
    </row>
    <row r="120" spans="1:32" s="52" customFormat="1" ht="14.25" customHeight="1">
      <c r="A120" s="285"/>
      <c r="B120" s="2708" t="s">
        <v>423</v>
      </c>
      <c r="C120" s="2709">
        <f t="shared" ref="C120:H120" si="24">C116+C117+C118+C119</f>
        <v>217390</v>
      </c>
      <c r="D120" s="2710">
        <f t="shared" si="24"/>
        <v>8445</v>
      </c>
      <c r="E120" s="2709">
        <f t="shared" si="24"/>
        <v>8355</v>
      </c>
      <c r="F120" s="2710">
        <f t="shared" si="24"/>
        <v>2976029</v>
      </c>
      <c r="G120" s="2709">
        <f t="shared" si="24"/>
        <v>620891</v>
      </c>
      <c r="H120" s="2710">
        <f t="shared" si="24"/>
        <v>13489</v>
      </c>
      <c r="I120" s="2711">
        <f t="shared" si="23"/>
        <v>3844599</v>
      </c>
      <c r="J120" s="278"/>
      <c r="K120" s="416"/>
      <c r="L120" s="305"/>
      <c r="M120" s="305"/>
      <c r="N120" s="305"/>
      <c r="O120" s="305"/>
      <c r="P120" s="305"/>
      <c r="Q120" s="305"/>
      <c r="R120" s="305"/>
      <c r="W120" s="305"/>
      <c r="X120" s="305"/>
      <c r="Y120" s="305"/>
      <c r="Z120" s="305"/>
      <c r="AA120" s="305"/>
      <c r="AB120" s="305"/>
      <c r="AC120" s="305"/>
      <c r="AD120" s="305"/>
      <c r="AE120" s="305"/>
      <c r="AF120" s="305"/>
    </row>
    <row r="121" spans="1:32" s="52" customFormat="1" ht="14.25" customHeight="1">
      <c r="A121" s="285"/>
      <c r="B121" s="2706" t="s">
        <v>424</v>
      </c>
      <c r="C121" s="2712">
        <v>20269</v>
      </c>
      <c r="D121" s="2713">
        <v>1554</v>
      </c>
      <c r="E121" s="2712"/>
      <c r="F121" s="2713">
        <v>157678</v>
      </c>
      <c r="G121" s="2712">
        <v>-93355</v>
      </c>
      <c r="H121" s="2713">
        <v>11897</v>
      </c>
      <c r="I121" s="2707">
        <f t="shared" si="23"/>
        <v>98043</v>
      </c>
      <c r="J121" s="278"/>
      <c r="K121" s="416"/>
      <c r="L121" s="305"/>
      <c r="M121" s="305"/>
      <c r="N121" s="305"/>
      <c r="O121" s="305"/>
      <c r="P121" s="305"/>
      <c r="Q121" s="305"/>
      <c r="R121" s="305"/>
      <c r="W121" s="305"/>
      <c r="X121" s="305"/>
      <c r="Y121" s="305"/>
      <c r="Z121" s="305"/>
      <c r="AA121" s="305"/>
      <c r="AB121" s="305"/>
      <c r="AC121" s="305"/>
      <c r="AD121" s="305"/>
      <c r="AE121" s="305"/>
      <c r="AF121" s="305"/>
    </row>
    <row r="122" spans="1:32" s="52" customFormat="1" ht="14.25" customHeight="1">
      <c r="A122" s="285"/>
      <c r="B122" s="2708" t="s">
        <v>425</v>
      </c>
      <c r="C122" s="2709">
        <f t="shared" ref="C122:H122" si="25">C120+C121</f>
        <v>237659</v>
      </c>
      <c r="D122" s="2710">
        <f t="shared" si="25"/>
        <v>9999</v>
      </c>
      <c r="E122" s="2709">
        <f t="shared" si="25"/>
        <v>8355</v>
      </c>
      <c r="F122" s="2710">
        <f t="shared" si="25"/>
        <v>3133707</v>
      </c>
      <c r="G122" s="2709">
        <f t="shared" si="25"/>
        <v>527536</v>
      </c>
      <c r="H122" s="2710">
        <f t="shared" si="25"/>
        <v>25386</v>
      </c>
      <c r="I122" s="2711">
        <f t="shared" si="23"/>
        <v>3942642</v>
      </c>
      <c r="J122" s="278"/>
      <c r="K122" s="416"/>
      <c r="L122" s="305"/>
      <c r="M122" s="305"/>
      <c r="N122" s="305"/>
      <c r="O122" s="305"/>
      <c r="P122" s="305"/>
      <c r="Q122" s="305"/>
      <c r="R122" s="305"/>
      <c r="W122" s="305"/>
      <c r="X122" s="305"/>
      <c r="Y122" s="305"/>
      <c r="Z122" s="305"/>
      <c r="AA122" s="305"/>
      <c r="AB122" s="305"/>
      <c r="AC122" s="305"/>
      <c r="AD122" s="305"/>
      <c r="AE122" s="305"/>
      <c r="AF122" s="305"/>
    </row>
    <row r="123" spans="1:32" s="52" customFormat="1" ht="14.25" customHeight="1">
      <c r="A123" s="285"/>
      <c r="B123" s="2706"/>
      <c r="C123" s="2714"/>
      <c r="D123" s="2715"/>
      <c r="E123" s="2714"/>
      <c r="F123" s="2715"/>
      <c r="G123" s="2714"/>
      <c r="H123" s="2716"/>
      <c r="I123" s="2707">
        <f t="shared" si="23"/>
        <v>0</v>
      </c>
      <c r="J123" s="278"/>
      <c r="K123" s="416"/>
      <c r="M123" s="305"/>
      <c r="W123" s="305"/>
      <c r="X123" s="305"/>
      <c r="Y123" s="305"/>
      <c r="Z123" s="305"/>
      <c r="AA123" s="305"/>
      <c r="AB123" s="305"/>
      <c r="AC123" s="305"/>
      <c r="AD123" s="305"/>
      <c r="AE123" s="305"/>
      <c r="AF123" s="305"/>
    </row>
    <row r="124" spans="1:32" s="52" customFormat="1" ht="14.25" customHeight="1">
      <c r="A124" s="285"/>
      <c r="B124" s="2708" t="s">
        <v>426</v>
      </c>
      <c r="C124" s="2714">
        <f>SUM(C125:C127)</f>
        <v>-13165</v>
      </c>
      <c r="D124" s="2715">
        <f t="shared" ref="D124:H124" si="26">SUM(D125:D127)</f>
        <v>4578</v>
      </c>
      <c r="E124" s="2714"/>
      <c r="F124" s="2715">
        <f t="shared" si="26"/>
        <v>-1841070</v>
      </c>
      <c r="G124" s="2714">
        <f t="shared" si="26"/>
        <v>-478428</v>
      </c>
      <c r="H124" s="2715">
        <f t="shared" si="26"/>
        <v>-22890</v>
      </c>
      <c r="I124" s="2707">
        <f t="shared" si="23"/>
        <v>-2350975</v>
      </c>
      <c r="J124" s="278"/>
      <c r="K124" s="416"/>
      <c r="L124" s="305"/>
      <c r="M124" s="305"/>
      <c r="W124" s="305"/>
      <c r="X124" s="305"/>
      <c r="Y124" s="305"/>
      <c r="Z124" s="305"/>
      <c r="AA124" s="305"/>
      <c r="AB124" s="305"/>
      <c r="AC124" s="305"/>
      <c r="AD124" s="305"/>
      <c r="AE124" s="305"/>
      <c r="AF124" s="305"/>
    </row>
    <row r="125" spans="1:32" s="52" customFormat="1" ht="28.15" customHeight="1">
      <c r="A125" s="285"/>
      <c r="B125" s="2706" t="s">
        <v>427</v>
      </c>
      <c r="C125" s="2712">
        <v>2219</v>
      </c>
      <c r="D125" s="2713">
        <v>-831</v>
      </c>
      <c r="E125" s="2712"/>
      <c r="F125" s="2713">
        <v>-1343003</v>
      </c>
      <c r="G125" s="2712">
        <v>-403849</v>
      </c>
      <c r="H125" s="2713">
        <v>-23453</v>
      </c>
      <c r="I125" s="2707">
        <f>H125+G125+F125+E125+D125+C125</f>
        <v>-1768917</v>
      </c>
      <c r="J125" s="278"/>
      <c r="K125" s="416"/>
      <c r="L125" s="305"/>
      <c r="M125" s="305"/>
      <c r="N125" s="305"/>
      <c r="O125" s="305"/>
      <c r="P125" s="305"/>
      <c r="Q125" s="305"/>
      <c r="R125" s="305"/>
      <c r="W125" s="305"/>
      <c r="X125" s="305"/>
      <c r="Y125" s="305"/>
      <c r="Z125" s="305"/>
      <c r="AA125" s="305"/>
      <c r="AB125" s="305"/>
      <c r="AC125" s="305"/>
      <c r="AD125" s="305"/>
      <c r="AE125" s="305"/>
      <c r="AF125" s="305"/>
    </row>
    <row r="126" spans="1:32" s="52" customFormat="1" ht="14.25" customHeight="1">
      <c r="A126" s="285"/>
      <c r="B126" s="2706" t="s">
        <v>428</v>
      </c>
      <c r="C126" s="880">
        <v>-14195</v>
      </c>
      <c r="D126" s="877">
        <v>5409</v>
      </c>
      <c r="E126" s="880"/>
      <c r="F126" s="877">
        <v>-459311</v>
      </c>
      <c r="G126" s="880">
        <v>-50358</v>
      </c>
      <c r="H126" s="877">
        <v>563</v>
      </c>
      <c r="I126" s="2707">
        <f t="shared" ref="I126:I127" si="27">H126+G126+F126+E126+D126+C126</f>
        <v>-517892</v>
      </c>
      <c r="J126" s="278"/>
      <c r="K126" s="416"/>
      <c r="L126" s="305"/>
      <c r="M126" s="305"/>
      <c r="N126" s="305"/>
      <c r="O126" s="305"/>
      <c r="P126" s="305"/>
      <c r="Q126" s="305"/>
      <c r="R126" s="305"/>
      <c r="W126" s="305"/>
      <c r="X126" s="305"/>
      <c r="Y126" s="305"/>
      <c r="Z126" s="305"/>
      <c r="AA126" s="305"/>
      <c r="AB126" s="305"/>
      <c r="AC126" s="305"/>
      <c r="AD126" s="305"/>
      <c r="AE126" s="305"/>
      <c r="AF126" s="305"/>
    </row>
    <row r="127" spans="1:32" s="52" customFormat="1" ht="14.25" customHeight="1">
      <c r="A127" s="285"/>
      <c r="B127" s="2706" t="s">
        <v>429</v>
      </c>
      <c r="C127" s="880">
        <v>-1189</v>
      </c>
      <c r="D127" s="877"/>
      <c r="E127" s="880"/>
      <c r="F127" s="877">
        <v>-38756</v>
      </c>
      <c r="G127" s="880">
        <v>-24221</v>
      </c>
      <c r="H127" s="877"/>
      <c r="I127" s="2707">
        <f t="shared" si="27"/>
        <v>-64166</v>
      </c>
      <c r="J127" s="278"/>
      <c r="K127" s="416"/>
      <c r="L127" s="305"/>
      <c r="M127" s="305"/>
      <c r="N127" s="305"/>
      <c r="O127" s="305"/>
      <c r="P127" s="305"/>
      <c r="Q127" s="305"/>
      <c r="R127" s="305"/>
      <c r="W127" s="305"/>
      <c r="X127" s="305"/>
      <c r="Y127" s="305"/>
      <c r="Z127" s="305"/>
      <c r="AA127" s="305"/>
      <c r="AB127" s="305"/>
      <c r="AC127" s="305"/>
      <c r="AD127" s="305"/>
      <c r="AE127" s="305"/>
      <c r="AF127" s="305"/>
    </row>
    <row r="128" spans="1:32" s="52" customFormat="1" ht="14.25" customHeight="1">
      <c r="A128" s="285"/>
      <c r="B128" s="2708" t="s">
        <v>430</v>
      </c>
      <c r="C128" s="2709">
        <f>C122+C125+C126+C127</f>
        <v>224494</v>
      </c>
      <c r="D128" s="2710">
        <f t="shared" ref="D128:H128" si="28">D122+D125+D126+D127</f>
        <v>14577</v>
      </c>
      <c r="E128" s="2709">
        <f>E122+E125+E126+E127</f>
        <v>8355</v>
      </c>
      <c r="F128" s="2710">
        <f>F122+F125+F126+F127</f>
        <v>1292637</v>
      </c>
      <c r="G128" s="2709">
        <f t="shared" si="28"/>
        <v>49108</v>
      </c>
      <c r="H128" s="2710">
        <f t="shared" si="28"/>
        <v>2496</v>
      </c>
      <c r="I128" s="2711">
        <f>H128+G128+F128+E128+D128+C128</f>
        <v>1591667</v>
      </c>
      <c r="J128" s="278"/>
      <c r="K128" s="432"/>
      <c r="L128" s="305"/>
      <c r="M128" s="305"/>
      <c r="N128" s="305"/>
      <c r="O128" s="305"/>
      <c r="P128" s="305"/>
      <c r="Q128" s="305"/>
      <c r="R128" s="305"/>
      <c r="W128" s="305"/>
      <c r="X128" s="305"/>
      <c r="Y128" s="305"/>
      <c r="Z128" s="305"/>
      <c r="AA128" s="305"/>
      <c r="AB128" s="305"/>
      <c r="AC128" s="305"/>
      <c r="AD128" s="305"/>
      <c r="AE128" s="305"/>
      <c r="AF128" s="305"/>
    </row>
    <row r="129" spans="1:32" s="52" customFormat="1" ht="14.25" customHeight="1">
      <c r="A129" s="285"/>
      <c r="B129" s="2706"/>
      <c r="C129" s="2717"/>
      <c r="D129" s="2718"/>
      <c r="E129" s="2717"/>
      <c r="F129" s="2718"/>
      <c r="G129" s="2717"/>
      <c r="H129" s="2719"/>
      <c r="I129" s="2707"/>
      <c r="J129" s="278"/>
      <c r="K129" s="416"/>
      <c r="M129" s="305"/>
      <c r="W129" s="305"/>
      <c r="X129" s="305"/>
      <c r="Y129" s="305"/>
      <c r="Z129" s="305"/>
      <c r="AA129" s="305"/>
      <c r="AB129" s="305"/>
      <c r="AC129" s="305"/>
      <c r="AD129" s="305"/>
      <c r="AE129" s="305"/>
      <c r="AF129" s="305"/>
    </row>
    <row r="130" spans="1:32" s="52" customFormat="1" ht="14.25" customHeight="1">
      <c r="A130" s="285"/>
      <c r="B130" s="2708" t="s">
        <v>431</v>
      </c>
      <c r="C130" s="2717"/>
      <c r="D130" s="2718"/>
      <c r="E130" s="2717"/>
      <c r="F130" s="2718"/>
      <c r="G130" s="2717"/>
      <c r="H130" s="2719"/>
      <c r="I130" s="2711">
        <f>SUM(I131:I133)</f>
        <v>512639</v>
      </c>
      <c r="J130" s="278"/>
      <c r="K130" s="416"/>
      <c r="M130" s="305"/>
      <c r="W130" s="305"/>
      <c r="X130" s="305"/>
      <c r="Y130" s="305"/>
      <c r="Z130" s="305"/>
      <c r="AA130" s="305"/>
      <c r="AB130" s="305"/>
      <c r="AC130" s="305"/>
      <c r="AD130" s="305"/>
      <c r="AE130" s="305"/>
      <c r="AF130" s="305"/>
    </row>
    <row r="131" spans="1:32" s="52" customFormat="1" ht="14.25" customHeight="1">
      <c r="A131" s="285"/>
      <c r="B131" s="2706" t="s">
        <v>432</v>
      </c>
      <c r="C131" s="2717"/>
      <c r="D131" s="2718"/>
      <c r="E131" s="2717"/>
      <c r="F131" s="2718"/>
      <c r="G131" s="2717"/>
      <c r="H131" s="2719"/>
      <c r="I131" s="2720">
        <v>46244</v>
      </c>
      <c r="J131" s="278"/>
      <c r="K131" s="416"/>
      <c r="M131" s="305"/>
      <c r="W131" s="305"/>
      <c r="X131" s="305"/>
      <c r="Y131" s="305"/>
      <c r="Z131" s="305"/>
      <c r="AA131" s="305"/>
      <c r="AB131" s="305"/>
      <c r="AC131" s="305"/>
      <c r="AD131" s="305"/>
      <c r="AE131" s="305"/>
      <c r="AF131" s="305"/>
    </row>
    <row r="132" spans="1:32" s="52" customFormat="1" ht="14.25" customHeight="1">
      <c r="A132" s="285"/>
      <c r="B132" s="2706" t="s">
        <v>433</v>
      </c>
      <c r="C132" s="2717"/>
      <c r="D132" s="2718"/>
      <c r="E132" s="2717"/>
      <c r="F132" s="2718"/>
      <c r="G132" s="2717"/>
      <c r="H132" s="2719"/>
      <c r="I132" s="1797">
        <v>448075</v>
      </c>
      <c r="J132" s="278"/>
      <c r="K132" s="416"/>
      <c r="M132" s="305"/>
      <c r="W132" s="305"/>
      <c r="X132" s="305"/>
      <c r="Y132" s="305"/>
      <c r="Z132" s="305"/>
      <c r="AA132" s="305"/>
      <c r="AB132" s="305"/>
      <c r="AC132" s="305"/>
      <c r="AD132" s="305"/>
      <c r="AE132" s="305"/>
      <c r="AF132" s="305"/>
    </row>
    <row r="133" spans="1:32" s="52" customFormat="1" ht="14.25" customHeight="1">
      <c r="A133" s="285"/>
      <c r="B133" s="2706" t="s">
        <v>434</v>
      </c>
      <c r="C133" s="2717"/>
      <c r="D133" s="2718"/>
      <c r="E133" s="2717"/>
      <c r="F133" s="2718"/>
      <c r="G133" s="2717"/>
      <c r="H133" s="2719"/>
      <c r="I133" s="1797">
        <v>18320</v>
      </c>
      <c r="J133" s="278"/>
      <c r="K133" s="416"/>
      <c r="M133" s="305"/>
      <c r="W133" s="305"/>
      <c r="X133" s="305"/>
      <c r="Y133" s="305"/>
      <c r="Z133" s="305"/>
      <c r="AA133" s="305"/>
      <c r="AB133" s="305"/>
      <c r="AC133" s="305"/>
      <c r="AD133" s="305"/>
      <c r="AE133" s="305"/>
      <c r="AF133" s="305"/>
    </row>
    <row r="134" spans="1:32" s="52" customFormat="1" ht="14.25" customHeight="1">
      <c r="A134" s="285"/>
      <c r="B134" s="2706"/>
      <c r="C134" s="2717"/>
      <c r="D134" s="2718"/>
      <c r="E134" s="2717"/>
      <c r="F134" s="2718"/>
      <c r="G134" s="2717"/>
      <c r="H134" s="2719"/>
      <c r="I134" s="2707"/>
      <c r="J134" s="278"/>
      <c r="K134" s="416"/>
      <c r="M134" s="305"/>
      <c r="W134" s="305"/>
      <c r="X134" s="305"/>
      <c r="Y134" s="305"/>
      <c r="Z134" s="305"/>
      <c r="AA134" s="305"/>
      <c r="AB134" s="305"/>
      <c r="AC134" s="305"/>
      <c r="AD134" s="305"/>
      <c r="AE134" s="305"/>
      <c r="AF134" s="305"/>
    </row>
    <row r="135" spans="1:32" s="52" customFormat="1" ht="13.9" customHeight="1">
      <c r="A135" s="285"/>
      <c r="B135" s="2708" t="s">
        <v>435</v>
      </c>
      <c r="C135" s="2717"/>
      <c r="D135" s="2718"/>
      <c r="E135" s="2717"/>
      <c r="F135" s="2718"/>
      <c r="G135" s="2717"/>
      <c r="H135" s="2719"/>
      <c r="I135" s="2707">
        <f>I136+I137</f>
        <v>-1004391</v>
      </c>
      <c r="J135" s="278"/>
      <c r="K135" s="416"/>
      <c r="M135" s="305"/>
      <c r="W135" s="305"/>
      <c r="X135" s="305"/>
      <c r="Y135" s="305"/>
      <c r="Z135" s="305"/>
      <c r="AA135" s="305"/>
      <c r="AB135" s="305"/>
      <c r="AC135" s="305"/>
      <c r="AD135" s="305"/>
      <c r="AE135" s="305"/>
      <c r="AF135" s="305"/>
    </row>
    <row r="136" spans="1:32" s="52" customFormat="1" ht="28.15" customHeight="1">
      <c r="A136" s="285"/>
      <c r="B136" s="2706" t="s">
        <v>436</v>
      </c>
      <c r="C136" s="2717"/>
      <c r="D136" s="2718"/>
      <c r="E136" s="2717"/>
      <c r="F136" s="2718"/>
      <c r="G136" s="2717"/>
      <c r="H136" s="2719"/>
      <c r="I136" s="2720">
        <v>-1004391</v>
      </c>
      <c r="J136" s="278"/>
      <c r="K136" s="416"/>
      <c r="M136" s="305"/>
      <c r="W136" s="305"/>
      <c r="X136" s="305"/>
      <c r="Y136" s="305"/>
      <c r="Z136" s="305"/>
      <c r="AA136" s="305"/>
      <c r="AB136" s="305"/>
      <c r="AC136" s="305"/>
      <c r="AD136" s="305"/>
      <c r="AE136" s="305"/>
      <c r="AF136" s="305"/>
    </row>
    <row r="137" spans="1:32" s="52" customFormat="1" ht="21.75" customHeight="1">
      <c r="A137" s="285"/>
      <c r="B137" s="2706" t="s">
        <v>437</v>
      </c>
      <c r="C137" s="2717"/>
      <c r="D137" s="2718"/>
      <c r="E137" s="2717"/>
      <c r="F137" s="2718"/>
      <c r="G137" s="2717"/>
      <c r="H137" s="2719"/>
      <c r="I137" s="2707"/>
      <c r="J137" s="278"/>
      <c r="K137" s="416"/>
      <c r="M137" s="305"/>
      <c r="W137" s="305"/>
      <c r="X137" s="305"/>
      <c r="Y137" s="305"/>
      <c r="Z137" s="305"/>
      <c r="AA137" s="305"/>
      <c r="AB137" s="305"/>
      <c r="AC137" s="305"/>
      <c r="AD137" s="305"/>
      <c r="AE137" s="305"/>
      <c r="AF137" s="305"/>
    </row>
    <row r="138" spans="1:32" s="52" customFormat="1" ht="14.25" customHeight="1">
      <c r="A138" s="285"/>
      <c r="B138" s="2708" t="s">
        <v>438</v>
      </c>
      <c r="C138" s="2717"/>
      <c r="D138" s="2718"/>
      <c r="E138" s="2717"/>
      <c r="F138" s="2718"/>
      <c r="G138" s="2717"/>
      <c r="H138" s="2719"/>
      <c r="I138" s="2711">
        <f>+I128+I130+I136</f>
        <v>1099915</v>
      </c>
      <c r="J138" s="278"/>
      <c r="K138" s="416"/>
      <c r="M138" s="305"/>
      <c r="W138" s="305"/>
      <c r="X138" s="305"/>
      <c r="Y138" s="305"/>
      <c r="Z138" s="305"/>
      <c r="AA138" s="305"/>
      <c r="AB138" s="305"/>
      <c r="AC138" s="305"/>
      <c r="AD138" s="305"/>
      <c r="AE138" s="305"/>
      <c r="AF138" s="305"/>
    </row>
    <row r="139" spans="1:32" s="52" customFormat="1" ht="14.25" customHeight="1">
      <c r="A139" s="285"/>
      <c r="B139" s="2706" t="s">
        <v>439</v>
      </c>
      <c r="C139" s="2717"/>
      <c r="D139" s="2718"/>
      <c r="E139" s="2717"/>
      <c r="F139" s="2718"/>
      <c r="G139" s="2717"/>
      <c r="H139" s="2719"/>
      <c r="I139" s="2720">
        <v>-13830</v>
      </c>
      <c r="J139" s="278"/>
      <c r="K139" s="416"/>
      <c r="M139" s="305"/>
      <c r="W139" s="305"/>
      <c r="X139" s="305"/>
      <c r="Y139" s="305"/>
      <c r="Z139" s="305"/>
      <c r="AA139" s="305"/>
      <c r="AB139" s="305"/>
      <c r="AC139" s="305"/>
      <c r="AD139" s="305"/>
      <c r="AE139" s="305"/>
      <c r="AF139" s="305"/>
    </row>
    <row r="140" spans="1:32" s="52" customFormat="1" ht="14.25" customHeight="1">
      <c r="A140" s="285"/>
      <c r="B140" s="2708" t="s">
        <v>440</v>
      </c>
      <c r="C140" s="2717"/>
      <c r="D140" s="2718"/>
      <c r="E140" s="2717"/>
      <c r="F140" s="2718"/>
      <c r="G140" s="2717"/>
      <c r="H140" s="2719"/>
      <c r="I140" s="2711">
        <f>SUM(I138:I139)</f>
        <v>1086085</v>
      </c>
      <c r="J140" s="278"/>
      <c r="K140" s="416"/>
      <c r="M140" s="305"/>
      <c r="W140" s="305"/>
      <c r="X140" s="305"/>
      <c r="Y140" s="305"/>
      <c r="Z140" s="305"/>
      <c r="AA140" s="305"/>
      <c r="AB140" s="305"/>
      <c r="AC140" s="305"/>
      <c r="AD140" s="305"/>
      <c r="AE140" s="305"/>
      <c r="AF140" s="305"/>
    </row>
    <row r="141" spans="1:32" s="52" customFormat="1" ht="14.25" customHeight="1">
      <c r="A141" s="285"/>
      <c r="B141" s="2706" t="s">
        <v>441</v>
      </c>
      <c r="C141" s="2717"/>
      <c r="D141" s="2718"/>
      <c r="E141" s="2717"/>
      <c r="F141" s="2718"/>
      <c r="G141" s="2717"/>
      <c r="H141" s="2719"/>
      <c r="I141" s="2720">
        <v>-288387</v>
      </c>
      <c r="J141" s="278"/>
      <c r="K141" s="416"/>
      <c r="M141" s="305"/>
      <c r="W141" s="305"/>
      <c r="X141" s="305"/>
      <c r="Y141" s="305"/>
      <c r="Z141" s="305"/>
      <c r="AA141" s="305"/>
      <c r="AB141" s="305"/>
      <c r="AC141" s="305"/>
      <c r="AD141" s="305"/>
      <c r="AE141" s="305"/>
      <c r="AF141" s="305"/>
    </row>
    <row r="142" spans="1:32" s="52" customFormat="1" ht="14.25" customHeight="1" thickBot="1">
      <c r="A142" s="285"/>
      <c r="B142" s="1795" t="s">
        <v>442</v>
      </c>
      <c r="C142" s="881"/>
      <c r="D142" s="878"/>
      <c r="E142" s="881"/>
      <c r="F142" s="878"/>
      <c r="G142" s="881"/>
      <c r="H142" s="1316"/>
      <c r="I142" s="1798">
        <f>SUM(I140:I141)</f>
        <v>797698</v>
      </c>
      <c r="J142" s="278"/>
      <c r="K142" s="416"/>
      <c r="M142" s="305"/>
      <c r="W142" s="305"/>
      <c r="X142" s="305"/>
      <c r="Y142" s="305"/>
      <c r="Z142" s="305"/>
      <c r="AA142" s="305"/>
      <c r="AB142" s="305"/>
      <c r="AC142" s="305"/>
      <c r="AD142" s="305"/>
      <c r="AE142" s="305"/>
      <c r="AF142" s="305"/>
    </row>
    <row r="143" spans="1:32" s="52" customFormat="1" ht="14.25" customHeight="1">
      <c r="A143" s="285"/>
      <c r="B143" s="455"/>
      <c r="C143" s="414"/>
      <c r="D143" s="414"/>
      <c r="E143" s="414"/>
      <c r="F143" s="414"/>
      <c r="G143" s="414"/>
      <c r="H143" s="414"/>
      <c r="I143" s="278"/>
      <c r="J143" s="278"/>
      <c r="K143" s="416"/>
      <c r="M143" s="305"/>
      <c r="W143" s="305"/>
      <c r="X143" s="305"/>
      <c r="Y143" s="305"/>
      <c r="Z143" s="305"/>
      <c r="AA143" s="305"/>
      <c r="AB143" s="305"/>
      <c r="AC143" s="305"/>
      <c r="AD143" s="305"/>
      <c r="AE143" s="305"/>
      <c r="AF143" s="305"/>
    </row>
    <row r="144" spans="1:32" s="52" customFormat="1" ht="14.25" customHeight="1">
      <c r="A144" s="285"/>
      <c r="B144" s="455"/>
      <c r="C144" s="414"/>
      <c r="D144" s="414"/>
      <c r="E144" s="414"/>
      <c r="F144" s="414"/>
      <c r="G144" s="414"/>
      <c r="H144" s="414"/>
      <c r="I144" s="278"/>
      <c r="J144" s="278"/>
      <c r="K144" s="394">
        <v>129</v>
      </c>
      <c r="M144" s="305"/>
      <c r="W144" s="305"/>
      <c r="X144" s="305"/>
      <c r="Y144" s="305"/>
      <c r="Z144" s="305"/>
      <c r="AA144" s="305"/>
      <c r="AB144" s="305"/>
      <c r="AC144" s="305"/>
      <c r="AD144" s="305"/>
      <c r="AE144" s="305"/>
      <c r="AF144" s="305"/>
    </row>
    <row r="145" spans="1:32" s="52" customFormat="1" ht="14.25" customHeight="1">
      <c r="A145" s="285"/>
      <c r="B145" s="455"/>
      <c r="C145" s="414"/>
      <c r="D145" s="414"/>
      <c r="E145" s="414"/>
      <c r="F145" s="414"/>
      <c r="G145" s="414"/>
      <c r="H145" s="414"/>
      <c r="I145" s="278"/>
      <c r="J145" s="278"/>
      <c r="K145" s="416"/>
      <c r="M145" s="305"/>
      <c r="W145" s="305"/>
      <c r="X145" s="305"/>
      <c r="Y145" s="305"/>
      <c r="Z145" s="305"/>
      <c r="AA145" s="305"/>
      <c r="AB145" s="305"/>
      <c r="AC145" s="305"/>
      <c r="AD145" s="305"/>
      <c r="AE145" s="305"/>
      <c r="AF145" s="305"/>
    </row>
    <row r="146" spans="1:32" s="52" customFormat="1" ht="14.25" customHeight="1">
      <c r="A146" s="285"/>
      <c r="B146" s="236" t="s">
        <v>451</v>
      </c>
      <c r="C146" s="279"/>
      <c r="D146" s="279"/>
      <c r="E146" s="414"/>
      <c r="F146" s="414"/>
      <c r="G146" s="414"/>
      <c r="H146" s="414"/>
      <c r="I146" s="278"/>
      <c r="J146" s="278"/>
      <c r="K146" s="416"/>
      <c r="M146" s="305"/>
      <c r="W146" s="305"/>
      <c r="X146" s="305"/>
      <c r="Y146" s="305"/>
      <c r="Z146" s="305"/>
      <c r="AA146" s="305"/>
      <c r="AB146" s="305"/>
      <c r="AC146" s="305"/>
      <c r="AD146" s="305"/>
      <c r="AE146" s="305"/>
      <c r="AF146" s="305"/>
    </row>
    <row r="147" spans="1:32" s="52" customFormat="1" ht="14.25" customHeight="1" thickBot="1">
      <c r="A147" s="285"/>
      <c r="B147" s="274"/>
      <c r="C147" s="278"/>
      <c r="D147" s="278"/>
      <c r="E147" s="414"/>
      <c r="F147" s="414"/>
      <c r="G147" s="414"/>
      <c r="H147" s="414"/>
      <c r="I147" s="278"/>
      <c r="J147" s="278"/>
      <c r="K147" s="416"/>
      <c r="M147" s="305"/>
      <c r="W147" s="305"/>
      <c r="X147" s="305"/>
      <c r="Y147" s="305"/>
      <c r="Z147" s="305"/>
      <c r="AA147" s="305"/>
      <c r="AB147" s="305"/>
      <c r="AC147" s="305"/>
      <c r="AD147" s="305"/>
      <c r="AE147" s="305"/>
      <c r="AF147" s="305"/>
    </row>
    <row r="148" spans="1:32" ht="14.25" customHeight="1">
      <c r="B148" s="1765" t="s">
        <v>98</v>
      </c>
      <c r="C148" s="468"/>
      <c r="D148" s="468"/>
      <c r="E148" s="468"/>
      <c r="F148" s="468"/>
      <c r="H148" s="3668" t="s">
        <v>232</v>
      </c>
      <c r="I148" s="3668"/>
      <c r="J148" s="385"/>
      <c r="M148" s="305"/>
      <c r="W148" s="305"/>
      <c r="X148" s="305"/>
      <c r="Y148" s="305"/>
      <c r="Z148" s="305"/>
      <c r="AA148" s="305"/>
      <c r="AB148" s="305"/>
      <c r="AC148" s="305"/>
      <c r="AD148" s="305"/>
      <c r="AE148" s="305"/>
      <c r="AF148" s="305"/>
    </row>
    <row r="149" spans="1:32" s="52" customFormat="1" ht="14.25" customHeight="1">
      <c r="A149" s="278"/>
      <c r="B149" s="3663"/>
      <c r="C149" s="3575">
        <v>2020</v>
      </c>
      <c r="D149" s="3576"/>
      <c r="E149" s="3576"/>
      <c r="F149" s="3576"/>
      <c r="G149" s="3576"/>
      <c r="H149" s="3576"/>
      <c r="I149" s="3577"/>
      <c r="J149" s="278"/>
      <c r="K149" s="416"/>
      <c r="M149" s="305"/>
      <c r="W149" s="305"/>
      <c r="X149" s="305"/>
      <c r="Y149" s="305"/>
      <c r="Z149" s="305"/>
      <c r="AA149" s="305"/>
      <c r="AB149" s="305"/>
      <c r="AC149" s="305"/>
      <c r="AD149" s="305"/>
      <c r="AE149" s="305"/>
      <c r="AF149" s="305"/>
    </row>
    <row r="150" spans="1:32" s="52" customFormat="1" ht="14.25" customHeight="1">
      <c r="A150" s="394"/>
      <c r="B150" s="3664"/>
      <c r="C150" s="3666" t="s">
        <v>412</v>
      </c>
      <c r="D150" s="3666" t="s">
        <v>413</v>
      </c>
      <c r="E150" s="3671" t="s">
        <v>414</v>
      </c>
      <c r="F150" s="3672"/>
      <c r="G150" s="3666" t="s">
        <v>415</v>
      </c>
      <c r="H150" s="3666" t="s">
        <v>416</v>
      </c>
      <c r="I150" s="3666" t="s">
        <v>118</v>
      </c>
      <c r="J150" s="278"/>
      <c r="K150" s="3669"/>
      <c r="M150" s="305"/>
      <c r="W150" s="305"/>
      <c r="X150" s="305"/>
      <c r="Y150" s="305"/>
      <c r="Z150" s="305"/>
      <c r="AA150" s="305"/>
      <c r="AB150" s="305"/>
      <c r="AC150" s="305"/>
      <c r="AD150" s="305"/>
      <c r="AE150" s="305"/>
      <c r="AF150" s="305"/>
    </row>
    <row r="151" spans="1:32" s="52" customFormat="1" ht="14.25" customHeight="1" thickBot="1">
      <c r="A151" s="394"/>
      <c r="B151" s="3665"/>
      <c r="C151" s="3670"/>
      <c r="D151" s="3670"/>
      <c r="E151" s="1793" t="s">
        <v>418</v>
      </c>
      <c r="F151" s="1793" t="s">
        <v>419</v>
      </c>
      <c r="G151" s="3670"/>
      <c r="H151" s="3670"/>
      <c r="I151" s="3670"/>
      <c r="J151" s="278"/>
      <c r="K151" s="3669"/>
      <c r="M151" s="305"/>
      <c r="W151" s="305"/>
      <c r="X151" s="305"/>
      <c r="Y151" s="305"/>
      <c r="Z151" s="305"/>
      <c r="AA151" s="305"/>
      <c r="AB151" s="305"/>
      <c r="AC151" s="305"/>
      <c r="AD151" s="305"/>
      <c r="AE151" s="305"/>
      <c r="AF151" s="305"/>
    </row>
    <row r="152" spans="1:32" s="52" customFormat="1" ht="14.25" customHeight="1">
      <c r="A152" s="285"/>
      <c r="B152" s="1761" t="s">
        <v>333</v>
      </c>
      <c r="C152" s="855">
        <v>2783606</v>
      </c>
      <c r="D152" s="2699">
        <v>580160</v>
      </c>
      <c r="E152" s="855">
        <v>750425</v>
      </c>
      <c r="F152" s="2699">
        <v>10250124</v>
      </c>
      <c r="G152" s="855">
        <v>2019630</v>
      </c>
      <c r="H152" s="2699">
        <v>3710247</v>
      </c>
      <c r="I152" s="1788">
        <f t="shared" ref="I152:I164" si="29">H152+G152+F152+E152+D152+C152</f>
        <v>20094192</v>
      </c>
      <c r="J152" s="278"/>
      <c r="K152" s="429"/>
      <c r="L152" s="305"/>
      <c r="M152" s="305"/>
      <c r="N152" s="305"/>
      <c r="O152" s="305"/>
      <c r="P152" s="305"/>
      <c r="Q152" s="305"/>
      <c r="R152" s="305"/>
      <c r="W152" s="305"/>
      <c r="X152" s="305"/>
      <c r="Y152" s="305"/>
      <c r="Z152" s="305"/>
      <c r="AA152" s="305"/>
      <c r="AB152" s="305"/>
      <c r="AC152" s="305"/>
      <c r="AD152" s="305"/>
      <c r="AE152" s="305"/>
      <c r="AF152" s="305"/>
    </row>
    <row r="153" spans="1:32" s="52" customFormat="1" ht="14.25" customHeight="1">
      <c r="A153" s="285"/>
      <c r="B153" s="2616" t="s">
        <v>420</v>
      </c>
      <c r="C153" s="856">
        <v>-17300</v>
      </c>
      <c r="D153" s="864">
        <v>-3740</v>
      </c>
      <c r="E153" s="856"/>
      <c r="F153" s="864">
        <v>-5668</v>
      </c>
      <c r="G153" s="856"/>
      <c r="H153" s="864">
        <v>-32313</v>
      </c>
      <c r="I153" s="2688">
        <f t="shared" si="29"/>
        <v>-59021</v>
      </c>
      <c r="J153" s="278"/>
      <c r="K153" s="429"/>
      <c r="L153" s="305"/>
      <c r="M153" s="305"/>
      <c r="N153" s="305"/>
      <c r="O153" s="305"/>
      <c r="P153" s="305"/>
      <c r="Q153" s="305"/>
      <c r="R153" s="305"/>
      <c r="W153" s="305"/>
      <c r="X153" s="305"/>
      <c r="Y153" s="305"/>
      <c r="Z153" s="305"/>
      <c r="AA153" s="305"/>
      <c r="AB153" s="305"/>
      <c r="AC153" s="305"/>
      <c r="AD153" s="305"/>
      <c r="AE153" s="305"/>
      <c r="AF153" s="305"/>
    </row>
    <row r="154" spans="1:32" s="52" customFormat="1" ht="14.25" customHeight="1">
      <c r="A154" s="285"/>
      <c r="B154" s="2616" t="s">
        <v>421</v>
      </c>
      <c r="C154" s="856">
        <v>-978705</v>
      </c>
      <c r="D154" s="864">
        <v>-3881</v>
      </c>
      <c r="E154" s="856"/>
      <c r="F154" s="864">
        <v>-140203</v>
      </c>
      <c r="G154" s="856"/>
      <c r="H154" s="864">
        <v>-231837</v>
      </c>
      <c r="I154" s="2688">
        <f t="shared" si="29"/>
        <v>-1354626</v>
      </c>
      <c r="J154" s="278"/>
      <c r="K154" s="429"/>
      <c r="L154" s="305"/>
      <c r="M154" s="305"/>
      <c r="N154" s="305"/>
      <c r="O154" s="305"/>
      <c r="P154" s="305"/>
      <c r="Q154" s="305"/>
      <c r="R154" s="305"/>
      <c r="W154" s="305"/>
      <c r="X154" s="305"/>
      <c r="Y154" s="305"/>
      <c r="Z154" s="305"/>
      <c r="AA154" s="305"/>
      <c r="AB154" s="305"/>
      <c r="AC154" s="305"/>
      <c r="AD154" s="305"/>
      <c r="AE154" s="305"/>
      <c r="AF154" s="305"/>
    </row>
    <row r="155" spans="1:32" s="426" customFormat="1" ht="14.25" customHeight="1">
      <c r="A155" s="285"/>
      <c r="B155" s="2616" t="s">
        <v>422</v>
      </c>
      <c r="C155" s="856">
        <v>-1505020</v>
      </c>
      <c r="D155" s="864">
        <v>-284499</v>
      </c>
      <c r="E155" s="856">
        <v>-129481</v>
      </c>
      <c r="F155" s="864">
        <v>-965926</v>
      </c>
      <c r="G155" s="856">
        <v>-193430</v>
      </c>
      <c r="H155" s="864">
        <v>-2204294</v>
      </c>
      <c r="I155" s="2688">
        <f t="shared" si="29"/>
        <v>-5282650</v>
      </c>
      <c r="J155" s="278"/>
      <c r="K155" s="416"/>
      <c r="L155" s="305"/>
      <c r="M155" s="305"/>
      <c r="N155" s="305"/>
      <c r="O155" s="305"/>
      <c r="P155" s="305"/>
      <c r="Q155" s="305"/>
      <c r="R155" s="305"/>
      <c r="W155" s="305"/>
      <c r="X155" s="305"/>
      <c r="Y155" s="305"/>
      <c r="Z155" s="305"/>
      <c r="AA155" s="305"/>
      <c r="AB155" s="305"/>
      <c r="AC155" s="305"/>
      <c r="AD155" s="305"/>
      <c r="AE155" s="305"/>
      <c r="AF155" s="305"/>
    </row>
    <row r="156" spans="1:32" s="52" customFormat="1" ht="14.25" customHeight="1">
      <c r="A156" s="285"/>
      <c r="B156" s="2618" t="s">
        <v>423</v>
      </c>
      <c r="C156" s="2619">
        <f t="shared" ref="C156:H156" si="30">C152+C153+C154+C155</f>
        <v>282581</v>
      </c>
      <c r="D156" s="2700">
        <f t="shared" si="30"/>
        <v>288040</v>
      </c>
      <c r="E156" s="2619">
        <f t="shared" si="30"/>
        <v>620944</v>
      </c>
      <c r="F156" s="2700">
        <f t="shared" si="30"/>
        <v>9138327</v>
      </c>
      <c r="G156" s="2619">
        <f t="shared" si="30"/>
        <v>1826200</v>
      </c>
      <c r="H156" s="2700">
        <f t="shared" si="30"/>
        <v>1241803</v>
      </c>
      <c r="I156" s="2701">
        <f t="shared" si="29"/>
        <v>13397895</v>
      </c>
      <c r="J156" s="278"/>
      <c r="K156" s="416"/>
      <c r="L156" s="305"/>
      <c r="M156" s="305"/>
      <c r="N156" s="305"/>
      <c r="O156" s="305"/>
      <c r="P156" s="305"/>
      <c r="Q156" s="305"/>
      <c r="R156" s="305"/>
      <c r="W156" s="305"/>
      <c r="X156" s="305"/>
      <c r="Y156" s="305"/>
      <c r="Z156" s="305"/>
      <c r="AA156" s="305"/>
      <c r="AB156" s="305"/>
      <c r="AC156" s="305"/>
      <c r="AD156" s="305"/>
      <c r="AE156" s="305"/>
      <c r="AF156" s="305"/>
    </row>
    <row r="157" spans="1:32" s="52" customFormat="1" ht="14.25" customHeight="1">
      <c r="A157" s="285"/>
      <c r="B157" s="2616" t="s">
        <v>424</v>
      </c>
      <c r="C157" s="2645">
        <v>-11316</v>
      </c>
      <c r="D157" s="2699">
        <v>2803</v>
      </c>
      <c r="E157" s="2645">
        <v>-383</v>
      </c>
      <c r="F157" s="2699">
        <v>173191</v>
      </c>
      <c r="G157" s="2645">
        <v>-70911</v>
      </c>
      <c r="H157" s="2699">
        <v>64215</v>
      </c>
      <c r="I157" s="2688">
        <f t="shared" si="29"/>
        <v>157599</v>
      </c>
      <c r="J157" s="278"/>
      <c r="K157" s="416"/>
      <c r="L157" s="305"/>
      <c r="M157" s="305"/>
      <c r="N157" s="305"/>
      <c r="O157" s="305"/>
      <c r="P157" s="305"/>
      <c r="Q157" s="305"/>
      <c r="R157" s="305"/>
      <c r="W157" s="305"/>
      <c r="X157" s="305"/>
      <c r="Y157" s="305"/>
      <c r="Z157" s="305"/>
      <c r="AA157" s="305"/>
      <c r="AB157" s="305"/>
      <c r="AC157" s="305"/>
      <c r="AD157" s="305"/>
      <c r="AE157" s="305"/>
      <c r="AF157" s="305"/>
    </row>
    <row r="158" spans="1:32" s="52" customFormat="1" ht="14.25" customHeight="1">
      <c r="A158" s="285"/>
      <c r="B158" s="2618" t="s">
        <v>425</v>
      </c>
      <c r="C158" s="2619">
        <f t="shared" ref="C158:H158" si="31">C156+C157</f>
        <v>271265</v>
      </c>
      <c r="D158" s="2700">
        <f t="shared" si="31"/>
        <v>290843</v>
      </c>
      <c r="E158" s="2619">
        <f t="shared" si="31"/>
        <v>620561</v>
      </c>
      <c r="F158" s="2700">
        <f t="shared" si="31"/>
        <v>9311518</v>
      </c>
      <c r="G158" s="2619">
        <f t="shared" si="31"/>
        <v>1755289</v>
      </c>
      <c r="H158" s="2700">
        <f t="shared" si="31"/>
        <v>1306018</v>
      </c>
      <c r="I158" s="2701">
        <f t="shared" si="29"/>
        <v>13555494</v>
      </c>
      <c r="J158" s="278"/>
      <c r="K158" s="416"/>
      <c r="L158" s="305"/>
      <c r="M158" s="305"/>
      <c r="N158" s="305"/>
      <c r="O158" s="305"/>
      <c r="P158" s="305"/>
      <c r="Q158" s="305"/>
      <c r="R158" s="305"/>
      <c r="W158" s="305"/>
      <c r="X158" s="305"/>
      <c r="Y158" s="305"/>
      <c r="Z158" s="305"/>
      <c r="AA158" s="305"/>
      <c r="AB158" s="305"/>
      <c r="AC158" s="305"/>
      <c r="AD158" s="305"/>
      <c r="AE158" s="305"/>
      <c r="AF158" s="305"/>
    </row>
    <row r="159" spans="1:32" s="52" customFormat="1" ht="14.25" customHeight="1">
      <c r="A159" s="285"/>
      <c r="B159" s="2616"/>
      <c r="C159" s="2191"/>
      <c r="D159" s="2548"/>
      <c r="E159" s="2191"/>
      <c r="F159" s="2548"/>
      <c r="G159" s="2191"/>
      <c r="H159" s="2190"/>
      <c r="I159" s="2688">
        <f t="shared" si="29"/>
        <v>0</v>
      </c>
      <c r="J159" s="278"/>
      <c r="K159" s="416"/>
      <c r="M159" s="305"/>
      <c r="W159" s="305"/>
      <c r="X159" s="305"/>
      <c r="Y159" s="305"/>
      <c r="Z159" s="305"/>
      <c r="AA159" s="305"/>
      <c r="AB159" s="305"/>
      <c r="AC159" s="305"/>
      <c r="AD159" s="305"/>
      <c r="AE159" s="305"/>
      <c r="AF159" s="305"/>
    </row>
    <row r="160" spans="1:32" s="52" customFormat="1" ht="14.25" customHeight="1">
      <c r="A160" s="285"/>
      <c r="B160" s="2618" t="s">
        <v>426</v>
      </c>
      <c r="C160" s="2191">
        <f>SUM(C161:C163)</f>
        <v>-579094</v>
      </c>
      <c r="D160" s="2548">
        <f t="shared" ref="D160:H160" si="32">SUM(D161:D163)</f>
        <v>-155935</v>
      </c>
      <c r="E160" s="2191">
        <f t="shared" si="32"/>
        <v>-33073</v>
      </c>
      <c r="F160" s="2548">
        <f t="shared" si="32"/>
        <v>-5793785</v>
      </c>
      <c r="G160" s="2191">
        <f t="shared" si="32"/>
        <v>-1231784</v>
      </c>
      <c r="H160" s="2548">
        <f t="shared" si="32"/>
        <v>-705349</v>
      </c>
      <c r="I160" s="2688">
        <f t="shared" si="29"/>
        <v>-8499020</v>
      </c>
      <c r="J160" s="278"/>
      <c r="K160" s="416"/>
      <c r="L160" s="305"/>
      <c r="M160" s="305"/>
      <c r="W160" s="305"/>
      <c r="X160" s="305"/>
      <c r="Y160" s="305"/>
      <c r="Z160" s="305"/>
      <c r="AA160" s="305"/>
      <c r="AB160" s="305"/>
      <c r="AC160" s="305"/>
      <c r="AD160" s="305"/>
      <c r="AE160" s="305"/>
      <c r="AF160" s="305"/>
    </row>
    <row r="161" spans="1:32" s="52" customFormat="1" ht="29.45" customHeight="1">
      <c r="A161" s="285"/>
      <c r="B161" s="2616" t="s">
        <v>427</v>
      </c>
      <c r="C161" s="2645">
        <v>-334092</v>
      </c>
      <c r="D161" s="2699">
        <v>-65837</v>
      </c>
      <c r="E161" s="2645">
        <v>-22212</v>
      </c>
      <c r="F161" s="2699">
        <v>-4676143</v>
      </c>
      <c r="G161" s="2645">
        <v>-1090576</v>
      </c>
      <c r="H161" s="2699">
        <v>-446339</v>
      </c>
      <c r="I161" s="2688">
        <f t="shared" si="29"/>
        <v>-6635199</v>
      </c>
      <c r="J161" s="278"/>
      <c r="K161" s="416"/>
      <c r="L161" s="305"/>
      <c r="M161" s="305"/>
      <c r="N161" s="305"/>
      <c r="O161" s="305"/>
      <c r="P161" s="305"/>
      <c r="Q161" s="305"/>
      <c r="R161" s="305"/>
      <c r="W161" s="305"/>
      <c r="X161" s="305"/>
      <c r="Y161" s="305"/>
      <c r="Z161" s="305"/>
      <c r="AA161" s="305"/>
      <c r="AB161" s="305"/>
      <c r="AC161" s="305"/>
      <c r="AD161" s="305"/>
      <c r="AE161" s="305"/>
      <c r="AF161" s="305"/>
    </row>
    <row r="162" spans="1:32" s="52" customFormat="1" ht="14.25" customHeight="1">
      <c r="A162" s="285"/>
      <c r="B162" s="2616" t="s">
        <v>428</v>
      </c>
      <c r="C162" s="856">
        <v>-245002</v>
      </c>
      <c r="D162" s="864">
        <v>-90098</v>
      </c>
      <c r="E162" s="856">
        <v>-10861</v>
      </c>
      <c r="F162" s="864">
        <v>-1117642</v>
      </c>
      <c r="G162" s="856">
        <v>-141208</v>
      </c>
      <c r="H162" s="864">
        <v>-259010</v>
      </c>
      <c r="I162" s="2688">
        <f t="shared" si="29"/>
        <v>-1863821</v>
      </c>
      <c r="J162" s="278"/>
      <c r="K162" s="416"/>
      <c r="L162" s="305"/>
      <c r="M162" s="305"/>
      <c r="N162" s="305"/>
      <c r="O162" s="305"/>
      <c r="P162" s="305"/>
      <c r="Q162" s="305"/>
      <c r="R162" s="305"/>
      <c r="W162" s="305"/>
      <c r="X162" s="305"/>
      <c r="Y162" s="305"/>
      <c r="Z162" s="305"/>
      <c r="AA162" s="305"/>
      <c r="AB162" s="305"/>
      <c r="AC162" s="305"/>
      <c r="AD162" s="305"/>
      <c r="AE162" s="305"/>
      <c r="AF162" s="305"/>
    </row>
    <row r="163" spans="1:32" s="52" customFormat="1" ht="14.25" customHeight="1">
      <c r="A163" s="285"/>
      <c r="B163" s="2616" t="s">
        <v>429</v>
      </c>
      <c r="C163" s="856"/>
      <c r="D163" s="864"/>
      <c r="E163" s="856"/>
      <c r="F163" s="864"/>
      <c r="G163" s="856"/>
      <c r="H163" s="864"/>
      <c r="I163" s="2688">
        <f t="shared" si="29"/>
        <v>0</v>
      </c>
      <c r="J163" s="278"/>
      <c r="K163" s="416"/>
      <c r="L163" s="305"/>
      <c r="M163" s="305"/>
      <c r="N163" s="305"/>
      <c r="O163" s="305"/>
      <c r="P163" s="305"/>
      <c r="Q163" s="305"/>
      <c r="R163" s="305"/>
      <c r="W163" s="305"/>
      <c r="X163" s="305"/>
      <c r="Y163" s="305"/>
      <c r="Z163" s="305"/>
      <c r="AA163" s="305"/>
      <c r="AB163" s="305"/>
      <c r="AC163" s="305"/>
      <c r="AD163" s="305"/>
      <c r="AE163" s="305"/>
      <c r="AF163" s="305"/>
    </row>
    <row r="164" spans="1:32" s="52" customFormat="1" ht="14.25" customHeight="1">
      <c r="A164" s="285"/>
      <c r="B164" s="2618" t="s">
        <v>430</v>
      </c>
      <c r="C164" s="2619">
        <f t="shared" ref="C164:H164" si="33">C158+C161+C162+C163</f>
        <v>-307829</v>
      </c>
      <c r="D164" s="2700">
        <f t="shared" si="33"/>
        <v>134908</v>
      </c>
      <c r="E164" s="2619">
        <f t="shared" si="33"/>
        <v>587488</v>
      </c>
      <c r="F164" s="2700">
        <f>F158+F161+F162+F163</f>
        <v>3517733</v>
      </c>
      <c r="G164" s="2619">
        <f t="shared" si="33"/>
        <v>523505</v>
      </c>
      <c r="H164" s="2700">
        <f t="shared" si="33"/>
        <v>600669</v>
      </c>
      <c r="I164" s="2701">
        <f t="shared" si="29"/>
        <v>5056474</v>
      </c>
      <c r="J164" s="279"/>
      <c r="K164" s="432"/>
      <c r="L164" s="305"/>
      <c r="M164" s="305"/>
      <c r="N164" s="305"/>
      <c r="O164" s="305"/>
      <c r="P164" s="305"/>
      <c r="Q164" s="305"/>
      <c r="R164" s="305"/>
      <c r="W164" s="305"/>
      <c r="X164" s="305"/>
      <c r="Y164" s="305"/>
      <c r="Z164" s="305"/>
      <c r="AA164" s="305"/>
      <c r="AB164" s="305"/>
      <c r="AC164" s="305"/>
      <c r="AD164" s="305"/>
      <c r="AE164" s="305"/>
      <c r="AF164" s="305"/>
    </row>
    <row r="165" spans="1:32" s="52" customFormat="1" ht="14.25" customHeight="1">
      <c r="A165" s="285"/>
      <c r="B165" s="2616"/>
      <c r="C165" s="2690"/>
      <c r="D165" s="2703"/>
      <c r="E165" s="2690"/>
      <c r="F165" s="2703"/>
      <c r="G165" s="2690"/>
      <c r="H165" s="2692"/>
      <c r="I165" s="2688"/>
      <c r="J165" s="278"/>
      <c r="K165" s="416"/>
      <c r="L165" s="305"/>
      <c r="M165" s="305"/>
      <c r="N165" s="305"/>
      <c r="O165" s="305"/>
      <c r="P165" s="305"/>
      <c r="Q165" s="305"/>
      <c r="R165" s="305"/>
      <c r="W165" s="305"/>
      <c r="X165" s="305"/>
      <c r="Y165" s="305"/>
      <c r="Z165" s="305"/>
      <c r="AA165" s="305"/>
      <c r="AB165" s="305"/>
      <c r="AC165" s="305"/>
      <c r="AD165" s="305"/>
      <c r="AE165" s="305"/>
      <c r="AF165" s="305"/>
    </row>
    <row r="166" spans="1:32" s="52" customFormat="1" ht="14.25" customHeight="1">
      <c r="A166" s="285"/>
      <c r="B166" s="2618" t="s">
        <v>431</v>
      </c>
      <c r="C166" s="2690"/>
      <c r="D166" s="2703"/>
      <c r="E166" s="2690"/>
      <c r="F166" s="2703"/>
      <c r="G166" s="2690"/>
      <c r="H166" s="2692"/>
      <c r="I166" s="2701">
        <f>SUM(I167:I169)</f>
        <v>2009735</v>
      </c>
      <c r="J166" s="278"/>
      <c r="K166" s="416"/>
      <c r="M166" s="305"/>
      <c r="W166" s="305"/>
      <c r="X166" s="305"/>
      <c r="Y166" s="305"/>
      <c r="Z166" s="305"/>
      <c r="AA166" s="305"/>
      <c r="AB166" s="305"/>
      <c r="AC166" s="305"/>
      <c r="AD166" s="305"/>
      <c r="AE166" s="305"/>
      <c r="AF166" s="305"/>
    </row>
    <row r="167" spans="1:32" s="52" customFormat="1" ht="14.25" customHeight="1">
      <c r="A167" s="285"/>
      <c r="B167" s="2616" t="s">
        <v>432</v>
      </c>
      <c r="C167" s="2690"/>
      <c r="D167" s="2703"/>
      <c r="E167" s="2690"/>
      <c r="F167" s="2703"/>
      <c r="G167" s="2690"/>
      <c r="H167" s="2692"/>
      <c r="I167" s="2670">
        <v>642621</v>
      </c>
      <c r="J167" s="278"/>
      <c r="K167" s="416"/>
      <c r="M167" s="305"/>
      <c r="W167" s="305"/>
      <c r="X167" s="305"/>
      <c r="Y167" s="305"/>
      <c r="Z167" s="305"/>
      <c r="AA167" s="305"/>
      <c r="AB167" s="305"/>
      <c r="AC167" s="305"/>
      <c r="AD167" s="305"/>
      <c r="AE167" s="305"/>
      <c r="AF167" s="305"/>
    </row>
    <row r="168" spans="1:32" s="52" customFormat="1" ht="14.25" customHeight="1">
      <c r="A168" s="285"/>
      <c r="B168" s="2616" t="s">
        <v>446</v>
      </c>
      <c r="C168" s="2690"/>
      <c r="D168" s="2703"/>
      <c r="E168" s="2690"/>
      <c r="F168" s="2703"/>
      <c r="G168" s="2690"/>
      <c r="H168" s="2692"/>
      <c r="I168" s="1781">
        <v>1367114</v>
      </c>
      <c r="J168" s="278"/>
      <c r="K168" s="416"/>
      <c r="M168" s="305"/>
      <c r="W168" s="305"/>
      <c r="X168" s="305"/>
      <c r="Y168" s="305"/>
      <c r="Z168" s="305"/>
      <c r="AA168" s="305"/>
      <c r="AB168" s="305"/>
      <c r="AC168" s="305"/>
      <c r="AD168" s="305"/>
      <c r="AE168" s="305"/>
      <c r="AF168" s="305"/>
    </row>
    <row r="169" spans="1:32" s="52" customFormat="1" ht="14.25" customHeight="1">
      <c r="A169" s="285"/>
      <c r="B169" s="2616" t="s">
        <v>434</v>
      </c>
      <c r="C169" s="2690"/>
      <c r="D169" s="2703"/>
      <c r="E169" s="2690"/>
      <c r="F169" s="2703"/>
      <c r="G169" s="2690"/>
      <c r="H169" s="2692"/>
      <c r="I169" s="2688"/>
      <c r="J169" s="278"/>
      <c r="K169" s="416"/>
      <c r="M169" s="305"/>
      <c r="W169" s="305"/>
      <c r="X169" s="305"/>
      <c r="Y169" s="305"/>
      <c r="Z169" s="305"/>
      <c r="AA169" s="305"/>
      <c r="AB169" s="305"/>
      <c r="AC169" s="305"/>
      <c r="AD169" s="305"/>
      <c r="AE169" s="305"/>
      <c r="AF169" s="305"/>
    </row>
    <row r="170" spans="1:32" s="52" customFormat="1" ht="14.25" customHeight="1">
      <c r="A170" s="285"/>
      <c r="B170" s="2616"/>
      <c r="C170" s="2690"/>
      <c r="D170" s="2703"/>
      <c r="E170" s="2690"/>
      <c r="F170" s="2703"/>
      <c r="G170" s="2690"/>
      <c r="H170" s="2692"/>
      <c r="I170" s="2688"/>
      <c r="J170" s="278"/>
      <c r="K170" s="416"/>
      <c r="M170" s="305"/>
      <c r="W170" s="305"/>
      <c r="X170" s="305"/>
      <c r="Y170" s="305"/>
      <c r="Z170" s="305"/>
      <c r="AA170" s="305"/>
      <c r="AB170" s="305"/>
      <c r="AC170" s="305"/>
      <c r="AD170" s="305"/>
      <c r="AE170" s="305"/>
      <c r="AF170" s="305"/>
    </row>
    <row r="171" spans="1:32" s="52" customFormat="1" ht="14.25" customHeight="1">
      <c r="A171" s="285"/>
      <c r="B171" s="2618" t="s">
        <v>435</v>
      </c>
      <c r="C171" s="2690"/>
      <c r="D171" s="2703"/>
      <c r="E171" s="2690"/>
      <c r="F171" s="2703"/>
      <c r="G171" s="2690"/>
      <c r="H171" s="2692"/>
      <c r="I171" s="2688">
        <f>I172+I173</f>
        <v>-5150081</v>
      </c>
      <c r="J171" s="278"/>
      <c r="K171" s="416"/>
      <c r="M171" s="305"/>
      <c r="W171" s="305"/>
      <c r="X171" s="305"/>
      <c r="Y171" s="305"/>
      <c r="Z171" s="305"/>
      <c r="AA171" s="305"/>
      <c r="AB171" s="305"/>
      <c r="AC171" s="305"/>
      <c r="AD171" s="305"/>
      <c r="AE171" s="305"/>
      <c r="AF171" s="305"/>
    </row>
    <row r="172" spans="1:32" s="52" customFormat="1" ht="23.25" customHeight="1">
      <c r="A172" s="285"/>
      <c r="B172" s="2616" t="s">
        <v>436</v>
      </c>
      <c r="C172" s="2690"/>
      <c r="D172" s="2703"/>
      <c r="E172" s="2690"/>
      <c r="F172" s="2703"/>
      <c r="G172" s="2690"/>
      <c r="H172" s="2692"/>
      <c r="I172" s="2670">
        <v>-5150081</v>
      </c>
      <c r="J172" s="278"/>
      <c r="K172" s="416"/>
      <c r="M172" s="305"/>
      <c r="W172" s="305"/>
      <c r="X172" s="305"/>
      <c r="Y172" s="305"/>
      <c r="Z172" s="305"/>
      <c r="AA172" s="305"/>
      <c r="AB172" s="305"/>
      <c r="AC172" s="305"/>
      <c r="AD172" s="305"/>
      <c r="AE172" s="305"/>
      <c r="AF172" s="305"/>
    </row>
    <row r="173" spans="1:32" s="52" customFormat="1" ht="28.9" customHeight="1">
      <c r="A173" s="285"/>
      <c r="B173" s="2616" t="s">
        <v>437</v>
      </c>
      <c r="C173" s="2690"/>
      <c r="D173" s="2703"/>
      <c r="E173" s="2690"/>
      <c r="F173" s="2703"/>
      <c r="G173" s="2690"/>
      <c r="H173" s="2692"/>
      <c r="I173" s="2688"/>
      <c r="J173" s="278"/>
      <c r="K173" s="416"/>
      <c r="M173" s="305"/>
      <c r="W173" s="305"/>
      <c r="X173" s="305"/>
      <c r="Y173" s="305"/>
      <c r="Z173" s="305"/>
      <c r="AA173" s="305"/>
      <c r="AB173" s="305"/>
      <c r="AC173" s="305"/>
      <c r="AD173" s="305"/>
      <c r="AE173" s="305"/>
      <c r="AF173" s="305"/>
    </row>
    <row r="174" spans="1:32" s="52" customFormat="1" ht="14.25" customHeight="1">
      <c r="A174" s="285"/>
      <c r="B174" s="2618" t="s">
        <v>438</v>
      </c>
      <c r="C174" s="2690"/>
      <c r="D174" s="2703"/>
      <c r="E174" s="2690"/>
      <c r="F174" s="2703"/>
      <c r="G174" s="2690"/>
      <c r="H174" s="2692"/>
      <c r="I174" s="2701">
        <f>+I164+I166+I172</f>
        <v>1916128</v>
      </c>
      <c r="J174" s="278"/>
      <c r="K174" s="416"/>
      <c r="M174" s="305"/>
      <c r="W174" s="305"/>
      <c r="X174" s="305"/>
      <c r="Y174" s="305"/>
      <c r="Z174" s="305"/>
      <c r="AA174" s="305"/>
      <c r="AB174" s="305"/>
      <c r="AC174" s="305"/>
      <c r="AD174" s="305"/>
      <c r="AE174" s="305"/>
      <c r="AF174" s="305"/>
    </row>
    <row r="175" spans="1:32" s="52" customFormat="1" ht="14.25" customHeight="1">
      <c r="A175" s="285"/>
      <c r="B175" s="2616" t="s">
        <v>439</v>
      </c>
      <c r="C175" s="2690"/>
      <c r="D175" s="2703"/>
      <c r="E175" s="2690"/>
      <c r="F175" s="2703"/>
      <c r="G175" s="2690"/>
      <c r="H175" s="2692"/>
      <c r="I175" s="2670">
        <v>-53649</v>
      </c>
      <c r="J175" s="278"/>
      <c r="K175" s="416"/>
      <c r="M175" s="305"/>
      <c r="W175" s="305"/>
      <c r="X175" s="305"/>
      <c r="Y175" s="305"/>
      <c r="Z175" s="305"/>
      <c r="AA175" s="305"/>
      <c r="AB175" s="305"/>
      <c r="AC175" s="305"/>
      <c r="AD175" s="305"/>
      <c r="AE175" s="305"/>
      <c r="AF175" s="305"/>
    </row>
    <row r="176" spans="1:32" s="52" customFormat="1" ht="14.25" customHeight="1">
      <c r="A176" s="285"/>
      <c r="B176" s="2618" t="s">
        <v>440</v>
      </c>
      <c r="C176" s="2690"/>
      <c r="D176" s="2703"/>
      <c r="E176" s="2690"/>
      <c r="F176" s="2703"/>
      <c r="G176" s="2690"/>
      <c r="H176" s="2692"/>
      <c r="I176" s="2701">
        <f>I174+I175</f>
        <v>1862479</v>
      </c>
      <c r="J176" s="278"/>
      <c r="K176" s="416"/>
      <c r="M176" s="305"/>
      <c r="W176" s="305"/>
      <c r="X176" s="305"/>
      <c r="Y176" s="305"/>
      <c r="Z176" s="305"/>
      <c r="AA176" s="305"/>
      <c r="AB176" s="305"/>
      <c r="AC176" s="305"/>
      <c r="AD176" s="305"/>
      <c r="AE176" s="305"/>
      <c r="AF176" s="305"/>
    </row>
    <row r="177" spans="1:32" s="52" customFormat="1" ht="14.25" customHeight="1">
      <c r="A177" s="285"/>
      <c r="B177" s="2616" t="s">
        <v>441</v>
      </c>
      <c r="C177" s="2690"/>
      <c r="D177" s="2703"/>
      <c r="E177" s="2690"/>
      <c r="F177" s="2703"/>
      <c r="G177" s="2690"/>
      <c r="H177" s="2692"/>
      <c r="I177" s="2670">
        <v>-390679</v>
      </c>
      <c r="J177" s="278"/>
      <c r="K177" s="416"/>
      <c r="M177" s="305"/>
      <c r="W177" s="305"/>
      <c r="X177" s="305"/>
      <c r="Y177" s="305"/>
      <c r="Z177" s="305"/>
      <c r="AA177" s="305"/>
      <c r="AB177" s="305"/>
      <c r="AC177" s="305"/>
      <c r="AD177" s="305"/>
      <c r="AE177" s="305"/>
      <c r="AF177" s="305"/>
    </row>
    <row r="178" spans="1:32" s="52" customFormat="1" ht="14.25" customHeight="1" thickBot="1">
      <c r="A178" s="285"/>
      <c r="B178" s="1787" t="s">
        <v>442</v>
      </c>
      <c r="C178" s="876"/>
      <c r="D178" s="875"/>
      <c r="E178" s="876"/>
      <c r="F178" s="875"/>
      <c r="G178" s="876"/>
      <c r="H178" s="1315"/>
      <c r="I178" s="1791">
        <f>SUM(I176:I177)</f>
        <v>1471800</v>
      </c>
      <c r="J178" s="278"/>
      <c r="K178" s="416"/>
      <c r="M178" s="305"/>
      <c r="W178" s="305"/>
      <c r="X178" s="305"/>
      <c r="Y178" s="305"/>
      <c r="Z178" s="305"/>
      <c r="AA178" s="305"/>
      <c r="AB178" s="305"/>
      <c r="AC178" s="305"/>
      <c r="AD178" s="305"/>
      <c r="AE178" s="305"/>
      <c r="AF178" s="305"/>
    </row>
    <row r="179" spans="1:32" s="52" customFormat="1" ht="14.25" customHeight="1">
      <c r="A179" s="285"/>
      <c r="B179" s="455"/>
      <c r="C179" s="414"/>
      <c r="D179" s="414"/>
      <c r="E179" s="414"/>
      <c r="F179" s="414"/>
      <c r="G179" s="414"/>
      <c r="H179" s="414"/>
      <c r="I179" s="278"/>
      <c r="J179" s="278"/>
      <c r="K179" s="416"/>
      <c r="M179" s="305"/>
      <c r="W179" s="305"/>
      <c r="X179" s="305"/>
      <c r="Y179" s="305"/>
      <c r="Z179" s="305"/>
      <c r="AA179" s="305"/>
      <c r="AB179" s="305"/>
      <c r="AC179" s="305"/>
      <c r="AD179" s="305"/>
      <c r="AE179" s="305"/>
      <c r="AF179" s="305"/>
    </row>
    <row r="180" spans="1:32" s="52" customFormat="1" ht="14.25" customHeight="1">
      <c r="A180" s="285"/>
      <c r="B180" s="455"/>
      <c r="C180" s="414"/>
      <c r="D180" s="414"/>
      <c r="E180" s="414"/>
      <c r="F180" s="414"/>
      <c r="G180" s="414"/>
      <c r="H180" s="414"/>
      <c r="I180" s="278"/>
      <c r="J180" s="278"/>
      <c r="K180" s="394">
        <v>130</v>
      </c>
      <c r="M180" s="305"/>
      <c r="W180" s="305"/>
      <c r="X180" s="305"/>
      <c r="Y180" s="305"/>
      <c r="Z180" s="305"/>
      <c r="AA180" s="305"/>
      <c r="AB180" s="305"/>
      <c r="AC180" s="305"/>
      <c r="AD180" s="305"/>
      <c r="AE180" s="305"/>
      <c r="AF180" s="305"/>
    </row>
    <row r="181" spans="1:32" s="52" customFormat="1" ht="14.25" customHeight="1">
      <c r="A181" s="285"/>
      <c r="B181" s="455"/>
      <c r="C181" s="414"/>
      <c r="D181" s="414"/>
      <c r="E181" s="414"/>
      <c r="F181" s="414"/>
      <c r="G181" s="414"/>
      <c r="H181" s="414"/>
      <c r="I181" s="278"/>
      <c r="J181" s="278"/>
      <c r="K181" s="416"/>
      <c r="M181" s="305"/>
      <c r="W181" s="305"/>
      <c r="X181" s="305"/>
      <c r="Y181" s="305"/>
      <c r="Z181" s="305"/>
      <c r="AA181" s="305"/>
      <c r="AB181" s="305"/>
      <c r="AC181" s="305"/>
      <c r="AD181" s="305"/>
      <c r="AE181" s="305"/>
      <c r="AF181" s="305"/>
    </row>
    <row r="182" spans="1:32" s="52" customFormat="1" ht="14.25" customHeight="1">
      <c r="A182" s="285"/>
      <c r="B182" s="236" t="s">
        <v>451</v>
      </c>
      <c r="C182" s="279"/>
      <c r="D182" s="279"/>
      <c r="E182" s="414"/>
      <c r="F182" s="414"/>
      <c r="G182" s="414"/>
      <c r="H182" s="414"/>
      <c r="I182" s="278"/>
      <c r="J182" s="278"/>
      <c r="K182" s="416"/>
      <c r="M182" s="305"/>
      <c r="W182" s="305"/>
      <c r="X182" s="305"/>
      <c r="Y182" s="305"/>
      <c r="Z182" s="305"/>
      <c r="AA182" s="305"/>
      <c r="AB182" s="305"/>
      <c r="AC182" s="305"/>
      <c r="AD182" s="305"/>
      <c r="AE182" s="305"/>
      <c r="AF182" s="305"/>
    </row>
    <row r="183" spans="1:32" s="52" customFormat="1" ht="14.25" customHeight="1" thickBot="1">
      <c r="A183" s="285"/>
      <c r="B183" s="51"/>
      <c r="C183" s="529"/>
      <c r="D183" s="529"/>
      <c r="E183" s="414"/>
      <c r="F183" s="414"/>
      <c r="G183" s="414"/>
      <c r="H183" s="414"/>
      <c r="I183" s="278"/>
      <c r="J183" s="278"/>
      <c r="K183" s="416"/>
      <c r="M183" s="305"/>
      <c r="W183" s="305"/>
      <c r="X183" s="305"/>
      <c r="Y183" s="305"/>
      <c r="Z183" s="305"/>
      <c r="AA183" s="305"/>
      <c r="AB183" s="305"/>
      <c r="AC183" s="305"/>
      <c r="AD183" s="305"/>
      <c r="AE183" s="305"/>
      <c r="AF183" s="305"/>
    </row>
    <row r="184" spans="1:32" ht="14.25" customHeight="1" thickBot="1">
      <c r="B184" s="1765" t="s">
        <v>101</v>
      </c>
      <c r="C184" s="468"/>
      <c r="D184" s="468"/>
      <c r="E184" s="468"/>
      <c r="F184" s="468"/>
      <c r="H184" s="3668" t="s">
        <v>232</v>
      </c>
      <c r="I184" s="3668"/>
      <c r="J184" s="385"/>
      <c r="M184" s="305"/>
      <c r="W184" s="305"/>
      <c r="X184" s="305"/>
      <c r="Y184" s="305"/>
      <c r="Z184" s="305"/>
      <c r="AA184" s="305"/>
      <c r="AB184" s="305"/>
      <c r="AC184" s="305"/>
      <c r="AD184" s="305"/>
      <c r="AE184" s="305"/>
      <c r="AF184" s="305"/>
    </row>
    <row r="185" spans="1:32" s="52" customFormat="1" ht="14.25" customHeight="1" thickBot="1">
      <c r="A185" s="278"/>
      <c r="B185" s="3663"/>
      <c r="C185" s="3575">
        <v>2020</v>
      </c>
      <c r="D185" s="3576"/>
      <c r="E185" s="3576"/>
      <c r="F185" s="3576"/>
      <c r="G185" s="3576"/>
      <c r="H185" s="3576"/>
      <c r="I185" s="3577"/>
      <c r="J185" s="278"/>
      <c r="K185" s="429"/>
      <c r="M185" s="305"/>
      <c r="W185" s="305"/>
      <c r="X185" s="305"/>
      <c r="Y185" s="305"/>
      <c r="Z185" s="305"/>
      <c r="AA185" s="305"/>
      <c r="AB185" s="305"/>
      <c r="AC185" s="305"/>
      <c r="AD185" s="305"/>
      <c r="AE185" s="305"/>
      <c r="AF185" s="305"/>
    </row>
    <row r="186" spans="1:32" s="52" customFormat="1" ht="14.25" customHeight="1" thickBot="1">
      <c r="A186" s="394"/>
      <c r="B186" s="3664"/>
      <c r="C186" s="3666" t="s">
        <v>412</v>
      </c>
      <c r="D186" s="3666" t="s">
        <v>413</v>
      </c>
      <c r="E186" s="3671" t="s">
        <v>414</v>
      </c>
      <c r="F186" s="3672"/>
      <c r="G186" s="3666" t="s">
        <v>415</v>
      </c>
      <c r="H186" s="3666" t="s">
        <v>416</v>
      </c>
      <c r="I186" s="3666" t="s">
        <v>118</v>
      </c>
      <c r="J186" s="278"/>
      <c r="K186" s="429"/>
      <c r="M186" s="305"/>
      <c r="W186" s="305"/>
      <c r="X186" s="305"/>
      <c r="Y186" s="305"/>
      <c r="Z186" s="305"/>
      <c r="AA186" s="305"/>
      <c r="AB186" s="305"/>
      <c r="AC186" s="305"/>
      <c r="AD186" s="305"/>
      <c r="AE186" s="305"/>
      <c r="AF186" s="305"/>
    </row>
    <row r="187" spans="1:32" s="52" customFormat="1" ht="14.25" customHeight="1" thickBot="1">
      <c r="A187" s="394"/>
      <c r="B187" s="3665"/>
      <c r="C187" s="3670"/>
      <c r="D187" s="3670"/>
      <c r="E187" s="1793" t="s">
        <v>418</v>
      </c>
      <c r="F187" s="1793" t="s">
        <v>419</v>
      </c>
      <c r="G187" s="3670"/>
      <c r="H187" s="3670"/>
      <c r="I187" s="3670"/>
      <c r="J187" s="278"/>
      <c r="K187" s="429"/>
      <c r="M187" s="305"/>
      <c r="W187" s="305"/>
      <c r="X187" s="305"/>
      <c r="Y187" s="305"/>
      <c r="Z187" s="305"/>
      <c r="AA187" s="305"/>
      <c r="AB187" s="305"/>
      <c r="AC187" s="305"/>
      <c r="AD187" s="305"/>
      <c r="AE187" s="305"/>
      <c r="AF187" s="305"/>
    </row>
    <row r="188" spans="1:32" s="52" customFormat="1" ht="14.25" customHeight="1">
      <c r="A188" s="285"/>
      <c r="B188" s="1761" t="s">
        <v>333</v>
      </c>
      <c r="C188" s="855">
        <v>154885</v>
      </c>
      <c r="D188" s="2699">
        <v>26445</v>
      </c>
      <c r="E188" s="855">
        <v>273803</v>
      </c>
      <c r="F188" s="2699">
        <v>3574869</v>
      </c>
      <c r="G188" s="855">
        <v>107082</v>
      </c>
      <c r="H188" s="2699">
        <v>263013</v>
      </c>
      <c r="I188" s="1788">
        <f t="shared" ref="I188:I200" si="34">H188+G188+F188+E188+D188+C188</f>
        <v>4400097</v>
      </c>
      <c r="J188" s="278"/>
      <c r="K188" s="429"/>
      <c r="L188" s="305"/>
      <c r="M188" s="305"/>
      <c r="N188" s="305"/>
      <c r="O188" s="305"/>
      <c r="P188" s="305"/>
      <c r="Q188" s="305"/>
      <c r="R188" s="305"/>
      <c r="W188" s="305"/>
      <c r="X188" s="305"/>
      <c r="Y188" s="305"/>
      <c r="Z188" s="305"/>
      <c r="AA188" s="305"/>
      <c r="AB188" s="305"/>
      <c r="AC188" s="305"/>
      <c r="AD188" s="305"/>
      <c r="AE188" s="305"/>
      <c r="AF188" s="305"/>
    </row>
    <row r="189" spans="1:32" s="52" customFormat="1" ht="14.25" customHeight="1">
      <c r="A189" s="285"/>
      <c r="B189" s="2616" t="s">
        <v>447</v>
      </c>
      <c r="C189" s="856"/>
      <c r="D189" s="864"/>
      <c r="E189" s="856"/>
      <c r="F189" s="864"/>
      <c r="G189" s="856"/>
      <c r="H189" s="864"/>
      <c r="I189" s="2688">
        <f t="shared" si="34"/>
        <v>0</v>
      </c>
      <c r="J189" s="278"/>
      <c r="K189" s="429"/>
      <c r="L189" s="305"/>
      <c r="M189" s="305"/>
      <c r="N189" s="305"/>
      <c r="O189" s="305"/>
      <c r="P189" s="305"/>
      <c r="Q189" s="305"/>
      <c r="R189" s="305"/>
      <c r="W189" s="305"/>
      <c r="X189" s="305"/>
      <c r="Y189" s="305"/>
      <c r="Z189" s="305"/>
      <c r="AA189" s="305"/>
      <c r="AB189" s="305"/>
      <c r="AC189" s="305"/>
      <c r="AD189" s="305"/>
      <c r="AE189" s="305"/>
      <c r="AF189" s="305"/>
    </row>
    <row r="190" spans="1:32" s="52" customFormat="1" ht="14.25" customHeight="1">
      <c r="A190" s="285"/>
      <c r="B190" s="2616" t="s">
        <v>445</v>
      </c>
      <c r="C190" s="856">
        <v>-42404</v>
      </c>
      <c r="D190" s="864">
        <v>-1564</v>
      </c>
      <c r="E190" s="856"/>
      <c r="F190" s="864">
        <v>-76999</v>
      </c>
      <c r="G190" s="856"/>
      <c r="H190" s="864">
        <v>-4736</v>
      </c>
      <c r="I190" s="2688">
        <f t="shared" si="34"/>
        <v>-125703</v>
      </c>
      <c r="J190" s="278"/>
      <c r="K190" s="429"/>
      <c r="L190" s="305"/>
      <c r="M190" s="305"/>
      <c r="N190" s="305"/>
      <c r="O190" s="305"/>
      <c r="P190" s="305"/>
      <c r="Q190" s="305"/>
      <c r="R190" s="305"/>
      <c r="W190" s="305"/>
      <c r="X190" s="305"/>
      <c r="Y190" s="305"/>
      <c r="Z190" s="305"/>
      <c r="AA190" s="305"/>
      <c r="AB190" s="305"/>
      <c r="AC190" s="305"/>
      <c r="AD190" s="305"/>
      <c r="AE190" s="305"/>
      <c r="AF190" s="305"/>
    </row>
    <row r="191" spans="1:32" s="52" customFormat="1" ht="14.25" customHeight="1">
      <c r="A191" s="285"/>
      <c r="B191" s="2616" t="s">
        <v>422</v>
      </c>
      <c r="C191" s="856">
        <v>-90203</v>
      </c>
      <c r="D191" s="864">
        <v>-16788</v>
      </c>
      <c r="E191" s="856">
        <v>-27596</v>
      </c>
      <c r="F191" s="864">
        <v>-299844</v>
      </c>
      <c r="G191" s="856">
        <v>-1681</v>
      </c>
      <c r="H191" s="864">
        <v>-108621</v>
      </c>
      <c r="I191" s="2688">
        <f t="shared" si="34"/>
        <v>-544733</v>
      </c>
      <c r="J191" s="278"/>
      <c r="K191" s="429"/>
      <c r="L191" s="305"/>
      <c r="M191" s="305"/>
      <c r="N191" s="305"/>
      <c r="O191" s="305"/>
      <c r="P191" s="305"/>
      <c r="Q191" s="305"/>
      <c r="R191" s="305"/>
      <c r="W191" s="305"/>
      <c r="X191" s="305"/>
      <c r="Y191" s="305"/>
      <c r="Z191" s="305"/>
      <c r="AA191" s="305"/>
      <c r="AB191" s="305"/>
      <c r="AC191" s="305"/>
      <c r="AD191" s="305"/>
      <c r="AE191" s="305"/>
      <c r="AF191" s="305"/>
    </row>
    <row r="192" spans="1:32" s="52" customFormat="1" ht="14.25" customHeight="1">
      <c r="A192" s="285"/>
      <c r="B192" s="2618" t="s">
        <v>423</v>
      </c>
      <c r="C192" s="2619">
        <f t="shared" ref="C192:H192" si="35">C188+C189+C190+C191</f>
        <v>22278</v>
      </c>
      <c r="D192" s="2700">
        <f t="shared" si="35"/>
        <v>8093</v>
      </c>
      <c r="E192" s="2619">
        <f t="shared" si="35"/>
        <v>246207</v>
      </c>
      <c r="F192" s="2700">
        <f t="shared" si="35"/>
        <v>3198026</v>
      </c>
      <c r="G192" s="2619">
        <f t="shared" si="35"/>
        <v>105401</v>
      </c>
      <c r="H192" s="2700">
        <f t="shared" si="35"/>
        <v>149656</v>
      </c>
      <c r="I192" s="2701">
        <f t="shared" si="34"/>
        <v>3729661</v>
      </c>
      <c r="J192" s="278"/>
      <c r="K192" s="416"/>
      <c r="L192" s="305"/>
      <c r="M192" s="305"/>
      <c r="N192" s="305"/>
      <c r="O192" s="305"/>
      <c r="P192" s="305"/>
      <c r="Q192" s="305"/>
      <c r="R192" s="305"/>
      <c r="W192" s="305"/>
      <c r="X192" s="305"/>
      <c r="Y192" s="305"/>
      <c r="Z192" s="305"/>
      <c r="AA192" s="305"/>
      <c r="AB192" s="305"/>
      <c r="AC192" s="305"/>
      <c r="AD192" s="305"/>
      <c r="AE192" s="305"/>
      <c r="AF192" s="305"/>
    </row>
    <row r="193" spans="1:32" s="52" customFormat="1" ht="14.25" customHeight="1">
      <c r="A193" s="285"/>
      <c r="B193" s="2616" t="s">
        <v>424</v>
      </c>
      <c r="C193" s="2645">
        <v>-2014</v>
      </c>
      <c r="D193" s="2699">
        <v>-2079</v>
      </c>
      <c r="E193" s="2645"/>
      <c r="F193" s="2699">
        <v>-68863</v>
      </c>
      <c r="G193" s="2721">
        <v>-29937</v>
      </c>
      <c r="H193" s="2722">
        <v>7009</v>
      </c>
      <c r="I193" s="2688">
        <f t="shared" si="34"/>
        <v>-95884</v>
      </c>
      <c r="J193" s="278"/>
      <c r="K193" s="416"/>
      <c r="L193" s="305"/>
      <c r="M193" s="305"/>
      <c r="N193" s="305"/>
      <c r="O193" s="305"/>
      <c r="P193" s="305"/>
      <c r="Q193" s="305"/>
      <c r="R193" s="305"/>
      <c r="W193" s="305"/>
      <c r="X193" s="305"/>
      <c r="Y193" s="305"/>
      <c r="Z193" s="305"/>
      <c r="AA193" s="305"/>
      <c r="AB193" s="305"/>
      <c r="AC193" s="305"/>
      <c r="AD193" s="305"/>
      <c r="AE193" s="305"/>
      <c r="AF193" s="305"/>
    </row>
    <row r="194" spans="1:32" s="52" customFormat="1" ht="14.25" customHeight="1">
      <c r="A194" s="285"/>
      <c r="B194" s="2618" t="s">
        <v>425</v>
      </c>
      <c r="C194" s="2619">
        <f t="shared" ref="C194:H194" si="36">C192+C193</f>
        <v>20264</v>
      </c>
      <c r="D194" s="2700">
        <f t="shared" si="36"/>
        <v>6014</v>
      </c>
      <c r="E194" s="2619">
        <f t="shared" si="36"/>
        <v>246207</v>
      </c>
      <c r="F194" s="2700">
        <f t="shared" si="36"/>
        <v>3129163</v>
      </c>
      <c r="G194" s="2619">
        <f t="shared" si="36"/>
        <v>75464</v>
      </c>
      <c r="H194" s="2700">
        <f t="shared" si="36"/>
        <v>156665</v>
      </c>
      <c r="I194" s="2701">
        <f t="shared" si="34"/>
        <v>3633777</v>
      </c>
      <c r="J194" s="278"/>
      <c r="K194" s="416"/>
      <c r="L194" s="305"/>
      <c r="M194" s="305"/>
      <c r="N194" s="305"/>
      <c r="O194" s="305"/>
      <c r="P194" s="305"/>
      <c r="Q194" s="305"/>
      <c r="R194" s="305"/>
      <c r="W194" s="305"/>
      <c r="X194" s="305"/>
      <c r="Y194" s="305"/>
      <c r="Z194" s="305"/>
      <c r="AA194" s="305"/>
      <c r="AB194" s="305"/>
      <c r="AC194" s="305"/>
      <c r="AD194" s="305"/>
      <c r="AE194" s="305"/>
      <c r="AF194" s="305"/>
    </row>
    <row r="195" spans="1:32" s="52" customFormat="1" ht="14.25" customHeight="1">
      <c r="A195" s="285"/>
      <c r="B195" s="2616"/>
      <c r="C195" s="2191"/>
      <c r="D195" s="2548"/>
      <c r="E195" s="2191"/>
      <c r="F195" s="2548"/>
      <c r="G195" s="2191"/>
      <c r="H195" s="2190"/>
      <c r="I195" s="2688">
        <f t="shared" si="34"/>
        <v>0</v>
      </c>
      <c r="J195" s="278"/>
      <c r="K195" s="416"/>
      <c r="M195" s="305"/>
      <c r="W195" s="305"/>
      <c r="X195" s="305"/>
      <c r="Y195" s="305"/>
      <c r="Z195" s="305"/>
      <c r="AA195" s="305"/>
      <c r="AB195" s="305"/>
      <c r="AC195" s="305"/>
      <c r="AD195" s="305"/>
      <c r="AE195" s="305"/>
      <c r="AF195" s="305"/>
    </row>
    <row r="196" spans="1:32" s="52" customFormat="1" ht="14.25" customHeight="1">
      <c r="A196" s="285"/>
      <c r="B196" s="2618" t="s">
        <v>426</v>
      </c>
      <c r="C196" s="2191">
        <f>SUM(C197:C199)</f>
        <v>-13759</v>
      </c>
      <c r="D196" s="2548">
        <f t="shared" ref="D196:H196" si="37">SUM(D197:D199)</f>
        <v>1358</v>
      </c>
      <c r="E196" s="2191">
        <f t="shared" si="37"/>
        <v>-23708</v>
      </c>
      <c r="F196" s="2548">
        <f t="shared" si="37"/>
        <v>-2085609</v>
      </c>
      <c r="G196" s="2191">
        <f t="shared" si="37"/>
        <v>-74155</v>
      </c>
      <c r="H196" s="2548">
        <f t="shared" si="37"/>
        <v>-31704</v>
      </c>
      <c r="I196" s="2688">
        <f t="shared" si="34"/>
        <v>-2227577</v>
      </c>
      <c r="J196" s="278"/>
      <c r="K196" s="416"/>
      <c r="L196" s="305"/>
      <c r="M196" s="305"/>
      <c r="W196" s="305"/>
      <c r="X196" s="305"/>
      <c r="Y196" s="305"/>
      <c r="Z196" s="305"/>
      <c r="AA196" s="305"/>
      <c r="AB196" s="305"/>
      <c r="AC196" s="305"/>
      <c r="AD196" s="305"/>
      <c r="AE196" s="305"/>
      <c r="AF196" s="305"/>
    </row>
    <row r="197" spans="1:32" s="52" customFormat="1" ht="28.9" customHeight="1">
      <c r="A197" s="285"/>
      <c r="B197" s="2616" t="s">
        <v>427</v>
      </c>
      <c r="C197" s="2645">
        <v>-24019</v>
      </c>
      <c r="D197" s="2699">
        <v>-1398</v>
      </c>
      <c r="E197" s="2645">
        <v>-23708</v>
      </c>
      <c r="F197" s="2699">
        <v>-1823678</v>
      </c>
      <c r="G197" s="2645">
        <v>-68792</v>
      </c>
      <c r="H197" s="2699">
        <v>-41146</v>
      </c>
      <c r="I197" s="2688">
        <f t="shared" si="34"/>
        <v>-1982741</v>
      </c>
      <c r="J197" s="278"/>
      <c r="K197" s="416"/>
      <c r="L197" s="305"/>
      <c r="M197" s="305"/>
      <c r="N197" s="305"/>
      <c r="O197" s="305"/>
      <c r="P197" s="305"/>
      <c r="Q197" s="305"/>
      <c r="R197" s="305"/>
      <c r="W197" s="305"/>
      <c r="X197" s="305"/>
      <c r="Y197" s="305"/>
      <c r="Z197" s="305"/>
      <c r="AA197" s="305"/>
      <c r="AB197" s="305"/>
      <c r="AC197" s="305"/>
      <c r="AD197" s="305"/>
      <c r="AE197" s="305"/>
      <c r="AF197" s="305"/>
    </row>
    <row r="198" spans="1:32" s="52" customFormat="1" ht="14.25" customHeight="1">
      <c r="A198" s="285"/>
      <c r="B198" s="2616" t="s">
        <v>428</v>
      </c>
      <c r="C198" s="856">
        <v>10260</v>
      </c>
      <c r="D198" s="864">
        <v>2756</v>
      </c>
      <c r="E198" s="856"/>
      <c r="F198" s="864">
        <v>-261931</v>
      </c>
      <c r="G198" s="856">
        <v>-5363</v>
      </c>
      <c r="H198" s="864">
        <v>9442</v>
      </c>
      <c r="I198" s="2688">
        <f t="shared" si="34"/>
        <v>-244836</v>
      </c>
      <c r="J198" s="278"/>
      <c r="K198" s="416"/>
      <c r="L198" s="305"/>
      <c r="M198" s="305"/>
      <c r="N198" s="305"/>
      <c r="O198" s="305"/>
      <c r="P198" s="305"/>
      <c r="Q198" s="305"/>
      <c r="R198" s="305"/>
      <c r="W198" s="305"/>
      <c r="X198" s="305"/>
      <c r="Y198" s="305"/>
      <c r="Z198" s="305"/>
      <c r="AA198" s="305"/>
      <c r="AB198" s="305"/>
      <c r="AC198" s="305"/>
      <c r="AD198" s="305"/>
      <c r="AE198" s="305"/>
      <c r="AF198" s="305"/>
    </row>
    <row r="199" spans="1:32" s="52" customFormat="1" ht="14.25" customHeight="1">
      <c r="A199" s="285"/>
      <c r="B199" s="2616" t="s">
        <v>429</v>
      </c>
      <c r="C199" s="2191"/>
      <c r="D199" s="2548"/>
      <c r="E199" s="2191"/>
      <c r="F199" s="2548"/>
      <c r="G199" s="2191"/>
      <c r="H199" s="2190"/>
      <c r="I199" s="2688">
        <f t="shared" si="34"/>
        <v>0</v>
      </c>
      <c r="J199" s="278"/>
      <c r="K199" s="416"/>
      <c r="L199" s="305"/>
      <c r="M199" s="305"/>
      <c r="N199" s="305"/>
      <c r="O199" s="305"/>
      <c r="P199" s="305"/>
      <c r="Q199" s="305"/>
      <c r="R199" s="305"/>
      <c r="W199" s="305"/>
      <c r="X199" s="305"/>
      <c r="Y199" s="305"/>
      <c r="Z199" s="305"/>
      <c r="AA199" s="305"/>
      <c r="AB199" s="305"/>
      <c r="AC199" s="305"/>
      <c r="AD199" s="305"/>
      <c r="AE199" s="305"/>
      <c r="AF199" s="305"/>
    </row>
    <row r="200" spans="1:32" s="52" customFormat="1" ht="14.25" customHeight="1">
      <c r="A200" s="285"/>
      <c r="B200" s="2618" t="s">
        <v>430</v>
      </c>
      <c r="C200" s="2619">
        <f t="shared" ref="C200:H200" si="38">C194+C197+C198+C199</f>
        <v>6505</v>
      </c>
      <c r="D200" s="2700">
        <f t="shared" si="38"/>
        <v>7372</v>
      </c>
      <c r="E200" s="2619">
        <f t="shared" si="38"/>
        <v>222499</v>
      </c>
      <c r="F200" s="2700">
        <f>F194+F197+F198+F199</f>
        <v>1043554</v>
      </c>
      <c r="G200" s="2619">
        <f t="shared" si="38"/>
        <v>1309</v>
      </c>
      <c r="H200" s="2700">
        <f t="shared" si="38"/>
        <v>124961</v>
      </c>
      <c r="I200" s="2701">
        <f t="shared" si="34"/>
        <v>1406200</v>
      </c>
      <c r="J200" s="278"/>
      <c r="K200" s="432"/>
      <c r="L200" s="305"/>
      <c r="M200" s="305"/>
      <c r="N200" s="305"/>
      <c r="O200" s="305"/>
      <c r="P200" s="305"/>
      <c r="Q200" s="305"/>
      <c r="R200" s="305"/>
      <c r="W200" s="305"/>
      <c r="X200" s="305"/>
      <c r="Y200" s="305"/>
      <c r="Z200" s="305"/>
      <c r="AA200" s="305"/>
      <c r="AB200" s="305"/>
      <c r="AC200" s="305"/>
      <c r="AD200" s="305"/>
      <c r="AE200" s="305"/>
      <c r="AF200" s="305"/>
    </row>
    <row r="201" spans="1:32" s="52" customFormat="1" ht="14.25" customHeight="1">
      <c r="A201" s="285"/>
      <c r="B201" s="2616"/>
      <c r="C201" s="2690"/>
      <c r="D201" s="2703"/>
      <c r="E201" s="2690"/>
      <c r="F201" s="2703"/>
      <c r="G201" s="2690"/>
      <c r="H201" s="2692"/>
      <c r="I201" s="2688"/>
      <c r="J201" s="278"/>
      <c r="K201" s="416"/>
      <c r="M201" s="305"/>
      <c r="W201" s="305"/>
      <c r="X201" s="305"/>
      <c r="Y201" s="305"/>
      <c r="Z201" s="305"/>
      <c r="AA201" s="305"/>
      <c r="AB201" s="305"/>
      <c r="AC201" s="305"/>
      <c r="AD201" s="305"/>
      <c r="AE201" s="305"/>
      <c r="AF201" s="305"/>
    </row>
    <row r="202" spans="1:32" s="52" customFormat="1" ht="14.25" customHeight="1">
      <c r="A202" s="285"/>
      <c r="B202" s="2618" t="s">
        <v>431</v>
      </c>
      <c r="C202" s="2690"/>
      <c r="D202" s="2703"/>
      <c r="E202" s="2690"/>
      <c r="F202" s="2703"/>
      <c r="G202" s="2690"/>
      <c r="H202" s="2692"/>
      <c r="I202" s="2701">
        <f>SUM(I203:I205)</f>
        <v>728716</v>
      </c>
      <c r="J202" s="278"/>
      <c r="K202" s="416"/>
      <c r="M202" s="305"/>
      <c r="W202" s="305"/>
      <c r="X202" s="305"/>
      <c r="Y202" s="305"/>
      <c r="Z202" s="305"/>
      <c r="AA202" s="305"/>
      <c r="AB202" s="305"/>
      <c r="AC202" s="305"/>
      <c r="AD202" s="305"/>
      <c r="AE202" s="305"/>
      <c r="AF202" s="305"/>
    </row>
    <row r="203" spans="1:32" s="52" customFormat="1" ht="14.25" customHeight="1">
      <c r="A203" s="285"/>
      <c r="B203" s="2616" t="s">
        <v>432</v>
      </c>
      <c r="C203" s="2690"/>
      <c r="D203" s="2703"/>
      <c r="E203" s="2690"/>
      <c r="F203" s="2703"/>
      <c r="G203" s="2690"/>
      <c r="H203" s="2692"/>
      <c r="I203" s="2670">
        <v>257312</v>
      </c>
      <c r="J203" s="278"/>
      <c r="K203" s="416"/>
      <c r="M203" s="305"/>
      <c r="W203" s="305"/>
      <c r="X203" s="305"/>
      <c r="Y203" s="305"/>
      <c r="Z203" s="305"/>
      <c r="AA203" s="305"/>
      <c r="AB203" s="305"/>
      <c r="AC203" s="305"/>
      <c r="AD203" s="305"/>
      <c r="AE203" s="305"/>
      <c r="AF203" s="305"/>
    </row>
    <row r="204" spans="1:32" s="52" customFormat="1" ht="14.25" customHeight="1">
      <c r="A204" s="285"/>
      <c r="B204" s="2616" t="s">
        <v>433</v>
      </c>
      <c r="C204" s="2690"/>
      <c r="D204" s="2703"/>
      <c r="E204" s="2690"/>
      <c r="F204" s="2703"/>
      <c r="G204" s="2690"/>
      <c r="H204" s="2692"/>
      <c r="I204" s="1781">
        <v>449930</v>
      </c>
      <c r="J204" s="278"/>
      <c r="K204" s="416"/>
      <c r="M204" s="305"/>
      <c r="W204" s="305"/>
      <c r="X204" s="305"/>
      <c r="Y204" s="305"/>
      <c r="Z204" s="305"/>
      <c r="AA204" s="305"/>
      <c r="AB204" s="305"/>
      <c r="AC204" s="305"/>
      <c r="AD204" s="305"/>
      <c r="AE204" s="305"/>
      <c r="AF204" s="305"/>
    </row>
    <row r="205" spans="1:32" s="52" customFormat="1" ht="14.25" customHeight="1">
      <c r="A205" s="285"/>
      <c r="B205" s="2616" t="s">
        <v>434</v>
      </c>
      <c r="C205" s="2690"/>
      <c r="D205" s="2703"/>
      <c r="E205" s="2690"/>
      <c r="F205" s="2703"/>
      <c r="G205" s="2690"/>
      <c r="H205" s="2692"/>
      <c r="I205" s="1781">
        <v>21474</v>
      </c>
      <c r="J205" s="278"/>
      <c r="K205" s="416"/>
      <c r="M205" s="305"/>
      <c r="W205" s="305"/>
      <c r="X205" s="305"/>
      <c r="Y205" s="305"/>
      <c r="Z205" s="305"/>
      <c r="AA205" s="305"/>
      <c r="AB205" s="305"/>
      <c r="AC205" s="305"/>
      <c r="AD205" s="305"/>
      <c r="AE205" s="305"/>
      <c r="AF205" s="305"/>
    </row>
    <row r="206" spans="1:32" s="52" customFormat="1" ht="14.25" customHeight="1">
      <c r="A206" s="285"/>
      <c r="B206" s="2616"/>
      <c r="C206" s="2690"/>
      <c r="D206" s="2703"/>
      <c r="E206" s="2690"/>
      <c r="F206" s="2703"/>
      <c r="G206" s="2690"/>
      <c r="H206" s="2692"/>
      <c r="I206" s="2688"/>
      <c r="J206" s="278"/>
      <c r="K206" s="416"/>
      <c r="M206" s="305"/>
      <c r="W206" s="305"/>
      <c r="X206" s="305"/>
      <c r="Y206" s="305"/>
      <c r="Z206" s="305"/>
      <c r="AA206" s="305"/>
      <c r="AB206" s="305"/>
      <c r="AC206" s="305"/>
      <c r="AD206" s="305"/>
      <c r="AE206" s="305"/>
      <c r="AF206" s="305"/>
    </row>
    <row r="207" spans="1:32" s="52" customFormat="1" ht="14.25" customHeight="1">
      <c r="A207" s="285"/>
      <c r="B207" s="2618" t="s">
        <v>435</v>
      </c>
      <c r="C207" s="2690"/>
      <c r="D207" s="2703"/>
      <c r="E207" s="2690"/>
      <c r="F207" s="2703"/>
      <c r="G207" s="2690"/>
      <c r="H207" s="2692"/>
      <c r="I207" s="2688">
        <f>I208+I209</f>
        <v>-1224556</v>
      </c>
      <c r="J207" s="278"/>
      <c r="K207" s="416"/>
      <c r="M207" s="305"/>
      <c r="W207" s="305"/>
      <c r="X207" s="305"/>
      <c r="Y207" s="305"/>
      <c r="Z207" s="305"/>
      <c r="AA207" s="305"/>
      <c r="AB207" s="305"/>
      <c r="AC207" s="305"/>
      <c r="AD207" s="305"/>
      <c r="AE207" s="305"/>
      <c r="AF207" s="305"/>
    </row>
    <row r="208" spans="1:32" s="52" customFormat="1" ht="33.6" customHeight="1">
      <c r="A208" s="285"/>
      <c r="B208" s="2616" t="s">
        <v>436</v>
      </c>
      <c r="C208" s="2690"/>
      <c r="D208" s="2703"/>
      <c r="E208" s="2690"/>
      <c r="F208" s="2703"/>
      <c r="G208" s="2690"/>
      <c r="H208" s="2692"/>
      <c r="I208" s="2670">
        <v>-1224556</v>
      </c>
      <c r="J208" s="278"/>
      <c r="K208" s="416"/>
      <c r="M208" s="305"/>
      <c r="W208" s="305"/>
      <c r="X208" s="305"/>
      <c r="Y208" s="305"/>
      <c r="Z208" s="305"/>
      <c r="AA208" s="305"/>
      <c r="AB208" s="305"/>
      <c r="AC208" s="305"/>
      <c r="AD208" s="305"/>
      <c r="AE208" s="305"/>
      <c r="AF208" s="305"/>
    </row>
    <row r="209" spans="1:32" s="52" customFormat="1" ht="33.6" customHeight="1">
      <c r="A209" s="285"/>
      <c r="B209" s="2616" t="s">
        <v>437</v>
      </c>
      <c r="C209" s="2690"/>
      <c r="D209" s="2703"/>
      <c r="E209" s="2690"/>
      <c r="F209" s="2703"/>
      <c r="G209" s="2690"/>
      <c r="H209" s="2692"/>
      <c r="I209" s="2688"/>
      <c r="J209" s="278"/>
      <c r="K209" s="416"/>
      <c r="M209" s="305"/>
      <c r="W209" s="305"/>
      <c r="X209" s="305"/>
      <c r="Y209" s="305"/>
      <c r="Z209" s="305"/>
      <c r="AA209" s="305"/>
      <c r="AB209" s="305"/>
      <c r="AC209" s="305"/>
      <c r="AD209" s="305"/>
      <c r="AE209" s="305"/>
      <c r="AF209" s="305"/>
    </row>
    <row r="210" spans="1:32" s="52" customFormat="1" ht="14.25" customHeight="1">
      <c r="A210" s="285"/>
      <c r="B210" s="2618" t="s">
        <v>438</v>
      </c>
      <c r="C210" s="2690"/>
      <c r="D210" s="2703"/>
      <c r="E210" s="2690"/>
      <c r="F210" s="2703"/>
      <c r="G210" s="2690"/>
      <c r="H210" s="2692"/>
      <c r="I210" s="2701">
        <f>+I200+I202+I207</f>
        <v>910360</v>
      </c>
      <c r="J210" s="278"/>
      <c r="K210" s="416"/>
      <c r="M210" s="305"/>
      <c r="W210" s="305"/>
      <c r="X210" s="305"/>
      <c r="Y210" s="305"/>
      <c r="Z210" s="305"/>
      <c r="AA210" s="305"/>
      <c r="AB210" s="305"/>
      <c r="AC210" s="305"/>
      <c r="AD210" s="305"/>
      <c r="AE210" s="305"/>
      <c r="AF210" s="305"/>
    </row>
    <row r="211" spans="1:32" s="52" customFormat="1" ht="14.25" customHeight="1">
      <c r="A211" s="285"/>
      <c r="B211" s="2616" t="s">
        <v>439</v>
      </c>
      <c r="C211" s="2690"/>
      <c r="D211" s="2703"/>
      <c r="E211" s="2690"/>
      <c r="F211" s="2703"/>
      <c r="G211" s="2690"/>
      <c r="H211" s="2692"/>
      <c r="I211" s="2670">
        <v>-40284</v>
      </c>
      <c r="J211" s="278"/>
      <c r="K211" s="416"/>
      <c r="M211" s="305"/>
      <c r="W211" s="305"/>
      <c r="X211" s="305"/>
      <c r="Y211" s="305"/>
      <c r="Z211" s="305"/>
      <c r="AA211" s="305"/>
      <c r="AB211" s="305"/>
      <c r="AC211" s="305"/>
      <c r="AD211" s="305"/>
      <c r="AE211" s="305"/>
      <c r="AF211" s="305"/>
    </row>
    <row r="212" spans="1:32" s="52" customFormat="1" ht="14.25" customHeight="1">
      <c r="A212" s="285"/>
      <c r="B212" s="2618" t="s">
        <v>440</v>
      </c>
      <c r="C212" s="2690"/>
      <c r="D212" s="2703"/>
      <c r="E212" s="2690"/>
      <c r="F212" s="2703"/>
      <c r="G212" s="2690"/>
      <c r="H212" s="2692"/>
      <c r="I212" s="2701">
        <f>SUM(I210:I211)</f>
        <v>870076</v>
      </c>
      <c r="J212" s="278"/>
      <c r="K212" s="416"/>
      <c r="M212" s="305"/>
      <c r="W212" s="305"/>
      <c r="X212" s="305"/>
      <c r="Y212" s="305"/>
      <c r="Z212" s="305"/>
      <c r="AA212" s="305"/>
      <c r="AB212" s="305"/>
      <c r="AC212" s="305"/>
      <c r="AD212" s="305"/>
      <c r="AE212" s="305"/>
      <c r="AF212" s="305"/>
    </row>
    <row r="213" spans="1:32" s="52" customFormat="1" ht="14.25" customHeight="1">
      <c r="A213" s="285"/>
      <c r="B213" s="2616" t="s">
        <v>441</v>
      </c>
      <c r="C213" s="2690"/>
      <c r="D213" s="2703"/>
      <c r="E213" s="2690"/>
      <c r="F213" s="2703"/>
      <c r="G213" s="2690"/>
      <c r="H213" s="2692"/>
      <c r="I213" s="2670">
        <v>-225099</v>
      </c>
      <c r="J213" s="278"/>
      <c r="K213" s="416"/>
      <c r="M213" s="305"/>
      <c r="W213" s="305"/>
      <c r="X213" s="305"/>
      <c r="Y213" s="305"/>
      <c r="Z213" s="305"/>
      <c r="AA213" s="305"/>
      <c r="AB213" s="305"/>
      <c r="AC213" s="305"/>
      <c r="AD213" s="305"/>
      <c r="AE213" s="305"/>
      <c r="AF213" s="305"/>
    </row>
    <row r="214" spans="1:32" s="52" customFormat="1" ht="14.25" customHeight="1" thickBot="1">
      <c r="A214" s="285"/>
      <c r="B214" s="1787" t="s">
        <v>442</v>
      </c>
      <c r="C214" s="876"/>
      <c r="D214" s="875"/>
      <c r="E214" s="876"/>
      <c r="F214" s="875"/>
      <c r="G214" s="876"/>
      <c r="H214" s="1315"/>
      <c r="I214" s="1791">
        <f>SUM(I212:I213)</f>
        <v>644977</v>
      </c>
      <c r="J214" s="278"/>
      <c r="K214" s="416"/>
      <c r="M214" s="305"/>
      <c r="W214" s="305"/>
      <c r="X214" s="305"/>
      <c r="Y214" s="305"/>
      <c r="Z214" s="305"/>
      <c r="AA214" s="305"/>
      <c r="AB214" s="305"/>
      <c r="AC214" s="305"/>
      <c r="AD214" s="305"/>
      <c r="AE214" s="305"/>
      <c r="AF214" s="305"/>
    </row>
    <row r="215" spans="1:32" s="52" customFormat="1" ht="14.25" customHeight="1">
      <c r="A215" s="285"/>
      <c r="B215" s="455"/>
      <c r="C215" s="414"/>
      <c r="D215" s="414"/>
      <c r="E215" s="414"/>
      <c r="F215" s="414"/>
      <c r="G215" s="414"/>
      <c r="H215" s="414"/>
      <c r="I215" s="278"/>
      <c r="J215" s="278"/>
      <c r="K215" s="416"/>
      <c r="M215" s="305"/>
      <c r="W215" s="305"/>
      <c r="X215" s="305"/>
      <c r="Y215" s="305"/>
      <c r="Z215" s="305"/>
      <c r="AA215" s="305"/>
      <c r="AB215" s="305"/>
      <c r="AC215" s="305"/>
      <c r="AD215" s="305"/>
      <c r="AE215" s="305"/>
      <c r="AF215" s="305"/>
    </row>
    <row r="216" spans="1:32" s="52" customFormat="1" ht="14.25" customHeight="1">
      <c r="A216" s="285"/>
      <c r="B216" s="455"/>
      <c r="C216" s="414"/>
      <c r="D216" s="414"/>
      <c r="E216" s="414"/>
      <c r="F216" s="414"/>
      <c r="G216" s="414"/>
      <c r="H216" s="414"/>
      <c r="I216" s="278"/>
      <c r="J216" s="278"/>
      <c r="K216" s="394">
        <v>131</v>
      </c>
      <c r="M216" s="305"/>
      <c r="W216" s="305"/>
      <c r="X216" s="305"/>
      <c r="Y216" s="305"/>
      <c r="Z216" s="305"/>
      <c r="AA216" s="305"/>
      <c r="AB216" s="305"/>
      <c r="AC216" s="305"/>
      <c r="AD216" s="305"/>
      <c r="AE216" s="305"/>
      <c r="AF216" s="305"/>
    </row>
    <row r="217" spans="1:32" s="52" customFormat="1" ht="14.25" customHeight="1">
      <c r="A217" s="285"/>
      <c r="B217" s="456"/>
      <c r="C217" s="279"/>
      <c r="D217" s="279"/>
      <c r="E217" s="279"/>
      <c r="F217" s="279"/>
      <c r="G217" s="279"/>
      <c r="H217" s="279"/>
      <c r="I217" s="279"/>
      <c r="J217" s="264"/>
      <c r="K217" s="279"/>
      <c r="M217" s="305"/>
      <c r="W217" s="305"/>
      <c r="X217" s="305"/>
      <c r="Y217" s="305"/>
      <c r="Z217" s="305"/>
      <c r="AA217" s="305"/>
      <c r="AB217" s="305"/>
      <c r="AC217" s="305"/>
      <c r="AD217" s="305"/>
      <c r="AE217" s="305"/>
      <c r="AF217" s="305"/>
    </row>
    <row r="218" spans="1:32" ht="14.25" customHeight="1">
      <c r="A218" s="285"/>
      <c r="B218" s="236" t="s">
        <v>451</v>
      </c>
      <c r="C218" s="279"/>
      <c r="D218" s="279"/>
      <c r="E218" s="515"/>
      <c r="F218" s="515"/>
      <c r="G218" s="515"/>
      <c r="H218" s="515"/>
      <c r="I218" s="385"/>
      <c r="J218" s="385"/>
      <c r="M218" s="305"/>
      <c r="W218" s="305"/>
      <c r="X218" s="305"/>
      <c r="Y218" s="305"/>
      <c r="Z218" s="305"/>
      <c r="AA218" s="305"/>
      <c r="AB218" s="305"/>
      <c r="AC218" s="305"/>
      <c r="AD218" s="305"/>
      <c r="AE218" s="305"/>
      <c r="AF218" s="305"/>
    </row>
    <row r="219" spans="1:32" ht="14.25" customHeight="1" thickBot="1">
      <c r="A219" s="285"/>
      <c r="B219" s="51"/>
      <c r="C219" s="529"/>
      <c r="D219" s="529"/>
      <c r="E219" s="515"/>
      <c r="F219" s="515"/>
      <c r="G219" s="515"/>
      <c r="H219" s="515"/>
      <c r="I219" s="385"/>
      <c r="J219" s="293"/>
      <c r="M219" s="305"/>
      <c r="W219" s="305"/>
      <c r="X219" s="305"/>
      <c r="Y219" s="305"/>
      <c r="Z219" s="305"/>
      <c r="AA219" s="305"/>
      <c r="AB219" s="305"/>
      <c r="AC219" s="305"/>
      <c r="AD219" s="305"/>
      <c r="AE219" s="305"/>
      <c r="AF219" s="305"/>
    </row>
    <row r="220" spans="1:32" ht="14.25" customHeight="1">
      <c r="B220" s="1759" t="s">
        <v>102</v>
      </c>
      <c r="C220" s="515"/>
      <c r="D220" s="515"/>
      <c r="E220" s="515"/>
      <c r="F220" s="515"/>
      <c r="H220" s="3668" t="s">
        <v>232</v>
      </c>
      <c r="I220" s="3668"/>
      <c r="J220" s="383"/>
      <c r="M220" s="305"/>
      <c r="W220" s="305"/>
      <c r="X220" s="305"/>
      <c r="Y220" s="305"/>
      <c r="Z220" s="305"/>
      <c r="AA220" s="305"/>
      <c r="AB220" s="305"/>
      <c r="AC220" s="305"/>
      <c r="AD220" s="305"/>
      <c r="AE220" s="305"/>
      <c r="AF220" s="305"/>
    </row>
    <row r="221" spans="1:32" s="52" customFormat="1" ht="14.25" customHeight="1">
      <c r="A221" s="278"/>
      <c r="B221" s="3663"/>
      <c r="C221" s="3575">
        <v>2020</v>
      </c>
      <c r="D221" s="3576"/>
      <c r="E221" s="3576"/>
      <c r="F221" s="3576"/>
      <c r="G221" s="3576"/>
      <c r="H221" s="3576"/>
      <c r="I221" s="3577"/>
      <c r="J221" s="278"/>
      <c r="K221" s="416"/>
      <c r="M221" s="305"/>
      <c r="W221" s="305"/>
      <c r="X221" s="305"/>
      <c r="Y221" s="305"/>
      <c r="Z221" s="305"/>
      <c r="AA221" s="305"/>
      <c r="AB221" s="305"/>
      <c r="AC221" s="305"/>
      <c r="AD221" s="305"/>
      <c r="AE221" s="305"/>
      <c r="AF221" s="305"/>
    </row>
    <row r="222" spans="1:32" s="52" customFormat="1" ht="14.25" customHeight="1">
      <c r="A222" s="394"/>
      <c r="B222" s="3674"/>
      <c r="C222" s="3666" t="s">
        <v>412</v>
      </c>
      <c r="D222" s="3676" t="s">
        <v>413</v>
      </c>
      <c r="E222" s="3671" t="s">
        <v>414</v>
      </c>
      <c r="F222" s="3678"/>
      <c r="G222" s="3666" t="s">
        <v>415</v>
      </c>
      <c r="H222" s="3679" t="s">
        <v>416</v>
      </c>
      <c r="I222" s="3666" t="s">
        <v>118</v>
      </c>
      <c r="J222" s="278"/>
      <c r="K222" s="3669"/>
      <c r="M222" s="305"/>
      <c r="W222" s="305"/>
      <c r="X222" s="305"/>
      <c r="Y222" s="305"/>
      <c r="Z222" s="305"/>
      <c r="AA222" s="305"/>
      <c r="AB222" s="305"/>
      <c r="AC222" s="305"/>
      <c r="AD222" s="305"/>
      <c r="AE222" s="305"/>
      <c r="AF222" s="305"/>
    </row>
    <row r="223" spans="1:32" s="52" customFormat="1" ht="14.25" customHeight="1" thickBot="1">
      <c r="A223" s="394"/>
      <c r="B223" s="3675"/>
      <c r="C223" s="3670"/>
      <c r="D223" s="3677"/>
      <c r="E223" s="1793" t="s">
        <v>418</v>
      </c>
      <c r="F223" s="1799" t="s">
        <v>419</v>
      </c>
      <c r="G223" s="3670"/>
      <c r="H223" s="3677"/>
      <c r="I223" s="3670"/>
      <c r="J223" s="278"/>
      <c r="K223" s="3669"/>
      <c r="M223" s="305"/>
      <c r="W223" s="305"/>
      <c r="X223" s="305"/>
      <c r="Y223" s="305"/>
      <c r="Z223" s="305"/>
      <c r="AA223" s="305"/>
      <c r="AB223" s="305"/>
      <c r="AC223" s="305"/>
      <c r="AD223" s="305"/>
      <c r="AE223" s="305"/>
      <c r="AF223" s="305"/>
    </row>
    <row r="224" spans="1:32" s="52" customFormat="1" ht="14.25" customHeight="1">
      <c r="A224" s="285"/>
      <c r="B224" s="1761" t="s">
        <v>333</v>
      </c>
      <c r="C224" s="2675">
        <v>1724859</v>
      </c>
      <c r="D224" s="2676">
        <v>493007</v>
      </c>
      <c r="E224" s="2675">
        <v>191754</v>
      </c>
      <c r="F224" s="2676">
        <v>6200034</v>
      </c>
      <c r="G224" s="2675">
        <v>3279880</v>
      </c>
      <c r="H224" s="2676">
        <v>792110</v>
      </c>
      <c r="I224" s="1788">
        <f t="shared" ref="I224:I236" si="39">H224+G224+F224+E224+D224+C224</f>
        <v>12681644</v>
      </c>
      <c r="J224" s="385"/>
      <c r="K224" s="429"/>
      <c r="L224" s="498"/>
      <c r="M224" s="305"/>
      <c r="N224" s="430"/>
      <c r="O224" s="430"/>
      <c r="P224" s="430"/>
      <c r="Q224" s="430"/>
      <c r="R224" s="430"/>
      <c r="W224" s="305"/>
      <c r="X224" s="305"/>
      <c r="Y224" s="305"/>
      <c r="Z224" s="305"/>
      <c r="AA224" s="305"/>
      <c r="AB224" s="305"/>
      <c r="AC224" s="305"/>
      <c r="AD224" s="305"/>
      <c r="AE224" s="305"/>
      <c r="AF224" s="305"/>
    </row>
    <row r="225" spans="1:32" s="52" customFormat="1" ht="14.25" customHeight="1">
      <c r="A225" s="285"/>
      <c r="B225" s="2616" t="s">
        <v>420</v>
      </c>
      <c r="C225" s="856"/>
      <c r="D225" s="857"/>
      <c r="E225" s="856"/>
      <c r="F225" s="857"/>
      <c r="G225" s="856"/>
      <c r="H225" s="857"/>
      <c r="I225" s="2688">
        <f t="shared" si="39"/>
        <v>0</v>
      </c>
      <c r="J225" s="278"/>
      <c r="K225" s="429"/>
      <c r="L225" s="498"/>
      <c r="M225" s="305"/>
      <c r="N225" s="430"/>
      <c r="O225" s="430"/>
      <c r="P225" s="430"/>
      <c r="Q225" s="430"/>
      <c r="R225" s="430"/>
      <c r="W225" s="305"/>
      <c r="X225" s="305"/>
      <c r="Y225" s="305"/>
      <c r="Z225" s="305"/>
      <c r="AA225" s="305"/>
      <c r="AB225" s="305"/>
      <c r="AC225" s="305"/>
      <c r="AD225" s="305"/>
      <c r="AE225" s="305"/>
      <c r="AF225" s="305"/>
    </row>
    <row r="226" spans="1:32" s="52" customFormat="1" ht="14.25" customHeight="1">
      <c r="A226" s="285"/>
      <c r="B226" s="2616" t="s">
        <v>421</v>
      </c>
      <c r="C226" s="856">
        <v>-493068</v>
      </c>
      <c r="D226" s="857">
        <v>-6185</v>
      </c>
      <c r="E226" s="856"/>
      <c r="F226" s="857">
        <v>-146206</v>
      </c>
      <c r="G226" s="856"/>
      <c r="H226" s="857">
        <v>-98703</v>
      </c>
      <c r="I226" s="2688">
        <f t="shared" si="39"/>
        <v>-744162</v>
      </c>
      <c r="J226" s="293"/>
      <c r="K226" s="429"/>
      <c r="L226" s="498"/>
      <c r="M226" s="305"/>
      <c r="N226" s="430"/>
      <c r="O226" s="430"/>
      <c r="P226" s="430"/>
      <c r="Q226" s="430"/>
      <c r="R226" s="430"/>
      <c r="W226" s="305"/>
      <c r="X226" s="305"/>
      <c r="Y226" s="305"/>
      <c r="Z226" s="305"/>
      <c r="AA226" s="305"/>
      <c r="AB226" s="305"/>
      <c r="AC226" s="305"/>
      <c r="AD226" s="305"/>
      <c r="AE226" s="305"/>
      <c r="AF226" s="305"/>
    </row>
    <row r="227" spans="1:32" s="52" customFormat="1" ht="14.25" customHeight="1">
      <c r="A227" s="285"/>
      <c r="B227" s="2616" t="s">
        <v>422</v>
      </c>
      <c r="C227" s="856">
        <v>-987460</v>
      </c>
      <c r="D227" s="857">
        <v>-401578</v>
      </c>
      <c r="E227" s="856">
        <v>-68499</v>
      </c>
      <c r="F227" s="857">
        <v>-2068583</v>
      </c>
      <c r="G227" s="856">
        <v>-1292605</v>
      </c>
      <c r="H227" s="857">
        <v>-520425</v>
      </c>
      <c r="I227" s="2688">
        <f t="shared" si="39"/>
        <v>-5339150</v>
      </c>
      <c r="J227" s="293"/>
      <c r="K227" s="416"/>
      <c r="L227" s="498"/>
      <c r="M227" s="305"/>
      <c r="N227" s="430"/>
      <c r="O227" s="430"/>
      <c r="P227" s="430"/>
      <c r="Q227" s="430"/>
      <c r="R227" s="430"/>
      <c r="W227" s="305"/>
      <c r="X227" s="305"/>
      <c r="Y227" s="305"/>
      <c r="Z227" s="305"/>
      <c r="AA227" s="305"/>
      <c r="AB227" s="305"/>
      <c r="AC227" s="305"/>
      <c r="AD227" s="305"/>
      <c r="AE227" s="305"/>
      <c r="AF227" s="305"/>
    </row>
    <row r="228" spans="1:32" s="52" customFormat="1" ht="14.25" customHeight="1">
      <c r="A228" s="285"/>
      <c r="B228" s="2618" t="s">
        <v>423</v>
      </c>
      <c r="C228" s="2619">
        <f>C224+C225+C226+C227</f>
        <v>244331</v>
      </c>
      <c r="D228" s="2620">
        <f t="shared" ref="D228:H228" si="40">D224+D225+D226+D227</f>
        <v>85244</v>
      </c>
      <c r="E228" s="2619">
        <f t="shared" si="40"/>
        <v>123255</v>
      </c>
      <c r="F228" s="2620">
        <f t="shared" si="40"/>
        <v>3985245</v>
      </c>
      <c r="G228" s="2619">
        <f t="shared" si="40"/>
        <v>1987275</v>
      </c>
      <c r="H228" s="2620">
        <f t="shared" si="40"/>
        <v>172982</v>
      </c>
      <c r="I228" s="2701">
        <f>H228+G228+F228+E228+D228+C228</f>
        <v>6598332</v>
      </c>
      <c r="J228" s="293"/>
      <c r="K228" s="416"/>
      <c r="L228" s="498"/>
      <c r="M228" s="305"/>
      <c r="N228" s="430"/>
      <c r="O228" s="430"/>
      <c r="P228" s="430"/>
      <c r="Q228" s="430"/>
      <c r="R228" s="430"/>
      <c r="W228" s="305"/>
      <c r="X228" s="305"/>
      <c r="Y228" s="305"/>
      <c r="Z228" s="305"/>
      <c r="AA228" s="305"/>
      <c r="AB228" s="305"/>
      <c r="AC228" s="305"/>
      <c r="AD228" s="305"/>
      <c r="AE228" s="305"/>
      <c r="AF228" s="305"/>
    </row>
    <row r="229" spans="1:32" s="52" customFormat="1" ht="14.25" customHeight="1">
      <c r="A229" s="285"/>
      <c r="B229" s="2616" t="s">
        <v>424</v>
      </c>
      <c r="C229" s="2645">
        <v>-38532</v>
      </c>
      <c r="D229" s="2644">
        <v>39938</v>
      </c>
      <c r="E229" s="2645">
        <v>-10546</v>
      </c>
      <c r="F229" s="2644">
        <v>-340857</v>
      </c>
      <c r="G229" s="2645">
        <v>40116</v>
      </c>
      <c r="H229" s="2644">
        <v>32593</v>
      </c>
      <c r="I229" s="2688">
        <f t="shared" si="39"/>
        <v>-277288</v>
      </c>
      <c r="J229" s="293"/>
      <c r="K229" s="416"/>
      <c r="L229" s="498"/>
      <c r="M229" s="305"/>
      <c r="N229" s="430"/>
      <c r="O229" s="430"/>
      <c r="P229" s="430"/>
      <c r="Q229" s="430"/>
      <c r="R229" s="430"/>
      <c r="W229" s="305"/>
      <c r="X229" s="305"/>
      <c r="Y229" s="305"/>
      <c r="Z229" s="305"/>
      <c r="AA229" s="305"/>
      <c r="AB229" s="305"/>
      <c r="AC229" s="305"/>
      <c r="AD229" s="305"/>
      <c r="AE229" s="305"/>
      <c r="AF229" s="305"/>
    </row>
    <row r="230" spans="1:32" s="52" customFormat="1" ht="14.25" customHeight="1">
      <c r="A230" s="285"/>
      <c r="B230" s="2618" t="s">
        <v>425</v>
      </c>
      <c r="C230" s="2619">
        <f t="shared" ref="C230:H230" si="41">C228+C229</f>
        <v>205799</v>
      </c>
      <c r="D230" s="2620">
        <f t="shared" si="41"/>
        <v>125182</v>
      </c>
      <c r="E230" s="2619">
        <f t="shared" si="41"/>
        <v>112709</v>
      </c>
      <c r="F230" s="2620">
        <f t="shared" si="41"/>
        <v>3644388</v>
      </c>
      <c r="G230" s="2619">
        <f t="shared" si="41"/>
        <v>2027391</v>
      </c>
      <c r="H230" s="2620">
        <f t="shared" si="41"/>
        <v>205575</v>
      </c>
      <c r="I230" s="2701">
        <f t="shared" si="39"/>
        <v>6321044</v>
      </c>
      <c r="J230" s="293"/>
      <c r="K230" s="416"/>
      <c r="L230" s="498"/>
      <c r="M230" s="305"/>
      <c r="N230" s="430"/>
      <c r="O230" s="430"/>
      <c r="P230" s="430"/>
      <c r="Q230" s="430"/>
      <c r="R230" s="430"/>
      <c r="W230" s="305"/>
      <c r="X230" s="305"/>
      <c r="Y230" s="305"/>
      <c r="Z230" s="305"/>
      <c r="AA230" s="305"/>
      <c r="AB230" s="305"/>
      <c r="AC230" s="305"/>
      <c r="AD230" s="305"/>
      <c r="AE230" s="305"/>
      <c r="AF230" s="305"/>
    </row>
    <row r="231" spans="1:32" s="52" customFormat="1" ht="14.25" customHeight="1">
      <c r="A231" s="285"/>
      <c r="B231" s="2616"/>
      <c r="C231" s="2191"/>
      <c r="D231" s="2190"/>
      <c r="E231" s="2191"/>
      <c r="F231" s="2190"/>
      <c r="G231" s="2191"/>
      <c r="H231" s="2190"/>
      <c r="I231" s="2688">
        <f t="shared" si="39"/>
        <v>0</v>
      </c>
      <c r="J231" s="278"/>
      <c r="K231" s="416"/>
      <c r="L231" s="498"/>
      <c r="M231" s="305"/>
      <c r="W231" s="305"/>
      <c r="X231" s="305"/>
      <c r="Y231" s="305"/>
      <c r="Z231" s="305"/>
      <c r="AA231" s="305"/>
      <c r="AB231" s="305"/>
      <c r="AC231" s="305"/>
      <c r="AD231" s="305"/>
      <c r="AE231" s="305"/>
      <c r="AF231" s="305"/>
    </row>
    <row r="232" spans="1:32" s="52" customFormat="1" ht="14.25" customHeight="1">
      <c r="A232" s="285"/>
      <c r="B232" s="2618" t="s">
        <v>426</v>
      </c>
      <c r="C232" s="2191">
        <f>SUM(C233:C235)</f>
        <v>-105626</v>
      </c>
      <c r="D232" s="2190">
        <f t="shared" ref="D232:H232" si="42">SUM(D233:D235)</f>
        <v>-42258</v>
      </c>
      <c r="E232" s="2191">
        <f t="shared" si="42"/>
        <v>-106891</v>
      </c>
      <c r="F232" s="2190">
        <f t="shared" si="42"/>
        <v>-3449252</v>
      </c>
      <c r="G232" s="2191">
        <f t="shared" si="42"/>
        <v>-2302144</v>
      </c>
      <c r="H232" s="2190">
        <f t="shared" si="42"/>
        <v>-152728</v>
      </c>
      <c r="I232" s="2688">
        <f t="shared" si="39"/>
        <v>-6158899</v>
      </c>
      <c r="J232" s="278"/>
      <c r="K232" s="416"/>
      <c r="L232" s="498"/>
      <c r="M232" s="305"/>
      <c r="N232" s="430"/>
      <c r="O232" s="430"/>
      <c r="P232" s="430"/>
      <c r="Q232" s="430"/>
      <c r="R232" s="430"/>
      <c r="W232" s="305"/>
      <c r="X232" s="305"/>
      <c r="Y232" s="305"/>
      <c r="Z232" s="305"/>
      <c r="AA232" s="305"/>
      <c r="AB232" s="305"/>
      <c r="AC232" s="305"/>
      <c r="AD232" s="305"/>
      <c r="AE232" s="305"/>
      <c r="AF232" s="305"/>
    </row>
    <row r="233" spans="1:32" s="52" customFormat="1" ht="27.6" customHeight="1">
      <c r="A233" s="285"/>
      <c r="B233" s="2616" t="s">
        <v>427</v>
      </c>
      <c r="C233" s="2645">
        <v>-121093</v>
      </c>
      <c r="D233" s="2644">
        <v>-54707</v>
      </c>
      <c r="E233" s="2645">
        <v>-65253</v>
      </c>
      <c r="F233" s="2644">
        <v>-2109845</v>
      </c>
      <c r="G233" s="2645">
        <v>-1421621</v>
      </c>
      <c r="H233" s="2644">
        <v>-103187</v>
      </c>
      <c r="I233" s="2688">
        <f t="shared" si="39"/>
        <v>-3875706</v>
      </c>
      <c r="J233" s="293"/>
      <c r="K233" s="416"/>
      <c r="L233" s="498"/>
      <c r="M233" s="305"/>
      <c r="N233" s="430"/>
      <c r="O233" s="430"/>
      <c r="P233" s="430"/>
      <c r="Q233" s="430"/>
      <c r="R233" s="430"/>
      <c r="W233" s="305"/>
      <c r="X233" s="305"/>
      <c r="Y233" s="305"/>
      <c r="Z233" s="305"/>
      <c r="AA233" s="305"/>
      <c r="AB233" s="305"/>
      <c r="AC233" s="305"/>
      <c r="AD233" s="305"/>
      <c r="AE233" s="305"/>
      <c r="AF233" s="305"/>
    </row>
    <row r="234" spans="1:32" s="52" customFormat="1" ht="14.25" customHeight="1">
      <c r="A234" s="285"/>
      <c r="B234" s="2616" t="s">
        <v>428</v>
      </c>
      <c r="C234" s="856">
        <v>81404</v>
      </c>
      <c r="D234" s="857">
        <v>52556</v>
      </c>
      <c r="E234" s="856">
        <v>-5527</v>
      </c>
      <c r="F234" s="857">
        <v>-171768</v>
      </c>
      <c r="G234" s="856">
        <v>-230960</v>
      </c>
      <c r="H234" s="857">
        <v>16324</v>
      </c>
      <c r="I234" s="2688">
        <f t="shared" si="39"/>
        <v>-257971</v>
      </c>
      <c r="J234" s="293"/>
      <c r="K234" s="416"/>
      <c r="L234" s="498"/>
      <c r="M234" s="305"/>
      <c r="N234" s="430"/>
      <c r="O234" s="430"/>
      <c r="P234" s="430"/>
      <c r="Q234" s="430"/>
      <c r="R234" s="430"/>
      <c r="W234" s="305"/>
      <c r="X234" s="305"/>
      <c r="Y234" s="305"/>
      <c r="Z234" s="305"/>
      <c r="AA234" s="305"/>
      <c r="AB234" s="305"/>
      <c r="AC234" s="305"/>
      <c r="AD234" s="305"/>
      <c r="AE234" s="305"/>
      <c r="AF234" s="305"/>
    </row>
    <row r="235" spans="1:32" s="52" customFormat="1" ht="14.25" customHeight="1">
      <c r="A235" s="285"/>
      <c r="B235" s="2616" t="s">
        <v>429</v>
      </c>
      <c r="C235" s="856">
        <v>-65937</v>
      </c>
      <c r="D235" s="857">
        <v>-40107</v>
      </c>
      <c r="E235" s="856">
        <v>-36111</v>
      </c>
      <c r="F235" s="857">
        <v>-1167639</v>
      </c>
      <c r="G235" s="856">
        <v>-649563</v>
      </c>
      <c r="H235" s="857">
        <v>-65865</v>
      </c>
      <c r="I235" s="2688">
        <f t="shared" si="39"/>
        <v>-2025222</v>
      </c>
      <c r="J235" s="278"/>
      <c r="K235" s="416"/>
      <c r="L235" s="498"/>
      <c r="M235" s="305"/>
      <c r="N235" s="430"/>
      <c r="O235" s="430"/>
      <c r="P235" s="430"/>
      <c r="Q235" s="430"/>
      <c r="R235" s="430"/>
      <c r="W235" s="305"/>
      <c r="X235" s="305"/>
      <c r="Y235" s="305"/>
      <c r="Z235" s="305"/>
      <c r="AA235" s="305"/>
      <c r="AB235" s="305"/>
      <c r="AC235" s="305"/>
      <c r="AD235" s="305"/>
      <c r="AE235" s="305"/>
      <c r="AF235" s="305"/>
    </row>
    <row r="236" spans="1:32" s="52" customFormat="1" ht="14.25" customHeight="1">
      <c r="A236" s="285"/>
      <c r="B236" s="2618" t="s">
        <v>430</v>
      </c>
      <c r="C236" s="2619">
        <f t="shared" ref="C236:G236" si="43">C230+C233+C234+C235</f>
        <v>100173</v>
      </c>
      <c r="D236" s="2620">
        <f t="shared" si="43"/>
        <v>82924</v>
      </c>
      <c r="E236" s="2619">
        <f t="shared" si="43"/>
        <v>5818</v>
      </c>
      <c r="F236" s="2620">
        <f t="shared" si="43"/>
        <v>195136</v>
      </c>
      <c r="G236" s="2619">
        <f t="shared" si="43"/>
        <v>-274753</v>
      </c>
      <c r="H236" s="2620">
        <f>H230+H233+H234+H235</f>
        <v>52847</v>
      </c>
      <c r="I236" s="2701">
        <f t="shared" si="39"/>
        <v>162145</v>
      </c>
      <c r="J236" s="293"/>
      <c r="K236" s="432"/>
      <c r="L236" s="498"/>
      <c r="M236" s="305"/>
      <c r="N236" s="430"/>
      <c r="O236" s="430"/>
      <c r="P236" s="430"/>
      <c r="Q236" s="430"/>
      <c r="R236" s="430"/>
      <c r="W236" s="305"/>
      <c r="X236" s="305"/>
      <c r="Y236" s="305"/>
      <c r="Z236" s="305"/>
      <c r="AA236" s="305"/>
      <c r="AB236" s="305"/>
      <c r="AC236" s="305"/>
      <c r="AD236" s="305"/>
      <c r="AE236" s="305"/>
      <c r="AF236" s="305"/>
    </row>
    <row r="237" spans="1:32" s="52" customFormat="1" ht="14.25" customHeight="1">
      <c r="A237" s="285"/>
      <c r="B237" s="2616"/>
      <c r="C237" s="2690"/>
      <c r="D237" s="2692"/>
      <c r="E237" s="2690"/>
      <c r="F237" s="2692"/>
      <c r="G237" s="2690"/>
      <c r="H237" s="2692"/>
      <c r="I237" s="2688"/>
      <c r="J237" s="278"/>
      <c r="K237" s="416"/>
      <c r="L237" s="498"/>
      <c r="M237" s="305"/>
      <c r="W237" s="305"/>
      <c r="X237" s="305"/>
      <c r="Y237" s="305"/>
      <c r="Z237" s="305"/>
      <c r="AA237" s="305"/>
      <c r="AB237" s="305"/>
      <c r="AC237" s="305"/>
      <c r="AD237" s="305"/>
      <c r="AE237" s="305"/>
      <c r="AF237" s="305"/>
    </row>
    <row r="238" spans="1:32" s="52" customFormat="1" ht="14.25" customHeight="1">
      <c r="A238" s="285"/>
      <c r="B238" s="2618" t="s">
        <v>431</v>
      </c>
      <c r="C238" s="2690"/>
      <c r="D238" s="2692"/>
      <c r="E238" s="2690"/>
      <c r="F238" s="2692"/>
      <c r="G238" s="2690"/>
      <c r="H238" s="2692"/>
      <c r="I238" s="2701">
        <f>SUM(I240:I241)</f>
        <v>871560</v>
      </c>
      <c r="J238" s="278"/>
      <c r="K238" s="416"/>
      <c r="L238" s="498"/>
      <c r="M238" s="305"/>
      <c r="W238" s="305"/>
      <c r="X238" s="305"/>
      <c r="Y238" s="305"/>
      <c r="Z238" s="305"/>
      <c r="AA238" s="305"/>
      <c r="AB238" s="305"/>
      <c r="AC238" s="305"/>
      <c r="AD238" s="305"/>
      <c r="AE238" s="305"/>
      <c r="AF238" s="305"/>
    </row>
    <row r="239" spans="1:32" s="52" customFormat="1" ht="14.25" customHeight="1">
      <c r="A239" s="285"/>
      <c r="B239" s="2616" t="s">
        <v>432</v>
      </c>
      <c r="C239" s="2690"/>
      <c r="D239" s="2692"/>
      <c r="E239" s="2690"/>
      <c r="F239" s="2692"/>
      <c r="G239" s="2690"/>
      <c r="H239" s="2692"/>
      <c r="I239" s="2688"/>
      <c r="J239" s="278"/>
      <c r="K239" s="416"/>
      <c r="L239" s="498"/>
      <c r="M239" s="305"/>
      <c r="W239" s="305"/>
      <c r="X239" s="305"/>
      <c r="Y239" s="305"/>
      <c r="Z239" s="305"/>
      <c r="AA239" s="305"/>
      <c r="AB239" s="305"/>
      <c r="AC239" s="305"/>
      <c r="AD239" s="305"/>
      <c r="AE239" s="305"/>
      <c r="AF239" s="305"/>
    </row>
    <row r="240" spans="1:32" s="52" customFormat="1" ht="14.25" customHeight="1">
      <c r="A240" s="285"/>
      <c r="B240" s="2616" t="s">
        <v>433</v>
      </c>
      <c r="C240" s="2690"/>
      <c r="D240" s="2692"/>
      <c r="E240" s="2690"/>
      <c r="F240" s="2692"/>
      <c r="G240" s="2690"/>
      <c r="H240" s="2692"/>
      <c r="I240" s="2723">
        <v>715508</v>
      </c>
      <c r="J240" s="278"/>
      <c r="K240" s="416"/>
      <c r="L240" s="498"/>
      <c r="M240" s="305"/>
      <c r="W240" s="305"/>
      <c r="X240" s="305"/>
      <c r="Y240" s="305"/>
      <c r="Z240" s="305"/>
      <c r="AA240" s="305"/>
      <c r="AB240" s="305"/>
      <c r="AC240" s="305"/>
      <c r="AD240" s="305"/>
      <c r="AE240" s="305"/>
      <c r="AF240" s="305"/>
    </row>
    <row r="241" spans="1:32" s="52" customFormat="1" ht="14.25" customHeight="1">
      <c r="A241" s="285"/>
      <c r="B241" s="2616" t="s">
        <v>434</v>
      </c>
      <c r="C241" s="2690"/>
      <c r="D241" s="2692"/>
      <c r="E241" s="2690"/>
      <c r="F241" s="2692"/>
      <c r="G241" s="2690"/>
      <c r="H241" s="2692"/>
      <c r="I241" s="1800">
        <v>156052</v>
      </c>
      <c r="J241" s="278"/>
      <c r="K241" s="416"/>
      <c r="L241" s="498"/>
      <c r="M241" s="305"/>
      <c r="W241" s="305"/>
      <c r="X241" s="305"/>
      <c r="Y241" s="305"/>
      <c r="Z241" s="305"/>
      <c r="AA241" s="305"/>
      <c r="AB241" s="305"/>
      <c r="AC241" s="305"/>
      <c r="AD241" s="305"/>
      <c r="AE241" s="305"/>
      <c r="AF241" s="305"/>
    </row>
    <row r="242" spans="1:32" s="52" customFormat="1" ht="14.25" customHeight="1">
      <c r="A242" s="285"/>
      <c r="B242" s="2616"/>
      <c r="C242" s="2690"/>
      <c r="D242" s="2692"/>
      <c r="E242" s="2690"/>
      <c r="F242" s="2692"/>
      <c r="G242" s="2690"/>
      <c r="H242" s="2692"/>
      <c r="I242" s="2688"/>
      <c r="J242" s="278"/>
      <c r="K242" s="416"/>
      <c r="L242" s="498"/>
      <c r="M242" s="305"/>
      <c r="W242" s="305"/>
      <c r="X242" s="305"/>
      <c r="Y242" s="305"/>
      <c r="Z242" s="305"/>
      <c r="AA242" s="305"/>
      <c r="AB242" s="305"/>
      <c r="AC242" s="305"/>
      <c r="AD242" s="305"/>
      <c r="AE242" s="305"/>
      <c r="AF242" s="305"/>
    </row>
    <row r="243" spans="1:32" s="52" customFormat="1" ht="14.25" customHeight="1">
      <c r="A243" s="285"/>
      <c r="B243" s="2618" t="s">
        <v>435</v>
      </c>
      <c r="C243" s="2690"/>
      <c r="D243" s="2692"/>
      <c r="E243" s="2690"/>
      <c r="F243" s="2692"/>
      <c r="G243" s="2690"/>
      <c r="H243" s="2692"/>
      <c r="I243" s="2688">
        <f>I244+I245</f>
        <v>-268017</v>
      </c>
      <c r="J243" s="278"/>
      <c r="K243" s="416"/>
      <c r="L243" s="498"/>
      <c r="M243" s="305"/>
      <c r="W243" s="305"/>
      <c r="X243" s="305"/>
      <c r="Y243" s="305"/>
      <c r="Z243" s="305"/>
      <c r="AA243" s="305"/>
      <c r="AB243" s="305"/>
      <c r="AC243" s="305"/>
      <c r="AD243" s="305"/>
      <c r="AE243" s="305"/>
      <c r="AF243" s="305"/>
    </row>
    <row r="244" spans="1:32" s="52" customFormat="1" ht="27.6" customHeight="1">
      <c r="A244" s="285"/>
      <c r="B244" s="2616" t="s">
        <v>436</v>
      </c>
      <c r="C244" s="2690"/>
      <c r="D244" s="2692"/>
      <c r="E244" s="2690"/>
      <c r="F244" s="2692"/>
      <c r="G244" s="2690"/>
      <c r="H244" s="2692"/>
      <c r="I244" s="2670">
        <v>-268017</v>
      </c>
      <c r="J244" s="278"/>
      <c r="K244" s="416"/>
      <c r="L244" s="498"/>
      <c r="M244" s="305"/>
      <c r="W244" s="305"/>
      <c r="X244" s="305"/>
      <c r="Y244" s="305"/>
      <c r="Z244" s="305"/>
      <c r="AA244" s="305"/>
      <c r="AB244" s="305"/>
      <c r="AC244" s="305"/>
      <c r="AD244" s="305"/>
      <c r="AE244" s="305"/>
      <c r="AF244" s="305"/>
    </row>
    <row r="245" spans="1:32" s="52" customFormat="1" ht="27.6" customHeight="1">
      <c r="A245" s="285"/>
      <c r="B245" s="2616" t="s">
        <v>437</v>
      </c>
      <c r="C245" s="2690"/>
      <c r="D245" s="2692"/>
      <c r="E245" s="2690"/>
      <c r="F245" s="2692"/>
      <c r="G245" s="2690"/>
      <c r="H245" s="2692"/>
      <c r="I245" s="2688"/>
      <c r="J245" s="278"/>
      <c r="K245" s="416"/>
      <c r="L245" s="498"/>
      <c r="M245" s="305"/>
      <c r="W245" s="305"/>
      <c r="X245" s="305"/>
      <c r="Y245" s="305"/>
      <c r="Z245" s="305"/>
      <c r="AA245" s="305"/>
      <c r="AB245" s="305"/>
      <c r="AC245" s="305"/>
      <c r="AD245" s="305"/>
      <c r="AE245" s="305"/>
      <c r="AF245" s="305"/>
    </row>
    <row r="246" spans="1:32" s="52" customFormat="1" ht="14.25" customHeight="1">
      <c r="A246" s="285"/>
      <c r="B246" s="2618" t="s">
        <v>438</v>
      </c>
      <c r="C246" s="2690"/>
      <c r="D246" s="2692"/>
      <c r="E246" s="2690"/>
      <c r="F246" s="2692"/>
      <c r="G246" s="2690"/>
      <c r="H246" s="2692"/>
      <c r="I246" s="2701">
        <f>+I236+I238+I244</f>
        <v>765688</v>
      </c>
      <c r="J246" s="278"/>
      <c r="K246" s="416"/>
      <c r="L246" s="498"/>
      <c r="M246" s="305"/>
      <c r="W246" s="305"/>
      <c r="X246" s="305"/>
      <c r="Y246" s="305"/>
      <c r="Z246" s="305"/>
      <c r="AA246" s="305"/>
      <c r="AB246" s="305"/>
      <c r="AC246" s="305"/>
      <c r="AD246" s="305"/>
      <c r="AE246" s="305"/>
      <c r="AF246" s="305"/>
    </row>
    <row r="247" spans="1:32" s="52" customFormat="1" ht="14.25" customHeight="1">
      <c r="A247" s="285"/>
      <c r="B247" s="2616" t="s">
        <v>439</v>
      </c>
      <c r="C247" s="2690"/>
      <c r="D247" s="2692"/>
      <c r="E247" s="2690"/>
      <c r="F247" s="2692"/>
      <c r="G247" s="2690"/>
      <c r="H247" s="2692"/>
      <c r="I247" s="2688"/>
      <c r="J247" s="278"/>
      <c r="K247" s="416"/>
      <c r="L247" s="498"/>
      <c r="M247" s="305"/>
      <c r="W247" s="305"/>
      <c r="X247" s="305"/>
      <c r="Y247" s="305"/>
      <c r="Z247" s="305"/>
      <c r="AA247" s="305"/>
      <c r="AB247" s="305"/>
      <c r="AC247" s="305"/>
      <c r="AD247" s="305"/>
      <c r="AE247" s="305"/>
      <c r="AF247" s="305"/>
    </row>
    <row r="248" spans="1:32" s="52" customFormat="1" ht="14.25" customHeight="1">
      <c r="A248" s="285"/>
      <c r="B248" s="2618" t="s">
        <v>440</v>
      </c>
      <c r="C248" s="2690"/>
      <c r="D248" s="2692"/>
      <c r="E248" s="2690"/>
      <c r="F248" s="2692"/>
      <c r="G248" s="2690"/>
      <c r="H248" s="2692"/>
      <c r="I248" s="2701">
        <f>SUM(I246:I247)</f>
        <v>765688</v>
      </c>
      <c r="J248" s="278"/>
      <c r="K248" s="416"/>
      <c r="L248" s="498"/>
      <c r="M248" s="305"/>
      <c r="W248" s="305"/>
      <c r="X248" s="305"/>
      <c r="Y248" s="305"/>
      <c r="Z248" s="305"/>
      <c r="AA248" s="305"/>
      <c r="AB248" s="305"/>
      <c r="AC248" s="305"/>
      <c r="AD248" s="305"/>
      <c r="AE248" s="305"/>
      <c r="AF248" s="305"/>
    </row>
    <row r="249" spans="1:32" s="52" customFormat="1" ht="14.25" customHeight="1">
      <c r="A249" s="285"/>
      <c r="B249" s="2616" t="s">
        <v>441</v>
      </c>
      <c r="C249" s="2690"/>
      <c r="D249" s="2692"/>
      <c r="E249" s="2690"/>
      <c r="F249" s="2692"/>
      <c r="G249" s="2690"/>
      <c r="H249" s="2692"/>
      <c r="I249" s="2670">
        <v>-236421</v>
      </c>
      <c r="J249" s="278"/>
      <c r="K249" s="416"/>
      <c r="L249" s="498"/>
      <c r="M249" s="305"/>
      <c r="W249" s="305"/>
      <c r="X249" s="305"/>
      <c r="Y249" s="305"/>
      <c r="Z249" s="305"/>
      <c r="AA249" s="305"/>
      <c r="AB249" s="305"/>
      <c r="AC249" s="305"/>
      <c r="AD249" s="305"/>
      <c r="AE249" s="305"/>
      <c r="AF249" s="305"/>
    </row>
    <row r="250" spans="1:32" s="52" customFormat="1" ht="14.25" customHeight="1" thickBot="1">
      <c r="A250" s="285"/>
      <c r="B250" s="1787" t="s">
        <v>442</v>
      </c>
      <c r="C250" s="876"/>
      <c r="D250" s="1315"/>
      <c r="E250" s="876"/>
      <c r="F250" s="1315"/>
      <c r="G250" s="876"/>
      <c r="H250" s="1315"/>
      <c r="I250" s="1791">
        <f>SUM(I248:I249)</f>
        <v>529267</v>
      </c>
      <c r="J250" s="278"/>
      <c r="K250" s="416"/>
      <c r="L250" s="498"/>
      <c r="M250" s="305"/>
      <c r="W250" s="305"/>
      <c r="X250" s="305"/>
      <c r="Y250" s="305"/>
      <c r="Z250" s="305"/>
      <c r="AA250" s="305"/>
      <c r="AB250" s="305"/>
      <c r="AC250" s="305"/>
      <c r="AD250" s="305"/>
      <c r="AE250" s="305"/>
      <c r="AF250" s="305"/>
    </row>
    <row r="251" spans="1:32" s="52" customFormat="1" ht="14.25" customHeight="1">
      <c r="A251" s="285"/>
      <c r="B251" s="391"/>
      <c r="C251" s="264"/>
      <c r="D251" s="264"/>
      <c r="E251" s="264"/>
      <c r="F251" s="264"/>
      <c r="G251" s="264"/>
      <c r="H251" s="264"/>
      <c r="I251" s="264"/>
      <c r="J251" s="383"/>
      <c r="K251" s="416"/>
      <c r="L251" s="430"/>
      <c r="M251" s="305"/>
      <c r="W251" s="305"/>
      <c r="X251" s="305"/>
      <c r="Y251" s="305"/>
      <c r="Z251" s="305"/>
      <c r="AA251" s="305"/>
      <c r="AB251" s="305"/>
      <c r="AC251" s="305"/>
      <c r="AD251" s="305"/>
      <c r="AE251" s="305"/>
      <c r="AF251" s="305"/>
    </row>
    <row r="252" spans="1:32" s="52" customFormat="1" ht="14.25" customHeight="1">
      <c r="A252" s="285"/>
      <c r="B252" s="391"/>
      <c r="C252" s="264"/>
      <c r="D252" s="264"/>
      <c r="E252" s="264"/>
      <c r="F252" s="264"/>
      <c r="G252" s="264"/>
      <c r="H252" s="264"/>
      <c r="I252" s="264"/>
      <c r="J252" s="383"/>
      <c r="K252" s="394">
        <v>132</v>
      </c>
      <c r="L252" s="430"/>
      <c r="M252" s="305"/>
      <c r="W252" s="305"/>
      <c r="X252" s="305"/>
      <c r="Y252" s="305"/>
      <c r="Z252" s="305"/>
      <c r="AA252" s="305"/>
      <c r="AB252" s="305"/>
      <c r="AC252" s="305"/>
      <c r="AD252" s="305"/>
      <c r="AE252" s="305"/>
      <c r="AF252" s="305"/>
    </row>
    <row r="253" spans="1:32" s="52" customFormat="1" ht="14.25" customHeight="1">
      <c r="A253" s="285"/>
      <c r="B253" s="455"/>
      <c r="C253" s="414"/>
      <c r="D253" s="414"/>
      <c r="E253" s="414"/>
      <c r="F253" s="414"/>
      <c r="G253" s="414"/>
      <c r="H253" s="414"/>
      <c r="I253" s="278"/>
      <c r="J253" s="278"/>
      <c r="K253" s="416"/>
      <c r="M253" s="305"/>
      <c r="W253" s="305"/>
      <c r="X253" s="305"/>
      <c r="Y253" s="305"/>
      <c r="Z253" s="305"/>
      <c r="AA253" s="305"/>
      <c r="AB253" s="305"/>
      <c r="AC253" s="305"/>
      <c r="AD253" s="305"/>
      <c r="AE253" s="305"/>
      <c r="AF253" s="305"/>
    </row>
    <row r="254" spans="1:32" s="52" customFormat="1" ht="14.25" customHeight="1">
      <c r="A254" s="285"/>
      <c r="B254" s="236" t="s">
        <v>451</v>
      </c>
      <c r="C254" s="279"/>
      <c r="D254" s="279"/>
      <c r="E254" s="414"/>
      <c r="F254" s="414"/>
      <c r="G254" s="414"/>
      <c r="H254" s="414"/>
      <c r="I254" s="278"/>
      <c r="J254" s="278"/>
      <c r="K254" s="416"/>
      <c r="M254" s="305"/>
      <c r="W254" s="305"/>
      <c r="X254" s="305"/>
      <c r="Y254" s="305"/>
      <c r="Z254" s="305"/>
      <c r="AA254" s="305"/>
      <c r="AB254" s="305"/>
      <c r="AC254" s="305"/>
      <c r="AD254" s="305"/>
      <c r="AE254" s="305"/>
      <c r="AF254" s="305"/>
    </row>
    <row r="255" spans="1:32" s="52" customFormat="1" ht="14.25" customHeight="1" thickBot="1">
      <c r="A255" s="285"/>
      <c r="B255" s="51"/>
      <c r="C255" s="529"/>
      <c r="D255" s="529"/>
      <c r="E255" s="414"/>
      <c r="F255" s="414"/>
      <c r="G255" s="414"/>
      <c r="H255" s="414"/>
      <c r="I255" s="278"/>
      <c r="J255" s="278"/>
      <c r="K255" s="416"/>
      <c r="M255" s="305"/>
      <c r="W255" s="305"/>
      <c r="X255" s="305"/>
      <c r="Y255" s="305"/>
      <c r="Z255" s="305"/>
      <c r="AA255" s="305"/>
      <c r="AB255" s="305"/>
      <c r="AC255" s="305"/>
      <c r="AD255" s="305"/>
      <c r="AE255" s="305"/>
      <c r="AF255" s="305"/>
    </row>
    <row r="256" spans="1:32" ht="14.25" customHeight="1">
      <c r="B256" s="1765" t="s">
        <v>104</v>
      </c>
      <c r="C256" s="468"/>
      <c r="D256" s="468"/>
      <c r="E256" s="468"/>
      <c r="F256" s="468"/>
      <c r="H256" s="3668" t="s">
        <v>232</v>
      </c>
      <c r="I256" s="3668"/>
      <c r="J256" s="385"/>
      <c r="K256" s="52"/>
      <c r="M256" s="305"/>
      <c r="W256" s="305"/>
      <c r="X256" s="305"/>
      <c r="Y256" s="305"/>
      <c r="Z256" s="305"/>
      <c r="AA256" s="305"/>
      <c r="AB256" s="305"/>
      <c r="AC256" s="305"/>
      <c r="AD256" s="305"/>
      <c r="AE256" s="305"/>
      <c r="AF256" s="305"/>
    </row>
    <row r="257" spans="1:32" s="52" customFormat="1" ht="14.25" customHeight="1">
      <c r="A257" s="278"/>
      <c r="B257" s="3663"/>
      <c r="C257" s="3575">
        <v>2020</v>
      </c>
      <c r="D257" s="3576"/>
      <c r="E257" s="3576"/>
      <c r="F257" s="3576"/>
      <c r="G257" s="3576"/>
      <c r="H257" s="3576"/>
      <c r="I257" s="3577"/>
      <c r="J257" s="278"/>
      <c r="M257" s="305"/>
      <c r="W257" s="305"/>
      <c r="X257" s="305"/>
      <c r="Y257" s="305"/>
      <c r="Z257" s="305"/>
      <c r="AA257" s="305"/>
      <c r="AB257" s="305"/>
      <c r="AC257" s="305"/>
      <c r="AD257" s="305"/>
      <c r="AE257" s="305"/>
      <c r="AF257" s="305"/>
    </row>
    <row r="258" spans="1:32" s="52" customFormat="1" ht="14.25" customHeight="1">
      <c r="A258" s="394"/>
      <c r="B258" s="3674"/>
      <c r="C258" s="3666" t="s">
        <v>412</v>
      </c>
      <c r="D258" s="3676" t="s">
        <v>413</v>
      </c>
      <c r="E258" s="3671" t="s">
        <v>414</v>
      </c>
      <c r="F258" s="3678"/>
      <c r="G258" s="3666" t="s">
        <v>415</v>
      </c>
      <c r="H258" s="3679" t="s">
        <v>416</v>
      </c>
      <c r="I258" s="3666" t="s">
        <v>118</v>
      </c>
      <c r="J258" s="278"/>
      <c r="M258" s="305"/>
      <c r="W258" s="305"/>
      <c r="X258" s="305"/>
      <c r="Y258" s="305"/>
      <c r="Z258" s="305"/>
      <c r="AA258" s="305"/>
      <c r="AB258" s="305"/>
      <c r="AC258" s="305"/>
      <c r="AD258" s="305"/>
      <c r="AE258" s="305"/>
      <c r="AF258" s="305"/>
    </row>
    <row r="259" spans="1:32" s="52" customFormat="1" ht="14.25" customHeight="1" thickBot="1">
      <c r="A259" s="394"/>
      <c r="B259" s="3675"/>
      <c r="C259" s="3670"/>
      <c r="D259" s="3677"/>
      <c r="E259" s="1793" t="s">
        <v>418</v>
      </c>
      <c r="F259" s="1799" t="s">
        <v>419</v>
      </c>
      <c r="G259" s="3670"/>
      <c r="H259" s="3677"/>
      <c r="I259" s="3670"/>
      <c r="J259" s="278"/>
      <c r="M259" s="305"/>
      <c r="W259" s="305"/>
      <c r="X259" s="305"/>
      <c r="Y259" s="305"/>
      <c r="Z259" s="305"/>
      <c r="AA259" s="305"/>
      <c r="AB259" s="305"/>
      <c r="AC259" s="305"/>
      <c r="AD259" s="305"/>
      <c r="AE259" s="305"/>
      <c r="AF259" s="305"/>
    </row>
    <row r="260" spans="1:32" s="52" customFormat="1" ht="14.25" customHeight="1">
      <c r="A260" s="285"/>
      <c r="B260" s="1761" t="s">
        <v>333</v>
      </c>
      <c r="C260" s="2724">
        <v>647788</v>
      </c>
      <c r="D260" s="2725">
        <v>54682</v>
      </c>
      <c r="E260" s="2724">
        <v>3454</v>
      </c>
      <c r="F260" s="2725">
        <v>3579607</v>
      </c>
      <c r="G260" s="2724">
        <v>472065</v>
      </c>
      <c r="H260" s="2725">
        <v>240132</v>
      </c>
      <c r="I260" s="1801">
        <f t="shared" ref="I260:I272" si="44">H260+G260+F260+E260+D260+C260</f>
        <v>4997728</v>
      </c>
      <c r="J260" s="278"/>
      <c r="L260" s="305"/>
      <c r="M260" s="305"/>
      <c r="N260" s="305"/>
      <c r="O260" s="305"/>
      <c r="P260" s="305"/>
      <c r="Q260" s="305"/>
      <c r="R260" s="305"/>
      <c r="W260" s="305"/>
      <c r="X260" s="305"/>
      <c r="Y260" s="305"/>
      <c r="Z260" s="305"/>
      <c r="AA260" s="305"/>
      <c r="AB260" s="305"/>
      <c r="AC260" s="305"/>
      <c r="AD260" s="305"/>
      <c r="AE260" s="305"/>
      <c r="AF260" s="305"/>
    </row>
    <row r="261" spans="1:32" s="52" customFormat="1" ht="14.25" customHeight="1">
      <c r="A261" s="285"/>
      <c r="B261" s="2616" t="s">
        <v>447</v>
      </c>
      <c r="C261" s="882"/>
      <c r="D261" s="883"/>
      <c r="E261" s="882"/>
      <c r="F261" s="883"/>
      <c r="G261" s="882"/>
      <c r="H261" s="883"/>
      <c r="I261" s="2726">
        <f t="shared" si="44"/>
        <v>0</v>
      </c>
      <c r="J261" s="278"/>
      <c r="L261" s="305"/>
      <c r="M261" s="305"/>
      <c r="N261" s="305"/>
      <c r="O261" s="305"/>
      <c r="P261" s="305"/>
      <c r="Q261" s="305"/>
      <c r="R261" s="305"/>
      <c r="W261" s="305"/>
      <c r="X261" s="305"/>
      <c r="Y261" s="305"/>
      <c r="Z261" s="305"/>
      <c r="AA261" s="305"/>
      <c r="AB261" s="305"/>
      <c r="AC261" s="305"/>
      <c r="AD261" s="305"/>
      <c r="AE261" s="305"/>
      <c r="AF261" s="305"/>
    </row>
    <row r="262" spans="1:32" s="52" customFormat="1" ht="14.25" customHeight="1">
      <c r="A262" s="285"/>
      <c r="B262" s="2616" t="s">
        <v>421</v>
      </c>
      <c r="C262" s="882">
        <v>-278752</v>
      </c>
      <c r="D262" s="883">
        <v>-2</v>
      </c>
      <c r="E262" s="882"/>
      <c r="F262" s="883">
        <v>-91708</v>
      </c>
      <c r="G262" s="882"/>
      <c r="H262" s="883">
        <v>-44031</v>
      </c>
      <c r="I262" s="2726">
        <f t="shared" si="44"/>
        <v>-414493</v>
      </c>
      <c r="J262" s="278"/>
      <c r="L262" s="305"/>
      <c r="M262" s="305"/>
      <c r="N262" s="305"/>
      <c r="O262" s="305"/>
      <c r="P262" s="305"/>
      <c r="Q262" s="305"/>
      <c r="R262" s="305"/>
      <c r="W262" s="305"/>
      <c r="X262" s="305"/>
      <c r="Y262" s="305"/>
      <c r="Z262" s="305"/>
      <c r="AA262" s="305"/>
      <c r="AB262" s="305"/>
      <c r="AC262" s="305"/>
      <c r="AD262" s="305"/>
      <c r="AE262" s="305"/>
      <c r="AF262" s="305"/>
    </row>
    <row r="263" spans="1:32" s="52" customFormat="1" ht="14.25" customHeight="1">
      <c r="A263" s="285"/>
      <c r="B263" s="2616" t="s">
        <v>422</v>
      </c>
      <c r="C263" s="882">
        <v>-354121</v>
      </c>
      <c r="D263" s="883">
        <v>-52838</v>
      </c>
      <c r="E263" s="882"/>
      <c r="F263" s="883">
        <v>-60522</v>
      </c>
      <c r="G263" s="882"/>
      <c r="H263" s="883">
        <v>-160841</v>
      </c>
      <c r="I263" s="2726">
        <f t="shared" si="44"/>
        <v>-628322</v>
      </c>
      <c r="J263" s="278"/>
      <c r="K263" s="418"/>
      <c r="L263" s="305"/>
      <c r="M263" s="305"/>
      <c r="N263" s="305"/>
      <c r="O263" s="305"/>
      <c r="P263" s="305"/>
      <c r="Q263" s="305"/>
      <c r="R263" s="305"/>
      <c r="W263" s="305"/>
      <c r="X263" s="305"/>
      <c r="Y263" s="305"/>
      <c r="Z263" s="305"/>
      <c r="AA263" s="305"/>
      <c r="AB263" s="305"/>
      <c r="AC263" s="305"/>
      <c r="AD263" s="305"/>
      <c r="AE263" s="305"/>
      <c r="AF263" s="305"/>
    </row>
    <row r="264" spans="1:32" s="52" customFormat="1" ht="14.25" customHeight="1">
      <c r="A264" s="285"/>
      <c r="B264" s="2618" t="s">
        <v>423</v>
      </c>
      <c r="C264" s="2727">
        <f t="shared" ref="C264:H264" si="45">C260+C261+C262+C263</f>
        <v>14915</v>
      </c>
      <c r="D264" s="2728">
        <f t="shared" si="45"/>
        <v>1842</v>
      </c>
      <c r="E264" s="2727">
        <f t="shared" si="45"/>
        <v>3454</v>
      </c>
      <c r="F264" s="2728">
        <f t="shared" si="45"/>
        <v>3427377</v>
      </c>
      <c r="G264" s="2727">
        <f t="shared" si="45"/>
        <v>472065</v>
      </c>
      <c r="H264" s="2728">
        <f t="shared" si="45"/>
        <v>35260</v>
      </c>
      <c r="I264" s="2729">
        <f t="shared" si="44"/>
        <v>3954913</v>
      </c>
      <c r="J264" s="278"/>
      <c r="K264" s="418"/>
      <c r="L264" s="305"/>
      <c r="M264" s="305"/>
      <c r="N264" s="305"/>
      <c r="O264" s="305"/>
      <c r="P264" s="305"/>
      <c r="Q264" s="305"/>
      <c r="R264" s="305"/>
      <c r="W264" s="305"/>
      <c r="X264" s="305"/>
      <c r="Y264" s="305"/>
      <c r="Z264" s="305"/>
      <c r="AA264" s="305"/>
      <c r="AB264" s="305"/>
      <c r="AC264" s="305"/>
      <c r="AD264" s="305"/>
      <c r="AE264" s="305"/>
      <c r="AF264" s="305"/>
    </row>
    <row r="265" spans="1:32" s="52" customFormat="1" ht="14.25" customHeight="1">
      <c r="A265" s="285"/>
      <c r="B265" s="2616" t="s">
        <v>424</v>
      </c>
      <c r="C265" s="2724">
        <v>1936</v>
      </c>
      <c r="D265" s="2725">
        <v>113</v>
      </c>
      <c r="E265" s="2724">
        <v>24</v>
      </c>
      <c r="F265" s="2725">
        <v>-12083</v>
      </c>
      <c r="G265" s="2724">
        <v>-149842</v>
      </c>
      <c r="H265" s="2725">
        <v>-4404</v>
      </c>
      <c r="I265" s="2726">
        <f t="shared" si="44"/>
        <v>-164256</v>
      </c>
      <c r="J265" s="278"/>
      <c r="K265" s="416"/>
      <c r="L265" s="305"/>
      <c r="M265" s="305"/>
      <c r="N265" s="305"/>
      <c r="O265" s="305"/>
      <c r="P265" s="305"/>
      <c r="Q265" s="305"/>
      <c r="R265" s="305"/>
      <c r="W265" s="305"/>
      <c r="X265" s="305"/>
      <c r="Y265" s="305"/>
      <c r="Z265" s="305"/>
      <c r="AA265" s="305"/>
      <c r="AB265" s="305"/>
      <c r="AC265" s="305"/>
      <c r="AD265" s="305"/>
      <c r="AE265" s="305"/>
      <c r="AF265" s="305"/>
    </row>
    <row r="266" spans="1:32" s="52" customFormat="1" ht="14.25" customHeight="1">
      <c r="A266" s="285"/>
      <c r="B266" s="2618" t="s">
        <v>425</v>
      </c>
      <c r="C266" s="2727">
        <f t="shared" ref="C266:H266" si="46">C264+C265</f>
        <v>16851</v>
      </c>
      <c r="D266" s="2728">
        <f t="shared" si="46"/>
        <v>1955</v>
      </c>
      <c r="E266" s="2727">
        <f t="shared" si="46"/>
        <v>3478</v>
      </c>
      <c r="F266" s="2728">
        <f t="shared" si="46"/>
        <v>3415294</v>
      </c>
      <c r="G266" s="2727">
        <f t="shared" si="46"/>
        <v>322223</v>
      </c>
      <c r="H266" s="2728">
        <f t="shared" si="46"/>
        <v>30856</v>
      </c>
      <c r="I266" s="2729">
        <f t="shared" si="44"/>
        <v>3790657</v>
      </c>
      <c r="J266" s="278"/>
      <c r="K266" s="416"/>
      <c r="L266" s="305"/>
      <c r="M266" s="305"/>
      <c r="N266" s="305"/>
      <c r="O266" s="305"/>
      <c r="P266" s="305"/>
      <c r="Q266" s="305"/>
      <c r="R266" s="305"/>
      <c r="W266" s="305"/>
      <c r="X266" s="305"/>
      <c r="Y266" s="305"/>
      <c r="Z266" s="305"/>
      <c r="AA266" s="305"/>
      <c r="AB266" s="305"/>
      <c r="AC266" s="305"/>
      <c r="AD266" s="305"/>
      <c r="AE266" s="305"/>
      <c r="AF266" s="305"/>
    </row>
    <row r="267" spans="1:32" s="52" customFormat="1" ht="14.25" customHeight="1">
      <c r="A267" s="285"/>
      <c r="B267" s="2616"/>
      <c r="C267" s="2730"/>
      <c r="D267" s="2731"/>
      <c r="E267" s="2730"/>
      <c r="F267" s="2731"/>
      <c r="G267" s="2730"/>
      <c r="H267" s="2731"/>
      <c r="I267" s="2726">
        <f t="shared" si="44"/>
        <v>0</v>
      </c>
      <c r="J267" s="278"/>
      <c r="K267" s="416"/>
      <c r="M267" s="305"/>
      <c r="W267" s="305"/>
      <c r="X267" s="305"/>
      <c r="Y267" s="305"/>
      <c r="Z267" s="305"/>
      <c r="AA267" s="305"/>
      <c r="AB267" s="305"/>
      <c r="AC267" s="305"/>
      <c r="AD267" s="305"/>
      <c r="AE267" s="305"/>
      <c r="AF267" s="305"/>
    </row>
    <row r="268" spans="1:32" s="52" customFormat="1" ht="14.25" customHeight="1">
      <c r="A268" s="285"/>
      <c r="B268" s="2618" t="s">
        <v>426</v>
      </c>
      <c r="C268" s="2730">
        <f>SUM(C269:C271)</f>
        <v>34499</v>
      </c>
      <c r="D268" s="2731">
        <f t="shared" ref="D268:H268" si="47">SUM(D269:D271)</f>
        <v>7379</v>
      </c>
      <c r="E268" s="2730">
        <f t="shared" si="47"/>
        <v>55</v>
      </c>
      <c r="F268" s="2731">
        <f t="shared" si="47"/>
        <v>-2215034</v>
      </c>
      <c r="G268" s="2730">
        <f t="shared" si="47"/>
        <v>-295541</v>
      </c>
      <c r="H268" s="2731">
        <f t="shared" si="47"/>
        <v>12601</v>
      </c>
      <c r="I268" s="2726">
        <f t="shared" si="44"/>
        <v>-2456041</v>
      </c>
      <c r="J268" s="278"/>
      <c r="K268" s="416"/>
      <c r="L268" s="305"/>
      <c r="M268" s="305"/>
      <c r="W268" s="305"/>
      <c r="X268" s="305"/>
      <c r="Y268" s="305"/>
      <c r="Z268" s="305"/>
      <c r="AA268" s="305"/>
      <c r="AB268" s="305"/>
      <c r="AC268" s="305"/>
      <c r="AD268" s="305"/>
      <c r="AE268" s="305"/>
      <c r="AF268" s="305"/>
    </row>
    <row r="269" spans="1:32" s="52" customFormat="1" ht="30" customHeight="1">
      <c r="A269" s="285"/>
      <c r="B269" s="2616" t="s">
        <v>427</v>
      </c>
      <c r="C269" s="2724">
        <v>-26365</v>
      </c>
      <c r="D269" s="2725">
        <v>-1942</v>
      </c>
      <c r="E269" s="2724">
        <v>-187</v>
      </c>
      <c r="F269" s="2725">
        <v>-1744284</v>
      </c>
      <c r="G269" s="2724">
        <v>-267647</v>
      </c>
      <c r="H269" s="2725">
        <v>-24077</v>
      </c>
      <c r="I269" s="2726">
        <f t="shared" si="44"/>
        <v>-2064502</v>
      </c>
      <c r="J269" s="278"/>
      <c r="K269" s="416"/>
      <c r="L269" s="305"/>
      <c r="M269" s="305"/>
      <c r="N269" s="305"/>
      <c r="O269" s="305"/>
      <c r="P269" s="305"/>
      <c r="Q269" s="305"/>
      <c r="R269" s="305"/>
      <c r="W269" s="305"/>
      <c r="X269" s="305"/>
      <c r="Y269" s="305"/>
      <c r="Z269" s="305"/>
      <c r="AA269" s="305"/>
      <c r="AB269" s="305"/>
      <c r="AC269" s="305"/>
      <c r="AD269" s="305"/>
      <c r="AE269" s="305"/>
      <c r="AF269" s="305"/>
    </row>
    <row r="270" spans="1:32" s="52" customFormat="1" ht="14.25" customHeight="1">
      <c r="A270" s="285"/>
      <c r="B270" s="2616" t="s">
        <v>428</v>
      </c>
      <c r="C270" s="882">
        <v>60537</v>
      </c>
      <c r="D270" s="883">
        <v>9220</v>
      </c>
      <c r="E270" s="882">
        <v>242</v>
      </c>
      <c r="F270" s="883">
        <v>-446030</v>
      </c>
      <c r="G270" s="882">
        <v>-26272</v>
      </c>
      <c r="H270" s="883">
        <v>35774</v>
      </c>
      <c r="I270" s="2726">
        <f t="shared" si="44"/>
        <v>-366529</v>
      </c>
      <c r="J270" s="278"/>
      <c r="K270" s="416"/>
      <c r="L270" s="305"/>
      <c r="M270" s="305"/>
      <c r="N270" s="305"/>
      <c r="O270" s="305"/>
      <c r="P270" s="305"/>
      <c r="Q270" s="305"/>
      <c r="R270" s="305"/>
      <c r="W270" s="305"/>
      <c r="X270" s="305"/>
      <c r="Y270" s="305"/>
      <c r="Z270" s="305"/>
      <c r="AA270" s="305"/>
      <c r="AB270" s="305"/>
      <c r="AC270" s="305"/>
      <c r="AD270" s="305"/>
      <c r="AE270" s="305"/>
      <c r="AF270" s="305"/>
    </row>
    <row r="271" spans="1:32" s="52" customFormat="1" ht="14.25" customHeight="1">
      <c r="A271" s="285"/>
      <c r="B271" s="2616" t="s">
        <v>429</v>
      </c>
      <c r="C271" s="882">
        <v>327</v>
      </c>
      <c r="D271" s="883">
        <v>101</v>
      </c>
      <c r="E271" s="882"/>
      <c r="F271" s="883">
        <v>-24720</v>
      </c>
      <c r="G271" s="882">
        <v>-1622</v>
      </c>
      <c r="H271" s="883">
        <v>904</v>
      </c>
      <c r="I271" s="2726">
        <f t="shared" si="44"/>
        <v>-25010</v>
      </c>
      <c r="J271" s="278"/>
      <c r="K271" s="416"/>
      <c r="L271" s="305"/>
      <c r="M271" s="305"/>
      <c r="N271" s="305"/>
      <c r="O271" s="305"/>
      <c r="P271" s="305"/>
      <c r="Q271" s="305"/>
      <c r="R271" s="305"/>
      <c r="W271" s="305"/>
      <c r="X271" s="305"/>
      <c r="Y271" s="305"/>
      <c r="Z271" s="305"/>
      <c r="AA271" s="305"/>
      <c r="AB271" s="305"/>
      <c r="AC271" s="305"/>
      <c r="AD271" s="305"/>
      <c r="AE271" s="305"/>
      <c r="AF271" s="305"/>
    </row>
    <row r="272" spans="1:32" s="52" customFormat="1" ht="14.25" customHeight="1">
      <c r="A272" s="285"/>
      <c r="B272" s="2618" t="s">
        <v>430</v>
      </c>
      <c r="C272" s="2727">
        <f t="shared" ref="C272:G272" si="48">C266+C269+C270+C271</f>
        <v>51350</v>
      </c>
      <c r="D272" s="2728">
        <f t="shared" si="48"/>
        <v>9334</v>
      </c>
      <c r="E272" s="2727">
        <f t="shared" si="48"/>
        <v>3533</v>
      </c>
      <c r="F272" s="2728">
        <f t="shared" si="48"/>
        <v>1200260</v>
      </c>
      <c r="G272" s="2727">
        <f t="shared" si="48"/>
        <v>26682</v>
      </c>
      <c r="H272" s="2728">
        <f>H266+H269+H270+H271</f>
        <v>43457</v>
      </c>
      <c r="I272" s="2729">
        <f t="shared" si="44"/>
        <v>1334616</v>
      </c>
      <c r="J272" s="278"/>
      <c r="K272" s="432"/>
      <c r="L272" s="305"/>
      <c r="M272" s="305"/>
      <c r="N272" s="305"/>
      <c r="O272" s="305"/>
      <c r="P272" s="305"/>
      <c r="Q272" s="305"/>
      <c r="R272" s="305"/>
      <c r="W272" s="305"/>
      <c r="X272" s="305"/>
      <c r="Y272" s="305"/>
      <c r="Z272" s="305"/>
      <c r="AA272" s="305"/>
      <c r="AB272" s="305"/>
      <c r="AC272" s="305"/>
      <c r="AD272" s="305"/>
      <c r="AE272" s="305"/>
      <c r="AF272" s="305"/>
    </row>
    <row r="273" spans="1:32" s="52" customFormat="1" ht="14.25" customHeight="1">
      <c r="A273" s="285"/>
      <c r="B273" s="2616"/>
      <c r="C273" s="2732"/>
      <c r="D273" s="2733"/>
      <c r="E273" s="2732"/>
      <c r="F273" s="2733"/>
      <c r="G273" s="2732"/>
      <c r="H273" s="2733"/>
      <c r="I273" s="2726"/>
      <c r="J273" s="278"/>
      <c r="K273" s="416"/>
      <c r="M273" s="305"/>
      <c r="W273" s="305"/>
      <c r="X273" s="305"/>
      <c r="Y273" s="305"/>
      <c r="Z273" s="305"/>
      <c r="AA273" s="305"/>
      <c r="AB273" s="305"/>
      <c r="AC273" s="305"/>
      <c r="AD273" s="305"/>
      <c r="AE273" s="305"/>
      <c r="AF273" s="305"/>
    </row>
    <row r="274" spans="1:32" s="52" customFormat="1" ht="14.25" customHeight="1">
      <c r="A274" s="285"/>
      <c r="B274" s="2618" t="s">
        <v>431</v>
      </c>
      <c r="C274" s="2732"/>
      <c r="D274" s="2733"/>
      <c r="E274" s="2732"/>
      <c r="F274" s="2733"/>
      <c r="G274" s="2732"/>
      <c r="H274" s="2733"/>
      <c r="I274" s="2729">
        <f>SUM(I275:I277)</f>
        <v>527667</v>
      </c>
      <c r="J274" s="278"/>
      <c r="K274" s="416"/>
      <c r="M274" s="305"/>
      <c r="W274" s="305"/>
      <c r="X274" s="305"/>
      <c r="Y274" s="305"/>
      <c r="Z274" s="305"/>
      <c r="AA274" s="305"/>
      <c r="AB274" s="305"/>
      <c r="AC274" s="305"/>
      <c r="AD274" s="305"/>
      <c r="AE274" s="305"/>
      <c r="AF274" s="305"/>
    </row>
    <row r="275" spans="1:32" s="52" customFormat="1" ht="14.25" customHeight="1">
      <c r="A275" s="285"/>
      <c r="B275" s="2616" t="s">
        <v>432</v>
      </c>
      <c r="C275" s="2732"/>
      <c r="D275" s="2733"/>
      <c r="E275" s="2732"/>
      <c r="F275" s="2733"/>
      <c r="G275" s="2732"/>
      <c r="H275" s="2733"/>
      <c r="I275" s="2734">
        <v>137055</v>
      </c>
      <c r="J275" s="278"/>
      <c r="K275" s="416"/>
      <c r="M275" s="305"/>
      <c r="W275" s="305"/>
      <c r="X275" s="305"/>
      <c r="Y275" s="305"/>
      <c r="Z275" s="305"/>
      <c r="AA275" s="305"/>
      <c r="AB275" s="305"/>
      <c r="AC275" s="305"/>
      <c r="AD275" s="305"/>
      <c r="AE275" s="305"/>
      <c r="AF275" s="305"/>
    </row>
    <row r="276" spans="1:32" s="52" customFormat="1" ht="14.25" customHeight="1">
      <c r="A276" s="285"/>
      <c r="B276" s="2616" t="s">
        <v>446</v>
      </c>
      <c r="C276" s="2732"/>
      <c r="D276" s="2733"/>
      <c r="E276" s="2732"/>
      <c r="F276" s="2733"/>
      <c r="G276" s="2732"/>
      <c r="H276" s="2733"/>
      <c r="I276" s="1802">
        <v>376680</v>
      </c>
      <c r="J276" s="278"/>
      <c r="K276" s="416"/>
      <c r="M276" s="305"/>
      <c r="W276" s="305"/>
      <c r="X276" s="305"/>
      <c r="Y276" s="305"/>
      <c r="Z276" s="305"/>
      <c r="AA276" s="305"/>
      <c r="AB276" s="305"/>
      <c r="AC276" s="305"/>
      <c r="AD276" s="305"/>
      <c r="AE276" s="305"/>
      <c r="AF276" s="305"/>
    </row>
    <row r="277" spans="1:32" s="52" customFormat="1" ht="14.25" customHeight="1">
      <c r="A277" s="285"/>
      <c r="B277" s="2616" t="s">
        <v>434</v>
      </c>
      <c r="C277" s="2732"/>
      <c r="D277" s="2733"/>
      <c r="E277" s="2732"/>
      <c r="F277" s="2733"/>
      <c r="G277" s="2732"/>
      <c r="H277" s="2733"/>
      <c r="I277" s="1802">
        <v>13932</v>
      </c>
      <c r="J277" s="278"/>
      <c r="K277" s="416"/>
      <c r="M277" s="305"/>
      <c r="W277" s="305"/>
      <c r="X277" s="305"/>
      <c r="Y277" s="305"/>
      <c r="Z277" s="305"/>
      <c r="AA277" s="305"/>
      <c r="AB277" s="305"/>
      <c r="AC277" s="305"/>
      <c r="AD277" s="305"/>
      <c r="AE277" s="305"/>
      <c r="AF277" s="305"/>
    </row>
    <row r="278" spans="1:32" s="52" customFormat="1" ht="14.25" customHeight="1">
      <c r="A278" s="285"/>
      <c r="B278" s="2616"/>
      <c r="C278" s="2732"/>
      <c r="D278" s="2733"/>
      <c r="E278" s="2732"/>
      <c r="F278" s="2733"/>
      <c r="G278" s="2732"/>
      <c r="H278" s="2733"/>
      <c r="I278" s="2726"/>
      <c r="J278" s="278"/>
      <c r="K278" s="416"/>
      <c r="M278" s="305"/>
      <c r="W278" s="305"/>
      <c r="X278" s="305"/>
      <c r="Y278" s="305"/>
      <c r="Z278" s="305"/>
      <c r="AA278" s="305"/>
      <c r="AB278" s="305"/>
      <c r="AC278" s="305"/>
      <c r="AD278" s="305"/>
      <c r="AE278" s="305"/>
      <c r="AF278" s="305"/>
    </row>
    <row r="279" spans="1:32" s="52" customFormat="1" ht="14.25" customHeight="1">
      <c r="A279" s="285"/>
      <c r="B279" s="2618" t="s">
        <v>435</v>
      </c>
      <c r="C279" s="2732"/>
      <c r="D279" s="2733"/>
      <c r="E279" s="2732"/>
      <c r="F279" s="2733"/>
      <c r="G279" s="2732"/>
      <c r="H279" s="2733"/>
      <c r="I279" s="2726">
        <f>I280+I281</f>
        <v>-1212747</v>
      </c>
      <c r="J279" s="278"/>
      <c r="K279" s="416"/>
      <c r="M279" s="305"/>
      <c r="W279" s="305"/>
      <c r="X279" s="305"/>
      <c r="Y279" s="305"/>
      <c r="Z279" s="305"/>
      <c r="AA279" s="305"/>
      <c r="AB279" s="305"/>
      <c r="AC279" s="305"/>
      <c r="AD279" s="305"/>
      <c r="AE279" s="305"/>
      <c r="AF279" s="305"/>
    </row>
    <row r="280" spans="1:32" s="52" customFormat="1" ht="28.15" customHeight="1">
      <c r="A280" s="285"/>
      <c r="B280" s="2616" t="s">
        <v>436</v>
      </c>
      <c r="C280" s="2732"/>
      <c r="D280" s="2733"/>
      <c r="E280" s="2732"/>
      <c r="F280" s="2733"/>
      <c r="G280" s="2732"/>
      <c r="H280" s="2733"/>
      <c r="I280" s="2734">
        <v>-1212747</v>
      </c>
      <c r="J280" s="278"/>
      <c r="K280" s="416"/>
      <c r="M280" s="305"/>
      <c r="W280" s="305"/>
      <c r="X280" s="305"/>
      <c r="Y280" s="305"/>
      <c r="Z280" s="305"/>
      <c r="AA280" s="305"/>
      <c r="AB280" s="305"/>
      <c r="AC280" s="305"/>
      <c r="AD280" s="305"/>
      <c r="AE280" s="305"/>
      <c r="AF280" s="305"/>
    </row>
    <row r="281" spans="1:32" s="52" customFormat="1" ht="28.15" customHeight="1">
      <c r="A281" s="285"/>
      <c r="B281" s="2616" t="s">
        <v>437</v>
      </c>
      <c r="C281" s="2732"/>
      <c r="D281" s="2733"/>
      <c r="E281" s="2732"/>
      <c r="F281" s="2733"/>
      <c r="G281" s="2732"/>
      <c r="H281" s="2733"/>
      <c r="I281" s="2726"/>
      <c r="J281" s="278"/>
      <c r="K281" s="416"/>
      <c r="M281" s="305"/>
      <c r="W281" s="305"/>
      <c r="X281" s="305"/>
      <c r="Y281" s="305"/>
      <c r="Z281" s="305"/>
      <c r="AA281" s="305"/>
      <c r="AB281" s="305"/>
      <c r="AC281" s="305"/>
      <c r="AD281" s="305"/>
      <c r="AE281" s="305"/>
      <c r="AF281" s="305"/>
    </row>
    <row r="282" spans="1:32" s="52" customFormat="1" ht="14.25" customHeight="1">
      <c r="A282" s="285"/>
      <c r="B282" s="2618" t="s">
        <v>438</v>
      </c>
      <c r="C282" s="2732"/>
      <c r="D282" s="2733"/>
      <c r="E282" s="2732"/>
      <c r="F282" s="2733"/>
      <c r="G282" s="2732"/>
      <c r="H282" s="2733"/>
      <c r="I282" s="2729">
        <f>+I272+I274+I280</f>
        <v>649536</v>
      </c>
      <c r="J282" s="278"/>
      <c r="K282" s="416"/>
      <c r="M282" s="305"/>
      <c r="W282" s="305"/>
      <c r="X282" s="305"/>
      <c r="Y282" s="305"/>
      <c r="Z282" s="305"/>
      <c r="AA282" s="305"/>
      <c r="AB282" s="305"/>
      <c r="AC282" s="305"/>
      <c r="AD282" s="305"/>
      <c r="AE282" s="305"/>
      <c r="AF282" s="305"/>
    </row>
    <row r="283" spans="1:32" s="52" customFormat="1" ht="14.25" customHeight="1">
      <c r="A283" s="285"/>
      <c r="B283" s="2616" t="s">
        <v>439</v>
      </c>
      <c r="C283" s="2732"/>
      <c r="D283" s="2733"/>
      <c r="E283" s="2732"/>
      <c r="F283" s="2733"/>
      <c r="G283" s="2732"/>
      <c r="H283" s="2733"/>
      <c r="I283" s="2734">
        <v>-18404</v>
      </c>
      <c r="J283" s="278"/>
      <c r="K283" s="416"/>
      <c r="M283" s="305"/>
      <c r="W283" s="305"/>
      <c r="X283" s="305"/>
      <c r="Y283" s="305"/>
      <c r="Z283" s="305"/>
      <c r="AA283" s="305"/>
      <c r="AB283" s="305"/>
      <c r="AC283" s="305"/>
      <c r="AD283" s="305"/>
      <c r="AE283" s="305"/>
      <c r="AF283" s="305"/>
    </row>
    <row r="284" spans="1:32" s="52" customFormat="1" ht="14.25" customHeight="1">
      <c r="A284" s="285"/>
      <c r="B284" s="2618" t="s">
        <v>440</v>
      </c>
      <c r="C284" s="2732"/>
      <c r="D284" s="2733"/>
      <c r="E284" s="2732"/>
      <c r="F284" s="2733"/>
      <c r="G284" s="2732"/>
      <c r="H284" s="2733"/>
      <c r="I284" s="2729">
        <f>SUM(I282:I283)</f>
        <v>631132</v>
      </c>
      <c r="J284" s="278"/>
      <c r="K284" s="416"/>
      <c r="M284" s="305"/>
      <c r="W284" s="305"/>
      <c r="X284" s="305"/>
      <c r="Y284" s="305"/>
      <c r="Z284" s="305"/>
      <c r="AA284" s="305"/>
      <c r="AB284" s="305"/>
      <c r="AC284" s="305"/>
      <c r="AD284" s="305"/>
      <c r="AE284" s="305"/>
      <c r="AF284" s="305"/>
    </row>
    <row r="285" spans="1:32" s="52" customFormat="1" ht="14.25" customHeight="1">
      <c r="A285" s="285"/>
      <c r="B285" s="2616" t="s">
        <v>441</v>
      </c>
      <c r="C285" s="2732"/>
      <c r="D285" s="2733"/>
      <c r="E285" s="2732"/>
      <c r="F285" s="2733"/>
      <c r="G285" s="2732"/>
      <c r="H285" s="2733"/>
      <c r="I285" s="2735">
        <v>-179855</v>
      </c>
      <c r="J285" s="278"/>
      <c r="K285" s="416"/>
      <c r="M285" s="305"/>
      <c r="W285" s="305"/>
      <c r="X285" s="305"/>
      <c r="Y285" s="305"/>
      <c r="Z285" s="305"/>
      <c r="AA285" s="305"/>
      <c r="AB285" s="305"/>
      <c r="AC285" s="305"/>
      <c r="AD285" s="305"/>
      <c r="AE285" s="305"/>
      <c r="AF285" s="305"/>
    </row>
    <row r="286" spans="1:32" s="52" customFormat="1" ht="14.25" customHeight="1" thickBot="1">
      <c r="A286" s="285"/>
      <c r="B286" s="1787" t="s">
        <v>442</v>
      </c>
      <c r="C286" s="884"/>
      <c r="D286" s="1317"/>
      <c r="E286" s="884"/>
      <c r="F286" s="1317"/>
      <c r="G286" s="884"/>
      <c r="H286" s="1317"/>
      <c r="I286" s="1803">
        <f>SUM(I284:I285)</f>
        <v>451277</v>
      </c>
      <c r="J286" s="278"/>
      <c r="K286" s="416"/>
      <c r="M286" s="305"/>
      <c r="W286" s="305"/>
      <c r="X286" s="305"/>
      <c r="Y286" s="305"/>
      <c r="Z286" s="305"/>
      <c r="AA286" s="305"/>
      <c r="AB286" s="305"/>
      <c r="AC286" s="305"/>
      <c r="AD286" s="305"/>
      <c r="AE286" s="305"/>
      <c r="AF286" s="305"/>
    </row>
    <row r="287" spans="1:32" s="52" customFormat="1" ht="14.25" customHeight="1">
      <c r="A287" s="285"/>
      <c r="B287" s="455"/>
      <c r="C287" s="414"/>
      <c r="D287" s="414"/>
      <c r="E287" s="414"/>
      <c r="F287" s="414"/>
      <c r="G287" s="414"/>
      <c r="H287" s="414"/>
      <c r="I287" s="278"/>
      <c r="J287" s="278"/>
      <c r="K287" s="416"/>
      <c r="M287" s="305"/>
      <c r="W287" s="305"/>
      <c r="X287" s="305"/>
      <c r="Y287" s="305"/>
      <c r="Z287" s="305"/>
      <c r="AA287" s="305"/>
      <c r="AB287" s="305"/>
      <c r="AC287" s="305"/>
      <c r="AD287" s="305"/>
      <c r="AE287" s="305"/>
      <c r="AF287" s="305"/>
    </row>
    <row r="288" spans="1:32" s="52" customFormat="1" ht="14.25" customHeight="1">
      <c r="A288" s="285"/>
      <c r="B288" s="455"/>
      <c r="C288" s="414"/>
      <c r="D288" s="414"/>
      <c r="E288" s="414"/>
      <c r="F288" s="414"/>
      <c r="G288" s="414"/>
      <c r="H288" s="414"/>
      <c r="I288" s="278"/>
      <c r="J288" s="278"/>
      <c r="K288" s="394">
        <v>133</v>
      </c>
      <c r="M288" s="305"/>
      <c r="W288" s="305"/>
      <c r="X288" s="305"/>
      <c r="Y288" s="305"/>
      <c r="Z288" s="305"/>
      <c r="AA288" s="305"/>
      <c r="AB288" s="305"/>
      <c r="AC288" s="305"/>
      <c r="AD288" s="305"/>
      <c r="AE288" s="305"/>
      <c r="AF288" s="305"/>
    </row>
    <row r="289" spans="1:32" s="52" customFormat="1" ht="14.25" customHeight="1">
      <c r="A289" s="285"/>
      <c r="B289" s="455"/>
      <c r="C289" s="414"/>
      <c r="D289" s="414"/>
      <c r="E289" s="414"/>
      <c r="F289" s="414"/>
      <c r="G289" s="414"/>
      <c r="H289" s="414"/>
      <c r="I289" s="278"/>
      <c r="J289" s="278"/>
      <c r="K289" s="416"/>
      <c r="M289" s="305"/>
      <c r="W289" s="305"/>
      <c r="X289" s="305"/>
      <c r="Y289" s="305"/>
      <c r="Z289" s="305"/>
      <c r="AA289" s="305"/>
      <c r="AB289" s="305"/>
      <c r="AC289" s="305"/>
      <c r="AD289" s="305"/>
      <c r="AE289" s="305"/>
      <c r="AF289" s="305"/>
    </row>
    <row r="290" spans="1:32" s="52" customFormat="1" ht="14.25" customHeight="1">
      <c r="A290" s="285"/>
      <c r="B290" s="455"/>
      <c r="C290" s="414"/>
      <c r="D290" s="414"/>
      <c r="E290" s="414"/>
      <c r="F290" s="414"/>
      <c r="G290" s="414"/>
      <c r="H290" s="414"/>
      <c r="I290" s="278"/>
      <c r="J290" s="278"/>
      <c r="K290" s="416"/>
      <c r="M290" s="305"/>
      <c r="W290" s="305"/>
      <c r="X290" s="305"/>
      <c r="Y290" s="305"/>
      <c r="Z290" s="305"/>
      <c r="AA290" s="305"/>
      <c r="AB290" s="305"/>
      <c r="AC290" s="305"/>
      <c r="AD290" s="305"/>
      <c r="AE290" s="305"/>
      <c r="AF290" s="305"/>
    </row>
    <row r="291" spans="1:32" s="52" customFormat="1" ht="14.25" customHeight="1">
      <c r="A291" s="285"/>
      <c r="B291" s="236" t="s">
        <v>451</v>
      </c>
      <c r="C291" s="279"/>
      <c r="D291" s="279"/>
      <c r="E291" s="414"/>
      <c r="F291" s="414"/>
      <c r="G291" s="414"/>
      <c r="H291" s="414"/>
      <c r="I291" s="278"/>
      <c r="J291" s="278"/>
      <c r="K291" s="416"/>
      <c r="M291" s="305"/>
      <c r="W291" s="305"/>
      <c r="X291" s="305"/>
      <c r="Y291" s="305"/>
      <c r="Z291" s="305"/>
      <c r="AA291" s="305"/>
      <c r="AB291" s="305"/>
      <c r="AC291" s="305"/>
      <c r="AD291" s="305"/>
      <c r="AE291" s="305"/>
      <c r="AF291" s="305"/>
    </row>
    <row r="292" spans="1:32" s="52" customFormat="1" ht="14.25" customHeight="1" thickBot="1">
      <c r="A292" s="285"/>
      <c r="B292" s="51"/>
      <c r="C292" s="529"/>
      <c r="D292" s="529"/>
      <c r="E292" s="414"/>
      <c r="F292" s="414"/>
      <c r="G292" s="414"/>
      <c r="H292" s="414"/>
      <c r="I292" s="278"/>
      <c r="J292" s="278"/>
      <c r="K292" s="416"/>
      <c r="M292" s="305"/>
      <c r="W292" s="305"/>
      <c r="X292" s="305"/>
      <c r="Y292" s="305"/>
      <c r="Z292" s="305"/>
      <c r="AA292" s="305"/>
      <c r="AB292" s="305"/>
      <c r="AC292" s="305"/>
      <c r="AD292" s="305"/>
      <c r="AE292" s="305"/>
      <c r="AF292" s="305"/>
    </row>
    <row r="293" spans="1:32" ht="14.25" customHeight="1" thickBot="1">
      <c r="B293" s="1759" t="s">
        <v>108</v>
      </c>
      <c r="C293" s="515"/>
      <c r="D293" s="515"/>
      <c r="E293" s="515"/>
      <c r="F293" s="515"/>
      <c r="H293" s="3673" t="s">
        <v>232</v>
      </c>
      <c r="I293" s="3673"/>
      <c r="J293" s="383"/>
      <c r="M293" s="305"/>
      <c r="W293" s="305"/>
      <c r="X293" s="305"/>
      <c r="Y293" s="305"/>
      <c r="Z293" s="305"/>
      <c r="AA293" s="305"/>
      <c r="AB293" s="305"/>
      <c r="AC293" s="305"/>
      <c r="AD293" s="305"/>
      <c r="AE293" s="305"/>
      <c r="AF293" s="305"/>
    </row>
    <row r="294" spans="1:32" s="52" customFormat="1" ht="14.25" customHeight="1" thickBot="1">
      <c r="A294" s="278"/>
      <c r="B294" s="3680"/>
      <c r="C294" s="3575">
        <v>2020</v>
      </c>
      <c r="D294" s="3576"/>
      <c r="E294" s="3576"/>
      <c r="F294" s="3576"/>
      <c r="G294" s="3576"/>
      <c r="H294" s="3576"/>
      <c r="I294" s="3577"/>
      <c r="J294" s="315"/>
      <c r="K294" s="416"/>
      <c r="M294" s="305"/>
      <c r="W294" s="305"/>
      <c r="X294" s="305"/>
      <c r="Y294" s="305"/>
      <c r="Z294" s="305"/>
      <c r="AA294" s="305"/>
      <c r="AB294" s="305"/>
      <c r="AC294" s="305"/>
      <c r="AD294" s="305"/>
      <c r="AE294" s="305"/>
      <c r="AF294" s="305"/>
    </row>
    <row r="295" spans="1:32" s="52" customFormat="1" ht="14.25" customHeight="1" thickBot="1">
      <c r="A295" s="394"/>
      <c r="B295" s="3674"/>
      <c r="C295" s="3681" t="s">
        <v>412</v>
      </c>
      <c r="D295" s="3683" t="s">
        <v>413</v>
      </c>
      <c r="E295" s="3671" t="s">
        <v>414</v>
      </c>
      <c r="F295" s="3678"/>
      <c r="G295" s="3666" t="s">
        <v>415</v>
      </c>
      <c r="H295" s="3683" t="s">
        <v>416</v>
      </c>
      <c r="I295" s="3666" t="s">
        <v>118</v>
      </c>
      <c r="J295" s="278"/>
      <c r="K295" s="416"/>
      <c r="M295" s="305"/>
      <c r="W295" s="305"/>
      <c r="X295" s="305"/>
      <c r="Y295" s="305"/>
      <c r="Z295" s="305"/>
      <c r="AA295" s="305"/>
      <c r="AB295" s="305"/>
      <c r="AC295" s="305"/>
      <c r="AD295" s="305"/>
      <c r="AE295" s="305"/>
      <c r="AF295" s="305"/>
    </row>
    <row r="296" spans="1:32" s="52" customFormat="1" ht="14.25" customHeight="1" thickBot="1">
      <c r="A296" s="394"/>
      <c r="B296" s="3675"/>
      <c r="C296" s="3682"/>
      <c r="D296" s="3677"/>
      <c r="E296" s="1804" t="s">
        <v>418</v>
      </c>
      <c r="F296" s="1978" t="s">
        <v>419</v>
      </c>
      <c r="G296" s="3670"/>
      <c r="H296" s="3677"/>
      <c r="I296" s="3670"/>
      <c r="J296" s="278"/>
      <c r="K296" s="416"/>
      <c r="M296" s="305"/>
      <c r="W296" s="305"/>
      <c r="X296" s="305"/>
      <c r="Y296" s="305"/>
      <c r="Z296" s="305"/>
      <c r="AA296" s="305"/>
      <c r="AB296" s="305"/>
      <c r="AC296" s="305"/>
      <c r="AD296" s="305"/>
      <c r="AE296" s="305"/>
      <c r="AF296" s="305"/>
    </row>
    <row r="297" spans="1:32" s="52" customFormat="1" ht="14.25" customHeight="1">
      <c r="A297" s="285"/>
      <c r="B297" s="1805" t="s">
        <v>333</v>
      </c>
      <c r="C297" s="2736">
        <v>834562</v>
      </c>
      <c r="D297" s="886">
        <v>24396</v>
      </c>
      <c r="E297" s="2736">
        <v>11477</v>
      </c>
      <c r="F297" s="886">
        <v>5079241</v>
      </c>
      <c r="G297" s="2736"/>
      <c r="H297" s="886">
        <v>162789</v>
      </c>
      <c r="I297" s="1807">
        <f t="shared" ref="I297:I309" si="49">H297+G297+F297+E297+D297+C297</f>
        <v>6112465</v>
      </c>
      <c r="J297" s="264"/>
      <c r="K297" s="416"/>
      <c r="L297" s="305"/>
      <c r="M297" s="305"/>
      <c r="N297" s="305"/>
      <c r="O297" s="305"/>
      <c r="P297" s="305"/>
      <c r="Q297" s="305"/>
      <c r="R297" s="305"/>
      <c r="W297" s="305"/>
      <c r="X297" s="305"/>
      <c r="Y297" s="305"/>
      <c r="Z297" s="305"/>
      <c r="AA297" s="305"/>
      <c r="AB297" s="305"/>
      <c r="AC297" s="305"/>
      <c r="AD297" s="305"/>
      <c r="AE297" s="305"/>
      <c r="AF297" s="305"/>
    </row>
    <row r="298" spans="1:32" s="52" customFormat="1" ht="14.25" customHeight="1">
      <c r="A298" s="285"/>
      <c r="B298" s="2651" t="s">
        <v>420</v>
      </c>
      <c r="C298" s="885">
        <v>-17352</v>
      </c>
      <c r="D298" s="887">
        <v>-4466</v>
      </c>
      <c r="E298" s="885"/>
      <c r="F298" s="887">
        <v>-249</v>
      </c>
      <c r="G298" s="885"/>
      <c r="H298" s="887">
        <v>-4520</v>
      </c>
      <c r="I298" s="2737">
        <f t="shared" si="49"/>
        <v>-26587</v>
      </c>
      <c r="J298" s="264"/>
      <c r="K298" s="416"/>
      <c r="L298" s="305"/>
      <c r="M298" s="305"/>
      <c r="N298" s="305"/>
      <c r="O298" s="305"/>
      <c r="P298" s="305"/>
      <c r="Q298" s="305"/>
      <c r="R298" s="305"/>
      <c r="W298" s="305"/>
      <c r="X298" s="305"/>
      <c r="Y298" s="305"/>
      <c r="Z298" s="305"/>
      <c r="AA298" s="305"/>
      <c r="AB298" s="305"/>
      <c r="AC298" s="305"/>
      <c r="AD298" s="305"/>
      <c r="AE298" s="305"/>
      <c r="AF298" s="305"/>
    </row>
    <row r="299" spans="1:32" s="52" customFormat="1" ht="14.25" customHeight="1">
      <c r="A299" s="285"/>
      <c r="B299" s="2651" t="s">
        <v>421</v>
      </c>
      <c r="C299" s="885">
        <v>-328514</v>
      </c>
      <c r="D299" s="887">
        <v>-448</v>
      </c>
      <c r="E299" s="885"/>
      <c r="F299" s="887">
        <v>-109597</v>
      </c>
      <c r="G299" s="885"/>
      <c r="H299" s="887">
        <v>-34425</v>
      </c>
      <c r="I299" s="2737">
        <f>H299+G299+F299+E299+D299+C299</f>
        <v>-472984</v>
      </c>
      <c r="J299" s="264"/>
      <c r="K299" s="429"/>
      <c r="L299" s="305"/>
      <c r="M299" s="305"/>
      <c r="N299" s="305"/>
      <c r="O299" s="305"/>
      <c r="P299" s="305"/>
      <c r="Q299" s="305"/>
      <c r="R299" s="305"/>
      <c r="W299" s="305"/>
      <c r="X299" s="305"/>
      <c r="Y299" s="305"/>
      <c r="Z299" s="305"/>
      <c r="AA299" s="305"/>
      <c r="AB299" s="305"/>
      <c r="AC299" s="305"/>
      <c r="AD299" s="305"/>
      <c r="AE299" s="305"/>
      <c r="AF299" s="305"/>
    </row>
    <row r="300" spans="1:32" s="52" customFormat="1" ht="14.25" customHeight="1">
      <c r="A300" s="285"/>
      <c r="B300" s="2651" t="s">
        <v>422</v>
      </c>
      <c r="C300" s="885">
        <v>-414640</v>
      </c>
      <c r="D300" s="887">
        <v>-10846</v>
      </c>
      <c r="E300" s="885"/>
      <c r="F300" s="887">
        <v>-388046</v>
      </c>
      <c r="G300" s="885"/>
      <c r="H300" s="887">
        <v>-62501</v>
      </c>
      <c r="I300" s="2737">
        <f t="shared" si="49"/>
        <v>-876033</v>
      </c>
      <c r="J300" s="264"/>
      <c r="K300" s="416"/>
      <c r="L300" s="305"/>
      <c r="M300" s="305"/>
      <c r="N300" s="305"/>
      <c r="O300" s="305"/>
      <c r="P300" s="305"/>
      <c r="Q300" s="305"/>
      <c r="R300" s="305"/>
      <c r="W300" s="305"/>
      <c r="X300" s="305"/>
      <c r="Y300" s="305"/>
      <c r="Z300" s="305"/>
      <c r="AA300" s="305"/>
      <c r="AB300" s="305"/>
      <c r="AC300" s="305"/>
      <c r="AD300" s="305"/>
      <c r="AE300" s="305"/>
      <c r="AF300" s="305"/>
    </row>
    <row r="301" spans="1:32" s="52" customFormat="1" ht="14.25" customHeight="1">
      <c r="A301" s="285"/>
      <c r="B301" s="2653" t="s">
        <v>423</v>
      </c>
      <c r="C301" s="2738">
        <f t="shared" ref="C301:H301" si="50">C297+C298+C299+C300</f>
        <v>74056</v>
      </c>
      <c r="D301" s="2739">
        <f t="shared" si="50"/>
        <v>8636</v>
      </c>
      <c r="E301" s="2738">
        <f t="shared" si="50"/>
        <v>11477</v>
      </c>
      <c r="F301" s="2739">
        <f t="shared" si="50"/>
        <v>4581349</v>
      </c>
      <c r="G301" s="2738">
        <f t="shared" si="50"/>
        <v>0</v>
      </c>
      <c r="H301" s="2739">
        <f t="shared" si="50"/>
        <v>61343</v>
      </c>
      <c r="I301" s="2664">
        <f t="shared" si="49"/>
        <v>4736861</v>
      </c>
      <c r="J301" s="264"/>
      <c r="K301" s="416"/>
      <c r="L301" s="305"/>
      <c r="M301" s="305"/>
      <c r="N301" s="305"/>
      <c r="O301" s="305"/>
      <c r="P301" s="305"/>
      <c r="Q301" s="305"/>
      <c r="R301" s="305"/>
      <c r="W301" s="305"/>
      <c r="X301" s="305"/>
      <c r="Y301" s="305"/>
      <c r="Z301" s="305"/>
      <c r="AA301" s="305"/>
      <c r="AB301" s="305"/>
      <c r="AC301" s="305"/>
      <c r="AD301" s="305"/>
      <c r="AE301" s="305"/>
      <c r="AF301" s="305"/>
    </row>
    <row r="302" spans="1:32" s="52" customFormat="1" ht="14.25" customHeight="1">
      <c r="A302" s="285"/>
      <c r="B302" s="2651" t="s">
        <v>424</v>
      </c>
      <c r="C302" s="2736">
        <v>-6010</v>
      </c>
      <c r="D302" s="2740">
        <v>-413</v>
      </c>
      <c r="E302" s="2736"/>
      <c r="F302" s="2740">
        <v>-261253</v>
      </c>
      <c r="G302" s="2736"/>
      <c r="H302" s="2740">
        <v>-21578</v>
      </c>
      <c r="I302" s="2741">
        <v>-289254</v>
      </c>
      <c r="J302" s="264"/>
      <c r="K302" s="416"/>
      <c r="L302" s="305"/>
      <c r="M302" s="305"/>
      <c r="N302" s="305"/>
      <c r="O302" s="305"/>
      <c r="P302" s="305"/>
      <c r="Q302" s="305"/>
      <c r="R302" s="305"/>
      <c r="W302" s="305"/>
      <c r="X302" s="305"/>
      <c r="Y302" s="305"/>
      <c r="Z302" s="305"/>
      <c r="AA302" s="305"/>
      <c r="AB302" s="305"/>
      <c r="AC302" s="305"/>
      <c r="AD302" s="305"/>
      <c r="AE302" s="305"/>
      <c r="AF302" s="305"/>
    </row>
    <row r="303" spans="1:32" s="52" customFormat="1" ht="14.25" customHeight="1">
      <c r="A303" s="285"/>
      <c r="B303" s="2653" t="s">
        <v>425</v>
      </c>
      <c r="C303" s="2738">
        <f t="shared" ref="C303:H303" si="51">C301+C302</f>
        <v>68046</v>
      </c>
      <c r="D303" s="2739">
        <f t="shared" si="51"/>
        <v>8223</v>
      </c>
      <c r="E303" s="2738">
        <f t="shared" si="51"/>
        <v>11477</v>
      </c>
      <c r="F303" s="2739">
        <f t="shared" si="51"/>
        <v>4320096</v>
      </c>
      <c r="G303" s="2738">
        <f t="shared" si="51"/>
        <v>0</v>
      </c>
      <c r="H303" s="2739">
        <f t="shared" si="51"/>
        <v>39765</v>
      </c>
      <c r="I303" s="2664">
        <f t="shared" si="49"/>
        <v>4447607</v>
      </c>
      <c r="J303" s="264"/>
      <c r="K303" s="416"/>
      <c r="L303" s="305"/>
      <c r="M303" s="305"/>
      <c r="N303" s="305"/>
      <c r="O303" s="305"/>
      <c r="P303" s="305"/>
      <c r="Q303" s="305"/>
      <c r="R303" s="305"/>
      <c r="W303" s="305"/>
      <c r="X303" s="305"/>
      <c r="Y303" s="305"/>
      <c r="Z303" s="305"/>
      <c r="AA303" s="305"/>
      <c r="AB303" s="305"/>
      <c r="AC303" s="305"/>
      <c r="AD303" s="305"/>
      <c r="AE303" s="305"/>
      <c r="AF303" s="305"/>
    </row>
    <row r="304" spans="1:32" s="52" customFormat="1" ht="14.25" customHeight="1">
      <c r="A304" s="285"/>
      <c r="B304" s="2651"/>
      <c r="C304" s="2742"/>
      <c r="D304" s="2743"/>
      <c r="E304" s="2742"/>
      <c r="F304" s="2743"/>
      <c r="G304" s="2742"/>
      <c r="H304" s="2743"/>
      <c r="I304" s="2737">
        <f t="shared" si="49"/>
        <v>0</v>
      </c>
      <c r="J304" s="264"/>
      <c r="K304" s="416"/>
      <c r="M304" s="305"/>
      <c r="W304" s="305"/>
      <c r="X304" s="305"/>
      <c r="Y304" s="305"/>
      <c r="Z304" s="305"/>
      <c r="AA304" s="305"/>
      <c r="AB304" s="305"/>
      <c r="AC304" s="305"/>
      <c r="AD304" s="305"/>
      <c r="AE304" s="305"/>
      <c r="AF304" s="305"/>
    </row>
    <row r="305" spans="1:32" s="52" customFormat="1" ht="14.25" customHeight="1">
      <c r="A305" s="285"/>
      <c r="B305" s="2653" t="s">
        <v>426</v>
      </c>
      <c r="C305" s="2742">
        <f>SUM(C306:C308)</f>
        <v>42724</v>
      </c>
      <c r="D305" s="2743">
        <f t="shared" ref="D305:H305" si="52">SUM(D306:D308)</f>
        <v>-96</v>
      </c>
      <c r="E305" s="2742">
        <f t="shared" si="52"/>
        <v>12599</v>
      </c>
      <c r="F305" s="2743">
        <f t="shared" si="52"/>
        <v>-1787887</v>
      </c>
      <c r="G305" s="2742"/>
      <c r="H305" s="2743">
        <f t="shared" si="52"/>
        <v>6311</v>
      </c>
      <c r="I305" s="2737">
        <f t="shared" si="49"/>
        <v>-1726349</v>
      </c>
      <c r="J305" s="264"/>
      <c r="K305" s="416"/>
      <c r="L305" s="305"/>
      <c r="M305" s="305"/>
      <c r="N305" s="305"/>
      <c r="O305" s="305"/>
      <c r="P305" s="305"/>
      <c r="Q305" s="305"/>
      <c r="R305" s="305"/>
      <c r="W305" s="305"/>
      <c r="X305" s="305"/>
      <c r="Y305" s="305"/>
      <c r="Z305" s="305"/>
      <c r="AA305" s="305"/>
      <c r="AB305" s="305"/>
      <c r="AC305" s="305"/>
      <c r="AD305" s="305"/>
      <c r="AE305" s="305"/>
      <c r="AF305" s="305"/>
    </row>
    <row r="306" spans="1:32" s="52" customFormat="1" ht="24.6" customHeight="1">
      <c r="A306" s="285"/>
      <c r="B306" s="2651" t="s">
        <v>427</v>
      </c>
      <c r="C306" s="2744">
        <v>-67520</v>
      </c>
      <c r="D306" s="2745">
        <v>-1622</v>
      </c>
      <c r="E306" s="2744">
        <v>12599</v>
      </c>
      <c r="F306" s="2745">
        <v>-1696437</v>
      </c>
      <c r="G306" s="2744"/>
      <c r="H306" s="2745">
        <v>-15370</v>
      </c>
      <c r="I306" s="2737">
        <f t="shared" si="49"/>
        <v>-1768350</v>
      </c>
      <c r="J306" s="264"/>
      <c r="K306" s="416"/>
      <c r="L306" s="305"/>
      <c r="M306" s="305"/>
      <c r="N306" s="305"/>
      <c r="O306" s="305"/>
      <c r="P306" s="305"/>
      <c r="Q306" s="305"/>
      <c r="R306" s="305"/>
      <c r="W306" s="305"/>
      <c r="X306" s="305"/>
      <c r="Y306" s="305"/>
      <c r="Z306" s="305"/>
      <c r="AA306" s="305"/>
      <c r="AB306" s="305"/>
      <c r="AC306" s="305"/>
      <c r="AD306" s="305"/>
      <c r="AE306" s="305"/>
      <c r="AF306" s="305"/>
    </row>
    <row r="307" spans="1:32" s="52" customFormat="1" ht="14.25" customHeight="1">
      <c r="A307" s="285"/>
      <c r="B307" s="2651" t="s">
        <v>428</v>
      </c>
      <c r="C307" s="885">
        <v>110244</v>
      </c>
      <c r="D307" s="887">
        <v>1526</v>
      </c>
      <c r="E307" s="885"/>
      <c r="F307" s="887">
        <v>-91450</v>
      </c>
      <c r="G307" s="885"/>
      <c r="H307" s="887">
        <v>21681</v>
      </c>
      <c r="I307" s="2737">
        <f t="shared" si="49"/>
        <v>42001</v>
      </c>
      <c r="J307" s="264"/>
      <c r="K307" s="416"/>
      <c r="L307" s="305"/>
      <c r="M307" s="305"/>
      <c r="N307" s="305"/>
      <c r="O307" s="305"/>
      <c r="P307" s="305"/>
      <c r="Q307" s="305"/>
      <c r="R307" s="305"/>
      <c r="W307" s="305"/>
      <c r="X307" s="305"/>
      <c r="Y307" s="305"/>
      <c r="Z307" s="305"/>
      <c r="AA307" s="305"/>
      <c r="AB307" s="305"/>
      <c r="AC307" s="305"/>
      <c r="AD307" s="305"/>
      <c r="AE307" s="305"/>
      <c r="AF307" s="305"/>
    </row>
    <row r="308" spans="1:32" s="52" customFormat="1" ht="14.25" customHeight="1">
      <c r="A308" s="285"/>
      <c r="B308" s="2651" t="s">
        <v>429</v>
      </c>
      <c r="C308" s="2742"/>
      <c r="D308" s="2743"/>
      <c r="E308" s="2742"/>
      <c r="F308" s="2743"/>
      <c r="G308" s="2742"/>
      <c r="H308" s="2743"/>
      <c r="I308" s="2737">
        <f t="shared" si="49"/>
        <v>0</v>
      </c>
      <c r="J308" s="264"/>
      <c r="K308" s="416"/>
      <c r="L308" s="305"/>
      <c r="M308" s="305"/>
      <c r="N308" s="305"/>
      <c r="O308" s="305"/>
      <c r="P308" s="305"/>
      <c r="Q308" s="305"/>
      <c r="R308" s="305"/>
      <c r="W308" s="305"/>
      <c r="X308" s="305"/>
      <c r="Y308" s="305"/>
      <c r="Z308" s="305"/>
      <c r="AA308" s="305"/>
      <c r="AB308" s="305"/>
      <c r="AC308" s="305"/>
      <c r="AD308" s="305"/>
      <c r="AE308" s="305"/>
      <c r="AF308" s="305"/>
    </row>
    <row r="309" spans="1:32" s="52" customFormat="1" ht="14.25" customHeight="1">
      <c r="A309" s="285"/>
      <c r="B309" s="2653" t="s">
        <v>430</v>
      </c>
      <c r="C309" s="2738">
        <f t="shared" ref="C309:H309" si="53">C303+C306+C307+C308</f>
        <v>110770</v>
      </c>
      <c r="D309" s="2739">
        <f t="shared" si="53"/>
        <v>8127</v>
      </c>
      <c r="E309" s="2738">
        <f t="shared" si="53"/>
        <v>24076</v>
      </c>
      <c r="F309" s="2739">
        <f>F303+F306+F307+F308</f>
        <v>2532209</v>
      </c>
      <c r="G309" s="2738">
        <f t="shared" si="53"/>
        <v>0</v>
      </c>
      <c r="H309" s="2739">
        <f t="shared" si="53"/>
        <v>46076</v>
      </c>
      <c r="I309" s="2664">
        <f t="shared" si="49"/>
        <v>2721258</v>
      </c>
      <c r="J309" s="264"/>
      <c r="K309" s="432"/>
      <c r="L309" s="305"/>
      <c r="M309" s="305"/>
      <c r="N309" s="305"/>
      <c r="O309" s="305"/>
      <c r="P309" s="305"/>
      <c r="Q309" s="305"/>
      <c r="R309" s="305"/>
      <c r="W309" s="305"/>
      <c r="X309" s="305"/>
      <c r="Y309" s="305"/>
      <c r="Z309" s="305"/>
      <c r="AA309" s="305"/>
      <c r="AB309" s="305"/>
      <c r="AC309" s="305"/>
      <c r="AD309" s="305"/>
      <c r="AE309" s="305"/>
      <c r="AF309" s="305"/>
    </row>
    <row r="310" spans="1:32" s="52" customFormat="1" ht="14.25" customHeight="1">
      <c r="A310" s="285"/>
      <c r="B310" s="2651"/>
      <c r="C310" s="2746"/>
      <c r="D310" s="2747"/>
      <c r="E310" s="2746"/>
      <c r="F310" s="2747"/>
      <c r="G310" s="2746"/>
      <c r="H310" s="2747"/>
      <c r="I310" s="2737"/>
      <c r="J310" s="264"/>
      <c r="K310" s="416"/>
      <c r="M310" s="305"/>
      <c r="W310" s="305"/>
      <c r="X310" s="305"/>
      <c r="Y310" s="305"/>
      <c r="Z310" s="305"/>
      <c r="AA310" s="305"/>
      <c r="AB310" s="305"/>
      <c r="AC310" s="305"/>
      <c r="AD310" s="305"/>
      <c r="AE310" s="305"/>
      <c r="AF310" s="305"/>
    </row>
    <row r="311" spans="1:32" s="52" customFormat="1" ht="14.25" customHeight="1">
      <c r="A311" s="285"/>
      <c r="B311" s="2653" t="s">
        <v>431</v>
      </c>
      <c r="C311" s="2746"/>
      <c r="D311" s="2747"/>
      <c r="E311" s="2746"/>
      <c r="F311" s="2747"/>
      <c r="G311" s="2746"/>
      <c r="H311" s="2747"/>
      <c r="I311" s="2664">
        <f>SUM(I312:I314)</f>
        <v>679961</v>
      </c>
      <c r="J311" s="264"/>
      <c r="K311" s="416"/>
      <c r="M311" s="305"/>
      <c r="W311" s="305"/>
      <c r="X311" s="305"/>
      <c r="Y311" s="305"/>
      <c r="Z311" s="305"/>
      <c r="AA311" s="305"/>
      <c r="AB311" s="305"/>
      <c r="AC311" s="305"/>
      <c r="AD311" s="305"/>
      <c r="AE311" s="305"/>
      <c r="AF311" s="305"/>
    </row>
    <row r="312" spans="1:32" s="52" customFormat="1" ht="14.25" customHeight="1">
      <c r="A312" s="285"/>
      <c r="B312" s="2651" t="s">
        <v>432</v>
      </c>
      <c r="C312" s="2746"/>
      <c r="D312" s="2747"/>
      <c r="E312" s="2746"/>
      <c r="F312" s="2747"/>
      <c r="G312" s="2746"/>
      <c r="H312" s="2747"/>
      <c r="I312" s="2741">
        <v>145705</v>
      </c>
      <c r="J312" s="264"/>
      <c r="K312" s="416"/>
      <c r="M312" s="305"/>
      <c r="W312" s="305"/>
      <c r="X312" s="305"/>
      <c r="Y312" s="305"/>
      <c r="Z312" s="305"/>
      <c r="AA312" s="305"/>
      <c r="AB312" s="305"/>
      <c r="AC312" s="305"/>
      <c r="AD312" s="305"/>
      <c r="AE312" s="305"/>
      <c r="AF312" s="305"/>
    </row>
    <row r="313" spans="1:32" s="52" customFormat="1" ht="14.25" customHeight="1">
      <c r="A313" s="285"/>
      <c r="B313" s="2651" t="s">
        <v>446</v>
      </c>
      <c r="C313" s="2746"/>
      <c r="D313" s="2747"/>
      <c r="E313" s="2746"/>
      <c r="F313" s="2747"/>
      <c r="G313" s="2746"/>
      <c r="H313" s="2747"/>
      <c r="I313" s="1808">
        <v>530247</v>
      </c>
      <c r="J313" s="264"/>
      <c r="K313" s="416"/>
      <c r="M313" s="305"/>
      <c r="W313" s="305"/>
      <c r="X313" s="305"/>
      <c r="Y313" s="305"/>
      <c r="Z313" s="305"/>
      <c r="AA313" s="305"/>
      <c r="AB313" s="305"/>
      <c r="AC313" s="305"/>
      <c r="AD313" s="305"/>
      <c r="AE313" s="305"/>
      <c r="AF313" s="305"/>
    </row>
    <row r="314" spans="1:32" s="52" customFormat="1" ht="14.25" customHeight="1">
      <c r="A314" s="285"/>
      <c r="B314" s="2651" t="s">
        <v>434</v>
      </c>
      <c r="C314" s="2746"/>
      <c r="D314" s="2747"/>
      <c r="E314" s="2746"/>
      <c r="F314" s="2747"/>
      <c r="G314" s="2746"/>
      <c r="H314" s="2747"/>
      <c r="I314" s="1808">
        <v>4009</v>
      </c>
      <c r="J314" s="264"/>
      <c r="K314" s="416"/>
      <c r="M314" s="305"/>
      <c r="W314" s="305"/>
      <c r="X314" s="305"/>
      <c r="Y314" s="305"/>
      <c r="Z314" s="305"/>
      <c r="AA314" s="305"/>
      <c r="AB314" s="305"/>
      <c r="AC314" s="305"/>
      <c r="AD314" s="305"/>
      <c r="AE314" s="305"/>
      <c r="AF314" s="305"/>
    </row>
    <row r="315" spans="1:32" s="52" customFormat="1" ht="14.25" customHeight="1">
      <c r="A315" s="285"/>
      <c r="B315" s="2651"/>
      <c r="C315" s="2746"/>
      <c r="D315" s="2747"/>
      <c r="E315" s="2746"/>
      <c r="F315" s="2747"/>
      <c r="G315" s="2746"/>
      <c r="H315" s="2747"/>
      <c r="I315" s="2737"/>
      <c r="J315" s="264"/>
      <c r="K315" s="416"/>
      <c r="M315" s="305"/>
      <c r="W315" s="305"/>
      <c r="X315" s="305"/>
      <c r="Y315" s="305"/>
      <c r="Z315" s="305"/>
      <c r="AA315" s="305"/>
      <c r="AB315" s="305"/>
      <c r="AC315" s="305"/>
      <c r="AD315" s="305"/>
      <c r="AE315" s="305"/>
      <c r="AF315" s="305"/>
    </row>
    <row r="316" spans="1:32" s="52" customFormat="1" ht="14.25" customHeight="1">
      <c r="A316" s="285"/>
      <c r="B316" s="2653" t="s">
        <v>435</v>
      </c>
      <c r="C316" s="2746"/>
      <c r="D316" s="2747"/>
      <c r="E316" s="2746"/>
      <c r="F316" s="2747"/>
      <c r="G316" s="2746"/>
      <c r="H316" s="2747"/>
      <c r="I316" s="2737">
        <f>I317+I318</f>
        <v>-1831326</v>
      </c>
      <c r="J316" s="264"/>
      <c r="K316" s="416"/>
      <c r="M316" s="305"/>
      <c r="W316" s="305"/>
      <c r="X316" s="305"/>
      <c r="Y316" s="305"/>
      <c r="Z316" s="305"/>
      <c r="AA316" s="305"/>
      <c r="AB316" s="305"/>
      <c r="AC316" s="305"/>
      <c r="AD316" s="305"/>
      <c r="AE316" s="305"/>
      <c r="AF316" s="305"/>
    </row>
    <row r="317" spans="1:32" s="52" customFormat="1" ht="27" customHeight="1">
      <c r="A317" s="285"/>
      <c r="B317" s="2651" t="s">
        <v>436</v>
      </c>
      <c r="C317" s="2746"/>
      <c r="D317" s="2747"/>
      <c r="E317" s="2746"/>
      <c r="F317" s="2747"/>
      <c r="G317" s="2746"/>
      <c r="H317" s="2747"/>
      <c r="I317" s="2741">
        <v>-1831326</v>
      </c>
      <c r="J317" s="264"/>
      <c r="K317" s="416"/>
      <c r="M317" s="305"/>
      <c r="W317" s="305"/>
      <c r="X317" s="305"/>
      <c r="Y317" s="305"/>
      <c r="Z317" s="305"/>
      <c r="AA317" s="305"/>
      <c r="AB317" s="305"/>
      <c r="AC317" s="305"/>
      <c r="AD317" s="305"/>
      <c r="AE317" s="305"/>
      <c r="AF317" s="305"/>
    </row>
    <row r="318" spans="1:32" s="52" customFormat="1" ht="27" customHeight="1">
      <c r="A318" s="285"/>
      <c r="B318" s="2651" t="s">
        <v>437</v>
      </c>
      <c r="C318" s="2746"/>
      <c r="D318" s="2747"/>
      <c r="E318" s="2746"/>
      <c r="F318" s="2747"/>
      <c r="G318" s="2746"/>
      <c r="H318" s="2747"/>
      <c r="I318" s="2737"/>
      <c r="J318" s="264"/>
      <c r="K318" s="416"/>
      <c r="M318" s="305"/>
      <c r="W318" s="305"/>
      <c r="X318" s="305"/>
      <c r="Y318" s="305"/>
      <c r="Z318" s="305"/>
      <c r="AA318" s="305"/>
      <c r="AB318" s="305"/>
      <c r="AC318" s="305"/>
      <c r="AD318" s="305"/>
      <c r="AE318" s="305"/>
      <c r="AF318" s="305"/>
    </row>
    <row r="319" spans="1:32" s="52" customFormat="1" ht="14.25" customHeight="1">
      <c r="A319" s="285"/>
      <c r="B319" s="2653" t="s">
        <v>438</v>
      </c>
      <c r="C319" s="2746"/>
      <c r="D319" s="2747"/>
      <c r="E319" s="2746"/>
      <c r="F319" s="2747"/>
      <c r="G319" s="2746"/>
      <c r="H319" s="2747"/>
      <c r="I319" s="2664">
        <f>+I309+I311+I317</f>
        <v>1569893</v>
      </c>
      <c r="J319" s="264"/>
      <c r="K319" s="416"/>
      <c r="M319" s="305"/>
      <c r="W319" s="305"/>
      <c r="X319" s="305"/>
      <c r="Y319" s="305"/>
      <c r="Z319" s="305"/>
      <c r="AA319" s="305"/>
      <c r="AB319" s="305"/>
      <c r="AC319" s="305"/>
      <c r="AD319" s="305"/>
      <c r="AE319" s="305"/>
      <c r="AF319" s="305"/>
    </row>
    <row r="320" spans="1:32" s="52" customFormat="1" ht="14.25" customHeight="1">
      <c r="A320" s="285"/>
      <c r="B320" s="2651" t="s">
        <v>439</v>
      </c>
      <c r="C320" s="2746"/>
      <c r="D320" s="2747"/>
      <c r="E320" s="2746"/>
      <c r="F320" s="2747"/>
      <c r="G320" s="2746"/>
      <c r="H320" s="2747"/>
      <c r="I320" s="2741">
        <v>-32496</v>
      </c>
      <c r="J320" s="264"/>
      <c r="K320" s="416"/>
      <c r="M320" s="305"/>
      <c r="W320" s="305"/>
      <c r="X320" s="305"/>
      <c r="Y320" s="305"/>
      <c r="Z320" s="305"/>
      <c r="AA320" s="305"/>
      <c r="AB320" s="305"/>
      <c r="AC320" s="305"/>
      <c r="AD320" s="305"/>
      <c r="AE320" s="305"/>
      <c r="AF320" s="305"/>
    </row>
    <row r="321" spans="1:32" s="52" customFormat="1" ht="14.25" customHeight="1">
      <c r="A321" s="285"/>
      <c r="B321" s="2653" t="s">
        <v>440</v>
      </c>
      <c r="C321" s="2746"/>
      <c r="D321" s="2747"/>
      <c r="E321" s="2746"/>
      <c r="F321" s="2747"/>
      <c r="G321" s="2746"/>
      <c r="H321" s="2747"/>
      <c r="I321" s="2664">
        <f>SUM(I319:I320)</f>
        <v>1537397</v>
      </c>
      <c r="J321" s="264"/>
      <c r="K321" s="416"/>
      <c r="M321" s="305"/>
      <c r="W321" s="305"/>
      <c r="X321" s="305"/>
      <c r="Y321" s="305"/>
      <c r="Z321" s="305"/>
      <c r="AA321" s="305"/>
      <c r="AB321" s="305"/>
      <c r="AC321" s="305"/>
      <c r="AD321" s="305"/>
      <c r="AE321" s="305"/>
      <c r="AF321" s="305"/>
    </row>
    <row r="322" spans="1:32" s="52" customFormat="1" ht="14.25" customHeight="1">
      <c r="A322" s="285"/>
      <c r="B322" s="2651" t="s">
        <v>441</v>
      </c>
      <c r="C322" s="2746"/>
      <c r="D322" s="2747"/>
      <c r="E322" s="2746"/>
      <c r="F322" s="2747"/>
      <c r="G322" s="2746"/>
      <c r="H322" s="2747"/>
      <c r="I322" s="2741">
        <v>-425368</v>
      </c>
      <c r="J322" s="264"/>
      <c r="K322" s="416"/>
      <c r="M322" s="305"/>
      <c r="W322" s="305"/>
      <c r="X322" s="305"/>
      <c r="Y322" s="305"/>
      <c r="Z322" s="305"/>
      <c r="AA322" s="305"/>
      <c r="AB322" s="305"/>
      <c r="AC322" s="305"/>
      <c r="AD322" s="305"/>
      <c r="AE322" s="305"/>
      <c r="AF322" s="305"/>
    </row>
    <row r="323" spans="1:32" s="52" customFormat="1" ht="14.25" customHeight="1" thickBot="1">
      <c r="A323" s="285"/>
      <c r="B323" s="1806" t="s">
        <v>442</v>
      </c>
      <c r="C323" s="1318"/>
      <c r="D323" s="888"/>
      <c r="E323" s="1318"/>
      <c r="F323" s="888"/>
      <c r="G323" s="1318"/>
      <c r="H323" s="888"/>
      <c r="I323" s="1779">
        <f>SUM(I321:I322)</f>
        <v>1112029</v>
      </c>
      <c r="J323" s="264"/>
      <c r="K323" s="416"/>
      <c r="M323" s="305"/>
      <c r="W323" s="305"/>
      <c r="X323" s="305"/>
      <c r="Y323" s="305"/>
      <c r="Z323" s="305"/>
      <c r="AA323" s="305"/>
      <c r="AB323" s="305"/>
      <c r="AC323" s="305"/>
      <c r="AD323" s="305"/>
      <c r="AE323" s="305"/>
      <c r="AF323" s="305"/>
    </row>
    <row r="324" spans="1:32" s="52" customFormat="1" ht="14.25" customHeight="1">
      <c r="A324" s="285"/>
      <c r="B324" s="455"/>
      <c r="C324" s="414"/>
      <c r="D324" s="414"/>
      <c r="E324" s="414"/>
      <c r="F324" s="414"/>
      <c r="G324" s="414"/>
      <c r="H324" s="414"/>
      <c r="I324" s="264"/>
      <c r="J324" s="264"/>
      <c r="K324" s="416"/>
      <c r="M324" s="305"/>
      <c r="W324" s="305"/>
      <c r="X324" s="305"/>
      <c r="Y324" s="305"/>
      <c r="Z324" s="305"/>
      <c r="AA324" s="305"/>
      <c r="AB324" s="305"/>
      <c r="AC324" s="305"/>
      <c r="AD324" s="305"/>
      <c r="AE324" s="305"/>
      <c r="AF324" s="305"/>
    </row>
    <row r="325" spans="1:32" s="52" customFormat="1" ht="14.25" customHeight="1">
      <c r="A325" s="285"/>
      <c r="B325" s="455"/>
      <c r="C325" s="414"/>
      <c r="D325" s="414"/>
      <c r="E325" s="414"/>
      <c r="F325" s="414"/>
      <c r="G325" s="414"/>
      <c r="H325" s="414"/>
      <c r="I325" s="264"/>
      <c r="J325" s="264"/>
      <c r="K325" s="394">
        <v>134</v>
      </c>
      <c r="M325" s="305"/>
      <c r="W325" s="305"/>
      <c r="X325" s="305"/>
      <c r="Y325" s="305"/>
      <c r="Z325" s="305"/>
      <c r="AA325" s="305"/>
      <c r="AB325" s="305"/>
      <c r="AC325" s="305"/>
      <c r="AD325" s="305"/>
      <c r="AE325" s="305"/>
      <c r="AF325" s="305"/>
    </row>
    <row r="326" spans="1:32" s="52" customFormat="1" ht="14.25" customHeight="1">
      <c r="A326" s="285"/>
      <c r="B326" s="455"/>
      <c r="C326" s="414"/>
      <c r="D326" s="414"/>
      <c r="E326" s="414"/>
      <c r="F326" s="414"/>
      <c r="G326" s="414"/>
      <c r="H326" s="414"/>
      <c r="I326" s="264"/>
      <c r="J326" s="264"/>
      <c r="K326" s="416"/>
      <c r="M326" s="305"/>
      <c r="W326" s="305"/>
      <c r="X326" s="305"/>
      <c r="Y326" s="305"/>
      <c r="Z326" s="305"/>
      <c r="AA326" s="305"/>
      <c r="AB326" s="305"/>
      <c r="AC326" s="305"/>
      <c r="AD326" s="305"/>
      <c r="AE326" s="305"/>
      <c r="AF326" s="305"/>
    </row>
    <row r="327" spans="1:32" s="52" customFormat="1" ht="14.25" customHeight="1">
      <c r="A327" s="285"/>
      <c r="B327" s="236" t="s">
        <v>451</v>
      </c>
      <c r="C327" s="279"/>
      <c r="D327" s="279"/>
      <c r="E327" s="414"/>
      <c r="F327" s="414"/>
      <c r="G327" s="414"/>
      <c r="H327" s="414"/>
      <c r="I327" s="264"/>
      <c r="J327" s="264"/>
      <c r="K327" s="416"/>
      <c r="M327" s="305"/>
      <c r="W327" s="305"/>
      <c r="X327" s="305"/>
      <c r="Y327" s="305"/>
      <c r="Z327" s="305"/>
      <c r="AA327" s="305"/>
      <c r="AB327" s="305"/>
      <c r="AC327" s="305"/>
      <c r="AD327" s="305"/>
      <c r="AE327" s="305"/>
      <c r="AF327" s="305"/>
    </row>
    <row r="328" spans="1:32" s="52" customFormat="1" ht="14.25" customHeight="1" thickBot="1">
      <c r="A328" s="285"/>
      <c r="B328" s="51"/>
      <c r="C328" s="529"/>
      <c r="D328" s="529"/>
      <c r="E328" s="414"/>
      <c r="F328" s="414"/>
      <c r="G328" s="414"/>
      <c r="H328" s="414"/>
      <c r="I328" s="264"/>
      <c r="J328" s="264"/>
      <c r="K328" s="416"/>
      <c r="M328" s="305"/>
      <c r="W328" s="305"/>
      <c r="X328" s="305"/>
      <c r="Y328" s="305"/>
      <c r="Z328" s="305"/>
      <c r="AA328" s="305"/>
      <c r="AB328" s="305"/>
      <c r="AC328" s="305"/>
      <c r="AD328" s="305"/>
      <c r="AE328" s="305"/>
      <c r="AF328" s="305"/>
    </row>
    <row r="329" spans="1:32" ht="14.25" customHeight="1" thickBot="1">
      <c r="B329" s="1765" t="s">
        <v>109</v>
      </c>
      <c r="C329" s="515"/>
      <c r="D329" s="515"/>
      <c r="E329" s="515"/>
      <c r="F329" s="515"/>
      <c r="G329" s="3668" t="s">
        <v>232</v>
      </c>
      <c r="H329" s="3668"/>
      <c r="I329" s="3668"/>
      <c r="J329" s="385"/>
      <c r="K329" s="429"/>
      <c r="M329" s="305"/>
      <c r="W329" s="305"/>
      <c r="X329" s="305"/>
      <c r="Y329" s="305"/>
      <c r="Z329" s="305"/>
      <c r="AA329" s="305"/>
      <c r="AB329" s="305"/>
      <c r="AC329" s="305"/>
      <c r="AD329" s="305"/>
      <c r="AE329" s="305"/>
      <c r="AF329" s="305"/>
    </row>
    <row r="330" spans="1:32" s="52" customFormat="1" ht="14.25" customHeight="1" thickBot="1">
      <c r="A330" s="278"/>
      <c r="B330" s="3663"/>
      <c r="C330" s="3575">
        <v>2020</v>
      </c>
      <c r="D330" s="3576"/>
      <c r="E330" s="3576"/>
      <c r="F330" s="3576"/>
      <c r="G330" s="3576"/>
      <c r="H330" s="3576"/>
      <c r="I330" s="3577"/>
      <c r="J330" s="315"/>
      <c r="K330" s="429"/>
      <c r="M330" s="305"/>
      <c r="W330" s="305"/>
      <c r="X330" s="305"/>
      <c r="Y330" s="305"/>
      <c r="Z330" s="305"/>
      <c r="AA330" s="305"/>
      <c r="AB330" s="305"/>
      <c r="AC330" s="305"/>
      <c r="AD330" s="305"/>
      <c r="AE330" s="305"/>
      <c r="AF330" s="305"/>
    </row>
    <row r="331" spans="1:32" s="52" customFormat="1" ht="14.25" customHeight="1" thickBot="1">
      <c r="A331" s="394"/>
      <c r="B331" s="3674"/>
      <c r="C331" s="3666" t="s">
        <v>412</v>
      </c>
      <c r="D331" s="3676" t="s">
        <v>413</v>
      </c>
      <c r="E331" s="3671" t="s">
        <v>414</v>
      </c>
      <c r="F331" s="3678"/>
      <c r="G331" s="3666" t="s">
        <v>415</v>
      </c>
      <c r="H331" s="3679" t="s">
        <v>416</v>
      </c>
      <c r="I331" s="3666" t="s">
        <v>118</v>
      </c>
      <c r="J331" s="278"/>
      <c r="K331" s="429"/>
      <c r="M331" s="305"/>
      <c r="W331" s="305"/>
      <c r="X331" s="305"/>
      <c r="Y331" s="305"/>
      <c r="Z331" s="305"/>
      <c r="AA331" s="305"/>
      <c r="AB331" s="305"/>
      <c r="AC331" s="305"/>
      <c r="AD331" s="305"/>
      <c r="AE331" s="305"/>
      <c r="AF331" s="305"/>
    </row>
    <row r="332" spans="1:32" s="52" customFormat="1" ht="14.25" customHeight="1" thickBot="1">
      <c r="A332" s="394"/>
      <c r="B332" s="3675"/>
      <c r="C332" s="3670"/>
      <c r="D332" s="3677"/>
      <c r="E332" s="1793" t="s">
        <v>418</v>
      </c>
      <c r="F332" s="1799" t="s">
        <v>419</v>
      </c>
      <c r="G332" s="3670"/>
      <c r="H332" s="3677"/>
      <c r="I332" s="3670"/>
      <c r="J332" s="278"/>
      <c r="K332" s="429"/>
      <c r="M332" s="305"/>
      <c r="W332" s="305"/>
      <c r="X332" s="305"/>
      <c r="Y332" s="305"/>
      <c r="Z332" s="305"/>
      <c r="AA332" s="305"/>
      <c r="AB332" s="305"/>
      <c r="AC332" s="305"/>
      <c r="AD332" s="305"/>
      <c r="AE332" s="305"/>
      <c r="AF332" s="305"/>
    </row>
    <row r="333" spans="1:32" s="52" customFormat="1" ht="14.25" customHeight="1">
      <c r="A333" s="285"/>
      <c r="B333" s="1761" t="s">
        <v>333</v>
      </c>
      <c r="C333" s="2748">
        <v>16423</v>
      </c>
      <c r="D333" s="2749">
        <v>752</v>
      </c>
      <c r="E333" s="2748">
        <v>15184</v>
      </c>
      <c r="F333" s="2750">
        <v>240814</v>
      </c>
      <c r="G333" s="2748">
        <v>8297</v>
      </c>
      <c r="H333" s="2750">
        <v>30845</v>
      </c>
      <c r="I333" s="1788">
        <f t="shared" ref="I333:I345" si="54">H333+G333+F333+E333+D333+C333</f>
        <v>312315</v>
      </c>
      <c r="J333" s="278"/>
      <c r="K333" s="429"/>
      <c r="L333" s="492"/>
      <c r="M333" s="305"/>
      <c r="N333" s="492"/>
      <c r="O333" s="492"/>
      <c r="P333" s="492"/>
      <c r="Q333" s="492"/>
      <c r="R333" s="492"/>
      <c r="W333" s="305"/>
      <c r="X333" s="305"/>
      <c r="Y333" s="305"/>
      <c r="Z333" s="305"/>
      <c r="AA333" s="305"/>
      <c r="AB333" s="305"/>
      <c r="AC333" s="305"/>
      <c r="AD333" s="305"/>
      <c r="AE333" s="305"/>
      <c r="AF333" s="305"/>
    </row>
    <row r="334" spans="1:32" s="52" customFormat="1" ht="14.25" customHeight="1">
      <c r="A334" s="285"/>
      <c r="B334" s="2616" t="s">
        <v>420</v>
      </c>
      <c r="C334" s="847">
        <v>-212</v>
      </c>
      <c r="D334" s="714"/>
      <c r="E334" s="847"/>
      <c r="F334" s="714">
        <v>-219</v>
      </c>
      <c r="G334" s="847"/>
      <c r="H334" s="641">
        <v>-556</v>
      </c>
      <c r="I334" s="2688">
        <f t="shared" si="54"/>
        <v>-987</v>
      </c>
      <c r="J334" s="278"/>
      <c r="K334" s="429"/>
      <c r="L334" s="492"/>
      <c r="M334" s="305"/>
      <c r="N334" s="492"/>
      <c r="O334" s="492"/>
      <c r="P334" s="492"/>
      <c r="Q334" s="492"/>
      <c r="R334" s="492"/>
      <c r="W334" s="305"/>
      <c r="X334" s="305"/>
      <c r="Y334" s="305"/>
      <c r="Z334" s="305"/>
      <c r="AA334" s="305"/>
      <c r="AB334" s="305"/>
      <c r="AC334" s="305"/>
      <c r="AD334" s="305"/>
      <c r="AE334" s="305"/>
      <c r="AF334" s="305"/>
    </row>
    <row r="335" spans="1:32" s="52" customFormat="1" ht="14.25" customHeight="1">
      <c r="A335" s="285"/>
      <c r="B335" s="2616" t="s">
        <v>421</v>
      </c>
      <c r="C335" s="848">
        <v>-12333</v>
      </c>
      <c r="D335" s="714"/>
      <c r="E335" s="847"/>
      <c r="F335" s="714"/>
      <c r="G335" s="847"/>
      <c r="H335" s="2750">
        <v>-1000</v>
      </c>
      <c r="I335" s="2688">
        <f t="shared" si="54"/>
        <v>-13333</v>
      </c>
      <c r="J335" s="278"/>
      <c r="K335" s="429"/>
      <c r="L335" s="492"/>
      <c r="M335" s="305"/>
      <c r="N335" s="492"/>
      <c r="O335" s="492"/>
      <c r="P335" s="492"/>
      <c r="Q335" s="492"/>
      <c r="R335" s="492"/>
      <c r="W335" s="305"/>
      <c r="X335" s="305"/>
      <c r="Y335" s="305"/>
      <c r="Z335" s="305"/>
      <c r="AA335" s="305"/>
      <c r="AB335" s="305"/>
      <c r="AC335" s="305"/>
      <c r="AD335" s="305"/>
      <c r="AE335" s="305"/>
      <c r="AF335" s="305"/>
    </row>
    <row r="336" spans="1:32" s="52" customFormat="1" ht="14.25" customHeight="1">
      <c r="A336" s="285"/>
      <c r="B336" s="2616" t="s">
        <v>422</v>
      </c>
      <c r="C336" s="848">
        <v>-3575</v>
      </c>
      <c r="D336" s="714">
        <v>-503</v>
      </c>
      <c r="E336" s="848">
        <v>-1518</v>
      </c>
      <c r="F336" s="713">
        <v>-36162</v>
      </c>
      <c r="G336" s="847"/>
      <c r="H336" s="713">
        <v>-18043</v>
      </c>
      <c r="I336" s="2688">
        <f t="shared" si="54"/>
        <v>-59801</v>
      </c>
      <c r="J336" s="278"/>
      <c r="K336" s="429"/>
      <c r="L336" s="492"/>
      <c r="M336" s="305"/>
      <c r="N336" s="492"/>
      <c r="O336" s="492"/>
      <c r="P336" s="492"/>
      <c r="Q336" s="492"/>
      <c r="R336" s="492"/>
      <c r="W336" s="305"/>
      <c r="X336" s="305"/>
      <c r="Y336" s="305"/>
      <c r="Z336" s="305"/>
      <c r="AA336" s="305"/>
      <c r="AB336" s="305"/>
      <c r="AC336" s="305"/>
      <c r="AD336" s="305"/>
      <c r="AE336" s="305"/>
      <c r="AF336" s="305"/>
    </row>
    <row r="337" spans="1:32" s="52" customFormat="1" ht="14.25" customHeight="1">
      <c r="A337" s="285"/>
      <c r="B337" s="2618" t="s">
        <v>423</v>
      </c>
      <c r="C337" s="2619">
        <f t="shared" ref="C337:H337" si="55">C333+C334+C335+C336</f>
        <v>303</v>
      </c>
      <c r="D337" s="2620">
        <f t="shared" si="55"/>
        <v>249</v>
      </c>
      <c r="E337" s="2619">
        <f t="shared" si="55"/>
        <v>13666</v>
      </c>
      <c r="F337" s="2620">
        <f t="shared" si="55"/>
        <v>204433</v>
      </c>
      <c r="G337" s="2619">
        <f t="shared" si="55"/>
        <v>8297</v>
      </c>
      <c r="H337" s="2620">
        <f t="shared" si="55"/>
        <v>11246</v>
      </c>
      <c r="I337" s="2701">
        <f t="shared" si="54"/>
        <v>238194</v>
      </c>
      <c r="J337" s="278"/>
      <c r="K337" s="416"/>
      <c r="L337" s="492"/>
      <c r="M337" s="305"/>
      <c r="N337" s="492"/>
      <c r="O337" s="492"/>
      <c r="P337" s="492"/>
      <c r="Q337" s="492"/>
      <c r="R337" s="492"/>
      <c r="W337" s="305"/>
      <c r="X337" s="305"/>
      <c r="Y337" s="305"/>
      <c r="Z337" s="305"/>
      <c r="AA337" s="305"/>
      <c r="AB337" s="305"/>
      <c r="AC337" s="305"/>
      <c r="AD337" s="305"/>
      <c r="AE337" s="305"/>
      <c r="AF337" s="305"/>
    </row>
    <row r="338" spans="1:32" s="52" customFormat="1" ht="14.25" customHeight="1">
      <c r="A338" s="285"/>
      <c r="B338" s="2616" t="s">
        <v>424</v>
      </c>
      <c r="C338" s="2751">
        <v>264</v>
      </c>
      <c r="D338" s="2749">
        <v>1</v>
      </c>
      <c r="E338" s="2748">
        <v>-8474</v>
      </c>
      <c r="F338" s="2750">
        <v>-53629</v>
      </c>
      <c r="G338" s="2751">
        <v>70</v>
      </c>
      <c r="H338" s="2750">
        <v>-6072</v>
      </c>
      <c r="I338" s="2688">
        <f t="shared" si="54"/>
        <v>-67840</v>
      </c>
      <c r="J338" s="278"/>
      <c r="K338" s="416"/>
      <c r="L338" s="492"/>
      <c r="M338" s="305"/>
      <c r="N338" s="492"/>
      <c r="O338" s="492"/>
      <c r="P338" s="492"/>
      <c r="Q338" s="492"/>
      <c r="R338" s="492"/>
      <c r="W338" s="305"/>
      <c r="X338" s="305"/>
      <c r="Y338" s="305"/>
      <c r="Z338" s="305"/>
      <c r="AA338" s="305"/>
      <c r="AB338" s="305"/>
      <c r="AC338" s="305"/>
      <c r="AD338" s="305"/>
      <c r="AE338" s="305"/>
      <c r="AF338" s="305"/>
    </row>
    <row r="339" spans="1:32" s="52" customFormat="1" ht="14.25" customHeight="1">
      <c r="A339" s="285"/>
      <c r="B339" s="2618" t="s">
        <v>425</v>
      </c>
      <c r="C339" s="2619">
        <f t="shared" ref="C339:H339" si="56">C337+C338</f>
        <v>567</v>
      </c>
      <c r="D339" s="2620">
        <f t="shared" si="56"/>
        <v>250</v>
      </c>
      <c r="E339" s="2619">
        <f t="shared" si="56"/>
        <v>5192</v>
      </c>
      <c r="F339" s="2620">
        <f t="shared" si="56"/>
        <v>150804</v>
      </c>
      <c r="G339" s="2619">
        <f t="shared" si="56"/>
        <v>8367</v>
      </c>
      <c r="H339" s="2620">
        <f t="shared" si="56"/>
        <v>5174</v>
      </c>
      <c r="I339" s="2701">
        <f t="shared" si="54"/>
        <v>170354</v>
      </c>
      <c r="J339" s="278"/>
      <c r="K339" s="416"/>
      <c r="L339" s="492"/>
      <c r="M339" s="305"/>
      <c r="N339" s="492"/>
      <c r="O339" s="492"/>
      <c r="P339" s="492"/>
      <c r="Q339" s="492"/>
      <c r="R339" s="492"/>
      <c r="W339" s="305"/>
      <c r="X339" s="305"/>
      <c r="Y339" s="305"/>
      <c r="Z339" s="305"/>
      <c r="AA339" s="305"/>
      <c r="AB339" s="305"/>
      <c r="AC339" s="305"/>
      <c r="AD339" s="305"/>
      <c r="AE339" s="305"/>
      <c r="AF339" s="305"/>
    </row>
    <row r="340" spans="1:32" s="52" customFormat="1" ht="14.25" customHeight="1">
      <c r="A340" s="285"/>
      <c r="B340" s="2616"/>
      <c r="C340" s="2191"/>
      <c r="D340" s="2190"/>
      <c r="E340" s="2191"/>
      <c r="F340" s="2190"/>
      <c r="G340" s="2191"/>
      <c r="H340" s="2190"/>
      <c r="I340" s="2688">
        <f t="shared" si="54"/>
        <v>0</v>
      </c>
      <c r="J340" s="278"/>
      <c r="K340" s="416"/>
      <c r="M340" s="305"/>
      <c r="W340" s="305"/>
      <c r="X340" s="305"/>
      <c r="Y340" s="305"/>
      <c r="Z340" s="305"/>
      <c r="AA340" s="305"/>
      <c r="AB340" s="305"/>
      <c r="AC340" s="305"/>
      <c r="AD340" s="305"/>
      <c r="AE340" s="305"/>
      <c r="AF340" s="305"/>
    </row>
    <row r="341" spans="1:32" s="52" customFormat="1" ht="14.25" customHeight="1">
      <c r="A341" s="285"/>
      <c r="B341" s="2618" t="s">
        <v>426</v>
      </c>
      <c r="C341" s="2191">
        <f>SUM(C342:C344)</f>
        <v>-832</v>
      </c>
      <c r="D341" s="2190">
        <f t="shared" ref="D341:H341" si="57">SUM(D342:D344)</f>
        <v>636</v>
      </c>
      <c r="E341" s="2191">
        <f t="shared" si="57"/>
        <v>0</v>
      </c>
      <c r="F341" s="2190">
        <f t="shared" si="57"/>
        <v>-117950</v>
      </c>
      <c r="G341" s="2191">
        <f t="shared" si="57"/>
        <v>0</v>
      </c>
      <c r="H341" s="2190">
        <f t="shared" si="57"/>
        <v>-14883</v>
      </c>
      <c r="I341" s="2688">
        <f t="shared" si="54"/>
        <v>-133029</v>
      </c>
      <c r="J341" s="278"/>
      <c r="K341" s="416"/>
      <c r="L341" s="305"/>
      <c r="M341" s="305"/>
      <c r="N341" s="305"/>
      <c r="O341" s="305"/>
      <c r="P341" s="305"/>
      <c r="Q341" s="305"/>
      <c r="R341" s="305"/>
      <c r="W341" s="305"/>
      <c r="X341" s="305"/>
      <c r="Y341" s="305"/>
      <c r="Z341" s="305"/>
      <c r="AA341" s="305"/>
      <c r="AB341" s="305"/>
      <c r="AC341" s="305"/>
      <c r="AD341" s="305"/>
      <c r="AE341" s="305"/>
      <c r="AF341" s="305"/>
    </row>
    <row r="342" spans="1:32" s="52" customFormat="1" ht="27.75" customHeight="1">
      <c r="A342" s="285"/>
      <c r="B342" s="2616" t="s">
        <v>427</v>
      </c>
      <c r="C342" s="2751">
        <v>67</v>
      </c>
      <c r="D342" s="2749">
        <v>712</v>
      </c>
      <c r="E342" s="2751"/>
      <c r="F342" s="2750">
        <v>-107809</v>
      </c>
      <c r="G342" s="2751"/>
      <c r="H342" s="2750">
        <v>-12123</v>
      </c>
      <c r="I342" s="2688">
        <f t="shared" si="54"/>
        <v>-119153</v>
      </c>
      <c r="J342" s="278"/>
      <c r="K342" s="416"/>
      <c r="L342" s="305"/>
      <c r="M342" s="305"/>
      <c r="N342" s="305"/>
      <c r="O342" s="305"/>
      <c r="P342" s="305"/>
      <c r="Q342" s="305"/>
      <c r="R342" s="305"/>
      <c r="W342" s="305"/>
      <c r="X342" s="305"/>
      <c r="Y342" s="305"/>
      <c r="Z342" s="305"/>
      <c r="AA342" s="305"/>
      <c r="AB342" s="305"/>
      <c r="AC342" s="305"/>
      <c r="AD342" s="305"/>
      <c r="AE342" s="305"/>
      <c r="AF342" s="305"/>
    </row>
    <row r="343" spans="1:32" s="52" customFormat="1" ht="14.25" customHeight="1">
      <c r="A343" s="285"/>
      <c r="B343" s="2616" t="s">
        <v>428</v>
      </c>
      <c r="C343" s="847">
        <v>-862</v>
      </c>
      <c r="D343" s="714">
        <v>-61</v>
      </c>
      <c r="E343" s="847"/>
      <c r="F343" s="713">
        <v>-3075</v>
      </c>
      <c r="G343" s="847"/>
      <c r="H343" s="713">
        <v>-1656</v>
      </c>
      <c r="I343" s="2688">
        <f t="shared" si="54"/>
        <v>-5654</v>
      </c>
      <c r="J343" s="278"/>
      <c r="K343" s="416"/>
      <c r="L343" s="305"/>
      <c r="M343" s="305"/>
      <c r="N343" s="305"/>
      <c r="O343" s="305"/>
      <c r="P343" s="305"/>
      <c r="Q343" s="305"/>
      <c r="R343" s="305"/>
      <c r="W343" s="305"/>
      <c r="X343" s="305"/>
      <c r="Y343" s="305"/>
      <c r="Z343" s="305"/>
      <c r="AA343" s="305"/>
      <c r="AB343" s="305"/>
      <c r="AC343" s="305"/>
      <c r="AD343" s="305"/>
      <c r="AE343" s="305"/>
      <c r="AF343" s="305"/>
    </row>
    <row r="344" spans="1:32" s="52" customFormat="1" ht="14.25" customHeight="1">
      <c r="A344" s="285"/>
      <c r="B344" s="2616" t="s">
        <v>429</v>
      </c>
      <c r="C344" s="847">
        <v>-37</v>
      </c>
      <c r="D344" s="714">
        <v>-15</v>
      </c>
      <c r="E344" s="847"/>
      <c r="F344" s="713">
        <v>-7066</v>
      </c>
      <c r="G344" s="847"/>
      <c r="H344" s="713">
        <v>-1104</v>
      </c>
      <c r="I344" s="2688">
        <f t="shared" si="54"/>
        <v>-8222</v>
      </c>
      <c r="J344" s="278"/>
      <c r="K344" s="416"/>
      <c r="L344" s="305"/>
      <c r="M344" s="305"/>
      <c r="N344" s="305"/>
      <c r="O344" s="305"/>
      <c r="P344" s="305"/>
      <c r="Q344" s="305"/>
      <c r="R344" s="305"/>
      <c r="W344" s="305"/>
      <c r="X344" s="305"/>
      <c r="Y344" s="305"/>
      <c r="Z344" s="305"/>
      <c r="AA344" s="305"/>
      <c r="AB344" s="305"/>
      <c r="AC344" s="305"/>
      <c r="AD344" s="305"/>
      <c r="AE344" s="305"/>
      <c r="AF344" s="305"/>
    </row>
    <row r="345" spans="1:32" s="52" customFormat="1" ht="14.25" customHeight="1">
      <c r="A345" s="285"/>
      <c r="B345" s="2618" t="s">
        <v>430</v>
      </c>
      <c r="C345" s="2619">
        <f t="shared" ref="C345:H345" si="58">C339+C342+C343+C344</f>
        <v>-265</v>
      </c>
      <c r="D345" s="2620">
        <f t="shared" si="58"/>
        <v>886</v>
      </c>
      <c r="E345" s="2619">
        <f>E339+E342+E343+E344</f>
        <v>5192</v>
      </c>
      <c r="F345" s="2620">
        <f t="shared" si="58"/>
        <v>32854</v>
      </c>
      <c r="G345" s="2619">
        <f t="shared" si="58"/>
        <v>8367</v>
      </c>
      <c r="H345" s="2620">
        <f t="shared" si="58"/>
        <v>-9709</v>
      </c>
      <c r="I345" s="2701">
        <f t="shared" si="54"/>
        <v>37325</v>
      </c>
      <c r="J345" s="278"/>
      <c r="K345" s="432"/>
      <c r="L345" s="305"/>
      <c r="M345" s="305"/>
      <c r="N345" s="305"/>
      <c r="O345" s="305"/>
      <c r="P345" s="305"/>
      <c r="Q345" s="305"/>
      <c r="R345" s="305"/>
      <c r="W345" s="305"/>
      <c r="X345" s="305"/>
      <c r="Y345" s="305"/>
      <c r="Z345" s="305"/>
      <c r="AA345" s="305"/>
      <c r="AB345" s="305"/>
      <c r="AC345" s="305"/>
      <c r="AD345" s="305"/>
      <c r="AE345" s="305"/>
      <c r="AF345" s="305"/>
    </row>
    <row r="346" spans="1:32" s="52" customFormat="1" ht="14.25" customHeight="1">
      <c r="A346" s="285"/>
      <c r="B346" s="2616"/>
      <c r="C346" s="2690"/>
      <c r="D346" s="2692"/>
      <c r="E346" s="2690"/>
      <c r="F346" s="2692"/>
      <c r="G346" s="2690"/>
      <c r="H346" s="2692"/>
      <c r="I346" s="2688"/>
      <c r="J346" s="278"/>
      <c r="K346" s="416"/>
      <c r="M346" s="305"/>
      <c r="W346" s="305"/>
      <c r="X346" s="305"/>
      <c r="Y346" s="305"/>
      <c r="Z346" s="305"/>
      <c r="AA346" s="305"/>
      <c r="AB346" s="305"/>
      <c r="AC346" s="305"/>
      <c r="AD346" s="305"/>
      <c r="AE346" s="305"/>
      <c r="AF346" s="305"/>
    </row>
    <row r="347" spans="1:32" s="52" customFormat="1" ht="14.25" customHeight="1">
      <c r="A347" s="285"/>
      <c r="B347" s="2618" t="s">
        <v>431</v>
      </c>
      <c r="C347" s="2690"/>
      <c r="D347" s="2692"/>
      <c r="E347" s="2690"/>
      <c r="F347" s="2692"/>
      <c r="G347" s="2690"/>
      <c r="H347" s="2692"/>
      <c r="I347" s="2701">
        <f>SUM(I348:I350)</f>
        <v>107401</v>
      </c>
      <c r="J347" s="278"/>
      <c r="K347" s="416"/>
      <c r="M347" s="305"/>
      <c r="W347" s="305"/>
      <c r="X347" s="305"/>
      <c r="Y347" s="305"/>
      <c r="Z347" s="305"/>
      <c r="AA347" s="305"/>
      <c r="AB347" s="305"/>
      <c r="AC347" s="305"/>
      <c r="AD347" s="305"/>
      <c r="AE347" s="305"/>
      <c r="AF347" s="305"/>
    </row>
    <row r="348" spans="1:32" s="52" customFormat="1" ht="14.25" customHeight="1">
      <c r="A348" s="285"/>
      <c r="B348" s="2616" t="s">
        <v>432</v>
      </c>
      <c r="C348" s="2690"/>
      <c r="D348" s="2692"/>
      <c r="E348" s="2690"/>
      <c r="F348" s="2692"/>
      <c r="G348" s="2690"/>
      <c r="H348" s="2692"/>
      <c r="I348" s="2752">
        <v>21853</v>
      </c>
      <c r="J348" s="278"/>
      <c r="K348" s="416"/>
      <c r="M348" s="305"/>
      <c r="W348" s="305"/>
      <c r="X348" s="305"/>
      <c r="Y348" s="305"/>
      <c r="Z348" s="305"/>
      <c r="AA348" s="305"/>
      <c r="AB348" s="305"/>
      <c r="AC348" s="305"/>
      <c r="AD348" s="305"/>
      <c r="AE348" s="305"/>
      <c r="AF348" s="305"/>
    </row>
    <row r="349" spans="1:32" s="52" customFormat="1" ht="14.25" customHeight="1">
      <c r="A349" s="285"/>
      <c r="B349" s="2616" t="s">
        <v>433</v>
      </c>
      <c r="C349" s="2690"/>
      <c r="D349" s="2692"/>
      <c r="E349" s="2690"/>
      <c r="F349" s="2692"/>
      <c r="G349" s="2690"/>
      <c r="H349" s="2692"/>
      <c r="I349" s="1809">
        <v>83732</v>
      </c>
      <c r="J349" s="278"/>
      <c r="K349" s="416"/>
      <c r="M349" s="305"/>
      <c r="W349" s="305"/>
      <c r="X349" s="305"/>
      <c r="Y349" s="305"/>
      <c r="Z349" s="305"/>
      <c r="AA349" s="305"/>
      <c r="AB349" s="305"/>
      <c r="AC349" s="305"/>
      <c r="AD349" s="305"/>
      <c r="AE349" s="305"/>
      <c r="AF349" s="305"/>
    </row>
    <row r="350" spans="1:32" s="52" customFormat="1" ht="14.25" customHeight="1">
      <c r="A350" s="285"/>
      <c r="B350" s="2616" t="s">
        <v>434</v>
      </c>
      <c r="C350" s="2690"/>
      <c r="D350" s="2692"/>
      <c r="E350" s="2690"/>
      <c r="F350" s="2692"/>
      <c r="G350" s="2690"/>
      <c r="H350" s="2692"/>
      <c r="I350" s="1809">
        <v>1816</v>
      </c>
      <c r="J350" s="278"/>
      <c r="K350" s="416"/>
      <c r="M350" s="305"/>
      <c r="W350" s="305"/>
      <c r="X350" s="305"/>
      <c r="Y350" s="305"/>
      <c r="Z350" s="305"/>
      <c r="AA350" s="305"/>
      <c r="AB350" s="305"/>
      <c r="AC350" s="305"/>
      <c r="AD350" s="305"/>
      <c r="AE350" s="305"/>
      <c r="AF350" s="305"/>
    </row>
    <row r="351" spans="1:32" s="52" customFormat="1" ht="14.25" customHeight="1">
      <c r="A351" s="285"/>
      <c r="B351" s="2616"/>
      <c r="C351" s="2690"/>
      <c r="D351" s="2692"/>
      <c r="E351" s="2690"/>
      <c r="F351" s="2692"/>
      <c r="G351" s="2690"/>
      <c r="H351" s="2692"/>
      <c r="I351" s="2688"/>
      <c r="J351" s="278"/>
      <c r="K351" s="416"/>
      <c r="M351" s="305"/>
      <c r="W351" s="305"/>
      <c r="X351" s="305"/>
      <c r="Y351" s="305"/>
      <c r="Z351" s="305"/>
      <c r="AA351" s="305"/>
      <c r="AB351" s="305"/>
      <c r="AC351" s="305"/>
      <c r="AD351" s="305"/>
      <c r="AE351" s="305"/>
      <c r="AF351" s="305"/>
    </row>
    <row r="352" spans="1:32" s="52" customFormat="1" ht="14.25" customHeight="1">
      <c r="A352" s="285"/>
      <c r="B352" s="2618" t="s">
        <v>435</v>
      </c>
      <c r="C352" s="2690"/>
      <c r="D352" s="2692"/>
      <c r="E352" s="2690"/>
      <c r="F352" s="2692"/>
      <c r="G352" s="2690"/>
      <c r="H352" s="2692"/>
      <c r="I352" s="2688">
        <f>I353+I354</f>
        <v>-193769</v>
      </c>
      <c r="J352" s="278"/>
      <c r="K352" s="416"/>
      <c r="M352" s="305"/>
      <c r="W352" s="305"/>
      <c r="X352" s="305"/>
      <c r="Y352" s="305"/>
      <c r="Z352" s="305"/>
      <c r="AA352" s="305"/>
      <c r="AB352" s="305"/>
      <c r="AC352" s="305"/>
      <c r="AD352" s="305"/>
      <c r="AE352" s="305"/>
      <c r="AF352" s="305"/>
    </row>
    <row r="353" spans="1:32" s="52" customFormat="1" ht="30.6" customHeight="1">
      <c r="A353" s="285"/>
      <c r="B353" s="2616" t="s">
        <v>436</v>
      </c>
      <c r="C353" s="2690"/>
      <c r="D353" s="2692"/>
      <c r="E353" s="2690"/>
      <c r="F353" s="2692"/>
      <c r="G353" s="2690"/>
      <c r="H353" s="2692"/>
      <c r="I353" s="2752">
        <v>-193769</v>
      </c>
      <c r="J353" s="278"/>
      <c r="K353" s="416"/>
      <c r="M353" s="305"/>
      <c r="W353" s="305"/>
      <c r="X353" s="305"/>
      <c r="Y353" s="305"/>
      <c r="Z353" s="305"/>
      <c r="AA353" s="305"/>
      <c r="AB353" s="305"/>
      <c r="AC353" s="305"/>
      <c r="AD353" s="305"/>
      <c r="AE353" s="305"/>
      <c r="AF353" s="305"/>
    </row>
    <row r="354" spans="1:32" s="52" customFormat="1" ht="30.6" customHeight="1">
      <c r="A354" s="285"/>
      <c r="B354" s="2616" t="s">
        <v>437</v>
      </c>
      <c r="C354" s="2690"/>
      <c r="D354" s="2692"/>
      <c r="E354" s="2690"/>
      <c r="F354" s="2692"/>
      <c r="G354" s="2690"/>
      <c r="H354" s="2692"/>
      <c r="I354" s="2688"/>
      <c r="J354" s="278"/>
      <c r="K354" s="416"/>
      <c r="M354" s="305"/>
      <c r="W354" s="305"/>
      <c r="X354" s="305"/>
      <c r="Y354" s="305"/>
      <c r="Z354" s="305"/>
      <c r="AA354" s="305"/>
      <c r="AB354" s="305"/>
      <c r="AC354" s="305"/>
      <c r="AD354" s="305"/>
      <c r="AE354" s="305"/>
      <c r="AF354" s="305"/>
    </row>
    <row r="355" spans="1:32" s="52" customFormat="1" ht="14.25" customHeight="1">
      <c r="A355" s="285"/>
      <c r="B355" s="2618" t="s">
        <v>438</v>
      </c>
      <c r="C355" s="2690"/>
      <c r="D355" s="2692"/>
      <c r="E355" s="2690"/>
      <c r="F355" s="2692"/>
      <c r="G355" s="2690"/>
      <c r="H355" s="2692"/>
      <c r="I355" s="2701">
        <f>+I345+I347+I353</f>
        <v>-49043</v>
      </c>
      <c r="J355" s="278"/>
      <c r="K355" s="416"/>
      <c r="M355" s="305"/>
      <c r="W355" s="305"/>
      <c r="X355" s="305"/>
      <c r="Y355" s="305"/>
      <c r="Z355" s="305"/>
      <c r="AA355" s="305"/>
      <c r="AB355" s="305"/>
      <c r="AC355" s="305"/>
      <c r="AD355" s="305"/>
      <c r="AE355" s="305"/>
      <c r="AF355" s="305"/>
    </row>
    <row r="356" spans="1:32" s="52" customFormat="1" ht="14.25" customHeight="1">
      <c r="A356" s="285"/>
      <c r="B356" s="2616" t="s">
        <v>439</v>
      </c>
      <c r="C356" s="2690"/>
      <c r="D356" s="2692"/>
      <c r="E356" s="2690"/>
      <c r="F356" s="2692"/>
      <c r="G356" s="2690"/>
      <c r="H356" s="2692"/>
      <c r="I356" s="2752">
        <v>-50075</v>
      </c>
      <c r="J356" s="278"/>
      <c r="K356" s="416"/>
      <c r="M356" s="305"/>
      <c r="W356" s="305"/>
      <c r="X356" s="305"/>
      <c r="Y356" s="305"/>
      <c r="Z356" s="305"/>
      <c r="AA356" s="305"/>
      <c r="AB356" s="305"/>
      <c r="AC356" s="305"/>
      <c r="AD356" s="305"/>
      <c r="AE356" s="305"/>
      <c r="AF356" s="305"/>
    </row>
    <row r="357" spans="1:32" s="52" customFormat="1" ht="14.25" customHeight="1">
      <c r="A357" s="285"/>
      <c r="B357" s="2618" t="s">
        <v>440</v>
      </c>
      <c r="C357" s="2690"/>
      <c r="D357" s="2692"/>
      <c r="E357" s="2690"/>
      <c r="F357" s="2692"/>
      <c r="G357" s="2690"/>
      <c r="H357" s="2692"/>
      <c r="I357" s="2701">
        <f>SUM(I355:I356)</f>
        <v>-99118</v>
      </c>
      <c r="J357" s="278"/>
      <c r="K357" s="416"/>
      <c r="M357" s="305"/>
      <c r="W357" s="305"/>
      <c r="X357" s="305"/>
      <c r="Y357" s="305"/>
      <c r="Z357" s="305"/>
      <c r="AA357" s="305"/>
      <c r="AB357" s="305"/>
      <c r="AC357" s="305"/>
      <c r="AD357" s="305"/>
      <c r="AE357" s="305"/>
      <c r="AF357" s="305"/>
    </row>
    <row r="358" spans="1:32" s="52" customFormat="1" ht="14.25" customHeight="1">
      <c r="A358" s="285"/>
      <c r="B358" s="2616" t="s">
        <v>441</v>
      </c>
      <c r="C358" s="2690"/>
      <c r="D358" s="2692"/>
      <c r="E358" s="2690"/>
      <c r="F358" s="2692"/>
      <c r="G358" s="2690"/>
      <c r="H358" s="2692"/>
      <c r="I358" s="2752">
        <v>-81828</v>
      </c>
      <c r="J358" s="278"/>
      <c r="K358" s="416"/>
      <c r="M358" s="305"/>
      <c r="W358" s="305"/>
      <c r="X358" s="305"/>
      <c r="Y358" s="305"/>
      <c r="Z358" s="305"/>
      <c r="AA358" s="305"/>
      <c r="AB358" s="305"/>
      <c r="AC358" s="305"/>
      <c r="AD358" s="305"/>
      <c r="AE358" s="305"/>
      <c r="AF358" s="305"/>
    </row>
    <row r="359" spans="1:32" s="52" customFormat="1" ht="14.25" customHeight="1" thickBot="1">
      <c r="A359" s="285"/>
      <c r="B359" s="1787" t="s">
        <v>442</v>
      </c>
      <c r="C359" s="876"/>
      <c r="D359" s="1315"/>
      <c r="E359" s="876"/>
      <c r="F359" s="1315"/>
      <c r="G359" s="876"/>
      <c r="H359" s="1315"/>
      <c r="I359" s="1791">
        <f>SUM(I357:I358)</f>
        <v>-180946</v>
      </c>
      <c r="J359" s="278"/>
      <c r="K359" s="416"/>
      <c r="M359" s="305"/>
      <c r="W359" s="305"/>
      <c r="X359" s="305"/>
      <c r="Y359" s="305"/>
      <c r="Z359" s="305"/>
      <c r="AA359" s="305"/>
      <c r="AB359" s="305"/>
      <c r="AC359" s="305"/>
      <c r="AD359" s="305"/>
      <c r="AE359" s="305"/>
      <c r="AF359" s="305"/>
    </row>
    <row r="360" spans="1:32" s="52" customFormat="1" ht="14.25" customHeight="1">
      <c r="A360" s="285"/>
      <c r="B360" s="455"/>
      <c r="C360" s="414"/>
      <c r="D360" s="414"/>
      <c r="E360" s="414"/>
      <c r="F360" s="414"/>
      <c r="G360" s="414"/>
      <c r="H360" s="414"/>
      <c r="I360" s="278"/>
      <c r="J360" s="278"/>
      <c r="K360" s="416"/>
      <c r="M360" s="305"/>
      <c r="W360" s="305"/>
      <c r="X360" s="305"/>
      <c r="Y360" s="305"/>
      <c r="Z360" s="305"/>
      <c r="AA360" s="305"/>
      <c r="AB360" s="305"/>
      <c r="AC360" s="305"/>
      <c r="AD360" s="305"/>
      <c r="AE360" s="305"/>
      <c r="AF360" s="305"/>
    </row>
    <row r="361" spans="1:32" s="52" customFormat="1" ht="14.25" customHeight="1">
      <c r="A361" s="285"/>
      <c r="B361" s="455"/>
      <c r="C361" s="414"/>
      <c r="D361" s="414"/>
      <c r="E361" s="414"/>
      <c r="F361" s="414"/>
      <c r="G361" s="414"/>
      <c r="H361" s="414"/>
      <c r="I361" s="278"/>
      <c r="J361" s="278"/>
      <c r="K361" s="394">
        <v>135</v>
      </c>
      <c r="M361" s="305"/>
      <c r="W361" s="305"/>
      <c r="X361" s="305"/>
      <c r="Y361" s="305"/>
      <c r="Z361" s="305"/>
      <c r="AA361" s="305"/>
      <c r="AB361" s="305"/>
      <c r="AC361" s="305"/>
      <c r="AD361" s="305"/>
      <c r="AE361" s="305"/>
      <c r="AF361" s="305"/>
    </row>
    <row r="362" spans="1:32" s="52" customFormat="1" ht="14.25" customHeight="1">
      <c r="A362" s="285"/>
      <c r="B362" s="455"/>
      <c r="C362" s="414"/>
      <c r="D362" s="414"/>
      <c r="E362" s="414"/>
      <c r="F362" s="414"/>
      <c r="G362" s="414"/>
      <c r="H362" s="414"/>
      <c r="I362" s="278"/>
      <c r="J362" s="278"/>
      <c r="K362" s="416"/>
      <c r="M362" s="305"/>
      <c r="W362" s="305"/>
      <c r="X362" s="305"/>
      <c r="Y362" s="305"/>
      <c r="Z362" s="305"/>
      <c r="AA362" s="305"/>
      <c r="AB362" s="305"/>
      <c r="AC362" s="305"/>
      <c r="AD362" s="305"/>
      <c r="AE362" s="305"/>
      <c r="AF362" s="305"/>
    </row>
    <row r="363" spans="1:32" s="52" customFormat="1" ht="14.25" customHeight="1">
      <c r="A363" s="285"/>
      <c r="B363" s="236" t="s">
        <v>451</v>
      </c>
      <c r="C363" s="279"/>
      <c r="D363" s="279"/>
      <c r="E363" s="414"/>
      <c r="F363" s="414"/>
      <c r="G363" s="414"/>
      <c r="H363" s="414"/>
      <c r="I363" s="278"/>
      <c r="J363" s="278"/>
      <c r="K363" s="416"/>
      <c r="M363" s="305"/>
      <c r="W363" s="305"/>
      <c r="X363" s="305"/>
      <c r="Y363" s="305"/>
      <c r="Z363" s="305"/>
      <c r="AA363" s="305"/>
      <c r="AB363" s="305"/>
      <c r="AC363" s="305"/>
      <c r="AD363" s="305"/>
      <c r="AE363" s="305"/>
      <c r="AF363" s="305"/>
    </row>
    <row r="364" spans="1:32" s="52" customFormat="1" ht="14.25" customHeight="1" thickBot="1">
      <c r="A364" s="285"/>
      <c r="B364" s="51"/>
      <c r="C364" s="529"/>
      <c r="D364" s="529"/>
      <c r="E364" s="414"/>
      <c r="F364" s="414"/>
      <c r="G364" s="414"/>
      <c r="H364" s="414"/>
      <c r="I364" s="278"/>
      <c r="J364" s="278"/>
      <c r="K364" s="416"/>
      <c r="M364" s="305"/>
      <c r="W364" s="305"/>
      <c r="X364" s="305"/>
      <c r="Y364" s="305"/>
      <c r="Z364" s="305"/>
      <c r="AA364" s="305"/>
      <c r="AB364" s="305"/>
      <c r="AC364" s="305"/>
      <c r="AD364" s="305"/>
      <c r="AE364" s="305"/>
      <c r="AF364" s="305"/>
    </row>
    <row r="365" spans="1:32" s="52" customFormat="1" ht="14.25" customHeight="1" thickBot="1">
      <c r="A365" s="285"/>
      <c r="B365" s="1765" t="s">
        <v>110</v>
      </c>
      <c r="C365" s="1979"/>
      <c r="D365" s="1979"/>
      <c r="E365" s="414"/>
      <c r="F365" s="414"/>
      <c r="G365" s="414"/>
      <c r="H365" s="414"/>
      <c r="I365" s="3668" t="s">
        <v>232</v>
      </c>
      <c r="J365" s="3668"/>
      <c r="K365" s="3668"/>
      <c r="M365" s="305"/>
      <c r="W365" s="305"/>
      <c r="X365" s="305"/>
      <c r="Y365" s="305"/>
      <c r="Z365" s="305"/>
      <c r="AA365" s="305"/>
      <c r="AB365" s="305"/>
      <c r="AC365" s="305"/>
      <c r="AD365" s="305"/>
      <c r="AE365" s="305"/>
      <c r="AF365" s="305"/>
    </row>
    <row r="366" spans="1:32" s="52" customFormat="1" ht="14.25" customHeight="1" thickBot="1">
      <c r="A366" s="285"/>
      <c r="B366" s="3684"/>
      <c r="C366" s="3609">
        <v>2020</v>
      </c>
      <c r="D366" s="3618"/>
      <c r="E366" s="3618"/>
      <c r="F366" s="3618"/>
      <c r="G366" s="3618"/>
      <c r="H366" s="3618"/>
      <c r="I366" s="3618"/>
      <c r="J366" s="3618"/>
      <c r="K366" s="3610"/>
      <c r="M366" s="305"/>
      <c r="W366" s="305"/>
      <c r="X366" s="305"/>
      <c r="Y366" s="305"/>
      <c r="Z366" s="305"/>
      <c r="AA366" s="305"/>
      <c r="AB366" s="305"/>
      <c r="AC366" s="305"/>
      <c r="AD366" s="305"/>
      <c r="AE366" s="305"/>
      <c r="AF366" s="305"/>
    </row>
    <row r="367" spans="1:32" s="52" customFormat="1" ht="14.25" customHeight="1" thickBot="1">
      <c r="A367" s="285"/>
      <c r="B367" s="3685"/>
      <c r="C367" s="3615" t="s">
        <v>412</v>
      </c>
      <c r="D367" s="3687" t="s">
        <v>413</v>
      </c>
      <c r="E367" s="3688" t="s">
        <v>414</v>
      </c>
      <c r="F367" s="3689"/>
      <c r="G367" s="3666" t="s">
        <v>415</v>
      </c>
      <c r="H367" s="3679" t="s">
        <v>416</v>
      </c>
      <c r="I367" s="3666" t="s">
        <v>448</v>
      </c>
      <c r="J367" s="3641" t="s">
        <v>118</v>
      </c>
      <c r="K367" s="3615" t="s">
        <v>417</v>
      </c>
      <c r="M367" s="305"/>
      <c r="W367" s="305"/>
      <c r="X367" s="305"/>
      <c r="Y367" s="305"/>
      <c r="Z367" s="305"/>
      <c r="AA367" s="305"/>
      <c r="AB367" s="305"/>
      <c r="AC367" s="305"/>
      <c r="AD367" s="305"/>
      <c r="AE367" s="305"/>
      <c r="AF367" s="305"/>
    </row>
    <row r="368" spans="1:32" s="52" customFormat="1" ht="14.25" customHeight="1" thickBot="1">
      <c r="A368" s="285"/>
      <c r="B368" s="3686"/>
      <c r="C368" s="3616"/>
      <c r="D368" s="3642"/>
      <c r="E368" s="1793" t="s">
        <v>418</v>
      </c>
      <c r="F368" s="1799" t="s">
        <v>419</v>
      </c>
      <c r="G368" s="3670"/>
      <c r="H368" s="3677"/>
      <c r="I368" s="3670"/>
      <c r="J368" s="3642"/>
      <c r="K368" s="3616"/>
      <c r="M368" s="305"/>
      <c r="W368" s="305"/>
      <c r="X368" s="305"/>
      <c r="Y368" s="305"/>
      <c r="Z368" s="305"/>
      <c r="AA368" s="305"/>
      <c r="AB368" s="305"/>
      <c r="AC368" s="305"/>
      <c r="AD368" s="305"/>
      <c r="AE368" s="305"/>
      <c r="AF368" s="305"/>
    </row>
    <row r="369" spans="1:32" s="52" customFormat="1" ht="14.25" customHeight="1">
      <c r="A369" s="285"/>
      <c r="B369" s="1770" t="s">
        <v>333</v>
      </c>
      <c r="C369" s="2675">
        <v>9420</v>
      </c>
      <c r="D369" s="2676">
        <v>18684</v>
      </c>
      <c r="E369" s="2675"/>
      <c r="F369" s="2676">
        <v>260600</v>
      </c>
      <c r="G369" s="2675">
        <v>5516870</v>
      </c>
      <c r="H369" s="2676">
        <v>157793</v>
      </c>
      <c r="I369" s="2675">
        <v>6088496</v>
      </c>
      <c r="J369" s="1810">
        <f>SUM(C369:I369)</f>
        <v>12051863</v>
      </c>
      <c r="K369" s="2675">
        <v>3235474</v>
      </c>
      <c r="M369" s="305"/>
      <c r="W369" s="305"/>
      <c r="X369" s="305"/>
      <c r="Y369" s="305"/>
      <c r="Z369" s="305"/>
      <c r="AA369" s="305"/>
      <c r="AB369" s="305"/>
      <c r="AC369" s="305"/>
      <c r="AD369" s="305"/>
      <c r="AE369" s="305"/>
      <c r="AF369" s="305"/>
    </row>
    <row r="370" spans="1:32" s="52" customFormat="1" ht="14.25" customHeight="1">
      <c r="A370" s="285"/>
      <c r="B370" s="2616" t="s">
        <v>420</v>
      </c>
      <c r="C370" s="514"/>
      <c r="D370" s="850"/>
      <c r="E370" s="514"/>
      <c r="F370" s="850"/>
      <c r="G370" s="514"/>
      <c r="H370" s="850"/>
      <c r="I370" s="514"/>
      <c r="J370" s="2753">
        <f t="shared" ref="J370:J380" si="59">SUM(C370:I370)</f>
        <v>0</v>
      </c>
      <c r="K370" s="862"/>
      <c r="M370" s="305"/>
      <c r="W370" s="305"/>
      <c r="X370" s="305"/>
      <c r="Y370" s="305"/>
      <c r="Z370" s="305"/>
      <c r="AA370" s="305"/>
      <c r="AB370" s="305"/>
      <c r="AC370" s="305"/>
      <c r="AD370" s="305"/>
      <c r="AE370" s="305"/>
      <c r="AF370" s="305"/>
    </row>
    <row r="371" spans="1:32" s="52" customFormat="1" ht="14.25" customHeight="1">
      <c r="A371" s="285"/>
      <c r="B371" s="2616" t="s">
        <v>421</v>
      </c>
      <c r="C371" s="514"/>
      <c r="D371" s="850"/>
      <c r="E371" s="514"/>
      <c r="F371" s="850"/>
      <c r="G371" s="514"/>
      <c r="H371" s="850"/>
      <c r="I371" s="514"/>
      <c r="J371" s="2753">
        <f t="shared" si="59"/>
        <v>0</v>
      </c>
      <c r="K371" s="862"/>
      <c r="M371" s="305"/>
      <c r="W371" s="305"/>
      <c r="X371" s="305"/>
      <c r="Y371" s="305"/>
      <c r="Z371" s="305"/>
      <c r="AA371" s="305"/>
      <c r="AB371" s="305"/>
      <c r="AC371" s="305"/>
      <c r="AD371" s="305"/>
      <c r="AE371" s="305"/>
      <c r="AF371" s="305"/>
    </row>
    <row r="372" spans="1:32" s="52" customFormat="1" ht="14.25" customHeight="1">
      <c r="A372" s="285"/>
      <c r="B372" s="2616" t="s">
        <v>422</v>
      </c>
      <c r="C372" s="514">
        <v>-9586</v>
      </c>
      <c r="D372" s="850"/>
      <c r="E372" s="514"/>
      <c r="F372" s="850">
        <v>-6683</v>
      </c>
      <c r="G372" s="514"/>
      <c r="H372" s="850"/>
      <c r="I372" s="514">
        <v>-100121</v>
      </c>
      <c r="J372" s="2753">
        <f t="shared" si="59"/>
        <v>-116390</v>
      </c>
      <c r="K372" s="514">
        <v>-985500</v>
      </c>
      <c r="M372" s="305"/>
      <c r="W372" s="305"/>
      <c r="X372" s="305"/>
      <c r="Y372" s="305"/>
      <c r="Z372" s="305"/>
      <c r="AA372" s="305"/>
      <c r="AB372" s="305"/>
      <c r="AC372" s="305"/>
      <c r="AD372" s="305"/>
      <c r="AE372" s="305"/>
      <c r="AF372" s="305"/>
    </row>
    <row r="373" spans="1:32" s="52" customFormat="1" ht="14.25" customHeight="1">
      <c r="A373" s="285"/>
      <c r="B373" s="2618" t="s">
        <v>423</v>
      </c>
      <c r="C373" s="2619">
        <f>C369+C370+C371+C372</f>
        <v>-166</v>
      </c>
      <c r="D373" s="2620">
        <f t="shared" ref="D373:I373" si="60">D369+D370+D371+D372</f>
        <v>18684</v>
      </c>
      <c r="E373" s="2619">
        <f t="shared" si="60"/>
        <v>0</v>
      </c>
      <c r="F373" s="2620">
        <f t="shared" si="60"/>
        <v>253917</v>
      </c>
      <c r="G373" s="2619">
        <f t="shared" si="60"/>
        <v>5516870</v>
      </c>
      <c r="H373" s="2620">
        <f t="shared" si="60"/>
        <v>157793</v>
      </c>
      <c r="I373" s="2619">
        <f t="shared" si="60"/>
        <v>5988375</v>
      </c>
      <c r="J373" s="2754">
        <f t="shared" si="59"/>
        <v>11935473</v>
      </c>
      <c r="K373" s="2619">
        <f>SUM(K369:K372)</f>
        <v>2249974</v>
      </c>
      <c r="M373" s="305"/>
      <c r="W373" s="305"/>
      <c r="X373" s="305"/>
      <c r="Y373" s="305"/>
      <c r="Z373" s="305"/>
      <c r="AA373" s="305"/>
      <c r="AB373" s="305"/>
      <c r="AC373" s="305"/>
      <c r="AD373" s="305"/>
      <c r="AE373" s="305"/>
      <c r="AF373" s="305"/>
    </row>
    <row r="374" spans="1:32" s="52" customFormat="1" ht="14.25" customHeight="1">
      <c r="A374" s="285"/>
      <c r="B374" s="2616" t="s">
        <v>424</v>
      </c>
      <c r="C374" s="2675"/>
      <c r="D374" s="2676"/>
      <c r="E374" s="2675"/>
      <c r="F374" s="2676">
        <v>62708</v>
      </c>
      <c r="G374" s="2675"/>
      <c r="H374" s="2676">
        <v>389271</v>
      </c>
      <c r="I374" s="2675">
        <v>171513</v>
      </c>
      <c r="J374" s="2753">
        <f t="shared" si="59"/>
        <v>623492</v>
      </c>
      <c r="K374" s="2675">
        <v>1039237</v>
      </c>
      <c r="M374" s="305"/>
      <c r="W374" s="305"/>
      <c r="X374" s="305"/>
      <c r="Y374" s="305"/>
      <c r="Z374" s="305"/>
      <c r="AA374" s="305"/>
      <c r="AB374" s="305"/>
      <c r="AC374" s="305"/>
      <c r="AD374" s="305"/>
      <c r="AE374" s="305"/>
      <c r="AF374" s="305"/>
    </row>
    <row r="375" spans="1:32" s="52" customFormat="1" ht="14.25" customHeight="1">
      <c r="A375" s="285"/>
      <c r="B375" s="2618" t="s">
        <v>452</v>
      </c>
      <c r="C375" s="2619">
        <f>C373+C374</f>
        <v>-166</v>
      </c>
      <c r="D375" s="2620">
        <f t="shared" ref="D375:K375" si="61">D373+D374</f>
        <v>18684</v>
      </c>
      <c r="E375" s="2619">
        <f t="shared" si="61"/>
        <v>0</v>
      </c>
      <c r="F375" s="2620">
        <f t="shared" si="61"/>
        <v>316625</v>
      </c>
      <c r="G375" s="2619">
        <f t="shared" si="61"/>
        <v>5516870</v>
      </c>
      <c r="H375" s="2620">
        <f t="shared" si="61"/>
        <v>547064</v>
      </c>
      <c r="I375" s="2619">
        <f t="shared" si="61"/>
        <v>6159888</v>
      </c>
      <c r="J375" s="2621">
        <f t="shared" si="61"/>
        <v>12558965</v>
      </c>
      <c r="K375" s="2619">
        <f t="shared" si="61"/>
        <v>3289211</v>
      </c>
      <c r="M375" s="305"/>
      <c r="W375" s="305"/>
      <c r="X375" s="305"/>
      <c r="Y375" s="305"/>
      <c r="Z375" s="305"/>
      <c r="AA375" s="305"/>
      <c r="AB375" s="305"/>
      <c r="AC375" s="305"/>
      <c r="AD375" s="305"/>
      <c r="AE375" s="305"/>
      <c r="AF375" s="305"/>
    </row>
    <row r="376" spans="1:32" s="52" customFormat="1" ht="14.25" customHeight="1">
      <c r="A376" s="285"/>
      <c r="B376" s="2616"/>
      <c r="C376" s="2191"/>
      <c r="D376" s="2190"/>
      <c r="E376" s="2191"/>
      <c r="F376" s="2190"/>
      <c r="G376" s="2191"/>
      <c r="H376" s="2190"/>
      <c r="I376" s="2595"/>
      <c r="J376" s="2753">
        <f t="shared" si="59"/>
        <v>0</v>
      </c>
      <c r="K376" s="2595"/>
      <c r="M376" s="305"/>
      <c r="W376" s="305"/>
      <c r="X376" s="305"/>
      <c r="Y376" s="305"/>
      <c r="Z376" s="305"/>
      <c r="AA376" s="305"/>
      <c r="AB376" s="305"/>
      <c r="AC376" s="305"/>
      <c r="AD376" s="305"/>
      <c r="AE376" s="305"/>
      <c r="AF376" s="305"/>
    </row>
    <row r="377" spans="1:32" s="52" customFormat="1" ht="14.25" customHeight="1">
      <c r="A377" s="285"/>
      <c r="B377" s="2618" t="s">
        <v>426</v>
      </c>
      <c r="C377" s="2191">
        <f>SUM(C378:C380)</f>
        <v>-104</v>
      </c>
      <c r="D377" s="2190">
        <f t="shared" ref="D377:I377" si="62">SUM(D378:D380)</f>
        <v>-20772</v>
      </c>
      <c r="E377" s="2191">
        <f t="shared" si="62"/>
        <v>0</v>
      </c>
      <c r="F377" s="2190">
        <f t="shared" si="62"/>
        <v>-235633</v>
      </c>
      <c r="G377" s="2191">
        <f t="shared" si="62"/>
        <v>-4968164</v>
      </c>
      <c r="H377" s="2190">
        <f t="shared" si="62"/>
        <v>492370</v>
      </c>
      <c r="I377" s="2191">
        <f t="shared" si="62"/>
        <v>-864305</v>
      </c>
      <c r="J377" s="2753">
        <f t="shared" si="59"/>
        <v>-5596608</v>
      </c>
      <c r="K377" s="2595">
        <f>SUM(K378:K380)</f>
        <v>-2238015</v>
      </c>
      <c r="M377" s="305"/>
      <c r="W377" s="305"/>
      <c r="X377" s="305"/>
      <c r="Y377" s="305"/>
      <c r="Z377" s="305"/>
      <c r="AA377" s="305"/>
      <c r="AB377" s="305"/>
      <c r="AC377" s="305"/>
      <c r="AD377" s="305"/>
      <c r="AE377" s="305"/>
      <c r="AF377" s="305"/>
    </row>
    <row r="378" spans="1:32" s="52" customFormat="1" ht="30" customHeight="1">
      <c r="A378" s="285"/>
      <c r="B378" s="2616" t="s">
        <v>427</v>
      </c>
      <c r="C378" s="2675">
        <v>-104</v>
      </c>
      <c r="D378" s="2676">
        <v>-20772</v>
      </c>
      <c r="E378" s="2675"/>
      <c r="F378" s="2676">
        <v>-235519</v>
      </c>
      <c r="G378" s="2675">
        <v>-4968164</v>
      </c>
      <c r="H378" s="2676">
        <v>495885</v>
      </c>
      <c r="I378" s="2675">
        <v>14382</v>
      </c>
      <c r="J378" s="2753">
        <f>SUM(C378:I378)</f>
        <v>-4714292</v>
      </c>
      <c r="K378" s="2675">
        <v>-1505471</v>
      </c>
      <c r="M378" s="305"/>
      <c r="W378" s="305"/>
      <c r="X378" s="305"/>
      <c r="Y378" s="305"/>
      <c r="Z378" s="305"/>
      <c r="AA378" s="305"/>
      <c r="AB378" s="305"/>
      <c r="AC378" s="305"/>
      <c r="AD378" s="305"/>
      <c r="AE378" s="305"/>
      <c r="AF378" s="305"/>
    </row>
    <row r="379" spans="1:32" s="52" customFormat="1" ht="14.25" customHeight="1">
      <c r="A379" s="285"/>
      <c r="B379" s="2616" t="s">
        <v>428</v>
      </c>
      <c r="C379" s="514"/>
      <c r="D379" s="850"/>
      <c r="E379" s="514"/>
      <c r="F379" s="850">
        <v>-114</v>
      </c>
      <c r="G379" s="514"/>
      <c r="H379" s="850">
        <v>-3515</v>
      </c>
      <c r="I379" s="514">
        <v>-996995</v>
      </c>
      <c r="J379" s="2753">
        <f>SUM(C379:I379)</f>
        <v>-1000624</v>
      </c>
      <c r="K379" s="514">
        <v>-732544</v>
      </c>
      <c r="M379" s="305"/>
      <c r="W379" s="305"/>
      <c r="X379" s="305"/>
      <c r="Y379" s="305"/>
      <c r="Z379" s="305"/>
      <c r="AA379" s="305"/>
      <c r="AB379" s="305"/>
      <c r="AC379" s="305"/>
      <c r="AD379" s="305"/>
      <c r="AE379" s="305"/>
      <c r="AF379" s="305"/>
    </row>
    <row r="380" spans="1:32" s="52" customFormat="1" ht="14.25" customHeight="1">
      <c r="A380" s="285"/>
      <c r="B380" s="2616" t="s">
        <v>429</v>
      </c>
      <c r="C380" s="514"/>
      <c r="D380" s="850"/>
      <c r="E380" s="514"/>
      <c r="F380" s="850"/>
      <c r="G380" s="514"/>
      <c r="H380" s="850"/>
      <c r="I380" s="514">
        <v>118308</v>
      </c>
      <c r="J380" s="2753">
        <f t="shared" si="59"/>
        <v>118308</v>
      </c>
      <c r="K380" s="514"/>
      <c r="M380" s="305"/>
      <c r="W380" s="305"/>
      <c r="X380" s="305"/>
      <c r="Y380" s="305"/>
      <c r="Z380" s="305"/>
      <c r="AA380" s="305"/>
      <c r="AB380" s="305"/>
      <c r="AC380" s="305"/>
      <c r="AD380" s="305"/>
      <c r="AE380" s="305"/>
      <c r="AF380" s="305"/>
    </row>
    <row r="381" spans="1:32" s="52" customFormat="1" ht="14.25" customHeight="1">
      <c r="A381" s="285"/>
      <c r="B381" s="2618" t="s">
        <v>430</v>
      </c>
      <c r="C381" s="2619">
        <f>C375+C378+C379+C380</f>
        <v>-270</v>
      </c>
      <c r="D381" s="2620">
        <f t="shared" ref="D381:I381" si="63">D375+D378+D379+D380</f>
        <v>-2088</v>
      </c>
      <c r="E381" s="2619">
        <f t="shared" si="63"/>
        <v>0</v>
      </c>
      <c r="F381" s="2620">
        <f>F375+F378+F379+F380</f>
        <v>80992</v>
      </c>
      <c r="G381" s="2619">
        <f t="shared" si="63"/>
        <v>548706</v>
      </c>
      <c r="H381" s="2620">
        <f t="shared" si="63"/>
        <v>1039434</v>
      </c>
      <c r="I381" s="2619">
        <f t="shared" si="63"/>
        <v>5295583</v>
      </c>
      <c r="J381" s="2621">
        <f>J375+J378+J379+J380</f>
        <v>6962357</v>
      </c>
      <c r="K381" s="2619">
        <f>K375+K378+K379+K380</f>
        <v>1051196</v>
      </c>
      <c r="M381" s="305"/>
      <c r="W381" s="305"/>
      <c r="X381" s="305"/>
      <c r="Y381" s="305"/>
      <c r="Z381" s="305"/>
      <c r="AA381" s="305"/>
      <c r="AB381" s="305"/>
      <c r="AC381" s="305"/>
      <c r="AD381" s="305"/>
      <c r="AE381" s="305"/>
      <c r="AF381" s="305"/>
    </row>
    <row r="382" spans="1:32" s="52" customFormat="1" ht="14.25" customHeight="1">
      <c r="A382" s="285"/>
      <c r="B382" s="2616"/>
      <c r="C382" s="2191"/>
      <c r="D382" s="2190"/>
      <c r="E382" s="2191"/>
      <c r="F382" s="2190"/>
      <c r="G382" s="2191"/>
      <c r="H382" s="2190"/>
      <c r="I382" s="2595"/>
      <c r="J382" s="2753">
        <f t="shared" ref="J382" si="64">H382+G382+F382+E382+D382+C382</f>
        <v>0</v>
      </c>
      <c r="K382" s="2595"/>
      <c r="M382" s="305"/>
      <c r="W382" s="305"/>
      <c r="X382" s="305"/>
      <c r="Y382" s="305"/>
      <c r="Z382" s="305"/>
      <c r="AA382" s="305"/>
      <c r="AB382" s="305"/>
      <c r="AC382" s="305"/>
      <c r="AD382" s="305"/>
      <c r="AE382" s="305"/>
      <c r="AF382" s="305"/>
    </row>
    <row r="383" spans="1:32" s="52" customFormat="1" ht="14.25" customHeight="1">
      <c r="A383" s="285"/>
      <c r="B383" s="2618" t="s">
        <v>431</v>
      </c>
      <c r="C383" s="2624"/>
      <c r="D383" s="2625"/>
      <c r="E383" s="2624"/>
      <c r="F383" s="2625"/>
      <c r="G383" s="2624"/>
      <c r="H383" s="2625"/>
      <c r="I383" s="2624"/>
      <c r="J383" s="2754">
        <f>SUM(J384:J386)</f>
        <v>1147104</v>
      </c>
      <c r="K383" s="2619">
        <f>SUM(K385:K386)</f>
        <v>211344</v>
      </c>
      <c r="M383" s="305"/>
      <c r="W383" s="305"/>
      <c r="X383" s="305"/>
      <c r="Y383" s="305"/>
      <c r="Z383" s="305"/>
      <c r="AA383" s="305"/>
      <c r="AB383" s="305"/>
      <c r="AC383" s="305"/>
      <c r="AD383" s="305"/>
      <c r="AE383" s="305"/>
      <c r="AF383" s="305"/>
    </row>
    <row r="384" spans="1:32" s="52" customFormat="1" ht="14.25" customHeight="1">
      <c r="A384" s="285"/>
      <c r="B384" s="2616" t="s">
        <v>432</v>
      </c>
      <c r="C384" s="2624"/>
      <c r="D384" s="2625"/>
      <c r="E384" s="2624"/>
      <c r="F384" s="2625"/>
      <c r="G384" s="2624"/>
      <c r="H384" s="2625"/>
      <c r="I384" s="2624"/>
      <c r="J384" s="2677">
        <v>1936</v>
      </c>
      <c r="K384" s="2675"/>
      <c r="M384" s="305"/>
      <c r="W384" s="305"/>
      <c r="X384" s="305"/>
      <c r="Y384" s="305"/>
      <c r="Z384" s="305"/>
      <c r="AA384" s="305"/>
      <c r="AB384" s="305"/>
      <c r="AC384" s="305"/>
      <c r="AD384" s="305"/>
      <c r="AE384" s="305"/>
      <c r="AF384" s="305"/>
    </row>
    <row r="385" spans="1:32" s="52" customFormat="1" ht="14.25" customHeight="1">
      <c r="A385" s="285"/>
      <c r="B385" s="2616" t="s">
        <v>433</v>
      </c>
      <c r="C385" s="2624"/>
      <c r="D385" s="2625"/>
      <c r="E385" s="2624"/>
      <c r="F385" s="2625"/>
      <c r="G385" s="2624"/>
      <c r="H385" s="2625"/>
      <c r="I385" s="2624"/>
      <c r="J385" s="2677">
        <v>1139278</v>
      </c>
      <c r="K385" s="514">
        <v>171019</v>
      </c>
      <c r="M385" s="305"/>
      <c r="W385" s="305"/>
      <c r="X385" s="305"/>
      <c r="Y385" s="305"/>
      <c r="Z385" s="305"/>
      <c r="AA385" s="305"/>
      <c r="AB385" s="305"/>
      <c r="AC385" s="305"/>
      <c r="AD385" s="305"/>
      <c r="AE385" s="305"/>
      <c r="AF385" s="305"/>
    </row>
    <row r="386" spans="1:32" s="52" customFormat="1" ht="14.25" customHeight="1">
      <c r="A386" s="285"/>
      <c r="B386" s="2616" t="s">
        <v>434</v>
      </c>
      <c r="C386" s="2624"/>
      <c r="D386" s="2625"/>
      <c r="E386" s="2624"/>
      <c r="F386" s="2625"/>
      <c r="G386" s="2624"/>
      <c r="H386" s="2625"/>
      <c r="I386" s="2624"/>
      <c r="J386" s="2677">
        <v>5890</v>
      </c>
      <c r="K386" s="514">
        <v>40325</v>
      </c>
      <c r="M386" s="305"/>
      <c r="W386" s="305"/>
      <c r="X386" s="305"/>
      <c r="Y386" s="305"/>
      <c r="Z386" s="305"/>
      <c r="AA386" s="305"/>
      <c r="AB386" s="305"/>
      <c r="AC386" s="305"/>
      <c r="AD386" s="305"/>
      <c r="AE386" s="305"/>
      <c r="AF386" s="305"/>
    </row>
    <row r="387" spans="1:32" s="52" customFormat="1" ht="14.25" customHeight="1">
      <c r="A387" s="285"/>
      <c r="B387" s="2616"/>
      <c r="C387" s="2624"/>
      <c r="D387" s="2625"/>
      <c r="E387" s="2624"/>
      <c r="F387" s="2625"/>
      <c r="G387" s="2624"/>
      <c r="H387" s="2625"/>
      <c r="I387" s="2624"/>
      <c r="J387" s="2753"/>
      <c r="K387" s="2191"/>
      <c r="M387" s="305"/>
      <c r="W387" s="305"/>
      <c r="X387" s="305"/>
      <c r="Y387" s="305"/>
      <c r="Z387" s="305"/>
      <c r="AA387" s="305"/>
      <c r="AB387" s="305"/>
      <c r="AC387" s="305"/>
      <c r="AD387" s="305"/>
      <c r="AE387" s="305"/>
      <c r="AF387" s="305"/>
    </row>
    <row r="388" spans="1:32" s="52" customFormat="1" ht="14.25" customHeight="1">
      <c r="A388" s="285"/>
      <c r="B388" s="2618" t="s">
        <v>435</v>
      </c>
      <c r="C388" s="2624"/>
      <c r="D388" s="2625"/>
      <c r="E388" s="2624"/>
      <c r="F388" s="2625"/>
      <c r="G388" s="2624"/>
      <c r="H388" s="2625"/>
      <c r="I388" s="2624"/>
      <c r="J388" s="2754">
        <f>SUM(J389:J390)</f>
        <v>-370756</v>
      </c>
      <c r="K388" s="2619">
        <f>SUM(K389:K390)</f>
        <v>-32016</v>
      </c>
      <c r="M388" s="305"/>
      <c r="W388" s="305"/>
      <c r="X388" s="305"/>
      <c r="Y388" s="305"/>
      <c r="Z388" s="305"/>
      <c r="AA388" s="305"/>
      <c r="AB388" s="305"/>
      <c r="AC388" s="305"/>
      <c r="AD388" s="305"/>
      <c r="AE388" s="305"/>
      <c r="AF388" s="305"/>
    </row>
    <row r="389" spans="1:32" s="52" customFormat="1" ht="27.75" customHeight="1">
      <c r="A389" s="285"/>
      <c r="B389" s="2616" t="s">
        <v>436</v>
      </c>
      <c r="C389" s="2624"/>
      <c r="D389" s="2625"/>
      <c r="E389" s="2624"/>
      <c r="F389" s="2625"/>
      <c r="G389" s="2624"/>
      <c r="H389" s="2625"/>
      <c r="I389" s="2624"/>
      <c r="J389" s="2677">
        <v>-370756</v>
      </c>
      <c r="K389" s="2675">
        <v>-32016</v>
      </c>
      <c r="M389" s="305"/>
      <c r="W389" s="305"/>
      <c r="X389" s="305"/>
      <c r="Y389" s="305"/>
      <c r="Z389" s="305"/>
      <c r="AA389" s="305"/>
      <c r="AB389" s="305"/>
      <c r="AC389" s="305"/>
      <c r="AD389" s="305"/>
      <c r="AE389" s="305"/>
      <c r="AF389" s="305"/>
    </row>
    <row r="390" spans="1:32" s="52" customFormat="1" ht="24" customHeight="1">
      <c r="A390" s="285"/>
      <c r="B390" s="2616" t="s">
        <v>437</v>
      </c>
      <c r="C390" s="2624"/>
      <c r="D390" s="2625"/>
      <c r="E390" s="2624"/>
      <c r="F390" s="2625"/>
      <c r="G390" s="2624"/>
      <c r="H390" s="2625"/>
      <c r="I390" s="2624"/>
      <c r="J390" s="2753"/>
      <c r="K390" s="2191"/>
      <c r="M390" s="305"/>
      <c r="W390" s="305"/>
      <c r="X390" s="305"/>
      <c r="Y390" s="305"/>
      <c r="Z390" s="305"/>
      <c r="AA390" s="305"/>
      <c r="AB390" s="305"/>
      <c r="AC390" s="305"/>
      <c r="AD390" s="305"/>
      <c r="AE390" s="305"/>
      <c r="AF390" s="305"/>
    </row>
    <row r="391" spans="1:32" s="52" customFormat="1" ht="14.25" customHeight="1">
      <c r="A391" s="285"/>
      <c r="B391" s="2618" t="s">
        <v>438</v>
      </c>
      <c r="C391" s="2624"/>
      <c r="D391" s="2625"/>
      <c r="E391" s="2624"/>
      <c r="F391" s="2625"/>
      <c r="G391" s="2624"/>
      <c r="H391" s="2625"/>
      <c r="I391" s="2624"/>
      <c r="J391" s="2754">
        <f>+J381+J383+J388</f>
        <v>7738705</v>
      </c>
      <c r="K391" s="2598">
        <f>+K381+K383+K388</f>
        <v>1230524</v>
      </c>
      <c r="M391" s="305"/>
      <c r="W391" s="305"/>
      <c r="X391" s="305"/>
      <c r="Y391" s="305"/>
      <c r="Z391" s="305"/>
      <c r="AA391" s="305"/>
      <c r="AB391" s="305"/>
      <c r="AC391" s="305"/>
      <c r="AD391" s="305"/>
      <c r="AE391" s="305"/>
      <c r="AF391" s="305"/>
    </row>
    <row r="392" spans="1:32" s="52" customFormat="1" ht="14.25" customHeight="1">
      <c r="A392" s="285"/>
      <c r="B392" s="2616" t="s">
        <v>439</v>
      </c>
      <c r="C392" s="2624"/>
      <c r="D392" s="2625"/>
      <c r="E392" s="2624"/>
      <c r="F392" s="2625"/>
      <c r="G392" s="2624"/>
      <c r="H392" s="2625"/>
      <c r="I392" s="2624"/>
      <c r="J392" s="2677">
        <v>-17571</v>
      </c>
      <c r="K392" s="2191"/>
      <c r="M392" s="305"/>
      <c r="W392" s="305"/>
      <c r="X392" s="305"/>
      <c r="Y392" s="305"/>
      <c r="Z392" s="305"/>
      <c r="AA392" s="305"/>
      <c r="AB392" s="305"/>
      <c r="AC392" s="305"/>
      <c r="AD392" s="305"/>
      <c r="AE392" s="305"/>
      <c r="AF392" s="305"/>
    </row>
    <row r="393" spans="1:32" s="52" customFormat="1" ht="14.25" customHeight="1">
      <c r="A393" s="285"/>
      <c r="B393" s="2618" t="s">
        <v>440</v>
      </c>
      <c r="C393" s="2624"/>
      <c r="D393" s="2625"/>
      <c r="E393" s="2624"/>
      <c r="F393" s="2625"/>
      <c r="G393" s="2624"/>
      <c r="H393" s="2625"/>
      <c r="I393" s="2624"/>
      <c r="J393" s="2754">
        <f>J391+J392</f>
        <v>7721134</v>
      </c>
      <c r="K393" s="2598">
        <f>SUM(K391:K392)</f>
        <v>1230524</v>
      </c>
      <c r="M393" s="305"/>
      <c r="W393" s="305"/>
      <c r="X393" s="305"/>
      <c r="Y393" s="305"/>
      <c r="Z393" s="305"/>
      <c r="AA393" s="305"/>
      <c r="AB393" s="305"/>
      <c r="AC393" s="305"/>
      <c r="AD393" s="305"/>
      <c r="AE393" s="305"/>
      <c r="AF393" s="305"/>
    </row>
    <row r="394" spans="1:32" s="52" customFormat="1" ht="14.25" customHeight="1">
      <c r="A394" s="285"/>
      <c r="B394" s="2616" t="s">
        <v>441</v>
      </c>
      <c r="C394" s="2624"/>
      <c r="D394" s="2625"/>
      <c r="E394" s="2624"/>
      <c r="F394" s="2625"/>
      <c r="G394" s="2624"/>
      <c r="H394" s="2625"/>
      <c r="I394" s="2624"/>
      <c r="J394" s="2677">
        <v>-1339827</v>
      </c>
      <c r="K394" s="2191"/>
      <c r="M394" s="305"/>
      <c r="W394" s="305"/>
      <c r="X394" s="305"/>
      <c r="Y394" s="305"/>
      <c r="Z394" s="305"/>
      <c r="AA394" s="305"/>
      <c r="AB394" s="305"/>
      <c r="AC394" s="305"/>
      <c r="AD394" s="305"/>
      <c r="AE394" s="305"/>
      <c r="AF394" s="305"/>
    </row>
    <row r="395" spans="1:32" s="52" customFormat="1" ht="14.25" customHeight="1" thickBot="1">
      <c r="A395" s="285"/>
      <c r="B395" s="1787" t="s">
        <v>442</v>
      </c>
      <c r="C395" s="489"/>
      <c r="D395" s="1312"/>
      <c r="E395" s="489"/>
      <c r="F395" s="1312"/>
      <c r="G395" s="489"/>
      <c r="H395" s="1312"/>
      <c r="I395" s="489"/>
      <c r="J395" s="1811">
        <f>SUM(J393:J394)</f>
        <v>6381307</v>
      </c>
      <c r="K395" s="561">
        <f>SUM(K393:K394)</f>
        <v>1230524</v>
      </c>
      <c r="M395" s="305"/>
      <c r="W395" s="305"/>
      <c r="X395" s="305"/>
      <c r="Y395" s="305"/>
      <c r="Z395" s="305"/>
      <c r="AA395" s="305"/>
      <c r="AB395" s="305"/>
      <c r="AC395" s="305"/>
      <c r="AD395" s="305"/>
      <c r="AE395" s="305"/>
      <c r="AF395" s="305"/>
    </row>
    <row r="396" spans="1:32" s="52" customFormat="1" ht="14.25" customHeight="1">
      <c r="A396" s="285"/>
      <c r="B396" s="456"/>
      <c r="C396" s="278"/>
      <c r="D396" s="278"/>
      <c r="E396" s="278"/>
      <c r="F396" s="278"/>
      <c r="G396" s="278"/>
      <c r="H396" s="278"/>
      <c r="I396" s="278"/>
      <c r="J396" s="279"/>
      <c r="K396" s="279"/>
      <c r="M396" s="305"/>
      <c r="W396" s="305"/>
      <c r="X396" s="305"/>
      <c r="Y396" s="305"/>
      <c r="Z396" s="305"/>
      <c r="AA396" s="305"/>
      <c r="AB396" s="305"/>
      <c r="AC396" s="305"/>
      <c r="AD396" s="305"/>
      <c r="AE396" s="305"/>
      <c r="AF396" s="305"/>
    </row>
    <row r="397" spans="1:32" s="52" customFormat="1" ht="14.25" customHeight="1">
      <c r="A397" s="285"/>
      <c r="B397" s="51"/>
      <c r="C397" s="529"/>
      <c r="D397" s="529"/>
      <c r="E397" s="278"/>
      <c r="F397" s="278"/>
      <c r="G397" s="278"/>
      <c r="H397" s="278"/>
      <c r="I397" s="278"/>
      <c r="J397" s="278"/>
      <c r="K397" s="394">
        <v>136</v>
      </c>
      <c r="M397" s="305"/>
      <c r="W397" s="305"/>
      <c r="X397" s="305"/>
      <c r="Y397" s="305"/>
      <c r="Z397" s="305"/>
      <c r="AA397" s="305"/>
      <c r="AB397" s="305"/>
      <c r="AC397" s="305"/>
      <c r="AD397" s="305"/>
      <c r="AE397" s="305"/>
      <c r="AF397" s="305"/>
    </row>
    <row r="398" spans="1:32" s="52" customFormat="1" ht="14.25" customHeight="1">
      <c r="A398" s="285"/>
      <c r="B398" s="51"/>
      <c r="C398" s="529"/>
      <c r="D398" s="529"/>
      <c r="E398" s="278"/>
      <c r="F398" s="278"/>
      <c r="G398" s="278"/>
      <c r="H398" s="278"/>
      <c r="I398" s="278"/>
      <c r="J398" s="278"/>
      <c r="K398" s="394"/>
      <c r="M398" s="305"/>
      <c r="W398" s="305"/>
      <c r="X398" s="305"/>
      <c r="Y398" s="305"/>
      <c r="Z398" s="305"/>
      <c r="AA398" s="305"/>
      <c r="AB398" s="305"/>
      <c r="AC398" s="305"/>
      <c r="AD398" s="305"/>
      <c r="AE398" s="305"/>
      <c r="AF398" s="305"/>
    </row>
    <row r="399" spans="1:32" s="52" customFormat="1" ht="14.25" customHeight="1">
      <c r="A399" s="285"/>
      <c r="B399" s="236" t="s">
        <v>451</v>
      </c>
      <c r="C399" s="529"/>
      <c r="D399" s="529"/>
      <c r="E399" s="414"/>
      <c r="F399" s="414"/>
      <c r="G399" s="414"/>
      <c r="H399" s="414"/>
      <c r="I399" s="278"/>
      <c r="J399" s="278"/>
      <c r="K399" s="416"/>
      <c r="M399" s="305"/>
      <c r="W399" s="305"/>
      <c r="X399" s="305"/>
      <c r="Y399" s="305"/>
      <c r="Z399" s="305"/>
      <c r="AA399" s="305"/>
      <c r="AB399" s="305"/>
      <c r="AC399" s="305"/>
      <c r="AD399" s="305"/>
      <c r="AE399" s="305"/>
      <c r="AF399" s="305"/>
    </row>
    <row r="400" spans="1:32" s="52" customFormat="1" ht="14.25" customHeight="1" thickBot="1">
      <c r="A400" s="285"/>
      <c r="B400" s="51"/>
      <c r="C400" s="529"/>
      <c r="D400" s="529"/>
      <c r="E400" s="414"/>
      <c r="F400" s="414"/>
      <c r="G400" s="414"/>
      <c r="H400" s="414"/>
      <c r="I400" s="278"/>
      <c r="J400" s="278"/>
      <c r="K400" s="416"/>
      <c r="M400" s="305"/>
      <c r="W400" s="305"/>
      <c r="X400" s="305"/>
      <c r="Y400" s="305"/>
      <c r="Z400" s="305"/>
      <c r="AA400" s="305"/>
      <c r="AB400" s="305"/>
      <c r="AC400" s="305"/>
      <c r="AD400" s="305"/>
      <c r="AE400" s="305"/>
      <c r="AF400" s="305"/>
    </row>
    <row r="401" spans="1:32" s="52" customFormat="1" ht="14.25" customHeight="1">
      <c r="A401" s="285"/>
      <c r="B401" s="1765" t="s">
        <v>111</v>
      </c>
      <c r="C401" s="515"/>
      <c r="D401" s="515"/>
      <c r="E401" s="515"/>
      <c r="F401" s="515"/>
      <c r="G401" s="3668" t="s">
        <v>232</v>
      </c>
      <c r="H401" s="3668"/>
      <c r="I401" s="3668"/>
      <c r="J401" s="278"/>
      <c r="K401" s="416"/>
      <c r="M401" s="305"/>
      <c r="W401" s="305"/>
      <c r="X401" s="305"/>
      <c r="Y401" s="305"/>
      <c r="Z401" s="305"/>
      <c r="AA401" s="305"/>
      <c r="AB401" s="305"/>
      <c r="AC401" s="305"/>
      <c r="AD401" s="305"/>
      <c r="AE401" s="305"/>
      <c r="AF401" s="305"/>
    </row>
    <row r="402" spans="1:32" s="52" customFormat="1" ht="14.25" customHeight="1">
      <c r="A402" s="285"/>
      <c r="B402" s="3663"/>
      <c r="C402" s="3575">
        <v>2020</v>
      </c>
      <c r="D402" s="3576"/>
      <c r="E402" s="3576"/>
      <c r="F402" s="3576"/>
      <c r="G402" s="3576"/>
      <c r="H402" s="3576"/>
      <c r="I402" s="3577"/>
      <c r="J402" s="278"/>
      <c r="K402" s="416"/>
      <c r="M402" s="305"/>
      <c r="W402" s="305"/>
      <c r="X402" s="305"/>
      <c r="Y402" s="305"/>
      <c r="Z402" s="305"/>
      <c r="AA402" s="305"/>
      <c r="AB402" s="305"/>
      <c r="AC402" s="305"/>
      <c r="AD402" s="305"/>
      <c r="AE402" s="305"/>
      <c r="AF402" s="305"/>
    </row>
    <row r="403" spans="1:32" s="52" customFormat="1" ht="14.25" customHeight="1">
      <c r="A403" s="285"/>
      <c r="B403" s="3664"/>
      <c r="C403" s="3666" t="s">
        <v>412</v>
      </c>
      <c r="D403" s="3666" t="s">
        <v>413</v>
      </c>
      <c r="E403" s="3671" t="s">
        <v>414</v>
      </c>
      <c r="F403" s="3672"/>
      <c r="G403" s="3666" t="s">
        <v>415</v>
      </c>
      <c r="H403" s="3666" t="s">
        <v>416</v>
      </c>
      <c r="I403" s="3666" t="s">
        <v>118</v>
      </c>
      <c r="J403" s="278"/>
      <c r="K403" s="416"/>
      <c r="M403" s="305"/>
      <c r="W403" s="305"/>
      <c r="X403" s="305"/>
      <c r="Y403" s="305"/>
      <c r="Z403" s="305"/>
      <c r="AA403" s="305"/>
      <c r="AB403" s="305"/>
      <c r="AC403" s="305"/>
      <c r="AD403" s="305"/>
      <c r="AE403" s="305"/>
      <c r="AF403" s="305"/>
    </row>
    <row r="404" spans="1:32" s="52" customFormat="1" ht="14.25" customHeight="1" thickBot="1">
      <c r="A404" s="285"/>
      <c r="B404" s="3665"/>
      <c r="C404" s="3670"/>
      <c r="D404" s="3670"/>
      <c r="E404" s="1793" t="s">
        <v>418</v>
      </c>
      <c r="F404" s="1793" t="s">
        <v>419</v>
      </c>
      <c r="G404" s="3670"/>
      <c r="H404" s="3670"/>
      <c r="I404" s="3670"/>
      <c r="J404" s="278"/>
      <c r="K404" s="416"/>
      <c r="M404" s="305"/>
      <c r="W404" s="305"/>
      <c r="X404" s="305"/>
      <c r="Y404" s="305"/>
      <c r="Z404" s="305"/>
      <c r="AA404" s="305"/>
      <c r="AB404" s="305"/>
      <c r="AC404" s="305"/>
      <c r="AD404" s="305"/>
      <c r="AE404" s="305"/>
      <c r="AF404" s="305"/>
    </row>
    <row r="405" spans="1:32" s="52" customFormat="1" ht="14.25" customHeight="1">
      <c r="A405" s="285"/>
      <c r="B405" s="1805" t="s">
        <v>333</v>
      </c>
      <c r="C405" s="2750">
        <v>155264</v>
      </c>
      <c r="D405" s="849">
        <v>15229</v>
      </c>
      <c r="E405" s="2749"/>
      <c r="F405" s="849">
        <v>1377872</v>
      </c>
      <c r="G405" s="2750">
        <v>95074</v>
      </c>
      <c r="H405" s="849">
        <v>97701</v>
      </c>
      <c r="I405" s="1788">
        <f t="shared" ref="I405:I418" si="65">H405+G405+F405+E405+D405+C405</f>
        <v>1741140</v>
      </c>
      <c r="J405" s="278"/>
      <c r="K405" s="416"/>
      <c r="M405" s="305"/>
      <c r="W405" s="305"/>
      <c r="X405" s="305"/>
      <c r="Y405" s="305"/>
      <c r="Z405" s="305"/>
      <c r="AA405" s="305"/>
      <c r="AB405" s="305"/>
      <c r="AC405" s="305"/>
      <c r="AD405" s="305"/>
      <c r="AE405" s="305"/>
      <c r="AF405" s="305"/>
    </row>
    <row r="406" spans="1:32" s="52" customFormat="1" ht="14.25" customHeight="1">
      <c r="A406" s="285"/>
      <c r="B406" s="2651" t="s">
        <v>420</v>
      </c>
      <c r="C406" s="714"/>
      <c r="D406" s="847"/>
      <c r="E406" s="714"/>
      <c r="F406" s="847"/>
      <c r="G406" s="714"/>
      <c r="H406" s="847"/>
      <c r="I406" s="2688">
        <f t="shared" si="65"/>
        <v>0</v>
      </c>
      <c r="J406" s="278"/>
      <c r="K406" s="416"/>
      <c r="M406" s="305"/>
      <c r="W406" s="305"/>
      <c r="X406" s="305"/>
      <c r="Y406" s="305"/>
      <c r="Z406" s="305"/>
      <c r="AA406" s="305"/>
      <c r="AB406" s="305"/>
      <c r="AC406" s="305"/>
      <c r="AD406" s="305"/>
      <c r="AE406" s="305"/>
      <c r="AF406" s="305"/>
    </row>
    <row r="407" spans="1:32" s="52" customFormat="1" ht="14.25" customHeight="1">
      <c r="A407" s="285"/>
      <c r="B407" s="2651" t="s">
        <v>445</v>
      </c>
      <c r="C407" s="713">
        <v>-69656</v>
      </c>
      <c r="D407" s="847"/>
      <c r="E407" s="714"/>
      <c r="F407" s="848">
        <v>-30945</v>
      </c>
      <c r="G407" s="714"/>
      <c r="H407" s="848">
        <v>-12386</v>
      </c>
      <c r="I407" s="2688">
        <f t="shared" si="65"/>
        <v>-112987</v>
      </c>
      <c r="J407" s="278"/>
      <c r="K407" s="416"/>
      <c r="M407" s="305"/>
      <c r="W407" s="305"/>
      <c r="X407" s="305"/>
      <c r="Y407" s="305"/>
      <c r="Z407" s="305"/>
      <c r="AA407" s="305"/>
      <c r="AB407" s="305"/>
      <c r="AC407" s="305"/>
      <c r="AD407" s="305"/>
      <c r="AE407" s="305"/>
      <c r="AF407" s="305"/>
    </row>
    <row r="408" spans="1:32" s="52" customFormat="1" ht="14.25" customHeight="1">
      <c r="A408" s="285"/>
      <c r="B408" s="2651" t="s">
        <v>422</v>
      </c>
      <c r="C408" s="713">
        <v>-70578</v>
      </c>
      <c r="D408" s="848">
        <v>-10909</v>
      </c>
      <c r="E408" s="714"/>
      <c r="F408" s="848">
        <v>-28655</v>
      </c>
      <c r="G408" s="714"/>
      <c r="H408" s="848">
        <v>-49806</v>
      </c>
      <c r="I408" s="2688">
        <f t="shared" si="65"/>
        <v>-159948</v>
      </c>
      <c r="J408" s="278"/>
      <c r="K408" s="416"/>
      <c r="M408" s="305"/>
      <c r="W408" s="305"/>
      <c r="X408" s="305"/>
      <c r="Y408" s="305"/>
      <c r="Z408" s="305"/>
      <c r="AA408" s="305"/>
      <c r="AB408" s="305"/>
      <c r="AC408" s="305"/>
      <c r="AD408" s="305"/>
      <c r="AE408" s="305"/>
      <c r="AF408" s="305"/>
    </row>
    <row r="409" spans="1:32" s="52" customFormat="1" ht="14.25" customHeight="1">
      <c r="A409" s="285"/>
      <c r="B409" s="2653" t="s">
        <v>423</v>
      </c>
      <c r="C409" s="2620">
        <f t="shared" ref="C409:H409" si="66">C405+C406+C407+C408</f>
        <v>15030</v>
      </c>
      <c r="D409" s="2619">
        <f t="shared" si="66"/>
        <v>4320</v>
      </c>
      <c r="E409" s="2620">
        <f t="shared" si="66"/>
        <v>0</v>
      </c>
      <c r="F409" s="2619">
        <f t="shared" si="66"/>
        <v>1318272</v>
      </c>
      <c r="G409" s="2620">
        <f t="shared" si="66"/>
        <v>95074</v>
      </c>
      <c r="H409" s="2619">
        <f t="shared" si="66"/>
        <v>35509</v>
      </c>
      <c r="I409" s="2701">
        <f t="shared" si="65"/>
        <v>1468205</v>
      </c>
      <c r="J409" s="278"/>
      <c r="K409" s="416"/>
      <c r="M409" s="305"/>
      <c r="W409" s="305"/>
      <c r="X409" s="305"/>
      <c r="Y409" s="305"/>
      <c r="Z409" s="305"/>
      <c r="AA409" s="305"/>
      <c r="AB409" s="305"/>
      <c r="AC409" s="305"/>
      <c r="AD409" s="305"/>
      <c r="AE409" s="305"/>
      <c r="AF409" s="305"/>
    </row>
    <row r="410" spans="1:32" s="52" customFormat="1" ht="14.25" customHeight="1">
      <c r="A410" s="285"/>
      <c r="B410" s="2651" t="s">
        <v>424</v>
      </c>
      <c r="C410" s="2755">
        <v>-6392</v>
      </c>
      <c r="D410" s="2756">
        <v>372</v>
      </c>
      <c r="E410" s="2749"/>
      <c r="F410" s="2748">
        <v>-100361</v>
      </c>
      <c r="G410" s="2750">
        <v>-6252</v>
      </c>
      <c r="H410" s="2751">
        <v>-427</v>
      </c>
      <c r="I410" s="2688">
        <f t="shared" si="65"/>
        <v>-113060</v>
      </c>
      <c r="J410" s="278"/>
      <c r="K410" s="416"/>
      <c r="M410" s="305"/>
      <c r="W410" s="305"/>
      <c r="X410" s="305"/>
      <c r="Y410" s="305"/>
      <c r="Z410" s="305"/>
      <c r="AA410" s="305"/>
      <c r="AB410" s="305"/>
      <c r="AC410" s="305"/>
      <c r="AD410" s="305"/>
      <c r="AE410" s="305"/>
      <c r="AF410" s="305"/>
    </row>
    <row r="411" spans="1:32" s="52" customFormat="1" ht="14.25" customHeight="1">
      <c r="A411" s="285"/>
      <c r="B411" s="2653" t="s">
        <v>425</v>
      </c>
      <c r="C411" s="2620">
        <f t="shared" ref="C411:H411" si="67">C409+C410</f>
        <v>8638</v>
      </c>
      <c r="D411" s="2619">
        <f t="shared" si="67"/>
        <v>4692</v>
      </c>
      <c r="E411" s="2620">
        <f t="shared" si="67"/>
        <v>0</v>
      </c>
      <c r="F411" s="2619">
        <f t="shared" si="67"/>
        <v>1217911</v>
      </c>
      <c r="G411" s="2620">
        <f t="shared" si="67"/>
        <v>88822</v>
      </c>
      <c r="H411" s="2619">
        <f t="shared" si="67"/>
        <v>35082</v>
      </c>
      <c r="I411" s="2701">
        <f t="shared" si="65"/>
        <v>1355145</v>
      </c>
      <c r="J411" s="278"/>
      <c r="K411" s="416"/>
      <c r="M411" s="305"/>
      <c r="W411" s="305"/>
      <c r="X411" s="305"/>
      <c r="Y411" s="305"/>
      <c r="Z411" s="305"/>
      <c r="AA411" s="305"/>
      <c r="AB411" s="305"/>
      <c r="AC411" s="305"/>
      <c r="AD411" s="305"/>
      <c r="AE411" s="305"/>
      <c r="AF411" s="305"/>
    </row>
    <row r="412" spans="1:32" s="52" customFormat="1" ht="14.25" customHeight="1">
      <c r="A412" s="285"/>
      <c r="B412" s="2651"/>
      <c r="C412" s="2190"/>
      <c r="D412" s="2191"/>
      <c r="E412" s="2190"/>
      <c r="F412" s="2191"/>
      <c r="G412" s="2190"/>
      <c r="H412" s="2191"/>
      <c r="I412" s="2688">
        <f t="shared" si="65"/>
        <v>0</v>
      </c>
      <c r="J412" s="278"/>
      <c r="K412" s="416"/>
      <c r="M412" s="305"/>
      <c r="W412" s="305"/>
      <c r="X412" s="305"/>
      <c r="Y412" s="305"/>
      <c r="Z412" s="305"/>
      <c r="AA412" s="305"/>
      <c r="AB412" s="305"/>
      <c r="AC412" s="305"/>
      <c r="AD412" s="305"/>
      <c r="AE412" s="305"/>
      <c r="AF412" s="305"/>
    </row>
    <row r="413" spans="1:32" s="52" customFormat="1" ht="14.25" customHeight="1">
      <c r="A413" s="285"/>
      <c r="B413" s="2653" t="s">
        <v>426</v>
      </c>
      <c r="C413" s="2190">
        <f>SUM(C414:C416)</f>
        <v>14634</v>
      </c>
      <c r="D413" s="2191">
        <f t="shared" ref="D413:H413" si="68">SUM(D414:D416)</f>
        <v>2828</v>
      </c>
      <c r="E413" s="2190">
        <f t="shared" si="68"/>
        <v>0</v>
      </c>
      <c r="F413" s="2191">
        <f t="shared" si="68"/>
        <v>-774617</v>
      </c>
      <c r="G413" s="2190">
        <f t="shared" si="68"/>
        <v>-78435</v>
      </c>
      <c r="H413" s="2191">
        <f t="shared" si="68"/>
        <v>-14501</v>
      </c>
      <c r="I413" s="2688">
        <f t="shared" si="65"/>
        <v>-850091</v>
      </c>
      <c r="J413" s="278"/>
      <c r="K413" s="416"/>
      <c r="M413" s="305"/>
      <c r="W413" s="305"/>
      <c r="X413" s="305"/>
      <c r="Y413" s="305"/>
      <c r="Z413" s="305"/>
      <c r="AA413" s="305"/>
      <c r="AB413" s="305"/>
      <c r="AC413" s="305"/>
      <c r="AD413" s="305"/>
      <c r="AE413" s="305"/>
      <c r="AF413" s="305"/>
    </row>
    <row r="414" spans="1:32" s="52" customFormat="1" ht="26.25" customHeight="1">
      <c r="A414" s="285"/>
      <c r="B414" s="2651" t="s">
        <v>427</v>
      </c>
      <c r="C414" s="2750">
        <v>-2520</v>
      </c>
      <c r="D414" s="2751">
        <v>-603</v>
      </c>
      <c r="E414" s="2749"/>
      <c r="F414" s="2748">
        <v>-616487</v>
      </c>
      <c r="G414" s="2750">
        <v>-74774</v>
      </c>
      <c r="H414" s="2748">
        <v>-10025</v>
      </c>
      <c r="I414" s="2688">
        <f t="shared" si="65"/>
        <v>-704409</v>
      </c>
      <c r="J414" s="278"/>
      <c r="K414" s="416"/>
      <c r="M414" s="305"/>
      <c r="W414" s="305"/>
      <c r="X414" s="305"/>
      <c r="Y414" s="305"/>
      <c r="Z414" s="305"/>
      <c r="AA414" s="305"/>
      <c r="AB414" s="305"/>
      <c r="AC414" s="305"/>
      <c r="AD414" s="305"/>
      <c r="AE414" s="305"/>
      <c r="AF414" s="305"/>
    </row>
    <row r="415" spans="1:32" s="52" customFormat="1" ht="14.25" customHeight="1">
      <c r="A415" s="285"/>
      <c r="B415" s="2651" t="s">
        <v>428</v>
      </c>
      <c r="C415" s="713">
        <v>17154</v>
      </c>
      <c r="D415" s="848">
        <v>3431</v>
      </c>
      <c r="E415" s="714"/>
      <c r="F415" s="848">
        <v>-158130</v>
      </c>
      <c r="G415" s="713">
        <v>-3661</v>
      </c>
      <c r="H415" s="848">
        <v>-4476</v>
      </c>
      <c r="I415" s="2688">
        <f t="shared" si="65"/>
        <v>-145682</v>
      </c>
      <c r="J415" s="278"/>
      <c r="K415" s="416"/>
      <c r="M415" s="305"/>
      <c r="W415" s="305"/>
      <c r="X415" s="305"/>
      <c r="Y415" s="305"/>
      <c r="Z415" s="305"/>
      <c r="AA415" s="305"/>
      <c r="AB415" s="305"/>
      <c r="AC415" s="305"/>
      <c r="AD415" s="305"/>
      <c r="AE415" s="305"/>
      <c r="AF415" s="305"/>
    </row>
    <row r="416" spans="1:32" s="52" customFormat="1" ht="14.25" customHeight="1">
      <c r="A416" s="285"/>
      <c r="B416" s="2651" t="s">
        <v>429</v>
      </c>
      <c r="C416" s="2190"/>
      <c r="D416" s="2191"/>
      <c r="E416" s="2190"/>
      <c r="F416" s="2191"/>
      <c r="G416" s="2190"/>
      <c r="H416" s="2191"/>
      <c r="I416" s="2688">
        <f t="shared" si="65"/>
        <v>0</v>
      </c>
      <c r="J416" s="278"/>
      <c r="K416" s="416"/>
      <c r="M416" s="305"/>
      <c r="W416" s="305"/>
      <c r="X416" s="305"/>
      <c r="Y416" s="305"/>
      <c r="Z416" s="305"/>
      <c r="AA416" s="305"/>
      <c r="AB416" s="305"/>
      <c r="AC416" s="305"/>
      <c r="AD416" s="305"/>
      <c r="AE416" s="305"/>
      <c r="AF416" s="305"/>
    </row>
    <row r="417" spans="1:32" s="52" customFormat="1" ht="14.25" customHeight="1">
      <c r="A417" s="285"/>
      <c r="B417" s="2653" t="s">
        <v>430</v>
      </c>
      <c r="C417" s="2620">
        <f t="shared" ref="C417:H417" si="69">C411+C414+C415+C416</f>
        <v>23272</v>
      </c>
      <c r="D417" s="2619">
        <f t="shared" si="69"/>
        <v>7520</v>
      </c>
      <c r="E417" s="2620">
        <f t="shared" si="69"/>
        <v>0</v>
      </c>
      <c r="F417" s="2619">
        <f t="shared" si="69"/>
        <v>443294</v>
      </c>
      <c r="G417" s="2620">
        <f>G411+G414+G415+G416</f>
        <v>10387</v>
      </c>
      <c r="H417" s="2619">
        <f t="shared" si="69"/>
        <v>20581</v>
      </c>
      <c r="I417" s="2701">
        <f t="shared" si="65"/>
        <v>505054</v>
      </c>
      <c r="J417" s="278"/>
      <c r="K417" s="416"/>
      <c r="M417" s="305"/>
      <c r="W417" s="305"/>
      <c r="X417" s="305"/>
      <c r="Y417" s="305"/>
      <c r="Z417" s="305"/>
      <c r="AA417" s="305"/>
      <c r="AB417" s="305"/>
      <c r="AC417" s="305"/>
      <c r="AD417" s="305"/>
      <c r="AE417" s="305"/>
      <c r="AF417" s="305"/>
    </row>
    <row r="418" spans="1:32" s="52" customFormat="1" ht="14.25" customHeight="1">
      <c r="A418" s="285"/>
      <c r="B418" s="2651"/>
      <c r="C418" s="2692"/>
      <c r="D418" s="2690"/>
      <c r="E418" s="2692"/>
      <c r="F418" s="2690"/>
      <c r="G418" s="2692"/>
      <c r="H418" s="2690"/>
      <c r="I418" s="2688">
        <f t="shared" si="65"/>
        <v>0</v>
      </c>
      <c r="J418" s="278"/>
      <c r="K418" s="416"/>
      <c r="M418" s="305"/>
      <c r="W418" s="305"/>
      <c r="X418" s="305"/>
      <c r="Y418" s="305"/>
      <c r="Z418" s="305"/>
      <c r="AA418" s="305"/>
      <c r="AB418" s="305"/>
      <c r="AC418" s="305"/>
      <c r="AD418" s="305"/>
      <c r="AE418" s="305"/>
      <c r="AF418" s="305"/>
    </row>
    <row r="419" spans="1:32" s="52" customFormat="1" ht="14.25" customHeight="1">
      <c r="A419" s="285"/>
      <c r="B419" s="2653" t="s">
        <v>431</v>
      </c>
      <c r="C419" s="2692"/>
      <c r="D419" s="2690"/>
      <c r="E419" s="2692"/>
      <c r="F419" s="2690"/>
      <c r="G419" s="2692"/>
      <c r="H419" s="2690"/>
      <c r="I419" s="2701">
        <f>SUM(I420:I421)</f>
        <v>177414</v>
      </c>
      <c r="J419" s="278"/>
      <c r="K419" s="416"/>
      <c r="M419" s="305"/>
      <c r="W419" s="305"/>
      <c r="X419" s="305"/>
      <c r="Y419" s="305"/>
      <c r="Z419" s="305"/>
      <c r="AA419" s="305"/>
      <c r="AB419" s="305"/>
      <c r="AC419" s="305"/>
      <c r="AD419" s="305"/>
      <c r="AE419" s="305"/>
      <c r="AF419" s="305"/>
    </row>
    <row r="420" spans="1:32" s="52" customFormat="1" ht="14.25" customHeight="1">
      <c r="A420" s="285"/>
      <c r="B420" s="2651" t="s">
        <v>432</v>
      </c>
      <c r="C420" s="2692"/>
      <c r="D420" s="2690"/>
      <c r="E420" s="2692"/>
      <c r="F420" s="2690"/>
      <c r="G420" s="2692"/>
      <c r="H420" s="2690"/>
      <c r="I420" s="2757">
        <v>43734</v>
      </c>
      <c r="J420" s="278"/>
      <c r="K420" s="416"/>
      <c r="M420" s="305"/>
      <c r="W420" s="305"/>
      <c r="X420" s="305"/>
      <c r="Y420" s="305"/>
      <c r="Z420" s="305"/>
      <c r="AA420" s="305"/>
      <c r="AB420" s="305"/>
      <c r="AC420" s="305"/>
      <c r="AD420" s="305"/>
      <c r="AE420" s="305"/>
      <c r="AF420" s="305"/>
    </row>
    <row r="421" spans="1:32" s="52" customFormat="1" ht="14.25" customHeight="1">
      <c r="A421" s="285"/>
      <c r="B421" s="2651" t="s">
        <v>433</v>
      </c>
      <c r="C421" s="2692"/>
      <c r="D421" s="2690"/>
      <c r="E421" s="2692"/>
      <c r="F421" s="2690"/>
      <c r="G421" s="2692"/>
      <c r="H421" s="2690"/>
      <c r="I421" s="1812">
        <v>133680</v>
      </c>
      <c r="J421" s="278"/>
      <c r="K421" s="416"/>
      <c r="M421" s="305"/>
      <c r="W421" s="305"/>
      <c r="X421" s="305"/>
      <c r="Y421" s="305"/>
      <c r="Z421" s="305"/>
      <c r="AA421" s="305"/>
      <c r="AB421" s="305"/>
      <c r="AC421" s="305"/>
      <c r="AD421" s="305"/>
      <c r="AE421" s="305"/>
      <c r="AF421" s="305"/>
    </row>
    <row r="422" spans="1:32" s="52" customFormat="1" ht="14.25" customHeight="1">
      <c r="A422" s="285"/>
      <c r="B422" s="2651" t="s">
        <v>434</v>
      </c>
      <c r="C422" s="2692"/>
      <c r="D422" s="2690"/>
      <c r="E422" s="2692"/>
      <c r="F422" s="2690"/>
      <c r="G422" s="2692"/>
      <c r="H422" s="2690"/>
      <c r="I422" s="2688"/>
      <c r="J422" s="278"/>
      <c r="K422" s="416"/>
      <c r="M422" s="305"/>
      <c r="W422" s="305"/>
      <c r="X422" s="305"/>
      <c r="Y422" s="305"/>
      <c r="Z422" s="305"/>
      <c r="AA422" s="305"/>
      <c r="AB422" s="305"/>
      <c r="AC422" s="305"/>
      <c r="AD422" s="305"/>
      <c r="AE422" s="305"/>
      <c r="AF422" s="305"/>
    </row>
    <row r="423" spans="1:32" s="52" customFormat="1" ht="14.25" customHeight="1">
      <c r="A423" s="285"/>
      <c r="B423" s="2651"/>
      <c r="C423" s="2692"/>
      <c r="D423" s="2690"/>
      <c r="E423" s="2692"/>
      <c r="F423" s="2690"/>
      <c r="G423" s="2692"/>
      <c r="H423" s="2690"/>
      <c r="I423" s="2688"/>
      <c r="J423" s="278"/>
      <c r="K423" s="416"/>
      <c r="M423" s="305"/>
      <c r="W423" s="305"/>
      <c r="X423" s="305"/>
      <c r="Y423" s="305"/>
      <c r="Z423" s="305"/>
      <c r="AA423" s="305"/>
      <c r="AB423" s="305"/>
      <c r="AC423" s="305"/>
      <c r="AD423" s="305"/>
      <c r="AE423" s="305"/>
      <c r="AF423" s="305"/>
    </row>
    <row r="424" spans="1:32" s="52" customFormat="1" ht="14.25" customHeight="1">
      <c r="A424" s="285"/>
      <c r="B424" s="2653" t="s">
        <v>435</v>
      </c>
      <c r="C424" s="2692"/>
      <c r="D424" s="2690"/>
      <c r="E424" s="2692"/>
      <c r="F424" s="2690"/>
      <c r="G424" s="2692"/>
      <c r="H424" s="2690"/>
      <c r="I424" s="2701">
        <f>I425+I426</f>
        <v>-496652</v>
      </c>
      <c r="J424" s="278"/>
      <c r="K424" s="416"/>
      <c r="M424" s="305"/>
      <c r="W424" s="305"/>
      <c r="X424" s="305"/>
      <c r="Y424" s="305"/>
      <c r="Z424" s="305"/>
      <c r="AA424" s="305"/>
      <c r="AB424" s="305"/>
      <c r="AC424" s="305"/>
      <c r="AD424" s="305"/>
      <c r="AE424" s="305"/>
      <c r="AF424" s="305"/>
    </row>
    <row r="425" spans="1:32" s="52" customFormat="1" ht="27" customHeight="1">
      <c r="A425" s="285"/>
      <c r="B425" s="2651" t="s">
        <v>436</v>
      </c>
      <c r="C425" s="2692"/>
      <c r="D425" s="2690"/>
      <c r="E425" s="2692"/>
      <c r="F425" s="2690"/>
      <c r="G425" s="2692"/>
      <c r="H425" s="2690"/>
      <c r="I425" s="1812">
        <v>-496652</v>
      </c>
      <c r="J425" s="278"/>
      <c r="K425" s="416"/>
      <c r="M425" s="305"/>
      <c r="W425" s="305"/>
      <c r="X425" s="305"/>
      <c r="Y425" s="305"/>
      <c r="Z425" s="305"/>
      <c r="AA425" s="305"/>
      <c r="AB425" s="305"/>
      <c r="AC425" s="305"/>
      <c r="AD425" s="305"/>
      <c r="AE425" s="305"/>
      <c r="AF425" s="305"/>
    </row>
    <row r="426" spans="1:32" s="52" customFormat="1" ht="14.25" customHeight="1">
      <c r="A426" s="285"/>
      <c r="B426" s="2651" t="s">
        <v>437</v>
      </c>
      <c r="C426" s="2692"/>
      <c r="D426" s="2690"/>
      <c r="E426" s="2692"/>
      <c r="F426" s="2690"/>
      <c r="G426" s="2692"/>
      <c r="H426" s="2690"/>
      <c r="I426" s="2688"/>
      <c r="J426" s="278"/>
      <c r="K426" s="416"/>
      <c r="M426" s="305"/>
      <c r="W426" s="305"/>
      <c r="X426" s="305"/>
      <c r="Y426" s="305"/>
      <c r="Z426" s="305"/>
      <c r="AA426" s="305"/>
      <c r="AB426" s="305"/>
      <c r="AC426" s="305"/>
      <c r="AD426" s="305"/>
      <c r="AE426" s="305"/>
      <c r="AF426" s="305"/>
    </row>
    <row r="427" spans="1:32" s="52" customFormat="1" ht="14.25" customHeight="1">
      <c r="A427" s="285"/>
      <c r="B427" s="2653" t="s">
        <v>438</v>
      </c>
      <c r="C427" s="2692"/>
      <c r="D427" s="2690"/>
      <c r="E427" s="2692"/>
      <c r="F427" s="2690"/>
      <c r="G427" s="2692"/>
      <c r="H427" s="2690"/>
      <c r="I427" s="2701">
        <f>+I417+I419+I424</f>
        <v>185816</v>
      </c>
      <c r="J427" s="278"/>
      <c r="K427" s="416"/>
      <c r="M427" s="305"/>
      <c r="W427" s="305"/>
      <c r="X427" s="305"/>
      <c r="Y427" s="305"/>
      <c r="Z427" s="305"/>
      <c r="AA427" s="305"/>
      <c r="AB427" s="305"/>
      <c r="AC427" s="305"/>
      <c r="AD427" s="305"/>
      <c r="AE427" s="305"/>
      <c r="AF427" s="305"/>
    </row>
    <row r="428" spans="1:32" s="52" customFormat="1" ht="14.25" customHeight="1">
      <c r="A428" s="285"/>
      <c r="B428" s="2651" t="s">
        <v>439</v>
      </c>
      <c r="C428" s="2692"/>
      <c r="D428" s="2690"/>
      <c r="E428" s="2692"/>
      <c r="F428" s="2690"/>
      <c r="G428" s="2692"/>
      <c r="H428" s="2690"/>
      <c r="I428" s="2688"/>
      <c r="J428" s="278"/>
      <c r="K428" s="416"/>
      <c r="M428" s="305"/>
      <c r="W428" s="305"/>
      <c r="X428" s="305"/>
      <c r="Y428" s="305"/>
      <c r="Z428" s="305"/>
      <c r="AA428" s="305"/>
      <c r="AB428" s="305"/>
      <c r="AC428" s="305"/>
      <c r="AD428" s="305"/>
      <c r="AE428" s="305"/>
      <c r="AF428" s="305"/>
    </row>
    <row r="429" spans="1:32" s="52" customFormat="1" ht="14.25" customHeight="1">
      <c r="A429" s="285"/>
      <c r="B429" s="2653" t="s">
        <v>440</v>
      </c>
      <c r="C429" s="2692"/>
      <c r="D429" s="2690"/>
      <c r="E429" s="2692"/>
      <c r="F429" s="2690"/>
      <c r="G429" s="2692"/>
      <c r="H429" s="2690"/>
      <c r="I429" s="2701">
        <f>SUM(I427:I428)</f>
        <v>185816</v>
      </c>
      <c r="J429" s="278"/>
      <c r="K429" s="416"/>
      <c r="M429" s="305"/>
      <c r="W429" s="305"/>
      <c r="X429" s="305"/>
      <c r="Y429" s="305"/>
      <c r="Z429" s="305"/>
      <c r="AA429" s="305"/>
      <c r="AB429" s="305"/>
      <c r="AC429" s="305"/>
      <c r="AD429" s="305"/>
      <c r="AE429" s="305"/>
      <c r="AF429" s="305"/>
    </row>
    <row r="430" spans="1:32" s="52" customFormat="1" ht="14.25" customHeight="1">
      <c r="A430" s="285"/>
      <c r="B430" s="2651" t="s">
        <v>441</v>
      </c>
      <c r="C430" s="2692"/>
      <c r="D430" s="2690"/>
      <c r="E430" s="2692"/>
      <c r="F430" s="2690"/>
      <c r="G430" s="2692"/>
      <c r="H430" s="2690"/>
      <c r="I430" s="1812">
        <v>-56847</v>
      </c>
      <c r="J430" s="278"/>
      <c r="K430" s="416"/>
      <c r="M430" s="305"/>
      <c r="W430" s="305"/>
      <c r="X430" s="305"/>
      <c r="Y430" s="305"/>
      <c r="Z430" s="305"/>
      <c r="AA430" s="305"/>
      <c r="AB430" s="305"/>
      <c r="AC430" s="305"/>
      <c r="AD430" s="305"/>
      <c r="AE430" s="305"/>
      <c r="AF430" s="305"/>
    </row>
    <row r="431" spans="1:32" s="52" customFormat="1" ht="14.25" customHeight="1" thickBot="1">
      <c r="A431" s="285"/>
      <c r="B431" s="1806" t="s">
        <v>442</v>
      </c>
      <c r="C431" s="1315"/>
      <c r="D431" s="876"/>
      <c r="E431" s="1315"/>
      <c r="F431" s="876"/>
      <c r="G431" s="1315"/>
      <c r="H431" s="876"/>
      <c r="I431" s="1791">
        <f>SUM(I429:I430)</f>
        <v>128969</v>
      </c>
      <c r="J431" s="278"/>
      <c r="K431" s="416"/>
      <c r="M431" s="305"/>
      <c r="W431" s="305"/>
      <c r="X431" s="305"/>
      <c r="Y431" s="305"/>
      <c r="Z431" s="305"/>
      <c r="AA431" s="305"/>
      <c r="AB431" s="305"/>
      <c r="AC431" s="305"/>
      <c r="AD431" s="305"/>
      <c r="AE431" s="305"/>
      <c r="AF431" s="305"/>
    </row>
    <row r="432" spans="1:32" s="52" customFormat="1" ht="14.25" customHeight="1">
      <c r="A432" s="285"/>
      <c r="B432" s="456"/>
      <c r="C432" s="264"/>
      <c r="D432" s="264"/>
      <c r="E432" s="264"/>
      <c r="F432" s="264"/>
      <c r="G432" s="264"/>
      <c r="H432" s="264"/>
      <c r="I432" s="279"/>
      <c r="J432" s="278"/>
      <c r="K432" s="416"/>
      <c r="M432" s="305"/>
      <c r="W432" s="305"/>
      <c r="X432" s="305"/>
      <c r="Y432" s="305"/>
      <c r="Z432" s="305"/>
      <c r="AA432" s="305"/>
      <c r="AB432" s="305"/>
      <c r="AC432" s="305"/>
      <c r="AD432" s="305"/>
      <c r="AE432" s="305"/>
      <c r="AF432" s="305"/>
    </row>
    <row r="433" spans="1:32" s="52" customFormat="1" ht="14.25" customHeight="1">
      <c r="A433" s="285"/>
      <c r="B433" s="456"/>
      <c r="C433" s="264"/>
      <c r="D433" s="264"/>
      <c r="E433" s="264"/>
      <c r="F433" s="264"/>
      <c r="G433" s="264"/>
      <c r="H433" s="264"/>
      <c r="I433" s="279"/>
      <c r="J433" s="278"/>
      <c r="K433" s="394">
        <v>137</v>
      </c>
      <c r="M433" s="305"/>
      <c r="W433" s="305"/>
      <c r="X433" s="305"/>
      <c r="Y433" s="305"/>
      <c r="Z433" s="305"/>
      <c r="AA433" s="305"/>
      <c r="AB433" s="305"/>
      <c r="AC433" s="305"/>
      <c r="AD433" s="305"/>
      <c r="AE433" s="305"/>
      <c r="AF433" s="305"/>
    </row>
    <row r="434" spans="1:32" s="52" customFormat="1" ht="14.25" customHeight="1">
      <c r="A434" s="285"/>
      <c r="B434" s="456"/>
      <c r="C434" s="264"/>
      <c r="D434" s="264"/>
      <c r="E434" s="264"/>
      <c r="F434" s="264"/>
      <c r="G434" s="264"/>
      <c r="H434" s="264"/>
      <c r="I434" s="279"/>
      <c r="J434" s="278"/>
      <c r="K434" s="394"/>
      <c r="M434" s="305"/>
      <c r="W434" s="305"/>
      <c r="X434" s="305"/>
      <c r="Y434" s="305"/>
      <c r="Z434" s="305"/>
      <c r="AA434" s="305"/>
      <c r="AB434" s="305"/>
      <c r="AC434" s="305"/>
      <c r="AD434" s="305"/>
      <c r="AE434" s="305"/>
      <c r="AF434" s="305"/>
    </row>
    <row r="435" spans="1:32" s="52" customFormat="1" ht="14.25" customHeight="1">
      <c r="A435" s="285"/>
      <c r="B435" s="236" t="s">
        <v>451</v>
      </c>
      <c r="C435" s="264"/>
      <c r="D435" s="264"/>
      <c r="E435" s="264"/>
      <c r="F435" s="264"/>
      <c r="G435" s="264"/>
      <c r="H435" s="264"/>
      <c r="I435" s="279"/>
      <c r="J435" s="278"/>
      <c r="K435" s="416"/>
      <c r="M435" s="305"/>
      <c r="W435" s="305"/>
      <c r="X435" s="305"/>
      <c r="Y435" s="305"/>
      <c r="Z435" s="305"/>
      <c r="AA435" s="305"/>
      <c r="AB435" s="305"/>
      <c r="AC435" s="305"/>
      <c r="AD435" s="305"/>
      <c r="AE435" s="305"/>
      <c r="AF435" s="305"/>
    </row>
    <row r="436" spans="1:32" s="52" customFormat="1" ht="14.25" customHeight="1" thickBot="1">
      <c r="A436" s="285"/>
      <c r="B436" s="51"/>
      <c r="C436" s="529"/>
      <c r="D436" s="529"/>
      <c r="E436" s="414"/>
      <c r="F436" s="414"/>
      <c r="G436" s="414"/>
      <c r="H436" s="414"/>
      <c r="I436" s="278"/>
      <c r="J436" s="278"/>
      <c r="K436" s="416"/>
      <c r="M436" s="305"/>
      <c r="W436" s="305"/>
      <c r="X436" s="305"/>
      <c r="Y436" s="305"/>
      <c r="Z436" s="305"/>
      <c r="AA436" s="305"/>
      <c r="AB436" s="305"/>
      <c r="AC436" s="305"/>
      <c r="AD436" s="305"/>
      <c r="AE436" s="305"/>
      <c r="AF436" s="305"/>
    </row>
    <row r="437" spans="1:32" ht="14.25" customHeight="1">
      <c r="B437" s="1765" t="s">
        <v>403</v>
      </c>
      <c r="C437" s="515"/>
      <c r="D437" s="515"/>
      <c r="E437" s="515"/>
      <c r="F437" s="515"/>
      <c r="G437" s="3668" t="s">
        <v>232</v>
      </c>
      <c r="H437" s="3668"/>
      <c r="I437" s="3668"/>
      <c r="J437" s="385"/>
      <c r="M437" s="305"/>
      <c r="W437" s="305"/>
      <c r="X437" s="305"/>
      <c r="Y437" s="305"/>
      <c r="Z437" s="305"/>
      <c r="AA437" s="305"/>
      <c r="AB437" s="305"/>
      <c r="AC437" s="305"/>
      <c r="AD437" s="305"/>
      <c r="AE437" s="305"/>
      <c r="AF437" s="305"/>
    </row>
    <row r="438" spans="1:32" s="52" customFormat="1" ht="14.25" customHeight="1">
      <c r="A438" s="278"/>
      <c r="B438" s="3663"/>
      <c r="C438" s="3575">
        <v>2020</v>
      </c>
      <c r="D438" s="3576"/>
      <c r="E438" s="3576"/>
      <c r="F438" s="3576"/>
      <c r="G438" s="3576"/>
      <c r="H438" s="3576"/>
      <c r="I438" s="3577"/>
      <c r="J438" s="315"/>
      <c r="M438" s="305"/>
      <c r="W438" s="305"/>
      <c r="X438" s="305"/>
      <c r="Y438" s="305"/>
      <c r="Z438" s="305"/>
      <c r="AA438" s="305"/>
      <c r="AB438" s="305"/>
      <c r="AC438" s="305"/>
      <c r="AD438" s="305"/>
      <c r="AE438" s="305"/>
      <c r="AF438" s="305"/>
    </row>
    <row r="439" spans="1:32" s="52" customFormat="1" ht="14.25" customHeight="1">
      <c r="A439" s="394"/>
      <c r="B439" s="3674"/>
      <c r="C439" s="3666" t="s">
        <v>412</v>
      </c>
      <c r="D439" s="3676" t="s">
        <v>413</v>
      </c>
      <c r="E439" s="3671" t="s">
        <v>414</v>
      </c>
      <c r="F439" s="3678"/>
      <c r="G439" s="3666" t="s">
        <v>415</v>
      </c>
      <c r="H439" s="3679" t="s">
        <v>416</v>
      </c>
      <c r="I439" s="3666" t="s">
        <v>118</v>
      </c>
      <c r="J439" s="278"/>
      <c r="M439" s="305"/>
      <c r="W439" s="305"/>
      <c r="X439" s="305"/>
      <c r="Y439" s="305"/>
      <c r="Z439" s="305"/>
      <c r="AA439" s="305"/>
      <c r="AB439" s="305"/>
      <c r="AC439" s="305"/>
      <c r="AD439" s="305"/>
      <c r="AE439" s="305"/>
      <c r="AF439" s="305"/>
    </row>
    <row r="440" spans="1:32" s="52" customFormat="1" ht="14.25" customHeight="1" thickBot="1">
      <c r="A440" s="394"/>
      <c r="B440" s="3675"/>
      <c r="C440" s="3670"/>
      <c r="D440" s="3677"/>
      <c r="E440" s="1793" t="s">
        <v>418</v>
      </c>
      <c r="F440" s="1799" t="s">
        <v>419</v>
      </c>
      <c r="G440" s="3670"/>
      <c r="H440" s="3677"/>
      <c r="I440" s="3670"/>
      <c r="J440" s="278"/>
      <c r="M440" s="305"/>
      <c r="W440" s="305"/>
      <c r="X440" s="305"/>
      <c r="Y440" s="305"/>
      <c r="Z440" s="305"/>
      <c r="AA440" s="305"/>
      <c r="AB440" s="305"/>
      <c r="AC440" s="305"/>
      <c r="AD440" s="305"/>
      <c r="AE440" s="305"/>
      <c r="AF440" s="305"/>
    </row>
    <row r="441" spans="1:32" s="52" customFormat="1" ht="14.25" customHeight="1">
      <c r="A441" s="285"/>
      <c r="B441" s="1761" t="s">
        <v>333</v>
      </c>
      <c r="C441" s="2657">
        <v>517712</v>
      </c>
      <c r="D441" s="2650">
        <v>49664</v>
      </c>
      <c r="E441" s="2657">
        <v>204643</v>
      </c>
      <c r="F441" s="2650">
        <v>4819376</v>
      </c>
      <c r="G441" s="2657">
        <v>159001</v>
      </c>
      <c r="H441" s="2650">
        <v>282538</v>
      </c>
      <c r="I441" s="1807">
        <f t="shared" ref="I441:I453" si="70">H441+G441+F441+E441+D441+C441</f>
        <v>6032934</v>
      </c>
      <c r="J441" s="278"/>
      <c r="L441" s="305"/>
      <c r="M441" s="305"/>
      <c r="N441" s="305"/>
      <c r="O441" s="305"/>
      <c r="P441" s="305"/>
      <c r="Q441" s="305"/>
      <c r="R441" s="305"/>
      <c r="W441" s="305"/>
      <c r="X441" s="305"/>
      <c r="Y441" s="305"/>
      <c r="Z441" s="305"/>
      <c r="AA441" s="305"/>
      <c r="AB441" s="305"/>
      <c r="AC441" s="305"/>
      <c r="AD441" s="305"/>
      <c r="AE441" s="305"/>
      <c r="AF441" s="305"/>
    </row>
    <row r="442" spans="1:32" s="52" customFormat="1" ht="14.25" customHeight="1">
      <c r="A442" s="285"/>
      <c r="B442" s="2616" t="s">
        <v>420</v>
      </c>
      <c r="C442" s="869">
        <v>-13309</v>
      </c>
      <c r="D442" s="870">
        <v>-7932</v>
      </c>
      <c r="E442" s="869"/>
      <c r="F442" s="870"/>
      <c r="G442" s="869"/>
      <c r="H442" s="870">
        <v>-125</v>
      </c>
      <c r="I442" s="2737">
        <f t="shared" si="70"/>
        <v>-21366</v>
      </c>
      <c r="J442" s="278"/>
      <c r="L442" s="305"/>
      <c r="M442" s="305"/>
      <c r="N442" s="305"/>
      <c r="O442" s="305"/>
      <c r="P442" s="305"/>
      <c r="Q442" s="305"/>
      <c r="R442" s="305"/>
      <c r="W442" s="305"/>
      <c r="X442" s="305"/>
      <c r="Y442" s="305"/>
      <c r="Z442" s="305"/>
      <c r="AA442" s="305"/>
      <c r="AB442" s="305"/>
      <c r="AC442" s="305"/>
      <c r="AD442" s="305"/>
      <c r="AE442" s="305"/>
      <c r="AF442" s="305"/>
    </row>
    <row r="443" spans="1:32" s="52" customFormat="1" ht="14.25" customHeight="1">
      <c r="A443" s="285"/>
      <c r="B443" s="2616" t="s">
        <v>421</v>
      </c>
      <c r="C443" s="869">
        <v>-202525</v>
      </c>
      <c r="D443" s="870">
        <v>-367</v>
      </c>
      <c r="E443" s="869"/>
      <c r="F443" s="870">
        <v>-111075</v>
      </c>
      <c r="G443" s="869"/>
      <c r="H443" s="870">
        <v>-10843</v>
      </c>
      <c r="I443" s="2737">
        <f t="shared" si="70"/>
        <v>-324810</v>
      </c>
      <c r="J443" s="278"/>
      <c r="K443" s="429"/>
      <c r="L443" s="305"/>
      <c r="M443" s="305"/>
      <c r="N443" s="305"/>
      <c r="O443" s="305"/>
      <c r="P443" s="305"/>
      <c r="Q443" s="305"/>
      <c r="R443" s="305"/>
      <c r="W443" s="305"/>
      <c r="X443" s="305"/>
      <c r="Y443" s="305"/>
      <c r="Z443" s="305"/>
      <c r="AA443" s="305"/>
      <c r="AB443" s="305"/>
      <c r="AC443" s="305"/>
      <c r="AD443" s="305"/>
      <c r="AE443" s="305"/>
      <c r="AF443" s="305"/>
    </row>
    <row r="444" spans="1:32" s="52" customFormat="1" ht="14.25" customHeight="1">
      <c r="A444" s="285"/>
      <c r="B444" s="2616" t="s">
        <v>422</v>
      </c>
      <c r="C444" s="869">
        <v>-167040</v>
      </c>
      <c r="D444" s="870">
        <v>-30456</v>
      </c>
      <c r="E444" s="869"/>
      <c r="F444" s="870">
        <v>-44924</v>
      </c>
      <c r="G444" s="869"/>
      <c r="H444" s="870">
        <v>-107687</v>
      </c>
      <c r="I444" s="2737">
        <f t="shared" si="70"/>
        <v>-350107</v>
      </c>
      <c r="J444" s="278"/>
      <c r="K444" s="416"/>
      <c r="L444" s="305"/>
      <c r="M444" s="305"/>
      <c r="N444" s="305"/>
      <c r="O444" s="305"/>
      <c r="P444" s="305"/>
      <c r="Q444" s="305"/>
      <c r="R444" s="305"/>
      <c r="W444" s="305"/>
      <c r="X444" s="305"/>
      <c r="Y444" s="305"/>
      <c r="Z444" s="305"/>
      <c r="AA444" s="305"/>
      <c r="AB444" s="305"/>
      <c r="AC444" s="305"/>
      <c r="AD444" s="305"/>
      <c r="AE444" s="305"/>
      <c r="AF444" s="305"/>
    </row>
    <row r="445" spans="1:32" s="52" customFormat="1" ht="14.25" customHeight="1">
      <c r="A445" s="285"/>
      <c r="B445" s="2618" t="s">
        <v>423</v>
      </c>
      <c r="C445" s="2739">
        <f t="shared" ref="C445:H445" si="71">C441+C442+C443+C444</f>
        <v>134838</v>
      </c>
      <c r="D445" s="2738">
        <f t="shared" si="71"/>
        <v>10909</v>
      </c>
      <c r="E445" s="2739">
        <f t="shared" si="71"/>
        <v>204643</v>
      </c>
      <c r="F445" s="2738">
        <f t="shared" si="71"/>
        <v>4663377</v>
      </c>
      <c r="G445" s="2739">
        <f t="shared" si="71"/>
        <v>159001</v>
      </c>
      <c r="H445" s="2738">
        <f t="shared" si="71"/>
        <v>163883</v>
      </c>
      <c r="I445" s="2664">
        <f t="shared" si="70"/>
        <v>5336651</v>
      </c>
      <c r="J445" s="278"/>
      <c r="K445" s="416"/>
      <c r="L445" s="305"/>
      <c r="M445" s="305"/>
      <c r="N445" s="305"/>
      <c r="O445" s="305"/>
      <c r="P445" s="305"/>
      <c r="Q445" s="305"/>
      <c r="R445" s="305"/>
      <c r="W445" s="305"/>
      <c r="X445" s="305"/>
      <c r="Y445" s="305"/>
      <c r="Z445" s="305"/>
      <c r="AA445" s="305"/>
      <c r="AB445" s="305"/>
      <c r="AC445" s="305"/>
      <c r="AD445" s="305"/>
      <c r="AE445" s="305"/>
      <c r="AF445" s="305"/>
    </row>
    <row r="446" spans="1:32" s="52" customFormat="1" ht="14.25" customHeight="1">
      <c r="A446" s="285"/>
      <c r="B446" s="2616" t="s">
        <v>424</v>
      </c>
      <c r="C446" s="2657">
        <v>-7438</v>
      </c>
      <c r="D446" s="2650">
        <v>-2605</v>
      </c>
      <c r="E446" s="2657">
        <v>1628</v>
      </c>
      <c r="F446" s="2650">
        <v>32970</v>
      </c>
      <c r="G446" s="2657"/>
      <c r="H446" s="2650">
        <v>-57813</v>
      </c>
      <c r="I446" s="2737">
        <f t="shared" si="70"/>
        <v>-33258</v>
      </c>
      <c r="J446" s="278"/>
      <c r="K446" s="416"/>
      <c r="L446" s="305"/>
      <c r="M446" s="305"/>
      <c r="N446" s="305"/>
      <c r="O446" s="305"/>
      <c r="P446" s="305"/>
      <c r="Q446" s="305"/>
      <c r="R446" s="305"/>
      <c r="W446" s="305"/>
      <c r="X446" s="305"/>
      <c r="Y446" s="305"/>
      <c r="Z446" s="305"/>
      <c r="AA446" s="305"/>
      <c r="AB446" s="305"/>
      <c r="AC446" s="305"/>
      <c r="AD446" s="305"/>
      <c r="AE446" s="305"/>
      <c r="AF446" s="305"/>
    </row>
    <row r="447" spans="1:32" s="52" customFormat="1" ht="14.25" customHeight="1">
      <c r="A447" s="285"/>
      <c r="B447" s="2618" t="s">
        <v>425</v>
      </c>
      <c r="C447" s="2739">
        <f t="shared" ref="C447:H447" si="72">C445+C446</f>
        <v>127400</v>
      </c>
      <c r="D447" s="2738">
        <f t="shared" si="72"/>
        <v>8304</v>
      </c>
      <c r="E447" s="2739">
        <f t="shared" si="72"/>
        <v>206271</v>
      </c>
      <c r="F447" s="2738">
        <f t="shared" si="72"/>
        <v>4696347</v>
      </c>
      <c r="G447" s="2739">
        <f t="shared" si="72"/>
        <v>159001</v>
      </c>
      <c r="H447" s="2738">
        <f t="shared" si="72"/>
        <v>106070</v>
      </c>
      <c r="I447" s="2664">
        <f t="shared" si="70"/>
        <v>5303393</v>
      </c>
      <c r="J447" s="278"/>
      <c r="K447" s="416"/>
      <c r="L447" s="305"/>
      <c r="M447" s="305"/>
      <c r="N447" s="305"/>
      <c r="O447" s="305"/>
      <c r="P447" s="305"/>
      <c r="Q447" s="305"/>
      <c r="R447" s="305"/>
      <c r="W447" s="305"/>
      <c r="X447" s="305"/>
      <c r="Y447" s="305"/>
      <c r="Z447" s="305"/>
      <c r="AA447" s="305"/>
      <c r="AB447" s="305"/>
      <c r="AC447" s="305"/>
      <c r="AD447" s="305"/>
      <c r="AE447" s="305"/>
      <c r="AF447" s="305"/>
    </row>
    <row r="448" spans="1:32" s="52" customFormat="1" ht="14.25" customHeight="1">
      <c r="A448" s="285"/>
      <c r="B448" s="2616"/>
      <c r="C448" s="2743"/>
      <c r="D448" s="2742"/>
      <c r="E448" s="2743"/>
      <c r="F448" s="2742"/>
      <c r="G448" s="2743"/>
      <c r="H448" s="2742"/>
      <c r="I448" s="2737">
        <f t="shared" si="70"/>
        <v>0</v>
      </c>
      <c r="J448" s="278"/>
      <c r="K448" s="416"/>
      <c r="M448" s="305"/>
      <c r="W448" s="305"/>
      <c r="X448" s="305"/>
      <c r="Y448" s="305"/>
      <c r="Z448" s="305"/>
      <c r="AA448" s="305"/>
      <c r="AB448" s="305"/>
      <c r="AC448" s="305"/>
      <c r="AD448" s="305"/>
      <c r="AE448" s="305"/>
      <c r="AF448" s="305"/>
    </row>
    <row r="449" spans="1:32" s="52" customFormat="1" ht="14.25" customHeight="1">
      <c r="A449" s="285"/>
      <c r="B449" s="2618" t="s">
        <v>426</v>
      </c>
      <c r="C449" s="2743">
        <f>SUM(C450:C452)</f>
        <v>-40846</v>
      </c>
      <c r="D449" s="2742">
        <f t="shared" ref="D449:H449" si="73">SUM(D450:D452)</f>
        <v>1667</v>
      </c>
      <c r="E449" s="2743">
        <f t="shared" si="73"/>
        <v>-122183</v>
      </c>
      <c r="F449" s="2742">
        <f t="shared" si="73"/>
        <v>-2816446</v>
      </c>
      <c r="G449" s="2743">
        <f t="shared" si="73"/>
        <v>-156118</v>
      </c>
      <c r="H449" s="2742">
        <f t="shared" si="73"/>
        <v>-125158</v>
      </c>
      <c r="I449" s="2737">
        <f t="shared" si="70"/>
        <v>-3259084</v>
      </c>
      <c r="J449" s="278"/>
      <c r="K449" s="416"/>
      <c r="L449" s="305"/>
      <c r="M449" s="305"/>
      <c r="N449" s="305"/>
      <c r="O449" s="305"/>
      <c r="P449" s="305"/>
      <c r="Q449" s="305"/>
      <c r="R449" s="305"/>
      <c r="W449" s="305"/>
      <c r="X449" s="305"/>
      <c r="Y449" s="305"/>
      <c r="Z449" s="305"/>
      <c r="AA449" s="305"/>
      <c r="AB449" s="305"/>
      <c r="AC449" s="305"/>
      <c r="AD449" s="305"/>
      <c r="AE449" s="305"/>
      <c r="AF449" s="305"/>
    </row>
    <row r="450" spans="1:32" s="52" customFormat="1" ht="27.6" customHeight="1">
      <c r="A450" s="285"/>
      <c r="B450" s="2616" t="s">
        <v>427</v>
      </c>
      <c r="C450" s="2657">
        <v>-69463</v>
      </c>
      <c r="D450" s="2650">
        <v>-1267</v>
      </c>
      <c r="E450" s="2657">
        <v>-98102</v>
      </c>
      <c r="F450" s="2650">
        <v>-2251868</v>
      </c>
      <c r="G450" s="2657">
        <v>-156118</v>
      </c>
      <c r="H450" s="2650">
        <v>-122735</v>
      </c>
      <c r="I450" s="2737">
        <f t="shared" si="70"/>
        <v>-2699553</v>
      </c>
      <c r="J450" s="278"/>
      <c r="K450" s="416"/>
      <c r="L450" s="305"/>
      <c r="M450" s="305"/>
      <c r="N450" s="305"/>
      <c r="O450" s="305"/>
      <c r="P450" s="305"/>
      <c r="Q450" s="305"/>
      <c r="R450" s="305"/>
      <c r="W450" s="305"/>
      <c r="X450" s="305"/>
      <c r="Y450" s="305"/>
      <c r="Z450" s="305"/>
      <c r="AA450" s="305"/>
      <c r="AB450" s="305"/>
      <c r="AC450" s="305"/>
      <c r="AD450" s="305"/>
      <c r="AE450" s="305"/>
      <c r="AF450" s="305"/>
    </row>
    <row r="451" spans="1:32" s="52" customFormat="1" ht="14.25" customHeight="1">
      <c r="A451" s="285"/>
      <c r="B451" s="2616" t="s">
        <v>428</v>
      </c>
      <c r="C451" s="869">
        <v>28617</v>
      </c>
      <c r="D451" s="870">
        <v>2934</v>
      </c>
      <c r="E451" s="869">
        <v>-24081</v>
      </c>
      <c r="F451" s="870">
        <v>-564578</v>
      </c>
      <c r="G451" s="869"/>
      <c r="H451" s="870">
        <v>-2423</v>
      </c>
      <c r="I451" s="2737">
        <f t="shared" si="70"/>
        <v>-559531</v>
      </c>
      <c r="J451" s="278"/>
      <c r="K451" s="416"/>
      <c r="L451" s="305"/>
      <c r="M451" s="305"/>
      <c r="N451" s="305"/>
      <c r="O451" s="305"/>
      <c r="P451" s="305"/>
      <c r="Q451" s="305"/>
      <c r="R451" s="305"/>
      <c r="W451" s="305"/>
      <c r="X451" s="305"/>
      <c r="Y451" s="305"/>
      <c r="Z451" s="305"/>
      <c r="AA451" s="305"/>
      <c r="AB451" s="305"/>
      <c r="AC451" s="305"/>
      <c r="AD451" s="305"/>
      <c r="AE451" s="305"/>
      <c r="AF451" s="305"/>
    </row>
    <row r="452" spans="1:32" s="52" customFormat="1" ht="14.25" customHeight="1">
      <c r="A452" s="285"/>
      <c r="B452" s="2616" t="s">
        <v>429</v>
      </c>
      <c r="C452" s="2743"/>
      <c r="D452" s="2742"/>
      <c r="E452" s="2743"/>
      <c r="F452" s="2742"/>
      <c r="G452" s="2743"/>
      <c r="H452" s="2742"/>
      <c r="I452" s="2737">
        <f t="shared" si="70"/>
        <v>0</v>
      </c>
      <c r="J452" s="278"/>
      <c r="K452" s="416"/>
      <c r="L452" s="305"/>
      <c r="M452" s="305"/>
      <c r="N452" s="305"/>
      <c r="O452" s="305"/>
      <c r="P452" s="305"/>
      <c r="Q452" s="305"/>
      <c r="R452" s="305"/>
      <c r="W452" s="305"/>
      <c r="X452" s="305"/>
      <c r="Y452" s="305"/>
      <c r="Z452" s="305"/>
      <c r="AA452" s="305"/>
      <c r="AB452" s="305"/>
      <c r="AC452" s="305"/>
      <c r="AD452" s="305"/>
      <c r="AE452" s="305"/>
      <c r="AF452" s="305"/>
    </row>
    <row r="453" spans="1:32" s="52" customFormat="1" ht="14.25" customHeight="1">
      <c r="A453" s="285"/>
      <c r="B453" s="2618" t="s">
        <v>430</v>
      </c>
      <c r="C453" s="2739">
        <f t="shared" ref="C453:H453" si="74">C447+C450+C451+C452</f>
        <v>86554</v>
      </c>
      <c r="D453" s="2738">
        <f>D447+D450+D451+D452</f>
        <v>9971</v>
      </c>
      <c r="E453" s="2739">
        <f t="shared" si="74"/>
        <v>84088</v>
      </c>
      <c r="F453" s="2738">
        <f t="shared" si="74"/>
        <v>1879901</v>
      </c>
      <c r="G453" s="2739">
        <f t="shared" si="74"/>
        <v>2883</v>
      </c>
      <c r="H453" s="2738">
        <f t="shared" si="74"/>
        <v>-19088</v>
      </c>
      <c r="I453" s="2664">
        <f t="shared" si="70"/>
        <v>2044309</v>
      </c>
      <c r="J453" s="278"/>
      <c r="K453" s="432"/>
      <c r="L453" s="305"/>
      <c r="M453" s="305"/>
      <c r="N453" s="305"/>
      <c r="O453" s="305"/>
      <c r="P453" s="305"/>
      <c r="Q453" s="305"/>
      <c r="R453" s="305"/>
      <c r="W453" s="305"/>
      <c r="X453" s="305"/>
      <c r="Y453" s="305"/>
      <c r="Z453" s="305"/>
      <c r="AA453" s="305"/>
      <c r="AB453" s="305"/>
      <c r="AC453" s="305"/>
      <c r="AD453" s="305"/>
      <c r="AE453" s="305"/>
      <c r="AF453" s="305"/>
    </row>
    <row r="454" spans="1:32" s="52" customFormat="1" ht="14.25" customHeight="1">
      <c r="A454" s="285"/>
      <c r="B454" s="2616"/>
      <c r="C454" s="2747"/>
      <c r="D454" s="2746"/>
      <c r="E454" s="2747"/>
      <c r="F454" s="2746"/>
      <c r="G454" s="2747"/>
      <c r="H454" s="2746"/>
      <c r="I454" s="2737"/>
      <c r="J454" s="278"/>
      <c r="K454" s="416"/>
      <c r="M454" s="305"/>
      <c r="W454" s="305"/>
      <c r="X454" s="305"/>
      <c r="Y454" s="305"/>
      <c r="Z454" s="305"/>
      <c r="AA454" s="305"/>
      <c r="AB454" s="305"/>
      <c r="AC454" s="305"/>
      <c r="AD454" s="305"/>
      <c r="AE454" s="305"/>
      <c r="AF454" s="305"/>
    </row>
    <row r="455" spans="1:32" s="52" customFormat="1" ht="14.25" customHeight="1">
      <c r="A455" s="285"/>
      <c r="B455" s="2618" t="s">
        <v>431</v>
      </c>
      <c r="C455" s="2747"/>
      <c r="D455" s="2746"/>
      <c r="E455" s="2747"/>
      <c r="F455" s="2746"/>
      <c r="G455" s="2747"/>
      <c r="H455" s="2746"/>
      <c r="I455" s="2664">
        <f>SUM(I456:I458)</f>
        <v>859343</v>
      </c>
      <c r="J455" s="278"/>
      <c r="K455" s="416"/>
      <c r="M455" s="305"/>
      <c r="W455" s="305"/>
      <c r="X455" s="305"/>
      <c r="Y455" s="305"/>
      <c r="Z455" s="305"/>
      <c r="AA455" s="305"/>
      <c r="AB455" s="305"/>
      <c r="AC455" s="305"/>
      <c r="AD455" s="305"/>
      <c r="AE455" s="305"/>
      <c r="AF455" s="305"/>
    </row>
    <row r="456" spans="1:32" s="52" customFormat="1" ht="14.25" customHeight="1">
      <c r="A456" s="285"/>
      <c r="B456" s="2616" t="s">
        <v>432</v>
      </c>
      <c r="C456" s="2747"/>
      <c r="D456" s="2746"/>
      <c r="E456" s="2747"/>
      <c r="F456" s="2746"/>
      <c r="G456" s="2747"/>
      <c r="H456" s="2746"/>
      <c r="I456" s="2758">
        <v>53086</v>
      </c>
      <c r="J456" s="278"/>
      <c r="K456" s="416"/>
      <c r="M456" s="305"/>
      <c r="W456" s="305"/>
      <c r="X456" s="305"/>
      <c r="Y456" s="305"/>
      <c r="Z456" s="305"/>
      <c r="AA456" s="305"/>
      <c r="AB456" s="305"/>
      <c r="AC456" s="305"/>
      <c r="AD456" s="305"/>
      <c r="AE456" s="305"/>
      <c r="AF456" s="305"/>
    </row>
    <row r="457" spans="1:32" s="52" customFormat="1" ht="14.25" customHeight="1">
      <c r="A457" s="285"/>
      <c r="B457" s="2616" t="s">
        <v>433</v>
      </c>
      <c r="C457" s="2747"/>
      <c r="D457" s="2746"/>
      <c r="E457" s="2747"/>
      <c r="F457" s="2746"/>
      <c r="G457" s="2747"/>
      <c r="H457" s="2746"/>
      <c r="I457" s="1813">
        <v>785962</v>
      </c>
      <c r="J457" s="278"/>
      <c r="K457" s="416"/>
      <c r="M457" s="305"/>
      <c r="W457" s="305"/>
      <c r="X457" s="305"/>
      <c r="Y457" s="305"/>
      <c r="Z457" s="305"/>
      <c r="AA457" s="305"/>
      <c r="AB457" s="305"/>
      <c r="AC457" s="305"/>
      <c r="AD457" s="305"/>
      <c r="AE457" s="305"/>
      <c r="AF457" s="305"/>
    </row>
    <row r="458" spans="1:32" s="52" customFormat="1" ht="14.25" customHeight="1">
      <c r="A458" s="285"/>
      <c r="B458" s="2616" t="s">
        <v>434</v>
      </c>
      <c r="C458" s="2747"/>
      <c r="D458" s="2746"/>
      <c r="E458" s="2747"/>
      <c r="F458" s="2746"/>
      <c r="G458" s="2747"/>
      <c r="H458" s="2746"/>
      <c r="I458" s="1813">
        <v>20295</v>
      </c>
      <c r="J458" s="278"/>
      <c r="K458" s="416"/>
      <c r="M458" s="305"/>
      <c r="W458" s="305"/>
      <c r="X458" s="305"/>
      <c r="Y458" s="305"/>
      <c r="Z458" s="305"/>
      <c r="AA458" s="305"/>
      <c r="AB458" s="305"/>
      <c r="AC458" s="305"/>
      <c r="AD458" s="305"/>
      <c r="AE458" s="305"/>
      <c r="AF458" s="305"/>
    </row>
    <row r="459" spans="1:32" s="52" customFormat="1" ht="14.25" customHeight="1">
      <c r="A459" s="285"/>
      <c r="B459" s="2616"/>
      <c r="C459" s="2747"/>
      <c r="D459" s="2746"/>
      <c r="E459" s="2747"/>
      <c r="F459" s="2746"/>
      <c r="G459" s="2747"/>
      <c r="H459" s="2746"/>
      <c r="I459" s="2737"/>
      <c r="J459" s="278"/>
      <c r="K459" s="416"/>
      <c r="M459" s="305"/>
      <c r="W459" s="305"/>
      <c r="X459" s="305"/>
      <c r="Y459" s="305"/>
      <c r="Z459" s="305"/>
      <c r="AA459" s="305"/>
      <c r="AB459" s="305"/>
      <c r="AC459" s="305"/>
      <c r="AD459" s="305"/>
      <c r="AE459" s="305"/>
      <c r="AF459" s="305"/>
    </row>
    <row r="460" spans="1:32" s="52" customFormat="1" ht="14.25" customHeight="1">
      <c r="A460" s="285"/>
      <c r="B460" s="2618" t="s">
        <v>435</v>
      </c>
      <c r="C460" s="2747"/>
      <c r="D460" s="2746"/>
      <c r="E460" s="2747"/>
      <c r="F460" s="2746"/>
      <c r="G460" s="2747"/>
      <c r="H460" s="2746"/>
      <c r="I460" s="2737">
        <f>I461+I462</f>
        <v>-1216196</v>
      </c>
      <c r="J460" s="278"/>
      <c r="K460" s="416"/>
      <c r="M460" s="305"/>
      <c r="W460" s="305"/>
      <c r="X460" s="305"/>
      <c r="Y460" s="305"/>
      <c r="Z460" s="305"/>
      <c r="AA460" s="305"/>
      <c r="AB460" s="305"/>
      <c r="AC460" s="305"/>
      <c r="AD460" s="305"/>
      <c r="AE460" s="305"/>
      <c r="AF460" s="305"/>
    </row>
    <row r="461" spans="1:32" s="52" customFormat="1" ht="27" customHeight="1">
      <c r="A461" s="285"/>
      <c r="B461" s="2616" t="s">
        <v>436</v>
      </c>
      <c r="C461" s="2747"/>
      <c r="D461" s="2746"/>
      <c r="E461" s="2747"/>
      <c r="F461" s="2746"/>
      <c r="G461" s="2747"/>
      <c r="H461" s="2746"/>
      <c r="I461" s="2758">
        <v>-1216196</v>
      </c>
      <c r="J461" s="278"/>
      <c r="K461" s="416"/>
      <c r="M461" s="305"/>
      <c r="W461" s="305"/>
      <c r="X461" s="305"/>
      <c r="Y461" s="305"/>
      <c r="Z461" s="305"/>
      <c r="AA461" s="305"/>
      <c r="AB461" s="305"/>
      <c r="AC461" s="305"/>
      <c r="AD461" s="305"/>
      <c r="AE461" s="305"/>
      <c r="AF461" s="305"/>
    </row>
    <row r="462" spans="1:32" s="52" customFormat="1" ht="27" customHeight="1">
      <c r="A462" s="285"/>
      <c r="B462" s="2616" t="s">
        <v>437</v>
      </c>
      <c r="C462" s="2747"/>
      <c r="D462" s="2746"/>
      <c r="E462" s="2747"/>
      <c r="F462" s="2746"/>
      <c r="G462" s="2747"/>
      <c r="H462" s="2746"/>
      <c r="I462" s="2737"/>
      <c r="J462" s="278"/>
      <c r="K462" s="416"/>
      <c r="M462" s="305"/>
      <c r="W462" s="305"/>
      <c r="X462" s="305"/>
      <c r="Y462" s="305"/>
      <c r="Z462" s="305"/>
      <c r="AA462" s="305"/>
      <c r="AB462" s="305"/>
      <c r="AC462" s="305"/>
      <c r="AD462" s="305"/>
      <c r="AE462" s="305"/>
      <c r="AF462" s="305"/>
    </row>
    <row r="463" spans="1:32" s="52" customFormat="1" ht="14.25" customHeight="1">
      <c r="A463" s="285"/>
      <c r="B463" s="2618" t="s">
        <v>438</v>
      </c>
      <c r="C463" s="2747"/>
      <c r="D463" s="2746"/>
      <c r="E463" s="2747"/>
      <c r="F463" s="2746"/>
      <c r="G463" s="2747"/>
      <c r="H463" s="2746"/>
      <c r="I463" s="2664">
        <f>+I453+I455+I461</f>
        <v>1687456</v>
      </c>
      <c r="J463" s="278"/>
      <c r="K463" s="416"/>
      <c r="M463" s="305"/>
      <c r="W463" s="305"/>
      <c r="X463" s="305"/>
      <c r="Y463" s="305"/>
      <c r="Z463" s="305"/>
      <c r="AA463" s="305"/>
      <c r="AB463" s="305"/>
      <c r="AC463" s="305"/>
      <c r="AD463" s="305"/>
      <c r="AE463" s="305"/>
      <c r="AF463" s="305"/>
    </row>
    <row r="464" spans="1:32" s="52" customFormat="1" ht="14.25" customHeight="1">
      <c r="A464" s="285"/>
      <c r="B464" s="2616" t="s">
        <v>439</v>
      </c>
      <c r="C464" s="2747"/>
      <c r="D464" s="2746"/>
      <c r="E464" s="2747"/>
      <c r="F464" s="2746"/>
      <c r="G464" s="2747"/>
      <c r="H464" s="2746"/>
      <c r="I464" s="2758">
        <v>-19936</v>
      </c>
      <c r="J464" s="278"/>
      <c r="K464" s="416"/>
      <c r="M464" s="305"/>
      <c r="W464" s="305"/>
      <c r="X464" s="305"/>
      <c r="Y464" s="305"/>
      <c r="Z464" s="305"/>
      <c r="AA464" s="305"/>
      <c r="AB464" s="305"/>
      <c r="AC464" s="305"/>
      <c r="AD464" s="305"/>
      <c r="AE464" s="305"/>
      <c r="AF464" s="305"/>
    </row>
    <row r="465" spans="1:32" s="52" customFormat="1" ht="14.25" customHeight="1">
      <c r="A465" s="285"/>
      <c r="B465" s="2618" t="s">
        <v>440</v>
      </c>
      <c r="C465" s="2747"/>
      <c r="D465" s="2746"/>
      <c r="E465" s="2747"/>
      <c r="F465" s="2746"/>
      <c r="G465" s="2747"/>
      <c r="H465" s="2746"/>
      <c r="I465" s="2664">
        <f>SUM(I463:I464)</f>
        <v>1667520</v>
      </c>
      <c r="J465" s="278"/>
      <c r="K465" s="416"/>
      <c r="M465" s="305"/>
      <c r="W465" s="305"/>
      <c r="X465" s="305"/>
      <c r="Y465" s="305"/>
      <c r="Z465" s="305"/>
      <c r="AA465" s="305"/>
      <c r="AB465" s="305"/>
      <c r="AC465" s="305"/>
      <c r="AD465" s="305"/>
      <c r="AE465" s="305"/>
      <c r="AF465" s="305"/>
    </row>
    <row r="466" spans="1:32" s="52" customFormat="1" ht="14.25" customHeight="1">
      <c r="A466" s="285"/>
      <c r="B466" s="2616" t="s">
        <v>441</v>
      </c>
      <c r="C466" s="2747"/>
      <c r="D466" s="2746"/>
      <c r="E466" s="2747"/>
      <c r="F466" s="2746"/>
      <c r="G466" s="2747"/>
      <c r="H466" s="2746"/>
      <c r="I466" s="2758">
        <v>-472207</v>
      </c>
      <c r="J466" s="278"/>
      <c r="K466" s="416"/>
      <c r="M466" s="305"/>
      <c r="W466" s="305"/>
      <c r="X466" s="305"/>
      <c r="Y466" s="305"/>
      <c r="Z466" s="305"/>
      <c r="AA466" s="305"/>
      <c r="AB466" s="305"/>
      <c r="AC466" s="305"/>
      <c r="AD466" s="305"/>
      <c r="AE466" s="305"/>
      <c r="AF466" s="305"/>
    </row>
    <row r="467" spans="1:32" s="52" customFormat="1" ht="14.25" customHeight="1" thickBot="1">
      <c r="A467" s="285"/>
      <c r="B467" s="1787" t="s">
        <v>442</v>
      </c>
      <c r="C467" s="888"/>
      <c r="D467" s="1318"/>
      <c r="E467" s="888"/>
      <c r="F467" s="1318"/>
      <c r="G467" s="888"/>
      <c r="H467" s="1318"/>
      <c r="I467" s="1779">
        <f>SUM(I465:I466)</f>
        <v>1195313</v>
      </c>
      <c r="J467" s="278"/>
      <c r="K467" s="416"/>
      <c r="M467" s="305"/>
      <c r="W467" s="305"/>
      <c r="X467" s="305"/>
      <c r="Y467" s="305"/>
      <c r="Z467" s="305"/>
      <c r="AA467" s="305"/>
      <c r="AB467" s="305"/>
      <c r="AC467" s="305"/>
      <c r="AD467" s="305"/>
      <c r="AE467" s="305"/>
      <c r="AF467" s="305"/>
    </row>
    <row r="468" spans="1:32" s="52" customFormat="1" ht="14.25" customHeight="1">
      <c r="A468" s="285"/>
      <c r="B468" s="455"/>
      <c r="C468" s="414"/>
      <c r="D468" s="414"/>
      <c r="E468" s="414"/>
      <c r="F468" s="414"/>
      <c r="G468" s="414"/>
      <c r="H468" s="414"/>
      <c r="I468" s="278"/>
      <c r="J468" s="278"/>
      <c r="K468" s="416"/>
      <c r="M468" s="305"/>
      <c r="W468" s="305"/>
      <c r="X468" s="305"/>
      <c r="Y468" s="305"/>
      <c r="Z468" s="305"/>
      <c r="AA468" s="305"/>
      <c r="AB468" s="305"/>
      <c r="AC468" s="305"/>
      <c r="AD468" s="305"/>
      <c r="AE468" s="305"/>
      <c r="AF468" s="305"/>
    </row>
    <row r="469" spans="1:32" s="52" customFormat="1" ht="14.25" customHeight="1">
      <c r="A469" s="285"/>
      <c r="B469" s="455"/>
      <c r="C469" s="414"/>
      <c r="D469" s="414"/>
      <c r="E469" s="414"/>
      <c r="F469" s="414"/>
      <c r="G469" s="414"/>
      <c r="H469" s="414"/>
      <c r="I469" s="278"/>
      <c r="J469" s="278"/>
      <c r="K469" s="394">
        <v>138</v>
      </c>
      <c r="M469" s="305"/>
      <c r="W469" s="305"/>
      <c r="X469" s="305"/>
      <c r="Y469" s="305"/>
      <c r="Z469" s="305"/>
      <c r="AA469" s="305"/>
      <c r="AB469" s="305"/>
      <c r="AC469" s="305"/>
      <c r="AD469" s="305"/>
      <c r="AE469" s="305"/>
      <c r="AF469" s="305"/>
    </row>
    <row r="470" spans="1:32" s="52" customFormat="1" ht="14.25" customHeight="1">
      <c r="A470" s="285"/>
      <c r="B470" s="455"/>
      <c r="C470" s="414"/>
      <c r="D470" s="414"/>
      <c r="E470" s="414"/>
      <c r="F470" s="414"/>
      <c r="G470" s="414"/>
      <c r="H470" s="414"/>
      <c r="I470" s="278"/>
      <c r="J470" s="278"/>
      <c r="K470" s="416"/>
      <c r="M470" s="305"/>
      <c r="W470" s="305"/>
      <c r="X470" s="305"/>
      <c r="Y470" s="305"/>
      <c r="Z470" s="305"/>
      <c r="AA470" s="305"/>
      <c r="AB470" s="305"/>
      <c r="AC470" s="305"/>
      <c r="AD470" s="305"/>
      <c r="AE470" s="305"/>
      <c r="AF470" s="305"/>
    </row>
    <row r="471" spans="1:32" s="52" customFormat="1" ht="14.25" customHeight="1">
      <c r="A471" s="285"/>
      <c r="B471" s="236" t="s">
        <v>451</v>
      </c>
      <c r="C471" s="279"/>
      <c r="D471" s="279"/>
      <c r="E471" s="414"/>
      <c r="F471" s="414"/>
      <c r="G471" s="414"/>
      <c r="H471" s="414"/>
      <c r="I471" s="278"/>
      <c r="J471" s="278"/>
      <c r="K471" s="416"/>
      <c r="M471" s="305"/>
      <c r="W471" s="305"/>
      <c r="X471" s="305"/>
      <c r="Y471" s="305"/>
      <c r="Z471" s="305"/>
      <c r="AA471" s="305"/>
      <c r="AB471" s="305"/>
      <c r="AC471" s="305"/>
      <c r="AD471" s="305"/>
      <c r="AE471" s="305"/>
      <c r="AF471" s="305"/>
    </row>
    <row r="472" spans="1:32" s="52" customFormat="1" ht="14.25" customHeight="1" thickBot="1">
      <c r="A472" s="285"/>
      <c r="B472" s="51"/>
      <c r="C472" s="529"/>
      <c r="D472" s="529"/>
      <c r="E472" s="414"/>
      <c r="F472" s="414"/>
      <c r="G472" s="414"/>
      <c r="H472" s="414"/>
      <c r="I472" s="278"/>
      <c r="J472" s="278"/>
      <c r="K472" s="416"/>
      <c r="M472" s="305"/>
      <c r="W472" s="305"/>
      <c r="X472" s="305"/>
      <c r="Y472" s="305"/>
      <c r="Z472" s="305"/>
      <c r="AA472" s="305"/>
      <c r="AB472" s="305"/>
      <c r="AC472" s="305"/>
      <c r="AD472" s="305"/>
      <c r="AE472" s="305"/>
      <c r="AF472" s="305"/>
    </row>
    <row r="473" spans="1:32" ht="14.25" customHeight="1">
      <c r="B473" s="1765" t="s">
        <v>134</v>
      </c>
      <c r="C473" s="515"/>
      <c r="D473" s="515"/>
      <c r="E473" s="515"/>
      <c r="F473" s="515"/>
      <c r="G473" s="3668" t="s">
        <v>232</v>
      </c>
      <c r="H473" s="3668"/>
      <c r="I473" s="3668"/>
      <c r="J473" s="385"/>
      <c r="M473" s="305"/>
      <c r="W473" s="305"/>
      <c r="X473" s="305"/>
      <c r="Y473" s="305"/>
      <c r="Z473" s="305"/>
      <c r="AA473" s="305"/>
      <c r="AB473" s="305"/>
      <c r="AC473" s="305"/>
      <c r="AD473" s="305"/>
      <c r="AE473" s="305"/>
      <c r="AF473" s="305"/>
    </row>
    <row r="474" spans="1:32" s="52" customFormat="1" ht="14.25" customHeight="1">
      <c r="A474" s="278"/>
      <c r="B474" s="3663"/>
      <c r="C474" s="3575">
        <v>2020</v>
      </c>
      <c r="D474" s="3576"/>
      <c r="E474" s="3576"/>
      <c r="F474" s="3576"/>
      <c r="G474" s="3576"/>
      <c r="H474" s="3576"/>
      <c r="I474" s="3577"/>
      <c r="J474" s="315"/>
      <c r="K474" s="416"/>
      <c r="M474" s="305"/>
      <c r="W474" s="305"/>
      <c r="X474" s="305"/>
      <c r="Y474" s="305"/>
      <c r="Z474" s="305"/>
      <c r="AA474" s="305"/>
      <c r="AB474" s="305"/>
      <c r="AC474" s="305"/>
      <c r="AD474" s="305"/>
      <c r="AE474" s="305"/>
      <c r="AF474" s="305"/>
    </row>
    <row r="475" spans="1:32" s="52" customFormat="1" ht="14.25" customHeight="1">
      <c r="A475" s="394"/>
      <c r="B475" s="3674"/>
      <c r="C475" s="3666" t="s">
        <v>412</v>
      </c>
      <c r="D475" s="3676" t="s">
        <v>413</v>
      </c>
      <c r="E475" s="3671" t="s">
        <v>414</v>
      </c>
      <c r="F475" s="3678"/>
      <c r="G475" s="3666" t="s">
        <v>415</v>
      </c>
      <c r="H475" s="3679" t="s">
        <v>416</v>
      </c>
      <c r="I475" s="3666" t="s">
        <v>118</v>
      </c>
      <c r="J475" s="278"/>
      <c r="K475" s="3669"/>
      <c r="M475" s="305"/>
      <c r="W475" s="305"/>
      <c r="X475" s="305"/>
      <c r="Y475" s="305"/>
      <c r="Z475" s="305"/>
      <c r="AA475" s="305"/>
      <c r="AB475" s="305"/>
      <c r="AC475" s="305"/>
      <c r="AD475" s="305"/>
      <c r="AE475" s="305"/>
      <c r="AF475" s="305"/>
    </row>
    <row r="476" spans="1:32" s="52" customFormat="1" ht="14.25" customHeight="1" thickBot="1">
      <c r="A476" s="394"/>
      <c r="B476" s="3675"/>
      <c r="C476" s="3670"/>
      <c r="D476" s="3690"/>
      <c r="E476" s="1793" t="s">
        <v>418</v>
      </c>
      <c r="F476" s="1792" t="s">
        <v>419</v>
      </c>
      <c r="G476" s="3670"/>
      <c r="H476" s="3677"/>
      <c r="I476" s="3670"/>
      <c r="J476" s="278"/>
      <c r="K476" s="3669"/>
      <c r="M476" s="305"/>
      <c r="W476" s="305"/>
      <c r="X476" s="305"/>
      <c r="Y476" s="305"/>
      <c r="Z476" s="305"/>
      <c r="AA476" s="305"/>
      <c r="AB476" s="305"/>
      <c r="AC476" s="305"/>
      <c r="AD476" s="305"/>
      <c r="AE476" s="305"/>
      <c r="AF476" s="305"/>
    </row>
    <row r="477" spans="1:32" s="52" customFormat="1" ht="14.25" customHeight="1">
      <c r="A477" s="285"/>
      <c r="B477" s="1761" t="s">
        <v>333</v>
      </c>
      <c r="C477" s="2759">
        <v>14009</v>
      </c>
      <c r="D477" s="2650"/>
      <c r="E477" s="868">
        <v>23546</v>
      </c>
      <c r="F477" s="2650">
        <v>716321</v>
      </c>
      <c r="G477" s="2657">
        <v>25769</v>
      </c>
      <c r="H477" s="2650">
        <v>91443</v>
      </c>
      <c r="I477" s="1807">
        <f t="shared" ref="I477:I489" si="75">H477+G477+F477+E477+D477+C477</f>
        <v>871088</v>
      </c>
      <c r="J477" s="278"/>
      <c r="K477" s="429"/>
      <c r="L477" s="305"/>
      <c r="M477" s="305"/>
      <c r="N477" s="305"/>
      <c r="O477" s="305"/>
      <c r="P477" s="305"/>
      <c r="Q477" s="305"/>
      <c r="R477" s="305"/>
      <c r="W477" s="305"/>
      <c r="X477" s="305"/>
      <c r="Y477" s="305"/>
      <c r="Z477" s="305"/>
      <c r="AA477" s="305"/>
      <c r="AB477" s="305"/>
      <c r="AC477" s="305"/>
      <c r="AD477" s="305"/>
      <c r="AE477" s="305"/>
      <c r="AF477" s="305"/>
    </row>
    <row r="478" spans="1:32" s="52" customFormat="1" ht="14.25" customHeight="1">
      <c r="A478" s="285"/>
      <c r="B478" s="2616" t="s">
        <v>420</v>
      </c>
      <c r="C478" s="869"/>
      <c r="D478" s="870"/>
      <c r="E478" s="869"/>
      <c r="F478" s="870"/>
      <c r="G478" s="869"/>
      <c r="H478" s="870"/>
      <c r="I478" s="2737">
        <f t="shared" si="75"/>
        <v>0</v>
      </c>
      <c r="J478" s="278"/>
      <c r="K478" s="429"/>
      <c r="L478" s="305"/>
      <c r="M478" s="305"/>
      <c r="N478" s="305"/>
      <c r="O478" s="305"/>
      <c r="P478" s="305"/>
      <c r="Q478" s="305"/>
      <c r="R478" s="305"/>
      <c r="W478" s="305"/>
      <c r="X478" s="305"/>
      <c r="Y478" s="305"/>
      <c r="Z478" s="305"/>
      <c r="AA478" s="305"/>
      <c r="AB478" s="305"/>
      <c r="AC478" s="305"/>
      <c r="AD478" s="305"/>
      <c r="AE478" s="305"/>
      <c r="AF478" s="305"/>
    </row>
    <row r="479" spans="1:32" s="52" customFormat="1" ht="14.25" customHeight="1">
      <c r="A479" s="285"/>
      <c r="B479" s="2616" t="s">
        <v>421</v>
      </c>
      <c r="C479" s="869">
        <v>-6006</v>
      </c>
      <c r="D479" s="870"/>
      <c r="E479" s="869"/>
      <c r="F479" s="870">
        <v>-10946</v>
      </c>
      <c r="G479" s="869"/>
      <c r="H479" s="870">
        <v>-7019</v>
      </c>
      <c r="I479" s="2737">
        <f t="shared" si="75"/>
        <v>-23971</v>
      </c>
      <c r="J479" s="278"/>
      <c r="K479" s="429"/>
      <c r="L479" s="305"/>
      <c r="M479" s="305"/>
      <c r="N479" s="305"/>
      <c r="O479" s="305"/>
      <c r="P479" s="305"/>
      <c r="Q479" s="305"/>
      <c r="R479" s="305"/>
      <c r="W479" s="305"/>
      <c r="X479" s="305"/>
      <c r="Y479" s="305"/>
      <c r="Z479" s="305"/>
      <c r="AA479" s="305"/>
      <c r="AB479" s="305"/>
      <c r="AC479" s="305"/>
      <c r="AD479" s="305"/>
      <c r="AE479" s="305"/>
      <c r="AF479" s="305"/>
    </row>
    <row r="480" spans="1:32" s="52" customFormat="1" ht="14.25" customHeight="1">
      <c r="A480" s="285"/>
      <c r="B480" s="2616" t="s">
        <v>422</v>
      </c>
      <c r="C480" s="869">
        <v>-3214</v>
      </c>
      <c r="D480" s="870"/>
      <c r="E480" s="869"/>
      <c r="F480" s="870">
        <v>-17085</v>
      </c>
      <c r="G480" s="869"/>
      <c r="H480" s="870">
        <v>-35418</v>
      </c>
      <c r="I480" s="2737">
        <f t="shared" si="75"/>
        <v>-55717</v>
      </c>
      <c r="J480" s="278"/>
      <c r="K480" s="416"/>
      <c r="L480" s="305"/>
      <c r="M480" s="305"/>
      <c r="N480" s="305"/>
      <c r="O480" s="305"/>
      <c r="P480" s="305"/>
      <c r="Q480" s="305"/>
      <c r="R480" s="305"/>
      <c r="W480" s="305"/>
      <c r="X480" s="305"/>
      <c r="Y480" s="305"/>
      <c r="Z480" s="305"/>
      <c r="AA480" s="305"/>
      <c r="AB480" s="305"/>
      <c r="AC480" s="305"/>
      <c r="AD480" s="305"/>
      <c r="AE480" s="305"/>
      <c r="AF480" s="305"/>
    </row>
    <row r="481" spans="1:32" s="52" customFormat="1" ht="14.25" customHeight="1">
      <c r="A481" s="285"/>
      <c r="B481" s="2618" t="s">
        <v>423</v>
      </c>
      <c r="C481" s="2739">
        <f t="shared" ref="C481:H481" si="76">C477+C478+C479+C480</f>
        <v>4789</v>
      </c>
      <c r="D481" s="2738">
        <f t="shared" si="76"/>
        <v>0</v>
      </c>
      <c r="E481" s="2739">
        <f t="shared" si="76"/>
        <v>23546</v>
      </c>
      <c r="F481" s="2738">
        <f t="shared" si="76"/>
        <v>688290</v>
      </c>
      <c r="G481" s="2739">
        <f t="shared" si="76"/>
        <v>25769</v>
      </c>
      <c r="H481" s="2738">
        <f t="shared" si="76"/>
        <v>49006</v>
      </c>
      <c r="I481" s="2664">
        <f t="shared" si="75"/>
        <v>791400</v>
      </c>
      <c r="J481" s="278"/>
      <c r="K481" s="416"/>
      <c r="L481" s="305"/>
      <c r="M481" s="305"/>
      <c r="N481" s="305"/>
      <c r="O481" s="305"/>
      <c r="P481" s="305"/>
      <c r="Q481" s="305"/>
      <c r="R481" s="305"/>
      <c r="W481" s="305"/>
      <c r="X481" s="305"/>
      <c r="Y481" s="305"/>
      <c r="Z481" s="305"/>
      <c r="AA481" s="305"/>
      <c r="AB481" s="305"/>
      <c r="AC481" s="305"/>
      <c r="AD481" s="305"/>
      <c r="AE481" s="305"/>
      <c r="AF481" s="305"/>
    </row>
    <row r="482" spans="1:32" s="52" customFormat="1" ht="14.25" customHeight="1">
      <c r="A482" s="285"/>
      <c r="B482" s="2616" t="s">
        <v>424</v>
      </c>
      <c r="C482" s="2657">
        <v>-718</v>
      </c>
      <c r="D482" s="2650"/>
      <c r="E482" s="2657">
        <v>490</v>
      </c>
      <c r="F482" s="2650">
        <v>87658</v>
      </c>
      <c r="G482" s="2657"/>
      <c r="H482" s="2650">
        <v>-20310</v>
      </c>
      <c r="I482" s="2737">
        <f t="shared" si="75"/>
        <v>67120</v>
      </c>
      <c r="J482" s="278"/>
      <c r="K482" s="416"/>
      <c r="L482" s="305"/>
      <c r="M482" s="305"/>
      <c r="N482" s="305"/>
      <c r="O482" s="305"/>
      <c r="P482" s="305"/>
      <c r="Q482" s="305"/>
      <c r="R482" s="305"/>
      <c r="W482" s="305"/>
      <c r="X482" s="305"/>
      <c r="Y482" s="305"/>
      <c r="Z482" s="305"/>
      <c r="AA482" s="305"/>
      <c r="AB482" s="305"/>
      <c r="AC482" s="305"/>
      <c r="AD482" s="305"/>
      <c r="AE482" s="305"/>
      <c r="AF482" s="305"/>
    </row>
    <row r="483" spans="1:32" s="52" customFormat="1" ht="14.25" customHeight="1">
      <c r="A483" s="285"/>
      <c r="B483" s="2618" t="s">
        <v>425</v>
      </c>
      <c r="C483" s="2739">
        <f t="shared" ref="C483:H483" si="77">C481+C482</f>
        <v>4071</v>
      </c>
      <c r="D483" s="2738">
        <f t="shared" si="77"/>
        <v>0</v>
      </c>
      <c r="E483" s="2739">
        <f t="shared" si="77"/>
        <v>24036</v>
      </c>
      <c r="F483" s="2738">
        <f t="shared" si="77"/>
        <v>775948</v>
      </c>
      <c r="G483" s="2739">
        <f t="shared" si="77"/>
        <v>25769</v>
      </c>
      <c r="H483" s="2738">
        <f t="shared" si="77"/>
        <v>28696</v>
      </c>
      <c r="I483" s="2664">
        <f t="shared" si="75"/>
        <v>858520</v>
      </c>
      <c r="J483" s="278"/>
      <c r="K483" s="416"/>
      <c r="L483" s="305"/>
      <c r="M483" s="305"/>
      <c r="N483" s="305"/>
      <c r="O483" s="305"/>
      <c r="P483" s="305"/>
      <c r="Q483" s="305"/>
      <c r="R483" s="305"/>
      <c r="W483" s="305"/>
      <c r="X483" s="305"/>
      <c r="Y483" s="305"/>
      <c r="Z483" s="305"/>
      <c r="AA483" s="305"/>
      <c r="AB483" s="305"/>
      <c r="AC483" s="305"/>
      <c r="AD483" s="305"/>
      <c r="AE483" s="305"/>
      <c r="AF483" s="305"/>
    </row>
    <row r="484" spans="1:32" s="52" customFormat="1" ht="14.25" customHeight="1">
      <c r="A484" s="285"/>
      <c r="B484" s="2616"/>
      <c r="C484" s="2743"/>
      <c r="D484" s="2742"/>
      <c r="E484" s="2743"/>
      <c r="F484" s="2742"/>
      <c r="G484" s="2743"/>
      <c r="H484" s="2742"/>
      <c r="I484" s="2737">
        <f t="shared" si="75"/>
        <v>0</v>
      </c>
      <c r="J484" s="278"/>
      <c r="K484" s="416"/>
      <c r="L484" s="305"/>
      <c r="M484" s="305"/>
      <c r="N484" s="305"/>
      <c r="O484" s="305"/>
      <c r="P484" s="305"/>
      <c r="Q484" s="305"/>
      <c r="R484" s="305"/>
      <c r="W484" s="305"/>
      <c r="X484" s="305"/>
      <c r="Y484" s="305"/>
      <c r="Z484" s="305"/>
      <c r="AA484" s="305"/>
      <c r="AB484" s="305"/>
      <c r="AC484" s="305"/>
      <c r="AD484" s="305"/>
      <c r="AE484" s="305"/>
      <c r="AF484" s="305"/>
    </row>
    <row r="485" spans="1:32" s="52" customFormat="1" ht="14.25" customHeight="1">
      <c r="A485" s="285"/>
      <c r="B485" s="2618" t="s">
        <v>426</v>
      </c>
      <c r="C485" s="2743">
        <f>SUM(C486:C488)</f>
        <v>-983</v>
      </c>
      <c r="D485" s="2742">
        <f t="shared" ref="D485:H485" si="78">SUM(D486:D488)</f>
        <v>0</v>
      </c>
      <c r="E485" s="2743">
        <f t="shared" si="78"/>
        <v>-755</v>
      </c>
      <c r="F485" s="2742">
        <f t="shared" si="78"/>
        <v>-304845</v>
      </c>
      <c r="G485" s="2743">
        <f t="shared" si="78"/>
        <v>-9497</v>
      </c>
      <c r="H485" s="2742">
        <f t="shared" si="78"/>
        <v>-78010</v>
      </c>
      <c r="I485" s="2737">
        <f t="shared" si="75"/>
        <v>-394090</v>
      </c>
      <c r="J485" s="278"/>
      <c r="K485" s="416"/>
      <c r="L485" s="305"/>
      <c r="M485" s="305"/>
      <c r="N485" s="305"/>
      <c r="O485" s="305"/>
      <c r="P485" s="305"/>
      <c r="Q485" s="305"/>
      <c r="R485" s="305"/>
      <c r="W485" s="305"/>
      <c r="X485" s="305"/>
      <c r="Y485" s="305"/>
      <c r="Z485" s="305"/>
      <c r="AA485" s="305"/>
      <c r="AB485" s="305"/>
      <c r="AC485" s="305"/>
      <c r="AD485" s="305"/>
      <c r="AE485" s="305"/>
      <c r="AF485" s="305"/>
    </row>
    <row r="486" spans="1:32" s="52" customFormat="1" ht="29.25" customHeight="1">
      <c r="A486" s="285"/>
      <c r="B486" s="2616" t="s">
        <v>427</v>
      </c>
      <c r="C486" s="2657">
        <v>-1697</v>
      </c>
      <c r="D486" s="2650"/>
      <c r="E486" s="2657">
        <v>-755</v>
      </c>
      <c r="F486" s="2650">
        <v>-245169</v>
      </c>
      <c r="G486" s="2657">
        <v>-9497</v>
      </c>
      <c r="H486" s="2650">
        <v>-55447</v>
      </c>
      <c r="I486" s="2737">
        <f t="shared" si="75"/>
        <v>-312565</v>
      </c>
      <c r="J486" s="315"/>
      <c r="K486" s="416"/>
      <c r="L486" s="305"/>
      <c r="M486" s="305"/>
      <c r="N486" s="305"/>
      <c r="O486" s="305"/>
      <c r="P486" s="305"/>
      <c r="Q486" s="305"/>
      <c r="R486" s="305"/>
      <c r="W486" s="305"/>
      <c r="X486" s="305"/>
      <c r="Y486" s="305"/>
      <c r="Z486" s="305"/>
      <c r="AA486" s="305"/>
      <c r="AB486" s="305"/>
      <c r="AC486" s="305"/>
      <c r="AD486" s="305"/>
      <c r="AE486" s="305"/>
      <c r="AF486" s="305"/>
    </row>
    <row r="487" spans="1:32" s="52" customFormat="1" ht="14.25" customHeight="1">
      <c r="A487" s="285"/>
      <c r="B487" s="2616" t="s">
        <v>428</v>
      </c>
      <c r="C487" s="869">
        <v>714</v>
      </c>
      <c r="D487" s="870"/>
      <c r="E487" s="869"/>
      <c r="F487" s="870">
        <v>-59676</v>
      </c>
      <c r="G487" s="869"/>
      <c r="H487" s="870">
        <v>-22563</v>
      </c>
      <c r="I487" s="2737">
        <f t="shared" si="75"/>
        <v>-81525</v>
      </c>
      <c r="J487" s="315"/>
      <c r="K487" s="416"/>
      <c r="L487" s="305"/>
      <c r="M487" s="305"/>
      <c r="N487" s="305"/>
      <c r="O487" s="305"/>
      <c r="P487" s="305"/>
      <c r="Q487" s="305"/>
      <c r="R487" s="305"/>
      <c r="W487" s="305"/>
      <c r="X487" s="305"/>
      <c r="Y487" s="305"/>
      <c r="Z487" s="305"/>
      <c r="AA487" s="305"/>
      <c r="AB487" s="305"/>
      <c r="AC487" s="305"/>
      <c r="AD487" s="305"/>
      <c r="AE487" s="305"/>
      <c r="AF487" s="305"/>
    </row>
    <row r="488" spans="1:32" s="52" customFormat="1" ht="14.25" customHeight="1">
      <c r="A488" s="285"/>
      <c r="B488" s="2616" t="s">
        <v>429</v>
      </c>
      <c r="C488" s="869"/>
      <c r="D488" s="870"/>
      <c r="E488" s="869"/>
      <c r="F488" s="870"/>
      <c r="G488" s="889"/>
      <c r="H488" s="890"/>
      <c r="I488" s="2737">
        <f t="shared" si="75"/>
        <v>0</v>
      </c>
      <c r="J488" s="315"/>
      <c r="K488" s="416"/>
      <c r="L488" s="305"/>
      <c r="M488" s="305"/>
      <c r="N488" s="305"/>
      <c r="O488" s="305"/>
      <c r="P488" s="305"/>
      <c r="Q488" s="305"/>
      <c r="R488" s="305"/>
      <c r="W488" s="305"/>
      <c r="X488" s="305"/>
      <c r="Y488" s="305"/>
      <c r="Z488" s="305"/>
      <c r="AA488" s="305"/>
      <c r="AB488" s="305"/>
      <c r="AC488" s="305"/>
      <c r="AD488" s="305"/>
      <c r="AE488" s="305"/>
      <c r="AF488" s="305"/>
    </row>
    <row r="489" spans="1:32" s="52" customFormat="1" ht="14.25" customHeight="1">
      <c r="A489" s="285"/>
      <c r="B489" s="2618" t="s">
        <v>430</v>
      </c>
      <c r="C489" s="2739">
        <f t="shared" ref="C489:H489" si="79">C483+C486+C487+C488</f>
        <v>3088</v>
      </c>
      <c r="D489" s="2738">
        <f t="shared" si="79"/>
        <v>0</v>
      </c>
      <c r="E489" s="2739">
        <f>E483+E486+E487+E488</f>
        <v>23281</v>
      </c>
      <c r="F489" s="2738">
        <f t="shared" si="79"/>
        <v>471103</v>
      </c>
      <c r="G489" s="2739">
        <f t="shared" si="79"/>
        <v>16272</v>
      </c>
      <c r="H489" s="2738">
        <f t="shared" si="79"/>
        <v>-49314</v>
      </c>
      <c r="I489" s="2664">
        <f t="shared" si="75"/>
        <v>464430</v>
      </c>
      <c r="J489" s="278"/>
      <c r="K489" s="432"/>
      <c r="L489" s="305"/>
      <c r="M489" s="305"/>
      <c r="N489" s="305"/>
      <c r="O489" s="305"/>
      <c r="P489" s="305"/>
      <c r="Q489" s="305"/>
      <c r="R489" s="305"/>
      <c r="W489" s="305"/>
      <c r="X489" s="305"/>
      <c r="Y489" s="305"/>
      <c r="Z489" s="305"/>
      <c r="AA489" s="305"/>
      <c r="AB489" s="305"/>
      <c r="AC489" s="305"/>
      <c r="AD489" s="305"/>
      <c r="AE489" s="305"/>
      <c r="AF489" s="305"/>
    </row>
    <row r="490" spans="1:32" s="52" customFormat="1" ht="14.25" customHeight="1">
      <c r="A490" s="285"/>
      <c r="B490" s="2616"/>
      <c r="C490" s="2747"/>
      <c r="D490" s="2746"/>
      <c r="E490" s="2747"/>
      <c r="F490" s="2746"/>
      <c r="G490" s="2747"/>
      <c r="H490" s="2746"/>
      <c r="I490" s="2737"/>
      <c r="J490" s="278"/>
      <c r="K490" s="416"/>
      <c r="M490" s="305"/>
      <c r="W490" s="305"/>
      <c r="X490" s="305"/>
      <c r="Y490" s="305"/>
      <c r="Z490" s="305"/>
      <c r="AA490" s="305"/>
      <c r="AB490" s="305"/>
      <c r="AC490" s="305"/>
      <c r="AD490" s="305"/>
      <c r="AE490" s="305"/>
      <c r="AF490" s="305"/>
    </row>
    <row r="491" spans="1:32" s="52" customFormat="1" ht="14.25" customHeight="1">
      <c r="A491" s="285"/>
      <c r="B491" s="2618" t="s">
        <v>431</v>
      </c>
      <c r="C491" s="2747"/>
      <c r="D491" s="2746"/>
      <c r="E491" s="2747"/>
      <c r="F491" s="2746"/>
      <c r="G491" s="2747"/>
      <c r="H491" s="2746"/>
      <c r="I491" s="2664">
        <f>SUM(I492:I494)</f>
        <v>194059</v>
      </c>
      <c r="J491" s="278"/>
      <c r="K491" s="416"/>
      <c r="M491" s="305"/>
      <c r="W491" s="305"/>
      <c r="X491" s="305"/>
      <c r="Y491" s="305"/>
      <c r="Z491" s="305"/>
      <c r="AA491" s="305"/>
      <c r="AB491" s="305"/>
      <c r="AC491" s="305"/>
      <c r="AD491" s="305"/>
      <c r="AE491" s="305"/>
      <c r="AF491" s="305"/>
    </row>
    <row r="492" spans="1:32" s="52" customFormat="1" ht="14.25" customHeight="1">
      <c r="A492" s="285"/>
      <c r="B492" s="2616" t="s">
        <v>432</v>
      </c>
      <c r="C492" s="2747"/>
      <c r="D492" s="2746"/>
      <c r="E492" s="2747"/>
      <c r="F492" s="2746"/>
      <c r="G492" s="2747"/>
      <c r="H492" s="2746"/>
      <c r="I492" s="2760">
        <v>125026</v>
      </c>
      <c r="J492" s="278"/>
      <c r="K492" s="416"/>
      <c r="M492" s="305"/>
      <c r="W492" s="305"/>
      <c r="X492" s="305"/>
      <c r="Y492" s="305"/>
      <c r="Z492" s="305"/>
      <c r="AA492" s="305"/>
      <c r="AB492" s="305"/>
      <c r="AC492" s="305"/>
      <c r="AD492" s="305"/>
      <c r="AE492" s="305"/>
      <c r="AF492" s="305"/>
    </row>
    <row r="493" spans="1:32" s="52" customFormat="1" ht="14.25" customHeight="1">
      <c r="A493" s="285"/>
      <c r="B493" s="2616" t="s">
        <v>446</v>
      </c>
      <c r="C493" s="2747"/>
      <c r="D493" s="2746"/>
      <c r="E493" s="2747"/>
      <c r="F493" s="2746"/>
      <c r="G493" s="2747"/>
      <c r="H493" s="2746"/>
      <c r="I493" s="1813">
        <v>58205</v>
      </c>
      <c r="J493" s="278"/>
      <c r="K493" s="416"/>
      <c r="M493" s="305"/>
      <c r="W493" s="305"/>
      <c r="X493" s="305"/>
      <c r="Y493" s="305"/>
      <c r="Z493" s="305"/>
      <c r="AA493" s="305"/>
      <c r="AB493" s="305"/>
      <c r="AC493" s="305"/>
      <c r="AD493" s="305"/>
      <c r="AE493" s="305"/>
      <c r="AF493" s="305"/>
    </row>
    <row r="494" spans="1:32" s="52" customFormat="1" ht="14.25" customHeight="1">
      <c r="A494" s="285"/>
      <c r="B494" s="2616" t="s">
        <v>434</v>
      </c>
      <c r="C494" s="2747"/>
      <c r="D494" s="2746"/>
      <c r="E494" s="2747"/>
      <c r="F494" s="2746"/>
      <c r="G494" s="2747"/>
      <c r="H494" s="2746"/>
      <c r="I494" s="1813">
        <v>10828</v>
      </c>
      <c r="J494" s="278"/>
      <c r="K494" s="416"/>
      <c r="M494" s="305"/>
      <c r="W494" s="305"/>
      <c r="X494" s="305"/>
      <c r="Y494" s="305"/>
      <c r="Z494" s="305"/>
      <c r="AA494" s="305"/>
      <c r="AB494" s="305"/>
      <c r="AC494" s="305"/>
      <c r="AD494" s="305"/>
      <c r="AE494" s="305"/>
      <c r="AF494" s="305"/>
    </row>
    <row r="495" spans="1:32" s="52" customFormat="1" ht="14.25" customHeight="1">
      <c r="A495" s="285"/>
      <c r="B495" s="2616"/>
      <c r="C495" s="2747"/>
      <c r="D495" s="2746"/>
      <c r="E495" s="2747"/>
      <c r="F495" s="2746"/>
      <c r="G495" s="2747"/>
      <c r="H495" s="2746"/>
      <c r="I495" s="2737"/>
      <c r="J495" s="278"/>
      <c r="K495" s="416"/>
      <c r="M495" s="305"/>
      <c r="W495" s="305"/>
      <c r="X495" s="305"/>
      <c r="Y495" s="305"/>
      <c r="Z495" s="305"/>
      <c r="AA495" s="305"/>
      <c r="AB495" s="305"/>
      <c r="AC495" s="305"/>
      <c r="AD495" s="305"/>
      <c r="AE495" s="305"/>
      <c r="AF495" s="305"/>
    </row>
    <row r="496" spans="1:32" s="52" customFormat="1" ht="14.25" customHeight="1">
      <c r="A496" s="285"/>
      <c r="B496" s="2618" t="s">
        <v>435</v>
      </c>
      <c r="C496" s="2747"/>
      <c r="D496" s="2746"/>
      <c r="E496" s="2747"/>
      <c r="F496" s="2746"/>
      <c r="G496" s="2747"/>
      <c r="H496" s="2746"/>
      <c r="I496" s="2737">
        <f>I497+I498</f>
        <v>-504697</v>
      </c>
      <c r="J496" s="278"/>
      <c r="K496" s="416"/>
      <c r="M496" s="305"/>
      <c r="W496" s="305"/>
      <c r="X496" s="305"/>
      <c r="Y496" s="305"/>
      <c r="Z496" s="305"/>
      <c r="AA496" s="305"/>
      <c r="AB496" s="305"/>
      <c r="AC496" s="305"/>
      <c r="AD496" s="305"/>
      <c r="AE496" s="305"/>
      <c r="AF496" s="305"/>
    </row>
    <row r="497" spans="1:32" s="52" customFormat="1" ht="28.15" customHeight="1">
      <c r="A497" s="285"/>
      <c r="B497" s="2616" t="s">
        <v>436</v>
      </c>
      <c r="C497" s="2747"/>
      <c r="D497" s="2746"/>
      <c r="E497" s="2747"/>
      <c r="F497" s="2746"/>
      <c r="G497" s="2747"/>
      <c r="H497" s="2746"/>
      <c r="I497" s="2758">
        <v>-504697</v>
      </c>
      <c r="J497" s="278"/>
      <c r="K497" s="416"/>
      <c r="M497" s="305"/>
      <c r="W497" s="305"/>
      <c r="X497" s="305"/>
      <c r="Y497" s="305"/>
      <c r="Z497" s="305"/>
      <c r="AA497" s="305"/>
      <c r="AB497" s="305"/>
      <c r="AC497" s="305"/>
      <c r="AD497" s="305"/>
      <c r="AE497" s="305"/>
      <c r="AF497" s="305"/>
    </row>
    <row r="498" spans="1:32" s="52" customFormat="1" ht="28.15" customHeight="1">
      <c r="A498" s="285"/>
      <c r="B498" s="2616" t="s">
        <v>437</v>
      </c>
      <c r="C498" s="2747"/>
      <c r="D498" s="2746"/>
      <c r="E498" s="2747"/>
      <c r="F498" s="2746"/>
      <c r="G498" s="2747"/>
      <c r="H498" s="2746"/>
      <c r="I498" s="2737"/>
      <c r="J498" s="278"/>
      <c r="K498" s="416"/>
      <c r="M498" s="305"/>
      <c r="W498" s="305"/>
      <c r="X498" s="305"/>
      <c r="Y498" s="305"/>
      <c r="Z498" s="305"/>
      <c r="AA498" s="305"/>
      <c r="AB498" s="305"/>
      <c r="AC498" s="305"/>
      <c r="AD498" s="305"/>
      <c r="AE498" s="305"/>
      <c r="AF498" s="305"/>
    </row>
    <row r="499" spans="1:32" s="52" customFormat="1" ht="14.25" customHeight="1">
      <c r="A499" s="285"/>
      <c r="B499" s="2618" t="s">
        <v>438</v>
      </c>
      <c r="C499" s="2747"/>
      <c r="D499" s="2746"/>
      <c r="E499" s="2747"/>
      <c r="F499" s="2746"/>
      <c r="G499" s="2747"/>
      <c r="H499" s="2746"/>
      <c r="I499" s="2664">
        <f>+I489+I491+I497</f>
        <v>153792</v>
      </c>
      <c r="J499" s="278"/>
      <c r="K499" s="416"/>
      <c r="M499" s="305"/>
      <c r="W499" s="305"/>
      <c r="X499" s="305"/>
      <c r="Y499" s="305"/>
      <c r="Z499" s="305"/>
      <c r="AA499" s="305"/>
      <c r="AB499" s="305"/>
      <c r="AC499" s="305"/>
      <c r="AD499" s="305"/>
      <c r="AE499" s="305"/>
      <c r="AF499" s="305"/>
    </row>
    <row r="500" spans="1:32" s="52" customFormat="1" ht="14.25" customHeight="1">
      <c r="A500" s="285"/>
      <c r="B500" s="2616" t="s">
        <v>439</v>
      </c>
      <c r="C500" s="2747"/>
      <c r="D500" s="2746"/>
      <c r="E500" s="2747"/>
      <c r="F500" s="2746"/>
      <c r="G500" s="2747"/>
      <c r="H500" s="2746"/>
      <c r="I500" s="2758">
        <v>-17688</v>
      </c>
      <c r="J500" s="278"/>
      <c r="K500" s="416"/>
      <c r="M500" s="305"/>
      <c r="W500" s="305"/>
      <c r="X500" s="305"/>
      <c r="Y500" s="305"/>
      <c r="Z500" s="305"/>
      <c r="AA500" s="305"/>
      <c r="AB500" s="305"/>
      <c r="AC500" s="305"/>
      <c r="AD500" s="305"/>
      <c r="AE500" s="305"/>
      <c r="AF500" s="305"/>
    </row>
    <row r="501" spans="1:32" s="52" customFormat="1" ht="14.25" customHeight="1">
      <c r="A501" s="285"/>
      <c r="B501" s="2618" t="s">
        <v>440</v>
      </c>
      <c r="C501" s="2747"/>
      <c r="D501" s="2746"/>
      <c r="E501" s="2747"/>
      <c r="F501" s="2746"/>
      <c r="G501" s="2747"/>
      <c r="H501" s="2746"/>
      <c r="I501" s="2664">
        <f>SUM(I499:I500)</f>
        <v>136104</v>
      </c>
      <c r="J501" s="278"/>
      <c r="K501" s="416"/>
      <c r="M501" s="305"/>
      <c r="W501" s="305"/>
      <c r="X501" s="305"/>
      <c r="Y501" s="305"/>
      <c r="Z501" s="305"/>
      <c r="AA501" s="305"/>
      <c r="AB501" s="305"/>
      <c r="AC501" s="305"/>
      <c r="AD501" s="305"/>
      <c r="AE501" s="305"/>
      <c r="AF501" s="305"/>
    </row>
    <row r="502" spans="1:32" s="52" customFormat="1" ht="14.25" customHeight="1">
      <c r="A502" s="285"/>
      <c r="B502" s="2616" t="s">
        <v>441</v>
      </c>
      <c r="C502" s="2747"/>
      <c r="D502" s="2746"/>
      <c r="E502" s="2747"/>
      <c r="F502" s="2746"/>
      <c r="G502" s="2747"/>
      <c r="H502" s="2746"/>
      <c r="I502" s="2758">
        <v>-44492</v>
      </c>
      <c r="J502" s="278"/>
      <c r="K502" s="416"/>
      <c r="M502" s="305"/>
      <c r="W502" s="305"/>
      <c r="X502" s="305"/>
      <c r="Y502" s="305"/>
      <c r="Z502" s="305"/>
      <c r="AA502" s="305"/>
      <c r="AB502" s="305"/>
      <c r="AC502" s="305"/>
      <c r="AD502" s="305"/>
      <c r="AE502" s="305"/>
      <c r="AF502" s="305"/>
    </row>
    <row r="503" spans="1:32" s="52" customFormat="1" ht="14.25" customHeight="1" thickBot="1">
      <c r="A503" s="285"/>
      <c r="B503" s="1787" t="s">
        <v>442</v>
      </c>
      <c r="C503" s="888"/>
      <c r="D503" s="1318"/>
      <c r="E503" s="888"/>
      <c r="F503" s="1318"/>
      <c r="G503" s="888"/>
      <c r="H503" s="1318"/>
      <c r="I503" s="1779">
        <f>SUM(I501:I502)</f>
        <v>91612</v>
      </c>
      <c r="J503" s="278"/>
      <c r="K503" s="416"/>
      <c r="M503" s="305"/>
      <c r="W503" s="305"/>
      <c r="X503" s="305"/>
      <c r="Y503" s="305"/>
      <c r="Z503" s="305"/>
      <c r="AA503" s="305"/>
      <c r="AB503" s="305"/>
      <c r="AC503" s="305"/>
      <c r="AD503" s="305"/>
      <c r="AE503" s="305"/>
      <c r="AF503" s="305"/>
    </row>
    <row r="504" spans="1:32" s="52" customFormat="1" ht="14.25" customHeight="1">
      <c r="A504" s="285"/>
      <c r="B504" s="455"/>
      <c r="C504" s="414"/>
      <c r="D504" s="414"/>
      <c r="E504" s="414"/>
      <c r="F504" s="414"/>
      <c r="G504" s="414"/>
      <c r="H504" s="414"/>
      <c r="I504" s="278"/>
      <c r="J504" s="278"/>
      <c r="K504" s="416"/>
      <c r="M504" s="305"/>
      <c r="W504" s="305"/>
      <c r="X504" s="305"/>
      <c r="Y504" s="305"/>
      <c r="Z504" s="305"/>
      <c r="AA504" s="305"/>
      <c r="AB504" s="305"/>
      <c r="AC504" s="305"/>
      <c r="AD504" s="305"/>
      <c r="AE504" s="305"/>
      <c r="AF504" s="305"/>
    </row>
    <row r="505" spans="1:32" s="52" customFormat="1" ht="14.25" customHeight="1">
      <c r="A505" s="285"/>
      <c r="B505" s="455"/>
      <c r="C505" s="414"/>
      <c r="D505" s="414"/>
      <c r="E505" s="414"/>
      <c r="F505" s="414"/>
      <c r="G505" s="414"/>
      <c r="H505" s="414"/>
      <c r="I505" s="278"/>
      <c r="J505" s="278"/>
      <c r="K505" s="394">
        <v>139</v>
      </c>
      <c r="M505" s="305"/>
      <c r="W505" s="305"/>
      <c r="X505" s="305"/>
      <c r="Y505" s="305"/>
      <c r="Z505" s="305"/>
      <c r="AA505" s="305"/>
      <c r="AB505" s="305"/>
      <c r="AC505" s="305"/>
      <c r="AD505" s="305"/>
      <c r="AE505" s="305"/>
      <c r="AF505" s="305"/>
    </row>
    <row r="506" spans="1:32" s="52" customFormat="1" ht="14.25" customHeight="1">
      <c r="A506" s="285"/>
      <c r="B506" s="391"/>
      <c r="C506" s="264"/>
      <c r="D506" s="264"/>
      <c r="E506" s="264"/>
      <c r="F506" s="264"/>
      <c r="G506" s="264"/>
      <c r="H506" s="264"/>
      <c r="I506" s="278"/>
      <c r="J506" s="278"/>
      <c r="K506" s="416"/>
      <c r="M506" s="305"/>
      <c r="W506" s="305"/>
      <c r="X506" s="305"/>
      <c r="Y506" s="305"/>
      <c r="Z506" s="305"/>
      <c r="AA506" s="305"/>
      <c r="AB506" s="305"/>
      <c r="AC506" s="305"/>
      <c r="AD506" s="305"/>
      <c r="AE506" s="305"/>
      <c r="AF506" s="305"/>
    </row>
    <row r="507" spans="1:32" s="52" customFormat="1" ht="14.25" customHeight="1">
      <c r="A507" s="285"/>
      <c r="B507" s="236" t="s">
        <v>451</v>
      </c>
      <c r="C507" s="279"/>
      <c r="D507" s="279"/>
      <c r="E507" s="264"/>
      <c r="F507" s="264"/>
      <c r="G507" s="264"/>
      <c r="H507" s="264"/>
      <c r="I507" s="278"/>
      <c r="J507" s="278"/>
      <c r="K507" s="416"/>
      <c r="M507" s="305"/>
      <c r="W507" s="305"/>
      <c r="X507" s="305"/>
      <c r="Y507" s="305"/>
      <c r="Z507" s="305"/>
      <c r="AA507" s="305"/>
      <c r="AB507" s="305"/>
      <c r="AC507" s="305"/>
      <c r="AD507" s="305"/>
      <c r="AE507" s="305"/>
      <c r="AF507" s="305"/>
    </row>
    <row r="508" spans="1:32" s="52" customFormat="1" ht="14.25" customHeight="1" thickBot="1">
      <c r="A508" s="285"/>
      <c r="B508" s="51"/>
      <c r="C508" s="529"/>
      <c r="D508" s="529"/>
      <c r="E508" s="264"/>
      <c r="F508" s="264"/>
      <c r="G508" s="264"/>
      <c r="H508" s="264"/>
      <c r="I508" s="278"/>
      <c r="J508" s="278"/>
      <c r="K508" s="416"/>
      <c r="M508" s="305"/>
      <c r="W508" s="305"/>
      <c r="X508" s="305"/>
      <c r="Y508" s="305"/>
      <c r="Z508" s="305"/>
      <c r="AA508" s="305"/>
      <c r="AB508" s="305"/>
      <c r="AC508" s="305"/>
      <c r="AD508" s="305"/>
      <c r="AE508" s="305"/>
      <c r="AF508" s="305"/>
    </row>
    <row r="509" spans="1:32" ht="14.25" customHeight="1">
      <c r="B509" s="1765" t="s">
        <v>115</v>
      </c>
      <c r="C509" s="515"/>
      <c r="D509" s="515"/>
      <c r="E509" s="515"/>
      <c r="F509" s="515"/>
      <c r="G509" s="3668" t="s">
        <v>232</v>
      </c>
      <c r="H509" s="3668"/>
      <c r="I509" s="3668"/>
      <c r="J509" s="385"/>
      <c r="M509" s="305"/>
      <c r="W509" s="305"/>
      <c r="X509" s="305"/>
      <c r="Y509" s="305"/>
      <c r="Z509" s="305"/>
      <c r="AA509" s="305"/>
      <c r="AB509" s="305"/>
      <c r="AC509" s="305"/>
      <c r="AD509" s="305"/>
      <c r="AE509" s="305"/>
      <c r="AF509" s="305"/>
    </row>
    <row r="510" spans="1:32" s="52" customFormat="1" ht="14.25" customHeight="1">
      <c r="A510" s="278"/>
      <c r="B510" s="3663"/>
      <c r="C510" s="3575">
        <v>2020</v>
      </c>
      <c r="D510" s="3576"/>
      <c r="E510" s="3576"/>
      <c r="F510" s="3576"/>
      <c r="G510" s="3576"/>
      <c r="H510" s="3576"/>
      <c r="I510" s="3577"/>
      <c r="J510" s="315"/>
      <c r="K510" s="416"/>
      <c r="M510" s="305"/>
      <c r="W510" s="305"/>
      <c r="X510" s="305"/>
      <c r="Y510" s="305"/>
      <c r="Z510" s="305"/>
      <c r="AA510" s="305"/>
      <c r="AB510" s="305"/>
      <c r="AC510" s="305"/>
      <c r="AD510" s="305"/>
      <c r="AE510" s="305"/>
      <c r="AF510" s="305"/>
    </row>
    <row r="511" spans="1:32" s="52" customFormat="1" ht="14.25" customHeight="1">
      <c r="A511" s="394"/>
      <c r="B511" s="3664"/>
      <c r="C511" s="3666" t="s">
        <v>412</v>
      </c>
      <c r="D511" s="3666" t="s">
        <v>413</v>
      </c>
      <c r="E511" s="3671" t="s">
        <v>414</v>
      </c>
      <c r="F511" s="3672"/>
      <c r="G511" s="3666" t="s">
        <v>415</v>
      </c>
      <c r="H511" s="3666" t="s">
        <v>416</v>
      </c>
      <c r="I511" s="3666" t="s">
        <v>118</v>
      </c>
      <c r="J511" s="278"/>
      <c r="K511" s="3669"/>
      <c r="M511" s="305"/>
      <c r="W511" s="305"/>
      <c r="X511" s="305"/>
      <c r="Y511" s="305"/>
      <c r="Z511" s="305"/>
      <c r="AA511" s="305"/>
      <c r="AB511" s="305"/>
      <c r="AC511" s="305"/>
      <c r="AD511" s="305"/>
      <c r="AE511" s="305"/>
      <c r="AF511" s="305"/>
    </row>
    <row r="512" spans="1:32" s="52" customFormat="1" ht="14.25" customHeight="1" thickBot="1">
      <c r="A512" s="394"/>
      <c r="B512" s="3665"/>
      <c r="C512" s="3670"/>
      <c r="D512" s="3670"/>
      <c r="E512" s="1793" t="s">
        <v>418</v>
      </c>
      <c r="F512" s="1793" t="s">
        <v>419</v>
      </c>
      <c r="G512" s="3670"/>
      <c r="H512" s="3670"/>
      <c r="I512" s="3670"/>
      <c r="J512" s="278"/>
      <c r="K512" s="3669"/>
      <c r="M512" s="305"/>
      <c r="W512" s="305"/>
      <c r="X512" s="305"/>
      <c r="Y512" s="305"/>
      <c r="Z512" s="305"/>
      <c r="AA512" s="305"/>
      <c r="AB512" s="305"/>
      <c r="AC512" s="305"/>
      <c r="AD512" s="305"/>
      <c r="AE512" s="305"/>
      <c r="AF512" s="305"/>
    </row>
    <row r="513" spans="1:32" s="52" customFormat="1" ht="14.25" customHeight="1">
      <c r="A513" s="285"/>
      <c r="B513" s="1805" t="s">
        <v>333</v>
      </c>
      <c r="C513" s="2650">
        <v>1930600</v>
      </c>
      <c r="D513" s="868">
        <v>422332</v>
      </c>
      <c r="E513" s="2650">
        <v>981675</v>
      </c>
      <c r="F513" s="868">
        <v>10823836</v>
      </c>
      <c r="G513" s="2650">
        <v>4584377</v>
      </c>
      <c r="H513" s="868">
        <v>1420476</v>
      </c>
      <c r="I513" s="1807">
        <f t="shared" ref="I513:I524" si="80">H513+G513+F513+E513+D513+C513</f>
        <v>20163296</v>
      </c>
      <c r="J513" s="278"/>
      <c r="K513" s="429"/>
      <c r="L513" s="305"/>
      <c r="M513" s="305"/>
      <c r="N513" s="305"/>
      <c r="O513" s="305"/>
      <c r="P513" s="305"/>
      <c r="Q513" s="305"/>
      <c r="R513" s="305"/>
      <c r="W513" s="305"/>
      <c r="X513" s="305"/>
      <c r="Y513" s="305"/>
      <c r="Z513" s="305"/>
      <c r="AA513" s="305"/>
      <c r="AB513" s="305"/>
      <c r="AC513" s="305"/>
      <c r="AD513" s="305"/>
      <c r="AE513" s="305"/>
      <c r="AF513" s="305"/>
    </row>
    <row r="514" spans="1:32" s="52" customFormat="1" ht="14.25" customHeight="1">
      <c r="A514" s="285"/>
      <c r="B514" s="2651" t="s">
        <v>420</v>
      </c>
      <c r="C514" s="870"/>
      <c r="D514" s="869"/>
      <c r="E514" s="870"/>
      <c r="F514" s="869"/>
      <c r="G514" s="870"/>
      <c r="H514" s="869"/>
      <c r="I514" s="2737">
        <f t="shared" si="80"/>
        <v>0</v>
      </c>
      <c r="J514" s="278"/>
      <c r="K514" s="429"/>
      <c r="L514" s="305"/>
      <c r="M514" s="305"/>
      <c r="N514" s="305"/>
      <c r="O514" s="305"/>
      <c r="P514" s="305"/>
      <c r="Q514" s="305"/>
      <c r="R514" s="305"/>
      <c r="W514" s="305"/>
      <c r="X514" s="305"/>
      <c r="Y514" s="305"/>
      <c r="Z514" s="305"/>
      <c r="AA514" s="305"/>
      <c r="AB514" s="305"/>
      <c r="AC514" s="305"/>
      <c r="AD514" s="305"/>
      <c r="AE514" s="305"/>
      <c r="AF514" s="305"/>
    </row>
    <row r="515" spans="1:32" s="52" customFormat="1" ht="14.25" customHeight="1">
      <c r="A515" s="285"/>
      <c r="B515" s="2651" t="s">
        <v>421</v>
      </c>
      <c r="C515" s="870">
        <v>-513026</v>
      </c>
      <c r="D515" s="869">
        <v>-5036</v>
      </c>
      <c r="E515" s="870"/>
      <c r="F515" s="869">
        <v>-218518</v>
      </c>
      <c r="G515" s="870"/>
      <c r="H515" s="869">
        <v>-55821</v>
      </c>
      <c r="I515" s="2737">
        <f t="shared" si="80"/>
        <v>-792401</v>
      </c>
      <c r="J515" s="278"/>
      <c r="K515" s="429"/>
      <c r="L515" s="305"/>
      <c r="M515" s="305"/>
      <c r="N515" s="305"/>
      <c r="O515" s="305"/>
      <c r="P515" s="305"/>
      <c r="Q515" s="305"/>
      <c r="R515" s="305"/>
      <c r="W515" s="305"/>
      <c r="X515" s="305"/>
      <c r="Y515" s="305"/>
      <c r="Z515" s="305"/>
      <c r="AA515" s="305"/>
      <c r="AB515" s="305"/>
      <c r="AC515" s="305"/>
      <c r="AD515" s="305"/>
      <c r="AE515" s="305"/>
      <c r="AF515" s="305"/>
    </row>
    <row r="516" spans="1:32" s="52" customFormat="1" ht="14.25" customHeight="1">
      <c r="A516" s="285"/>
      <c r="B516" s="2651" t="s">
        <v>422</v>
      </c>
      <c r="C516" s="870">
        <v>-1198730</v>
      </c>
      <c r="D516" s="869">
        <v>-310840</v>
      </c>
      <c r="E516" s="870">
        <v>-4867</v>
      </c>
      <c r="F516" s="869">
        <v>-107736</v>
      </c>
      <c r="G516" s="870"/>
      <c r="H516" s="869">
        <v>-719155</v>
      </c>
      <c r="I516" s="2737">
        <f t="shared" si="80"/>
        <v>-2341328</v>
      </c>
      <c r="J516" s="278"/>
      <c r="K516" s="416"/>
      <c r="L516" s="305"/>
      <c r="M516" s="305"/>
      <c r="N516" s="305"/>
      <c r="O516" s="305"/>
      <c r="P516" s="305"/>
      <c r="Q516" s="305"/>
      <c r="R516" s="305"/>
      <c r="W516" s="305"/>
      <c r="X516" s="305"/>
      <c r="Y516" s="305"/>
      <c r="Z516" s="305"/>
      <c r="AA516" s="305"/>
      <c r="AB516" s="305"/>
      <c r="AC516" s="305"/>
      <c r="AD516" s="305"/>
      <c r="AE516" s="305"/>
      <c r="AF516" s="305"/>
    </row>
    <row r="517" spans="1:32" s="52" customFormat="1" ht="14.25" customHeight="1">
      <c r="A517" s="285"/>
      <c r="B517" s="2653" t="s">
        <v>423</v>
      </c>
      <c r="C517" s="2738">
        <f t="shared" ref="C517:H517" si="81">C513+C514+C515+C516</f>
        <v>218844</v>
      </c>
      <c r="D517" s="2739">
        <f t="shared" si="81"/>
        <v>106456</v>
      </c>
      <c r="E517" s="2738">
        <f t="shared" si="81"/>
        <v>976808</v>
      </c>
      <c r="F517" s="2739">
        <f t="shared" si="81"/>
        <v>10497582</v>
      </c>
      <c r="G517" s="2738">
        <f t="shared" si="81"/>
        <v>4584377</v>
      </c>
      <c r="H517" s="2739">
        <f t="shared" si="81"/>
        <v>645500</v>
      </c>
      <c r="I517" s="2664">
        <f t="shared" si="80"/>
        <v>17029567</v>
      </c>
      <c r="J517" s="278"/>
      <c r="K517" s="416"/>
      <c r="L517" s="305"/>
      <c r="M517" s="305"/>
      <c r="N517" s="305"/>
      <c r="O517" s="305"/>
      <c r="P517" s="305"/>
      <c r="Q517" s="305"/>
      <c r="R517" s="305"/>
      <c r="W517" s="305"/>
      <c r="X517" s="305"/>
      <c r="Y517" s="305"/>
      <c r="Z517" s="305"/>
      <c r="AA517" s="305"/>
      <c r="AB517" s="305"/>
      <c r="AC517" s="305"/>
      <c r="AD517" s="305"/>
      <c r="AE517" s="305"/>
      <c r="AF517" s="305"/>
    </row>
    <row r="518" spans="1:32" s="52" customFormat="1" ht="14.25" customHeight="1">
      <c r="A518" s="285"/>
      <c r="B518" s="2651" t="s">
        <v>424</v>
      </c>
      <c r="C518" s="2650">
        <v>-82505</v>
      </c>
      <c r="D518" s="2657">
        <v>1934</v>
      </c>
      <c r="E518" s="2650">
        <v>21471</v>
      </c>
      <c r="F518" s="2657">
        <v>527318</v>
      </c>
      <c r="G518" s="2650">
        <v>-2341145</v>
      </c>
      <c r="H518" s="2657">
        <v>205394</v>
      </c>
      <c r="I518" s="2737">
        <f t="shared" si="80"/>
        <v>-1667533</v>
      </c>
      <c r="J518" s="278"/>
      <c r="K518" s="416"/>
      <c r="L518" s="305"/>
      <c r="M518" s="305"/>
      <c r="N518" s="305"/>
      <c r="O518" s="305"/>
      <c r="P518" s="305"/>
      <c r="Q518" s="305"/>
      <c r="R518" s="305"/>
      <c r="W518" s="305"/>
      <c r="X518" s="305"/>
      <c r="Y518" s="305"/>
      <c r="Z518" s="305"/>
      <c r="AA518" s="305"/>
      <c r="AB518" s="305"/>
      <c r="AC518" s="305"/>
      <c r="AD518" s="305"/>
      <c r="AE518" s="305"/>
      <c r="AF518" s="305"/>
    </row>
    <row r="519" spans="1:32" s="52" customFormat="1" ht="14.25" customHeight="1">
      <c r="A519" s="285"/>
      <c r="B519" s="2653" t="s">
        <v>425</v>
      </c>
      <c r="C519" s="2738">
        <f t="shared" ref="C519:H519" si="82">C517+C518</f>
        <v>136339</v>
      </c>
      <c r="D519" s="2739">
        <f t="shared" si="82"/>
        <v>108390</v>
      </c>
      <c r="E519" s="2738">
        <f t="shared" si="82"/>
        <v>998279</v>
      </c>
      <c r="F519" s="2739">
        <f t="shared" si="82"/>
        <v>11024900</v>
      </c>
      <c r="G519" s="2738">
        <f t="shared" si="82"/>
        <v>2243232</v>
      </c>
      <c r="H519" s="2739">
        <f t="shared" si="82"/>
        <v>850894</v>
      </c>
      <c r="I519" s="2664">
        <f t="shared" si="80"/>
        <v>15362034</v>
      </c>
      <c r="J519" s="278"/>
      <c r="K519" s="416"/>
      <c r="L519" s="305"/>
      <c r="M519" s="305"/>
      <c r="N519" s="305"/>
      <c r="O519" s="305"/>
      <c r="P519" s="305"/>
      <c r="Q519" s="305"/>
      <c r="R519" s="305"/>
      <c r="W519" s="305"/>
      <c r="X519" s="305"/>
      <c r="Y519" s="305"/>
      <c r="Z519" s="305"/>
      <c r="AA519" s="305"/>
      <c r="AB519" s="305"/>
      <c r="AC519" s="305"/>
      <c r="AD519" s="305"/>
      <c r="AE519" s="305"/>
      <c r="AF519" s="305"/>
    </row>
    <row r="520" spans="1:32" s="52" customFormat="1" ht="14.25" customHeight="1">
      <c r="A520" s="285"/>
      <c r="B520" s="2651"/>
      <c r="C520" s="2742"/>
      <c r="D520" s="2743"/>
      <c r="E520" s="2742"/>
      <c r="F520" s="2743"/>
      <c r="G520" s="2742"/>
      <c r="H520" s="2743"/>
      <c r="I520" s="2737">
        <f t="shared" si="80"/>
        <v>0</v>
      </c>
      <c r="J520" s="278"/>
      <c r="K520" s="416"/>
      <c r="L520" s="305"/>
      <c r="M520" s="305"/>
      <c r="N520" s="305"/>
      <c r="O520" s="305"/>
      <c r="P520" s="305"/>
      <c r="Q520" s="305"/>
      <c r="R520" s="305"/>
      <c r="W520" s="305"/>
      <c r="X520" s="305"/>
      <c r="Y520" s="305"/>
      <c r="Z520" s="305"/>
      <c r="AA520" s="305"/>
      <c r="AB520" s="305"/>
      <c r="AC520" s="305"/>
      <c r="AD520" s="305"/>
      <c r="AE520" s="305"/>
      <c r="AF520" s="305"/>
    </row>
    <row r="521" spans="1:32" s="52" customFormat="1" ht="14.25" customHeight="1">
      <c r="A521" s="285"/>
      <c r="B521" s="2653" t="s">
        <v>426</v>
      </c>
      <c r="C521" s="2742">
        <f>SUM(C522:C524)</f>
        <v>-476113</v>
      </c>
      <c r="D521" s="2743">
        <f t="shared" ref="D521:H521" si="83">SUM(D522:D524)</f>
        <v>-152642</v>
      </c>
      <c r="E521" s="2742">
        <f t="shared" si="83"/>
        <v>-1333034</v>
      </c>
      <c r="F521" s="2743">
        <f t="shared" si="83"/>
        <v>-7841352</v>
      </c>
      <c r="G521" s="2742">
        <f t="shared" si="83"/>
        <v>-2672688</v>
      </c>
      <c r="H521" s="2743">
        <f t="shared" si="83"/>
        <v>-1016664</v>
      </c>
      <c r="I521" s="2737">
        <f t="shared" si="80"/>
        <v>-13492493</v>
      </c>
      <c r="J521" s="278"/>
      <c r="K521" s="416"/>
      <c r="L521" s="305"/>
      <c r="M521" s="305"/>
      <c r="N521" s="305"/>
      <c r="O521" s="305"/>
      <c r="P521" s="305"/>
      <c r="Q521" s="305"/>
      <c r="R521" s="305"/>
      <c r="W521" s="305"/>
      <c r="X521" s="305"/>
      <c r="Y521" s="305"/>
      <c r="Z521" s="305"/>
      <c r="AA521" s="305"/>
      <c r="AB521" s="305"/>
      <c r="AC521" s="305"/>
      <c r="AD521" s="305"/>
      <c r="AE521" s="305"/>
      <c r="AF521" s="305"/>
    </row>
    <row r="522" spans="1:32" s="52" customFormat="1" ht="28.15" customHeight="1">
      <c r="A522" s="285"/>
      <c r="B522" s="2651" t="s">
        <v>427</v>
      </c>
      <c r="C522" s="2650">
        <v>-90062</v>
      </c>
      <c r="D522" s="2657">
        <v>-44845</v>
      </c>
      <c r="E522" s="2650">
        <v>-627725</v>
      </c>
      <c r="F522" s="2657">
        <v>-4504938</v>
      </c>
      <c r="G522" s="2650">
        <v>-1946352</v>
      </c>
      <c r="H522" s="2657">
        <v>-572298</v>
      </c>
      <c r="I522" s="2737">
        <f t="shared" si="80"/>
        <v>-7786220</v>
      </c>
      <c r="J522" s="278"/>
      <c r="K522" s="416"/>
      <c r="L522" s="305"/>
      <c r="M522" s="305"/>
      <c r="N522" s="305"/>
      <c r="O522" s="305"/>
      <c r="P522" s="305"/>
      <c r="Q522" s="305"/>
      <c r="R522" s="305"/>
      <c r="W522" s="305"/>
      <c r="X522" s="305"/>
      <c r="Y522" s="305"/>
      <c r="Z522" s="305"/>
      <c r="AA522" s="305"/>
      <c r="AB522" s="305"/>
      <c r="AC522" s="305"/>
      <c r="AD522" s="305"/>
      <c r="AE522" s="305"/>
      <c r="AF522" s="305"/>
    </row>
    <row r="523" spans="1:32" s="52" customFormat="1" ht="14.25" customHeight="1">
      <c r="A523" s="285"/>
      <c r="B523" s="2651" t="s">
        <v>428</v>
      </c>
      <c r="C523" s="870">
        <v>175090</v>
      </c>
      <c r="D523" s="869">
        <v>16078</v>
      </c>
      <c r="E523" s="870">
        <v>-38063</v>
      </c>
      <c r="F523" s="869">
        <v>-887676</v>
      </c>
      <c r="G523" s="870">
        <v>-103941</v>
      </c>
      <c r="H523" s="869">
        <v>-26317</v>
      </c>
      <c r="I523" s="2737">
        <f t="shared" si="80"/>
        <v>-864829</v>
      </c>
      <c r="J523" s="278"/>
      <c r="K523" s="416"/>
      <c r="L523" s="305"/>
      <c r="M523" s="305"/>
      <c r="N523" s="305"/>
      <c r="O523" s="305"/>
      <c r="P523" s="305"/>
      <c r="Q523" s="305"/>
      <c r="R523" s="305"/>
      <c r="W523" s="305"/>
      <c r="X523" s="305"/>
      <c r="Y523" s="305"/>
      <c r="Z523" s="305"/>
      <c r="AA523" s="305"/>
      <c r="AB523" s="305"/>
      <c r="AC523" s="305"/>
      <c r="AD523" s="305"/>
      <c r="AE523" s="305"/>
      <c r="AF523" s="305"/>
    </row>
    <row r="524" spans="1:32" s="52" customFormat="1" ht="14.25" customHeight="1">
      <c r="A524" s="285"/>
      <c r="B524" s="2651" t="s">
        <v>429</v>
      </c>
      <c r="C524" s="870">
        <v>-561141</v>
      </c>
      <c r="D524" s="869">
        <v>-123875</v>
      </c>
      <c r="E524" s="870">
        <v>-667246</v>
      </c>
      <c r="F524" s="869">
        <v>-2448738</v>
      </c>
      <c r="G524" s="870">
        <v>-622395</v>
      </c>
      <c r="H524" s="869">
        <v>-418049</v>
      </c>
      <c r="I524" s="2737">
        <f t="shared" si="80"/>
        <v>-4841444</v>
      </c>
      <c r="J524" s="278"/>
      <c r="K524" s="416"/>
      <c r="L524" s="305"/>
      <c r="M524" s="305"/>
      <c r="N524" s="305"/>
      <c r="O524" s="305"/>
      <c r="P524" s="305"/>
      <c r="Q524" s="305"/>
      <c r="R524" s="305"/>
      <c r="W524" s="305"/>
      <c r="X524" s="305"/>
      <c r="Y524" s="305"/>
      <c r="Z524" s="305"/>
      <c r="AA524" s="305"/>
      <c r="AB524" s="305"/>
      <c r="AC524" s="305"/>
      <c r="AD524" s="305"/>
      <c r="AE524" s="305"/>
      <c r="AF524" s="305"/>
    </row>
    <row r="525" spans="1:32" s="52" customFormat="1" ht="14.25" customHeight="1">
      <c r="A525" s="285"/>
      <c r="B525" s="2653" t="s">
        <v>430</v>
      </c>
      <c r="C525" s="2738">
        <f t="shared" ref="C525:H525" si="84">C519+C522+C523+C524</f>
        <v>-339774</v>
      </c>
      <c r="D525" s="2739">
        <f t="shared" si="84"/>
        <v>-44252</v>
      </c>
      <c r="E525" s="2738">
        <f t="shared" si="84"/>
        <v>-334755</v>
      </c>
      <c r="F525" s="2739">
        <f>F519+F522+F523+F524</f>
        <v>3183548</v>
      </c>
      <c r="G525" s="2738">
        <f t="shared" si="84"/>
        <v>-429456</v>
      </c>
      <c r="H525" s="2739">
        <f t="shared" si="84"/>
        <v>-165770</v>
      </c>
      <c r="I525" s="2664">
        <f>H525+G525+F525+E525+D525+C525+3</f>
        <v>1869544</v>
      </c>
      <c r="J525" s="278"/>
      <c r="K525" s="432"/>
      <c r="L525" s="305"/>
      <c r="M525" s="305"/>
      <c r="N525" s="305"/>
      <c r="O525" s="305"/>
      <c r="P525" s="305"/>
      <c r="Q525" s="305"/>
      <c r="R525" s="305"/>
      <c r="W525" s="305"/>
      <c r="X525" s="305"/>
      <c r="Y525" s="305"/>
      <c r="Z525" s="305"/>
      <c r="AA525" s="305"/>
      <c r="AB525" s="305"/>
      <c r="AC525" s="305"/>
      <c r="AD525" s="305"/>
      <c r="AE525" s="305"/>
      <c r="AF525" s="305"/>
    </row>
    <row r="526" spans="1:32" s="52" customFormat="1" ht="14.25" customHeight="1">
      <c r="A526" s="285"/>
      <c r="B526" s="2651"/>
      <c r="C526" s="2746"/>
      <c r="D526" s="2747"/>
      <c r="E526" s="2746"/>
      <c r="F526" s="2747"/>
      <c r="G526" s="2746"/>
      <c r="H526" s="2747"/>
      <c r="I526" s="2737"/>
      <c r="J526" s="278"/>
      <c r="K526" s="416"/>
      <c r="M526" s="305"/>
      <c r="W526" s="305"/>
      <c r="X526" s="305"/>
      <c r="Y526" s="305"/>
      <c r="Z526" s="305"/>
      <c r="AA526" s="305"/>
      <c r="AB526" s="305"/>
      <c r="AC526" s="305"/>
      <c r="AD526" s="305"/>
      <c r="AE526" s="305"/>
      <c r="AF526" s="305"/>
    </row>
    <row r="527" spans="1:32" s="52" customFormat="1" ht="14.25" customHeight="1">
      <c r="A527" s="285"/>
      <c r="B527" s="2653" t="s">
        <v>431</v>
      </c>
      <c r="C527" s="2746"/>
      <c r="D527" s="2747"/>
      <c r="E527" s="2746"/>
      <c r="F527" s="2747"/>
      <c r="G527" s="2746"/>
      <c r="H527" s="2747"/>
      <c r="I527" s="2664">
        <f>SUM(I528:I530)</f>
        <v>3159231</v>
      </c>
      <c r="J527" s="278"/>
      <c r="K527" s="416"/>
      <c r="M527" s="305"/>
      <c r="W527" s="305"/>
      <c r="X527" s="305"/>
      <c r="Y527" s="305"/>
      <c r="Z527" s="305"/>
      <c r="AA527" s="305"/>
      <c r="AB527" s="305"/>
      <c r="AC527" s="305"/>
      <c r="AD527" s="305"/>
      <c r="AE527" s="305"/>
      <c r="AF527" s="305"/>
    </row>
    <row r="528" spans="1:32" s="52" customFormat="1" ht="14.25" customHeight="1">
      <c r="A528" s="285"/>
      <c r="B528" s="2651" t="s">
        <v>432</v>
      </c>
      <c r="C528" s="2746"/>
      <c r="D528" s="2747"/>
      <c r="E528" s="2746"/>
      <c r="F528" s="2747"/>
      <c r="G528" s="2746"/>
      <c r="H528" s="2747"/>
      <c r="I528" s="2737"/>
      <c r="J528" s="278"/>
      <c r="K528" s="416"/>
      <c r="M528" s="305"/>
      <c r="W528" s="305"/>
      <c r="X528" s="305"/>
      <c r="Y528" s="305"/>
      <c r="Z528" s="305"/>
      <c r="AA528" s="305"/>
      <c r="AB528" s="305"/>
      <c r="AC528" s="305"/>
      <c r="AD528" s="305"/>
      <c r="AE528" s="305"/>
      <c r="AF528" s="305"/>
    </row>
    <row r="529" spans="1:32" s="52" customFormat="1" ht="14.25" customHeight="1">
      <c r="A529" s="285"/>
      <c r="B529" s="2651" t="s">
        <v>433</v>
      </c>
      <c r="C529" s="2746"/>
      <c r="D529" s="2747"/>
      <c r="E529" s="2746"/>
      <c r="F529" s="2747"/>
      <c r="G529" s="2746"/>
      <c r="H529" s="2747"/>
      <c r="I529" s="2758">
        <v>2601164</v>
      </c>
      <c r="J529" s="278"/>
      <c r="K529" s="416"/>
      <c r="M529" s="305"/>
      <c r="W529" s="305"/>
      <c r="X529" s="305"/>
      <c r="Y529" s="305"/>
      <c r="Z529" s="305"/>
      <c r="AA529" s="305"/>
      <c r="AB529" s="305"/>
      <c r="AC529" s="305"/>
      <c r="AD529" s="305"/>
      <c r="AE529" s="305"/>
      <c r="AF529" s="305"/>
    </row>
    <row r="530" spans="1:32" s="52" customFormat="1" ht="14.25" customHeight="1">
      <c r="A530" s="285"/>
      <c r="B530" s="2651" t="s">
        <v>434</v>
      </c>
      <c r="C530" s="2746"/>
      <c r="D530" s="2747"/>
      <c r="E530" s="2746"/>
      <c r="F530" s="2747"/>
      <c r="G530" s="2746"/>
      <c r="H530" s="2747"/>
      <c r="I530" s="1813">
        <v>558067</v>
      </c>
      <c r="J530" s="278"/>
      <c r="K530" s="416"/>
      <c r="M530" s="305"/>
      <c r="W530" s="305"/>
      <c r="X530" s="305"/>
      <c r="Y530" s="305"/>
      <c r="Z530" s="305"/>
      <c r="AA530" s="305"/>
      <c r="AB530" s="305"/>
      <c r="AC530" s="305"/>
      <c r="AD530" s="305"/>
      <c r="AE530" s="305"/>
      <c r="AF530" s="305"/>
    </row>
    <row r="531" spans="1:32" s="52" customFormat="1" ht="14.25" customHeight="1">
      <c r="A531" s="285"/>
      <c r="B531" s="2651"/>
      <c r="C531" s="2746"/>
      <c r="D531" s="2747"/>
      <c r="E531" s="2746"/>
      <c r="F531" s="2747"/>
      <c r="G531" s="2746"/>
      <c r="H531" s="2747"/>
      <c r="I531" s="2737"/>
      <c r="J531" s="278"/>
      <c r="K531" s="416"/>
      <c r="M531" s="305"/>
      <c r="W531" s="305"/>
      <c r="X531" s="305"/>
      <c r="Y531" s="305"/>
      <c r="Z531" s="305"/>
      <c r="AA531" s="305"/>
      <c r="AB531" s="305"/>
      <c r="AC531" s="305"/>
      <c r="AD531" s="305"/>
      <c r="AE531" s="305"/>
      <c r="AF531" s="305"/>
    </row>
    <row r="532" spans="1:32" s="52" customFormat="1" ht="14.25" customHeight="1">
      <c r="A532" s="285"/>
      <c r="B532" s="2653" t="s">
        <v>435</v>
      </c>
      <c r="C532" s="2746"/>
      <c r="D532" s="2747"/>
      <c r="E532" s="2746"/>
      <c r="F532" s="2747"/>
      <c r="G532" s="2746"/>
      <c r="H532" s="2747"/>
      <c r="I532" s="2737">
        <f>I533+I534</f>
        <v>-206437</v>
      </c>
      <c r="J532" s="278"/>
      <c r="K532" s="416"/>
      <c r="M532" s="305"/>
      <c r="W532" s="305"/>
      <c r="X532" s="305"/>
      <c r="Y532" s="305"/>
      <c r="Z532" s="305"/>
      <c r="AA532" s="305"/>
      <c r="AB532" s="305"/>
      <c r="AC532" s="305"/>
      <c r="AD532" s="305"/>
      <c r="AE532" s="305"/>
      <c r="AF532" s="305"/>
    </row>
    <row r="533" spans="1:32" s="52" customFormat="1" ht="27" customHeight="1">
      <c r="A533" s="285"/>
      <c r="B533" s="2651" t="s">
        <v>436</v>
      </c>
      <c r="C533" s="2746"/>
      <c r="D533" s="2747"/>
      <c r="E533" s="2746"/>
      <c r="F533" s="2747"/>
      <c r="G533" s="2746"/>
      <c r="H533" s="2747"/>
      <c r="I533" s="2758">
        <v>-206437</v>
      </c>
      <c r="J533" s="278"/>
      <c r="K533" s="416"/>
      <c r="M533" s="305"/>
      <c r="W533" s="305"/>
      <c r="X533" s="305"/>
      <c r="Y533" s="305"/>
      <c r="Z533" s="305"/>
      <c r="AA533" s="305"/>
      <c r="AB533" s="305"/>
      <c r="AC533" s="305"/>
      <c r="AD533" s="305"/>
      <c r="AE533" s="305"/>
      <c r="AF533" s="305"/>
    </row>
    <row r="534" spans="1:32" s="52" customFormat="1" ht="27" customHeight="1">
      <c r="A534" s="285"/>
      <c r="B534" s="2651" t="s">
        <v>437</v>
      </c>
      <c r="C534" s="2746"/>
      <c r="D534" s="2747"/>
      <c r="E534" s="2746"/>
      <c r="F534" s="2747"/>
      <c r="G534" s="2746"/>
      <c r="H534" s="2747"/>
      <c r="I534" s="2737"/>
      <c r="J534" s="278"/>
      <c r="K534" s="416"/>
      <c r="M534" s="305"/>
      <c r="W534" s="305"/>
      <c r="X534" s="305"/>
      <c r="Y534" s="305"/>
      <c r="Z534" s="305"/>
      <c r="AA534" s="305"/>
      <c r="AB534" s="305"/>
      <c r="AC534" s="305"/>
      <c r="AD534" s="305"/>
      <c r="AE534" s="305"/>
      <c r="AF534" s="305"/>
    </row>
    <row r="535" spans="1:32" s="52" customFormat="1" ht="14.25" customHeight="1">
      <c r="A535" s="285"/>
      <c r="B535" s="2653" t="s">
        <v>438</v>
      </c>
      <c r="C535" s="2746"/>
      <c r="D535" s="2747"/>
      <c r="E535" s="2746"/>
      <c r="F535" s="2747"/>
      <c r="G535" s="2746"/>
      <c r="H535" s="2747"/>
      <c r="I535" s="2664">
        <f>+I525+I527+I532</f>
        <v>4822338</v>
      </c>
      <c r="J535" s="278"/>
      <c r="K535" s="416"/>
      <c r="M535" s="305"/>
      <c r="W535" s="305"/>
      <c r="X535" s="305"/>
      <c r="Y535" s="305"/>
      <c r="Z535" s="305"/>
      <c r="AA535" s="305"/>
      <c r="AB535" s="305"/>
      <c r="AC535" s="305"/>
      <c r="AD535" s="305"/>
      <c r="AE535" s="305"/>
      <c r="AF535" s="305"/>
    </row>
    <row r="536" spans="1:32" s="52" customFormat="1" ht="14.25" customHeight="1">
      <c r="A536" s="285"/>
      <c r="B536" s="2651" t="s">
        <v>439</v>
      </c>
      <c r="C536" s="2746"/>
      <c r="D536" s="2747"/>
      <c r="E536" s="2746"/>
      <c r="F536" s="2747"/>
      <c r="G536" s="2746"/>
      <c r="H536" s="2747"/>
      <c r="I536" s="2737"/>
      <c r="J536" s="278"/>
      <c r="K536" s="416"/>
      <c r="M536" s="305"/>
      <c r="W536" s="305"/>
      <c r="X536" s="305"/>
      <c r="Y536" s="305"/>
      <c r="Z536" s="305"/>
      <c r="AA536" s="305"/>
      <c r="AB536" s="305"/>
      <c r="AC536" s="305"/>
      <c r="AD536" s="305"/>
      <c r="AE536" s="305"/>
      <c r="AF536" s="305"/>
    </row>
    <row r="537" spans="1:32" s="52" customFormat="1" ht="14.25" customHeight="1">
      <c r="A537" s="285"/>
      <c r="B537" s="2653" t="s">
        <v>440</v>
      </c>
      <c r="C537" s="2746"/>
      <c r="D537" s="2747"/>
      <c r="E537" s="2746"/>
      <c r="F537" s="2747"/>
      <c r="G537" s="2746"/>
      <c r="H537" s="2747"/>
      <c r="I537" s="2664">
        <f>SUM(I535:I536)</f>
        <v>4822338</v>
      </c>
      <c r="J537" s="278"/>
      <c r="K537" s="416"/>
      <c r="M537" s="305"/>
      <c r="W537" s="305"/>
      <c r="X537" s="305"/>
      <c r="Y537" s="305"/>
      <c r="Z537" s="305"/>
      <c r="AA537" s="305"/>
      <c r="AB537" s="305"/>
      <c r="AC537" s="305"/>
      <c r="AD537" s="305"/>
      <c r="AE537" s="305"/>
      <c r="AF537" s="305"/>
    </row>
    <row r="538" spans="1:32" s="52" customFormat="1" ht="14.25" customHeight="1">
      <c r="A538" s="285"/>
      <c r="B538" s="2651" t="s">
        <v>441</v>
      </c>
      <c r="C538" s="2746"/>
      <c r="D538" s="2747"/>
      <c r="E538" s="2746"/>
      <c r="F538" s="2747"/>
      <c r="G538" s="2746"/>
      <c r="H538" s="2747"/>
      <c r="I538" s="1814">
        <v>-1179070</v>
      </c>
      <c r="J538" s="278"/>
      <c r="K538" s="416"/>
      <c r="M538" s="305"/>
      <c r="W538" s="305"/>
      <c r="X538" s="305"/>
      <c r="Y538" s="305"/>
      <c r="Z538" s="305"/>
      <c r="AA538" s="305"/>
      <c r="AB538" s="305"/>
      <c r="AC538" s="305"/>
      <c r="AD538" s="305"/>
      <c r="AE538" s="305"/>
      <c r="AF538" s="305"/>
    </row>
    <row r="539" spans="1:32" s="52" customFormat="1" ht="14.25" customHeight="1" thickBot="1">
      <c r="A539" s="285"/>
      <c r="B539" s="1806" t="s">
        <v>442</v>
      </c>
      <c r="C539" s="1318"/>
      <c r="D539" s="888"/>
      <c r="E539" s="1318"/>
      <c r="F539" s="888"/>
      <c r="G539" s="1318"/>
      <c r="H539" s="888"/>
      <c r="I539" s="1779">
        <f>SUM(I537:I538)</f>
        <v>3643268</v>
      </c>
      <c r="J539" s="278"/>
      <c r="K539" s="416"/>
      <c r="M539" s="305"/>
      <c r="W539" s="305"/>
      <c r="X539" s="305"/>
      <c r="Y539" s="305"/>
      <c r="Z539" s="305"/>
      <c r="AA539" s="305"/>
      <c r="AB539" s="305"/>
      <c r="AC539" s="305"/>
      <c r="AD539" s="305"/>
      <c r="AE539" s="305"/>
      <c r="AF539" s="305"/>
    </row>
    <row r="540" spans="1:32" s="52" customFormat="1" ht="14.25" customHeight="1">
      <c r="A540" s="285"/>
      <c r="B540" s="455"/>
      <c r="C540" s="433"/>
      <c r="D540" s="433"/>
      <c r="E540" s="433"/>
      <c r="F540" s="433"/>
      <c r="G540" s="433"/>
      <c r="H540" s="433"/>
      <c r="I540" s="431"/>
      <c r="J540" s="431"/>
      <c r="K540" s="417"/>
      <c r="M540" s="305"/>
      <c r="W540" s="305"/>
      <c r="X540" s="305"/>
      <c r="Y540" s="305"/>
      <c r="Z540" s="305"/>
      <c r="AA540" s="305"/>
      <c r="AB540" s="305"/>
      <c r="AC540" s="305"/>
      <c r="AD540" s="305"/>
      <c r="AE540" s="305"/>
      <c r="AF540" s="305"/>
    </row>
    <row r="541" spans="1:32" s="52" customFormat="1" ht="14.25" customHeight="1">
      <c r="A541" s="285"/>
      <c r="B541" s="455"/>
      <c r="C541" s="433"/>
      <c r="D541" s="433"/>
      <c r="E541" s="433"/>
      <c r="F541" s="433"/>
      <c r="G541" s="433"/>
      <c r="H541" s="433"/>
      <c r="I541" s="431"/>
      <c r="J541" s="431"/>
      <c r="K541" s="394">
        <v>140</v>
      </c>
      <c r="M541" s="305"/>
      <c r="W541" s="305"/>
      <c r="X541" s="305"/>
      <c r="Y541" s="305"/>
      <c r="Z541" s="305"/>
      <c r="AA541" s="305"/>
      <c r="AB541" s="305"/>
      <c r="AC541" s="305"/>
      <c r="AD541" s="305"/>
      <c r="AE541" s="305"/>
      <c r="AF541" s="305"/>
    </row>
    <row r="542" spans="1:32" ht="14.25" customHeight="1"/>
    <row r="543" spans="1:32" ht="14.25" customHeight="1">
      <c r="B543" s="52"/>
    </row>
    <row r="544" spans="1:32" ht="48.6" customHeight="1">
      <c r="B544" s="395"/>
    </row>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sheetData>
  <mergeCells count="152">
    <mergeCell ref="K511:K512"/>
    <mergeCell ref="K475:K476"/>
    <mergeCell ref="B510:B512"/>
    <mergeCell ref="C510:I510"/>
    <mergeCell ref="C511:C512"/>
    <mergeCell ref="D511:D512"/>
    <mergeCell ref="E511:F511"/>
    <mergeCell ref="G511:G512"/>
    <mergeCell ref="H511:H512"/>
    <mergeCell ref="I511:I512"/>
    <mergeCell ref="G509:I509"/>
    <mergeCell ref="B474:B476"/>
    <mergeCell ref="C474:I474"/>
    <mergeCell ref="C475:C476"/>
    <mergeCell ref="D475:D476"/>
    <mergeCell ref="E475:F475"/>
    <mergeCell ref="G475:G476"/>
    <mergeCell ref="H475:H476"/>
    <mergeCell ref="I475:I476"/>
    <mergeCell ref="G367:G368"/>
    <mergeCell ref="H367:H368"/>
    <mergeCell ref="I367:I368"/>
    <mergeCell ref="J367:J368"/>
    <mergeCell ref="K367:K368"/>
    <mergeCell ref="G473:I473"/>
    <mergeCell ref="B438:B440"/>
    <mergeCell ref="C438:I438"/>
    <mergeCell ref="C439:C440"/>
    <mergeCell ref="D439:D440"/>
    <mergeCell ref="E439:F439"/>
    <mergeCell ref="G439:G440"/>
    <mergeCell ref="H439:H440"/>
    <mergeCell ref="I439:I440"/>
    <mergeCell ref="B294:B296"/>
    <mergeCell ref="C294:I294"/>
    <mergeCell ref="C295:C296"/>
    <mergeCell ref="D295:D296"/>
    <mergeCell ref="E295:F295"/>
    <mergeCell ref="G295:G296"/>
    <mergeCell ref="H295:H296"/>
    <mergeCell ref="I295:I296"/>
    <mergeCell ref="G437:I437"/>
    <mergeCell ref="I365:K365"/>
    <mergeCell ref="B402:B404"/>
    <mergeCell ref="C402:I402"/>
    <mergeCell ref="C403:C404"/>
    <mergeCell ref="D403:D404"/>
    <mergeCell ref="E403:F403"/>
    <mergeCell ref="G403:G404"/>
    <mergeCell ref="H403:H404"/>
    <mergeCell ref="I403:I404"/>
    <mergeCell ref="G401:I401"/>
    <mergeCell ref="B366:B368"/>
    <mergeCell ref="C366:K366"/>
    <mergeCell ref="C367:C368"/>
    <mergeCell ref="D367:D368"/>
    <mergeCell ref="E367:F367"/>
    <mergeCell ref="B330:B332"/>
    <mergeCell ref="C330:I330"/>
    <mergeCell ref="C331:C332"/>
    <mergeCell ref="D331:D332"/>
    <mergeCell ref="E331:F331"/>
    <mergeCell ref="G331:G332"/>
    <mergeCell ref="H331:H332"/>
    <mergeCell ref="I331:I332"/>
    <mergeCell ref="G329:I329"/>
    <mergeCell ref="H293:I293"/>
    <mergeCell ref="K222:K223"/>
    <mergeCell ref="B257:B259"/>
    <mergeCell ref="C257:I257"/>
    <mergeCell ref="C258:C259"/>
    <mergeCell ref="D258:D259"/>
    <mergeCell ref="E258:F258"/>
    <mergeCell ref="G258:G259"/>
    <mergeCell ref="H258:H259"/>
    <mergeCell ref="I258:I259"/>
    <mergeCell ref="H256:I256"/>
    <mergeCell ref="B221:B223"/>
    <mergeCell ref="C221:I221"/>
    <mergeCell ref="C222:C223"/>
    <mergeCell ref="D222:D223"/>
    <mergeCell ref="E222:F222"/>
    <mergeCell ref="G222:G223"/>
    <mergeCell ref="H222:H223"/>
    <mergeCell ref="I222:I223"/>
    <mergeCell ref="H220:I220"/>
    <mergeCell ref="K150:K151"/>
    <mergeCell ref="B185:B187"/>
    <mergeCell ref="C185:I185"/>
    <mergeCell ref="C186:C187"/>
    <mergeCell ref="D186:D187"/>
    <mergeCell ref="E186:F186"/>
    <mergeCell ref="G186:G187"/>
    <mergeCell ref="H186:H187"/>
    <mergeCell ref="I186:I187"/>
    <mergeCell ref="H184:I184"/>
    <mergeCell ref="B149:B151"/>
    <mergeCell ref="C149:I149"/>
    <mergeCell ref="C150:C151"/>
    <mergeCell ref="D150:D151"/>
    <mergeCell ref="E150:F150"/>
    <mergeCell ref="G150:G151"/>
    <mergeCell ref="H150:H151"/>
    <mergeCell ref="I150:I151"/>
    <mergeCell ref="H148:I148"/>
    <mergeCell ref="K78:K79"/>
    <mergeCell ref="B113:B115"/>
    <mergeCell ref="C113:I113"/>
    <mergeCell ref="C114:C115"/>
    <mergeCell ref="D114:D115"/>
    <mergeCell ref="E114:F114"/>
    <mergeCell ref="G114:G115"/>
    <mergeCell ref="H114:H115"/>
    <mergeCell ref="I114:I115"/>
    <mergeCell ref="K114:K115"/>
    <mergeCell ref="H112:I112"/>
    <mergeCell ref="B77:B79"/>
    <mergeCell ref="C77:I77"/>
    <mergeCell ref="C78:C79"/>
    <mergeCell ref="D78:D79"/>
    <mergeCell ref="E78:F78"/>
    <mergeCell ref="G78:G79"/>
    <mergeCell ref="H78:H79"/>
    <mergeCell ref="I78:I79"/>
    <mergeCell ref="H76:I76"/>
    <mergeCell ref="I3:K3"/>
    <mergeCell ref="B41:B43"/>
    <mergeCell ref="C41:I41"/>
    <mergeCell ref="C42:C43"/>
    <mergeCell ref="D42:D43"/>
    <mergeCell ref="E42:F42"/>
    <mergeCell ref="G42:G43"/>
    <mergeCell ref="H42:H43"/>
    <mergeCell ref="J6:J7"/>
    <mergeCell ref="I42:I43"/>
    <mergeCell ref="H40:I40"/>
    <mergeCell ref="B5:B7"/>
    <mergeCell ref="C5:K5"/>
    <mergeCell ref="M5:U5"/>
    <mergeCell ref="C6:C7"/>
    <mergeCell ref="D6:D7"/>
    <mergeCell ref="E6:F6"/>
    <mergeCell ref="G6:G7"/>
    <mergeCell ref="H6:H7"/>
    <mergeCell ref="I6:I7"/>
    <mergeCell ref="T6:T7"/>
    <mergeCell ref="U6:U7"/>
    <mergeCell ref="K6:K7"/>
    <mergeCell ref="O6:P6"/>
    <mergeCell ref="Q6:Q7"/>
    <mergeCell ref="R6:R7"/>
    <mergeCell ref="S6:S7"/>
  </mergeCells>
  <pageMargins left="0.18" right="0.17" top="0.27" bottom="0.75" header="0.3" footer="0.3"/>
  <pageSetup paperSize="9" scale="77" orientation="landscape" r:id="rId1"/>
  <rowBreaks count="19" manualBreakCount="19">
    <brk id="36" max="10" man="1"/>
    <brk id="72" max="10" man="1"/>
    <brk id="108" max="10" man="1"/>
    <brk id="144" max="10" man="1"/>
    <brk id="180" max="10" man="1"/>
    <brk id="216" max="11" man="1"/>
    <brk id="36" max="11" man="1"/>
    <brk id="72" max="11" man="1"/>
    <brk id="108" max="11" man="1"/>
    <brk id="144" max="11" man="1"/>
    <brk id="180" max="11" man="1"/>
    <brk id="252" max="11" man="1"/>
    <brk id="288" max="11" man="1"/>
    <brk id="325" max="11" man="1"/>
    <brk id="361" max="11" man="1"/>
    <brk id="397" max="10" man="1"/>
    <brk id="433" max="10" man="1"/>
    <brk id="469" max="11" man="1"/>
    <brk id="505" max="11"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N102"/>
  <sheetViews>
    <sheetView showGridLines="0" view="pageBreakPreview" topLeftCell="B1" zoomScale="85" zoomScaleNormal="80" zoomScaleSheetLayoutView="85" workbookViewId="0">
      <pane ySplit="7" topLeftCell="A8" activePane="bottomLeft" state="frozen"/>
      <selection activeCell="B1" sqref="B1"/>
      <selection pane="bottomLeft" sqref="A1:XFD1048576"/>
    </sheetView>
  </sheetViews>
  <sheetFormatPr defaultColWidth="9.140625" defaultRowHeight="12.75"/>
  <cols>
    <col min="1" max="1" width="5.28515625" style="292" customWidth="1"/>
    <col min="2" max="2" width="30" style="292" customWidth="1"/>
    <col min="3" max="7" width="17.28515625" style="292" customWidth="1"/>
    <col min="8" max="8" width="10.5703125" style="292" customWidth="1"/>
    <col min="9" max="9" width="16" style="292" customWidth="1"/>
    <col min="10" max="10" width="8.28515625" style="292" customWidth="1"/>
    <col min="11" max="14" width="6.140625" style="292" customWidth="1"/>
    <col min="15" max="16384" width="9.140625" style="292"/>
  </cols>
  <sheetData>
    <row r="1" spans="2:14">
      <c r="B1" s="295"/>
      <c r="C1" s="295"/>
      <c r="D1" s="295"/>
      <c r="E1" s="295"/>
      <c r="F1" s="295"/>
    </row>
    <row r="2" spans="2:14" ht="14.25">
      <c r="B2" s="3593" t="s">
        <v>453</v>
      </c>
      <c r="C2" s="3692"/>
      <c r="D2" s="3692"/>
      <c r="E2" s="3692"/>
      <c r="F2" s="3692"/>
      <c r="G2" s="3692"/>
      <c r="H2" s="3692"/>
    </row>
    <row r="3" spans="2:14">
      <c r="B3" s="218"/>
      <c r="C3" s="218"/>
      <c r="D3" s="218"/>
      <c r="E3" s="218"/>
      <c r="F3" s="218"/>
      <c r="G3" s="218"/>
      <c r="H3" s="218"/>
    </row>
    <row r="4" spans="2:14">
      <c r="F4" s="3662" t="s">
        <v>232</v>
      </c>
      <c r="G4" s="3662"/>
    </row>
    <row r="5" spans="2:14" ht="39.75">
      <c r="B5" s="3693" t="s">
        <v>83</v>
      </c>
      <c r="C5" s="1903" t="s">
        <v>454</v>
      </c>
      <c r="D5" s="3467" t="s">
        <v>455</v>
      </c>
      <c r="E5" s="3468"/>
      <c r="F5" s="3468"/>
      <c r="G5" s="3469"/>
    </row>
    <row r="6" spans="2:14">
      <c r="B6" s="3694"/>
      <c r="C6" s="3696" t="s">
        <v>456</v>
      </c>
      <c r="D6" s="3698" t="s">
        <v>457</v>
      </c>
      <c r="E6" s="3698" t="s">
        <v>458</v>
      </c>
      <c r="F6" s="3698" t="s">
        <v>459</v>
      </c>
      <c r="G6" s="3700" t="s">
        <v>456</v>
      </c>
      <c r="H6" s="562"/>
    </row>
    <row r="7" spans="2:14">
      <c r="B7" s="3695"/>
      <c r="C7" s="3697"/>
      <c r="D7" s="3699"/>
      <c r="E7" s="3699"/>
      <c r="F7" s="3699"/>
      <c r="G7" s="3701"/>
      <c r="H7" s="562"/>
    </row>
    <row r="8" spans="2:14">
      <c r="B8" s="1895" t="s">
        <v>91</v>
      </c>
      <c r="C8" s="2761">
        <v>27361515</v>
      </c>
      <c r="D8" s="2014">
        <v>22025225.488224901</v>
      </c>
      <c r="E8" s="2014">
        <v>6309263.8949999996</v>
      </c>
      <c r="F8" s="2014">
        <v>3769376.7486820002</v>
      </c>
      <c r="G8" s="2762">
        <f>+D8+E8-F8</f>
        <v>24565112.634542901</v>
      </c>
      <c r="H8" s="396"/>
      <c r="I8" s="396"/>
      <c r="J8" s="773"/>
      <c r="K8" s="396"/>
      <c r="L8" s="396"/>
      <c r="M8" s="396"/>
      <c r="N8" s="396"/>
    </row>
    <row r="9" spans="2:14">
      <c r="B9" s="2061" t="s">
        <v>93</v>
      </c>
      <c r="C9" s="2761">
        <v>2028498</v>
      </c>
      <c r="D9" s="2014">
        <v>2112045.0841053529</v>
      </c>
      <c r="E9" s="1989"/>
      <c r="F9" s="2014">
        <v>621340.77582999994</v>
      </c>
      <c r="G9" s="2762">
        <f>+D9+E9-F9</f>
        <v>1490704.3082753529</v>
      </c>
      <c r="H9" s="396"/>
      <c r="I9" s="396"/>
      <c r="J9" s="773"/>
      <c r="K9" s="396"/>
      <c r="L9" s="396"/>
      <c r="M9" s="396"/>
      <c r="N9" s="396"/>
    </row>
    <row r="10" spans="2:14">
      <c r="B10" s="2061" t="s">
        <v>94</v>
      </c>
      <c r="C10" s="2761">
        <v>535106</v>
      </c>
      <c r="D10" s="2014">
        <v>475497.16781229398</v>
      </c>
      <c r="E10" s="2014">
        <v>104949.12700000001</v>
      </c>
      <c r="F10" s="2014">
        <v>45097.563000000002</v>
      </c>
      <c r="G10" s="2762">
        <f t="shared" ref="G10:G22" si="0">+D10+E10-F10</f>
        <v>535348.73181229399</v>
      </c>
      <c r="H10" s="396"/>
      <c r="I10" s="396"/>
      <c r="J10" s="773"/>
      <c r="K10" s="396"/>
      <c r="L10" s="396"/>
      <c r="M10" s="396"/>
      <c r="N10" s="396"/>
    </row>
    <row r="11" spans="2:14">
      <c r="B11" s="2061" t="s">
        <v>96</v>
      </c>
      <c r="C11" s="2761">
        <v>1908450</v>
      </c>
      <c r="D11" s="2014">
        <v>2480289.27030356</v>
      </c>
      <c r="E11" s="1989"/>
      <c r="F11" s="2014">
        <v>259037.68765547901</v>
      </c>
      <c r="G11" s="2762">
        <f t="shared" si="0"/>
        <v>2221251.5826480808</v>
      </c>
      <c r="H11" s="396"/>
      <c r="I11" s="396"/>
      <c r="J11" s="773"/>
      <c r="K11" s="396"/>
      <c r="L11" s="396"/>
      <c r="M11" s="396"/>
      <c r="N11" s="396"/>
    </row>
    <row r="12" spans="2:14">
      <c r="B12" s="2061" t="s">
        <v>97</v>
      </c>
      <c r="C12" s="2761">
        <v>72111874</v>
      </c>
      <c r="D12" s="2014">
        <v>79829489.488691747</v>
      </c>
      <c r="E12" s="2014">
        <v>3890031.4258998334</v>
      </c>
      <c r="F12" s="2014">
        <v>12054898.643099999</v>
      </c>
      <c r="G12" s="2762">
        <f t="shared" si="0"/>
        <v>71664622.271491587</v>
      </c>
      <c r="H12" s="396"/>
      <c r="I12" s="396"/>
      <c r="J12" s="773"/>
      <c r="K12" s="396"/>
      <c r="L12" s="396"/>
      <c r="M12" s="396"/>
      <c r="N12" s="396"/>
    </row>
    <row r="13" spans="2:14">
      <c r="B13" s="2061" t="s">
        <v>100</v>
      </c>
      <c r="C13" s="2761">
        <v>1473028</v>
      </c>
      <c r="D13" s="2014">
        <v>1550295.2656064054</v>
      </c>
      <c r="E13" s="2014">
        <v>148393</v>
      </c>
      <c r="F13" s="2014">
        <v>201065</v>
      </c>
      <c r="G13" s="2762">
        <f t="shared" si="0"/>
        <v>1497623.2656064054</v>
      </c>
      <c r="H13" s="396"/>
      <c r="I13" s="396"/>
      <c r="J13" s="773"/>
      <c r="K13" s="396"/>
      <c r="L13" s="396"/>
      <c r="M13" s="396"/>
      <c r="N13" s="396"/>
    </row>
    <row r="14" spans="2:14">
      <c r="B14" s="2061" t="s">
        <v>103</v>
      </c>
      <c r="C14" s="2761">
        <v>8966667</v>
      </c>
      <c r="D14" s="2014">
        <v>13314033.423085099</v>
      </c>
      <c r="E14" s="2014">
        <v>381156</v>
      </c>
      <c r="F14" s="2014">
        <v>2555491.5516063608</v>
      </c>
      <c r="G14" s="2762">
        <f t="shared" si="0"/>
        <v>11139697.871478738</v>
      </c>
      <c r="H14" s="396"/>
      <c r="I14" s="396"/>
      <c r="J14" s="773"/>
      <c r="K14" s="396"/>
      <c r="L14" s="396"/>
      <c r="M14" s="396"/>
      <c r="N14" s="396"/>
    </row>
    <row r="15" spans="2:14">
      <c r="B15" s="2061" t="s">
        <v>105</v>
      </c>
      <c r="C15" s="2761">
        <v>10132233</v>
      </c>
      <c r="D15" s="2014">
        <v>12404959.104846837</v>
      </c>
      <c r="E15" s="2014">
        <v>1795828.6910000001</v>
      </c>
      <c r="F15" s="2014">
        <v>1343002.0745095301</v>
      </c>
      <c r="G15" s="2762">
        <f t="shared" si="0"/>
        <v>12857785.721337307</v>
      </c>
      <c r="H15" s="396"/>
      <c r="I15" s="396"/>
      <c r="J15" s="773"/>
      <c r="K15" s="396"/>
      <c r="L15" s="396"/>
      <c r="M15" s="396"/>
      <c r="N15" s="396"/>
    </row>
    <row r="16" spans="2:14">
      <c r="B16" s="2061" t="s">
        <v>106</v>
      </c>
      <c r="C16" s="2761">
        <v>485940</v>
      </c>
      <c r="D16" s="2014">
        <v>507281.69317054306</v>
      </c>
      <c r="E16" s="2014">
        <v>111899</v>
      </c>
      <c r="F16" s="2014">
        <v>55283.337290000003</v>
      </c>
      <c r="G16" s="2762">
        <f t="shared" si="0"/>
        <v>563897.35588054301</v>
      </c>
      <c r="H16" s="396"/>
      <c r="I16" s="396"/>
      <c r="J16" s="773"/>
      <c r="K16" s="396"/>
      <c r="L16" s="396"/>
      <c r="M16" s="396"/>
      <c r="N16" s="396"/>
    </row>
    <row r="17" spans="2:14">
      <c r="B17" s="2061" t="s">
        <v>107</v>
      </c>
      <c r="C17" s="2761">
        <v>2326985</v>
      </c>
      <c r="D17" s="2014">
        <v>3460220.9071475836</v>
      </c>
      <c r="E17" s="2014">
        <v>256134.38</v>
      </c>
      <c r="F17" s="2014">
        <v>251627.38357000001</v>
      </c>
      <c r="G17" s="2762">
        <f t="shared" si="0"/>
        <v>3464727.9035775834</v>
      </c>
      <c r="H17" s="396"/>
      <c r="I17" s="396"/>
      <c r="J17" s="773"/>
      <c r="K17" s="396"/>
      <c r="L17" s="396"/>
      <c r="M17" s="396"/>
      <c r="N17" s="396"/>
    </row>
    <row r="18" spans="2:14">
      <c r="B18" s="2061" t="s">
        <v>109</v>
      </c>
      <c r="C18" s="2761">
        <v>556357</v>
      </c>
      <c r="D18" s="2014">
        <v>523813.64893497963</v>
      </c>
      <c r="E18" s="1989"/>
      <c r="F18" s="2014">
        <v>8422.9561199998752</v>
      </c>
      <c r="G18" s="2762">
        <f t="shared" si="0"/>
        <v>515390.69281497976</v>
      </c>
      <c r="H18" s="396"/>
      <c r="I18" s="396"/>
      <c r="J18" s="773"/>
      <c r="K18" s="396"/>
      <c r="L18" s="396"/>
      <c r="M18" s="396"/>
      <c r="N18" s="396"/>
    </row>
    <row r="19" spans="2:14">
      <c r="B19" s="2061" t="s">
        <v>113</v>
      </c>
      <c r="C19" s="2761">
        <v>747344</v>
      </c>
      <c r="D19" s="2014">
        <v>1388894.1701285997</v>
      </c>
      <c r="E19" s="1989"/>
      <c r="F19" s="2014">
        <v>568831.78797252267</v>
      </c>
      <c r="G19" s="2762">
        <f t="shared" si="0"/>
        <v>820062.38215607707</v>
      </c>
      <c r="H19" s="396"/>
      <c r="I19" s="396"/>
      <c r="J19" s="773"/>
      <c r="K19" s="396"/>
      <c r="L19" s="396"/>
      <c r="M19" s="396"/>
      <c r="N19" s="396"/>
    </row>
    <row r="20" spans="2:14">
      <c r="B20" s="2061" t="s">
        <v>115</v>
      </c>
      <c r="C20" s="2761">
        <v>79654571</v>
      </c>
      <c r="D20" s="2014">
        <v>112671771.55191314</v>
      </c>
      <c r="E20" s="2014">
        <v>169909.38508000001</v>
      </c>
      <c r="F20" s="2014">
        <v>6533102.2626324994</v>
      </c>
      <c r="G20" s="2762">
        <f t="shared" si="0"/>
        <v>106308578.67436063</v>
      </c>
      <c r="H20" s="396"/>
      <c r="I20" s="396"/>
      <c r="J20" s="773"/>
      <c r="K20" s="396"/>
      <c r="L20" s="396"/>
      <c r="M20" s="396"/>
      <c r="N20" s="396"/>
    </row>
    <row r="21" spans="2:14">
      <c r="B21" s="2061" t="s">
        <v>116</v>
      </c>
      <c r="C21" s="2761">
        <v>19940660</v>
      </c>
      <c r="D21" s="2014">
        <v>24830944.67012104</v>
      </c>
      <c r="E21" s="2014">
        <v>3938987.3723900001</v>
      </c>
      <c r="F21" s="2014">
        <v>1688120.72104</v>
      </c>
      <c r="G21" s="2762">
        <f t="shared" si="0"/>
        <v>27081811.321471039</v>
      </c>
      <c r="H21" s="396"/>
      <c r="I21" s="396"/>
      <c r="J21" s="773"/>
      <c r="K21" s="396"/>
      <c r="L21" s="396"/>
      <c r="M21" s="396"/>
      <c r="N21" s="396"/>
    </row>
    <row r="22" spans="2:14">
      <c r="B22" s="2061" t="s">
        <v>117</v>
      </c>
      <c r="C22" s="2763">
        <v>21795969</v>
      </c>
      <c r="D22" s="2014">
        <v>21675981</v>
      </c>
      <c r="E22" s="2014">
        <v>5654162</v>
      </c>
      <c r="F22" s="2014">
        <v>5747779</v>
      </c>
      <c r="G22" s="2762">
        <f t="shared" si="0"/>
        <v>21582364</v>
      </c>
      <c r="H22" s="396"/>
      <c r="I22" s="396"/>
      <c r="J22" s="773"/>
      <c r="K22" s="396"/>
      <c r="L22" s="396"/>
      <c r="M22" s="396"/>
      <c r="N22" s="396"/>
    </row>
    <row r="23" spans="2:14">
      <c r="B23" s="2764" t="s">
        <v>118</v>
      </c>
      <c r="C23" s="2765">
        <f>SUM(C8:C22)</f>
        <v>250025197</v>
      </c>
      <c r="D23" s="2765">
        <f>SUM(D8:D22)</f>
        <v>299250741.9340921</v>
      </c>
      <c r="E23" s="2765">
        <f>SUM(E8:E22)</f>
        <v>22760714.276369832</v>
      </c>
      <c r="F23" s="2765">
        <f>SUM(F8:F22)</f>
        <v>35702477.49300839</v>
      </c>
      <c r="G23" s="2024">
        <f>+D23+E23-F23</f>
        <v>286308978.71745354</v>
      </c>
      <c r="H23" s="396"/>
      <c r="I23" s="396"/>
      <c r="J23" s="773"/>
      <c r="K23" s="396"/>
      <c r="L23" s="396"/>
      <c r="M23" s="396"/>
      <c r="N23" s="396"/>
    </row>
    <row r="24" spans="2:14" ht="24" customHeight="1">
      <c r="B24" s="218"/>
      <c r="C24" s="478"/>
      <c r="D24" s="478"/>
      <c r="E24" s="478"/>
      <c r="F24" s="478"/>
      <c r="G24" s="424"/>
      <c r="H24" s="396"/>
      <c r="I24" s="396"/>
    </row>
    <row r="25" spans="2:14" ht="24" customHeight="1">
      <c r="B25" s="3494" t="s">
        <v>460</v>
      </c>
      <c r="C25" s="3494"/>
      <c r="D25" s="3494"/>
      <c r="E25" s="3494"/>
      <c r="F25" s="3494"/>
      <c r="G25" s="3494"/>
      <c r="H25" s="396"/>
      <c r="I25" s="396"/>
    </row>
    <row r="26" spans="2:14">
      <c r="B26" s="218"/>
      <c r="C26" s="478"/>
      <c r="D26" s="478"/>
      <c r="E26" s="478"/>
      <c r="F26" s="478"/>
      <c r="G26" s="424"/>
      <c r="H26" s="396"/>
      <c r="I26" s="396"/>
    </row>
    <row r="27" spans="2:14">
      <c r="D27" s="396"/>
      <c r="E27" s="396"/>
      <c r="I27" s="396"/>
    </row>
    <row r="28" spans="2:14">
      <c r="G28" s="292">
        <v>141</v>
      </c>
    </row>
    <row r="29" spans="2:14">
      <c r="B29" s="37"/>
      <c r="H29" s="396"/>
    </row>
    <row r="30" spans="2:14">
      <c r="B30" s="295"/>
      <c r="C30" s="295"/>
      <c r="D30" s="295"/>
      <c r="E30" s="295"/>
      <c r="F30" s="295"/>
      <c r="G30" s="295"/>
      <c r="H30" s="295"/>
      <c r="I30" s="295"/>
      <c r="J30" s="295"/>
      <c r="K30" s="295"/>
    </row>
    <row r="31" spans="2:14">
      <c r="B31" s="490"/>
      <c r="C31" s="218"/>
      <c r="D31" s="218"/>
      <c r="E31" s="218"/>
      <c r="F31" s="218"/>
      <c r="G31" s="218"/>
      <c r="H31" s="218"/>
      <c r="I31" s="218"/>
      <c r="J31" s="218"/>
      <c r="K31" s="218"/>
    </row>
    <row r="32" spans="2:14">
      <c r="I32" s="3662"/>
      <c r="J32" s="3662"/>
      <c r="K32" s="295"/>
    </row>
    <row r="33" spans="2:11">
      <c r="B33" s="3473"/>
      <c r="C33" s="214"/>
      <c r="D33" s="3473"/>
      <c r="E33" s="3691"/>
      <c r="F33" s="3473"/>
      <c r="G33" s="3691"/>
      <c r="H33" s="3691"/>
      <c r="I33" s="3691"/>
      <c r="J33" s="3691"/>
      <c r="K33" s="3691"/>
    </row>
    <row r="34" spans="2:11">
      <c r="B34" s="3473"/>
      <c r="C34" s="214"/>
      <c r="D34" s="3473"/>
      <c r="E34" s="3691"/>
      <c r="F34" s="3473"/>
      <c r="G34" s="3691"/>
      <c r="H34" s="3691"/>
      <c r="I34" s="3691"/>
      <c r="J34" s="3691"/>
      <c r="K34" s="3691"/>
    </row>
    <row r="35" spans="2:11">
      <c r="D35" s="468"/>
      <c r="E35" s="468"/>
      <c r="F35" s="468"/>
      <c r="G35" s="477"/>
      <c r="H35" s="468"/>
      <c r="I35" s="468"/>
      <c r="J35" s="468"/>
      <c r="K35" s="468"/>
    </row>
    <row r="36" spans="2:11">
      <c r="D36" s="468"/>
      <c r="E36" s="468"/>
      <c r="F36" s="468"/>
      <c r="G36" s="468"/>
      <c r="H36" s="468"/>
      <c r="I36" s="468"/>
      <c r="J36" s="468"/>
      <c r="K36" s="468"/>
    </row>
    <row r="37" spans="2:11">
      <c r="D37" s="468"/>
      <c r="E37" s="468"/>
      <c r="F37" s="468"/>
      <c r="G37" s="468"/>
      <c r="H37" s="468"/>
      <c r="I37" s="468"/>
      <c r="J37" s="468"/>
      <c r="K37" s="468"/>
    </row>
    <row r="38" spans="2:11">
      <c r="D38" s="468"/>
      <c r="E38" s="293"/>
      <c r="F38" s="293"/>
      <c r="G38" s="293"/>
      <c r="H38" s="293"/>
      <c r="I38" s="293"/>
      <c r="J38" s="293"/>
      <c r="K38" s="293"/>
    </row>
    <row r="39" spans="2:11">
      <c r="D39" s="468"/>
      <c r="E39" s="468"/>
      <c r="F39" s="468"/>
      <c r="G39" s="477"/>
      <c r="H39" s="468"/>
      <c r="I39" s="468"/>
      <c r="J39" s="468"/>
      <c r="K39" s="468"/>
    </row>
    <row r="40" spans="2:11">
      <c r="D40" s="468"/>
      <c r="E40" s="468"/>
      <c r="F40" s="468"/>
      <c r="G40" s="468"/>
      <c r="H40" s="468"/>
      <c r="I40" s="468"/>
      <c r="J40" s="468"/>
      <c r="K40" s="468"/>
    </row>
    <row r="41" spans="2:11">
      <c r="D41" s="468"/>
      <c r="E41" s="468"/>
      <c r="F41" s="468"/>
      <c r="G41" s="477"/>
      <c r="H41" s="468"/>
      <c r="I41" s="468"/>
      <c r="J41" s="468"/>
      <c r="K41" s="468"/>
    </row>
    <row r="42" spans="2:11">
      <c r="D42" s="468"/>
      <c r="E42" s="468"/>
      <c r="F42" s="468"/>
      <c r="G42" s="468"/>
      <c r="H42" s="468"/>
      <c r="I42" s="468"/>
      <c r="J42" s="468"/>
      <c r="K42" s="468"/>
    </row>
    <row r="43" spans="2:11">
      <c r="D43" s="468"/>
      <c r="E43" s="468"/>
      <c r="F43" s="468"/>
      <c r="G43" s="468"/>
      <c r="H43" s="468"/>
      <c r="I43" s="468"/>
      <c r="J43" s="468"/>
      <c r="K43" s="468"/>
    </row>
    <row r="44" spans="2:11">
      <c r="D44" s="468"/>
      <c r="E44" s="468"/>
      <c r="F44" s="468"/>
      <c r="G44" s="468"/>
      <c r="H44" s="468"/>
      <c r="I44" s="468"/>
      <c r="J44" s="468"/>
      <c r="K44" s="468"/>
    </row>
    <row r="45" spans="2:11">
      <c r="D45" s="468"/>
      <c r="E45" s="468"/>
      <c r="F45" s="468"/>
      <c r="G45" s="468"/>
      <c r="H45" s="468"/>
      <c r="I45" s="468"/>
      <c r="J45" s="468"/>
      <c r="K45" s="468"/>
    </row>
    <row r="46" spans="2:11">
      <c r="D46" s="468"/>
      <c r="E46" s="468"/>
      <c r="F46" s="468"/>
      <c r="G46" s="468"/>
      <c r="H46" s="468"/>
      <c r="I46" s="468"/>
      <c r="J46" s="468"/>
      <c r="K46" s="468"/>
    </row>
    <row r="47" spans="2:11">
      <c r="D47" s="468"/>
      <c r="E47" s="468"/>
      <c r="F47" s="468"/>
      <c r="G47" s="468"/>
      <c r="H47" s="468"/>
      <c r="I47" s="468"/>
      <c r="J47" s="468"/>
      <c r="K47" s="468"/>
    </row>
    <row r="48" spans="2:11">
      <c r="D48" s="468"/>
      <c r="E48" s="468"/>
      <c r="F48" s="468"/>
      <c r="G48" s="477"/>
      <c r="H48" s="468"/>
      <c r="I48" s="468"/>
      <c r="J48" s="468"/>
      <c r="K48" s="468"/>
    </row>
    <row r="49" spans="2:11">
      <c r="D49" s="468"/>
      <c r="E49" s="468"/>
      <c r="F49" s="468"/>
      <c r="G49" s="468"/>
      <c r="H49" s="468"/>
      <c r="I49" s="468"/>
      <c r="J49" s="468"/>
      <c r="K49" s="468"/>
    </row>
    <row r="50" spans="2:11">
      <c r="B50" s="218"/>
      <c r="C50" s="218"/>
      <c r="D50" s="478"/>
      <c r="E50" s="478"/>
      <c r="F50" s="478"/>
      <c r="G50" s="478"/>
      <c r="H50" s="478"/>
      <c r="I50" s="478"/>
      <c r="J50" s="478"/>
      <c r="K50" s="478"/>
    </row>
    <row r="52" spans="2:11">
      <c r="K52" s="293"/>
    </row>
    <row r="55" spans="2:11">
      <c r="B55" s="3419"/>
      <c r="C55" s="3419"/>
      <c r="D55" s="3419"/>
      <c r="E55" s="3419"/>
      <c r="F55" s="3419"/>
      <c r="G55" s="3419"/>
    </row>
    <row r="56" spans="2:11">
      <c r="B56" s="3419"/>
      <c r="C56" s="3419"/>
      <c r="D56" s="3419"/>
      <c r="E56" s="3419"/>
      <c r="F56" s="3419"/>
      <c r="G56" s="3419"/>
    </row>
    <row r="57" spans="2:11">
      <c r="B57" s="493"/>
      <c r="C57" s="493"/>
      <c r="D57" s="493"/>
      <c r="E57" s="493"/>
      <c r="F57" s="493"/>
      <c r="G57" s="493"/>
    </row>
    <row r="58" spans="2:11">
      <c r="B58" s="493"/>
      <c r="C58" s="493"/>
      <c r="D58" s="493"/>
      <c r="E58" s="493"/>
      <c r="F58" s="3691"/>
      <c r="G58" s="3691"/>
    </row>
    <row r="59" spans="2:11">
      <c r="B59" s="3473"/>
      <c r="C59" s="214"/>
      <c r="D59" s="3473"/>
      <c r="E59" s="3473"/>
      <c r="F59" s="3473"/>
      <c r="G59" s="3691"/>
    </row>
    <row r="60" spans="2:11">
      <c r="B60" s="3473"/>
      <c r="C60" s="214"/>
      <c r="D60" s="3473"/>
      <c r="E60" s="3473"/>
      <c r="F60" s="3473"/>
      <c r="G60" s="3691"/>
    </row>
    <row r="61" spans="2:11">
      <c r="D61" s="468"/>
      <c r="E61" s="477"/>
      <c r="F61" s="468"/>
      <c r="G61" s="477"/>
    </row>
    <row r="62" spans="2:11">
      <c r="D62" s="468"/>
      <c r="E62" s="468"/>
      <c r="F62" s="468"/>
      <c r="G62" s="477"/>
    </row>
    <row r="63" spans="2:11">
      <c r="D63" s="556"/>
      <c r="E63" s="483"/>
      <c r="F63" s="556"/>
      <c r="G63" s="563"/>
    </row>
    <row r="64" spans="2:11">
      <c r="D64" s="468"/>
      <c r="E64" s="477"/>
      <c r="F64" s="468"/>
      <c r="G64" s="477"/>
    </row>
    <row r="65" spans="2:10">
      <c r="D65" s="479"/>
      <c r="E65" s="480"/>
      <c r="F65" s="479"/>
      <c r="G65" s="480"/>
    </row>
    <row r="66" spans="2:10">
      <c r="D66" s="468"/>
      <c r="E66" s="468"/>
      <c r="F66" s="468"/>
      <c r="G66" s="477"/>
    </row>
    <row r="67" spans="2:10">
      <c r="D67" s="468"/>
      <c r="E67" s="477"/>
      <c r="F67" s="468"/>
      <c r="G67" s="477"/>
    </row>
    <row r="68" spans="2:10">
      <c r="D68" s="468"/>
      <c r="E68" s="468"/>
      <c r="F68" s="468"/>
      <c r="G68" s="477"/>
    </row>
    <row r="69" spans="2:10">
      <c r="D69" s="468"/>
      <c r="E69" s="477"/>
      <c r="F69" s="468"/>
      <c r="G69" s="477"/>
    </row>
    <row r="70" spans="2:10">
      <c r="D70" s="468"/>
      <c r="E70" s="468"/>
      <c r="F70" s="468"/>
      <c r="G70" s="477"/>
    </row>
    <row r="71" spans="2:10">
      <c r="D71" s="468"/>
      <c r="E71" s="477"/>
      <c r="F71" s="468"/>
      <c r="G71" s="477"/>
    </row>
    <row r="72" spans="2:10">
      <c r="D72" s="468"/>
      <c r="E72" s="477"/>
      <c r="F72" s="468"/>
      <c r="G72" s="564"/>
    </row>
    <row r="73" spans="2:10">
      <c r="D73" s="468"/>
      <c r="E73" s="468"/>
      <c r="F73" s="468"/>
      <c r="G73" s="477"/>
    </row>
    <row r="74" spans="2:10">
      <c r="D74" s="468"/>
      <c r="E74" s="468"/>
      <c r="F74" s="468"/>
      <c r="G74" s="477"/>
    </row>
    <row r="75" spans="2:10">
      <c r="D75" s="475"/>
      <c r="E75" s="475"/>
      <c r="F75" s="475"/>
      <c r="G75" s="565"/>
    </row>
    <row r="76" spans="2:10">
      <c r="B76" s="218"/>
      <c r="C76" s="218"/>
      <c r="D76" s="478"/>
      <c r="E76" s="478"/>
      <c r="F76" s="478"/>
      <c r="G76" s="478"/>
    </row>
    <row r="80" spans="2:10">
      <c r="B80" s="3692"/>
      <c r="C80" s="3692"/>
      <c r="D80" s="3692"/>
      <c r="E80" s="3692"/>
      <c r="F80" s="3692"/>
      <c r="G80" s="3692"/>
      <c r="H80" s="3692"/>
      <c r="I80" s="3692"/>
      <c r="J80" s="3692"/>
    </row>
    <row r="81" spans="2:11">
      <c r="B81" s="218"/>
      <c r="C81" s="218"/>
      <c r="D81" s="218"/>
      <c r="E81" s="218"/>
      <c r="F81" s="218"/>
      <c r="G81" s="218"/>
      <c r="H81" s="218"/>
      <c r="I81" s="218"/>
      <c r="J81" s="218"/>
    </row>
    <row r="82" spans="2:11">
      <c r="I82" s="3662"/>
      <c r="J82" s="3662"/>
    </row>
    <row r="83" spans="2:11">
      <c r="B83" s="3473"/>
      <c r="C83" s="214"/>
      <c r="D83" s="3473"/>
      <c r="E83" s="3691"/>
      <c r="F83" s="3473"/>
      <c r="G83" s="3702"/>
      <c r="H83" s="3702"/>
      <c r="I83" s="3702"/>
      <c r="J83" s="3702"/>
      <c r="K83" s="3702"/>
    </row>
    <row r="84" spans="2:11">
      <c r="B84" s="3473"/>
      <c r="C84" s="214"/>
      <c r="D84" s="3473"/>
      <c r="E84" s="3691"/>
      <c r="F84" s="3473"/>
      <c r="G84" s="3702"/>
      <c r="H84" s="3702"/>
      <c r="I84" s="3702"/>
      <c r="J84" s="3702"/>
      <c r="K84" s="3702"/>
    </row>
    <row r="85" spans="2:11">
      <c r="D85" s="468"/>
      <c r="E85" s="468"/>
      <c r="F85" s="468"/>
      <c r="G85" s="468"/>
      <c r="H85" s="468"/>
      <c r="I85" s="468"/>
      <c r="J85" s="468"/>
      <c r="K85" s="468"/>
    </row>
    <row r="86" spans="2:11">
      <c r="D86" s="468"/>
      <c r="E86" s="293"/>
      <c r="F86" s="293"/>
      <c r="G86" s="293"/>
      <c r="H86" s="293"/>
      <c r="I86" s="293"/>
      <c r="J86" s="293"/>
      <c r="K86" s="293"/>
    </row>
    <row r="87" spans="2:11">
      <c r="D87" s="468"/>
      <c r="E87" s="468"/>
      <c r="F87" s="468"/>
      <c r="G87" s="468"/>
      <c r="H87" s="468"/>
      <c r="I87" s="468"/>
      <c r="J87" s="468"/>
      <c r="K87" s="468"/>
    </row>
    <row r="88" spans="2:11">
      <c r="D88" s="468"/>
      <c r="E88" s="468"/>
      <c r="F88" s="468"/>
      <c r="G88" s="468"/>
      <c r="H88" s="468"/>
      <c r="I88" s="468"/>
      <c r="J88" s="468"/>
      <c r="K88" s="468"/>
    </row>
    <row r="89" spans="2:11">
      <c r="D89" s="468"/>
      <c r="E89" s="468"/>
      <c r="F89" s="468"/>
      <c r="G89" s="468"/>
      <c r="H89" s="468"/>
      <c r="I89" s="468"/>
      <c r="J89" s="468"/>
      <c r="K89" s="468"/>
    </row>
    <row r="90" spans="2:11">
      <c r="D90" s="468"/>
      <c r="E90" s="468"/>
      <c r="F90" s="468"/>
      <c r="G90" s="468"/>
      <c r="H90" s="468"/>
      <c r="I90" s="468"/>
      <c r="J90" s="468"/>
      <c r="K90" s="468"/>
    </row>
    <row r="91" spans="2:11">
      <c r="D91" s="468"/>
      <c r="E91" s="468"/>
      <c r="F91" s="468"/>
      <c r="G91" s="468"/>
      <c r="H91" s="468"/>
      <c r="I91" s="468"/>
      <c r="J91" s="468"/>
      <c r="K91" s="468"/>
    </row>
    <row r="92" spans="2:11">
      <c r="D92" s="468"/>
      <c r="E92" s="468"/>
      <c r="F92" s="468"/>
      <c r="G92" s="468"/>
      <c r="H92" s="468"/>
      <c r="I92" s="468"/>
      <c r="J92" s="468"/>
      <c r="K92" s="468"/>
    </row>
    <row r="93" spans="2:11">
      <c r="D93" s="468"/>
      <c r="E93" s="468"/>
      <c r="F93" s="468"/>
      <c r="G93" s="468"/>
      <c r="H93" s="468"/>
      <c r="I93" s="468"/>
      <c r="J93" s="468"/>
      <c r="K93" s="468"/>
    </row>
    <row r="94" spans="2:11">
      <c r="D94" s="468"/>
      <c r="E94" s="468"/>
      <c r="F94" s="468"/>
      <c r="G94" s="468"/>
      <c r="H94" s="468"/>
      <c r="I94" s="468"/>
      <c r="J94" s="468"/>
      <c r="K94" s="468"/>
    </row>
    <row r="95" spans="2:11">
      <c r="D95" s="468"/>
      <c r="E95" s="468"/>
      <c r="F95" s="468"/>
      <c r="G95" s="468"/>
      <c r="H95" s="468"/>
      <c r="I95" s="468"/>
      <c r="J95" s="468"/>
      <c r="K95" s="468"/>
    </row>
    <row r="96" spans="2:11">
      <c r="D96" s="468"/>
      <c r="E96" s="468"/>
      <c r="F96" s="468"/>
      <c r="G96" s="468"/>
      <c r="H96" s="468"/>
      <c r="I96" s="468"/>
      <c r="J96" s="468"/>
      <c r="K96" s="468"/>
    </row>
    <row r="97" spans="2:11">
      <c r="D97" s="468"/>
      <c r="E97" s="468"/>
      <c r="F97" s="468"/>
      <c r="G97" s="468"/>
      <c r="H97" s="468"/>
      <c r="I97" s="468"/>
      <c r="J97" s="468"/>
      <c r="K97" s="468"/>
    </row>
    <row r="98" spans="2:11">
      <c r="D98" s="468"/>
      <c r="E98" s="468"/>
      <c r="F98" s="468"/>
      <c r="G98" s="468"/>
      <c r="H98" s="468"/>
      <c r="I98" s="468"/>
      <c r="J98" s="468"/>
      <c r="K98" s="468"/>
    </row>
    <row r="99" spans="2:11">
      <c r="D99" s="475"/>
      <c r="E99" s="475"/>
      <c r="F99" s="475"/>
      <c r="G99" s="475"/>
      <c r="H99" s="475"/>
      <c r="I99" s="475"/>
      <c r="J99" s="475"/>
      <c r="K99" s="475"/>
    </row>
    <row r="100" spans="2:11">
      <c r="B100" s="218"/>
      <c r="C100" s="218"/>
      <c r="D100" s="478"/>
      <c r="E100" s="478"/>
      <c r="F100" s="478"/>
      <c r="G100" s="478"/>
      <c r="H100" s="478"/>
      <c r="I100" s="478"/>
      <c r="J100" s="478"/>
      <c r="K100" s="478"/>
    </row>
    <row r="102" spans="2:11">
      <c r="D102" s="566"/>
      <c r="E102" s="566"/>
      <c r="F102" s="566"/>
      <c r="G102" s="566"/>
      <c r="H102" s="566"/>
      <c r="I102" s="566"/>
    </row>
  </sheetData>
  <mergeCells count="38">
    <mergeCell ref="B25:G25"/>
    <mergeCell ref="K83:K84"/>
    <mergeCell ref="B80:J80"/>
    <mergeCell ref="I82:J82"/>
    <mergeCell ref="B83:B84"/>
    <mergeCell ref="D83:D84"/>
    <mergeCell ref="E83:E84"/>
    <mergeCell ref="F83:F84"/>
    <mergeCell ref="G83:G84"/>
    <mergeCell ref="H83:H84"/>
    <mergeCell ref="I83:I84"/>
    <mergeCell ref="J83:J84"/>
    <mergeCell ref="B59:B60"/>
    <mergeCell ref="D59:D60"/>
    <mergeCell ref="E59:E60"/>
    <mergeCell ref="F59:F60"/>
    <mergeCell ref="G59:G60"/>
    <mergeCell ref="H33:H34"/>
    <mergeCell ref="I33:I34"/>
    <mergeCell ref="J33:J34"/>
    <mergeCell ref="B55:G56"/>
    <mergeCell ref="F58:G58"/>
    <mergeCell ref="K33:K34"/>
    <mergeCell ref="B2:H2"/>
    <mergeCell ref="F4:G4"/>
    <mergeCell ref="B5:B7"/>
    <mergeCell ref="D5:G5"/>
    <mergeCell ref="C6:C7"/>
    <mergeCell ref="D6:D7"/>
    <mergeCell ref="E6:E7"/>
    <mergeCell ref="F6:F7"/>
    <mergeCell ref="G6:G7"/>
    <mergeCell ref="I32:J32"/>
    <mergeCell ref="B33:B34"/>
    <mergeCell ref="D33:D34"/>
    <mergeCell ref="E33:E34"/>
    <mergeCell ref="F33:F34"/>
    <mergeCell ref="G33:G34"/>
  </mergeCells>
  <pageMargins left="0.7" right="0.7" top="0.75" bottom="0.75" header="0.3" footer="0.3"/>
  <pageSetup paperSize="9" scale="78" orientation="landscape" r:id="rId1"/>
  <rowBreaks count="1" manualBreakCount="1">
    <brk id="52" min="1" max="9"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T47"/>
  <sheetViews>
    <sheetView showGridLines="0" view="pageBreakPreview" zoomScale="85" zoomScaleNormal="80" zoomScaleSheetLayoutView="85" workbookViewId="0">
      <pane xSplit="2" topLeftCell="E1" activePane="topRight" state="frozen"/>
      <selection pane="topRight" activeCell="J56" sqref="J56"/>
    </sheetView>
  </sheetViews>
  <sheetFormatPr defaultColWidth="9.140625" defaultRowHeight="12.75"/>
  <cols>
    <col min="1" max="1" width="4.42578125" style="292" customWidth="1"/>
    <col min="2" max="2" width="22.28515625" style="292" customWidth="1"/>
    <col min="3" max="10" width="16.140625" style="292" customWidth="1"/>
    <col min="11" max="11" width="14.5703125" style="292" customWidth="1"/>
    <col min="12" max="12" width="9.7109375" style="292" customWidth="1"/>
    <col min="13" max="13" width="14" style="292" customWidth="1"/>
    <col min="14" max="18" width="6.5703125" style="292" customWidth="1"/>
    <col min="19" max="16384" width="9.140625" style="292"/>
  </cols>
  <sheetData>
    <row r="1" spans="2:19">
      <c r="B1" s="295"/>
      <c r="C1" s="295"/>
      <c r="D1" s="295"/>
      <c r="E1" s="295"/>
    </row>
    <row r="2" spans="2:19" ht="18.75" customHeight="1">
      <c r="B2" s="3593" t="s">
        <v>461</v>
      </c>
      <c r="C2" s="3692"/>
      <c r="D2" s="3692"/>
      <c r="E2" s="3692"/>
      <c r="F2" s="3692"/>
      <c r="G2" s="3692"/>
      <c r="H2" s="3692"/>
      <c r="I2" s="3692"/>
      <c r="J2" s="3692"/>
    </row>
    <row r="3" spans="2:19" ht="18.75" customHeight="1">
      <c r="B3" s="218"/>
      <c r="C3" s="218"/>
      <c r="D3" s="218"/>
      <c r="E3" s="218"/>
      <c r="F3" s="218"/>
      <c r="G3" s="218"/>
      <c r="H3" s="218"/>
      <c r="I3" s="218"/>
      <c r="J3" s="218"/>
    </row>
    <row r="4" spans="2:19" ht="14.25">
      <c r="B4" s="3693" t="s">
        <v>83</v>
      </c>
      <c r="C4" s="3467" t="s">
        <v>462</v>
      </c>
      <c r="D4" s="3468"/>
      <c r="E4" s="3468"/>
      <c r="F4" s="3468"/>
      <c r="G4" s="3468"/>
      <c r="H4" s="3468"/>
      <c r="I4" s="3468"/>
      <c r="J4" s="3469"/>
    </row>
    <row r="5" spans="2:19" ht="51">
      <c r="B5" s="3695"/>
      <c r="C5" s="1904" t="s">
        <v>463</v>
      </c>
      <c r="D5" s="1821" t="s">
        <v>464</v>
      </c>
      <c r="E5" s="1820" t="s">
        <v>465</v>
      </c>
      <c r="F5" s="1821" t="s">
        <v>466</v>
      </c>
      <c r="G5" s="1821" t="s">
        <v>467</v>
      </c>
      <c r="H5" s="1821" t="s">
        <v>468</v>
      </c>
      <c r="I5" s="1821" t="s">
        <v>469</v>
      </c>
      <c r="J5" s="1821" t="s">
        <v>470</v>
      </c>
    </row>
    <row r="6" spans="2:19">
      <c r="B6" s="1895" t="s">
        <v>91</v>
      </c>
      <c r="C6" s="2014">
        <v>405928.95816645114</v>
      </c>
      <c r="D6" s="2014">
        <v>837778.51139</v>
      </c>
      <c r="E6" s="2014">
        <v>3083121.2232661285</v>
      </c>
      <c r="F6" s="1989"/>
      <c r="G6" s="2014">
        <v>3484467.4367408045</v>
      </c>
      <c r="H6" s="2014">
        <v>717371.59732918919</v>
      </c>
      <c r="I6" s="2761">
        <f>SUM(C6:H6)</f>
        <v>8528667.7268925738</v>
      </c>
      <c r="J6" s="2761">
        <f>((((C6+D6+E6+F6)^2)+(G6^2)+(H6^2))^0.5)</f>
        <v>5601569.5892664241</v>
      </c>
      <c r="K6" s="567"/>
      <c r="L6" s="567"/>
      <c r="M6" s="567"/>
      <c r="N6" s="567"/>
      <c r="O6" s="567"/>
      <c r="P6" s="567"/>
      <c r="Q6" s="567"/>
      <c r="R6" s="567"/>
      <c r="S6" s="567"/>
    </row>
    <row r="7" spans="2:19">
      <c r="B7" s="2061" t="s">
        <v>93</v>
      </c>
      <c r="C7" s="2014">
        <v>3779.7258311815194</v>
      </c>
      <c r="D7" s="2014">
        <v>4964.5614399999995</v>
      </c>
      <c r="E7" s="2014">
        <v>38894.471254435834</v>
      </c>
      <c r="F7" s="2014">
        <v>1356.7190847278334</v>
      </c>
      <c r="G7" s="2014">
        <v>201430.8831366268</v>
      </c>
      <c r="H7" s="2014">
        <v>63884.562010899317</v>
      </c>
      <c r="I7" s="2761">
        <f t="shared" ref="I7:I20" si="0">SUM(C7:H7)</f>
        <v>314310.92275787127</v>
      </c>
      <c r="J7" s="2761">
        <f t="shared" ref="J7:J20" si="1">((((C7+D7+E7+F7)^2)+(G7^2)+(H7^2))^0.5)</f>
        <v>216924.39874479698</v>
      </c>
      <c r="K7" s="567"/>
      <c r="L7" s="567"/>
      <c r="M7" s="567"/>
      <c r="N7" s="567"/>
      <c r="O7" s="567"/>
      <c r="P7" s="567"/>
      <c r="Q7" s="567"/>
      <c r="R7" s="567"/>
      <c r="S7" s="567"/>
    </row>
    <row r="8" spans="2:19">
      <c r="B8" s="2061" t="s">
        <v>94</v>
      </c>
      <c r="C8" s="2014">
        <v>20622.545185728057</v>
      </c>
      <c r="D8" s="2014">
        <v>145518.49860000011</v>
      </c>
      <c r="E8" s="2014">
        <v>93121.333339041739</v>
      </c>
      <c r="F8" s="2014">
        <v>692.46778943903519</v>
      </c>
      <c r="G8" s="2014">
        <v>0</v>
      </c>
      <c r="H8" s="2014">
        <v>30818.70938</v>
      </c>
      <c r="I8" s="2761">
        <f t="shared" si="0"/>
        <v>290773.55429420894</v>
      </c>
      <c r="J8" s="2761">
        <f t="shared" si="1"/>
        <v>261775.31251479642</v>
      </c>
      <c r="K8" s="567"/>
      <c r="L8" s="567"/>
      <c r="M8" s="567"/>
      <c r="N8" s="567"/>
      <c r="O8" s="567"/>
      <c r="P8" s="567"/>
      <c r="Q8" s="567"/>
      <c r="R8" s="567"/>
      <c r="S8" s="567"/>
    </row>
    <row r="9" spans="2:19">
      <c r="B9" s="2061" t="s">
        <v>96</v>
      </c>
      <c r="C9" s="2014">
        <v>43002.739806355821</v>
      </c>
      <c r="D9" s="2014">
        <v>24935.306879767239</v>
      </c>
      <c r="E9" s="2014">
        <v>268971.06143878656</v>
      </c>
      <c r="F9" s="2014">
        <v>47.83271946200356</v>
      </c>
      <c r="G9" s="2014">
        <v>309599.92910836637</v>
      </c>
      <c r="H9" s="2014">
        <v>40798.783268992323</v>
      </c>
      <c r="I9" s="2761">
        <f t="shared" si="0"/>
        <v>687355.65322173038</v>
      </c>
      <c r="J9" s="2761">
        <f t="shared" si="1"/>
        <v>459409.00818696734</v>
      </c>
      <c r="K9" s="567"/>
      <c r="L9" s="567"/>
      <c r="M9" s="567"/>
      <c r="N9" s="567"/>
      <c r="O9" s="567"/>
      <c r="P9" s="567"/>
      <c r="Q9" s="567"/>
      <c r="R9" s="567"/>
      <c r="S9" s="567"/>
    </row>
    <row r="10" spans="2:19">
      <c r="B10" s="2061" t="s">
        <v>97</v>
      </c>
      <c r="C10" s="2014">
        <v>1788403.2522151405</v>
      </c>
      <c r="D10" s="2014">
        <v>936699.18667999993</v>
      </c>
      <c r="E10" s="2014">
        <v>13906140.171356205</v>
      </c>
      <c r="F10" s="2014">
        <v>6751.5533664472105</v>
      </c>
      <c r="G10" s="2014">
        <v>3771491.5737300962</v>
      </c>
      <c r="H10" s="2014">
        <v>1579704.951906712</v>
      </c>
      <c r="I10" s="2761">
        <f t="shared" si="0"/>
        <v>21989190.689254597</v>
      </c>
      <c r="J10" s="2761">
        <f t="shared" si="1"/>
        <v>17133081.048497241</v>
      </c>
      <c r="K10" s="567"/>
      <c r="L10" s="567"/>
      <c r="M10" s="567"/>
      <c r="N10" s="567"/>
      <c r="O10" s="567"/>
      <c r="P10" s="567"/>
      <c r="Q10" s="567"/>
      <c r="R10" s="567"/>
      <c r="S10" s="567"/>
    </row>
    <row r="11" spans="2:19">
      <c r="B11" s="2061" t="s">
        <v>100</v>
      </c>
      <c r="C11" s="2014">
        <v>84122</v>
      </c>
      <c r="D11" s="2014">
        <v>11727</v>
      </c>
      <c r="E11" s="2014">
        <v>300427</v>
      </c>
      <c r="F11" s="2014">
        <v>1936</v>
      </c>
      <c r="G11" s="2014">
        <v>432752</v>
      </c>
      <c r="H11" s="2014">
        <v>34918</v>
      </c>
      <c r="I11" s="2761">
        <f t="shared" si="0"/>
        <v>865882</v>
      </c>
      <c r="J11" s="2761">
        <f t="shared" si="1"/>
        <v>589123.38026257278</v>
      </c>
      <c r="K11" s="567"/>
      <c r="L11" s="567"/>
      <c r="M11" s="567"/>
      <c r="N11" s="567"/>
      <c r="O11" s="567"/>
      <c r="P11" s="567"/>
      <c r="Q11" s="567"/>
      <c r="R11" s="567"/>
      <c r="S11" s="567"/>
    </row>
    <row r="12" spans="2:19">
      <c r="B12" s="2061" t="s">
        <v>103</v>
      </c>
      <c r="C12" s="2014">
        <v>453841.44418978941</v>
      </c>
      <c r="D12" s="2014">
        <v>300384.17255999998</v>
      </c>
      <c r="E12" s="2014">
        <v>1697309.8824518882</v>
      </c>
      <c r="F12" s="2014">
        <v>805.87921373692154</v>
      </c>
      <c r="G12" s="2014">
        <v>980410.48762677808</v>
      </c>
      <c r="H12" s="2014">
        <v>258531.20594293156</v>
      </c>
      <c r="I12" s="2761">
        <f t="shared" si="0"/>
        <v>3691283.0719851241</v>
      </c>
      <c r="J12" s="2761">
        <f t="shared" si="1"/>
        <v>2653680.7164734984</v>
      </c>
      <c r="K12" s="567"/>
      <c r="L12" s="567"/>
      <c r="M12" s="567"/>
      <c r="N12" s="567"/>
      <c r="O12" s="567"/>
      <c r="P12" s="567"/>
      <c r="Q12" s="567"/>
      <c r="R12" s="567"/>
      <c r="S12" s="567"/>
    </row>
    <row r="13" spans="2:19">
      <c r="B13" s="2061" t="s">
        <v>105</v>
      </c>
      <c r="C13" s="2014">
        <v>460431.11100438796</v>
      </c>
      <c r="D13" s="2014">
        <v>250364.10209</v>
      </c>
      <c r="E13" s="2014">
        <v>2479800.5543899415</v>
      </c>
      <c r="F13" s="2014">
        <v>2220.1821219010353</v>
      </c>
      <c r="G13" s="2014">
        <v>922572.2735984996</v>
      </c>
      <c r="H13" s="2014">
        <v>234465.3334958854</v>
      </c>
      <c r="I13" s="2761">
        <f t="shared" si="0"/>
        <v>4349853.5567006152</v>
      </c>
      <c r="J13" s="2761">
        <f t="shared" si="1"/>
        <v>3331694.3558321758</v>
      </c>
      <c r="K13" s="567"/>
      <c r="L13" s="567"/>
      <c r="M13" s="567"/>
      <c r="N13" s="567"/>
      <c r="O13" s="567"/>
      <c r="P13" s="567"/>
      <c r="Q13" s="567"/>
      <c r="R13" s="567"/>
      <c r="S13" s="567"/>
    </row>
    <row r="14" spans="2:19">
      <c r="B14" s="2061" t="s">
        <v>106</v>
      </c>
      <c r="C14" s="2014">
        <v>40735.471985976634</v>
      </c>
      <c r="D14" s="2014">
        <v>65364.27466929215</v>
      </c>
      <c r="E14" s="2014">
        <v>206213.45109106798</v>
      </c>
      <c r="F14" s="2014">
        <v>42.963969107381999</v>
      </c>
      <c r="G14" s="2014">
        <v>126036.44271318847</v>
      </c>
      <c r="H14" s="2014">
        <v>35598.072533070779</v>
      </c>
      <c r="I14" s="2761">
        <f t="shared" si="0"/>
        <v>473990.67696170334</v>
      </c>
      <c r="J14" s="2761">
        <f t="shared" si="1"/>
        <v>338701.60823572904</v>
      </c>
      <c r="K14" s="567"/>
      <c r="L14" s="567"/>
      <c r="M14" s="567"/>
      <c r="N14" s="567"/>
      <c r="O14" s="567"/>
      <c r="P14" s="567"/>
      <c r="Q14" s="567"/>
      <c r="R14" s="567"/>
      <c r="S14" s="567"/>
    </row>
    <row r="15" spans="2:19">
      <c r="B15" s="2061" t="s">
        <v>107</v>
      </c>
      <c r="C15" s="2014">
        <v>33484.186258634109</v>
      </c>
      <c r="D15" s="2014">
        <v>72585.175486648121</v>
      </c>
      <c r="E15" s="2014">
        <v>1068704.1132427272</v>
      </c>
      <c r="F15" s="2014">
        <v>6005.5720590905476</v>
      </c>
      <c r="G15" s="2014">
        <v>428800.6982236011</v>
      </c>
      <c r="H15" s="2014">
        <v>76140.380201071574</v>
      </c>
      <c r="I15" s="2761">
        <f t="shared" si="0"/>
        <v>1685720.1254717726</v>
      </c>
      <c r="J15" s="2761">
        <f t="shared" si="1"/>
        <v>1258533.4934914007</v>
      </c>
      <c r="K15" s="567"/>
      <c r="L15" s="567"/>
      <c r="M15" s="567"/>
      <c r="N15" s="567"/>
      <c r="O15" s="567"/>
      <c r="P15" s="567"/>
      <c r="Q15" s="567"/>
      <c r="R15" s="567"/>
      <c r="S15" s="567"/>
    </row>
    <row r="16" spans="2:19">
      <c r="B16" s="2061" t="s">
        <v>109</v>
      </c>
      <c r="C16" s="2014">
        <v>8244.8749275492828</v>
      </c>
      <c r="D16" s="2014">
        <v>25398.211427218186</v>
      </c>
      <c r="E16" s="2014">
        <v>38938.01373205219</v>
      </c>
      <c r="F16" s="2014">
        <v>22.246497439999995</v>
      </c>
      <c r="G16" s="2014">
        <v>20021.838882315729</v>
      </c>
      <c r="H16" s="2014">
        <v>10645.818767691897</v>
      </c>
      <c r="I16" s="2761">
        <f t="shared" si="0"/>
        <v>103271.00423426728</v>
      </c>
      <c r="J16" s="2761">
        <f t="shared" si="1"/>
        <v>76062.168156699816</v>
      </c>
      <c r="K16" s="567"/>
      <c r="L16" s="567"/>
      <c r="M16" s="567"/>
      <c r="N16" s="567"/>
      <c r="O16" s="567"/>
      <c r="P16" s="567"/>
      <c r="Q16" s="567"/>
      <c r="R16" s="567"/>
      <c r="S16" s="567"/>
    </row>
    <row r="17" spans="2:20">
      <c r="B17" s="2061" t="s">
        <v>113</v>
      </c>
      <c r="C17" s="2014">
        <v>26138.191851882497</v>
      </c>
      <c r="D17" s="2014">
        <v>181539.83669492204</v>
      </c>
      <c r="E17" s="2014">
        <v>157429.41394197737</v>
      </c>
      <c r="F17" s="2014">
        <v>17.115880000000004</v>
      </c>
      <c r="G17" s="2014">
        <v>95105.700994159415</v>
      </c>
      <c r="H17" s="2014">
        <v>22215.116668544146</v>
      </c>
      <c r="I17" s="2761">
        <f>SUM(C17:H17)</f>
        <v>482445.37603148539</v>
      </c>
      <c r="J17" s="2761">
        <f t="shared" si="1"/>
        <v>377961.0415032024</v>
      </c>
      <c r="K17" s="567"/>
      <c r="L17" s="567"/>
      <c r="M17" s="567"/>
      <c r="N17" s="567"/>
      <c r="O17" s="567"/>
      <c r="P17" s="567"/>
      <c r="Q17" s="567"/>
      <c r="R17" s="567"/>
      <c r="S17" s="567"/>
    </row>
    <row r="18" spans="2:20">
      <c r="B18" s="2061" t="s">
        <v>115</v>
      </c>
      <c r="C18" s="2014">
        <v>1722707.4601827203</v>
      </c>
      <c r="D18" s="2014">
        <v>2410946.2150700004</v>
      </c>
      <c r="E18" s="2014">
        <v>12072062.445409579</v>
      </c>
      <c r="F18" s="1989"/>
      <c r="G18" s="2014">
        <v>6011473.1984199807</v>
      </c>
      <c r="H18" s="2014">
        <v>1721706.9794421385</v>
      </c>
      <c r="I18" s="2761">
        <f t="shared" si="0"/>
        <v>23938896.298524421</v>
      </c>
      <c r="J18" s="2761">
        <f t="shared" si="1"/>
        <v>17370299.937591046</v>
      </c>
      <c r="K18" s="567"/>
      <c r="L18" s="567"/>
      <c r="M18" s="567"/>
      <c r="N18" s="567"/>
      <c r="O18" s="567"/>
      <c r="P18" s="567"/>
      <c r="Q18" s="567"/>
      <c r="R18" s="567"/>
      <c r="S18" s="567"/>
    </row>
    <row r="19" spans="2:20">
      <c r="B19" s="2061" t="s">
        <v>116</v>
      </c>
      <c r="C19" s="2014">
        <v>305146.03847573692</v>
      </c>
      <c r="D19" s="2014">
        <v>920645.36025330133</v>
      </c>
      <c r="E19" s="2014">
        <v>3508956.9740398009</v>
      </c>
      <c r="F19" s="2014">
        <v>2067.3200000000002</v>
      </c>
      <c r="G19" s="2014">
        <v>4599897.9637526823</v>
      </c>
      <c r="H19" s="2014">
        <v>321648.88102847774</v>
      </c>
      <c r="I19" s="2761">
        <f t="shared" si="0"/>
        <v>9658362.5375499986</v>
      </c>
      <c r="J19" s="2761">
        <f>((((C19+D19+E19+F19)^2)+(G19^2)+(H19^2))^0.5)</f>
        <v>6610593.1796521926</v>
      </c>
      <c r="K19" s="567"/>
      <c r="L19" s="567"/>
      <c r="M19" s="567"/>
      <c r="N19" s="567"/>
      <c r="O19" s="567"/>
      <c r="P19" s="567"/>
      <c r="Q19" s="567"/>
      <c r="R19" s="567"/>
      <c r="S19" s="567"/>
    </row>
    <row r="20" spans="2:20">
      <c r="B20" s="2061" t="s">
        <v>117</v>
      </c>
      <c r="C20" s="2014">
        <v>550837.37600000005</v>
      </c>
      <c r="D20" s="2014">
        <v>982231</v>
      </c>
      <c r="E20" s="2014">
        <v>4614727.0817202097</v>
      </c>
      <c r="F20" s="2014">
        <v>184.21800268183787</v>
      </c>
      <c r="G20" s="2014">
        <v>1633883.9723989144</v>
      </c>
      <c r="H20" s="2014">
        <v>668703.04</v>
      </c>
      <c r="I20" s="2761">
        <f t="shared" si="0"/>
        <v>8450566.6881218068</v>
      </c>
      <c r="J20" s="2761">
        <f t="shared" si="1"/>
        <v>6396436.0923930947</v>
      </c>
      <c r="K20" s="567"/>
      <c r="L20" s="567"/>
      <c r="M20" s="567"/>
      <c r="N20" s="567"/>
      <c r="O20" s="567"/>
      <c r="P20" s="567"/>
      <c r="Q20" s="567"/>
      <c r="R20" s="567"/>
      <c r="S20" s="567"/>
    </row>
    <row r="21" spans="2:20">
      <c r="B21" s="2766" t="s">
        <v>118</v>
      </c>
      <c r="C21" s="2765">
        <f>SUM(C6:C20)</f>
        <v>5947425.3760815337</v>
      </c>
      <c r="D21" s="2765">
        <f t="shared" ref="D21:J21" si="2">SUM(D6:D20)</f>
        <v>7171081.4132411489</v>
      </c>
      <c r="E21" s="2765">
        <f t="shared" si="2"/>
        <v>43534817.190673843</v>
      </c>
      <c r="F21" s="2765">
        <f t="shared" si="2"/>
        <v>22150.070704033809</v>
      </c>
      <c r="G21" s="2765">
        <f t="shared" si="2"/>
        <v>23017944.399326015</v>
      </c>
      <c r="H21" s="2765">
        <f>SUM(H6:H20)</f>
        <v>5817151.431975605</v>
      </c>
      <c r="I21" s="2765">
        <f t="shared" si="2"/>
        <v>85510569.88200219</v>
      </c>
      <c r="J21" s="2765">
        <f t="shared" si="2"/>
        <v>62675845.33080183</v>
      </c>
      <c r="K21" s="567"/>
      <c r="L21" s="567"/>
      <c r="M21" s="567"/>
      <c r="N21" s="567"/>
      <c r="O21" s="567"/>
      <c r="P21" s="567"/>
      <c r="Q21" s="567"/>
      <c r="R21" s="567"/>
      <c r="S21" s="567"/>
    </row>
    <row r="22" spans="2:20" ht="18.75" customHeight="1">
      <c r="B22" s="218"/>
      <c r="C22" s="478"/>
      <c r="D22" s="478"/>
      <c r="E22" s="478"/>
      <c r="F22" s="478"/>
      <c r="G22" s="478"/>
      <c r="H22" s="478"/>
      <c r="I22" s="478"/>
      <c r="J22" s="478"/>
    </row>
    <row r="23" spans="2:20" ht="18.75" customHeight="1">
      <c r="C23" s="396"/>
      <c r="D23" s="396"/>
      <c r="E23" s="396"/>
      <c r="F23" s="396"/>
      <c r="G23" s="396"/>
      <c r="H23" s="396"/>
      <c r="I23" s="396"/>
      <c r="J23" s="396"/>
    </row>
    <row r="24" spans="2:20" ht="14.25">
      <c r="B24" s="3693" t="s">
        <v>83</v>
      </c>
      <c r="C24" s="3467" t="s">
        <v>471</v>
      </c>
      <c r="D24" s="3468"/>
      <c r="E24" s="3468"/>
      <c r="F24" s="3468"/>
      <c r="G24" s="3468"/>
      <c r="H24" s="3468"/>
      <c r="I24" s="3468"/>
      <c r="J24" s="3469"/>
    </row>
    <row r="25" spans="2:20" ht="51">
      <c r="B25" s="3695"/>
      <c r="C25" s="1904" t="s">
        <v>463</v>
      </c>
      <c r="D25" s="1821" t="s">
        <v>464</v>
      </c>
      <c r="E25" s="1820" t="s">
        <v>465</v>
      </c>
      <c r="F25" s="1821" t="s">
        <v>466</v>
      </c>
      <c r="G25" s="1821" t="s">
        <v>467</v>
      </c>
      <c r="H25" s="1821" t="s">
        <v>468</v>
      </c>
      <c r="I25" s="1821" t="s">
        <v>469</v>
      </c>
      <c r="J25" s="1821" t="s">
        <v>470</v>
      </c>
    </row>
    <row r="26" spans="2:20">
      <c r="B26" s="1895" t="s">
        <v>91</v>
      </c>
      <c r="C26" s="2014">
        <v>403735.43789051281</v>
      </c>
      <c r="D26" s="2014">
        <v>510328.20303999999</v>
      </c>
      <c r="E26" s="2014">
        <v>2744866.0034343502</v>
      </c>
      <c r="F26" s="1989"/>
      <c r="G26" s="2014">
        <v>2500255.5490733497</v>
      </c>
      <c r="H26" s="2014">
        <v>722277.83733242925</v>
      </c>
      <c r="I26" s="2767">
        <f>SUM(C26:H26)</f>
        <v>6881463.0307706427</v>
      </c>
      <c r="J26" s="2767">
        <f>((((C26+D26+E26+F26)^2)+(G26^2)+(H26^2))^0.5)</f>
        <v>4490070.0693180356</v>
      </c>
      <c r="K26" s="567"/>
      <c r="L26" s="437"/>
      <c r="M26" s="23"/>
      <c r="N26" s="23"/>
      <c r="O26" s="23"/>
      <c r="P26" s="23"/>
      <c r="Q26" s="23"/>
      <c r="R26" s="23"/>
      <c r="S26" s="291"/>
      <c r="T26" s="744"/>
    </row>
    <row r="27" spans="2:20">
      <c r="B27" s="2061" t="s">
        <v>93</v>
      </c>
      <c r="C27" s="2014">
        <v>3968.532281507928</v>
      </c>
      <c r="D27" s="2014">
        <v>6945.3266299999996</v>
      </c>
      <c r="E27" s="2014">
        <v>287261.92258002842</v>
      </c>
      <c r="F27" s="2014">
        <v>1380.4382319788363</v>
      </c>
      <c r="G27" s="2014">
        <v>223093.81385818776</v>
      </c>
      <c r="H27" s="2014">
        <v>64202.763659613171</v>
      </c>
      <c r="I27" s="2767">
        <f t="shared" ref="I27:I39" si="3">SUM(C27:H27)</f>
        <v>586852.79724131618</v>
      </c>
      <c r="J27" s="2767">
        <f t="shared" ref="J27:J39" si="4">((((C27+D27+E27+F27)^2)+(G27^2)+(H27^2))^0.5)</f>
        <v>378981.23095790215</v>
      </c>
      <c r="K27" s="567"/>
      <c r="L27" s="437"/>
    </row>
    <row r="28" spans="2:20">
      <c r="B28" s="2061" t="s">
        <v>94</v>
      </c>
      <c r="C28" s="2014">
        <v>20271.849408000002</v>
      </c>
      <c r="D28" s="2014">
        <v>142869.42236</v>
      </c>
      <c r="E28" s="2014">
        <v>107436.00209683277</v>
      </c>
      <c r="F28" s="2014">
        <v>416.26501683750746</v>
      </c>
      <c r="G28" s="2014">
        <v>34414.421622357011</v>
      </c>
      <c r="H28" s="2014">
        <v>33257.031149999995</v>
      </c>
      <c r="I28" s="2767">
        <f t="shared" si="3"/>
        <v>338664.99165402731</v>
      </c>
      <c r="J28" s="2767">
        <f t="shared" si="4"/>
        <v>275186.99215646944</v>
      </c>
      <c r="K28" s="567"/>
      <c r="L28" s="437"/>
    </row>
    <row r="29" spans="2:20">
      <c r="B29" s="2061" t="s">
        <v>96</v>
      </c>
      <c r="C29" s="2014">
        <v>57884.306298241965</v>
      </c>
      <c r="D29" s="2014">
        <v>20375.897009999993</v>
      </c>
      <c r="E29" s="2014">
        <v>190809.11278362715</v>
      </c>
      <c r="F29" s="2014">
        <v>67.484536031994963</v>
      </c>
      <c r="G29" s="2014">
        <v>391312.39443536499</v>
      </c>
      <c r="H29" s="2014">
        <v>42480.212984048914</v>
      </c>
      <c r="I29" s="2767">
        <f t="shared" si="3"/>
        <v>702929.40804731508</v>
      </c>
      <c r="J29" s="2767">
        <f t="shared" si="4"/>
        <v>476827.61663533235</v>
      </c>
      <c r="K29" s="567"/>
      <c r="L29" s="437"/>
    </row>
    <row r="30" spans="2:20">
      <c r="B30" s="2061" t="s">
        <v>97</v>
      </c>
      <c r="C30" s="2014">
        <v>2023077.4262232159</v>
      </c>
      <c r="D30" s="2014">
        <v>811404.85559000005</v>
      </c>
      <c r="E30" s="2014">
        <v>14630734.161045469</v>
      </c>
      <c r="F30" s="2014">
        <v>6682.7978837537885</v>
      </c>
      <c r="G30" s="2014">
        <v>4176319.6152302921</v>
      </c>
      <c r="H30" s="2014">
        <v>1738317.0395623925</v>
      </c>
      <c r="I30" s="2767">
        <f t="shared" si="3"/>
        <v>23386535.895535123</v>
      </c>
      <c r="J30" s="2767">
        <f t="shared" si="4"/>
        <v>18048009.716787234</v>
      </c>
      <c r="K30" s="567"/>
      <c r="L30" s="437"/>
    </row>
    <row r="31" spans="2:20">
      <c r="B31" s="2061" t="s">
        <v>100</v>
      </c>
      <c r="C31" s="2014">
        <v>108421</v>
      </c>
      <c r="D31" s="2014">
        <v>15266</v>
      </c>
      <c r="E31" s="2014">
        <v>303239</v>
      </c>
      <c r="F31" s="2014">
        <v>2158</v>
      </c>
      <c r="G31" s="2014">
        <v>272764</v>
      </c>
      <c r="H31" s="2014">
        <v>36080</v>
      </c>
      <c r="I31" s="2767">
        <f t="shared" si="3"/>
        <v>737928</v>
      </c>
      <c r="J31" s="2767">
        <f t="shared" si="4"/>
        <v>509720.55594413693</v>
      </c>
      <c r="K31" s="567"/>
      <c r="L31" s="437"/>
    </row>
    <row r="32" spans="2:20">
      <c r="B32" s="2061" t="s">
        <v>103</v>
      </c>
      <c r="C32" s="2014">
        <v>473139</v>
      </c>
      <c r="D32" s="2014">
        <v>227543</v>
      </c>
      <c r="E32" s="2014">
        <v>3230051</v>
      </c>
      <c r="F32" s="2768">
        <v>0</v>
      </c>
      <c r="G32" s="2014">
        <v>808262</v>
      </c>
      <c r="H32" s="2014">
        <v>287928</v>
      </c>
      <c r="I32" s="2767">
        <f t="shared" si="3"/>
        <v>5026923</v>
      </c>
      <c r="J32" s="2767">
        <f t="shared" si="4"/>
        <v>4023288.6934841005</v>
      </c>
      <c r="K32" s="567"/>
      <c r="L32" s="437"/>
    </row>
    <row r="33" spans="2:20">
      <c r="B33" s="2061" t="s">
        <v>105</v>
      </c>
      <c r="C33" s="2014">
        <v>480563.20762919117</v>
      </c>
      <c r="D33" s="2014">
        <v>267471.21799000003</v>
      </c>
      <c r="E33" s="2014">
        <v>2352739.618831798</v>
      </c>
      <c r="F33" s="2014">
        <v>2289.5897638780029</v>
      </c>
      <c r="G33" s="2014">
        <v>1125373.8322395924</v>
      </c>
      <c r="H33" s="2014">
        <v>250797.14892624266</v>
      </c>
      <c r="I33" s="2767">
        <f t="shared" si="3"/>
        <v>4479234.6153807016</v>
      </c>
      <c r="J33" s="2767">
        <f t="shared" si="4"/>
        <v>3310342.7904351437</v>
      </c>
      <c r="K33" s="567"/>
      <c r="L33" s="437"/>
    </row>
    <row r="34" spans="2:20">
      <c r="B34" s="2061" t="s">
        <v>106</v>
      </c>
      <c r="C34" s="2014">
        <v>40356.704021280049</v>
      </c>
      <c r="D34" s="2014">
        <v>25025</v>
      </c>
      <c r="E34" s="2014">
        <v>228100.34842526077</v>
      </c>
      <c r="F34" s="2014">
        <v>35.770918100112965</v>
      </c>
      <c r="G34" s="2014">
        <v>93367.639051118866</v>
      </c>
      <c r="H34" s="2014">
        <v>34650.798700213505</v>
      </c>
      <c r="I34" s="2767">
        <f t="shared" si="3"/>
        <v>421536.26111597329</v>
      </c>
      <c r="J34" s="2767">
        <f t="shared" si="4"/>
        <v>309953.07145640498</v>
      </c>
      <c r="K34" s="567"/>
      <c r="L34" s="437"/>
    </row>
    <row r="35" spans="2:20">
      <c r="B35" s="2061" t="s">
        <v>107</v>
      </c>
      <c r="C35" s="2014">
        <v>77563.189373985835</v>
      </c>
      <c r="D35" s="2014">
        <v>123119.93027</v>
      </c>
      <c r="E35" s="2014">
        <v>439121.45651412051</v>
      </c>
      <c r="F35" s="2014">
        <v>560.13373248000005</v>
      </c>
      <c r="G35" s="2014">
        <v>318411.79735483835</v>
      </c>
      <c r="H35" s="2014">
        <v>95128.818078623211</v>
      </c>
      <c r="I35" s="2767">
        <f t="shared" si="3"/>
        <v>1053905.3253240478</v>
      </c>
      <c r="J35" s="2767">
        <f t="shared" si="4"/>
        <v>721458.61031456909</v>
      </c>
      <c r="K35" s="567"/>
      <c r="L35" s="437"/>
      <c r="M35" s="293"/>
      <c r="N35" s="293"/>
      <c r="O35" s="293"/>
      <c r="P35" s="293"/>
      <c r="Q35" s="293"/>
      <c r="R35" s="293"/>
      <c r="S35" s="291"/>
      <c r="T35" s="744"/>
    </row>
    <row r="36" spans="2:20" ht="15">
      <c r="B36" s="2061" t="s">
        <v>109</v>
      </c>
      <c r="C36" s="2014">
        <v>11375.515210882191</v>
      </c>
      <c r="D36" s="2014">
        <v>2415.3503700000001</v>
      </c>
      <c r="E36" s="2014">
        <v>41166.25491364082</v>
      </c>
      <c r="F36" s="2014">
        <v>118.9988072397216</v>
      </c>
      <c r="G36" s="2014">
        <v>17158.715959833353</v>
      </c>
      <c r="H36" s="2014">
        <v>9930.1171495338494</v>
      </c>
      <c r="I36" s="2767">
        <f t="shared" si="3"/>
        <v>82164.95241112994</v>
      </c>
      <c r="J36" s="2767">
        <f t="shared" si="4"/>
        <v>58535.524917230454</v>
      </c>
      <c r="K36" s="567"/>
      <c r="L36" s="437"/>
      <c r="M36" s="745"/>
      <c r="N36" s="745"/>
      <c r="O36" s="745"/>
      <c r="P36" s="745"/>
      <c r="Q36" s="745"/>
      <c r="R36" s="745"/>
      <c r="S36" s="746"/>
      <c r="T36" s="744"/>
    </row>
    <row r="37" spans="2:20">
      <c r="B37" s="2061" t="s">
        <v>113</v>
      </c>
      <c r="C37" s="2014">
        <v>38330.736264350555</v>
      </c>
      <c r="D37" s="2014">
        <v>167798.84089624096</v>
      </c>
      <c r="E37" s="2014">
        <v>253870.76256172871</v>
      </c>
      <c r="F37" s="1989"/>
      <c r="G37" s="2014">
        <v>83279.609198705482</v>
      </c>
      <c r="H37" s="2014">
        <v>25755.934986336742</v>
      </c>
      <c r="I37" s="2767">
        <f t="shared" si="3"/>
        <v>569035.88390736247</v>
      </c>
      <c r="J37" s="2767">
        <f t="shared" si="4"/>
        <v>468187.11434634717</v>
      </c>
      <c r="K37" s="567"/>
      <c r="L37" s="437"/>
      <c r="M37" s="293"/>
      <c r="N37" s="293"/>
      <c r="O37" s="293"/>
      <c r="P37" s="293"/>
      <c r="Q37" s="293"/>
      <c r="R37" s="293"/>
      <c r="S37" s="291"/>
      <c r="T37" s="744"/>
    </row>
    <row r="38" spans="2:20">
      <c r="B38" s="2061" t="s">
        <v>115</v>
      </c>
      <c r="C38" s="2014">
        <v>1772086.7614041595</v>
      </c>
      <c r="D38" s="2014">
        <v>2510518.3878400014</v>
      </c>
      <c r="E38" s="2014">
        <v>16403680.384471944</v>
      </c>
      <c r="F38" s="1989"/>
      <c r="G38" s="2014">
        <v>6233424.8292159289</v>
      </c>
      <c r="H38" s="2014">
        <v>1851946.0320504114</v>
      </c>
      <c r="I38" s="2767">
        <f t="shared" si="3"/>
        <v>28771656.394982446</v>
      </c>
      <c r="J38" s="2767">
        <f t="shared" si="4"/>
        <v>21684273.065739259</v>
      </c>
      <c r="K38" s="567"/>
      <c r="L38" s="437"/>
      <c r="M38" s="293"/>
      <c r="N38" s="293"/>
      <c r="O38" s="293"/>
      <c r="P38" s="744"/>
      <c r="Q38" s="293"/>
      <c r="R38" s="293"/>
      <c r="S38" s="291"/>
      <c r="T38" s="744"/>
    </row>
    <row r="39" spans="2:20">
      <c r="B39" s="2061" t="s">
        <v>116</v>
      </c>
      <c r="C39" s="2014">
        <v>493550.78052522009</v>
      </c>
      <c r="D39" s="2014">
        <v>991029.26300074335</v>
      </c>
      <c r="E39" s="2014">
        <v>2242838.8214673274</v>
      </c>
      <c r="F39" s="2102">
        <v>847.68263600000012</v>
      </c>
      <c r="G39" s="2014">
        <v>5735787.1007456882</v>
      </c>
      <c r="H39" s="2014">
        <v>375910.84792080574</v>
      </c>
      <c r="I39" s="2767">
        <f t="shared" si="3"/>
        <v>9839964.4962957837</v>
      </c>
      <c r="J39" s="2767">
        <f t="shared" si="4"/>
        <v>6851316.22980846</v>
      </c>
      <c r="K39" s="567"/>
      <c r="L39" s="437"/>
      <c r="M39" s="291"/>
      <c r="N39" s="291"/>
      <c r="O39" s="291"/>
      <c r="P39" s="291"/>
      <c r="Q39" s="291"/>
      <c r="R39" s="291"/>
      <c r="S39" s="291"/>
      <c r="T39" s="744"/>
    </row>
    <row r="40" spans="2:20" ht="15">
      <c r="B40" s="2061" t="s">
        <v>117</v>
      </c>
      <c r="C40" s="2014">
        <v>618464</v>
      </c>
      <c r="D40" s="2014">
        <v>516349</v>
      </c>
      <c r="E40" s="2014">
        <v>8174153</v>
      </c>
      <c r="F40" s="747">
        <v>140</v>
      </c>
      <c r="G40" s="2014">
        <v>1586154</v>
      </c>
      <c r="H40" s="2014">
        <v>689689</v>
      </c>
      <c r="I40" s="2767">
        <f>SUM(C40:H40)</f>
        <v>11584949</v>
      </c>
      <c r="J40" s="2767">
        <f>((((C40+D40+E40+F40)^2)+(G40^2)+(H40^2))^0.5)</f>
        <v>9468421.7242195643</v>
      </c>
      <c r="K40" s="567"/>
      <c r="L40" s="437"/>
      <c r="M40" s="273"/>
      <c r="N40" s="273"/>
      <c r="O40" s="273"/>
      <c r="P40" s="273"/>
      <c r="Q40" s="273"/>
      <c r="R40" s="273"/>
      <c r="S40" s="291"/>
      <c r="T40" s="744"/>
    </row>
    <row r="41" spans="2:20">
      <c r="B41" s="2766" t="s">
        <v>118</v>
      </c>
      <c r="C41" s="2765">
        <f>SUM(C26:C40)</f>
        <v>6622788.4465305489</v>
      </c>
      <c r="D41" s="2765">
        <f t="shared" ref="D41:H41" si="5">SUM(D26:D40)</f>
        <v>6338459.6949969865</v>
      </c>
      <c r="E41" s="2765">
        <f t="shared" si="5"/>
        <v>51630067.849126123</v>
      </c>
      <c r="F41" s="2765">
        <f t="shared" si="5"/>
        <v>14697.161526299964</v>
      </c>
      <c r="G41" s="2765">
        <f>SUM(G26:G40)</f>
        <v>23599379.317985259</v>
      </c>
      <c r="H41" s="2765">
        <f t="shared" si="5"/>
        <v>6258351.5825006515</v>
      </c>
      <c r="I41" s="2765">
        <f>SUM(I26:I40)</f>
        <v>94463744.052665874</v>
      </c>
      <c r="J41" s="2765">
        <f t="shared" ref="J41" si="6">SUM(J26:J40)</f>
        <v>71074573.006520197</v>
      </c>
      <c r="K41" s="567"/>
      <c r="L41" s="437"/>
      <c r="M41" s="530"/>
      <c r="N41" s="530"/>
      <c r="O41" s="530"/>
      <c r="P41" s="530"/>
      <c r="Q41" s="530"/>
      <c r="R41" s="530"/>
      <c r="S41" s="530"/>
    </row>
    <row r="43" spans="2:20" ht="27.6" customHeight="1">
      <c r="B43" s="3494" t="s">
        <v>460</v>
      </c>
      <c r="C43" s="3494"/>
      <c r="D43" s="3494"/>
      <c r="E43" s="3494"/>
      <c r="F43" s="3494"/>
      <c r="G43" s="3494"/>
      <c r="H43" s="3494"/>
      <c r="I43" s="3494"/>
      <c r="J43" s="3494"/>
    </row>
    <row r="45" spans="2:20">
      <c r="C45" s="396"/>
      <c r="J45" s="292">
        <v>142</v>
      </c>
    </row>
    <row r="46" spans="2:20">
      <c r="B46" s="490"/>
    </row>
    <row r="47" spans="2:20">
      <c r="J47" s="396"/>
    </row>
  </sheetData>
  <mergeCells count="6">
    <mergeCell ref="B43:J43"/>
    <mergeCell ref="B2:J2"/>
    <mergeCell ref="B4:B5"/>
    <mergeCell ref="C4:J4"/>
    <mergeCell ref="B24:B25"/>
    <mergeCell ref="C24:J24"/>
  </mergeCells>
  <pageMargins left="0.7" right="0.35" top="0.75" bottom="0.75" header="0.3" footer="0.3"/>
  <pageSetup paperSize="9" scale="6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99"/>
  </sheetPr>
  <dimension ref="B1:M32"/>
  <sheetViews>
    <sheetView showGridLines="0" view="pageBreakPreview" zoomScale="85" zoomScaleNormal="100" zoomScaleSheetLayoutView="85" workbookViewId="0">
      <selection activeCell="K25" sqref="K25"/>
    </sheetView>
  </sheetViews>
  <sheetFormatPr defaultColWidth="9.140625" defaultRowHeight="12.75"/>
  <cols>
    <col min="1" max="1" width="5.85546875" style="292" customWidth="1"/>
    <col min="2" max="2" width="25.28515625" style="292" customWidth="1"/>
    <col min="3" max="3" width="15.28515625" style="292" customWidth="1"/>
    <col min="4" max="6" width="18.5703125" style="292" customWidth="1"/>
    <col min="7" max="7" width="21.28515625" style="292" customWidth="1"/>
    <col min="8" max="9" width="11.5703125" style="292" bestFit="1" customWidth="1"/>
    <col min="10" max="10" width="14.140625" style="292" customWidth="1"/>
    <col min="11" max="16384" width="9.140625" style="292"/>
  </cols>
  <sheetData>
    <row r="1" spans="2:13">
      <c r="B1" s="295"/>
      <c r="C1" s="295"/>
      <c r="D1" s="295"/>
      <c r="E1" s="295"/>
      <c r="F1" s="295"/>
    </row>
    <row r="2" spans="2:13" ht="12.75" customHeight="1">
      <c r="B2" s="3703" t="s">
        <v>472</v>
      </c>
      <c r="C2" s="3419"/>
      <c r="D2" s="3419"/>
      <c r="E2" s="3419"/>
      <c r="F2" s="3419"/>
      <c r="G2" s="3419"/>
    </row>
    <row r="3" spans="2:13">
      <c r="B3" s="3419"/>
      <c r="C3" s="3419"/>
      <c r="D3" s="3419"/>
      <c r="E3" s="3419"/>
      <c r="F3" s="3419"/>
      <c r="G3" s="3419"/>
    </row>
    <row r="4" spans="2:13">
      <c r="B4" s="493"/>
      <c r="C4" s="493"/>
      <c r="D4" s="493"/>
      <c r="E4" s="493"/>
      <c r="F4" s="493"/>
      <c r="G4" s="493"/>
    </row>
    <row r="5" spans="2:13">
      <c r="B5" s="493"/>
      <c r="C5" s="493"/>
      <c r="D5" s="493"/>
      <c r="E5" s="493"/>
      <c r="F5" s="3691" t="s">
        <v>473</v>
      </c>
      <c r="G5" s="3691"/>
    </row>
    <row r="6" spans="2:13">
      <c r="B6" s="3693" t="s">
        <v>83</v>
      </c>
      <c r="C6" s="3704" t="s">
        <v>474</v>
      </c>
      <c r="D6" s="3424" t="s">
        <v>475</v>
      </c>
      <c r="E6" s="3422"/>
      <c r="F6" s="3422"/>
      <c r="G6" s="3423"/>
    </row>
    <row r="7" spans="2:13">
      <c r="B7" s="3694"/>
      <c r="C7" s="3705"/>
      <c r="D7" s="3707" t="s">
        <v>457</v>
      </c>
      <c r="E7" s="3709" t="s">
        <v>458</v>
      </c>
      <c r="F7" s="3709" t="s">
        <v>459</v>
      </c>
      <c r="G7" s="3710" t="s">
        <v>476</v>
      </c>
    </row>
    <row r="8" spans="2:13">
      <c r="B8" s="3695"/>
      <c r="C8" s="3706"/>
      <c r="D8" s="3708"/>
      <c r="E8" s="3698"/>
      <c r="F8" s="3698"/>
      <c r="G8" s="3700"/>
      <c r="I8" s="396"/>
    </row>
    <row r="9" spans="2:13">
      <c r="B9" s="1835" t="s">
        <v>92</v>
      </c>
      <c r="C9" s="1815">
        <v>8426064</v>
      </c>
      <c r="D9" s="2769">
        <v>12218928</v>
      </c>
      <c r="E9" s="2770"/>
      <c r="F9" s="2769">
        <v>2641672</v>
      </c>
      <c r="G9" s="2771">
        <v>9577256</v>
      </c>
      <c r="H9" s="396"/>
      <c r="I9" s="396"/>
      <c r="J9" s="396"/>
      <c r="K9" s="396"/>
      <c r="L9" s="396"/>
      <c r="M9" s="396"/>
    </row>
    <row r="10" spans="2:13">
      <c r="B10" s="2772" t="s">
        <v>95</v>
      </c>
      <c r="C10" s="1815">
        <v>525369</v>
      </c>
      <c r="D10" s="762">
        <v>1448646</v>
      </c>
      <c r="E10" s="2773">
        <v>439596</v>
      </c>
      <c r="F10" s="762">
        <v>1210612</v>
      </c>
      <c r="G10" s="1817">
        <v>677630</v>
      </c>
      <c r="H10" s="396"/>
      <c r="I10" s="396"/>
      <c r="J10" s="396"/>
      <c r="K10" s="396"/>
      <c r="L10" s="396"/>
      <c r="M10" s="396"/>
    </row>
    <row r="11" spans="2:13">
      <c r="B11" s="2772" t="s">
        <v>98</v>
      </c>
      <c r="C11" s="1815">
        <v>7472104</v>
      </c>
      <c r="D11" s="762">
        <v>12722935</v>
      </c>
      <c r="E11" s="1822">
        <v>468226</v>
      </c>
      <c r="F11" s="762">
        <v>5398959</v>
      </c>
      <c r="G11" s="1817">
        <v>7792202</v>
      </c>
      <c r="H11" s="396"/>
      <c r="I11" s="396"/>
      <c r="J11" s="396"/>
      <c r="K11" s="396"/>
      <c r="L11" s="396"/>
      <c r="M11" s="396"/>
    </row>
    <row r="12" spans="2:13">
      <c r="B12" s="2772" t="s">
        <v>99</v>
      </c>
      <c r="C12" s="1815">
        <v>2629220</v>
      </c>
      <c r="D12" s="748">
        <v>3354351</v>
      </c>
      <c r="E12" s="2770"/>
      <c r="F12" s="748">
        <v>625152</v>
      </c>
      <c r="G12" s="1817">
        <v>2729199</v>
      </c>
      <c r="H12" s="396"/>
      <c r="I12" s="396"/>
      <c r="J12" s="396"/>
      <c r="K12" s="396"/>
      <c r="L12" s="396"/>
      <c r="M12" s="396"/>
    </row>
    <row r="13" spans="2:13">
      <c r="B13" s="2772" t="s">
        <v>101</v>
      </c>
      <c r="C13" s="1815">
        <v>2550823</v>
      </c>
      <c r="D13" s="762">
        <v>4013499</v>
      </c>
      <c r="E13" s="2769">
        <v>734928</v>
      </c>
      <c r="F13" s="762">
        <v>1143638</v>
      </c>
      <c r="G13" s="1817">
        <v>3604789</v>
      </c>
      <c r="H13" s="396"/>
      <c r="I13" s="396"/>
      <c r="J13" s="396"/>
      <c r="K13" s="396"/>
      <c r="L13" s="396"/>
      <c r="M13" s="396"/>
    </row>
    <row r="14" spans="2:13">
      <c r="B14" s="2772" t="s">
        <v>102</v>
      </c>
      <c r="C14" s="1815">
        <v>5055284</v>
      </c>
      <c r="D14" s="762">
        <v>6849598</v>
      </c>
      <c r="E14" s="2770"/>
      <c r="F14" s="762">
        <v>1605435</v>
      </c>
      <c r="G14" s="1817">
        <v>5244163</v>
      </c>
      <c r="H14" s="396"/>
      <c r="I14" s="396"/>
      <c r="J14" s="396"/>
      <c r="K14" s="396"/>
      <c r="L14" s="396"/>
      <c r="M14" s="396"/>
    </row>
    <row r="15" spans="2:13">
      <c r="B15" s="2772" t="s">
        <v>104</v>
      </c>
      <c r="C15" s="1815">
        <v>1840729</v>
      </c>
      <c r="D15" s="762">
        <v>2189999</v>
      </c>
      <c r="E15" s="2770"/>
      <c r="F15" s="762">
        <v>286549</v>
      </c>
      <c r="G15" s="1817">
        <v>1903450</v>
      </c>
      <c r="H15" s="396"/>
      <c r="I15" s="396"/>
      <c r="J15" s="396"/>
      <c r="K15" s="396"/>
      <c r="L15" s="396"/>
      <c r="M15" s="396"/>
    </row>
    <row r="16" spans="2:13">
      <c r="B16" s="2772" t="s">
        <v>145</v>
      </c>
      <c r="C16" s="2774"/>
      <c r="D16" s="2775"/>
      <c r="E16" s="2775"/>
      <c r="F16" s="2775"/>
      <c r="G16" s="2776"/>
      <c r="H16" s="396"/>
      <c r="J16" s="396"/>
      <c r="K16" s="396"/>
      <c r="L16" s="396"/>
      <c r="M16" s="396"/>
    </row>
    <row r="17" spans="2:13">
      <c r="B17" s="2772" t="s">
        <v>108</v>
      </c>
      <c r="C17" s="2777">
        <v>2946390</v>
      </c>
      <c r="D17" s="2769">
        <v>3956370</v>
      </c>
      <c r="E17" s="2770"/>
      <c r="F17" s="2769">
        <v>406975</v>
      </c>
      <c r="G17" s="2778">
        <v>3549395</v>
      </c>
      <c r="H17" s="396"/>
      <c r="I17" s="396"/>
      <c r="J17" s="396"/>
      <c r="K17" s="396"/>
      <c r="L17" s="396"/>
      <c r="M17" s="396"/>
    </row>
    <row r="18" spans="2:13">
      <c r="B18" s="2772" t="s">
        <v>109</v>
      </c>
      <c r="C18" s="1815">
        <v>422154</v>
      </c>
      <c r="D18" s="762">
        <v>431171</v>
      </c>
      <c r="E18" s="2773">
        <v>4192</v>
      </c>
      <c r="F18" s="762">
        <v>117817</v>
      </c>
      <c r="G18" s="1818">
        <v>317546</v>
      </c>
      <c r="H18" s="396"/>
      <c r="I18" s="396"/>
      <c r="J18" s="396"/>
      <c r="K18" s="396"/>
      <c r="L18" s="396"/>
      <c r="M18" s="396"/>
    </row>
    <row r="19" spans="2:13">
      <c r="B19" s="2772" t="s">
        <v>111</v>
      </c>
      <c r="C19" s="1815">
        <v>941383</v>
      </c>
      <c r="D19" s="762">
        <v>1120556</v>
      </c>
      <c r="E19" s="2770"/>
      <c r="F19" s="762">
        <v>55027</v>
      </c>
      <c r="G19" s="1818">
        <v>1065529</v>
      </c>
      <c r="H19" s="396"/>
      <c r="I19" s="396"/>
      <c r="J19" s="396"/>
      <c r="K19" s="396"/>
      <c r="L19" s="396"/>
      <c r="M19" s="396"/>
    </row>
    <row r="20" spans="2:13">
      <c r="B20" s="2772" t="s">
        <v>112</v>
      </c>
      <c r="C20" s="1815">
        <v>4162922</v>
      </c>
      <c r="D20" s="762">
        <v>4944181</v>
      </c>
      <c r="E20" s="2770"/>
      <c r="F20" s="762">
        <v>472718</v>
      </c>
      <c r="G20" s="1818">
        <v>4471464</v>
      </c>
      <c r="H20" s="396"/>
      <c r="I20" s="396"/>
      <c r="J20" s="396"/>
      <c r="K20" s="396"/>
      <c r="L20" s="396"/>
      <c r="M20" s="396"/>
    </row>
    <row r="21" spans="2:13">
      <c r="B21" s="2772" t="s">
        <v>114</v>
      </c>
      <c r="C21" s="1816">
        <v>628444</v>
      </c>
      <c r="D21" s="762">
        <v>730759</v>
      </c>
      <c r="E21" s="2044"/>
      <c r="F21" s="762">
        <v>110396</v>
      </c>
      <c r="G21" s="1818">
        <v>620363</v>
      </c>
      <c r="H21" s="396"/>
      <c r="I21" s="396"/>
      <c r="J21" s="396"/>
      <c r="K21" s="396"/>
      <c r="L21" s="396"/>
      <c r="M21" s="396"/>
    </row>
    <row r="22" spans="2:13">
      <c r="B22" s="2772" t="s">
        <v>115</v>
      </c>
      <c r="C22" s="1816">
        <v>27440331</v>
      </c>
      <c r="D22" s="762">
        <v>45897050</v>
      </c>
      <c r="E22" s="2769">
        <v>9422000</v>
      </c>
      <c r="F22" s="762">
        <v>21911770</v>
      </c>
      <c r="G22" s="1818">
        <v>33407280</v>
      </c>
      <c r="H22" s="396"/>
      <c r="I22" s="396"/>
      <c r="J22" s="396"/>
      <c r="K22" s="396"/>
      <c r="L22" s="396"/>
      <c r="M22" s="396"/>
    </row>
    <row r="23" spans="2:13">
      <c r="B23" s="2764" t="s">
        <v>118</v>
      </c>
      <c r="C23" s="2779">
        <f>SUM(C9:C22)</f>
        <v>65041217</v>
      </c>
      <c r="D23" s="2779">
        <f>SUM(D9:D22)</f>
        <v>99878043</v>
      </c>
      <c r="E23" s="2779">
        <f>SUM(E9:E22)</f>
        <v>11068942</v>
      </c>
      <c r="F23" s="2779">
        <f>SUM(F9:F22)</f>
        <v>35986720</v>
      </c>
      <c r="G23" s="2780">
        <f>SUM(G9:G22)</f>
        <v>74960266</v>
      </c>
      <c r="H23" s="396"/>
      <c r="I23" s="396"/>
      <c r="J23" s="396"/>
      <c r="K23" s="396"/>
      <c r="L23" s="396"/>
      <c r="M23" s="396"/>
    </row>
    <row r="24" spans="2:13">
      <c r="J24" s="396"/>
    </row>
    <row r="25" spans="2:13">
      <c r="B25" s="531" t="s">
        <v>477</v>
      </c>
      <c r="I25" s="396"/>
    </row>
    <row r="27" spans="2:13">
      <c r="G27" s="292">
        <v>143</v>
      </c>
    </row>
    <row r="28" spans="2:13">
      <c r="B28" s="37"/>
    </row>
    <row r="32" spans="2:13">
      <c r="G32" s="396"/>
    </row>
  </sheetData>
  <mergeCells count="9">
    <mergeCell ref="B2:G3"/>
    <mergeCell ref="F5:G5"/>
    <mergeCell ref="B6:B8"/>
    <mergeCell ref="C6:C8"/>
    <mergeCell ref="D6:G6"/>
    <mergeCell ref="D7:D8"/>
    <mergeCell ref="E7:E8"/>
    <mergeCell ref="F7:F8"/>
    <mergeCell ref="G7:G8"/>
  </mergeCells>
  <pageMargins left="0.7" right="0.7" top="0.75" bottom="0.75" header="0.3" footer="0.3"/>
  <pageSetup paperSize="9" scale="83"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99"/>
  </sheetPr>
  <dimension ref="B1:S44"/>
  <sheetViews>
    <sheetView showGridLines="0" view="pageBreakPreview" topLeftCell="C22" zoomScale="85" zoomScaleNormal="100" zoomScaleSheetLayoutView="85" workbookViewId="0">
      <selection activeCell="N45" sqref="N45"/>
    </sheetView>
  </sheetViews>
  <sheetFormatPr defaultColWidth="9.140625" defaultRowHeight="12.75"/>
  <cols>
    <col min="1" max="1" width="6.85546875" style="292" customWidth="1"/>
    <col min="2" max="2" width="18" style="292" customWidth="1"/>
    <col min="3" max="3" width="12.7109375" style="292" customWidth="1"/>
    <col min="4" max="4" width="14.28515625" style="292" customWidth="1"/>
    <col min="5" max="5" width="16" style="292" bestFit="1" customWidth="1"/>
    <col min="6" max="6" width="12.7109375" style="292" customWidth="1"/>
    <col min="7" max="7" width="16" style="292" bestFit="1" customWidth="1"/>
    <col min="8" max="8" width="12.7109375" style="292" customWidth="1"/>
    <col min="9" max="9" width="14.85546875" style="292" customWidth="1"/>
    <col min="10" max="10" width="14.28515625" style="292" customWidth="1"/>
    <col min="11" max="11" width="11.7109375" style="292" customWidth="1"/>
    <col min="12" max="12" width="11.5703125" style="292" bestFit="1" customWidth="1"/>
    <col min="13" max="19" width="11.85546875" style="292" customWidth="1"/>
    <col min="20" max="16384" width="9.140625" style="292"/>
  </cols>
  <sheetData>
    <row r="1" spans="2:18">
      <c r="B1" s="295"/>
      <c r="C1" s="295"/>
      <c r="D1" s="295"/>
      <c r="E1" s="295"/>
    </row>
    <row r="2" spans="2:18" ht="14.25">
      <c r="B2" s="1973" t="s">
        <v>478</v>
      </c>
      <c r="C2" s="218"/>
      <c r="D2" s="218"/>
      <c r="E2" s="218"/>
      <c r="F2" s="218"/>
      <c r="G2" s="218"/>
      <c r="H2" s="218"/>
      <c r="I2" s="218"/>
      <c r="J2" s="471"/>
    </row>
    <row r="3" spans="2:18">
      <c r="B3" s="218"/>
      <c r="C3" s="218"/>
      <c r="D3" s="218"/>
      <c r="E3" s="218"/>
      <c r="F3" s="218"/>
      <c r="G3" s="218"/>
      <c r="H3" s="218"/>
      <c r="I3" s="218"/>
    </row>
    <row r="4" spans="2:18" ht="14.25">
      <c r="B4" s="3693" t="s">
        <v>83</v>
      </c>
      <c r="C4" s="3422" t="s">
        <v>462</v>
      </c>
      <c r="D4" s="3422"/>
      <c r="E4" s="3422"/>
      <c r="F4" s="3422"/>
      <c r="G4" s="3422"/>
      <c r="H4" s="3422"/>
      <c r="I4" s="3422"/>
      <c r="J4" s="3423"/>
    </row>
    <row r="5" spans="2:18" ht="63.75">
      <c r="B5" s="3695"/>
      <c r="C5" s="1904" t="s">
        <v>463</v>
      </c>
      <c r="D5" s="1821" t="s">
        <v>464</v>
      </c>
      <c r="E5" s="1820" t="s">
        <v>465</v>
      </c>
      <c r="F5" s="1821" t="s">
        <v>466</v>
      </c>
      <c r="G5" s="1821" t="s">
        <v>467</v>
      </c>
      <c r="H5" s="1821" t="s">
        <v>468</v>
      </c>
      <c r="I5" s="1821" t="s">
        <v>469</v>
      </c>
      <c r="J5" s="1821" t="s">
        <v>470</v>
      </c>
    </row>
    <row r="6" spans="2:18">
      <c r="B6" s="1835" t="s">
        <v>92</v>
      </c>
      <c r="C6" s="2769">
        <v>102501</v>
      </c>
      <c r="D6" s="2781">
        <v>2665343</v>
      </c>
      <c r="E6" s="2782">
        <v>502633</v>
      </c>
      <c r="F6" s="2782">
        <v>32584</v>
      </c>
      <c r="G6" s="2782">
        <v>2202872</v>
      </c>
      <c r="H6" s="2782">
        <v>259886</v>
      </c>
      <c r="I6" s="2783">
        <v>5765820</v>
      </c>
      <c r="J6" s="2783">
        <v>3978744</v>
      </c>
      <c r="K6" s="396"/>
      <c r="L6" s="396"/>
      <c r="M6" s="396"/>
      <c r="N6" s="396"/>
      <c r="O6" s="396"/>
      <c r="P6" s="396"/>
      <c r="Q6" s="396"/>
      <c r="R6" s="396"/>
    </row>
    <row r="7" spans="2:18">
      <c r="B7" s="2772" t="s">
        <v>95</v>
      </c>
      <c r="C7" s="762">
        <v>20821</v>
      </c>
      <c r="D7" s="763">
        <v>155490</v>
      </c>
      <c r="E7" s="763">
        <v>14344</v>
      </c>
      <c r="F7" s="763">
        <v>8341</v>
      </c>
      <c r="G7" s="763">
        <v>144798</v>
      </c>
      <c r="H7" s="763">
        <v>26585</v>
      </c>
      <c r="I7" s="1819">
        <v>370379</v>
      </c>
      <c r="J7" s="1819">
        <v>247534</v>
      </c>
      <c r="K7" s="396"/>
      <c r="L7" s="396"/>
      <c r="M7" s="396"/>
      <c r="N7" s="396"/>
      <c r="O7" s="396"/>
      <c r="P7" s="396"/>
      <c r="Q7" s="396"/>
      <c r="R7" s="396"/>
    </row>
    <row r="8" spans="2:18">
      <c r="B8" s="2772" t="s">
        <v>98</v>
      </c>
      <c r="C8" s="762">
        <v>262027</v>
      </c>
      <c r="D8" s="763">
        <v>2240028</v>
      </c>
      <c r="E8" s="763">
        <v>943650</v>
      </c>
      <c r="F8" s="763">
        <v>221688</v>
      </c>
      <c r="G8" s="763">
        <v>1770939</v>
      </c>
      <c r="H8" s="763">
        <v>275549</v>
      </c>
      <c r="I8" s="1819">
        <v>5713881</v>
      </c>
      <c r="J8" s="1819">
        <v>4081902</v>
      </c>
      <c r="K8" s="396"/>
      <c r="L8" s="396"/>
      <c r="M8" s="396"/>
      <c r="N8" s="396"/>
      <c r="O8" s="396"/>
      <c r="P8" s="396"/>
      <c r="Q8" s="396"/>
      <c r="R8" s="396"/>
    </row>
    <row r="9" spans="2:18">
      <c r="B9" s="2772" t="s">
        <v>99</v>
      </c>
      <c r="C9" s="762">
        <v>98013</v>
      </c>
      <c r="D9" s="763">
        <v>317117</v>
      </c>
      <c r="E9" s="763">
        <v>314862</v>
      </c>
      <c r="F9" s="763">
        <v>24340</v>
      </c>
      <c r="G9" s="763">
        <v>494275</v>
      </c>
      <c r="H9" s="763">
        <v>70767</v>
      </c>
      <c r="I9" s="1819">
        <v>1319374</v>
      </c>
      <c r="J9" s="1819">
        <v>904617</v>
      </c>
      <c r="K9" s="396"/>
      <c r="L9" s="396"/>
      <c r="M9" s="396"/>
      <c r="N9" s="396"/>
      <c r="O9" s="396"/>
      <c r="P9" s="396"/>
      <c r="Q9" s="396"/>
      <c r="R9" s="396"/>
    </row>
    <row r="10" spans="2:18">
      <c r="B10" s="2772" t="s">
        <v>101</v>
      </c>
      <c r="C10" s="762">
        <v>156866</v>
      </c>
      <c r="D10" s="763">
        <v>173732</v>
      </c>
      <c r="E10" s="763">
        <v>493406</v>
      </c>
      <c r="F10" s="763">
        <v>14530</v>
      </c>
      <c r="G10" s="763">
        <v>583482</v>
      </c>
      <c r="H10" s="763">
        <v>73693</v>
      </c>
      <c r="I10" s="1819">
        <v>1495709</v>
      </c>
      <c r="J10" s="1819">
        <v>1024217</v>
      </c>
      <c r="K10" s="396"/>
      <c r="L10" s="396"/>
      <c r="M10" s="396"/>
      <c r="N10" s="396"/>
      <c r="O10" s="396"/>
      <c r="P10" s="396"/>
      <c r="Q10" s="396"/>
      <c r="R10" s="396"/>
    </row>
    <row r="11" spans="2:18">
      <c r="B11" s="2772" t="s">
        <v>102</v>
      </c>
      <c r="C11" s="762">
        <v>52320</v>
      </c>
      <c r="D11" s="763">
        <v>1253312</v>
      </c>
      <c r="E11" s="763">
        <v>833750</v>
      </c>
      <c r="F11" s="763">
        <v>348916</v>
      </c>
      <c r="G11" s="763">
        <v>1016716</v>
      </c>
      <c r="H11" s="763">
        <v>149395</v>
      </c>
      <c r="I11" s="1819">
        <v>3654409</v>
      </c>
      <c r="J11" s="1819">
        <v>2692148</v>
      </c>
      <c r="K11" s="396"/>
      <c r="L11" s="396"/>
      <c r="M11" s="396"/>
      <c r="N11" s="396"/>
      <c r="O11" s="396"/>
      <c r="P11" s="396"/>
      <c r="Q11" s="396"/>
      <c r="R11" s="396"/>
    </row>
    <row r="12" spans="2:18">
      <c r="B12" s="2772" t="s">
        <v>104</v>
      </c>
      <c r="C12" s="762">
        <v>78508</v>
      </c>
      <c r="D12" s="763">
        <v>224018</v>
      </c>
      <c r="E12" s="763">
        <v>168735</v>
      </c>
      <c r="F12" s="763">
        <v>24755</v>
      </c>
      <c r="G12" s="763">
        <v>521326</v>
      </c>
      <c r="H12" s="763">
        <v>61308</v>
      </c>
      <c r="I12" s="1819">
        <v>1078650</v>
      </c>
      <c r="J12" s="1819">
        <v>722199</v>
      </c>
      <c r="K12" s="396"/>
      <c r="L12" s="396"/>
      <c r="M12" s="396"/>
      <c r="N12" s="396"/>
      <c r="O12" s="396"/>
      <c r="P12" s="396"/>
      <c r="Q12" s="396"/>
      <c r="R12" s="396"/>
    </row>
    <row r="13" spans="2:18">
      <c r="B13" s="2772" t="s">
        <v>108</v>
      </c>
      <c r="C13" s="762">
        <v>27268</v>
      </c>
      <c r="D13" s="763">
        <v>229491</v>
      </c>
      <c r="E13" s="763">
        <v>393645</v>
      </c>
      <c r="F13" s="763">
        <v>38397</v>
      </c>
      <c r="G13" s="763">
        <v>689523</v>
      </c>
      <c r="H13" s="763">
        <v>82542</v>
      </c>
      <c r="I13" s="1819">
        <v>1460866</v>
      </c>
      <c r="J13" s="1819">
        <v>978112</v>
      </c>
      <c r="K13" s="396"/>
      <c r="L13" s="396"/>
      <c r="M13" s="396"/>
      <c r="N13" s="396"/>
      <c r="O13" s="396"/>
      <c r="P13" s="396"/>
      <c r="Q13" s="396"/>
      <c r="R13" s="396"/>
    </row>
    <row r="14" spans="2:18">
      <c r="B14" s="2772" t="s">
        <v>109</v>
      </c>
      <c r="C14" s="762">
        <v>10548</v>
      </c>
      <c r="D14" s="763">
        <v>53429</v>
      </c>
      <c r="E14" s="763">
        <v>13849</v>
      </c>
      <c r="F14" s="763">
        <v>6112</v>
      </c>
      <c r="G14" s="763">
        <v>105870</v>
      </c>
      <c r="H14" s="763">
        <v>14198</v>
      </c>
      <c r="I14" s="1819">
        <v>204006</v>
      </c>
      <c r="J14" s="1819">
        <v>135852</v>
      </c>
      <c r="K14" s="396"/>
      <c r="L14" s="396"/>
      <c r="M14" s="396"/>
      <c r="N14" s="396"/>
      <c r="O14" s="396"/>
      <c r="P14" s="396"/>
      <c r="Q14" s="396"/>
      <c r="R14" s="396"/>
    </row>
    <row r="15" spans="2:18">
      <c r="B15" s="2772" t="s">
        <v>111</v>
      </c>
      <c r="C15" s="762">
        <v>26681</v>
      </c>
      <c r="D15" s="763">
        <v>238859</v>
      </c>
      <c r="E15" s="763">
        <v>2319</v>
      </c>
      <c r="F15" s="763">
        <v>4153</v>
      </c>
      <c r="G15" s="763">
        <v>213025</v>
      </c>
      <c r="H15" s="763">
        <v>23620</v>
      </c>
      <c r="I15" s="1819">
        <v>508657</v>
      </c>
      <c r="J15" s="1819">
        <v>346306</v>
      </c>
      <c r="K15" s="396"/>
      <c r="L15" s="396"/>
      <c r="M15" s="396"/>
      <c r="N15" s="396"/>
      <c r="O15" s="396"/>
      <c r="P15" s="396"/>
      <c r="Q15" s="396"/>
      <c r="R15" s="396"/>
    </row>
    <row r="16" spans="2:18">
      <c r="B16" s="2772" t="s">
        <v>112</v>
      </c>
      <c r="C16" s="764">
        <v>192721</v>
      </c>
      <c r="D16" s="765">
        <v>523220</v>
      </c>
      <c r="E16" s="765">
        <v>327517</v>
      </c>
      <c r="F16" s="765">
        <v>19335</v>
      </c>
      <c r="G16" s="765">
        <v>857117</v>
      </c>
      <c r="H16" s="765">
        <v>100517</v>
      </c>
      <c r="I16" s="1819">
        <v>2020428</v>
      </c>
      <c r="J16" s="1819">
        <v>1369045</v>
      </c>
      <c r="K16" s="396"/>
      <c r="L16" s="396"/>
      <c r="M16" s="396"/>
      <c r="N16" s="396"/>
      <c r="O16" s="396"/>
      <c r="P16" s="396"/>
      <c r="Q16" s="396"/>
      <c r="R16" s="396"/>
    </row>
    <row r="17" spans="2:19">
      <c r="B17" s="2772" t="s">
        <v>114</v>
      </c>
      <c r="C17" s="762">
        <v>12223</v>
      </c>
      <c r="D17" s="763">
        <v>141767</v>
      </c>
      <c r="E17" s="763">
        <v>79877</v>
      </c>
      <c r="F17" s="763">
        <v>1647</v>
      </c>
      <c r="G17" s="763">
        <v>73370</v>
      </c>
      <c r="H17" s="763">
        <v>12598</v>
      </c>
      <c r="I17" s="1819">
        <v>321482</v>
      </c>
      <c r="J17" s="1819">
        <v>247000</v>
      </c>
      <c r="K17" s="396"/>
      <c r="L17" s="396"/>
      <c r="M17" s="396"/>
      <c r="N17" s="396"/>
      <c r="O17" s="396"/>
      <c r="P17" s="396"/>
      <c r="Q17" s="396"/>
      <c r="R17" s="396"/>
    </row>
    <row r="18" spans="2:19">
      <c r="B18" s="2772" t="s">
        <v>115</v>
      </c>
      <c r="C18" s="762">
        <v>162613</v>
      </c>
      <c r="D18" s="763">
        <v>4994508</v>
      </c>
      <c r="E18" s="763">
        <v>6552587</v>
      </c>
      <c r="F18" s="763">
        <v>77164</v>
      </c>
      <c r="G18" s="763">
        <v>3460241</v>
      </c>
      <c r="H18" s="763">
        <v>758831</v>
      </c>
      <c r="I18" s="1819">
        <v>16005944</v>
      </c>
      <c r="J18" s="1819">
        <v>12307698</v>
      </c>
      <c r="K18" s="396"/>
      <c r="L18" s="396"/>
      <c r="M18" s="396"/>
      <c r="N18" s="396"/>
      <c r="O18" s="396"/>
      <c r="P18" s="396"/>
      <c r="Q18" s="396"/>
      <c r="R18" s="396"/>
    </row>
    <row r="19" spans="2:19">
      <c r="B19" s="2764" t="s">
        <v>118</v>
      </c>
      <c r="C19" s="2765">
        <f t="shared" ref="C19:J19" si="0">SUM(C6:C18)</f>
        <v>1203110</v>
      </c>
      <c r="D19" s="2765">
        <f t="shared" si="0"/>
        <v>13210314</v>
      </c>
      <c r="E19" s="2765">
        <f t="shared" si="0"/>
        <v>10641174</v>
      </c>
      <c r="F19" s="2765">
        <f t="shared" si="0"/>
        <v>821962</v>
      </c>
      <c r="G19" s="2765">
        <f t="shared" si="0"/>
        <v>12133554</v>
      </c>
      <c r="H19" s="2765">
        <f t="shared" si="0"/>
        <v>1909489</v>
      </c>
      <c r="I19" s="2765">
        <f t="shared" si="0"/>
        <v>39919605</v>
      </c>
      <c r="J19" s="2765">
        <f t="shared" si="0"/>
        <v>29035374</v>
      </c>
      <c r="K19" s="396"/>
      <c r="L19" s="396"/>
      <c r="M19" s="396"/>
      <c r="N19" s="396"/>
      <c r="O19" s="396"/>
      <c r="P19" s="396"/>
      <c r="Q19" s="396"/>
      <c r="R19" s="396"/>
    </row>
    <row r="20" spans="2:19">
      <c r="B20" s="218"/>
      <c r="C20" s="891"/>
      <c r="D20" s="891"/>
      <c r="E20" s="891"/>
      <c r="F20" s="891"/>
      <c r="G20" s="891"/>
      <c r="H20" s="891"/>
      <c r="I20" s="891"/>
      <c r="J20" s="515"/>
      <c r="K20" s="567"/>
      <c r="L20" s="567"/>
      <c r="M20" s="567"/>
      <c r="N20" s="567"/>
      <c r="O20" s="567"/>
      <c r="P20" s="567"/>
      <c r="Q20" s="567"/>
      <c r="R20" s="567"/>
      <c r="S20" s="396"/>
    </row>
    <row r="21" spans="2:19">
      <c r="C21" s="396"/>
      <c r="D21" s="396"/>
      <c r="E21" s="396"/>
      <c r="F21" s="396"/>
      <c r="G21" s="396"/>
      <c r="H21" s="396"/>
      <c r="I21" s="396"/>
      <c r="J21" s="396"/>
      <c r="K21" s="396"/>
      <c r="L21" s="396"/>
      <c r="M21" s="396"/>
      <c r="N21" s="396"/>
      <c r="O21" s="396"/>
      <c r="P21" s="396"/>
      <c r="Q21" s="396"/>
      <c r="R21" s="396"/>
    </row>
    <row r="22" spans="2:19" ht="14.25">
      <c r="B22" s="3693" t="s">
        <v>83</v>
      </c>
      <c r="C22" s="3422" t="s">
        <v>471</v>
      </c>
      <c r="D22" s="3422"/>
      <c r="E22" s="3422"/>
      <c r="F22" s="3422"/>
      <c r="G22" s="3422"/>
      <c r="H22" s="3422"/>
      <c r="I22" s="3422"/>
      <c r="J22" s="3423"/>
      <c r="K22" s="396"/>
      <c r="L22" s="396"/>
      <c r="M22" s="396"/>
      <c r="N22" s="396"/>
      <c r="O22" s="396"/>
      <c r="P22" s="396"/>
      <c r="Q22" s="396"/>
      <c r="R22" s="396"/>
    </row>
    <row r="23" spans="2:19" ht="63.75">
      <c r="B23" s="3695"/>
      <c r="C23" s="1904" t="s">
        <v>463</v>
      </c>
      <c r="D23" s="1821" t="s">
        <v>464</v>
      </c>
      <c r="E23" s="1820" t="s">
        <v>465</v>
      </c>
      <c r="F23" s="1821" t="s">
        <v>466</v>
      </c>
      <c r="G23" s="1821" t="s">
        <v>467</v>
      </c>
      <c r="H23" s="1821" t="s">
        <v>468</v>
      </c>
      <c r="I23" s="1821" t="s">
        <v>469</v>
      </c>
      <c r="J23" s="1821" t="s">
        <v>470</v>
      </c>
      <c r="K23" s="396"/>
      <c r="L23" s="396"/>
      <c r="M23" s="396"/>
      <c r="N23" s="396"/>
      <c r="O23" s="396"/>
      <c r="P23" s="396"/>
      <c r="Q23" s="396"/>
      <c r="R23" s="396"/>
    </row>
    <row r="24" spans="2:19">
      <c r="B24" s="1835" t="s">
        <v>92</v>
      </c>
      <c r="C24" s="2769">
        <v>80925</v>
      </c>
      <c r="D24" s="2782">
        <v>2104555</v>
      </c>
      <c r="E24" s="2782">
        <v>706492</v>
      </c>
      <c r="F24" s="2782">
        <v>49792</v>
      </c>
      <c r="G24" s="2782">
        <v>1761594</v>
      </c>
      <c r="H24" s="2782">
        <v>260576</v>
      </c>
      <c r="I24" s="2778">
        <v>4963934</v>
      </c>
      <c r="J24" s="2778">
        <v>3438763</v>
      </c>
      <c r="K24" s="396"/>
      <c r="L24" s="396"/>
      <c r="M24" s="396"/>
      <c r="N24" s="396"/>
      <c r="O24" s="396"/>
      <c r="P24" s="396"/>
      <c r="Q24" s="396"/>
      <c r="R24" s="396"/>
    </row>
    <row r="25" spans="2:19">
      <c r="B25" s="2772" t="s">
        <v>95</v>
      </c>
      <c r="C25" s="762">
        <v>26175</v>
      </c>
      <c r="D25" s="763">
        <v>243938</v>
      </c>
      <c r="E25" s="763">
        <v>38540</v>
      </c>
      <c r="F25" s="763">
        <v>9347</v>
      </c>
      <c r="G25" s="763">
        <v>185514</v>
      </c>
      <c r="H25" s="763">
        <v>31665</v>
      </c>
      <c r="I25" s="1818">
        <v>535179</v>
      </c>
      <c r="J25" s="1818">
        <v>369517</v>
      </c>
      <c r="K25" s="396"/>
      <c r="L25" s="396"/>
      <c r="M25" s="396"/>
      <c r="N25" s="396"/>
      <c r="O25" s="396"/>
      <c r="P25" s="396"/>
      <c r="Q25" s="396"/>
      <c r="R25" s="396"/>
    </row>
    <row r="26" spans="2:19">
      <c r="B26" s="2772" t="s">
        <v>98</v>
      </c>
      <c r="C26" s="762">
        <v>274996</v>
      </c>
      <c r="D26" s="763">
        <v>1829593</v>
      </c>
      <c r="E26" s="763">
        <v>1000586</v>
      </c>
      <c r="F26" s="763">
        <v>294496</v>
      </c>
      <c r="G26" s="763">
        <v>1926146</v>
      </c>
      <c r="H26" s="763">
        <v>290700</v>
      </c>
      <c r="I26" s="1818">
        <v>5616517</v>
      </c>
      <c r="J26" s="1818">
        <v>3918202</v>
      </c>
      <c r="K26" s="396"/>
      <c r="L26" s="396"/>
      <c r="M26" s="396"/>
      <c r="N26" s="396"/>
      <c r="O26" s="396"/>
      <c r="P26" s="396"/>
      <c r="Q26" s="396"/>
      <c r="R26" s="396"/>
    </row>
    <row r="27" spans="2:19">
      <c r="B27" s="2772" t="s">
        <v>99</v>
      </c>
      <c r="C27" s="762">
        <v>109191</v>
      </c>
      <c r="D27" s="763">
        <v>209470</v>
      </c>
      <c r="E27" s="763">
        <v>392901</v>
      </c>
      <c r="F27" s="763">
        <v>28551</v>
      </c>
      <c r="G27" s="763">
        <v>434697</v>
      </c>
      <c r="H27" s="763">
        <v>76815</v>
      </c>
      <c r="I27" s="1818">
        <v>1251625</v>
      </c>
      <c r="J27" s="1818">
        <v>861759</v>
      </c>
      <c r="K27" s="396"/>
      <c r="L27" s="396"/>
      <c r="M27" s="396"/>
      <c r="N27" s="396"/>
      <c r="O27" s="396"/>
      <c r="P27" s="396"/>
      <c r="Q27" s="396"/>
      <c r="R27" s="396"/>
    </row>
    <row r="28" spans="2:19">
      <c r="B28" s="2772" t="s">
        <v>101</v>
      </c>
      <c r="C28" s="762">
        <v>173171</v>
      </c>
      <c r="D28" s="763">
        <v>112193</v>
      </c>
      <c r="E28" s="763">
        <v>690495</v>
      </c>
      <c r="F28" s="763">
        <v>15763</v>
      </c>
      <c r="G28" s="763">
        <v>551718</v>
      </c>
      <c r="H28" s="763">
        <v>88652</v>
      </c>
      <c r="I28" s="1818">
        <v>1631992</v>
      </c>
      <c r="J28" s="1818">
        <v>1138230</v>
      </c>
      <c r="K28" s="396"/>
      <c r="L28" s="396"/>
      <c r="M28" s="396"/>
      <c r="N28" s="396"/>
      <c r="O28" s="396"/>
      <c r="P28" s="396"/>
      <c r="Q28" s="396"/>
      <c r="R28" s="396"/>
    </row>
    <row r="29" spans="2:19">
      <c r="B29" s="2772" t="s">
        <v>102</v>
      </c>
      <c r="C29" s="762">
        <v>62557</v>
      </c>
      <c r="D29" s="763">
        <v>984517</v>
      </c>
      <c r="E29" s="763">
        <v>815478</v>
      </c>
      <c r="F29" s="763">
        <v>361452</v>
      </c>
      <c r="G29" s="763">
        <v>1154715</v>
      </c>
      <c r="H29" s="763">
        <v>156293</v>
      </c>
      <c r="I29" s="1818">
        <v>3535012</v>
      </c>
      <c r="J29" s="1818">
        <v>2510774</v>
      </c>
      <c r="K29" s="396"/>
      <c r="L29" s="396"/>
      <c r="M29" s="396"/>
      <c r="N29" s="396"/>
      <c r="O29" s="396"/>
      <c r="P29" s="396"/>
      <c r="Q29" s="396"/>
      <c r="R29" s="396"/>
    </row>
    <row r="30" spans="2:19">
      <c r="B30" s="2772" t="s">
        <v>104</v>
      </c>
      <c r="C30" s="762">
        <v>84074</v>
      </c>
      <c r="D30" s="763">
        <v>173859</v>
      </c>
      <c r="E30" s="763">
        <v>191437</v>
      </c>
      <c r="F30" s="763">
        <v>29482</v>
      </c>
      <c r="G30" s="763">
        <v>549587</v>
      </c>
      <c r="H30" s="763">
        <v>67056</v>
      </c>
      <c r="I30" s="1818">
        <v>1095495</v>
      </c>
      <c r="J30" s="1818">
        <v>732013</v>
      </c>
      <c r="K30" s="396"/>
      <c r="L30" s="396"/>
      <c r="M30" s="396"/>
      <c r="N30" s="396"/>
      <c r="O30" s="396"/>
      <c r="P30" s="396"/>
      <c r="Q30" s="396"/>
      <c r="R30" s="396"/>
    </row>
    <row r="31" spans="2:19">
      <c r="B31" s="2772" t="s">
        <v>108</v>
      </c>
      <c r="C31" s="762">
        <v>78137</v>
      </c>
      <c r="D31" s="763">
        <v>634157</v>
      </c>
      <c r="E31" s="763">
        <v>956236</v>
      </c>
      <c r="F31" s="763">
        <v>28739</v>
      </c>
      <c r="G31" s="763">
        <v>903945</v>
      </c>
      <c r="H31" s="763">
        <v>105059</v>
      </c>
      <c r="I31" s="1818">
        <v>2706273</v>
      </c>
      <c r="J31" s="1818">
        <v>1925844</v>
      </c>
      <c r="K31" s="567"/>
      <c r="L31" s="567"/>
      <c r="M31" s="567"/>
      <c r="N31" s="567"/>
      <c r="O31" s="567"/>
      <c r="P31" s="567"/>
      <c r="Q31" s="567"/>
      <c r="R31" s="567"/>
    </row>
    <row r="32" spans="2:19">
      <c r="B32" s="2772" t="s">
        <v>109</v>
      </c>
      <c r="C32" s="762">
        <v>7119</v>
      </c>
      <c r="D32" s="763">
        <v>99289</v>
      </c>
      <c r="E32" s="763">
        <v>6530</v>
      </c>
      <c r="F32" s="763">
        <v>4373</v>
      </c>
      <c r="G32" s="763">
        <v>104223</v>
      </c>
      <c r="H32" s="763">
        <v>13728</v>
      </c>
      <c r="I32" s="1818">
        <v>235262</v>
      </c>
      <c r="J32" s="1818">
        <v>157521</v>
      </c>
      <c r="K32" s="396"/>
      <c r="L32" s="396"/>
      <c r="M32" s="396"/>
      <c r="N32" s="396"/>
      <c r="O32" s="396"/>
      <c r="P32" s="396"/>
      <c r="Q32" s="396"/>
      <c r="R32" s="396"/>
    </row>
    <row r="33" spans="2:19">
      <c r="B33" s="2772" t="s">
        <v>111</v>
      </c>
      <c r="C33" s="762">
        <v>36069</v>
      </c>
      <c r="D33" s="763">
        <v>221051</v>
      </c>
      <c r="E33" s="763">
        <v>40114</v>
      </c>
      <c r="F33" s="763">
        <v>6560</v>
      </c>
      <c r="G33" s="763">
        <v>242247</v>
      </c>
      <c r="H33" s="763">
        <v>28005</v>
      </c>
      <c r="I33" s="1818">
        <v>574046</v>
      </c>
      <c r="J33" s="1818">
        <v>389562</v>
      </c>
      <c r="K33" s="396"/>
      <c r="L33" s="396"/>
      <c r="M33" s="396"/>
      <c r="N33" s="396"/>
      <c r="O33" s="396"/>
      <c r="P33" s="396"/>
      <c r="Q33" s="396"/>
      <c r="R33" s="396"/>
    </row>
    <row r="34" spans="2:19">
      <c r="B34" s="2772" t="s">
        <v>112</v>
      </c>
      <c r="C34" s="764">
        <v>155016</v>
      </c>
      <c r="D34" s="765">
        <v>587246</v>
      </c>
      <c r="E34" s="765">
        <v>380411</v>
      </c>
      <c r="F34" s="765">
        <v>30565</v>
      </c>
      <c r="G34" s="765">
        <v>844042</v>
      </c>
      <c r="H34" s="765">
        <v>103158</v>
      </c>
      <c r="I34" s="1818">
        <v>2100438</v>
      </c>
      <c r="J34" s="1818">
        <v>1432832</v>
      </c>
      <c r="K34" s="396"/>
      <c r="L34" s="396"/>
      <c r="M34" s="396"/>
      <c r="N34" s="396"/>
      <c r="O34" s="396"/>
      <c r="P34" s="396"/>
      <c r="Q34" s="396"/>
      <c r="R34" s="396"/>
    </row>
    <row r="35" spans="2:19">
      <c r="B35" s="2772" t="s">
        <v>114</v>
      </c>
      <c r="C35" s="762">
        <v>13490</v>
      </c>
      <c r="D35" s="763">
        <v>106951</v>
      </c>
      <c r="E35" s="763">
        <v>96935</v>
      </c>
      <c r="F35" s="763">
        <v>2466</v>
      </c>
      <c r="G35" s="763">
        <v>71094</v>
      </c>
      <c r="H35" s="763">
        <v>12641</v>
      </c>
      <c r="I35" s="1818">
        <v>303577</v>
      </c>
      <c r="J35" s="1818">
        <v>231398</v>
      </c>
      <c r="K35" s="396"/>
      <c r="L35" s="396"/>
      <c r="M35" s="396"/>
      <c r="N35" s="396"/>
      <c r="O35" s="396"/>
      <c r="P35" s="396"/>
      <c r="Q35" s="396"/>
      <c r="R35" s="396"/>
    </row>
    <row r="36" spans="2:19">
      <c r="B36" s="2772" t="s">
        <v>115</v>
      </c>
      <c r="C36" s="762">
        <v>173616</v>
      </c>
      <c r="D36" s="763">
        <v>5793956</v>
      </c>
      <c r="E36" s="763">
        <v>7316338</v>
      </c>
      <c r="F36" s="763">
        <v>117270</v>
      </c>
      <c r="G36" s="763">
        <v>3591404</v>
      </c>
      <c r="H36" s="763">
        <v>826414</v>
      </c>
      <c r="I36" s="1818">
        <v>17818998</v>
      </c>
      <c r="J36" s="1818">
        <v>13898660</v>
      </c>
      <c r="K36" s="396"/>
      <c r="L36" s="396"/>
      <c r="M36" s="396"/>
      <c r="N36" s="396"/>
      <c r="O36" s="396"/>
      <c r="P36" s="396"/>
      <c r="Q36" s="396"/>
      <c r="R36" s="396"/>
    </row>
    <row r="37" spans="2:19">
      <c r="B37" s="2764" t="s">
        <v>118</v>
      </c>
      <c r="C37" s="2765">
        <f t="shared" ref="C37:J37" si="1">SUM(C24:C36)</f>
        <v>1274536</v>
      </c>
      <c r="D37" s="2765">
        <f t="shared" si="1"/>
        <v>13100775</v>
      </c>
      <c r="E37" s="2765">
        <f t="shared" si="1"/>
        <v>12632493</v>
      </c>
      <c r="F37" s="2765">
        <f t="shared" si="1"/>
        <v>978856</v>
      </c>
      <c r="G37" s="2765">
        <f t="shared" si="1"/>
        <v>12320926</v>
      </c>
      <c r="H37" s="2765">
        <f t="shared" si="1"/>
        <v>2060762</v>
      </c>
      <c r="I37" s="2765">
        <f t="shared" si="1"/>
        <v>42368348</v>
      </c>
      <c r="J37" s="2765">
        <f t="shared" si="1"/>
        <v>31005075</v>
      </c>
      <c r="K37" s="396"/>
      <c r="L37" s="396"/>
      <c r="M37" s="396"/>
      <c r="N37" s="396"/>
      <c r="O37" s="396"/>
      <c r="P37" s="396"/>
      <c r="Q37" s="396"/>
      <c r="R37" s="396"/>
      <c r="S37" s="396"/>
    </row>
    <row r="38" spans="2:19" ht="20.45" customHeight="1">
      <c r="C38" s="515"/>
      <c r="D38" s="515"/>
      <c r="E38" s="515"/>
      <c r="F38" s="515"/>
      <c r="G38" s="515"/>
      <c r="H38" s="515"/>
      <c r="I38" s="515"/>
      <c r="J38" s="515"/>
    </row>
    <row r="39" spans="2:19" ht="20.45" customHeight="1">
      <c r="B39" s="531" t="s">
        <v>479</v>
      </c>
    </row>
    <row r="40" spans="2:19" ht="20.45" customHeight="1">
      <c r="J40" s="292">
        <v>144</v>
      </c>
    </row>
    <row r="41" spans="2:19" ht="20.45" customHeight="1"/>
    <row r="42" spans="2:19" ht="20.45" customHeight="1">
      <c r="B42" s="37"/>
      <c r="C42" s="396"/>
      <c r="D42" s="396"/>
      <c r="E42" s="396"/>
      <c r="F42" s="396"/>
      <c r="G42" s="396"/>
      <c r="H42" s="396"/>
      <c r="I42" s="396"/>
      <c r="J42" s="396"/>
    </row>
    <row r="43" spans="2:19" ht="20.45" customHeight="1"/>
    <row r="44" spans="2:19">
      <c r="B44" s="384"/>
    </row>
  </sheetData>
  <mergeCells count="4">
    <mergeCell ref="B4:B5"/>
    <mergeCell ref="C4:J4"/>
    <mergeCell ref="B22:B23"/>
    <mergeCell ref="C22:J22"/>
  </mergeCells>
  <pageMargins left="0.7" right="0.17" top="0.75" bottom="0.75" header="0.3" footer="0.3"/>
  <pageSetup paperSize="9" scale="68"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S26"/>
  <sheetViews>
    <sheetView showGridLines="0" view="pageBreakPreview" zoomScale="85" zoomScaleNormal="80" zoomScaleSheetLayoutView="85" workbookViewId="0">
      <pane xSplit="2" topLeftCell="E1" activePane="topRight" state="frozen"/>
      <selection pane="topRight" activeCell="N23" sqref="N23"/>
    </sheetView>
  </sheetViews>
  <sheetFormatPr defaultColWidth="9.140625" defaultRowHeight="12.75"/>
  <cols>
    <col min="1" max="1" width="4" style="292" bestFit="1" customWidth="1"/>
    <col min="2" max="2" width="34" style="292" customWidth="1"/>
    <col min="3" max="5" width="15.42578125" style="292" customWidth="1"/>
    <col min="6" max="6" width="11.5703125" style="292" customWidth="1"/>
    <col min="7" max="9" width="15.42578125" style="292" customWidth="1"/>
    <col min="10" max="10" width="11.5703125" style="568" customWidth="1"/>
    <col min="11" max="12" width="8.5703125" style="292" customWidth="1"/>
    <col min="13" max="13" width="10.140625" style="292" customWidth="1"/>
    <col min="14" max="20" width="8.5703125" style="292" customWidth="1"/>
    <col min="21" max="16384" width="9.140625" style="292"/>
  </cols>
  <sheetData>
    <row r="2" spans="1:19" ht="12.75" customHeight="1">
      <c r="B2" s="3703" t="s">
        <v>480</v>
      </c>
      <c r="C2" s="3419"/>
      <c r="D2" s="3419"/>
      <c r="E2" s="3419"/>
      <c r="F2" s="3419"/>
      <c r="G2" s="3419"/>
      <c r="H2" s="3419"/>
      <c r="I2" s="3419"/>
      <c r="J2" s="3419"/>
    </row>
    <row r="3" spans="1:19">
      <c r="B3" s="425"/>
      <c r="C3" s="425"/>
      <c r="D3" s="425"/>
      <c r="E3" s="425"/>
      <c r="F3" s="425"/>
      <c r="G3" s="425"/>
      <c r="H3" s="425"/>
      <c r="I3" s="425"/>
      <c r="J3" s="425"/>
    </row>
    <row r="4" spans="1:19" ht="13.15" customHeight="1">
      <c r="B4" s="3693" t="s">
        <v>83</v>
      </c>
      <c r="C4" s="3711" t="s">
        <v>454</v>
      </c>
      <c r="D4" s="3712"/>
      <c r="E4" s="3712"/>
      <c r="F4" s="3511"/>
      <c r="G4" s="3510" t="s">
        <v>455</v>
      </c>
      <c r="H4" s="3712"/>
      <c r="I4" s="3712"/>
      <c r="J4" s="3511"/>
    </row>
    <row r="5" spans="1:19" ht="26.45" customHeight="1">
      <c r="A5" s="395"/>
      <c r="B5" s="3695"/>
      <c r="C5" s="1897" t="s">
        <v>481</v>
      </c>
      <c r="D5" s="1821" t="s">
        <v>482</v>
      </c>
      <c r="E5" s="1821" t="s">
        <v>483</v>
      </c>
      <c r="F5" s="1905" t="s">
        <v>484</v>
      </c>
      <c r="G5" s="1821" t="s">
        <v>481</v>
      </c>
      <c r="H5" s="1821" t="s">
        <v>482</v>
      </c>
      <c r="I5" s="1821" t="s">
        <v>483</v>
      </c>
      <c r="J5" s="1905" t="s">
        <v>484</v>
      </c>
      <c r="M5" s="291"/>
      <c r="N5" s="291"/>
      <c r="O5" s="291"/>
    </row>
    <row r="6" spans="1:19">
      <c r="B6" s="1895" t="s">
        <v>91</v>
      </c>
      <c r="C6" s="2784">
        <v>27361515.255918004</v>
      </c>
      <c r="D6" s="2784">
        <v>5601569.5892664241</v>
      </c>
      <c r="E6" s="2770"/>
      <c r="F6" s="2785">
        <v>4.8846157884653252</v>
      </c>
      <c r="G6" s="2784">
        <v>24565112.634542942</v>
      </c>
      <c r="H6" s="2784">
        <v>4490070.1843658974</v>
      </c>
      <c r="I6" s="2770"/>
      <c r="J6" s="2785">
        <f>+G6/H6</f>
        <v>5.4709863378253871</v>
      </c>
      <c r="K6" s="515"/>
      <c r="M6" s="742"/>
      <c r="N6" s="742"/>
      <c r="O6" s="742"/>
      <c r="P6" s="293"/>
      <c r="Q6" s="515"/>
      <c r="R6" s="515"/>
      <c r="S6" s="515"/>
    </row>
    <row r="7" spans="1:19" s="395" customFormat="1">
      <c r="A7" s="292"/>
      <c r="B7" s="2061" t="s">
        <v>93</v>
      </c>
      <c r="C7" s="2784">
        <v>2028498.2655010661</v>
      </c>
      <c r="D7" s="2784">
        <v>216924.39874479698</v>
      </c>
      <c r="E7" s="2786">
        <v>286006.79121690377</v>
      </c>
      <c r="F7" s="2785">
        <v>7.0924828633271151</v>
      </c>
      <c r="G7" s="2784">
        <v>1490704.3082753529</v>
      </c>
      <c r="H7" s="2784">
        <v>378981.23095790215</v>
      </c>
      <c r="I7" s="2784">
        <v>23701.230287855025</v>
      </c>
      <c r="J7" s="2785">
        <f t="shared" ref="J7:J20" si="0">+G7/H7</f>
        <v>3.933451544572514</v>
      </c>
      <c r="K7" s="515"/>
      <c r="L7" s="292"/>
      <c r="M7" s="291"/>
      <c r="N7" s="291"/>
      <c r="O7" s="291"/>
      <c r="P7" s="293"/>
      <c r="Q7" s="515"/>
      <c r="R7" s="515"/>
      <c r="S7" s="515"/>
    </row>
    <row r="8" spans="1:19">
      <c r="B8" s="2061" t="s">
        <v>94</v>
      </c>
      <c r="C8" s="2784">
        <v>535106.09181088977</v>
      </c>
      <c r="D8" s="2784">
        <v>261775.31251479642</v>
      </c>
      <c r="E8" s="2770"/>
      <c r="F8" s="2785">
        <v>2.04</v>
      </c>
      <c r="G8" s="2784">
        <v>535348.73181229364</v>
      </c>
      <c r="H8" s="2784">
        <v>275186.99215646944</v>
      </c>
      <c r="I8" s="2770"/>
      <c r="J8" s="2785">
        <f t="shared" si="0"/>
        <v>1.9453998447277552</v>
      </c>
      <c r="K8" s="515"/>
      <c r="M8" s="293"/>
      <c r="N8" s="743"/>
      <c r="O8" s="743"/>
      <c r="P8" s="293"/>
      <c r="Q8" s="515"/>
      <c r="R8" s="515"/>
      <c r="S8" s="515"/>
    </row>
    <row r="9" spans="1:19">
      <c r="B9" s="2061" t="s">
        <v>96</v>
      </c>
      <c r="C9" s="2784">
        <v>1908450</v>
      </c>
      <c r="D9" s="2784">
        <v>459409</v>
      </c>
      <c r="E9" s="2787">
        <v>97174</v>
      </c>
      <c r="F9" s="2785">
        <v>4.1500000000000004</v>
      </c>
      <c r="G9" s="2784">
        <v>2221251.8023580769</v>
      </c>
      <c r="H9" s="2784">
        <v>476827.61663533235</v>
      </c>
      <c r="I9" s="2784">
        <v>511231.65404905693</v>
      </c>
      <c r="J9" s="2785">
        <f>+G9/I9</f>
        <v>4.3449027163426175</v>
      </c>
      <c r="K9" s="515"/>
      <c r="M9" s="293"/>
      <c r="N9" s="293"/>
      <c r="O9" s="293"/>
      <c r="P9" s="293"/>
      <c r="Q9" s="515"/>
      <c r="R9" s="515"/>
      <c r="S9" s="515"/>
    </row>
    <row r="10" spans="1:19">
      <c r="B10" s="2061" t="s">
        <v>97</v>
      </c>
      <c r="C10" s="2784">
        <v>72111873.927256927</v>
      </c>
      <c r="D10" s="2784">
        <v>17133081.048497241</v>
      </c>
      <c r="E10" s="2022">
        <v>3929.6216819430992</v>
      </c>
      <c r="F10" s="2785">
        <v>4.21</v>
      </c>
      <c r="G10" s="2784">
        <v>71664622.271491587</v>
      </c>
      <c r="H10" s="2784">
        <v>18048009.716787234</v>
      </c>
      <c r="I10" s="2784">
        <v>3238.4411475829547</v>
      </c>
      <c r="J10" s="2785">
        <f t="shared" si="0"/>
        <v>3.9707770217362652</v>
      </c>
      <c r="K10" s="515"/>
      <c r="M10" s="293"/>
      <c r="N10" s="293"/>
      <c r="O10" s="293"/>
      <c r="P10" s="293"/>
      <c r="Q10" s="515"/>
      <c r="R10" s="515"/>
      <c r="S10" s="515"/>
    </row>
    <row r="11" spans="1:19">
      <c r="B11" s="2061" t="s">
        <v>100</v>
      </c>
      <c r="C11" s="2784">
        <v>1473028.34</v>
      </c>
      <c r="D11" s="2784">
        <v>589123.75</v>
      </c>
      <c r="E11" s="2770"/>
      <c r="F11" s="2785">
        <v>2.5</v>
      </c>
      <c r="G11" s="2784">
        <v>1497622.7831110063</v>
      </c>
      <c r="H11" s="2784">
        <v>509721</v>
      </c>
      <c r="I11" s="2770"/>
      <c r="J11" s="2785">
        <f t="shared" si="0"/>
        <v>2.938122586887741</v>
      </c>
      <c r="K11" s="515"/>
      <c r="M11" s="293"/>
      <c r="N11" s="293"/>
      <c r="O11" s="293"/>
      <c r="P11" s="293"/>
      <c r="Q11" s="515"/>
      <c r="R11" s="515"/>
      <c r="S11" s="515"/>
    </row>
    <row r="12" spans="1:19">
      <c r="B12" s="2061" t="s">
        <v>103</v>
      </c>
      <c r="C12" s="2784">
        <v>8966666.5400282275</v>
      </c>
      <c r="D12" s="2784">
        <v>2653680.7164734984</v>
      </c>
      <c r="E12" s="2770"/>
      <c r="F12" s="2785">
        <v>3.38</v>
      </c>
      <c r="G12" s="2784">
        <v>11139697.871478738</v>
      </c>
      <c r="H12" s="2784">
        <v>4023288.1122808019</v>
      </c>
      <c r="I12" s="2784">
        <v>694632.00279921247</v>
      </c>
      <c r="J12" s="2785">
        <f t="shared" si="0"/>
        <v>2.7688044108687122</v>
      </c>
      <c r="K12" s="515"/>
      <c r="M12" s="293"/>
      <c r="N12" s="293"/>
      <c r="O12" s="293"/>
      <c r="P12" s="293"/>
      <c r="Q12" s="515"/>
      <c r="R12" s="515"/>
      <c r="S12" s="515"/>
    </row>
    <row r="13" spans="1:19">
      <c r="B13" s="2061" t="s">
        <v>105</v>
      </c>
      <c r="C13" s="2784">
        <v>10132232.582685126</v>
      </c>
      <c r="D13" s="2784">
        <v>3331694.3558321758</v>
      </c>
      <c r="E13" s="2770"/>
      <c r="F13" s="2785">
        <v>3.0411650951560176</v>
      </c>
      <c r="G13" s="2784">
        <v>12857785.721337307</v>
      </c>
      <c r="H13" s="2784">
        <v>3310342.7904351437</v>
      </c>
      <c r="I13" s="2784">
        <v>804347.28813305637</v>
      </c>
      <c r="J13" s="2785">
        <f t="shared" si="0"/>
        <v>3.8841251602367</v>
      </c>
      <c r="K13" s="515"/>
      <c r="M13" s="293"/>
      <c r="N13" s="293"/>
      <c r="O13" s="293"/>
      <c r="P13" s="293"/>
      <c r="Q13" s="515"/>
      <c r="R13" s="515"/>
      <c r="S13" s="515"/>
    </row>
    <row r="14" spans="1:19">
      <c r="B14" s="2061" t="s">
        <v>106</v>
      </c>
      <c r="C14" s="2784">
        <v>485939.84444347676</v>
      </c>
      <c r="D14" s="2784">
        <v>338701.60823572904</v>
      </c>
      <c r="E14" s="2770"/>
      <c r="F14" s="2785">
        <v>1.43</v>
      </c>
      <c r="G14" s="2784">
        <v>563897.35588054301</v>
      </c>
      <c r="H14" s="2784">
        <v>309953.07145640498</v>
      </c>
      <c r="I14" s="2770"/>
      <c r="J14" s="2785">
        <f t="shared" si="0"/>
        <v>1.8192991385144424</v>
      </c>
      <c r="K14" s="515"/>
      <c r="M14" s="293"/>
      <c r="N14" s="293"/>
      <c r="O14" s="293"/>
      <c r="P14" s="293"/>
      <c r="Q14" s="515"/>
      <c r="R14" s="515"/>
      <c r="S14" s="515"/>
    </row>
    <row r="15" spans="1:19">
      <c r="B15" s="2061" t="s">
        <v>107</v>
      </c>
      <c r="C15" s="2784">
        <v>2326985.3069373677</v>
      </c>
      <c r="D15" s="2784">
        <v>1258533.4934914007</v>
      </c>
      <c r="E15" s="2770"/>
      <c r="F15" s="2785">
        <v>1.85</v>
      </c>
      <c r="G15" s="2784">
        <v>3464727.9035775834</v>
      </c>
      <c r="H15" s="2784">
        <v>721458.61031456909</v>
      </c>
      <c r="I15" s="2770"/>
      <c r="J15" s="2785">
        <f t="shared" si="0"/>
        <v>4.8023931713378527</v>
      </c>
      <c r="K15" s="515"/>
      <c r="M15" s="293"/>
      <c r="N15" s="293"/>
      <c r="O15" s="291"/>
      <c r="P15" s="293"/>
      <c r="Q15" s="515"/>
      <c r="R15" s="515"/>
      <c r="S15" s="515"/>
    </row>
    <row r="16" spans="1:19">
      <c r="B16" s="2061" t="s">
        <v>109</v>
      </c>
      <c r="C16" s="2784">
        <v>556357.35709329194</v>
      </c>
      <c r="D16" s="2784">
        <v>76062.168156699816</v>
      </c>
      <c r="E16" s="2770"/>
      <c r="F16" s="2785">
        <v>7.314508257864933</v>
      </c>
      <c r="G16" s="2784">
        <v>515390.69281497976</v>
      </c>
      <c r="H16" s="2784">
        <v>58535.524917230454</v>
      </c>
      <c r="I16" s="2770"/>
      <c r="J16" s="2785">
        <f t="shared" si="0"/>
        <v>8.8047505090924698</v>
      </c>
      <c r="K16" s="515"/>
      <c r="M16" s="293"/>
      <c r="N16" s="293"/>
      <c r="O16" s="293"/>
      <c r="P16" s="293"/>
      <c r="Q16" s="515"/>
      <c r="R16" s="515"/>
      <c r="S16" s="515"/>
    </row>
    <row r="17" spans="2:19">
      <c r="B17" s="2061" t="s">
        <v>113</v>
      </c>
      <c r="C17" s="2784">
        <v>747344</v>
      </c>
      <c r="D17" s="2784">
        <v>377961</v>
      </c>
      <c r="E17" s="2770"/>
      <c r="F17" s="2785">
        <v>1.98</v>
      </c>
      <c r="G17" s="2784">
        <v>820062.38215607707</v>
      </c>
      <c r="H17" s="2784">
        <v>468187.11434634717</v>
      </c>
      <c r="I17" s="2770"/>
      <c r="J17" s="2785">
        <f t="shared" si="0"/>
        <v>1.751569740019427</v>
      </c>
      <c r="K17" s="515"/>
      <c r="M17" s="293"/>
      <c r="N17" s="293"/>
      <c r="O17" s="293"/>
      <c r="P17" s="293"/>
      <c r="Q17" s="515"/>
      <c r="R17" s="515"/>
      <c r="S17" s="515"/>
    </row>
    <row r="18" spans="2:19">
      <c r="B18" s="2061" t="s">
        <v>115</v>
      </c>
      <c r="C18" s="2784">
        <v>79654571.31689176</v>
      </c>
      <c r="D18" s="2784">
        <v>17370299.937591046</v>
      </c>
      <c r="E18" s="2770"/>
      <c r="F18" s="2785">
        <v>4.59</v>
      </c>
      <c r="G18" s="2784">
        <v>106308578.67436063</v>
      </c>
      <c r="H18" s="2784">
        <v>21684273.065739259</v>
      </c>
      <c r="I18" s="2770"/>
      <c r="J18" s="2785">
        <f t="shared" si="0"/>
        <v>4.9025659450086048</v>
      </c>
      <c r="K18" s="515"/>
      <c r="M18" s="293"/>
      <c r="N18" s="293"/>
      <c r="O18" s="293"/>
      <c r="P18" s="293"/>
      <c r="Q18" s="515"/>
      <c r="R18" s="515"/>
      <c r="S18" s="515"/>
    </row>
    <row r="19" spans="2:19">
      <c r="B19" s="2061" t="s">
        <v>116</v>
      </c>
      <c r="C19" s="2784">
        <v>19940660.191516433</v>
      </c>
      <c r="D19" s="2784">
        <v>6610593.1796521926</v>
      </c>
      <c r="E19" s="2022">
        <v>2203853.64648344</v>
      </c>
      <c r="F19" s="2785">
        <v>3.02</v>
      </c>
      <c r="G19" s="2784">
        <v>27081811.321471039</v>
      </c>
      <c r="H19" s="2784">
        <v>6851316.22980846</v>
      </c>
      <c r="I19" s="2784">
        <v>4935500.2543812208</v>
      </c>
      <c r="J19" s="2785">
        <f t="shared" si="0"/>
        <v>3.9527895681773479</v>
      </c>
      <c r="K19" s="515"/>
      <c r="M19" s="293"/>
      <c r="N19" s="293"/>
      <c r="O19" s="530"/>
      <c r="P19" s="293"/>
      <c r="Q19" s="515"/>
      <c r="R19" s="515"/>
      <c r="S19" s="515"/>
    </row>
    <row r="20" spans="2:19">
      <c r="B20" s="2061" t="s">
        <v>117</v>
      </c>
      <c r="C20" s="2784">
        <v>21795969.001774177</v>
      </c>
      <c r="D20" s="2784">
        <v>6396436.0923930947</v>
      </c>
      <c r="E20" s="2032">
        <v>20586.814800323918</v>
      </c>
      <c r="F20" s="2785">
        <v>3.41</v>
      </c>
      <c r="G20" s="2784">
        <v>21582364</v>
      </c>
      <c r="H20" s="2784">
        <v>9468422</v>
      </c>
      <c r="I20" s="2784">
        <v>932135</v>
      </c>
      <c r="J20" s="2785">
        <f t="shared" si="0"/>
        <v>2.2794045301318424</v>
      </c>
      <c r="K20" s="515"/>
      <c r="M20" s="293"/>
      <c r="N20" s="293"/>
      <c r="O20" s="293"/>
      <c r="P20" s="293"/>
      <c r="Q20" s="515"/>
      <c r="R20" s="515"/>
      <c r="S20" s="515"/>
    </row>
    <row r="21" spans="2:19" ht="15">
      <c r="B21" s="2766" t="s">
        <v>485</v>
      </c>
      <c r="C21" s="2120">
        <f>SUM(C6:C20)</f>
        <v>250025198.02185673</v>
      </c>
      <c r="D21" s="2120">
        <f>SUM(D6:D20)</f>
        <v>62675845.650849089</v>
      </c>
      <c r="E21" s="2120">
        <f>SUM(E6:E20)</f>
        <v>2611550.8741826108</v>
      </c>
      <c r="F21" s="2788">
        <v>3.6595181336542302</v>
      </c>
      <c r="G21" s="2120">
        <f>SUM(G6:G20)</f>
        <v>286308978.45466816</v>
      </c>
      <c r="H21" s="2120">
        <f>SUM(H6:H20)</f>
        <v>71074573.260201037</v>
      </c>
      <c r="I21" s="2120">
        <f>SUM(I6:I20)</f>
        <v>7904785.8707979843</v>
      </c>
      <c r="J21" s="2789">
        <f>+AVERAGE(J6:J20)</f>
        <v>3.8379561483653117</v>
      </c>
      <c r="K21" s="515"/>
      <c r="L21" s="295"/>
      <c r="M21" s="293"/>
      <c r="N21" s="293"/>
      <c r="O21" s="293"/>
      <c r="P21" s="515"/>
      <c r="Q21" s="515"/>
      <c r="R21" s="515"/>
      <c r="S21" s="515"/>
    </row>
    <row r="22" spans="2:19">
      <c r="O22" s="52"/>
      <c r="P22" s="492"/>
      <c r="Q22" s="492"/>
    </row>
    <row r="23" spans="2:19" ht="28.15" customHeight="1">
      <c r="B23" s="3494" t="s">
        <v>460</v>
      </c>
      <c r="C23" s="3494"/>
      <c r="D23" s="3494"/>
      <c r="E23" s="3494"/>
      <c r="F23" s="3494"/>
      <c r="G23" s="3494"/>
      <c r="H23" s="3494"/>
      <c r="I23" s="3494"/>
      <c r="J23" s="3494"/>
      <c r="O23" s="52"/>
      <c r="P23" s="492"/>
      <c r="Q23" s="492"/>
    </row>
    <row r="24" spans="2:19">
      <c r="B24" s="532"/>
      <c r="C24" s="532"/>
      <c r="D24" s="532"/>
      <c r="E24" s="532"/>
      <c r="F24" s="532"/>
      <c r="G24" s="532"/>
      <c r="H24" s="532"/>
      <c r="I24" s="532"/>
      <c r="J24" s="532"/>
      <c r="O24" s="52"/>
      <c r="P24" s="492"/>
      <c r="Q24" s="492"/>
    </row>
    <row r="25" spans="2:19">
      <c r="J25" s="569">
        <v>145</v>
      </c>
    </row>
    <row r="26" spans="2:19">
      <c r="B26" s="384"/>
      <c r="C26" s="570"/>
      <c r="D26" s="570"/>
      <c r="E26" s="570"/>
      <c r="F26" s="570"/>
      <c r="G26" s="384"/>
      <c r="H26" s="384"/>
      <c r="I26" s="384"/>
      <c r="J26" s="571"/>
    </row>
  </sheetData>
  <mergeCells count="5">
    <mergeCell ref="B2:J2"/>
    <mergeCell ref="B4:B5"/>
    <mergeCell ref="C4:F4"/>
    <mergeCell ref="G4:J4"/>
    <mergeCell ref="B23:J23"/>
  </mergeCells>
  <pageMargins left="0.7" right="0.7" top="0.75" bottom="0.75" header="0.3" footer="0.3"/>
  <pageSetup paperSize="9" scale="87" orientation="landscape" r:id="rId1"/>
  <rowBreaks count="1" manualBreakCount="1">
    <brk id="25" min="1" max="5" man="1"/>
  </rowBreaks>
  <colBreaks count="1" manualBreakCount="1">
    <brk id="1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0"/>
  <sheetViews>
    <sheetView view="pageBreakPreview" topLeftCell="A37" zoomScaleNormal="100" zoomScaleSheetLayoutView="100" workbookViewId="0">
      <selection activeCell="B40" sqref="B40"/>
    </sheetView>
  </sheetViews>
  <sheetFormatPr defaultColWidth="9.140625" defaultRowHeight="15.75" customHeight="1"/>
  <cols>
    <col min="1" max="1" width="5.140625" style="52" customWidth="1"/>
    <col min="2" max="2" width="83.85546875" style="440" customWidth="1"/>
    <col min="3" max="3" width="11.42578125" style="257" customWidth="1"/>
    <col min="4" max="16384" width="9.140625" style="2"/>
  </cols>
  <sheetData>
    <row r="2" spans="1:8" ht="12.75">
      <c r="B2" s="502" t="s">
        <v>23</v>
      </c>
      <c r="C2" s="499" t="s">
        <v>24</v>
      </c>
    </row>
    <row r="3" spans="1:8" ht="25.5">
      <c r="A3" s="617">
        <v>1</v>
      </c>
      <c r="B3" s="413" t="s">
        <v>25</v>
      </c>
      <c r="C3" s="45">
        <v>1</v>
      </c>
    </row>
    <row r="4" spans="1:8" s="292" customFormat="1" ht="25.5">
      <c r="A4" s="617">
        <v>2</v>
      </c>
      <c r="B4" s="413" t="s">
        <v>26</v>
      </c>
      <c r="C4" s="45">
        <v>2</v>
      </c>
    </row>
    <row r="5" spans="1:8" s="292" customFormat="1" ht="25.5">
      <c r="A5" s="617">
        <v>3</v>
      </c>
      <c r="B5" s="413" t="s">
        <v>27</v>
      </c>
      <c r="C5" s="45">
        <v>3</v>
      </c>
    </row>
    <row r="6" spans="1:8" s="292" customFormat="1" ht="15">
      <c r="A6" s="617">
        <v>4</v>
      </c>
      <c r="B6" s="413" t="s">
        <v>28</v>
      </c>
      <c r="C6" s="45">
        <v>4</v>
      </c>
    </row>
    <row r="7" spans="1:8" s="292" customFormat="1" ht="15">
      <c r="A7" s="617">
        <v>5</v>
      </c>
      <c r="B7" s="413" t="s">
        <v>29</v>
      </c>
      <c r="C7" s="45">
        <v>5</v>
      </c>
    </row>
    <row r="8" spans="1:8" s="292" customFormat="1" ht="15">
      <c r="A8" s="617">
        <v>6</v>
      </c>
      <c r="B8" s="413" t="s">
        <v>30</v>
      </c>
      <c r="C8" s="45">
        <v>6</v>
      </c>
    </row>
    <row r="9" spans="1:8" s="292" customFormat="1" ht="15">
      <c r="A9" s="617">
        <v>7</v>
      </c>
      <c r="B9" s="413" t="s">
        <v>31</v>
      </c>
      <c r="C9" s="45">
        <v>7</v>
      </c>
    </row>
    <row r="10" spans="1:8" s="292" customFormat="1" ht="25.5">
      <c r="A10" s="617">
        <v>8</v>
      </c>
      <c r="B10" s="413" t="s">
        <v>32</v>
      </c>
      <c r="C10" s="500" t="s">
        <v>33</v>
      </c>
    </row>
    <row r="11" spans="1:8" s="292" customFormat="1" ht="15">
      <c r="A11" s="617">
        <v>9</v>
      </c>
      <c r="B11" s="413" t="s">
        <v>34</v>
      </c>
      <c r="C11" s="45">
        <v>10</v>
      </c>
      <c r="H11" s="654"/>
    </row>
    <row r="12" spans="1:8" s="292" customFormat="1" ht="25.5">
      <c r="A12" s="617">
        <v>10</v>
      </c>
      <c r="B12" s="413" t="s">
        <v>35</v>
      </c>
      <c r="C12" s="500" t="s">
        <v>36</v>
      </c>
    </row>
    <row r="13" spans="1:8" s="292" customFormat="1" ht="25.5">
      <c r="A13" s="617">
        <v>11</v>
      </c>
      <c r="B13" s="413" t="s">
        <v>37</v>
      </c>
      <c r="C13" s="500" t="s">
        <v>38</v>
      </c>
    </row>
    <row r="14" spans="1:8" s="292" customFormat="1" ht="25.5">
      <c r="A14" s="617">
        <v>12</v>
      </c>
      <c r="B14" s="413" t="s">
        <v>39</v>
      </c>
      <c r="C14" s="45" t="s">
        <v>40</v>
      </c>
    </row>
    <row r="15" spans="1:8" s="292" customFormat="1" ht="15">
      <c r="A15" s="617">
        <v>13</v>
      </c>
      <c r="B15" s="413" t="s">
        <v>41</v>
      </c>
      <c r="C15" s="45" t="s">
        <v>42</v>
      </c>
    </row>
    <row r="16" spans="1:8" s="292" customFormat="1" ht="15">
      <c r="A16" s="617">
        <v>14</v>
      </c>
      <c r="B16" s="413" t="s">
        <v>43</v>
      </c>
      <c r="C16" s="45" t="s">
        <v>44</v>
      </c>
    </row>
    <row r="17" spans="1:3" s="292" customFormat="1" ht="15">
      <c r="A17" s="617">
        <v>15</v>
      </c>
      <c r="B17" s="413" t="s">
        <v>45</v>
      </c>
      <c r="C17" s="45" t="s">
        <v>46</v>
      </c>
    </row>
    <row r="18" spans="1:3" s="292" customFormat="1" ht="15">
      <c r="A18" s="617">
        <v>16</v>
      </c>
      <c r="B18" s="413" t="s">
        <v>47</v>
      </c>
      <c r="C18" s="45" t="s">
        <v>48</v>
      </c>
    </row>
    <row r="19" spans="1:3" s="292" customFormat="1" ht="15">
      <c r="A19" s="617">
        <v>17</v>
      </c>
      <c r="B19" s="413" t="s">
        <v>49</v>
      </c>
      <c r="C19" s="45" t="s">
        <v>50</v>
      </c>
    </row>
    <row r="20" spans="1:3" s="292" customFormat="1" ht="15">
      <c r="A20" s="617">
        <v>18</v>
      </c>
      <c r="B20" s="413" t="s">
        <v>51</v>
      </c>
      <c r="C20" s="45" t="s">
        <v>52</v>
      </c>
    </row>
    <row r="21" spans="1:3" s="292" customFormat="1" ht="25.5">
      <c r="A21" s="619">
        <v>19</v>
      </c>
      <c r="B21" s="413" t="s">
        <v>53</v>
      </c>
      <c r="C21" s="45">
        <v>141</v>
      </c>
    </row>
    <row r="22" spans="1:3" s="292" customFormat="1" ht="25.5">
      <c r="A22" s="618">
        <v>20</v>
      </c>
      <c r="B22" s="413" t="s">
        <v>54</v>
      </c>
      <c r="C22" s="45">
        <v>142</v>
      </c>
    </row>
    <row r="23" spans="1:3" s="292" customFormat="1" ht="25.5">
      <c r="A23" s="618">
        <v>21</v>
      </c>
      <c r="B23" s="413" t="s">
        <v>55</v>
      </c>
      <c r="C23" s="45">
        <v>143</v>
      </c>
    </row>
    <row r="24" spans="1:3" s="292" customFormat="1" ht="25.5">
      <c r="A24" s="618">
        <v>22</v>
      </c>
      <c r="B24" s="413" t="s">
        <v>56</v>
      </c>
      <c r="C24" s="45">
        <v>144</v>
      </c>
    </row>
    <row r="25" spans="1:3" s="292" customFormat="1" ht="25.5">
      <c r="A25" s="618">
        <v>23</v>
      </c>
      <c r="B25" s="413" t="s">
        <v>57</v>
      </c>
      <c r="C25" s="45">
        <v>145</v>
      </c>
    </row>
    <row r="26" spans="1:3" s="292" customFormat="1" ht="25.5">
      <c r="A26" s="618">
        <v>24</v>
      </c>
      <c r="B26" s="413" t="s">
        <v>58</v>
      </c>
      <c r="C26" s="45">
        <v>146</v>
      </c>
    </row>
    <row r="27" spans="1:3" s="292" customFormat="1" ht="25.5">
      <c r="A27" s="618">
        <v>25</v>
      </c>
      <c r="B27" s="413" t="s">
        <v>59</v>
      </c>
      <c r="C27" s="45" t="s">
        <v>60</v>
      </c>
    </row>
    <row r="28" spans="1:3" s="52" customFormat="1" ht="25.5">
      <c r="A28" s="618">
        <v>26</v>
      </c>
      <c r="B28" s="438" t="s">
        <v>61</v>
      </c>
      <c r="C28" s="196">
        <v>152</v>
      </c>
    </row>
    <row r="29" spans="1:3" s="292" customFormat="1" ht="15">
      <c r="A29" s="618">
        <v>27</v>
      </c>
      <c r="B29" s="413" t="s">
        <v>62</v>
      </c>
      <c r="C29" s="45" t="s">
        <v>63</v>
      </c>
    </row>
    <row r="30" spans="1:3" s="292" customFormat="1" ht="15">
      <c r="A30" s="618">
        <v>28</v>
      </c>
      <c r="B30" s="413" t="s">
        <v>64</v>
      </c>
      <c r="C30" s="45" t="s">
        <v>65</v>
      </c>
    </row>
    <row r="31" spans="1:3" s="292" customFormat="1" ht="15">
      <c r="A31" s="618">
        <v>29</v>
      </c>
      <c r="B31" s="413" t="s">
        <v>66</v>
      </c>
      <c r="C31" s="45">
        <v>163</v>
      </c>
    </row>
    <row r="32" spans="1:3" s="292" customFormat="1" ht="25.5">
      <c r="A32" s="618">
        <v>30</v>
      </c>
      <c r="B32" s="413" t="s">
        <v>67</v>
      </c>
      <c r="C32" s="45">
        <v>164</v>
      </c>
    </row>
    <row r="33" spans="1:4" s="292" customFormat="1" ht="15">
      <c r="A33" s="618">
        <v>31</v>
      </c>
      <c r="B33" s="413" t="s">
        <v>68</v>
      </c>
      <c r="C33" s="45" t="s">
        <v>69</v>
      </c>
    </row>
    <row r="34" spans="1:4" s="292" customFormat="1" ht="15">
      <c r="A34" s="618">
        <v>32</v>
      </c>
      <c r="B34" s="413" t="s">
        <v>70</v>
      </c>
      <c r="C34" s="45" t="s">
        <v>71</v>
      </c>
    </row>
    <row r="35" spans="1:4" s="292" customFormat="1" ht="15">
      <c r="A35" s="617">
        <v>33</v>
      </c>
      <c r="B35" s="413" t="s">
        <v>72</v>
      </c>
      <c r="C35" s="45">
        <v>180</v>
      </c>
    </row>
    <row r="36" spans="1:4" s="292" customFormat="1" ht="15">
      <c r="A36" s="617">
        <v>34</v>
      </c>
      <c r="B36" s="413" t="s">
        <v>73</v>
      </c>
      <c r="C36" s="45">
        <v>181</v>
      </c>
    </row>
    <row r="37" spans="1:4" s="292" customFormat="1" ht="15">
      <c r="A37" s="617">
        <v>35</v>
      </c>
      <c r="B37" s="413" t="s">
        <v>74</v>
      </c>
      <c r="C37" s="45" t="s">
        <v>75</v>
      </c>
    </row>
    <row r="38" spans="1:4" s="292" customFormat="1" ht="15">
      <c r="A38" s="617">
        <v>36</v>
      </c>
      <c r="B38" s="413" t="s">
        <v>76</v>
      </c>
      <c r="C38" s="45" t="s">
        <v>77</v>
      </c>
      <c r="D38" s="501"/>
    </row>
    <row r="39" spans="1:4" s="292" customFormat="1" ht="15">
      <c r="A39" s="617">
        <v>37</v>
      </c>
      <c r="B39" s="413" t="s">
        <v>78</v>
      </c>
      <c r="C39" s="45" t="s">
        <v>79</v>
      </c>
    </row>
    <row r="40" spans="1:4" s="292" customFormat="1" ht="15">
      <c r="A40" s="617">
        <v>38</v>
      </c>
      <c r="B40" s="413" t="s">
        <v>80</v>
      </c>
      <c r="C40" s="45">
        <v>195</v>
      </c>
    </row>
    <row r="41" spans="1:4" s="292" customFormat="1" ht="15.75" customHeight="1">
      <c r="A41" s="52"/>
      <c r="B41" s="440"/>
      <c r="C41" s="45"/>
    </row>
    <row r="42" spans="1:4" s="292" customFormat="1" ht="15.75" customHeight="1">
      <c r="A42" s="3418" t="s">
        <v>81</v>
      </c>
      <c r="B42" s="3418"/>
      <c r="C42" s="3418"/>
    </row>
    <row r="43" spans="1:4" s="292" customFormat="1" ht="15.75" customHeight="1">
      <c r="A43" s="52"/>
      <c r="B43" s="440"/>
      <c r="C43" s="45"/>
    </row>
    <row r="44" spans="1:4" s="292" customFormat="1" ht="15.75" customHeight="1">
      <c r="A44" s="52"/>
      <c r="B44" s="440"/>
      <c r="C44" s="45"/>
    </row>
    <row r="45" spans="1:4" s="292" customFormat="1" ht="15.75" customHeight="1">
      <c r="A45" s="52"/>
      <c r="B45" s="440"/>
      <c r="C45" s="45"/>
    </row>
    <row r="46" spans="1:4" s="292" customFormat="1" ht="15.75" customHeight="1">
      <c r="A46" s="52"/>
      <c r="B46" s="440"/>
      <c r="C46" s="45"/>
    </row>
    <row r="47" spans="1:4" s="292" customFormat="1" ht="15.75" customHeight="1">
      <c r="A47" s="52"/>
      <c r="B47" s="440"/>
      <c r="C47" s="45"/>
    </row>
    <row r="48" spans="1:4" s="292" customFormat="1" ht="15.75" customHeight="1">
      <c r="A48" s="52"/>
      <c r="B48" s="440"/>
      <c r="C48" s="45"/>
    </row>
    <row r="49" spans="1:3" s="292" customFormat="1" ht="15.75" customHeight="1">
      <c r="A49" s="52"/>
      <c r="B49" s="503"/>
      <c r="C49" s="45"/>
    </row>
    <row r="50" spans="1:3" s="292" customFormat="1" ht="15.75" customHeight="1">
      <c r="A50" s="52"/>
      <c r="B50" s="503"/>
    </row>
  </sheetData>
  <customSheetViews>
    <customSheetView guid="{5E394B0B-7867-4722-9497-A93AB2A9A773}" showPageBreaks="1" printArea="1">
      <selection activeCell="B17" sqref="B17"/>
      <pageMargins left="0" right="0" top="0" bottom="0" header="0" footer="0"/>
      <pageSetup scale="66" orientation="portrait" r:id="rId1"/>
    </customSheetView>
    <customSheetView guid="{B1E1B596-A9A1-411D-A882-A48CB025B978}" showPageBreaks="1" printArea="1" topLeftCell="A7">
      <selection activeCell="B36" sqref="B36"/>
      <pageMargins left="0" right="0" top="0" bottom="0" header="0" footer="0"/>
      <pageSetup scale="80" orientation="portrait" r:id="rId2"/>
    </customSheetView>
    <customSheetView guid="{E82B35BE-4719-4C53-A9EF-1CC6F153A6F3}" showPageBreaks="1" printArea="1">
      <selection activeCell="B6" sqref="B6"/>
      <pageMargins left="0" right="0" top="0" bottom="0" header="0" footer="0"/>
      <pageSetup scale="70" orientation="portrait" r:id="rId3"/>
    </customSheetView>
    <customSheetView guid="{46F31544-8E6F-41C5-8628-1D6EE074AF15}" scale="85">
      <selection activeCell="B2" sqref="B2"/>
      <pageMargins left="0" right="0" top="0" bottom="0" header="0" footer="0"/>
      <pageSetup scale="63" orientation="portrait" r:id="rId4"/>
    </customSheetView>
    <customSheetView guid="{B2E1A0C6-5BA1-4CF1-B412-16D81FCDF11F}" scale="85" showPageBreaks="1" printArea="1" topLeftCell="A16">
      <selection activeCell="B20" sqref="B20"/>
      <pageMargins left="0" right="0" top="0" bottom="0" header="0" footer="0"/>
      <pageSetup scale="63" orientation="portrait" r:id="rId5"/>
    </customSheetView>
    <customSheetView guid="{967E0446-E234-427F-8E57-7FE287052E2E}" scale="85" showPageBreaks="1" printArea="1" topLeftCell="A16">
      <selection activeCell="B20" sqref="B20"/>
      <pageMargins left="0" right="0" top="0" bottom="0" header="0" footer="0"/>
      <pageSetup scale="63" orientation="portrait" r:id="rId6"/>
    </customSheetView>
    <customSheetView guid="{2ACFE167-4169-43A6-9AB2-59D5A2DA2DB4}" scale="85" showPageBreaks="1" printArea="1" topLeftCell="A16">
      <selection activeCell="B20" sqref="B20"/>
      <pageMargins left="0" right="0" top="0" bottom="0" header="0" footer="0"/>
      <pageSetup scale="63" orientation="portrait" r:id="rId7"/>
    </customSheetView>
  </customSheetViews>
  <mergeCells count="1">
    <mergeCell ref="A42:C42"/>
  </mergeCells>
  <hyperlinks>
    <hyperlink ref="B13" location="'BS 2014 '!A1" display="Industry &amp; Company -wise Balance Sheets - 31st December 2014"/>
    <hyperlink ref="B6" location="'Industry Assets'!A1" display=" Company-wise analysis of Total Assets"/>
    <hyperlink ref="B8" location="'SH Fund'!A1" display="Total Shareholders' Funds of Insurance Companies"/>
    <hyperlink ref="B9" location="'Concentration of Assets - LTIB'!A1" display="Concentration of Assets of Long Term Insurance  Business "/>
    <hyperlink ref="B10" location="'Assets Con - Company-wise - LTI'!A1" display="Company-wise Analysis of Concentration of Assets 31st December 2013"/>
    <hyperlink ref="B7" location="'Fin Inst''n'!A1" display="Distribution of Total Assets of Major Financial Institutions"/>
    <hyperlink ref="B4" location="'GWP - LTIB'!Print_Area" display="Company-wise Market Share of Gross Written Premium - Long Term Insurance Business "/>
    <hyperlink ref="B11" location="'Concentration Assets - GIB'!A1" display="Concentration of Assets of General Insurance Business and Shareholders - 2012 &amp; 2013"/>
    <hyperlink ref="B12" location="'Concen Assets - Companywise - G'!A1" display="Company-wise concentration of assets of General Insurance Business and Shareholders - 2013"/>
    <hyperlink ref="B5" location="'GWP - GIB'!A1" display="Company - wise  Gross Written Premium &amp; Market Share - General Insurance Business - 2009 to 2013"/>
    <hyperlink ref="B14" location="'BS 2013'!Print_Area" display="Industry &amp; Company -wise Balance Sheets - 31st December 2013"/>
    <hyperlink ref="B17" location="'BS 2014 '!A1" display="Industry &amp; Company -wise Balance Sheets - 31st December 2014"/>
    <hyperlink ref="B18" location="'BS 2014 '!A1" display="Industry &amp; Company -wise Balance Sheets - 31st December 2014"/>
    <hyperlink ref="A3" location="'1. GWP - LT + GI  (Final) '!A1" display="'1. GWP - LT + GI  (Final) '!A1"/>
    <hyperlink ref="A4" location="'2. GWP - LTIB '!A1" display="'2. GWP - LTIB '!A1"/>
    <hyperlink ref="A5" location="'3. GWP - GIB'!A1" display="'3. GWP - GIB'!A1"/>
    <hyperlink ref="A6" location="'4. Industry Assets '!A1" display="'4. Industry Assets '!A1"/>
    <hyperlink ref="A7" location="'5. Fin Inst''n '!A1" display="'5. Fin Inst''n '!A1"/>
    <hyperlink ref="A8" location="'6. SH Fund '!A1" display="'6. SH Fund '!A1"/>
    <hyperlink ref="A9" location="'7. Concentration of Assets-LTIB'!A1" display="'7. Concentration of Assets-LTIB'!A1"/>
    <hyperlink ref="A10" location="'8. Assets Con-Company-wise LTI '!A1" display="'8. Assets Con-Company-wise LTI '!A1"/>
    <hyperlink ref="A11" location="'9. Concentration Assets - G '!A1" display="'9. Concentration Assets - G '!A1"/>
    <hyperlink ref="A19" location="'17. P &amp; L - GI - 2021'!Print_Area" display="'17. P &amp; L - GI - 2021'!Print_Area"/>
    <hyperlink ref="A20" location="'18. P &amp; L - GI - 2020'!Print_Area" display="'18. P &amp; L - GI - 2020'!Print_Area"/>
    <hyperlink ref="A21" location="'19. TAC LI '!Print_Area" display="'19. TAC LI '!Print_Area"/>
    <hyperlink ref="A22" location="'20. RCR LI '!A1" display="'20. RCR LI '!A1"/>
    <hyperlink ref="A23" location="'21. TAC'!A1" display="'21. TAC'!A1"/>
    <hyperlink ref="A24" location="'22. RCR'!A1" display="'22. RCR'!A1"/>
    <hyperlink ref="A25" location="'23. Solvency LI  '!A1" display="'23. Solvency LI  '!A1"/>
    <hyperlink ref="A26" location="'24.  Solvency  GI '!A1" display="'24.  Solvency  GI '!A1"/>
    <hyperlink ref="A27" location="'25. GWP Class&amp; Com Wise-GI '!A1" display="'25. GWP Class&amp; Com Wise-GI '!A1"/>
    <hyperlink ref="A28" location="'26. Combined Ratio'!A1" display="'26. Combined Ratio'!A1"/>
    <hyperlink ref="A29" location="'27. Earned premium-GIB'!A1" display="'27. Earned premium-GIB'!A1"/>
    <hyperlink ref="A30" location="'28. Claims Incurred-GIB compltd'!A1" display="'28. Claims Incurred-GIB compltd'!A1"/>
    <hyperlink ref="A31" location="'29. Combined Ratio-Com wise GI'!A1" display="'29. Combined Ratio-Com wise GI'!A1"/>
    <hyperlink ref="A32" location="'30. Retention final '!A1" display="'30. Retention final '!A1"/>
    <hyperlink ref="A33" location="'31. Reinsurance Premium'!A1" display="'31. Reinsurance Premium'!A1"/>
    <hyperlink ref="A34" location="'32. Branches, Emp, Agents'!A1" display="'32. Branches, Emp, Agents'!A1"/>
    <hyperlink ref="A35" location="'33. New Policies LI (Final) '!Print_Area" display="'33. New Policies LI (Final) '!Print_Area"/>
    <hyperlink ref="A36" location="'34. Inforced Policies LI '!Print_Area" display="'34. Inforced Policies LI '!Print_Area"/>
    <hyperlink ref="A37" location="'35. New Business '!Print_Area" display="'35. New Business '!Print_Area"/>
    <hyperlink ref="A38" location="'36. Life Benefits Rs.''000'!Print_Area" display="'36. Life Benefits Rs.''000'!Print_Area"/>
    <hyperlink ref="A39" location="'37. Num of Life Benefits Paid'!Print_Area" display="'37. Num of Life Benefits Paid'!Print_Area"/>
    <hyperlink ref="A40" location="'38. Appendix'!Print_Area" display="'38. Appendix'!Print_Area"/>
    <hyperlink ref="A12" location="'10.Concen Assets-Companywis '!Print_Area" display="'10.Concen Assets-Companywis '!Print_Area"/>
    <hyperlink ref="A13" location="'11. Balance Sheet - 2021-LI '!Print_Area" display="'11. Balance Sheet - 2021-LI '!Print_Area"/>
    <hyperlink ref="A14" location="'12. Balance Sheet - 2020-LI'!Print_Area" display="'12. Balance Sheet - 2020-LI'!Print_Area"/>
    <hyperlink ref="A15" location="'13. Income St.- 2021 - LI '!Print_Area" display="'13. Income St.- 2021 - LI '!Print_Area"/>
    <hyperlink ref="A16" location="'14. Income St.- 2020 - LI'!Print_Area" display="'14. Income St.- 2020 - LI'!Print_Area"/>
    <hyperlink ref="A17" location="'15. BS 2021 GI '!Print_Area" display="'15. BS 2021 GI '!Print_Area"/>
    <hyperlink ref="A18" location="'16. BS 2020 GI'!Print_Area" display="'16. BS 2020 GI'!Print_Area"/>
  </hyperlinks>
  <pageMargins left="0.7" right="0.37" top="0.75" bottom="0.75" header="0.3" footer="0.3"/>
  <pageSetup paperSize="9" scale="85" orientation="portrait" r:id="rId8"/>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99"/>
  </sheetPr>
  <dimension ref="B2:N27"/>
  <sheetViews>
    <sheetView showGridLines="0" view="pageBreakPreview" topLeftCell="B1" zoomScale="85" zoomScaleNormal="100" zoomScaleSheetLayoutView="85" workbookViewId="0">
      <selection activeCell="L22" sqref="L22"/>
    </sheetView>
  </sheetViews>
  <sheetFormatPr defaultColWidth="9.140625" defaultRowHeight="12.75"/>
  <cols>
    <col min="1" max="1" width="4" style="292" bestFit="1" customWidth="1"/>
    <col min="2" max="2" width="30.5703125" style="292" customWidth="1"/>
    <col min="3" max="7" width="17.7109375" style="292" customWidth="1"/>
    <col min="8" max="8" width="16.42578125" style="292" customWidth="1"/>
    <col min="9" max="9" width="9.140625" style="292" customWidth="1"/>
    <col min="10" max="10" width="13.7109375" style="292" customWidth="1"/>
    <col min="11" max="11" width="14.5703125" style="292" customWidth="1"/>
    <col min="12" max="13" width="9.140625" style="292"/>
    <col min="14" max="14" width="12.28515625" style="292" bestFit="1" customWidth="1"/>
    <col min="15" max="16384" width="9.140625" style="292"/>
  </cols>
  <sheetData>
    <row r="2" spans="2:14" ht="14.25" customHeight="1">
      <c r="B2" s="3419" t="s">
        <v>486</v>
      </c>
      <c r="C2" s="3419"/>
      <c r="D2" s="3419"/>
      <c r="E2" s="3419"/>
      <c r="F2" s="3419"/>
      <c r="G2" s="3419"/>
      <c r="H2" s="3419"/>
    </row>
    <row r="3" spans="2:14">
      <c r="B3" s="295"/>
      <c r="C3" s="295"/>
      <c r="D3" s="295"/>
      <c r="E3" s="295"/>
      <c r="F3" s="295"/>
      <c r="G3" s="3662"/>
      <c r="H3" s="3662"/>
    </row>
    <row r="4" spans="2:14">
      <c r="B4" s="3693" t="s">
        <v>83</v>
      </c>
      <c r="C4" s="3471" t="s">
        <v>487</v>
      </c>
      <c r="D4" s="3468"/>
      <c r="E4" s="3469"/>
      <c r="F4" s="3467" t="s">
        <v>475</v>
      </c>
      <c r="G4" s="3468"/>
      <c r="H4" s="3469"/>
      <c r="J4" s="3691"/>
      <c r="K4" s="3691"/>
    </row>
    <row r="5" spans="2:14" s="395" customFormat="1">
      <c r="B5" s="3695"/>
      <c r="C5" s="1906" t="s">
        <v>488</v>
      </c>
      <c r="D5" s="1823" t="s">
        <v>489</v>
      </c>
      <c r="E5" s="1820" t="s">
        <v>484</v>
      </c>
      <c r="F5" s="1823" t="s">
        <v>488</v>
      </c>
      <c r="G5" s="1823" t="s">
        <v>489</v>
      </c>
      <c r="H5" s="1820" t="s">
        <v>484</v>
      </c>
      <c r="J5" s="458"/>
      <c r="K5" s="458"/>
    </row>
    <row r="6" spans="2:14">
      <c r="B6" s="1895" t="s">
        <v>92</v>
      </c>
      <c r="C6" s="2790">
        <v>8426064</v>
      </c>
      <c r="D6" s="2790">
        <v>3978744</v>
      </c>
      <c r="E6" s="2791">
        <v>2.12</v>
      </c>
      <c r="F6" s="2790">
        <v>9577256</v>
      </c>
      <c r="G6" s="1325">
        <v>3438763</v>
      </c>
      <c r="H6" s="2791">
        <v>2.79</v>
      </c>
      <c r="I6" s="396"/>
      <c r="J6" s="396"/>
      <c r="K6" s="396"/>
      <c r="L6" s="568"/>
      <c r="M6" s="396"/>
      <c r="N6" s="568"/>
    </row>
    <row r="7" spans="2:14">
      <c r="B7" s="2061" t="s">
        <v>95</v>
      </c>
      <c r="C7" s="2769">
        <v>525369</v>
      </c>
      <c r="D7" s="2782">
        <v>279610</v>
      </c>
      <c r="E7" s="776">
        <v>1.88</v>
      </c>
      <c r="F7" s="2769">
        <v>677630</v>
      </c>
      <c r="G7" s="2750">
        <v>369517</v>
      </c>
      <c r="H7" s="2792">
        <v>1.83</v>
      </c>
      <c r="I7" s="396"/>
      <c r="J7" s="396"/>
      <c r="K7" s="396"/>
      <c r="L7" s="568"/>
      <c r="M7" s="396"/>
      <c r="N7" s="568"/>
    </row>
    <row r="8" spans="2:14">
      <c r="B8" s="2061" t="s">
        <v>98</v>
      </c>
      <c r="C8" s="762">
        <v>7472104</v>
      </c>
      <c r="D8" s="763">
        <v>4081902</v>
      </c>
      <c r="E8" s="2793">
        <v>1.83</v>
      </c>
      <c r="F8" s="763">
        <v>7792202</v>
      </c>
      <c r="G8" s="763">
        <v>3918202</v>
      </c>
      <c r="H8" s="766">
        <v>1.99</v>
      </c>
      <c r="I8" s="396"/>
      <c r="J8" s="396"/>
      <c r="K8" s="396"/>
      <c r="L8" s="568"/>
      <c r="M8" s="396"/>
      <c r="N8" s="568"/>
    </row>
    <row r="9" spans="2:14">
      <c r="B9" s="2794" t="s">
        <v>99</v>
      </c>
      <c r="C9" s="762">
        <v>2629220</v>
      </c>
      <c r="D9" s="763">
        <v>904617</v>
      </c>
      <c r="E9" s="766">
        <v>2.91</v>
      </c>
      <c r="F9" s="763">
        <v>2729200</v>
      </c>
      <c r="G9" s="763">
        <v>861759</v>
      </c>
      <c r="H9" s="766">
        <v>3.17</v>
      </c>
      <c r="I9" s="396"/>
      <c r="J9" s="396"/>
      <c r="K9" s="396"/>
      <c r="L9" s="568"/>
      <c r="M9" s="396"/>
      <c r="N9" s="568"/>
    </row>
    <row r="10" spans="2:14">
      <c r="B10" s="2061" t="s">
        <v>101</v>
      </c>
      <c r="C10" s="762">
        <v>2550823</v>
      </c>
      <c r="D10" s="713">
        <v>1024217</v>
      </c>
      <c r="E10" s="767">
        <v>2.4900000000000002</v>
      </c>
      <c r="F10" s="763">
        <v>3604790</v>
      </c>
      <c r="G10" s="713">
        <v>1138230</v>
      </c>
      <c r="H10" s="767">
        <v>3.17</v>
      </c>
      <c r="I10" s="396"/>
      <c r="J10" s="396"/>
      <c r="K10" s="396"/>
      <c r="L10" s="568"/>
      <c r="M10" s="396"/>
      <c r="N10" s="568"/>
    </row>
    <row r="11" spans="2:14">
      <c r="B11" s="2061" t="s">
        <v>102</v>
      </c>
      <c r="C11" s="762">
        <v>5055284</v>
      </c>
      <c r="D11" s="713">
        <v>2692148</v>
      </c>
      <c r="E11" s="767">
        <v>1.88</v>
      </c>
      <c r="F11" s="763">
        <v>5244163</v>
      </c>
      <c r="G11" s="713">
        <v>2510774</v>
      </c>
      <c r="H11" s="767">
        <v>2.09</v>
      </c>
      <c r="I11" s="396"/>
      <c r="J11" s="396"/>
      <c r="K11" s="396"/>
      <c r="L11" s="568"/>
      <c r="M11" s="396"/>
      <c r="N11" s="568"/>
    </row>
    <row r="12" spans="2:14">
      <c r="B12" s="2061" t="s">
        <v>104</v>
      </c>
      <c r="C12" s="762">
        <v>1840729</v>
      </c>
      <c r="D12" s="713">
        <v>722199</v>
      </c>
      <c r="E12" s="767">
        <v>2.5499999999999998</v>
      </c>
      <c r="F12" s="763">
        <v>1903450</v>
      </c>
      <c r="G12" s="713">
        <v>732013</v>
      </c>
      <c r="H12" s="767">
        <v>2.6</v>
      </c>
      <c r="I12" s="396"/>
      <c r="J12" s="396"/>
      <c r="K12" s="396"/>
      <c r="L12" s="568"/>
      <c r="M12" s="396"/>
      <c r="N12" s="568"/>
    </row>
    <row r="13" spans="2:14">
      <c r="B13" s="2061" t="s">
        <v>108</v>
      </c>
      <c r="C13" s="762">
        <v>2946390</v>
      </c>
      <c r="D13" s="713">
        <v>978112</v>
      </c>
      <c r="E13" s="767">
        <v>3.01</v>
      </c>
      <c r="F13" s="763">
        <v>3549395</v>
      </c>
      <c r="G13" s="713">
        <v>1925844</v>
      </c>
      <c r="H13" s="767">
        <v>1.84</v>
      </c>
      <c r="I13" s="396"/>
      <c r="J13" s="396"/>
      <c r="K13" s="396"/>
      <c r="M13" s="396"/>
      <c r="N13" s="568"/>
    </row>
    <row r="14" spans="2:14">
      <c r="B14" s="2061" t="s">
        <v>109</v>
      </c>
      <c r="C14" s="762">
        <v>422154</v>
      </c>
      <c r="D14" s="713">
        <v>135852</v>
      </c>
      <c r="E14" s="767">
        <v>3.11</v>
      </c>
      <c r="F14" s="763">
        <v>317546</v>
      </c>
      <c r="G14" s="713">
        <v>157521</v>
      </c>
      <c r="H14" s="767">
        <v>2.02</v>
      </c>
      <c r="I14" s="396"/>
      <c r="J14" s="396"/>
      <c r="K14" s="396"/>
      <c r="L14" s="568"/>
      <c r="M14" s="396"/>
      <c r="N14" s="568"/>
    </row>
    <row r="15" spans="2:14">
      <c r="B15" s="2061" t="s">
        <v>111</v>
      </c>
      <c r="C15" s="762">
        <v>941383</v>
      </c>
      <c r="D15" s="713">
        <v>346306</v>
      </c>
      <c r="E15" s="767">
        <v>2.72</v>
      </c>
      <c r="F15" s="763">
        <v>1065529</v>
      </c>
      <c r="G15" s="713">
        <v>389562</v>
      </c>
      <c r="H15" s="767">
        <v>2.74</v>
      </c>
      <c r="I15" s="396"/>
      <c r="J15" s="396"/>
      <c r="K15" s="396"/>
      <c r="L15" s="568"/>
      <c r="M15" s="396"/>
      <c r="N15" s="568"/>
    </row>
    <row r="16" spans="2:14">
      <c r="B16" s="2061" t="s">
        <v>112</v>
      </c>
      <c r="C16" s="764">
        <v>4162922</v>
      </c>
      <c r="D16" s="765">
        <v>1369045</v>
      </c>
      <c r="E16" s="768">
        <v>3.04</v>
      </c>
      <c r="F16" s="765">
        <v>4471464</v>
      </c>
      <c r="G16" s="765">
        <v>1432832</v>
      </c>
      <c r="H16" s="768">
        <v>3.12</v>
      </c>
      <c r="I16" s="396"/>
      <c r="J16" s="396"/>
      <c r="K16" s="396"/>
      <c r="L16" s="568"/>
      <c r="M16" s="396"/>
      <c r="N16" s="568"/>
    </row>
    <row r="17" spans="2:14">
      <c r="B17" s="2061" t="s">
        <v>114</v>
      </c>
      <c r="C17" s="762">
        <v>628444</v>
      </c>
      <c r="D17" s="713">
        <v>247000</v>
      </c>
      <c r="E17" s="767">
        <v>2.54</v>
      </c>
      <c r="F17" s="769">
        <v>620364</v>
      </c>
      <c r="G17" s="769">
        <v>231398</v>
      </c>
      <c r="H17" s="770">
        <v>2.68</v>
      </c>
      <c r="I17" s="396"/>
      <c r="J17" s="396"/>
      <c r="K17" s="396"/>
      <c r="L17" s="568"/>
      <c r="M17" s="396"/>
      <c r="N17" s="568"/>
    </row>
    <row r="18" spans="2:14">
      <c r="B18" s="2067" t="s">
        <v>115</v>
      </c>
      <c r="C18" s="762">
        <v>27440331</v>
      </c>
      <c r="D18" s="713">
        <v>12307698</v>
      </c>
      <c r="E18" s="767">
        <v>2.23</v>
      </c>
      <c r="F18" s="763">
        <v>33407280</v>
      </c>
      <c r="G18" s="713">
        <v>13898660</v>
      </c>
      <c r="H18" s="767">
        <v>2.4</v>
      </c>
      <c r="I18" s="396"/>
      <c r="J18" s="396"/>
      <c r="K18" s="396"/>
      <c r="L18" s="568"/>
      <c r="M18" s="396"/>
      <c r="N18" s="568"/>
    </row>
    <row r="19" spans="2:14">
      <c r="B19" s="2766" t="s">
        <v>485</v>
      </c>
      <c r="C19" s="2780">
        <f>SUM(C6:C18)</f>
        <v>65041217</v>
      </c>
      <c r="D19" s="1882">
        <f>SUM(D6:D18)</f>
        <v>29067450</v>
      </c>
      <c r="E19" s="1883">
        <f>AVERAGE(E6:E18)</f>
        <v>2.4853846153846151</v>
      </c>
      <c r="F19" s="2780">
        <f>SUM(F6:F18)</f>
        <v>74960269</v>
      </c>
      <c r="G19" s="2780">
        <f>SUM(G6:G18)</f>
        <v>31005075</v>
      </c>
      <c r="H19" s="1883">
        <f>AVERAGE(H6:H18)</f>
        <v>2.4953846153846158</v>
      </c>
      <c r="I19" s="396"/>
      <c r="J19" s="396"/>
      <c r="K19" s="396"/>
      <c r="L19" s="568"/>
      <c r="M19" s="396"/>
      <c r="N19" s="568"/>
    </row>
    <row r="20" spans="2:14" ht="20.100000000000001" customHeight="1">
      <c r="G20" s="384"/>
      <c r="I20" s="396"/>
      <c r="J20" s="396"/>
      <c r="K20" s="396"/>
      <c r="L20" s="568"/>
      <c r="M20" s="396"/>
      <c r="N20" s="396"/>
    </row>
    <row r="21" spans="2:14">
      <c r="B21" s="531" t="s">
        <v>490</v>
      </c>
      <c r="G21" s="384"/>
    </row>
    <row r="22" spans="2:14">
      <c r="G22" s="384"/>
    </row>
    <row r="23" spans="2:14">
      <c r="C23" s="515"/>
      <c r="D23" s="515"/>
      <c r="F23" s="515"/>
      <c r="G23" s="293"/>
    </row>
    <row r="24" spans="2:14">
      <c r="G24" s="384"/>
      <c r="H24" s="292">
        <v>146</v>
      </c>
    </row>
    <row r="26" spans="2:14">
      <c r="B26" s="37"/>
    </row>
    <row r="27" spans="2:14">
      <c r="I27" s="515"/>
    </row>
  </sheetData>
  <mergeCells count="6">
    <mergeCell ref="J4:K4"/>
    <mergeCell ref="B2:H2"/>
    <mergeCell ref="G3:H3"/>
    <mergeCell ref="B4:B5"/>
    <mergeCell ref="C4:E4"/>
    <mergeCell ref="F4:H4"/>
  </mergeCells>
  <pageMargins left="0.7" right="0.7" top="0.75" bottom="0.75" header="0.3" footer="0.3"/>
  <pageSetup paperSize="9" scale="9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99"/>
  </sheetPr>
  <dimension ref="A1:S163"/>
  <sheetViews>
    <sheetView showGridLines="0" view="pageBreakPreview" topLeftCell="F1" zoomScale="85" zoomScaleNormal="100" zoomScaleSheetLayoutView="85" workbookViewId="0">
      <selection activeCell="B106" sqref="B106"/>
    </sheetView>
  </sheetViews>
  <sheetFormatPr defaultColWidth="9.140625" defaultRowHeight="12.75"/>
  <cols>
    <col min="1" max="1" width="3.5703125" style="292" customWidth="1"/>
    <col min="2" max="2" width="18.85546875" style="471" customWidth="1"/>
    <col min="3" max="3" width="14.42578125" style="292" customWidth="1"/>
    <col min="4" max="6" width="16.5703125" style="292" customWidth="1"/>
    <col min="7" max="7" width="19.42578125" style="292" customWidth="1"/>
    <col min="8" max="8" width="16.5703125" style="292" customWidth="1"/>
    <col min="9" max="9" width="17.85546875" style="292" customWidth="1"/>
    <col min="10" max="10" width="16.42578125" style="515" customWidth="1"/>
    <col min="11" max="11" width="14.7109375" style="292" bestFit="1" customWidth="1"/>
    <col min="12" max="12" width="12.85546875" style="385" customWidth="1"/>
    <col min="13" max="13" width="13.140625" style="292" customWidth="1"/>
    <col min="14" max="14" width="12.140625" style="292" customWidth="1"/>
    <col min="15" max="15" width="14.28515625" style="292" customWidth="1"/>
    <col min="16" max="16" width="14.7109375" style="292" customWidth="1"/>
    <col min="17" max="17" width="16.42578125" style="292" customWidth="1"/>
    <col min="18" max="18" width="14.5703125" style="385" customWidth="1"/>
    <col min="19" max="19" width="13.5703125" style="292" customWidth="1"/>
    <col min="20" max="16384" width="9.140625" style="292"/>
  </cols>
  <sheetData>
    <row r="1" spans="2:18">
      <c r="B1" s="292"/>
    </row>
    <row r="2" spans="2:18" s="295" customFormat="1">
      <c r="B2" s="3692" t="s">
        <v>491</v>
      </c>
      <c r="C2" s="3692"/>
      <c r="D2" s="3692"/>
      <c r="E2" s="3692"/>
      <c r="F2" s="3692"/>
      <c r="G2" s="3692"/>
      <c r="H2" s="3692"/>
      <c r="I2" s="3692"/>
      <c r="J2" s="635"/>
      <c r="L2" s="572"/>
      <c r="R2" s="572"/>
    </row>
    <row r="3" spans="2:18" s="295" customFormat="1">
      <c r="B3" s="218"/>
      <c r="C3" s="218"/>
      <c r="D3" s="218"/>
      <c r="E3" s="218"/>
      <c r="F3" s="218"/>
      <c r="G3" s="218"/>
      <c r="H3" s="218"/>
      <c r="I3" s="218"/>
      <c r="J3" s="635"/>
      <c r="L3" s="572"/>
      <c r="R3" s="572"/>
    </row>
    <row r="4" spans="2:18" s="295" customFormat="1">
      <c r="B4" s="218" t="s">
        <v>492</v>
      </c>
      <c r="C4" s="218"/>
      <c r="D4" s="218"/>
      <c r="E4" s="218"/>
      <c r="F4" s="218"/>
      <c r="G4" s="218"/>
      <c r="H4" s="218"/>
      <c r="I4" s="218"/>
      <c r="J4" s="635"/>
      <c r="L4" s="572"/>
      <c r="R4" s="572"/>
    </row>
    <row r="5" spans="2:18" s="295" customFormat="1">
      <c r="B5" s="218"/>
      <c r="C5" s="218"/>
      <c r="D5" s="218"/>
      <c r="E5" s="218"/>
      <c r="F5" s="218"/>
      <c r="G5" s="218"/>
      <c r="H5" s="3713" t="s">
        <v>232</v>
      </c>
      <c r="I5" s="3713"/>
      <c r="J5" s="635"/>
      <c r="L5" s="572"/>
      <c r="R5" s="572"/>
    </row>
    <row r="6" spans="2:18" s="295" customFormat="1">
      <c r="B6" s="2795" t="s">
        <v>83</v>
      </c>
      <c r="C6" s="2026" t="s">
        <v>412</v>
      </c>
      <c r="D6" s="2135" t="s">
        <v>413</v>
      </c>
      <c r="E6" s="2026" t="s">
        <v>414</v>
      </c>
      <c r="F6" s="2026" t="s">
        <v>415</v>
      </c>
      <c r="G6" s="2026" t="s">
        <v>416</v>
      </c>
      <c r="H6" s="2026" t="s">
        <v>448</v>
      </c>
      <c r="I6" s="2026" t="s">
        <v>118</v>
      </c>
      <c r="J6" s="635"/>
      <c r="L6" s="572"/>
      <c r="R6" s="572"/>
    </row>
    <row r="7" spans="2:18" s="295" customFormat="1">
      <c r="B7" s="2794" t="s">
        <v>92</v>
      </c>
      <c r="C7" s="2796">
        <v>1930969</v>
      </c>
      <c r="D7" s="2796">
        <v>391022</v>
      </c>
      <c r="E7" s="2796">
        <v>7963927</v>
      </c>
      <c r="F7" s="2796">
        <v>1575709</v>
      </c>
      <c r="G7" s="2796">
        <v>628506</v>
      </c>
      <c r="H7" s="2797"/>
      <c r="I7" s="2798">
        <f>SUM(C7:H7)</f>
        <v>12490133</v>
      </c>
      <c r="J7" s="635"/>
      <c r="L7" s="572"/>
      <c r="R7" s="572"/>
    </row>
    <row r="8" spans="2:18" s="295" customFormat="1">
      <c r="B8" s="2794" t="s">
        <v>95</v>
      </c>
      <c r="C8" s="2796">
        <v>134064</v>
      </c>
      <c r="D8" s="2796">
        <v>261248</v>
      </c>
      <c r="E8" s="2796">
        <v>1196472</v>
      </c>
      <c r="F8" s="2796">
        <v>408510</v>
      </c>
      <c r="G8" s="2796">
        <v>172779</v>
      </c>
      <c r="H8" s="2797"/>
      <c r="I8" s="2798">
        <f t="shared" ref="I8:I20" si="0">SUM(C8:H8)</f>
        <v>2173073</v>
      </c>
      <c r="J8" s="635"/>
      <c r="L8" s="572"/>
      <c r="R8" s="572"/>
    </row>
    <row r="9" spans="2:18" s="295" customFormat="1">
      <c r="B9" s="2794" t="s">
        <v>98</v>
      </c>
      <c r="C9" s="2796">
        <v>2120817</v>
      </c>
      <c r="D9" s="2796">
        <v>757965</v>
      </c>
      <c r="E9" s="2796">
        <v>10044492</v>
      </c>
      <c r="F9" s="2796">
        <v>2076839</v>
      </c>
      <c r="G9" s="2796">
        <v>3498638</v>
      </c>
      <c r="H9" s="2797"/>
      <c r="I9" s="2798">
        <f t="shared" si="0"/>
        <v>18498751</v>
      </c>
      <c r="J9" s="635"/>
      <c r="L9" s="572"/>
      <c r="R9" s="572"/>
    </row>
    <row r="10" spans="2:18" s="295" customFormat="1">
      <c r="B10" s="2794" t="s">
        <v>99</v>
      </c>
      <c r="C10" s="2796">
        <v>916660</v>
      </c>
      <c r="D10" s="2796">
        <v>111082</v>
      </c>
      <c r="E10" s="2796">
        <v>2689121</v>
      </c>
      <c r="F10" s="2796">
        <v>853020</v>
      </c>
      <c r="G10" s="2796">
        <v>319047</v>
      </c>
      <c r="H10" s="2797"/>
      <c r="I10" s="2798">
        <f t="shared" si="0"/>
        <v>4888930</v>
      </c>
      <c r="J10" s="635"/>
      <c r="L10" s="572"/>
      <c r="R10" s="572"/>
    </row>
    <row r="11" spans="2:18" s="295" customFormat="1">
      <c r="B11" s="2794" t="s">
        <v>101</v>
      </c>
      <c r="C11" s="2796">
        <v>129269</v>
      </c>
      <c r="D11" s="2796">
        <v>46866</v>
      </c>
      <c r="E11" s="2796">
        <v>3658583</v>
      </c>
      <c r="F11" s="2796">
        <v>169822</v>
      </c>
      <c r="G11" s="2796">
        <v>370052</v>
      </c>
      <c r="H11" s="2797"/>
      <c r="I11" s="2798">
        <f t="shared" si="0"/>
        <v>4374592</v>
      </c>
      <c r="J11" s="635"/>
      <c r="L11" s="572"/>
      <c r="R11" s="572"/>
    </row>
    <row r="12" spans="2:18" s="295" customFormat="1">
      <c r="B12" s="2794" t="s">
        <v>102</v>
      </c>
      <c r="C12" s="2796">
        <v>1694702</v>
      </c>
      <c r="D12" s="2796">
        <v>632869</v>
      </c>
      <c r="E12" s="2796">
        <v>6002165</v>
      </c>
      <c r="F12" s="2796">
        <v>2997014</v>
      </c>
      <c r="G12" s="2796">
        <v>587314</v>
      </c>
      <c r="H12" s="2797"/>
      <c r="I12" s="2798">
        <f t="shared" si="0"/>
        <v>11914064</v>
      </c>
      <c r="J12" s="635"/>
      <c r="L12" s="572"/>
      <c r="R12" s="572"/>
    </row>
    <row r="13" spans="2:18" s="295" customFormat="1">
      <c r="B13" s="2794" t="s">
        <v>104</v>
      </c>
      <c r="C13" s="2796">
        <v>432345</v>
      </c>
      <c r="D13" s="2796">
        <v>80880</v>
      </c>
      <c r="E13" s="2796">
        <v>3761448</v>
      </c>
      <c r="F13" s="2796">
        <v>584277</v>
      </c>
      <c r="G13" s="2796">
        <v>307862</v>
      </c>
      <c r="H13" s="2797"/>
      <c r="I13" s="2798">
        <f t="shared" si="0"/>
        <v>5166812</v>
      </c>
      <c r="J13" s="635"/>
      <c r="L13" s="572"/>
      <c r="R13" s="572"/>
    </row>
    <row r="14" spans="2:18" s="295" customFormat="1">
      <c r="B14" s="2794" t="s">
        <v>108</v>
      </c>
      <c r="C14" s="2796">
        <v>743766</v>
      </c>
      <c r="D14" s="2796">
        <v>47505</v>
      </c>
      <c r="E14" s="2796">
        <v>5603023</v>
      </c>
      <c r="F14" s="2797"/>
      <c r="G14" s="2796">
        <v>168357</v>
      </c>
      <c r="H14" s="2797"/>
      <c r="I14" s="2798">
        <f t="shared" si="0"/>
        <v>6562651</v>
      </c>
      <c r="J14" s="635"/>
      <c r="L14" s="572"/>
      <c r="R14" s="572"/>
    </row>
    <row r="15" spans="2:18" s="295" customFormat="1">
      <c r="B15" s="2794" t="s">
        <v>109</v>
      </c>
      <c r="C15" s="2796">
        <v>11830</v>
      </c>
      <c r="D15" s="2796">
        <v>1002</v>
      </c>
      <c r="E15" s="2796">
        <v>327773</v>
      </c>
      <c r="F15" s="2796">
        <v>9100</v>
      </c>
      <c r="G15" s="2796">
        <v>63365</v>
      </c>
      <c r="H15" s="2797"/>
      <c r="I15" s="2798">
        <f t="shared" si="0"/>
        <v>413070</v>
      </c>
      <c r="J15" s="635"/>
      <c r="L15" s="572"/>
      <c r="R15" s="572"/>
    </row>
    <row r="16" spans="2:18" s="295" customFormat="1">
      <c r="B16" s="2794" t="s">
        <v>110</v>
      </c>
      <c r="C16" s="2796">
        <v>6567</v>
      </c>
      <c r="D16" s="2796">
        <v>1597</v>
      </c>
      <c r="E16" s="2796">
        <v>175572</v>
      </c>
      <c r="F16" s="2796">
        <v>6322002</v>
      </c>
      <c r="G16" s="2796">
        <v>105476</v>
      </c>
      <c r="H16" s="2796">
        <v>6754134</v>
      </c>
      <c r="I16" s="2798">
        <f t="shared" si="0"/>
        <v>13365348</v>
      </c>
      <c r="J16" s="635"/>
      <c r="L16" s="572"/>
      <c r="R16" s="572"/>
    </row>
    <row r="17" spans="2:18" s="295" customFormat="1">
      <c r="B17" s="2794" t="s">
        <v>111</v>
      </c>
      <c r="C17" s="2796">
        <v>150616</v>
      </c>
      <c r="D17" s="2796">
        <v>17846</v>
      </c>
      <c r="E17" s="2796">
        <v>1622768</v>
      </c>
      <c r="F17" s="2796">
        <v>134939</v>
      </c>
      <c r="G17" s="2796">
        <v>101716</v>
      </c>
      <c r="H17" s="2797"/>
      <c r="I17" s="2798">
        <f t="shared" si="0"/>
        <v>2027885</v>
      </c>
      <c r="J17" s="635"/>
      <c r="L17" s="572"/>
      <c r="R17" s="572"/>
    </row>
    <row r="18" spans="2:18" s="295" customFormat="1">
      <c r="B18" s="2794" t="s">
        <v>112</v>
      </c>
      <c r="C18" s="2796">
        <v>283004</v>
      </c>
      <c r="D18" s="2796">
        <v>117960</v>
      </c>
      <c r="E18" s="2796">
        <v>4646101</v>
      </c>
      <c r="F18" s="2796">
        <v>156917</v>
      </c>
      <c r="G18" s="2796">
        <v>430604</v>
      </c>
      <c r="H18" s="2797"/>
      <c r="I18" s="2798">
        <f t="shared" si="0"/>
        <v>5634586</v>
      </c>
      <c r="J18" s="635"/>
      <c r="L18" s="572"/>
      <c r="R18" s="572"/>
    </row>
    <row r="19" spans="2:18" s="295" customFormat="1">
      <c r="B19" s="2794" t="s">
        <v>114</v>
      </c>
      <c r="C19" s="2796">
        <v>9557</v>
      </c>
      <c r="D19" s="2797"/>
      <c r="E19" s="2796">
        <v>598661</v>
      </c>
      <c r="F19" s="2147">
        <v>16522</v>
      </c>
      <c r="G19" s="2796">
        <v>243566</v>
      </c>
      <c r="H19" s="2797"/>
      <c r="I19" s="2798">
        <f t="shared" si="0"/>
        <v>868306</v>
      </c>
      <c r="J19" s="635"/>
      <c r="L19" s="572"/>
      <c r="R19" s="572"/>
    </row>
    <row r="20" spans="2:18" s="295" customFormat="1">
      <c r="B20" s="2794" t="s">
        <v>115</v>
      </c>
      <c r="C20" s="2796">
        <v>1760687</v>
      </c>
      <c r="D20" s="2799">
        <v>606270</v>
      </c>
      <c r="E20" s="2799">
        <v>11443853</v>
      </c>
      <c r="F20" s="2799">
        <v>4655476</v>
      </c>
      <c r="G20" s="2799">
        <v>1915902</v>
      </c>
      <c r="H20" s="2797"/>
      <c r="I20" s="2798">
        <f t="shared" si="0"/>
        <v>20382188</v>
      </c>
      <c r="J20" s="635"/>
      <c r="L20" s="572"/>
      <c r="R20" s="572"/>
    </row>
    <row r="21" spans="2:18" s="295" customFormat="1">
      <c r="B21" s="2800" t="s">
        <v>118</v>
      </c>
      <c r="C21" s="2801">
        <f>SUM(C7:C20)</f>
        <v>10324853</v>
      </c>
      <c r="D21" s="2801">
        <f t="shared" ref="D21:H21" si="1">SUM(D7:D20)</f>
        <v>3074112</v>
      </c>
      <c r="E21" s="2801">
        <f t="shared" si="1"/>
        <v>59733959</v>
      </c>
      <c r="F21" s="2801">
        <f t="shared" si="1"/>
        <v>19960147</v>
      </c>
      <c r="G21" s="2801">
        <f t="shared" si="1"/>
        <v>8913184</v>
      </c>
      <c r="H21" s="2801">
        <f t="shared" si="1"/>
        <v>6754134</v>
      </c>
      <c r="I21" s="2801">
        <f>SUM(C21:H21)</f>
        <v>108760389</v>
      </c>
      <c r="J21" s="635"/>
      <c r="L21" s="572"/>
      <c r="R21" s="572"/>
    </row>
    <row r="22" spans="2:18" s="295" customFormat="1">
      <c r="B22" s="218"/>
      <c r="C22" s="218"/>
      <c r="D22" s="218"/>
      <c r="E22" s="218"/>
      <c r="F22" s="218"/>
      <c r="G22" s="218"/>
      <c r="H22" s="218"/>
      <c r="I22" s="218"/>
      <c r="J22" s="635"/>
      <c r="L22" s="572"/>
      <c r="R22" s="572"/>
    </row>
    <row r="23" spans="2:18" s="295" customFormat="1">
      <c r="B23" s="218"/>
      <c r="C23" s="218"/>
      <c r="D23" s="218"/>
      <c r="E23" s="218"/>
      <c r="F23" s="218"/>
      <c r="G23" s="218"/>
      <c r="H23" s="218"/>
      <c r="I23" s="638">
        <v>147</v>
      </c>
      <c r="J23" s="635"/>
      <c r="L23" s="572"/>
      <c r="R23" s="572"/>
    </row>
    <row r="24" spans="2:18" s="295" customFormat="1">
      <c r="B24" s="218"/>
      <c r="C24" s="218"/>
      <c r="D24" s="218"/>
      <c r="E24" s="218"/>
      <c r="F24" s="218"/>
      <c r="G24" s="218"/>
      <c r="H24" s="218"/>
      <c r="I24" s="218"/>
      <c r="J24" s="635"/>
      <c r="L24" s="572"/>
      <c r="R24" s="572"/>
    </row>
    <row r="25" spans="2:18" s="295" customFormat="1">
      <c r="B25" s="218" t="s">
        <v>493</v>
      </c>
      <c r="C25" s="218"/>
      <c r="D25" s="218"/>
      <c r="E25" s="218"/>
      <c r="F25" s="218"/>
      <c r="G25" s="218"/>
      <c r="H25" s="218"/>
      <c r="I25" s="218"/>
      <c r="J25" s="635"/>
      <c r="L25" s="572"/>
      <c r="R25" s="572"/>
    </row>
    <row r="26" spans="2:18" s="295" customFormat="1">
      <c r="B26" s="218"/>
      <c r="C26" s="218"/>
      <c r="D26" s="218"/>
      <c r="E26" s="218"/>
      <c r="F26" s="218"/>
      <c r="G26" s="218"/>
      <c r="H26" s="218" t="s">
        <v>232</v>
      </c>
      <c r="I26" s="218"/>
      <c r="J26" s="635"/>
      <c r="L26" s="572"/>
      <c r="R26" s="572"/>
    </row>
    <row r="27" spans="2:18" s="295" customFormat="1">
      <c r="B27" s="2795" t="s">
        <v>83</v>
      </c>
      <c r="C27" s="2026" t="s">
        <v>412</v>
      </c>
      <c r="D27" s="2135" t="s">
        <v>413</v>
      </c>
      <c r="E27" s="2026" t="s">
        <v>414</v>
      </c>
      <c r="F27" s="2026" t="s">
        <v>415</v>
      </c>
      <c r="G27" s="2026" t="s">
        <v>416</v>
      </c>
      <c r="H27" s="2802" t="s">
        <v>448</v>
      </c>
      <c r="I27" s="2026" t="s">
        <v>118</v>
      </c>
      <c r="J27" s="635"/>
      <c r="L27" s="572"/>
      <c r="R27" s="572"/>
    </row>
    <row r="28" spans="2:18" s="295" customFormat="1">
      <c r="B28" s="2794" t="s">
        <v>92</v>
      </c>
      <c r="C28" s="2796">
        <v>2127864</v>
      </c>
      <c r="D28" s="2796">
        <v>409268</v>
      </c>
      <c r="E28" s="2796">
        <v>8823232</v>
      </c>
      <c r="F28" s="2796">
        <v>1732397</v>
      </c>
      <c r="G28" s="2796">
        <v>760068</v>
      </c>
      <c r="H28" s="2797"/>
      <c r="I28" s="1885">
        <f>SUM(C28:H28)</f>
        <v>13852829</v>
      </c>
      <c r="J28" s="635"/>
      <c r="L28" s="572"/>
      <c r="R28" s="572"/>
    </row>
    <row r="29" spans="2:18" s="295" customFormat="1">
      <c r="B29" s="2794" t="s">
        <v>95</v>
      </c>
      <c r="C29" s="2796">
        <v>103133</v>
      </c>
      <c r="D29" s="2796">
        <v>126199</v>
      </c>
      <c r="E29" s="2796">
        <v>989159</v>
      </c>
      <c r="F29" s="2796">
        <v>248746</v>
      </c>
      <c r="G29" s="2796">
        <v>164428</v>
      </c>
      <c r="H29" s="2797"/>
      <c r="I29" s="2803">
        <f t="shared" ref="I29:I41" si="2">SUM(C29:H29)</f>
        <v>1631665</v>
      </c>
      <c r="J29" s="635"/>
      <c r="L29" s="572"/>
      <c r="R29" s="572"/>
    </row>
    <row r="30" spans="2:18" s="295" customFormat="1">
      <c r="B30" s="2794" t="s">
        <v>98</v>
      </c>
      <c r="C30" s="2796">
        <v>1787601</v>
      </c>
      <c r="D30" s="2796">
        <v>572539</v>
      </c>
      <c r="E30" s="2796">
        <v>10854678</v>
      </c>
      <c r="F30" s="2796">
        <v>2019630</v>
      </c>
      <c r="G30" s="2796">
        <v>3446097</v>
      </c>
      <c r="H30" s="2797"/>
      <c r="I30" s="2803">
        <f t="shared" si="2"/>
        <v>18680545</v>
      </c>
      <c r="J30" s="635"/>
      <c r="L30" s="572"/>
      <c r="R30" s="572"/>
    </row>
    <row r="31" spans="2:18" s="295" customFormat="1">
      <c r="B31" s="2794" t="s">
        <v>99</v>
      </c>
      <c r="C31" s="2796">
        <v>841295</v>
      </c>
      <c r="D31" s="2796">
        <v>89276</v>
      </c>
      <c r="E31" s="2796">
        <v>3027496</v>
      </c>
      <c r="F31" s="2796">
        <v>628397</v>
      </c>
      <c r="G31" s="2796">
        <v>222500</v>
      </c>
      <c r="H31" s="2797"/>
      <c r="I31" s="2803">
        <f t="shared" si="2"/>
        <v>4808964</v>
      </c>
      <c r="J31" s="635"/>
      <c r="L31" s="572"/>
      <c r="R31" s="572"/>
    </row>
    <row r="32" spans="2:18" s="295" customFormat="1">
      <c r="B32" s="2794" t="s">
        <v>101</v>
      </c>
      <c r="C32" s="2796">
        <v>112481</v>
      </c>
      <c r="D32" s="2796">
        <v>24882</v>
      </c>
      <c r="E32" s="2796">
        <v>3771674</v>
      </c>
      <c r="F32" s="2796">
        <v>107082</v>
      </c>
      <c r="G32" s="2796">
        <v>258277</v>
      </c>
      <c r="H32" s="2797"/>
      <c r="I32" s="2803">
        <f t="shared" si="2"/>
        <v>4274396</v>
      </c>
      <c r="J32" s="635"/>
      <c r="L32" s="572"/>
      <c r="R32" s="572"/>
    </row>
    <row r="33" spans="2:18" s="295" customFormat="1">
      <c r="B33" s="2794" t="s">
        <v>102</v>
      </c>
      <c r="C33" s="2796">
        <v>1231791</v>
      </c>
      <c r="D33" s="2796">
        <v>486822</v>
      </c>
      <c r="E33" s="2796">
        <v>6245582</v>
      </c>
      <c r="F33" s="2796">
        <v>3279880</v>
      </c>
      <c r="G33" s="2796">
        <v>693407</v>
      </c>
      <c r="H33" s="2797"/>
      <c r="I33" s="2803">
        <f t="shared" si="2"/>
        <v>11937482</v>
      </c>
      <c r="J33" s="635"/>
      <c r="L33" s="572"/>
      <c r="R33" s="572"/>
    </row>
    <row r="34" spans="2:18" s="295" customFormat="1">
      <c r="B34" s="2794" t="s">
        <v>104</v>
      </c>
      <c r="C34" s="2796">
        <v>369036</v>
      </c>
      <c r="D34" s="2796">
        <v>54680</v>
      </c>
      <c r="E34" s="2796">
        <v>3491353</v>
      </c>
      <c r="F34" s="2796">
        <v>472065</v>
      </c>
      <c r="G34" s="2796">
        <v>196101</v>
      </c>
      <c r="H34" s="2797"/>
      <c r="I34" s="2803">
        <f t="shared" si="2"/>
        <v>4583235</v>
      </c>
      <c r="J34" s="635"/>
      <c r="L34" s="572"/>
      <c r="R34" s="572"/>
    </row>
    <row r="35" spans="2:18" s="295" customFormat="1">
      <c r="B35" s="2794" t="s">
        <v>108</v>
      </c>
      <c r="C35" s="2796">
        <v>488696</v>
      </c>
      <c r="D35" s="2796">
        <v>19482</v>
      </c>
      <c r="E35" s="2796">
        <v>4980872</v>
      </c>
      <c r="F35" s="2797"/>
      <c r="G35" s="2796">
        <v>123844</v>
      </c>
      <c r="H35" s="2797"/>
      <c r="I35" s="2803">
        <f t="shared" si="2"/>
        <v>5612894</v>
      </c>
      <c r="J35" s="635"/>
      <c r="L35" s="572"/>
      <c r="R35" s="572"/>
    </row>
    <row r="36" spans="2:18" s="295" customFormat="1">
      <c r="B36" s="2794" t="s">
        <v>109</v>
      </c>
      <c r="C36" s="2796">
        <v>3878</v>
      </c>
      <c r="D36" s="2804">
        <v>752</v>
      </c>
      <c r="E36" s="2796">
        <v>255779</v>
      </c>
      <c r="F36" s="2796">
        <v>8297</v>
      </c>
      <c r="G36" s="2796">
        <v>29289</v>
      </c>
      <c r="H36" s="2797"/>
      <c r="I36" s="2803">
        <f t="shared" si="2"/>
        <v>297995</v>
      </c>
      <c r="J36" s="635"/>
      <c r="L36" s="572"/>
      <c r="R36" s="572"/>
    </row>
    <row r="37" spans="2:18" s="295" customFormat="1">
      <c r="B37" s="2794" t="s">
        <v>110</v>
      </c>
      <c r="C37" s="2796">
        <v>9420</v>
      </c>
      <c r="D37" s="2796">
        <v>18684</v>
      </c>
      <c r="E37" s="2796">
        <v>260600</v>
      </c>
      <c r="F37" s="2796">
        <v>5516870</v>
      </c>
      <c r="G37" s="2796">
        <v>157793</v>
      </c>
      <c r="H37" s="2796">
        <v>6088496</v>
      </c>
      <c r="I37" s="2803">
        <f t="shared" si="2"/>
        <v>12051863</v>
      </c>
      <c r="J37" s="635"/>
      <c r="L37" s="572"/>
      <c r="R37" s="572"/>
    </row>
    <row r="38" spans="2:18" s="295" customFormat="1">
      <c r="B38" s="2794" t="s">
        <v>111</v>
      </c>
      <c r="C38" s="2796">
        <v>85608</v>
      </c>
      <c r="D38" s="2796">
        <v>15229</v>
      </c>
      <c r="E38" s="2796">
        <v>1346927</v>
      </c>
      <c r="F38" s="2796">
        <v>95074</v>
      </c>
      <c r="G38" s="2796">
        <v>85315</v>
      </c>
      <c r="H38" s="2797"/>
      <c r="I38" s="2803">
        <f t="shared" si="2"/>
        <v>1628153</v>
      </c>
      <c r="J38" s="635"/>
      <c r="L38" s="572"/>
      <c r="R38" s="572"/>
    </row>
    <row r="39" spans="2:18" s="295" customFormat="1">
      <c r="B39" s="2794" t="s">
        <v>112</v>
      </c>
      <c r="C39" s="2796">
        <v>301878</v>
      </c>
      <c r="D39" s="2796">
        <v>41365</v>
      </c>
      <c r="E39" s="2796">
        <v>4912944</v>
      </c>
      <c r="F39" s="2796">
        <v>159001</v>
      </c>
      <c r="G39" s="2796">
        <v>271570</v>
      </c>
      <c r="H39" s="2797"/>
      <c r="I39" s="2803">
        <f t="shared" si="2"/>
        <v>5686758</v>
      </c>
      <c r="J39" s="635"/>
      <c r="L39" s="572"/>
      <c r="R39" s="572"/>
    </row>
    <row r="40" spans="2:18" s="295" customFormat="1">
      <c r="B40" s="2794" t="s">
        <v>114</v>
      </c>
      <c r="C40" s="2796">
        <v>8003</v>
      </c>
      <c r="D40" s="2797"/>
      <c r="E40" s="2796">
        <v>728921</v>
      </c>
      <c r="F40" s="2796">
        <v>25769</v>
      </c>
      <c r="G40" s="2796">
        <v>84424</v>
      </c>
      <c r="H40" s="2797"/>
      <c r="I40" s="2803">
        <f t="shared" si="2"/>
        <v>847117</v>
      </c>
      <c r="J40" s="635"/>
      <c r="L40" s="572"/>
      <c r="R40" s="572"/>
    </row>
    <row r="41" spans="2:18" s="295" customFormat="1">
      <c r="B41" s="2794" t="s">
        <v>115</v>
      </c>
      <c r="C41" s="2796">
        <v>1417574</v>
      </c>
      <c r="D41" s="2799">
        <v>417296</v>
      </c>
      <c r="E41" s="2799">
        <v>11586993</v>
      </c>
      <c r="F41" s="2799">
        <v>4584377</v>
      </c>
      <c r="G41" s="2799">
        <v>1364655</v>
      </c>
      <c r="H41" s="2805"/>
      <c r="I41" s="2803">
        <f t="shared" si="2"/>
        <v>19370895</v>
      </c>
      <c r="J41" s="635"/>
      <c r="L41" s="572"/>
      <c r="R41" s="572"/>
    </row>
    <row r="42" spans="2:18" s="295" customFormat="1">
      <c r="B42" s="2806" t="s">
        <v>118</v>
      </c>
      <c r="C42" s="2803">
        <f>SUM(C28:C41)</f>
        <v>8888258</v>
      </c>
      <c r="D42" s="2803">
        <f t="shared" ref="D42:H42" si="3">SUM(D28:D41)</f>
        <v>2276474</v>
      </c>
      <c r="E42" s="2803">
        <f t="shared" si="3"/>
        <v>61276210</v>
      </c>
      <c r="F42" s="2803">
        <f t="shared" si="3"/>
        <v>18877585</v>
      </c>
      <c r="G42" s="2803">
        <f t="shared" si="3"/>
        <v>7857768</v>
      </c>
      <c r="H42" s="2803">
        <f t="shared" si="3"/>
        <v>6088496</v>
      </c>
      <c r="I42" s="2803">
        <f>SUM(C42:H42)</f>
        <v>105264791</v>
      </c>
      <c r="J42" s="635"/>
      <c r="L42" s="572"/>
      <c r="R42" s="572"/>
    </row>
    <row r="43" spans="2:18" s="295" customFormat="1">
      <c r="B43" s="471"/>
      <c r="C43" s="637"/>
      <c r="D43" s="637"/>
      <c r="E43" s="637"/>
      <c r="F43" s="637"/>
      <c r="G43" s="637"/>
      <c r="H43" s="637"/>
      <c r="I43" s="637"/>
      <c r="J43" s="635"/>
      <c r="L43" s="572"/>
      <c r="R43" s="572"/>
    </row>
    <row r="44" spans="2:18" s="295" customFormat="1">
      <c r="B44" s="471"/>
      <c r="C44" s="637"/>
      <c r="D44" s="637"/>
      <c r="E44" s="637"/>
      <c r="F44" s="637"/>
      <c r="G44" s="637"/>
      <c r="H44" s="637"/>
      <c r="I44" s="638">
        <v>148</v>
      </c>
      <c r="J44" s="635"/>
      <c r="L44" s="572"/>
      <c r="R44" s="572"/>
    </row>
    <row r="45" spans="2:18" s="295" customFormat="1">
      <c r="B45" s="471"/>
      <c r="C45" s="637"/>
      <c r="D45" s="637"/>
      <c r="E45" s="637"/>
      <c r="F45" s="637"/>
      <c r="G45" s="637"/>
      <c r="H45" s="637"/>
      <c r="I45" s="637"/>
      <c r="J45" s="635"/>
      <c r="L45" s="572"/>
      <c r="R45" s="572"/>
    </row>
    <row r="46" spans="2:18" s="295" customFormat="1">
      <c r="B46" s="3692" t="s">
        <v>494</v>
      </c>
      <c r="C46" s="3692"/>
      <c r="D46" s="3692"/>
      <c r="E46" s="3692"/>
      <c r="F46" s="3692"/>
      <c r="G46" s="3692"/>
      <c r="H46" s="637"/>
      <c r="I46" s="637"/>
      <c r="J46" s="635"/>
      <c r="L46" s="572"/>
      <c r="R46" s="572"/>
    </row>
    <row r="47" spans="2:18" s="295" customFormat="1">
      <c r="B47" s="471"/>
      <c r="C47" s="637"/>
      <c r="D47" s="637"/>
      <c r="E47" s="637"/>
      <c r="F47" s="637"/>
      <c r="G47" s="637"/>
      <c r="H47" s="637"/>
      <c r="I47" s="637"/>
      <c r="J47" s="635"/>
      <c r="L47" s="572"/>
      <c r="R47" s="572"/>
    </row>
    <row r="48" spans="2:18" s="295" customFormat="1">
      <c r="B48" s="2807" t="s">
        <v>83</v>
      </c>
      <c r="C48" s="2026" t="s">
        <v>412</v>
      </c>
      <c r="D48" s="2135" t="s">
        <v>413</v>
      </c>
      <c r="E48" s="2026" t="s">
        <v>414</v>
      </c>
      <c r="F48" s="2026" t="s">
        <v>415</v>
      </c>
      <c r="G48" s="2026" t="s">
        <v>416</v>
      </c>
      <c r="H48" s="2026" t="s">
        <v>448</v>
      </c>
      <c r="I48" s="2026" t="s">
        <v>118</v>
      </c>
      <c r="J48" s="635"/>
      <c r="L48" s="572"/>
      <c r="R48" s="572"/>
    </row>
    <row r="49" spans="2:18" s="295" customFormat="1">
      <c r="B49" s="2794" t="s">
        <v>92</v>
      </c>
      <c r="C49" s="2808">
        <v>2315498</v>
      </c>
      <c r="D49" s="2808">
        <v>453996</v>
      </c>
      <c r="E49" s="2808">
        <v>10250178</v>
      </c>
      <c r="F49" s="2808">
        <v>3853022</v>
      </c>
      <c r="G49" s="2808">
        <v>1222565</v>
      </c>
      <c r="H49" s="2797"/>
      <c r="I49" s="2809">
        <f>SUM(C49:H49)</f>
        <v>18095259</v>
      </c>
      <c r="J49" s="635"/>
      <c r="K49" s="553"/>
      <c r="L49" s="572"/>
      <c r="R49" s="572"/>
    </row>
    <row r="50" spans="2:18" s="295" customFormat="1">
      <c r="B50" s="2794" t="s">
        <v>95</v>
      </c>
      <c r="C50" s="2808">
        <v>129329</v>
      </c>
      <c r="D50" s="2808">
        <v>119128</v>
      </c>
      <c r="E50" s="2808">
        <v>969120</v>
      </c>
      <c r="F50" s="2808">
        <v>217279</v>
      </c>
      <c r="G50" s="2808">
        <v>186605</v>
      </c>
      <c r="H50" s="2797"/>
      <c r="I50" s="2809">
        <f t="shared" ref="I50:I62" si="4">SUM(C50:H50)</f>
        <v>1621461</v>
      </c>
      <c r="J50" s="635"/>
      <c r="K50" s="553"/>
      <c r="L50" s="572"/>
      <c r="R50" s="572"/>
    </row>
    <row r="51" spans="2:18" s="295" customFormat="1">
      <c r="B51" s="2794" t="s">
        <v>98</v>
      </c>
      <c r="C51" s="2808">
        <v>1638711</v>
      </c>
      <c r="D51" s="2808">
        <v>643140</v>
      </c>
      <c r="E51" s="2808">
        <v>11075512</v>
      </c>
      <c r="F51" s="2808">
        <v>1747370</v>
      </c>
      <c r="G51" s="2808">
        <v>3296672</v>
      </c>
      <c r="H51" s="2797"/>
      <c r="I51" s="2809">
        <f t="shared" si="4"/>
        <v>18401405</v>
      </c>
      <c r="J51" s="635"/>
      <c r="K51" s="553"/>
      <c r="L51" s="572"/>
      <c r="R51" s="572"/>
    </row>
    <row r="52" spans="2:18" s="295" customFormat="1">
      <c r="B52" s="2794" t="s">
        <v>99</v>
      </c>
      <c r="C52" s="2808">
        <v>844040</v>
      </c>
      <c r="D52" s="2808">
        <v>69248</v>
      </c>
      <c r="E52" s="2808">
        <v>3409852</v>
      </c>
      <c r="F52" s="2808">
        <v>459805.04200000002</v>
      </c>
      <c r="G52" s="2808">
        <v>219603.01552000002</v>
      </c>
      <c r="H52" s="2797"/>
      <c r="I52" s="2809">
        <f t="shared" si="4"/>
        <v>5002548.0575200003</v>
      </c>
      <c r="J52" s="635"/>
      <c r="K52" s="553"/>
      <c r="L52" s="572"/>
      <c r="R52" s="572"/>
    </row>
    <row r="53" spans="2:18" s="295" customFormat="1">
      <c r="B53" s="2794" t="s">
        <v>101</v>
      </c>
      <c r="C53" s="2808">
        <v>105402</v>
      </c>
      <c r="D53" s="2808">
        <v>13539</v>
      </c>
      <c r="E53" s="2808">
        <v>3715803</v>
      </c>
      <c r="F53" s="2808">
        <v>41849</v>
      </c>
      <c r="G53" s="2808">
        <v>316367</v>
      </c>
      <c r="H53" s="2797"/>
      <c r="I53" s="2809">
        <f t="shared" si="4"/>
        <v>4192960</v>
      </c>
      <c r="J53" s="635"/>
      <c r="K53" s="553"/>
      <c r="L53" s="572"/>
      <c r="R53" s="572"/>
    </row>
    <row r="54" spans="2:18" s="295" customFormat="1">
      <c r="B54" s="2794" t="s">
        <v>102</v>
      </c>
      <c r="C54" s="2808">
        <v>1164021</v>
      </c>
      <c r="D54" s="2808">
        <v>463348</v>
      </c>
      <c r="E54" s="2808">
        <v>6037369</v>
      </c>
      <c r="F54" s="2808">
        <v>2830214</v>
      </c>
      <c r="G54" s="2808">
        <v>752718</v>
      </c>
      <c r="H54" s="2797"/>
      <c r="I54" s="2809">
        <f t="shared" si="4"/>
        <v>11247670</v>
      </c>
      <c r="J54" s="635"/>
      <c r="K54" s="553"/>
      <c r="L54" s="572"/>
      <c r="R54" s="572"/>
    </row>
    <row r="55" spans="2:18" s="295" customFormat="1">
      <c r="B55" s="2794" t="s">
        <v>104</v>
      </c>
      <c r="C55" s="2808">
        <v>378781</v>
      </c>
      <c r="D55" s="2808">
        <v>57553</v>
      </c>
      <c r="E55" s="2808">
        <v>3540374</v>
      </c>
      <c r="F55" s="2808">
        <v>188338</v>
      </c>
      <c r="G55" s="2808">
        <v>229411</v>
      </c>
      <c r="H55" s="2797"/>
      <c r="I55" s="2809">
        <f t="shared" si="4"/>
        <v>4394457</v>
      </c>
      <c r="J55" s="635"/>
      <c r="K55" s="553"/>
      <c r="L55" s="572"/>
      <c r="R55" s="572"/>
    </row>
    <row r="56" spans="2:18" s="295" customFormat="1">
      <c r="B56" s="2794" t="s">
        <v>108</v>
      </c>
      <c r="C56" s="2808">
        <v>311696</v>
      </c>
      <c r="D56" s="2808">
        <v>14433</v>
      </c>
      <c r="E56" s="2808">
        <v>4490746</v>
      </c>
      <c r="F56" s="2797"/>
      <c r="G56" s="2808">
        <v>138022</v>
      </c>
      <c r="H56" s="2797"/>
      <c r="I56" s="2809">
        <f t="shared" si="4"/>
        <v>4954897</v>
      </c>
      <c r="J56" s="635"/>
      <c r="K56" s="553"/>
      <c r="L56" s="572"/>
      <c r="R56" s="572"/>
    </row>
    <row r="57" spans="2:18" s="295" customFormat="1">
      <c r="B57" s="2794" t="s">
        <v>109</v>
      </c>
      <c r="C57" s="2808">
        <v>3290.0527576200002</v>
      </c>
      <c r="D57" s="2808">
        <v>405.26125000000002</v>
      </c>
      <c r="E57" s="2808">
        <v>78222.888387180021</v>
      </c>
      <c r="F57" s="2808">
        <v>2622</v>
      </c>
      <c r="G57" s="2808">
        <v>11438.413413499999</v>
      </c>
      <c r="H57" s="2797"/>
      <c r="I57" s="2809">
        <f t="shared" si="4"/>
        <v>95978.615808300034</v>
      </c>
      <c r="J57" s="635"/>
      <c r="K57" s="553"/>
      <c r="L57" s="572"/>
      <c r="R57" s="572"/>
    </row>
    <row r="58" spans="2:18" s="295" customFormat="1">
      <c r="B58" s="2794" t="s">
        <v>110</v>
      </c>
      <c r="C58" s="2808">
        <v>2554</v>
      </c>
      <c r="D58" s="2808">
        <v>27306</v>
      </c>
      <c r="E58" s="2808">
        <v>390150</v>
      </c>
      <c r="F58" s="2808">
        <v>4964266</v>
      </c>
      <c r="G58" s="2808">
        <v>1666576</v>
      </c>
      <c r="H58" s="2808">
        <v>6307350</v>
      </c>
      <c r="I58" s="2809">
        <f t="shared" si="4"/>
        <v>13358202</v>
      </c>
      <c r="J58" s="635"/>
      <c r="K58" s="553"/>
      <c r="L58" s="572"/>
      <c r="R58" s="572"/>
    </row>
    <row r="59" spans="2:18" s="295" customFormat="1">
      <c r="B59" s="2794" t="s">
        <v>111</v>
      </c>
      <c r="C59" s="2808">
        <v>71121</v>
      </c>
      <c r="D59" s="2808">
        <v>17188</v>
      </c>
      <c r="E59" s="2808">
        <v>1313241</v>
      </c>
      <c r="F59" s="2808">
        <v>68068</v>
      </c>
      <c r="G59" s="2808">
        <v>95285</v>
      </c>
      <c r="H59" s="2797"/>
      <c r="I59" s="2809">
        <f t="shared" si="4"/>
        <v>1564903</v>
      </c>
      <c r="J59" s="635"/>
      <c r="K59" s="553"/>
      <c r="L59" s="572"/>
      <c r="R59" s="572"/>
    </row>
    <row r="60" spans="2:18" s="295" customFormat="1">
      <c r="B60" s="2794" t="s">
        <v>112</v>
      </c>
      <c r="C60" s="2808">
        <v>268824</v>
      </c>
      <c r="D60" s="2808">
        <v>18583</v>
      </c>
      <c r="E60" s="2808">
        <v>5026352</v>
      </c>
      <c r="F60" s="2808">
        <v>121540</v>
      </c>
      <c r="G60" s="2808">
        <v>258865</v>
      </c>
      <c r="H60" s="2797"/>
      <c r="I60" s="2809">
        <f t="shared" si="4"/>
        <v>5694164</v>
      </c>
      <c r="J60" s="635"/>
      <c r="K60" s="553"/>
      <c r="L60" s="572"/>
      <c r="R60" s="572"/>
    </row>
    <row r="61" spans="2:18" s="295" customFormat="1">
      <c r="B61" s="2794" t="s">
        <v>114</v>
      </c>
      <c r="C61" s="2808">
        <v>8478.1693300000006</v>
      </c>
      <c r="D61" s="2797"/>
      <c r="E61" s="2808">
        <v>723039.78500000003</v>
      </c>
      <c r="F61" s="2808">
        <v>27036.202000000001</v>
      </c>
      <c r="G61" s="2808">
        <v>139525.21227999998</v>
      </c>
      <c r="H61" s="2797"/>
      <c r="I61" s="2809">
        <f t="shared" si="4"/>
        <v>898079.36861</v>
      </c>
      <c r="J61" s="635"/>
      <c r="K61" s="553"/>
      <c r="L61" s="572"/>
      <c r="R61" s="572"/>
    </row>
    <row r="62" spans="2:18" s="295" customFormat="1">
      <c r="B62" s="2794" t="s">
        <v>115</v>
      </c>
      <c r="C62" s="2808">
        <v>1028246</v>
      </c>
      <c r="D62" s="2808">
        <v>487700</v>
      </c>
      <c r="E62" s="2808">
        <v>12665597</v>
      </c>
      <c r="F62" s="2808">
        <v>2072252</v>
      </c>
      <c r="G62" s="2808">
        <v>1908971</v>
      </c>
      <c r="H62" s="2797"/>
      <c r="I62" s="2809">
        <f t="shared" si="4"/>
        <v>18162766</v>
      </c>
      <c r="J62" s="635"/>
      <c r="K62" s="553"/>
      <c r="L62" s="572"/>
      <c r="R62" s="572"/>
    </row>
    <row r="63" spans="2:18" s="295" customFormat="1">
      <c r="B63" s="2810" t="s">
        <v>118</v>
      </c>
      <c r="C63" s="2809">
        <f>SUM(C49:C62)</f>
        <v>8269991.2220876198</v>
      </c>
      <c r="D63" s="2809">
        <f t="shared" ref="D63:H63" si="5">SUM(D49:D62)</f>
        <v>2385567.26125</v>
      </c>
      <c r="E63" s="2809">
        <f t="shared" si="5"/>
        <v>63685556.673387177</v>
      </c>
      <c r="F63" s="2809">
        <f t="shared" si="5"/>
        <v>16593661.243999999</v>
      </c>
      <c r="G63" s="2809">
        <f>SUM(G49:G62)</f>
        <v>10442623.641213501</v>
      </c>
      <c r="H63" s="2809">
        <f t="shared" si="5"/>
        <v>6307350</v>
      </c>
      <c r="I63" s="2809">
        <f>SUM(C63:H63)</f>
        <v>107684750.0419383</v>
      </c>
      <c r="J63" s="635"/>
      <c r="L63" s="572"/>
      <c r="R63" s="572"/>
    </row>
    <row r="64" spans="2:18" s="295" customFormat="1">
      <c r="B64" s="471"/>
      <c r="C64" s="637"/>
      <c r="D64" s="637"/>
      <c r="E64" s="637"/>
      <c r="F64" s="637"/>
      <c r="G64" s="637"/>
      <c r="H64" s="637"/>
      <c r="I64" s="637"/>
      <c r="J64" s="635"/>
      <c r="L64" s="572"/>
      <c r="R64" s="572"/>
    </row>
    <row r="65" spans="2:19" s="295" customFormat="1">
      <c r="B65" s="471"/>
      <c r="C65" s="637"/>
      <c r="D65" s="637"/>
      <c r="E65" s="637"/>
      <c r="F65" s="637"/>
      <c r="G65" s="637"/>
      <c r="H65" s="637"/>
      <c r="I65" s="638">
        <v>149</v>
      </c>
      <c r="J65" s="635"/>
      <c r="L65" s="572"/>
      <c r="R65" s="572"/>
    </row>
    <row r="66" spans="2:19" s="295" customFormat="1">
      <c r="B66" s="218"/>
      <c r="I66" s="292"/>
      <c r="J66" s="635"/>
      <c r="L66" s="572"/>
      <c r="R66" s="572"/>
    </row>
    <row r="67" spans="2:19" s="295" customFormat="1">
      <c r="B67" s="3692" t="s">
        <v>495</v>
      </c>
      <c r="C67" s="3692"/>
      <c r="D67" s="3692"/>
      <c r="E67" s="3692"/>
      <c r="F67" s="3692"/>
      <c r="G67" s="3692"/>
      <c r="H67" s="214"/>
      <c r="I67" s="214"/>
      <c r="J67" s="635"/>
      <c r="L67" s="572"/>
      <c r="R67" s="572"/>
    </row>
    <row r="68" spans="2:19">
      <c r="H68" s="3662" t="s">
        <v>232</v>
      </c>
      <c r="I68" s="3662"/>
    </row>
    <row r="69" spans="2:19">
      <c r="B69" s="2026" t="s">
        <v>83</v>
      </c>
      <c r="C69" s="2027" t="s">
        <v>496</v>
      </c>
      <c r="D69" s="2811" t="s">
        <v>497</v>
      </c>
      <c r="E69" s="2811" t="s">
        <v>498</v>
      </c>
      <c r="F69" s="2027" t="s">
        <v>415</v>
      </c>
      <c r="G69" s="2027" t="s">
        <v>499</v>
      </c>
      <c r="H69" s="2027" t="s">
        <v>448</v>
      </c>
      <c r="I69" s="2027" t="s">
        <v>500</v>
      </c>
      <c r="L69" s="218"/>
      <c r="R69" s="214"/>
      <c r="S69" s="214"/>
    </row>
    <row r="70" spans="2:19" ht="15">
      <c r="B70" s="2794" t="s">
        <v>92</v>
      </c>
      <c r="C70" s="2022">
        <v>2460829</v>
      </c>
      <c r="D70" s="2022">
        <v>480335</v>
      </c>
      <c r="E70" s="2022">
        <v>10829708</v>
      </c>
      <c r="F70" s="2022">
        <v>2673303</v>
      </c>
      <c r="G70" s="2022">
        <v>1539574</v>
      </c>
      <c r="H70" s="2044"/>
      <c r="I70" s="2812">
        <f>SUM(C70:H70)</f>
        <v>17983749</v>
      </c>
      <c r="K70" s="396"/>
      <c r="L70" s="292"/>
      <c r="M70" s="1884"/>
      <c r="N70" s="573"/>
      <c r="O70" s="475"/>
      <c r="P70" s="475"/>
      <c r="Q70" s="475"/>
      <c r="R70" s="475"/>
      <c r="S70" s="419"/>
    </row>
    <row r="71" spans="2:19">
      <c r="B71" s="2061" t="s">
        <v>95</v>
      </c>
      <c r="C71" s="2022">
        <v>97862</v>
      </c>
      <c r="D71" s="2022">
        <v>143921</v>
      </c>
      <c r="E71" s="2022">
        <v>1095289</v>
      </c>
      <c r="F71" s="2022">
        <v>303875</v>
      </c>
      <c r="G71" s="2022">
        <v>200120</v>
      </c>
      <c r="H71" s="2044"/>
      <c r="I71" s="2812">
        <f t="shared" ref="I71:I84" si="6">SUM(C71:H71)</f>
        <v>1841067</v>
      </c>
      <c r="K71" s="396"/>
      <c r="L71" s="471"/>
      <c r="M71" s="293"/>
      <c r="N71" s="293"/>
      <c r="O71" s="293"/>
      <c r="P71" s="293"/>
      <c r="Q71" s="293"/>
      <c r="R71" s="293"/>
      <c r="S71" s="419"/>
    </row>
    <row r="72" spans="2:19">
      <c r="B72" s="2137" t="s">
        <v>98</v>
      </c>
      <c r="C72" s="1981">
        <v>2286556</v>
      </c>
      <c r="D72" s="1981">
        <v>625597</v>
      </c>
      <c r="E72" s="1981">
        <v>11184832</v>
      </c>
      <c r="F72" s="1981">
        <v>1606238</v>
      </c>
      <c r="G72" s="1981">
        <v>2434710</v>
      </c>
      <c r="H72" s="2044"/>
      <c r="I72" s="2812">
        <f t="shared" si="6"/>
        <v>18137933</v>
      </c>
      <c r="K72" s="396"/>
      <c r="L72" s="471"/>
      <c r="M72" s="293"/>
      <c r="N72" s="293"/>
      <c r="O72" s="293"/>
      <c r="P72" s="293"/>
      <c r="Q72" s="293"/>
      <c r="R72" s="293"/>
      <c r="S72" s="419"/>
    </row>
    <row r="73" spans="2:19">
      <c r="B73" s="2813" t="s">
        <v>99</v>
      </c>
      <c r="C73" s="1981">
        <v>574231</v>
      </c>
      <c r="D73" s="1981">
        <v>85994</v>
      </c>
      <c r="E73" s="1981">
        <v>3253136</v>
      </c>
      <c r="F73" s="1981">
        <v>455575</v>
      </c>
      <c r="G73" s="1981">
        <v>176469</v>
      </c>
      <c r="H73" s="2044"/>
      <c r="I73" s="2812">
        <f t="shared" si="6"/>
        <v>4545405</v>
      </c>
      <c r="K73" s="396"/>
      <c r="L73" s="292"/>
      <c r="M73" s="293"/>
      <c r="N73" s="293"/>
      <c r="O73" s="293"/>
      <c r="P73" s="293"/>
      <c r="Q73" s="293"/>
      <c r="R73" s="293"/>
      <c r="S73" s="419"/>
    </row>
    <row r="74" spans="2:19">
      <c r="B74" s="2061" t="s">
        <v>101</v>
      </c>
      <c r="C74" s="2022">
        <v>94018</v>
      </c>
      <c r="D74" s="2022">
        <v>7704</v>
      </c>
      <c r="E74" s="2022">
        <v>3226473</v>
      </c>
      <c r="F74" s="2022">
        <v>27221</v>
      </c>
      <c r="G74" s="2022">
        <v>336981</v>
      </c>
      <c r="H74" s="2044"/>
      <c r="I74" s="2812">
        <f t="shared" si="6"/>
        <v>3692397</v>
      </c>
      <c r="K74" s="396"/>
      <c r="L74" s="52"/>
      <c r="M74" s="264"/>
      <c r="N74" s="264"/>
      <c r="O74" s="264"/>
      <c r="P74" s="264"/>
      <c r="Q74" s="264"/>
      <c r="R74" s="264"/>
      <c r="S74" s="419"/>
    </row>
    <row r="75" spans="2:19">
      <c r="B75" s="2137" t="s">
        <v>102</v>
      </c>
      <c r="C75" s="2814">
        <v>995555</v>
      </c>
      <c r="D75" s="1981">
        <v>445281</v>
      </c>
      <c r="E75" s="1981">
        <v>6016592</v>
      </c>
      <c r="F75" s="1981">
        <v>2870132</v>
      </c>
      <c r="G75" s="1981">
        <v>653290</v>
      </c>
      <c r="H75" s="2044"/>
      <c r="I75" s="2812">
        <f t="shared" si="6"/>
        <v>10980850</v>
      </c>
      <c r="K75" s="396"/>
      <c r="L75" s="37"/>
      <c r="M75" s="264"/>
      <c r="N75" s="264"/>
      <c r="O75" s="264"/>
      <c r="P75" s="264"/>
      <c r="Q75" s="264"/>
      <c r="R75" s="264"/>
      <c r="S75" s="419"/>
    </row>
    <row r="76" spans="2:19">
      <c r="B76" s="2137" t="s">
        <v>104</v>
      </c>
      <c r="C76" s="1981">
        <v>368226</v>
      </c>
      <c r="D76" s="1981">
        <v>70452</v>
      </c>
      <c r="E76" s="1981">
        <v>3280875</v>
      </c>
      <c r="F76" s="1981">
        <v>172101</v>
      </c>
      <c r="G76" s="1981">
        <v>170517</v>
      </c>
      <c r="H76" s="2044"/>
      <c r="I76" s="2812">
        <f t="shared" si="6"/>
        <v>4062171</v>
      </c>
      <c r="K76" s="396"/>
      <c r="L76" s="292"/>
      <c r="M76" s="293"/>
      <c r="N76" s="293"/>
      <c r="O76" s="293"/>
      <c r="P76" s="293"/>
      <c r="Q76" s="293"/>
      <c r="R76" s="293"/>
      <c r="S76" s="419"/>
    </row>
    <row r="77" spans="2:19">
      <c r="B77" s="2137" t="s">
        <v>108</v>
      </c>
      <c r="C77" s="1981">
        <v>265615</v>
      </c>
      <c r="D77" s="1981">
        <v>14254</v>
      </c>
      <c r="E77" s="1981">
        <v>3954249</v>
      </c>
      <c r="F77" s="1989"/>
      <c r="G77" s="1981">
        <v>84603</v>
      </c>
      <c r="H77" s="2044"/>
      <c r="I77" s="2812">
        <f t="shared" si="6"/>
        <v>4318721</v>
      </c>
      <c r="K77" s="396"/>
      <c r="L77" s="52"/>
      <c r="M77" s="264"/>
      <c r="N77" s="264"/>
      <c r="O77" s="264"/>
      <c r="P77" s="264"/>
      <c r="Q77" s="264"/>
      <c r="R77" s="264"/>
      <c r="S77" s="419"/>
    </row>
    <row r="78" spans="2:19">
      <c r="B78" s="2137" t="s">
        <v>109</v>
      </c>
      <c r="C78" s="1981">
        <v>-121</v>
      </c>
      <c r="D78" s="1989"/>
      <c r="E78" s="1981">
        <v>-331</v>
      </c>
      <c r="F78" s="1989"/>
      <c r="G78" s="1981">
        <v>-60</v>
      </c>
      <c r="H78" s="2044"/>
      <c r="I78" s="2812">
        <f t="shared" si="6"/>
        <v>-512</v>
      </c>
      <c r="K78" s="396"/>
      <c r="L78" s="52"/>
      <c r="M78" s="264"/>
      <c r="N78" s="264"/>
      <c r="O78" s="264"/>
      <c r="P78" s="264"/>
      <c r="Q78" s="264"/>
      <c r="R78" s="264"/>
      <c r="S78" s="419"/>
    </row>
    <row r="79" spans="2:19">
      <c r="B79" s="2061" t="s">
        <v>110</v>
      </c>
      <c r="C79" s="2022">
        <v>11903</v>
      </c>
      <c r="D79" s="2022">
        <v>3468</v>
      </c>
      <c r="E79" s="2022">
        <v>422117</v>
      </c>
      <c r="F79" s="2022">
        <v>4069119</v>
      </c>
      <c r="G79" s="2022">
        <v>556653</v>
      </c>
      <c r="H79" s="2022">
        <v>4581641</v>
      </c>
      <c r="I79" s="2812">
        <f t="shared" si="6"/>
        <v>9644901</v>
      </c>
      <c r="K79" s="396"/>
      <c r="L79" s="52"/>
      <c r="M79" s="264"/>
      <c r="N79" s="264"/>
      <c r="O79" s="264"/>
      <c r="P79" s="264"/>
      <c r="Q79" s="264"/>
      <c r="R79" s="264"/>
      <c r="S79" s="419"/>
    </row>
    <row r="80" spans="2:19">
      <c r="B80" s="2813" t="s">
        <v>111</v>
      </c>
      <c r="C80" s="1981">
        <v>63171.003484367378</v>
      </c>
      <c r="D80" s="1981">
        <v>23467.926769999998</v>
      </c>
      <c r="E80" s="1981">
        <v>1141152.1842499997</v>
      </c>
      <c r="F80" s="1981">
        <v>44165.845900000008</v>
      </c>
      <c r="G80" s="1981">
        <v>104440.85190230733</v>
      </c>
      <c r="H80" s="2044"/>
      <c r="I80" s="2812">
        <f t="shared" si="6"/>
        <v>1376397.8123066744</v>
      </c>
      <c r="K80" s="396"/>
      <c r="L80" s="52"/>
      <c r="M80" s="264"/>
      <c r="N80" s="264"/>
      <c r="O80" s="264"/>
      <c r="P80" s="264"/>
      <c r="Q80" s="264"/>
      <c r="R80" s="264"/>
      <c r="S80" s="419"/>
    </row>
    <row r="81" spans="2:19">
      <c r="B81" s="2794" t="s">
        <v>112</v>
      </c>
      <c r="C81" s="2022">
        <v>303844</v>
      </c>
      <c r="D81" s="2022">
        <v>9265</v>
      </c>
      <c r="E81" s="2022">
        <v>4659619</v>
      </c>
      <c r="F81" s="2022">
        <v>124051</v>
      </c>
      <c r="G81" s="2022">
        <v>257589.47691000003</v>
      </c>
      <c r="H81" s="2044"/>
      <c r="I81" s="2812">
        <f t="shared" si="6"/>
        <v>5354368.4769099997</v>
      </c>
      <c r="K81" s="396"/>
      <c r="L81" s="292"/>
      <c r="M81" s="293"/>
      <c r="N81" s="293"/>
      <c r="O81" s="293"/>
      <c r="P81" s="293"/>
      <c r="Q81" s="293"/>
      <c r="R81" s="293"/>
      <c r="S81" s="419"/>
    </row>
    <row r="82" spans="2:19">
      <c r="B82" s="2794" t="s">
        <v>134</v>
      </c>
      <c r="C82" s="2022">
        <v>9637.0542600000008</v>
      </c>
      <c r="D82" s="2044"/>
      <c r="E82" s="2022">
        <v>609719.92278000002</v>
      </c>
      <c r="F82" s="2022">
        <v>12666</v>
      </c>
      <c r="G82" s="2022">
        <v>100356.01835000003</v>
      </c>
      <c r="H82" s="2044"/>
      <c r="I82" s="2812">
        <f t="shared" si="6"/>
        <v>732378.99539000005</v>
      </c>
      <c r="K82" s="396"/>
      <c r="L82" s="37"/>
      <c r="M82" s="264"/>
      <c r="N82" s="264"/>
      <c r="O82" s="264"/>
      <c r="P82" s="264"/>
      <c r="Q82" s="264"/>
      <c r="R82" s="264"/>
      <c r="S82" s="419"/>
    </row>
    <row r="83" spans="2:19">
      <c r="B83" s="2794" t="s">
        <v>115</v>
      </c>
      <c r="C83" s="2022">
        <v>1290329.2220700001</v>
      </c>
      <c r="D83" s="2022">
        <v>493627.52853999997</v>
      </c>
      <c r="E83" s="2022">
        <v>12690044.108150002</v>
      </c>
      <c r="F83" s="2022">
        <v>1803094.8404399999</v>
      </c>
      <c r="G83" s="2022">
        <v>1639177.9184999999</v>
      </c>
      <c r="H83" s="2044"/>
      <c r="I83" s="2812">
        <f t="shared" si="6"/>
        <v>17916273.617699999</v>
      </c>
      <c r="K83" s="396"/>
      <c r="L83" s="471"/>
      <c r="M83" s="293"/>
      <c r="N83" s="293"/>
      <c r="O83" s="293"/>
      <c r="P83" s="293"/>
      <c r="Q83" s="293"/>
      <c r="R83" s="293"/>
      <c r="S83" s="419"/>
    </row>
    <row r="84" spans="2:19">
      <c r="B84" s="2810" t="s">
        <v>118</v>
      </c>
      <c r="C84" s="2815">
        <f>SUM(C70:C83)</f>
        <v>8821655.2798143663</v>
      </c>
      <c r="D84" s="2815">
        <f t="shared" ref="D84:H84" si="7">SUM(D70:D83)</f>
        <v>2403366.4553100001</v>
      </c>
      <c r="E84" s="2815">
        <f t="shared" si="7"/>
        <v>62363475.215179995</v>
      </c>
      <c r="F84" s="2815">
        <f t="shared" si="7"/>
        <v>14161541.686339999</v>
      </c>
      <c r="G84" s="2815">
        <f t="shared" si="7"/>
        <v>8254421.265662306</v>
      </c>
      <c r="H84" s="2815">
        <f t="shared" si="7"/>
        <v>4581641</v>
      </c>
      <c r="I84" s="2812">
        <f t="shared" si="6"/>
        <v>100586100.90230668</v>
      </c>
      <c r="K84" s="396"/>
      <c r="L84" s="471"/>
      <c r="M84" s="293"/>
      <c r="N84" s="293"/>
      <c r="O84" s="293"/>
      <c r="P84" s="293"/>
      <c r="Q84" s="293"/>
      <c r="R84" s="293"/>
      <c r="S84" s="419"/>
    </row>
    <row r="85" spans="2:19">
      <c r="B85" s="218"/>
      <c r="C85" s="383"/>
      <c r="D85" s="383"/>
      <c r="E85" s="383"/>
      <c r="F85" s="383"/>
      <c r="G85" s="383"/>
      <c r="H85" s="383"/>
      <c r="I85" s="383"/>
      <c r="K85" s="396"/>
      <c r="L85" s="471"/>
      <c r="M85" s="293"/>
      <c r="N85" s="293"/>
      <c r="O85" s="293"/>
      <c r="P85" s="293"/>
      <c r="Q85" s="293"/>
      <c r="R85" s="293"/>
      <c r="S85" s="419"/>
    </row>
    <row r="86" spans="2:19">
      <c r="B86" s="218"/>
      <c r="C86" s="383"/>
      <c r="D86" s="383"/>
      <c r="E86" s="383"/>
      <c r="F86" s="383"/>
      <c r="G86" s="383"/>
      <c r="H86" s="383"/>
      <c r="I86" s="476">
        <v>150</v>
      </c>
      <c r="K86" s="396"/>
      <c r="L86" s="292"/>
      <c r="M86" s="293"/>
      <c r="N86" s="293"/>
      <c r="O86" s="293"/>
      <c r="P86" s="293"/>
      <c r="Q86" s="293"/>
      <c r="R86" s="293"/>
      <c r="S86" s="419"/>
    </row>
    <row r="87" spans="2:19">
      <c r="B87" s="218"/>
      <c r="C87" s="383"/>
      <c r="D87" s="383"/>
      <c r="E87" s="383"/>
      <c r="F87" s="383"/>
      <c r="G87" s="383"/>
      <c r="H87" s="383"/>
      <c r="I87" s="476"/>
      <c r="K87" s="396"/>
      <c r="L87" s="292"/>
      <c r="M87" s="293"/>
      <c r="N87" s="293"/>
      <c r="O87" s="293"/>
      <c r="P87" s="293"/>
      <c r="Q87" s="293"/>
      <c r="R87" s="293"/>
      <c r="S87" s="419"/>
    </row>
    <row r="88" spans="2:19" s="295" customFormat="1">
      <c r="B88" s="3692" t="s">
        <v>501</v>
      </c>
      <c r="C88" s="3692"/>
      <c r="D88" s="3692"/>
      <c r="E88" s="3692"/>
      <c r="F88" s="3692"/>
      <c r="G88" s="3692"/>
      <c r="H88" s="214"/>
      <c r="I88" s="214"/>
      <c r="J88" s="635"/>
      <c r="K88" s="396"/>
      <c r="L88" s="218"/>
      <c r="M88" s="383"/>
      <c r="N88" s="383"/>
      <c r="O88" s="383"/>
      <c r="P88" s="383"/>
      <c r="Q88" s="383"/>
      <c r="R88" s="383"/>
      <c r="S88" s="419"/>
    </row>
    <row r="89" spans="2:19">
      <c r="H89" s="3662" t="s">
        <v>232</v>
      </c>
      <c r="I89" s="3662"/>
    </row>
    <row r="90" spans="2:19">
      <c r="B90" s="2026" t="s">
        <v>83</v>
      </c>
      <c r="C90" s="2027" t="s">
        <v>496</v>
      </c>
      <c r="D90" s="2811" t="s">
        <v>502</v>
      </c>
      <c r="E90" s="2811" t="s">
        <v>503</v>
      </c>
      <c r="F90" s="2027" t="s">
        <v>415</v>
      </c>
      <c r="G90" s="2027" t="s">
        <v>499</v>
      </c>
      <c r="H90" s="2027" t="s">
        <v>448</v>
      </c>
      <c r="I90" s="2027" t="s">
        <v>500</v>
      </c>
    </row>
    <row r="91" spans="2:19">
      <c r="B91" s="2794" t="s">
        <v>92</v>
      </c>
      <c r="C91" s="2022">
        <v>1586346.8823320947</v>
      </c>
      <c r="D91" s="2022">
        <v>149253.85664699206</v>
      </c>
      <c r="E91" s="2022">
        <v>2354912.0969779994</v>
      </c>
      <c r="F91" s="2022">
        <v>1248628.637595</v>
      </c>
      <c r="G91" s="2022">
        <v>617000.24923091335</v>
      </c>
      <c r="H91" s="2044"/>
      <c r="I91" s="2812">
        <v>5956141.7227829993</v>
      </c>
    </row>
    <row r="92" spans="2:19">
      <c r="B92" s="2061" t="s">
        <v>95</v>
      </c>
      <c r="C92" s="2022">
        <v>103073.54907289997</v>
      </c>
      <c r="D92" s="2022">
        <v>125807.08732314809</v>
      </c>
      <c r="E92" s="2022">
        <v>923461.18034261232</v>
      </c>
      <c r="F92" s="2022">
        <v>255279.87237299309</v>
      </c>
      <c r="G92" s="2022">
        <v>278648.512581499</v>
      </c>
      <c r="H92" s="2044"/>
      <c r="I92" s="2812">
        <v>1686270.2016931525</v>
      </c>
    </row>
    <row r="93" spans="2:19">
      <c r="B93" s="2137" t="s">
        <v>98</v>
      </c>
      <c r="C93" s="1981">
        <v>2102140</v>
      </c>
      <c r="D93" s="1981">
        <v>595424</v>
      </c>
      <c r="E93" s="1981">
        <v>10842893</v>
      </c>
      <c r="F93" s="1981">
        <v>1345121</v>
      </c>
      <c r="G93" s="1981">
        <v>2126509</v>
      </c>
      <c r="H93" s="2044"/>
      <c r="I93" s="2812">
        <v>17012087</v>
      </c>
    </row>
    <row r="94" spans="2:19">
      <c r="B94" s="2813" t="s">
        <v>99</v>
      </c>
      <c r="C94" s="1981">
        <v>544313.43262999994</v>
      </c>
      <c r="D94" s="1981">
        <v>76900.923960000015</v>
      </c>
      <c r="E94" s="1981">
        <v>2772752.2624399997</v>
      </c>
      <c r="F94" s="1981">
        <v>328349.38723000005</v>
      </c>
      <c r="G94" s="1981">
        <v>170463.60946000001</v>
      </c>
      <c r="H94" s="2044"/>
      <c r="I94" s="2812">
        <v>3892779.6157199997</v>
      </c>
    </row>
    <row r="95" spans="2:19">
      <c r="B95" s="2061" t="s">
        <v>101</v>
      </c>
      <c r="C95" s="2022">
        <v>89155.228650000005</v>
      </c>
      <c r="D95" s="2022">
        <v>-1543.91752</v>
      </c>
      <c r="E95" s="2022">
        <v>2630849.4</v>
      </c>
      <c r="F95" s="2022">
        <v>21271</v>
      </c>
      <c r="G95" s="2022">
        <v>226947.31000000003</v>
      </c>
      <c r="H95" s="2044"/>
      <c r="I95" s="2812">
        <v>2966679.0211299998</v>
      </c>
    </row>
    <row r="96" spans="2:19">
      <c r="B96" s="2137" t="s">
        <v>102</v>
      </c>
      <c r="C96" s="2814">
        <v>912590.00360955007</v>
      </c>
      <c r="D96" s="1981">
        <v>392049.16021514899</v>
      </c>
      <c r="E96" s="1981">
        <v>5175433.2269921405</v>
      </c>
      <c r="F96" s="1981">
        <v>2511034.8678705399</v>
      </c>
      <c r="G96" s="1981">
        <v>619882.70838732598</v>
      </c>
      <c r="H96" s="2044"/>
      <c r="I96" s="2812">
        <v>9610989.9670747053</v>
      </c>
    </row>
    <row r="97" spans="2:13">
      <c r="B97" s="2137" t="s">
        <v>104</v>
      </c>
      <c r="C97" s="1981">
        <v>381140.17386999994</v>
      </c>
      <c r="D97" s="1981">
        <v>46376.665059999999</v>
      </c>
      <c r="E97" s="1981">
        <v>2795591.6543914955</v>
      </c>
      <c r="F97" s="1981">
        <v>184640.95125000001</v>
      </c>
      <c r="G97" s="1981">
        <v>254258.31140000001</v>
      </c>
      <c r="H97" s="2044"/>
      <c r="I97" s="2812">
        <v>3662007.7559714955</v>
      </c>
    </row>
    <row r="98" spans="2:13">
      <c r="B98" s="2137" t="s">
        <v>145</v>
      </c>
      <c r="C98" s="1981">
        <v>1058684.0459399996</v>
      </c>
      <c r="D98" s="1981">
        <v>331572.16858999996</v>
      </c>
      <c r="E98" s="1981">
        <v>7897359.0662799999</v>
      </c>
      <c r="F98" s="1981">
        <v>1593643.59351</v>
      </c>
      <c r="G98" s="1981">
        <v>858926.14533000009</v>
      </c>
      <c r="H98" s="2044"/>
      <c r="I98" s="2812">
        <v>11740185.019649999</v>
      </c>
    </row>
    <row r="99" spans="2:13">
      <c r="B99" s="2137" t="s">
        <v>108</v>
      </c>
      <c r="C99" s="1981">
        <v>347048.67146999988</v>
      </c>
      <c r="D99" s="1981">
        <v>12251.577300000001</v>
      </c>
      <c r="E99" s="1981">
        <v>3346663.23697</v>
      </c>
      <c r="F99" s="1989"/>
      <c r="G99" s="1981">
        <v>89142.381540000017</v>
      </c>
      <c r="H99" s="2044"/>
      <c r="I99" s="2812">
        <v>3795105.8672799999</v>
      </c>
    </row>
    <row r="100" spans="2:13">
      <c r="B100" s="2137" t="s">
        <v>109</v>
      </c>
      <c r="C100" s="1981">
        <v>18434.073616999998</v>
      </c>
      <c r="D100" s="1981">
        <v>2420.747249</v>
      </c>
      <c r="E100" s="1981">
        <v>187175.61570999972</v>
      </c>
      <c r="F100" s="1981">
        <v>38153.67065</v>
      </c>
      <c r="G100" s="1981">
        <v>14621.685810000001</v>
      </c>
      <c r="H100" s="2044"/>
      <c r="I100" s="2812">
        <v>260805.7930359997</v>
      </c>
    </row>
    <row r="101" spans="2:13">
      <c r="B101" s="2061" t="s">
        <v>110</v>
      </c>
      <c r="C101" s="2022">
        <v>9707.9962599999999</v>
      </c>
      <c r="D101" s="2022">
        <v>507.44759999999997</v>
      </c>
      <c r="E101" s="2022">
        <v>417885.95636000001</v>
      </c>
      <c r="F101" s="2022">
        <v>2980444.8997000004</v>
      </c>
      <c r="G101" s="2022">
        <v>669582.79838000005</v>
      </c>
      <c r="H101" s="2022">
        <v>4036282.8479400002</v>
      </c>
      <c r="I101" s="2812">
        <v>8114411.9462400004</v>
      </c>
    </row>
    <row r="102" spans="2:13">
      <c r="B102" s="2813" t="s">
        <v>111</v>
      </c>
      <c r="C102" s="1981">
        <v>76180.454969874991</v>
      </c>
      <c r="D102" s="1981">
        <v>24877.488279999994</v>
      </c>
      <c r="E102" s="1981">
        <v>971212.71886422322</v>
      </c>
      <c r="F102" s="1981">
        <v>24553.461509999997</v>
      </c>
      <c r="G102" s="1981">
        <v>82175.880879999866</v>
      </c>
      <c r="H102" s="2044"/>
      <c r="I102" s="2812">
        <v>1179000.0045040981</v>
      </c>
    </row>
    <row r="103" spans="2:13">
      <c r="B103" s="2794" t="s">
        <v>112</v>
      </c>
      <c r="C103" s="2022">
        <v>246065.71434000001</v>
      </c>
      <c r="D103" s="2022">
        <v>16321.062</v>
      </c>
      <c r="E103" s="2022">
        <v>3940563.6877423655</v>
      </c>
      <c r="F103" s="2022">
        <v>120750</v>
      </c>
      <c r="G103" s="2022">
        <v>263731.60817000002</v>
      </c>
      <c r="H103" s="2044"/>
      <c r="I103" s="2812">
        <v>4587432.0722523658</v>
      </c>
    </row>
    <row r="104" spans="2:13">
      <c r="B104" s="2794" t="s">
        <v>134</v>
      </c>
      <c r="C104" s="2022">
        <v>15344.98179</v>
      </c>
      <c r="D104" s="2044"/>
      <c r="E104" s="2022">
        <v>416280.76439999999</v>
      </c>
      <c r="F104" s="2044"/>
      <c r="G104" s="2022">
        <v>137883.68880999999</v>
      </c>
      <c r="H104" s="2044"/>
      <c r="I104" s="2812">
        <v>569509.43499999994</v>
      </c>
    </row>
    <row r="105" spans="2:13">
      <c r="B105" s="2794" t="s">
        <v>115</v>
      </c>
      <c r="C105" s="2022">
        <v>1107264</v>
      </c>
      <c r="D105" s="2022">
        <v>419436</v>
      </c>
      <c r="E105" s="2022">
        <v>11374606</v>
      </c>
      <c r="F105" s="2022">
        <v>3997569</v>
      </c>
      <c r="G105" s="2022">
        <v>1456486</v>
      </c>
      <c r="H105" s="2044"/>
      <c r="I105" s="2812">
        <v>18355361</v>
      </c>
    </row>
    <row r="106" spans="2:13">
      <c r="B106" s="2816" t="s">
        <v>118</v>
      </c>
      <c r="C106" s="2817">
        <v>8597489.208551418</v>
      </c>
      <c r="D106" s="2817">
        <v>2191654.2667042892</v>
      </c>
      <c r="E106" s="2817">
        <v>56047639.867470831</v>
      </c>
      <c r="F106" s="2817">
        <v>14649440.341688534</v>
      </c>
      <c r="G106" s="2817">
        <v>7866259.8899797378</v>
      </c>
      <c r="H106" s="2817">
        <v>4036282.8479400002</v>
      </c>
      <c r="I106" s="2817">
        <v>93388766.42233482</v>
      </c>
      <c r="M106" s="396"/>
    </row>
    <row r="107" spans="2:13">
      <c r="B107" s="218"/>
      <c r="C107" s="383"/>
      <c r="D107" s="383"/>
      <c r="E107" s="383"/>
      <c r="F107" s="383"/>
      <c r="G107" s="383"/>
      <c r="I107" s="383" t="s">
        <v>504</v>
      </c>
    </row>
    <row r="108" spans="2:13">
      <c r="B108" s="218"/>
      <c r="C108" s="383"/>
      <c r="D108" s="383"/>
      <c r="E108" s="383"/>
      <c r="F108" s="383"/>
      <c r="G108" s="383"/>
      <c r="H108" s="383"/>
      <c r="I108" s="293">
        <v>151</v>
      </c>
    </row>
    <row r="109" spans="2:13">
      <c r="B109" s="218"/>
      <c r="C109" s="383"/>
      <c r="D109" s="383"/>
      <c r="E109" s="383"/>
      <c r="F109" s="383"/>
      <c r="G109" s="383"/>
      <c r="H109" s="383"/>
      <c r="I109" s="383"/>
    </row>
    <row r="110" spans="2:13">
      <c r="B110" s="3692"/>
      <c r="C110" s="3692"/>
      <c r="D110" s="3692"/>
      <c r="E110" s="3692"/>
      <c r="F110" s="3692"/>
      <c r="G110" s="3692"/>
      <c r="H110" s="383"/>
      <c r="I110" s="383"/>
    </row>
    <row r="111" spans="2:13">
      <c r="B111" s="218"/>
      <c r="C111" s="383"/>
      <c r="D111" s="383"/>
      <c r="E111" s="383"/>
      <c r="F111" s="383"/>
      <c r="G111" s="383"/>
      <c r="H111" s="3662"/>
      <c r="I111" s="3662"/>
    </row>
    <row r="112" spans="2:13">
      <c r="B112" s="3473"/>
      <c r="C112" s="3691"/>
      <c r="D112" s="3714"/>
      <c r="E112" s="3714"/>
      <c r="F112" s="3691"/>
      <c r="G112" s="3691"/>
      <c r="H112" s="3691"/>
      <c r="I112" s="3691"/>
    </row>
    <row r="113" spans="2:15">
      <c r="B113" s="3473"/>
      <c r="C113" s="3691"/>
      <c r="D113" s="3714"/>
      <c r="E113" s="3714"/>
      <c r="F113" s="3691"/>
      <c r="G113" s="3691"/>
      <c r="H113" s="3691"/>
      <c r="I113" s="3691"/>
    </row>
    <row r="114" spans="2:15">
      <c r="B114" s="3473"/>
      <c r="C114" s="3691"/>
      <c r="D114" s="3714"/>
      <c r="E114" s="3714"/>
      <c r="F114" s="3691"/>
      <c r="G114" s="3691"/>
      <c r="H114" s="3691"/>
      <c r="I114" s="3691"/>
    </row>
    <row r="115" spans="2:15">
      <c r="C115" s="293"/>
      <c r="D115" s="293"/>
      <c r="E115" s="293"/>
      <c r="F115" s="293"/>
      <c r="G115" s="293"/>
      <c r="H115" s="293"/>
      <c r="I115" s="419"/>
      <c r="K115" s="396"/>
      <c r="L115" s="396"/>
      <c r="M115" s="396"/>
      <c r="N115" s="396"/>
      <c r="O115" s="396"/>
    </row>
    <row r="116" spans="2:15">
      <c r="B116" s="292"/>
      <c r="C116" s="293"/>
      <c r="D116" s="293"/>
      <c r="E116" s="293"/>
      <c r="F116" s="293"/>
      <c r="G116" s="293"/>
      <c r="H116" s="293"/>
      <c r="I116" s="419"/>
      <c r="K116" s="396"/>
      <c r="L116" s="396"/>
      <c r="M116" s="396"/>
      <c r="N116" s="396"/>
      <c r="O116" s="396"/>
    </row>
    <row r="117" spans="2:15">
      <c r="B117" s="292"/>
      <c r="C117" s="293"/>
      <c r="D117" s="293"/>
      <c r="E117" s="293"/>
      <c r="F117" s="293"/>
      <c r="G117" s="293"/>
      <c r="H117" s="293"/>
      <c r="I117" s="419"/>
      <c r="K117" s="396"/>
      <c r="L117" s="396"/>
      <c r="M117" s="396"/>
      <c r="N117" s="396"/>
      <c r="O117" s="396"/>
    </row>
    <row r="118" spans="2:15">
      <c r="C118" s="293"/>
      <c r="D118" s="293"/>
      <c r="E118" s="293"/>
      <c r="F118" s="293"/>
      <c r="G118" s="293"/>
      <c r="H118" s="293"/>
      <c r="I118" s="419"/>
      <c r="K118" s="396"/>
      <c r="L118" s="396"/>
      <c r="M118" s="396"/>
      <c r="N118" s="396"/>
      <c r="O118" s="396"/>
    </row>
    <row r="119" spans="2:15">
      <c r="B119" s="292"/>
      <c r="C119" s="293"/>
      <c r="D119" s="293"/>
      <c r="E119" s="293"/>
      <c r="F119" s="293"/>
      <c r="G119" s="293"/>
      <c r="H119" s="293"/>
      <c r="I119" s="419"/>
      <c r="K119" s="396"/>
      <c r="L119" s="396"/>
      <c r="M119" s="396"/>
      <c r="N119" s="396"/>
      <c r="O119" s="396"/>
    </row>
    <row r="120" spans="2:15">
      <c r="B120" s="292"/>
      <c r="C120" s="293"/>
      <c r="D120" s="293"/>
      <c r="E120" s="293"/>
      <c r="F120" s="293"/>
      <c r="G120" s="293"/>
      <c r="H120" s="293"/>
      <c r="I120" s="419"/>
      <c r="K120" s="396"/>
      <c r="L120" s="396"/>
      <c r="M120" s="396"/>
      <c r="N120" s="396"/>
      <c r="O120" s="396"/>
    </row>
    <row r="121" spans="2:15">
      <c r="B121" s="292"/>
      <c r="C121" s="293"/>
      <c r="D121" s="293"/>
      <c r="E121" s="293"/>
      <c r="F121" s="293"/>
      <c r="G121" s="293"/>
      <c r="H121" s="293"/>
      <c r="I121" s="419"/>
      <c r="K121" s="396"/>
      <c r="L121" s="396"/>
      <c r="M121" s="396"/>
      <c r="N121" s="396"/>
      <c r="O121" s="396"/>
    </row>
    <row r="122" spans="2:15">
      <c r="B122" s="292"/>
      <c r="C122" s="293"/>
      <c r="D122" s="293"/>
      <c r="E122" s="293"/>
      <c r="F122" s="293"/>
      <c r="G122" s="293"/>
      <c r="H122" s="293"/>
      <c r="I122" s="419"/>
      <c r="K122" s="396"/>
      <c r="L122" s="396"/>
      <c r="M122" s="396"/>
      <c r="N122" s="396"/>
      <c r="O122" s="396"/>
    </row>
    <row r="123" spans="2:15">
      <c r="B123" s="292"/>
      <c r="C123" s="293"/>
      <c r="D123" s="293"/>
      <c r="E123" s="293"/>
      <c r="F123" s="293"/>
      <c r="G123" s="293"/>
      <c r="H123" s="293"/>
      <c r="I123" s="419"/>
      <c r="K123" s="396"/>
      <c r="L123" s="396"/>
      <c r="M123" s="396"/>
      <c r="N123" s="396"/>
      <c r="O123" s="396"/>
    </row>
    <row r="124" spans="2:15">
      <c r="B124" s="292"/>
      <c r="C124" s="293"/>
      <c r="D124" s="293"/>
      <c r="E124" s="293"/>
      <c r="F124" s="293"/>
      <c r="G124" s="293"/>
      <c r="H124" s="293"/>
      <c r="I124" s="419"/>
      <c r="K124" s="396"/>
      <c r="L124" s="396"/>
      <c r="M124" s="396"/>
      <c r="N124" s="396"/>
      <c r="O124" s="396"/>
    </row>
    <row r="125" spans="2:15">
      <c r="B125" s="292"/>
      <c r="C125" s="293"/>
      <c r="D125" s="293"/>
      <c r="E125" s="293"/>
      <c r="F125" s="293"/>
      <c r="G125" s="293"/>
      <c r="H125" s="293"/>
      <c r="I125" s="419"/>
      <c r="K125" s="396"/>
      <c r="L125" s="396"/>
      <c r="M125" s="396"/>
      <c r="N125" s="396"/>
      <c r="O125" s="396"/>
    </row>
    <row r="126" spans="2:15">
      <c r="C126" s="293"/>
      <c r="D126" s="293"/>
      <c r="E126" s="293"/>
      <c r="F126" s="293"/>
      <c r="G126" s="293"/>
      <c r="H126" s="293"/>
      <c r="I126" s="419"/>
      <c r="K126" s="396"/>
      <c r="L126" s="396"/>
      <c r="M126" s="396"/>
      <c r="N126" s="396"/>
      <c r="O126" s="396"/>
    </row>
    <row r="127" spans="2:15">
      <c r="C127" s="293"/>
      <c r="D127" s="293"/>
      <c r="E127" s="293"/>
      <c r="F127" s="293"/>
      <c r="G127" s="293"/>
      <c r="H127" s="293"/>
      <c r="I127" s="419"/>
      <c r="K127" s="396"/>
      <c r="L127" s="396"/>
      <c r="M127" s="396"/>
      <c r="N127" s="396"/>
      <c r="O127" s="396"/>
    </row>
    <row r="128" spans="2:15">
      <c r="C128" s="293"/>
      <c r="D128" s="293"/>
      <c r="E128" s="293"/>
      <c r="F128" s="293"/>
      <c r="G128" s="293"/>
      <c r="H128" s="293"/>
      <c r="I128" s="419"/>
      <c r="K128" s="396"/>
      <c r="L128" s="396"/>
      <c r="M128" s="396"/>
      <c r="N128" s="396"/>
      <c r="O128" s="396"/>
    </row>
    <row r="129" spans="1:17">
      <c r="C129" s="293"/>
      <c r="D129" s="293"/>
      <c r="E129" s="293"/>
      <c r="F129" s="293"/>
      <c r="G129" s="293"/>
      <c r="H129" s="293"/>
      <c r="I129" s="419"/>
      <c r="K129" s="396"/>
      <c r="L129" s="396"/>
      <c r="M129" s="396"/>
      <c r="N129" s="396"/>
      <c r="O129" s="396"/>
    </row>
    <row r="130" spans="1:17">
      <c r="B130" s="292"/>
      <c r="C130" s="293"/>
      <c r="D130" s="293"/>
      <c r="E130" s="293"/>
      <c r="F130" s="293"/>
      <c r="G130" s="293"/>
      <c r="H130" s="293"/>
      <c r="I130" s="419"/>
      <c r="K130" s="396"/>
      <c r="L130" s="396"/>
      <c r="M130" s="396"/>
      <c r="N130" s="396"/>
      <c r="O130" s="396"/>
    </row>
    <row r="131" spans="1:17">
      <c r="B131" s="218"/>
      <c r="C131" s="383"/>
      <c r="D131" s="383"/>
      <c r="E131" s="383"/>
      <c r="F131" s="383"/>
      <c r="G131" s="383"/>
      <c r="H131" s="383"/>
      <c r="I131" s="383"/>
      <c r="K131" s="396"/>
      <c r="L131" s="396"/>
      <c r="M131" s="396"/>
      <c r="N131" s="396"/>
      <c r="O131" s="396"/>
    </row>
    <row r="132" spans="1:17">
      <c r="B132" s="218"/>
      <c r="C132" s="383"/>
      <c r="D132" s="383"/>
      <c r="E132" s="383"/>
      <c r="F132" s="383"/>
      <c r="G132" s="383"/>
      <c r="H132" s="383"/>
      <c r="I132" s="419"/>
    </row>
    <row r="133" spans="1:17">
      <c r="B133" s="218"/>
      <c r="C133" s="383"/>
      <c r="D133" s="383"/>
      <c r="E133" s="383"/>
      <c r="F133" s="383"/>
      <c r="G133" s="383"/>
      <c r="H133" s="383"/>
      <c r="I133" s="293"/>
    </row>
    <row r="134" spans="1:17">
      <c r="B134" s="218"/>
      <c r="C134" s="383"/>
      <c r="D134" s="383"/>
      <c r="E134" s="383"/>
      <c r="F134" s="383"/>
      <c r="G134" s="383"/>
      <c r="H134" s="383"/>
      <c r="I134" s="383"/>
    </row>
    <row r="135" spans="1:17">
      <c r="B135" s="218"/>
      <c r="C135" s="383"/>
      <c r="D135" s="383"/>
      <c r="E135" s="383"/>
      <c r="F135" s="383"/>
      <c r="G135" s="383"/>
      <c r="H135" s="383"/>
      <c r="I135" s="383"/>
    </row>
    <row r="136" spans="1:17">
      <c r="B136" s="218"/>
      <c r="C136" s="383"/>
      <c r="D136" s="383"/>
      <c r="E136" s="383"/>
      <c r="F136" s="383"/>
      <c r="G136" s="383"/>
      <c r="H136" s="383"/>
      <c r="I136" s="293"/>
    </row>
    <row r="137" spans="1:17">
      <c r="B137" s="292"/>
    </row>
    <row r="138" spans="1:17" ht="15">
      <c r="A138" s="39"/>
      <c r="C138" s="39"/>
      <c r="D138" s="39"/>
      <c r="E138" s="39"/>
      <c r="F138" s="39"/>
      <c r="G138" s="39"/>
      <c r="H138" s="39"/>
      <c r="I138" s="39"/>
    </row>
    <row r="139" spans="1:17" ht="15">
      <c r="A139" s="39"/>
      <c r="B139" s="39"/>
      <c r="C139" s="39"/>
      <c r="D139" s="39"/>
      <c r="E139" s="39"/>
      <c r="F139" s="39"/>
      <c r="G139" s="39"/>
      <c r="H139" s="39"/>
      <c r="I139" s="39"/>
    </row>
    <row r="140" spans="1:17" ht="15">
      <c r="A140" s="39"/>
      <c r="B140" s="39"/>
      <c r="C140" s="39"/>
      <c r="D140" s="39"/>
      <c r="E140" s="39"/>
      <c r="F140" s="39"/>
      <c r="G140" s="39"/>
      <c r="H140" s="39"/>
      <c r="I140" s="39"/>
    </row>
    <row r="141" spans="1:17" ht="15">
      <c r="A141" s="39"/>
      <c r="B141" s="39"/>
      <c r="C141" s="39"/>
      <c r="D141" s="39"/>
      <c r="E141" s="39"/>
      <c r="F141" s="39"/>
      <c r="G141" s="39"/>
      <c r="H141" s="39"/>
      <c r="I141" s="39"/>
    </row>
    <row r="142" spans="1:17" ht="15">
      <c r="A142" s="39"/>
      <c r="B142" s="39"/>
      <c r="C142" s="39"/>
      <c r="D142" s="39"/>
      <c r="E142" s="39"/>
      <c r="F142" s="39"/>
      <c r="G142" s="39"/>
      <c r="H142" s="39"/>
      <c r="I142" s="39"/>
    </row>
    <row r="143" spans="1:17" ht="15">
      <c r="A143" s="39"/>
      <c r="B143" s="39"/>
      <c r="C143" s="39"/>
      <c r="D143" s="39"/>
      <c r="E143" s="39"/>
      <c r="F143" s="39"/>
      <c r="G143" s="39"/>
      <c r="H143" s="39"/>
      <c r="I143" s="39"/>
      <c r="K143" s="396"/>
      <c r="L143" s="396"/>
      <c r="M143" s="396"/>
      <c r="N143" s="396"/>
      <c r="O143" s="396"/>
      <c r="P143" s="396"/>
      <c r="Q143" s="396"/>
    </row>
    <row r="144" spans="1:17" ht="15">
      <c r="A144" s="39"/>
      <c r="B144" s="39"/>
      <c r="C144" s="39"/>
      <c r="D144" s="39"/>
      <c r="E144" s="39"/>
      <c r="F144" s="39"/>
      <c r="G144" s="39"/>
      <c r="H144" s="39"/>
      <c r="I144" s="39"/>
      <c r="K144" s="396"/>
      <c r="L144" s="396"/>
      <c r="M144" s="396"/>
      <c r="N144" s="396"/>
      <c r="O144" s="396"/>
      <c r="P144" s="396"/>
      <c r="Q144" s="396"/>
    </row>
    <row r="145" spans="1:17" ht="15">
      <c r="A145" s="39"/>
      <c r="B145" s="39"/>
      <c r="C145" s="39"/>
      <c r="D145" s="39"/>
      <c r="E145" s="39"/>
      <c r="F145" s="39"/>
      <c r="G145" s="39"/>
      <c r="H145" s="39"/>
      <c r="I145" s="39"/>
      <c r="K145" s="396"/>
      <c r="L145" s="396"/>
      <c r="M145" s="396"/>
      <c r="N145" s="396"/>
      <c r="O145" s="396"/>
      <c r="P145" s="396"/>
      <c r="Q145" s="396"/>
    </row>
    <row r="146" spans="1:17" ht="15">
      <c r="A146" s="39"/>
      <c r="B146" s="39"/>
      <c r="C146" s="39"/>
      <c r="D146" s="39"/>
      <c r="E146" s="39"/>
      <c r="F146" s="39"/>
      <c r="G146" s="39"/>
      <c r="H146" s="39"/>
      <c r="I146" s="39"/>
      <c r="K146" s="396"/>
      <c r="L146" s="396"/>
      <c r="M146" s="396"/>
      <c r="N146" s="396"/>
      <c r="O146" s="396"/>
      <c r="P146" s="396"/>
      <c r="Q146" s="396"/>
    </row>
    <row r="147" spans="1:17" ht="15">
      <c r="A147" s="39"/>
      <c r="B147" s="39"/>
      <c r="C147" s="39"/>
      <c r="D147" s="39"/>
      <c r="E147" s="39"/>
      <c r="F147" s="39"/>
      <c r="G147" s="39"/>
      <c r="H147" s="39"/>
      <c r="I147" s="39"/>
      <c r="K147" s="396"/>
      <c r="L147" s="396"/>
      <c r="M147" s="396"/>
      <c r="N147" s="396"/>
      <c r="O147" s="396"/>
      <c r="P147" s="396"/>
      <c r="Q147" s="396"/>
    </row>
    <row r="148" spans="1:17" ht="15">
      <c r="A148" s="39"/>
      <c r="B148" s="39"/>
      <c r="C148" s="39"/>
      <c r="D148" s="39"/>
      <c r="E148" s="39"/>
      <c r="F148" s="39"/>
      <c r="G148" s="39"/>
      <c r="H148" s="39"/>
      <c r="I148" s="39"/>
      <c r="K148" s="396"/>
      <c r="L148" s="396"/>
      <c r="M148" s="396"/>
      <c r="N148" s="396"/>
      <c r="O148" s="396"/>
      <c r="P148" s="396"/>
      <c r="Q148" s="396"/>
    </row>
    <row r="149" spans="1:17" ht="15">
      <c r="A149" s="39"/>
      <c r="B149" s="39"/>
      <c r="C149" s="39"/>
      <c r="D149" s="39"/>
      <c r="E149" s="39"/>
      <c r="F149" s="39"/>
      <c r="G149" s="39"/>
      <c r="H149" s="39"/>
      <c r="I149" s="39"/>
      <c r="K149" s="396"/>
      <c r="L149" s="396"/>
      <c r="M149" s="396"/>
      <c r="N149" s="396"/>
      <c r="O149" s="396"/>
      <c r="P149" s="396"/>
      <c r="Q149" s="396"/>
    </row>
    <row r="150" spans="1:17" ht="15">
      <c r="A150" s="39"/>
      <c r="B150" s="39"/>
      <c r="C150" s="39"/>
      <c r="D150" s="39"/>
      <c r="E150" s="39"/>
      <c r="F150" s="39"/>
      <c r="G150" s="39"/>
      <c r="H150" s="39"/>
      <c r="I150" s="39"/>
      <c r="K150" s="396"/>
      <c r="L150" s="396"/>
      <c r="M150" s="396"/>
      <c r="N150" s="396"/>
      <c r="O150" s="396"/>
      <c r="P150" s="396"/>
      <c r="Q150" s="396"/>
    </row>
    <row r="151" spans="1:17" ht="15">
      <c r="A151" s="39"/>
      <c r="B151" s="39"/>
      <c r="C151" s="39"/>
      <c r="D151" s="39"/>
      <c r="E151" s="39"/>
      <c r="F151" s="39"/>
      <c r="G151" s="39"/>
      <c r="H151" s="39"/>
      <c r="I151" s="39"/>
      <c r="K151" s="396"/>
      <c r="L151" s="396"/>
      <c r="M151" s="396"/>
      <c r="N151" s="396"/>
      <c r="O151" s="396"/>
      <c r="P151" s="396"/>
      <c r="Q151" s="396"/>
    </row>
    <row r="152" spans="1:17" ht="15">
      <c r="A152" s="39"/>
      <c r="B152" s="39"/>
      <c r="C152" s="39"/>
      <c r="D152" s="39"/>
      <c r="E152" s="39"/>
      <c r="F152" s="39"/>
      <c r="G152" s="39"/>
      <c r="H152" s="39"/>
      <c r="I152" s="39"/>
      <c r="K152" s="396"/>
      <c r="L152" s="396"/>
      <c r="M152" s="396"/>
      <c r="N152" s="396"/>
      <c r="O152" s="396"/>
      <c r="P152" s="396"/>
      <c r="Q152" s="396"/>
    </row>
    <row r="153" spans="1:17" ht="15">
      <c r="A153" s="39"/>
      <c r="B153" s="39"/>
      <c r="C153" s="39"/>
      <c r="D153" s="39"/>
      <c r="E153" s="39"/>
      <c r="F153" s="39"/>
      <c r="G153" s="39"/>
      <c r="H153" s="39"/>
      <c r="I153" s="39"/>
      <c r="K153" s="396"/>
      <c r="L153" s="396"/>
      <c r="M153" s="396"/>
      <c r="N153" s="396"/>
      <c r="O153" s="396"/>
      <c r="P153" s="396"/>
      <c r="Q153" s="396"/>
    </row>
    <row r="154" spans="1:17" ht="15">
      <c r="A154" s="39"/>
      <c r="B154" s="39"/>
      <c r="C154" s="39"/>
      <c r="D154" s="39"/>
      <c r="E154" s="39"/>
      <c r="F154" s="39"/>
      <c r="G154" s="39"/>
      <c r="H154" s="39"/>
      <c r="I154" s="39"/>
      <c r="K154" s="396"/>
      <c r="L154" s="396"/>
      <c r="M154" s="396"/>
      <c r="N154" s="396"/>
      <c r="O154" s="396"/>
      <c r="P154" s="396"/>
      <c r="Q154" s="396"/>
    </row>
    <row r="155" spans="1:17" ht="15">
      <c r="A155" s="39"/>
      <c r="B155" s="39"/>
      <c r="C155" s="39"/>
      <c r="D155" s="39"/>
      <c r="E155" s="39"/>
      <c r="F155" s="39"/>
      <c r="G155" s="39"/>
      <c r="H155" s="39"/>
      <c r="I155" s="39"/>
      <c r="K155" s="396"/>
      <c r="L155" s="396"/>
      <c r="M155" s="396"/>
      <c r="N155" s="396"/>
      <c r="O155" s="396"/>
      <c r="P155" s="396"/>
      <c r="Q155" s="396"/>
    </row>
    <row r="156" spans="1:17" ht="15">
      <c r="A156" s="39"/>
      <c r="B156" s="39"/>
      <c r="C156" s="39"/>
      <c r="D156" s="39"/>
      <c r="E156" s="39"/>
      <c r="F156" s="39"/>
      <c r="G156" s="39"/>
      <c r="H156" s="39"/>
      <c r="I156" s="39"/>
      <c r="K156" s="396"/>
      <c r="L156" s="396"/>
      <c r="M156" s="396"/>
      <c r="N156" s="396"/>
      <c r="O156" s="396"/>
      <c r="P156" s="396"/>
      <c r="Q156" s="396"/>
    </row>
    <row r="157" spans="1:17" ht="15">
      <c r="A157" s="39"/>
      <c r="B157" s="39"/>
      <c r="C157" s="39"/>
      <c r="D157" s="39"/>
      <c r="E157" s="39"/>
      <c r="F157" s="39"/>
      <c r="G157" s="39"/>
      <c r="H157" s="39"/>
      <c r="I157" s="39"/>
      <c r="K157" s="396"/>
      <c r="L157" s="396"/>
      <c r="M157" s="396"/>
      <c r="N157" s="396"/>
      <c r="O157" s="396"/>
      <c r="P157" s="396"/>
      <c r="Q157" s="396"/>
    </row>
    <row r="158" spans="1:17" ht="15">
      <c r="A158" s="39"/>
      <c r="B158" s="39"/>
      <c r="C158" s="39"/>
      <c r="D158" s="39"/>
      <c r="E158" s="39"/>
      <c r="F158" s="39"/>
      <c r="G158" s="39"/>
      <c r="H158" s="39"/>
      <c r="I158" s="39"/>
      <c r="K158" s="396"/>
      <c r="L158" s="396"/>
      <c r="M158" s="396"/>
      <c r="N158" s="396"/>
      <c r="O158" s="396"/>
      <c r="P158" s="396"/>
      <c r="Q158" s="396"/>
    </row>
    <row r="159" spans="1:17" ht="15">
      <c r="A159" s="39"/>
      <c r="B159" s="39"/>
      <c r="C159" s="39"/>
      <c r="D159" s="39"/>
      <c r="E159" s="39"/>
      <c r="F159" s="39"/>
      <c r="G159" s="39"/>
      <c r="H159" s="39"/>
      <c r="I159" s="39"/>
      <c r="K159" s="396"/>
      <c r="L159" s="396"/>
      <c r="M159" s="396"/>
      <c r="N159" s="396"/>
      <c r="O159" s="396"/>
      <c r="P159" s="396"/>
      <c r="Q159" s="396"/>
    </row>
    <row r="160" spans="1:17" ht="15">
      <c r="A160" s="39"/>
      <c r="B160" s="39"/>
      <c r="C160" s="39"/>
      <c r="D160" s="39"/>
      <c r="E160" s="39"/>
      <c r="F160" s="39"/>
      <c r="G160" s="39"/>
      <c r="H160" s="39"/>
      <c r="I160" s="39"/>
      <c r="K160" s="396"/>
      <c r="L160" s="396"/>
      <c r="M160" s="396"/>
      <c r="N160" s="396"/>
      <c r="O160" s="396"/>
      <c r="P160" s="396"/>
      <c r="Q160" s="396"/>
    </row>
    <row r="161" spans="1:17" ht="15">
      <c r="A161" s="39"/>
      <c r="B161" s="39"/>
      <c r="C161" s="39"/>
      <c r="D161" s="39"/>
      <c r="E161" s="39"/>
      <c r="F161" s="39"/>
      <c r="G161" s="39"/>
      <c r="H161" s="39"/>
      <c r="I161" s="39"/>
      <c r="K161" s="396"/>
      <c r="L161" s="396"/>
      <c r="M161" s="396"/>
      <c r="N161" s="396"/>
      <c r="O161" s="396"/>
      <c r="P161" s="396"/>
      <c r="Q161" s="396"/>
    </row>
    <row r="162" spans="1:17">
      <c r="B162" s="218"/>
      <c r="C162" s="383"/>
      <c r="D162" s="383"/>
      <c r="E162" s="383"/>
      <c r="F162" s="383"/>
      <c r="G162" s="383"/>
      <c r="H162" s="383"/>
      <c r="I162" s="383"/>
      <c r="M162" s="385"/>
    </row>
    <row r="163" spans="1:17">
      <c r="J163" s="293"/>
    </row>
  </sheetData>
  <mergeCells count="17">
    <mergeCell ref="H111:I111"/>
    <mergeCell ref="B112:B114"/>
    <mergeCell ref="C112:C114"/>
    <mergeCell ref="D112:D114"/>
    <mergeCell ref="E112:E114"/>
    <mergeCell ref="F112:F114"/>
    <mergeCell ref="G112:G114"/>
    <mergeCell ref="H112:H114"/>
    <mergeCell ref="I112:I114"/>
    <mergeCell ref="B110:G110"/>
    <mergeCell ref="B2:I2"/>
    <mergeCell ref="B67:G67"/>
    <mergeCell ref="H68:I68"/>
    <mergeCell ref="B88:G88"/>
    <mergeCell ref="H89:I89"/>
    <mergeCell ref="B46:G46"/>
    <mergeCell ref="H5:I5"/>
  </mergeCells>
  <pageMargins left="0.64" right="0.17" top="0.55000000000000004" bottom="0.43" header="0.24" footer="0.3"/>
  <pageSetup paperSize="9" scale="95" orientation="landscape" r:id="rId1"/>
  <rowBreaks count="6" manualBreakCount="6">
    <brk id="23" max="8" man="1"/>
    <brk id="44" max="8" man="1"/>
    <brk id="65" max="8" man="1"/>
    <brk id="86" max="8" man="1"/>
    <brk id="108" max="8" man="1"/>
    <brk id="133" max="8"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99"/>
  </sheetPr>
  <dimension ref="B1:T63"/>
  <sheetViews>
    <sheetView showGridLines="0" view="pageBreakPreview" topLeftCell="A55" zoomScale="85" zoomScaleNormal="100" zoomScaleSheetLayoutView="85" workbookViewId="0">
      <selection activeCell="H42" sqref="H42"/>
    </sheetView>
  </sheetViews>
  <sheetFormatPr defaultColWidth="9.140625" defaultRowHeight="12.75"/>
  <cols>
    <col min="1" max="1" width="4.140625" style="292" customWidth="1"/>
    <col min="2" max="2" width="27" style="52" customWidth="1"/>
    <col min="3" max="3" width="19.42578125" style="292" hidden="1" customWidth="1"/>
    <col min="4" max="8" width="19.42578125" style="292" customWidth="1"/>
    <col min="9" max="14" width="12.28515625" style="292" customWidth="1"/>
    <col min="15" max="16384" width="9.140625" style="292"/>
  </cols>
  <sheetData>
    <row r="1" spans="2:12">
      <c r="B1" s="292"/>
    </row>
    <row r="2" spans="2:12">
      <c r="B2" s="3470" t="s">
        <v>505</v>
      </c>
      <c r="C2" s="3470"/>
      <c r="D2" s="3470"/>
      <c r="E2" s="3470"/>
      <c r="F2" s="3470"/>
      <c r="G2" s="3470"/>
    </row>
    <row r="3" spans="2:12">
      <c r="B3" s="3470"/>
      <c r="C3" s="3470"/>
      <c r="D3" s="3470"/>
      <c r="E3" s="3470"/>
      <c r="F3" s="3470"/>
      <c r="G3" s="3470"/>
    </row>
    <row r="4" spans="2:12">
      <c r="B4" s="236"/>
      <c r="C4" s="295"/>
      <c r="D4" s="295"/>
      <c r="E4" s="295"/>
      <c r="F4" s="295"/>
    </row>
    <row r="5" spans="2:12">
      <c r="B5" s="3717" t="s">
        <v>506</v>
      </c>
      <c r="C5" s="3721" t="s">
        <v>507</v>
      </c>
      <c r="D5" s="3722"/>
      <c r="E5" s="3722"/>
      <c r="F5" s="3723"/>
      <c r="G5" s="3723"/>
      <c r="H5" s="3723"/>
    </row>
    <row r="6" spans="2:12" ht="15">
      <c r="B6" s="3718"/>
      <c r="C6" s="1860">
        <v>2016</v>
      </c>
      <c r="D6" s="1841">
        <v>2017</v>
      </c>
      <c r="E6" s="1841">
        <v>2018</v>
      </c>
      <c r="F6" s="1842">
        <v>2019</v>
      </c>
      <c r="G6" s="1843" t="s">
        <v>137</v>
      </c>
      <c r="H6" s="1837" t="s">
        <v>84</v>
      </c>
      <c r="J6" s="39"/>
      <c r="K6" s="39"/>
      <c r="L6" s="39"/>
    </row>
    <row r="7" spans="2:12" ht="15">
      <c r="B7" s="1840" t="s">
        <v>412</v>
      </c>
      <c r="C7" s="2022">
        <v>1213542.3514475848</v>
      </c>
      <c r="D7" s="1839">
        <v>1721159.3812868667</v>
      </c>
      <c r="E7" s="1839">
        <v>1957237.3726512343</v>
      </c>
      <c r="F7" s="2818">
        <v>2183650.4942456605</v>
      </c>
      <c r="G7" s="2819">
        <v>2320976</v>
      </c>
      <c r="H7" s="2820">
        <v>2144141</v>
      </c>
      <c r="I7" s="396"/>
      <c r="J7" s="197"/>
      <c r="K7" s="39"/>
      <c r="L7" s="39"/>
    </row>
    <row r="8" spans="2:12" ht="15">
      <c r="B8" s="2137" t="s">
        <v>413</v>
      </c>
      <c r="C8" s="2022">
        <v>903169.81059502205</v>
      </c>
      <c r="D8" s="2022">
        <v>991572.74424566433</v>
      </c>
      <c r="E8" s="2022">
        <v>1104375.6138433251</v>
      </c>
      <c r="F8" s="2818">
        <v>1175288.911261207</v>
      </c>
      <c r="G8" s="1824">
        <v>973261</v>
      </c>
      <c r="H8" s="1825">
        <v>1135974</v>
      </c>
      <c r="I8" s="396"/>
      <c r="J8" s="197"/>
      <c r="K8" s="39"/>
      <c r="L8" s="39"/>
    </row>
    <row r="9" spans="2:12" ht="15">
      <c r="B9" s="2137" t="s">
        <v>414</v>
      </c>
      <c r="C9" s="2022">
        <v>44593900.136303499</v>
      </c>
      <c r="D9" s="2022">
        <v>50580010.127542384</v>
      </c>
      <c r="E9" s="2022">
        <v>56891348.767830804</v>
      </c>
      <c r="F9" s="2818">
        <v>58724480.377995931</v>
      </c>
      <c r="G9" s="1824">
        <v>57930115</v>
      </c>
      <c r="H9" s="1825">
        <v>56001558</v>
      </c>
      <c r="I9" s="396"/>
      <c r="J9" s="197"/>
      <c r="K9" s="39"/>
      <c r="L9" s="39"/>
    </row>
    <row r="10" spans="2:12" ht="15">
      <c r="B10" s="2137" t="s">
        <v>415</v>
      </c>
      <c r="C10" s="2022">
        <v>9349093.1894480679</v>
      </c>
      <c r="D10" s="2022">
        <v>11435475.976073358</v>
      </c>
      <c r="E10" s="2022">
        <v>12386133.784671836</v>
      </c>
      <c r="F10" s="2818">
        <v>15153048.912504174</v>
      </c>
      <c r="G10" s="1824">
        <v>14995566</v>
      </c>
      <c r="H10" s="1825">
        <v>18077560</v>
      </c>
      <c r="I10" s="396"/>
      <c r="J10" s="197"/>
      <c r="K10" s="39"/>
      <c r="L10" s="39"/>
    </row>
    <row r="11" spans="2:12" ht="15">
      <c r="B11" s="2138" t="s">
        <v>416</v>
      </c>
      <c r="C11" s="2022">
        <v>3306900.7818680168</v>
      </c>
      <c r="D11" s="2821">
        <v>3891563.8587018619</v>
      </c>
      <c r="E11" s="2821">
        <v>4492032.7082452113</v>
      </c>
      <c r="F11" s="2822">
        <v>4942850.2475629095</v>
      </c>
      <c r="G11" s="1824">
        <v>4109992</v>
      </c>
      <c r="H11" s="1825">
        <v>3307351</v>
      </c>
      <c r="I11" s="396"/>
      <c r="J11" s="197"/>
      <c r="K11" s="39"/>
      <c r="L11" s="39"/>
    </row>
    <row r="12" spans="2:12" ht="15">
      <c r="B12" s="2823" t="s">
        <v>508</v>
      </c>
      <c r="C12" s="2824">
        <v>59366606.269662187</v>
      </c>
      <c r="D12" s="2825">
        <v>68619782.087850124</v>
      </c>
      <c r="E12" s="2825">
        <v>76831128.247242421</v>
      </c>
      <c r="F12" s="2825">
        <v>82179318.943569884</v>
      </c>
      <c r="G12" s="2826">
        <f>SUM(G7:G11)</f>
        <v>80329910</v>
      </c>
      <c r="H12" s="2776">
        <f>+SUM(H7:H11)</f>
        <v>80666584</v>
      </c>
      <c r="I12" s="396"/>
      <c r="J12" s="197"/>
      <c r="K12" s="396"/>
      <c r="L12" s="396"/>
    </row>
    <row r="13" spans="2:12" ht="15">
      <c r="B13" s="2061" t="s">
        <v>399</v>
      </c>
      <c r="C13" s="2022">
        <v>3274296.63222</v>
      </c>
      <c r="D13" s="2821">
        <v>3734321.3482600003</v>
      </c>
      <c r="E13" s="2821">
        <v>4031846.35268</v>
      </c>
      <c r="F13" s="2822">
        <v>5568739.3130600005</v>
      </c>
      <c r="G13" s="2819">
        <v>6159888</v>
      </c>
      <c r="H13" s="2820">
        <v>6314379</v>
      </c>
      <c r="I13" s="396"/>
      <c r="J13" s="197"/>
      <c r="K13" s="396"/>
      <c r="L13" s="396"/>
    </row>
    <row r="14" spans="2:12" ht="15">
      <c r="B14" s="2823" t="s">
        <v>158</v>
      </c>
      <c r="C14" s="2120">
        <v>62640902.901882187</v>
      </c>
      <c r="D14" s="2827">
        <v>72354103.436110124</v>
      </c>
      <c r="E14" s="2827">
        <v>80862974.599922419</v>
      </c>
      <c r="F14" s="2827">
        <f>SUM(F12:F13)</f>
        <v>87748058.256629884</v>
      </c>
      <c r="G14" s="2828">
        <f>SUM(G12:G13)</f>
        <v>86489798</v>
      </c>
      <c r="H14" s="2829">
        <f>SUM(H12:H13)</f>
        <v>86980963</v>
      </c>
      <c r="I14" s="396"/>
      <c r="J14" s="197"/>
      <c r="K14" s="396"/>
      <c r="L14" s="396"/>
    </row>
    <row r="15" spans="2:12">
      <c r="C15" s="385"/>
      <c r="D15" s="385"/>
      <c r="E15" s="385"/>
      <c r="F15" s="385"/>
      <c r="H15" s="396"/>
      <c r="I15" s="396"/>
      <c r="J15" s="396"/>
      <c r="K15" s="396"/>
      <c r="L15" s="396"/>
    </row>
    <row r="16" spans="2:12">
      <c r="B16" s="3719" t="s">
        <v>506</v>
      </c>
      <c r="C16" s="3725" t="s">
        <v>509</v>
      </c>
      <c r="D16" s="3726"/>
      <c r="E16" s="3726"/>
      <c r="F16" s="3726"/>
      <c r="G16" s="3726"/>
      <c r="H16" s="3727"/>
      <c r="I16" s="396"/>
      <c r="J16" s="396"/>
      <c r="K16" s="396"/>
      <c r="L16" s="396"/>
    </row>
    <row r="17" spans="2:20">
      <c r="B17" s="3720"/>
      <c r="C17" s="1846">
        <v>2016</v>
      </c>
      <c r="D17" s="1850">
        <v>2017</v>
      </c>
      <c r="E17" s="1847">
        <f>E6</f>
        <v>2018</v>
      </c>
      <c r="F17" s="1841">
        <v>2019</v>
      </c>
      <c r="G17" s="1848" t="s">
        <v>137</v>
      </c>
      <c r="H17" s="1849" t="s">
        <v>84</v>
      </c>
      <c r="I17" s="396"/>
      <c r="J17" s="396"/>
      <c r="K17" s="396"/>
      <c r="L17" s="396"/>
    </row>
    <row r="18" spans="2:20">
      <c r="B18" s="2137" t="s">
        <v>412</v>
      </c>
      <c r="C18" s="2022">
        <v>1024289.6490915904</v>
      </c>
      <c r="D18" s="1839">
        <v>1640061.9904225711</v>
      </c>
      <c r="E18" s="1839">
        <v>1696697.9254837027</v>
      </c>
      <c r="F18" s="206">
        <v>2546300.6469620024</v>
      </c>
      <c r="G18" s="1844">
        <v>2039484</v>
      </c>
      <c r="H18" s="1827">
        <v>2431448</v>
      </c>
      <c r="I18" s="396"/>
      <c r="J18" s="396"/>
      <c r="K18" s="396"/>
      <c r="L18" s="396"/>
    </row>
    <row r="19" spans="2:20">
      <c r="B19" s="2137" t="s">
        <v>413</v>
      </c>
      <c r="C19" s="2022">
        <v>266056.76752371481</v>
      </c>
      <c r="D19" s="2022">
        <v>345331.29653613816</v>
      </c>
      <c r="E19" s="2022">
        <v>453917.36379948427</v>
      </c>
      <c r="F19" s="2818">
        <v>500554.57878853049</v>
      </c>
      <c r="G19" s="1826">
        <v>277372</v>
      </c>
      <c r="H19" s="1827">
        <v>519210</v>
      </c>
      <c r="I19" s="396"/>
      <c r="J19" s="396"/>
      <c r="K19" s="396"/>
      <c r="L19" s="396"/>
    </row>
    <row r="20" spans="2:20">
      <c r="B20" s="2137" t="s">
        <v>414</v>
      </c>
      <c r="C20" s="2022">
        <v>28966018.853411283</v>
      </c>
      <c r="D20" s="2821">
        <v>31134208.969226662</v>
      </c>
      <c r="E20" s="2821">
        <v>34681761.67210798</v>
      </c>
      <c r="F20" s="2822">
        <v>34501309.057805561</v>
      </c>
      <c r="G20" s="1826">
        <v>26891271</v>
      </c>
      <c r="H20" s="1827">
        <v>26587890</v>
      </c>
      <c r="I20" s="396"/>
      <c r="J20" s="396"/>
      <c r="K20" s="396"/>
      <c r="L20" s="396"/>
    </row>
    <row r="21" spans="2:20">
      <c r="B21" s="2137" t="s">
        <v>415</v>
      </c>
      <c r="C21" s="2022">
        <v>8065476.4081960749</v>
      </c>
      <c r="D21" s="2821">
        <v>10511211.754895536</v>
      </c>
      <c r="E21" s="2821">
        <v>12148223.939687017</v>
      </c>
      <c r="F21" s="2822">
        <v>16759693.761159215</v>
      </c>
      <c r="G21" s="1826">
        <v>12099917</v>
      </c>
      <c r="H21" s="1827">
        <v>17267200</v>
      </c>
      <c r="I21" s="396"/>
      <c r="J21" s="396"/>
      <c r="K21" s="396"/>
      <c r="L21" s="396"/>
    </row>
    <row r="22" spans="2:20">
      <c r="B22" s="2138" t="s">
        <v>416</v>
      </c>
      <c r="C22" s="2022">
        <v>2121221.481640242</v>
      </c>
      <c r="D22" s="2821">
        <v>4186859.7374089528</v>
      </c>
      <c r="E22" s="2821">
        <v>3457622.9637323325</v>
      </c>
      <c r="F22" s="2822">
        <v>3148569.7524881838</v>
      </c>
      <c r="G22" s="1826">
        <v>1225842</v>
      </c>
      <c r="H22" s="1827">
        <v>1510957</v>
      </c>
      <c r="I22" s="396"/>
      <c r="J22" s="396"/>
      <c r="K22" s="396"/>
      <c r="L22" s="396"/>
    </row>
    <row r="23" spans="2:20">
      <c r="B23" s="2823" t="s">
        <v>508</v>
      </c>
      <c r="C23" s="2824">
        <v>40443063.159862906</v>
      </c>
      <c r="D23" s="2825">
        <v>47817673.748489857</v>
      </c>
      <c r="E23" s="2825">
        <v>52438223.864810511</v>
      </c>
      <c r="F23" s="2825">
        <f>SUM(F18:F22)</f>
        <v>57456427.797203496</v>
      </c>
      <c r="G23" s="2774">
        <f>SUM(G18:G22)</f>
        <v>42533886</v>
      </c>
      <c r="H23" s="2776">
        <f>SUM(H18:H22)</f>
        <v>48316705</v>
      </c>
      <c r="I23" s="396"/>
      <c r="J23" s="396"/>
      <c r="K23" s="396"/>
      <c r="L23" s="396"/>
    </row>
    <row r="24" spans="2:20">
      <c r="B24" s="2061" t="s">
        <v>399</v>
      </c>
      <c r="C24" s="2022">
        <v>33677.236259999998</v>
      </c>
      <c r="D24" s="2821">
        <v>-10519.253340000001</v>
      </c>
      <c r="E24" s="2821">
        <v>76067.884519999992</v>
      </c>
      <c r="F24" s="2822">
        <v>692926.50245999999</v>
      </c>
      <c r="G24" s="2830">
        <v>-14382</v>
      </c>
      <c r="H24" s="2831">
        <v>36899</v>
      </c>
      <c r="I24" s="396"/>
      <c r="J24" s="396"/>
      <c r="K24" s="396"/>
      <c r="L24" s="396"/>
    </row>
    <row r="25" spans="2:20">
      <c r="B25" s="2823" t="s">
        <v>158</v>
      </c>
      <c r="C25" s="2120">
        <v>40476740.396122903</v>
      </c>
      <c r="D25" s="2827">
        <v>47807154.495149858</v>
      </c>
      <c r="E25" s="2827">
        <v>52514291.749330513</v>
      </c>
      <c r="F25" s="2827">
        <f>SUM(F23:F24)</f>
        <v>58149354.299663499</v>
      </c>
      <c r="G25" s="2828">
        <f>SUM(G23:G24)</f>
        <v>42519504</v>
      </c>
      <c r="H25" s="2829">
        <f>SUM(H23:H24)</f>
        <v>48353604</v>
      </c>
      <c r="I25" s="396"/>
      <c r="J25" s="396"/>
      <c r="K25" s="396"/>
      <c r="L25" s="396"/>
    </row>
    <row r="26" spans="2:20">
      <c r="H26" s="396"/>
      <c r="I26" s="396"/>
      <c r="J26" s="396"/>
      <c r="K26" s="396"/>
      <c r="L26" s="396"/>
    </row>
    <row r="27" spans="2:20">
      <c r="B27" s="3715" t="s">
        <v>506</v>
      </c>
      <c r="C27" s="3724" t="s">
        <v>510</v>
      </c>
      <c r="D27" s="3724"/>
      <c r="E27" s="3724"/>
      <c r="F27" s="3724"/>
      <c r="G27" s="3724"/>
      <c r="H27" s="3724"/>
      <c r="I27" s="396"/>
      <c r="J27" s="396"/>
      <c r="K27" s="396"/>
      <c r="L27" s="396"/>
    </row>
    <row r="28" spans="2:20">
      <c r="B28" s="3716"/>
      <c r="C28" s="665">
        <v>2016</v>
      </c>
      <c r="D28" s="1841">
        <v>2017</v>
      </c>
      <c r="E28" s="1868">
        <f>E17</f>
        <v>2018</v>
      </c>
      <c r="F28" s="1848">
        <v>2019</v>
      </c>
      <c r="G28" s="1848" t="s">
        <v>137</v>
      </c>
      <c r="H28" s="1869" t="s">
        <v>84</v>
      </c>
      <c r="I28" s="396"/>
      <c r="J28" s="396"/>
      <c r="K28" s="396"/>
      <c r="L28" s="396"/>
    </row>
    <row r="29" spans="2:20">
      <c r="B29" s="1840" t="s">
        <v>412</v>
      </c>
      <c r="C29" s="2832">
        <v>84.404936331208987</v>
      </c>
      <c r="D29" s="1851">
        <v>95.29</v>
      </c>
      <c r="E29" s="2832">
        <v>86.688408324504337</v>
      </c>
      <c r="F29" s="1851">
        <v>116.60751817527553</v>
      </c>
      <c r="G29" s="1853">
        <v>87.87</v>
      </c>
      <c r="H29" s="1854">
        <v>113.4</v>
      </c>
      <c r="I29" s="593"/>
      <c r="J29" s="593"/>
      <c r="K29" s="593"/>
      <c r="L29" s="593"/>
      <c r="M29" s="593"/>
      <c r="N29" s="437"/>
      <c r="O29" s="437"/>
      <c r="P29" s="437"/>
      <c r="Q29" s="437"/>
      <c r="R29" s="437"/>
      <c r="S29" s="437"/>
      <c r="T29" s="437"/>
    </row>
    <row r="30" spans="2:20">
      <c r="B30" s="2137" t="s">
        <v>413</v>
      </c>
      <c r="C30" s="2832">
        <v>29.458111243602414</v>
      </c>
      <c r="D30" s="2832">
        <v>34.832093870113724</v>
      </c>
      <c r="E30" s="2832">
        <v>41.10171920763549</v>
      </c>
      <c r="F30" s="2832">
        <v>42.58991759323105</v>
      </c>
      <c r="G30" s="1828">
        <v>28.5</v>
      </c>
      <c r="H30" s="1829">
        <v>45.71</v>
      </c>
      <c r="I30" s="593"/>
      <c r="J30" s="593"/>
      <c r="K30" s="593"/>
      <c r="L30" s="593"/>
      <c r="M30" s="593"/>
      <c r="N30" s="437"/>
      <c r="O30" s="437"/>
      <c r="P30" s="437"/>
      <c r="Q30" s="437"/>
      <c r="R30" s="437"/>
      <c r="S30" s="437"/>
      <c r="T30" s="437"/>
    </row>
    <row r="31" spans="2:20">
      <c r="B31" s="2137" t="s">
        <v>414</v>
      </c>
      <c r="C31" s="2832">
        <v>64.95511440998699</v>
      </c>
      <c r="D31" s="2832">
        <v>61.554374723766848</v>
      </c>
      <c r="E31" s="2832">
        <v>60.961398214764714</v>
      </c>
      <c r="F31" s="2832">
        <v>58.751152561467713</v>
      </c>
      <c r="G31" s="1828">
        <v>46.42</v>
      </c>
      <c r="H31" s="1829">
        <v>47.48</v>
      </c>
      <c r="I31" s="593"/>
      <c r="J31" s="593"/>
      <c r="K31" s="593"/>
      <c r="L31" s="593"/>
      <c r="M31" s="593"/>
      <c r="N31" s="437"/>
      <c r="O31" s="437"/>
      <c r="P31" s="437"/>
      <c r="Q31" s="437"/>
      <c r="R31" s="437"/>
      <c r="S31" s="437"/>
      <c r="T31" s="437"/>
    </row>
    <row r="32" spans="2:20">
      <c r="B32" s="2137" t="s">
        <v>415</v>
      </c>
      <c r="C32" s="2832">
        <v>86.270146684378361</v>
      </c>
      <c r="D32" s="2832">
        <v>91.917571047224655</v>
      </c>
      <c r="E32" s="2832">
        <v>98.079224323579979</v>
      </c>
      <c r="F32" s="2832">
        <v>110.60278270024754</v>
      </c>
      <c r="G32" s="1828">
        <v>80.69</v>
      </c>
      <c r="H32" s="1829">
        <v>95.52</v>
      </c>
      <c r="I32" s="593"/>
      <c r="J32" s="593"/>
      <c r="K32" s="593"/>
      <c r="L32" s="593"/>
      <c r="M32" s="593"/>
      <c r="N32" s="437"/>
      <c r="O32" s="437"/>
      <c r="P32" s="437"/>
      <c r="Q32" s="437"/>
      <c r="R32" s="437"/>
      <c r="S32" s="437"/>
      <c r="T32" s="437"/>
    </row>
    <row r="33" spans="2:20">
      <c r="B33" s="2138" t="s">
        <v>416</v>
      </c>
      <c r="C33" s="2832">
        <v>64.145301645306603</v>
      </c>
      <c r="D33" s="2833">
        <v>107.58810312329284</v>
      </c>
      <c r="E33" s="2833">
        <v>76.972346113727085</v>
      </c>
      <c r="F33" s="2833">
        <v>63.699476916999409</v>
      </c>
      <c r="G33" s="1828">
        <v>29.83</v>
      </c>
      <c r="H33" s="1829">
        <v>45.68</v>
      </c>
      <c r="I33" s="593"/>
      <c r="J33" s="593"/>
      <c r="K33" s="593"/>
      <c r="L33" s="593"/>
      <c r="M33" s="593"/>
      <c r="N33" s="437"/>
      <c r="O33" s="437"/>
      <c r="P33" s="437"/>
      <c r="Q33" s="437"/>
      <c r="R33" s="437"/>
      <c r="S33" s="437"/>
      <c r="T33" s="437"/>
    </row>
    <row r="34" spans="2:20">
      <c r="B34" s="2823" t="s">
        <v>508</v>
      </c>
      <c r="C34" s="2834">
        <v>68.124263287272186</v>
      </c>
      <c r="D34" s="2835">
        <v>69.68496881449073</v>
      </c>
      <c r="E34" s="2835">
        <v>68.251274009753502</v>
      </c>
      <c r="F34" s="2835">
        <v>69.915921104988882</v>
      </c>
      <c r="G34" s="2836">
        <f>(G23/G12)*100</f>
        <v>52.949002432593282</v>
      </c>
      <c r="H34" s="2837">
        <f>(H23/H12)*100</f>
        <v>59.896803117385012</v>
      </c>
      <c r="I34" s="593"/>
      <c r="J34" s="593"/>
      <c r="K34" s="593"/>
      <c r="L34" s="593"/>
      <c r="M34" s="593"/>
      <c r="N34" s="437"/>
      <c r="O34" s="437"/>
      <c r="P34" s="437"/>
      <c r="Q34" s="437"/>
      <c r="R34" s="437"/>
      <c r="S34" s="437"/>
      <c r="T34" s="437"/>
    </row>
    <row r="35" spans="2:20">
      <c r="B35" s="2061" t="s">
        <v>399</v>
      </c>
      <c r="C35" s="2832">
        <v>1.0285334544404596</v>
      </c>
      <c r="D35" s="2838">
        <v>-0.28169116578307934</v>
      </c>
      <c r="E35" s="2838">
        <v>1.8866761742901503</v>
      </c>
      <c r="F35" s="2838">
        <v>12.443148502838421</v>
      </c>
      <c r="G35" s="2040">
        <v>-0.23</v>
      </c>
      <c r="H35" s="2839">
        <v>0.57999999999999996</v>
      </c>
      <c r="I35" s="593"/>
      <c r="J35" s="593"/>
      <c r="K35" s="593"/>
      <c r="L35" s="593"/>
      <c r="M35" s="593"/>
      <c r="N35" s="437"/>
      <c r="O35" s="437"/>
      <c r="P35" s="437"/>
      <c r="Q35" s="437"/>
      <c r="R35" s="437"/>
      <c r="S35" s="437"/>
      <c r="T35" s="437"/>
    </row>
    <row r="36" spans="2:20">
      <c r="B36" s="2823" t="s">
        <v>158</v>
      </c>
      <c r="C36" s="2840">
        <v>64.617108823485196</v>
      </c>
      <c r="D36" s="2835">
        <v>66.073867582872296</v>
      </c>
      <c r="E36" s="2835">
        <v>64.942320028604158</v>
      </c>
      <c r="F36" s="2835">
        <v>66.268536825736518</v>
      </c>
      <c r="G36" s="2836">
        <f>(G25/G14)*100</f>
        <v>49.161294144773002</v>
      </c>
      <c r="H36" s="2837">
        <f>(H25/H14)*100</f>
        <v>55.591019382022708</v>
      </c>
      <c r="I36" s="593"/>
      <c r="J36" s="593"/>
      <c r="K36" s="593"/>
      <c r="L36" s="593"/>
      <c r="M36" s="593"/>
      <c r="N36" s="437"/>
      <c r="O36" s="437"/>
      <c r="P36" s="437"/>
      <c r="Q36" s="437"/>
      <c r="R36" s="437"/>
      <c r="S36" s="437"/>
      <c r="T36" s="437"/>
    </row>
    <row r="37" spans="2:20">
      <c r="H37" s="396"/>
      <c r="I37" s="396"/>
      <c r="J37" s="396"/>
      <c r="K37" s="396"/>
      <c r="L37" s="396"/>
    </row>
    <row r="38" spans="2:20">
      <c r="B38" s="3693" t="s">
        <v>511</v>
      </c>
      <c r="C38" s="3721" t="s">
        <v>512</v>
      </c>
      <c r="D38" s="3723"/>
      <c r="E38" s="3722"/>
      <c r="F38" s="3722"/>
      <c r="G38" s="3722"/>
      <c r="H38" s="3722"/>
      <c r="I38" s="396"/>
      <c r="J38" s="396"/>
      <c r="K38" s="396"/>
      <c r="L38" s="396"/>
      <c r="M38" s="396"/>
    </row>
    <row r="39" spans="2:20">
      <c r="B39" s="3695"/>
      <c r="C39" s="1846">
        <v>2016</v>
      </c>
      <c r="D39" s="1866">
        <v>2017</v>
      </c>
      <c r="E39" s="1841">
        <f>E28</f>
        <v>2018</v>
      </c>
      <c r="F39" s="1864">
        <v>2019</v>
      </c>
      <c r="G39" s="1864" t="s">
        <v>137</v>
      </c>
      <c r="H39" s="1861" t="s">
        <v>84</v>
      </c>
      <c r="I39" s="396"/>
      <c r="J39" s="396"/>
      <c r="K39" s="396"/>
      <c r="L39" s="396"/>
      <c r="M39" s="396"/>
    </row>
    <row r="40" spans="2:20" ht="38.25">
      <c r="B40" s="1867" t="s">
        <v>513</v>
      </c>
      <c r="C40" s="2022">
        <v>21421927.896493029</v>
      </c>
      <c r="D40" s="1965">
        <v>24491746.306092836</v>
      </c>
      <c r="E40" s="1966">
        <v>29490543.775128148</v>
      </c>
      <c r="F40" s="1965">
        <v>31855625.256805886</v>
      </c>
      <c r="G40" s="1865">
        <v>32858828</v>
      </c>
      <c r="H40" s="1863">
        <v>33327292</v>
      </c>
      <c r="I40" s="396"/>
      <c r="J40" s="396"/>
      <c r="K40" s="396"/>
      <c r="L40" s="396"/>
      <c r="M40" s="396"/>
    </row>
    <row r="41" spans="2:20">
      <c r="B41" s="2794" t="s">
        <v>399</v>
      </c>
      <c r="C41" s="2022">
        <v>653705.95096000005</v>
      </c>
      <c r="D41" s="2821">
        <v>732786.03422000003</v>
      </c>
      <c r="E41" s="2821">
        <v>842514.85986999993</v>
      </c>
      <c r="F41" s="2821">
        <v>1411974.0153099999</v>
      </c>
      <c r="G41" s="1824">
        <v>1102435</v>
      </c>
      <c r="H41" s="1825">
        <v>1091603</v>
      </c>
      <c r="I41" s="396"/>
      <c r="J41" s="396"/>
      <c r="K41" s="396"/>
      <c r="L41" s="396"/>
      <c r="M41" s="396"/>
    </row>
    <row r="42" spans="2:20">
      <c r="B42" s="2841" t="s">
        <v>158</v>
      </c>
      <c r="C42" s="2024">
        <f>SUM(C40:C41)</f>
        <v>22075633.847453028</v>
      </c>
      <c r="D42" s="2825">
        <f>SUM(D40:D41)</f>
        <v>25224532.340312835</v>
      </c>
      <c r="E42" s="2825">
        <f>SUM(E40:E41)</f>
        <v>30333058.63499815</v>
      </c>
      <c r="F42" s="2825">
        <f>SUM(F40:F41)</f>
        <v>33267599.272115886</v>
      </c>
      <c r="G42" s="2774">
        <f t="shared" ref="G42:H42" si="0">SUM(G40:G41)</f>
        <v>33961263</v>
      </c>
      <c r="H42" s="2776">
        <f t="shared" si="0"/>
        <v>34418895</v>
      </c>
      <c r="I42" s="396"/>
      <c r="J42" s="396"/>
      <c r="K42" s="396"/>
      <c r="L42" s="396"/>
      <c r="M42" s="396"/>
    </row>
    <row r="43" spans="2:20">
      <c r="B43" s="574"/>
      <c r="C43" s="383"/>
      <c r="D43" s="383"/>
      <c r="E43" s="383"/>
      <c r="F43" s="383"/>
      <c r="G43" s="383"/>
      <c r="H43" s="396"/>
      <c r="I43" s="396"/>
      <c r="J43" s="396"/>
      <c r="K43" s="396"/>
      <c r="L43" s="396"/>
      <c r="M43" s="396"/>
    </row>
    <row r="44" spans="2:20">
      <c r="B44" s="3728" t="s">
        <v>511</v>
      </c>
      <c r="C44" s="3733" t="s">
        <v>514</v>
      </c>
      <c r="D44" s="3734"/>
      <c r="E44" s="3734"/>
      <c r="F44" s="3734"/>
      <c r="G44" s="3734"/>
      <c r="H44" s="3734"/>
      <c r="I44" s="396"/>
      <c r="J44" s="396"/>
      <c r="K44" s="396"/>
      <c r="L44" s="396"/>
      <c r="M44" s="396"/>
      <c r="N44" s="396"/>
    </row>
    <row r="45" spans="2:20">
      <c r="B45" s="3729"/>
      <c r="C45" s="1860">
        <v>2016</v>
      </c>
      <c r="D45" s="1841">
        <v>2017</v>
      </c>
      <c r="E45" s="1841">
        <f>E39</f>
        <v>2018</v>
      </c>
      <c r="F45" s="1841">
        <v>2019</v>
      </c>
      <c r="G45" s="1857" t="s">
        <v>137</v>
      </c>
      <c r="H45" s="1862" t="s">
        <v>84</v>
      </c>
      <c r="I45" s="396"/>
      <c r="J45" s="396"/>
      <c r="K45" s="396"/>
      <c r="L45" s="396"/>
      <c r="M45" s="396"/>
      <c r="N45" s="396"/>
    </row>
    <row r="46" spans="2:20" ht="38.25">
      <c r="B46" s="1858" t="s">
        <v>515</v>
      </c>
      <c r="C46" s="2037">
        <v>36.084137602860025</v>
      </c>
      <c r="D46" s="1852">
        <v>35.69196140977327</v>
      </c>
      <c r="E46" s="1832">
        <v>38.383588068923878</v>
      </c>
      <c r="F46" s="1852">
        <v>38.763554707334826</v>
      </c>
      <c r="G46" s="1828">
        <v>40.9</v>
      </c>
      <c r="H46" s="1829">
        <v>41.31</v>
      </c>
      <c r="I46" s="396"/>
      <c r="J46" s="396"/>
      <c r="K46" s="396"/>
      <c r="L46" s="396"/>
      <c r="M46" s="396"/>
      <c r="N46" s="396"/>
    </row>
    <row r="47" spans="2:20" ht="25.5">
      <c r="B47" s="2138" t="s">
        <v>516</v>
      </c>
      <c r="C47" s="2037">
        <v>35.241563937913348</v>
      </c>
      <c r="D47" s="2037">
        <v>34.862614533765004</v>
      </c>
      <c r="E47" s="2037">
        <v>37.511677977558904</v>
      </c>
      <c r="F47" s="2037">
        <v>37.912632977952335</v>
      </c>
      <c r="G47" s="1828">
        <v>39.270000000000003</v>
      </c>
      <c r="H47" s="1829">
        <v>39.57</v>
      </c>
      <c r="I47" s="396"/>
      <c r="J47" s="396"/>
      <c r="K47" s="396"/>
      <c r="L47" s="396"/>
    </row>
    <row r="48" spans="2:20">
      <c r="B48" s="236"/>
      <c r="C48" s="437"/>
      <c r="D48" s="437"/>
      <c r="E48" s="437"/>
      <c r="F48" s="437"/>
      <c r="G48" s="437"/>
      <c r="H48" s="396"/>
      <c r="I48" s="396"/>
      <c r="J48" s="396"/>
      <c r="K48" s="396"/>
      <c r="L48" s="396"/>
    </row>
    <row r="49" spans="2:19">
      <c r="B49" s="3694" t="s">
        <v>511</v>
      </c>
      <c r="C49" s="3730" t="s">
        <v>517</v>
      </c>
      <c r="D49" s="3731"/>
      <c r="E49" s="3731"/>
      <c r="F49" s="3731"/>
      <c r="G49" s="3732"/>
      <c r="H49" s="3731"/>
      <c r="I49" s="396"/>
      <c r="J49" s="396"/>
      <c r="K49" s="396"/>
      <c r="L49" s="396"/>
    </row>
    <row r="50" spans="2:19">
      <c r="B50" s="3695"/>
      <c r="C50" s="1846">
        <v>2016</v>
      </c>
      <c r="D50" s="1838">
        <v>2017</v>
      </c>
      <c r="E50" s="1841">
        <f>E45</f>
        <v>2018</v>
      </c>
      <c r="F50" s="1841">
        <v>2019</v>
      </c>
      <c r="G50" s="1856" t="s">
        <v>137</v>
      </c>
      <c r="H50" s="1855" t="s">
        <v>84</v>
      </c>
      <c r="I50" s="396"/>
      <c r="J50" s="396"/>
      <c r="K50" s="396"/>
      <c r="L50" s="396"/>
    </row>
    <row r="51" spans="2:19" ht="38.25">
      <c r="B51" s="1859" t="s">
        <v>518</v>
      </c>
      <c r="C51" s="2037">
        <v>104.20840089013221</v>
      </c>
      <c r="D51" s="1852">
        <v>105.37692975813678</v>
      </c>
      <c r="E51" s="1852">
        <v>106.63486207867734</v>
      </c>
      <c r="F51" s="1852">
        <v>108.67947581232372</v>
      </c>
      <c r="G51" s="1853">
        <v>93.85</v>
      </c>
      <c r="H51" s="1854">
        <v>101.21</v>
      </c>
      <c r="I51" s="396"/>
      <c r="J51" s="396"/>
      <c r="K51" s="396"/>
      <c r="L51" s="396"/>
    </row>
    <row r="52" spans="2:19" ht="25.5">
      <c r="B52" s="2138" t="s">
        <v>519</v>
      </c>
      <c r="C52" s="2037">
        <v>99.858672761398537</v>
      </c>
      <c r="D52" s="2842">
        <v>100.936481697476</v>
      </c>
      <c r="E52" s="2842">
        <v>102.45399800616306</v>
      </c>
      <c r="F52" s="2037">
        <v>104.18116980368885</v>
      </c>
      <c r="G52" s="1828">
        <v>88.43</v>
      </c>
      <c r="H52" s="1829">
        <v>95.16</v>
      </c>
      <c r="I52" s="396"/>
      <c r="J52" s="396"/>
      <c r="K52" s="396"/>
      <c r="L52" s="396"/>
    </row>
    <row r="53" spans="2:19">
      <c r="C53" s="437"/>
      <c r="D53" s="437"/>
      <c r="E53" s="437"/>
      <c r="F53" s="437"/>
      <c r="H53" s="384"/>
      <c r="K53" s="384"/>
    </row>
    <row r="54" spans="2:19">
      <c r="B54" s="384"/>
      <c r="C54" s="384"/>
      <c r="D54" s="384"/>
      <c r="E54" s="388"/>
      <c r="F54" s="388"/>
      <c r="H54" s="292">
        <v>152</v>
      </c>
      <c r="I54" s="330"/>
      <c r="J54" s="330"/>
      <c r="K54" s="330"/>
      <c r="L54" s="330"/>
      <c r="M54" s="330"/>
      <c r="N54" s="330"/>
      <c r="O54" s="330"/>
      <c r="P54" s="330"/>
      <c r="Q54" s="330"/>
      <c r="R54" s="330"/>
      <c r="S54" s="330"/>
    </row>
    <row r="55" spans="2:19">
      <c r="B55" s="384"/>
      <c r="C55" s="652"/>
      <c r="D55" s="652"/>
      <c r="E55" s="653"/>
      <c r="F55" s="653"/>
      <c r="G55" s="593"/>
      <c r="H55" s="3448"/>
      <c r="I55" s="3448"/>
      <c r="J55" s="3448"/>
      <c r="K55" s="3448"/>
      <c r="L55" s="3448"/>
      <c r="M55" s="3448"/>
      <c r="N55" s="3448"/>
      <c r="O55" s="3448"/>
      <c r="P55" s="3448"/>
      <c r="Q55" s="3448"/>
      <c r="R55" s="3448"/>
      <c r="S55" s="3448"/>
    </row>
    <row r="56" spans="2:19">
      <c r="B56" s="3735"/>
      <c r="C56" s="3735"/>
      <c r="D56" s="3735"/>
      <c r="E56" s="575"/>
      <c r="F56" s="575"/>
    </row>
    <row r="57" spans="2:19">
      <c r="B57" s="3448"/>
      <c r="C57" s="3448"/>
      <c r="D57" s="3448"/>
      <c r="E57" s="388"/>
      <c r="F57" s="388"/>
    </row>
    <row r="58" spans="2:19">
      <c r="C58" s="437"/>
      <c r="D58" s="437"/>
      <c r="E58" s="437"/>
      <c r="F58" s="437"/>
      <c r="G58" s="437"/>
    </row>
    <row r="60" spans="2:19">
      <c r="B60" s="3448"/>
      <c r="C60" s="3448"/>
      <c r="D60" s="3448"/>
      <c r="E60" s="3448"/>
      <c r="F60" s="3448"/>
      <c r="G60" s="3448"/>
      <c r="H60" s="3448"/>
      <c r="I60" s="3448"/>
      <c r="J60" s="3448"/>
    </row>
    <row r="61" spans="2:19">
      <c r="B61" s="3448"/>
      <c r="C61" s="3448"/>
      <c r="D61" s="3448"/>
      <c r="E61" s="3448"/>
      <c r="F61" s="3448"/>
      <c r="G61" s="3448"/>
      <c r="H61" s="3448"/>
      <c r="I61" s="3448"/>
      <c r="J61" s="3448"/>
    </row>
    <row r="62" spans="2:19">
      <c r="B62" s="3449"/>
      <c r="C62" s="3449"/>
      <c r="D62" s="3449"/>
      <c r="E62" s="3449"/>
      <c r="F62" s="3449"/>
      <c r="G62" s="3449"/>
      <c r="H62" s="3449"/>
      <c r="I62" s="3449"/>
      <c r="J62" s="3449"/>
    </row>
    <row r="63" spans="2:19">
      <c r="B63" s="3448"/>
      <c r="C63" s="3448"/>
      <c r="D63" s="3448"/>
      <c r="E63" s="3448"/>
      <c r="F63" s="3448"/>
      <c r="G63" s="3448"/>
      <c r="H63" s="3448"/>
      <c r="I63" s="3448"/>
      <c r="J63" s="3448"/>
    </row>
  </sheetData>
  <mergeCells count="19">
    <mergeCell ref="B62:J62"/>
    <mergeCell ref="B63:J63"/>
    <mergeCell ref="H55:S55"/>
    <mergeCell ref="B56:D56"/>
    <mergeCell ref="B57:D57"/>
    <mergeCell ref="B60:J61"/>
    <mergeCell ref="B38:B39"/>
    <mergeCell ref="B44:B45"/>
    <mergeCell ref="B49:B50"/>
    <mergeCell ref="C49:H49"/>
    <mergeCell ref="C44:H44"/>
    <mergeCell ref="C38:H38"/>
    <mergeCell ref="B27:B28"/>
    <mergeCell ref="B2:G3"/>
    <mergeCell ref="B5:B6"/>
    <mergeCell ref="B16:B17"/>
    <mergeCell ref="C5:H5"/>
    <mergeCell ref="C27:H27"/>
    <mergeCell ref="C16:H16"/>
  </mergeCells>
  <pageMargins left="0.7" right="0.7" top="0.73" bottom="0.75" header="0.3" footer="0.3"/>
  <pageSetup paperSize="9" scale="68"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99"/>
    <pageSetUpPr autoPageBreaks="0"/>
  </sheetPr>
  <dimension ref="B1:Y150"/>
  <sheetViews>
    <sheetView showGridLines="0" view="pageBreakPreview" zoomScale="70" zoomScaleNormal="85" zoomScaleSheetLayoutView="70" workbookViewId="0">
      <pane xSplit="2" topLeftCell="C1" activePane="topRight" state="frozen"/>
      <selection pane="topRight" activeCell="L31" sqref="L31"/>
    </sheetView>
  </sheetViews>
  <sheetFormatPr defaultColWidth="9.140625" defaultRowHeight="12.75"/>
  <cols>
    <col min="1" max="1" width="3.28515625" style="292" customWidth="1"/>
    <col min="2" max="2" width="16.42578125" style="471" customWidth="1"/>
    <col min="3" max="7" width="20.5703125" style="292" customWidth="1"/>
    <col min="8" max="8" width="20.5703125" style="52" customWidth="1"/>
    <col min="9" max="9" width="16.140625" style="52" customWidth="1"/>
    <col min="10" max="10" width="18.5703125" style="292" customWidth="1"/>
    <col min="11" max="11" width="13.85546875" style="292" customWidth="1"/>
    <col min="12" max="12" width="13.140625" style="292" customWidth="1"/>
    <col min="13" max="13" width="13.28515625" style="292" customWidth="1"/>
    <col min="14" max="15" width="13.28515625" style="292" bestFit="1" customWidth="1"/>
    <col min="16" max="16" width="11.28515625" style="292" customWidth="1"/>
    <col min="17" max="17" width="13.7109375" style="292" bestFit="1" customWidth="1"/>
    <col min="18" max="18" width="14.7109375" style="292" bestFit="1" customWidth="1"/>
    <col min="19" max="19" width="12.85546875" style="292" customWidth="1"/>
    <col min="20" max="20" width="13.140625" style="292" customWidth="1"/>
    <col min="21" max="21" width="12.140625" style="292" customWidth="1"/>
    <col min="22" max="22" width="11.28515625" style="292" customWidth="1"/>
    <col min="23" max="23" width="14.7109375" style="292" customWidth="1"/>
    <col min="24" max="24" width="16.42578125" style="292" customWidth="1"/>
    <col min="25" max="25" width="14.5703125" style="385" customWidth="1"/>
    <col min="26" max="16384" width="9.140625" style="292"/>
  </cols>
  <sheetData>
    <row r="1" spans="2:10">
      <c r="B1" s="292"/>
    </row>
    <row r="2" spans="2:10">
      <c r="B2" s="3419" t="s">
        <v>520</v>
      </c>
      <c r="C2" s="3419"/>
      <c r="D2" s="3419"/>
      <c r="E2" s="3419"/>
      <c r="F2" s="3419"/>
      <c r="G2" s="3419"/>
      <c r="H2" s="3419"/>
      <c r="I2" s="458"/>
    </row>
    <row r="3" spans="2:10">
      <c r="B3" s="493"/>
      <c r="C3" s="493"/>
      <c r="D3" s="493"/>
      <c r="E3" s="493"/>
      <c r="F3" s="493"/>
      <c r="G3" s="493"/>
      <c r="H3" s="493"/>
      <c r="I3" s="458"/>
    </row>
    <row r="4" spans="2:10">
      <c r="B4" s="3692" t="s">
        <v>521</v>
      </c>
      <c r="C4" s="3692"/>
      <c r="D4" s="3692"/>
      <c r="E4" s="3692"/>
      <c r="F4" s="3692"/>
      <c r="G4" s="458"/>
      <c r="H4" s="443"/>
      <c r="I4" s="458"/>
    </row>
    <row r="5" spans="2:10">
      <c r="H5" s="535"/>
      <c r="I5" s="458"/>
    </row>
    <row r="6" spans="2:10">
      <c r="B6" s="3737" t="s">
        <v>83</v>
      </c>
      <c r="C6" s="3701" t="s">
        <v>496</v>
      </c>
      <c r="D6" s="3736" t="s">
        <v>497</v>
      </c>
      <c r="E6" s="3736" t="s">
        <v>498</v>
      </c>
      <c r="F6" s="3701" t="s">
        <v>415</v>
      </c>
      <c r="G6" s="3701" t="s">
        <v>416</v>
      </c>
      <c r="H6" s="3736" t="s">
        <v>522</v>
      </c>
      <c r="I6" s="458"/>
    </row>
    <row r="7" spans="2:10">
      <c r="B7" s="3737"/>
      <c r="C7" s="3701"/>
      <c r="D7" s="3736"/>
      <c r="E7" s="3736"/>
      <c r="F7" s="3701"/>
      <c r="G7" s="3701"/>
      <c r="H7" s="3736"/>
      <c r="I7" s="458"/>
    </row>
    <row r="8" spans="2:10">
      <c r="B8" s="2794" t="s">
        <v>92</v>
      </c>
      <c r="C8" s="2147">
        <v>872356</v>
      </c>
      <c r="D8" s="2147">
        <v>337305</v>
      </c>
      <c r="E8" s="2147">
        <v>8425647</v>
      </c>
      <c r="F8" s="2147">
        <v>1234101</v>
      </c>
      <c r="G8" s="2147">
        <v>471750</v>
      </c>
      <c r="H8" s="2843">
        <f>C8+D8+E8+F8+G8</f>
        <v>11341159</v>
      </c>
      <c r="I8" s="458"/>
      <c r="J8" s="396"/>
    </row>
    <row r="9" spans="2:10">
      <c r="B9" s="2794" t="s">
        <v>95</v>
      </c>
      <c r="C9" s="2147">
        <v>-6667</v>
      </c>
      <c r="D9" s="2147">
        <v>107155</v>
      </c>
      <c r="E9" s="2147">
        <v>1059034</v>
      </c>
      <c r="F9" s="2147">
        <v>359665</v>
      </c>
      <c r="G9" s="2147">
        <v>81350</v>
      </c>
      <c r="H9" s="2843">
        <f>C9+D9+E9+F9+G9</f>
        <v>1600537</v>
      </c>
      <c r="I9" s="458"/>
      <c r="J9" s="396"/>
    </row>
    <row r="10" spans="2:10">
      <c r="B10" s="2794" t="s">
        <v>98</v>
      </c>
      <c r="C10" s="2149">
        <v>158201</v>
      </c>
      <c r="D10" s="2147">
        <v>363285</v>
      </c>
      <c r="E10" s="2147">
        <v>9521229</v>
      </c>
      <c r="F10" s="2147">
        <v>1941894</v>
      </c>
      <c r="G10" s="2147">
        <v>1268913</v>
      </c>
      <c r="H10" s="2843">
        <f t="shared" ref="H10:H11" si="0">C10+D10+E10+F10+G10</f>
        <v>13253522</v>
      </c>
      <c r="I10" s="458"/>
      <c r="J10" s="396"/>
    </row>
    <row r="11" spans="2:10">
      <c r="B11" s="2794" t="s">
        <v>99</v>
      </c>
      <c r="C11" s="2147">
        <v>224645</v>
      </c>
      <c r="D11" s="2147">
        <v>11902</v>
      </c>
      <c r="E11" s="2147">
        <v>2806838</v>
      </c>
      <c r="F11" s="2147">
        <v>756496</v>
      </c>
      <c r="G11" s="2147">
        <v>16750</v>
      </c>
      <c r="H11" s="2843">
        <f t="shared" si="0"/>
        <v>3816631</v>
      </c>
      <c r="I11" s="458"/>
      <c r="J11" s="396"/>
    </row>
    <row r="12" spans="2:10">
      <c r="B12" s="2794" t="s">
        <v>101</v>
      </c>
      <c r="C12" s="2147">
        <v>35391</v>
      </c>
      <c r="D12" s="2147">
        <v>11962</v>
      </c>
      <c r="E12" s="2147">
        <v>3380745</v>
      </c>
      <c r="F12" s="2147">
        <v>128672</v>
      </c>
      <c r="G12" s="2147">
        <v>203364</v>
      </c>
      <c r="H12" s="2843">
        <f>C12+D12+E12+F12+G12</f>
        <v>3760134</v>
      </c>
      <c r="I12" s="458"/>
      <c r="J12" s="396"/>
    </row>
    <row r="13" spans="2:10">
      <c r="B13" s="2794" t="s">
        <v>102</v>
      </c>
      <c r="C13" s="2147">
        <v>272028</v>
      </c>
      <c r="D13" s="2147">
        <v>95490</v>
      </c>
      <c r="E13" s="2147">
        <v>3933533</v>
      </c>
      <c r="F13" s="2147">
        <v>1807004</v>
      </c>
      <c r="G13" s="2147">
        <v>165820</v>
      </c>
      <c r="H13" s="2843">
        <f t="shared" ref="H13:H21" si="1">C13+D13+E13+F13+G13</f>
        <v>6273875</v>
      </c>
      <c r="I13" s="458"/>
      <c r="J13" s="396"/>
    </row>
    <row r="14" spans="2:10">
      <c r="B14" s="2794" t="s">
        <v>104</v>
      </c>
      <c r="C14" s="2147">
        <v>20420</v>
      </c>
      <c r="D14" s="2147">
        <v>5089</v>
      </c>
      <c r="E14" s="2147">
        <v>3523810</v>
      </c>
      <c r="F14" s="2147">
        <v>523683</v>
      </c>
      <c r="G14" s="2147">
        <v>40001</v>
      </c>
      <c r="H14" s="2843">
        <f t="shared" si="1"/>
        <v>4113003</v>
      </c>
      <c r="I14" s="458"/>
      <c r="J14" s="396"/>
    </row>
    <row r="15" spans="2:10">
      <c r="B15" s="2794" t="s">
        <v>108</v>
      </c>
      <c r="C15" s="2147">
        <v>238947</v>
      </c>
      <c r="D15" s="2147">
        <v>17729</v>
      </c>
      <c r="E15" s="2147">
        <v>4944211</v>
      </c>
      <c r="F15" s="2770"/>
      <c r="G15" s="2147">
        <v>96465</v>
      </c>
      <c r="H15" s="2843">
        <f t="shared" si="1"/>
        <v>5297352</v>
      </c>
      <c r="I15" s="458"/>
      <c r="J15" s="396"/>
    </row>
    <row r="16" spans="2:10">
      <c r="B16" s="2794" t="s">
        <v>109</v>
      </c>
      <c r="C16" s="2147">
        <v>1303</v>
      </c>
      <c r="D16" s="2844">
        <v>237</v>
      </c>
      <c r="E16" s="2147">
        <v>261603</v>
      </c>
      <c r="F16" s="2147">
        <v>10669</v>
      </c>
      <c r="G16" s="2147">
        <v>5074</v>
      </c>
      <c r="H16" s="2843">
        <f t="shared" si="1"/>
        <v>278886</v>
      </c>
      <c r="I16" s="458"/>
      <c r="J16" s="396"/>
    </row>
    <row r="17" spans="2:14">
      <c r="B17" s="2794" t="s">
        <v>110</v>
      </c>
      <c r="C17" s="2147">
        <v>6567</v>
      </c>
      <c r="D17" s="2147">
        <v>1597</v>
      </c>
      <c r="E17" s="2147">
        <v>203153</v>
      </c>
      <c r="F17" s="2147">
        <v>6322002</v>
      </c>
      <c r="G17" s="2147">
        <v>17957</v>
      </c>
      <c r="H17" s="2843">
        <f t="shared" si="1"/>
        <v>6551276</v>
      </c>
      <c r="I17" s="458"/>
      <c r="J17" s="396"/>
    </row>
    <row r="18" spans="2:14">
      <c r="B18" s="2794" t="s">
        <v>111</v>
      </c>
      <c r="C18" s="2147">
        <v>20312</v>
      </c>
      <c r="D18" s="2147">
        <v>3971</v>
      </c>
      <c r="E18" s="2147">
        <v>1422534</v>
      </c>
      <c r="F18" s="2147">
        <v>124173</v>
      </c>
      <c r="G18" s="2147">
        <v>30318</v>
      </c>
      <c r="H18" s="2843">
        <f t="shared" si="1"/>
        <v>1601308</v>
      </c>
      <c r="I18" s="458"/>
      <c r="J18" s="396"/>
    </row>
    <row r="19" spans="2:14">
      <c r="B19" s="2794" t="s">
        <v>112</v>
      </c>
      <c r="C19" s="2147">
        <v>88944</v>
      </c>
      <c r="D19" s="2147">
        <v>22480</v>
      </c>
      <c r="E19" s="2147">
        <v>4706170</v>
      </c>
      <c r="F19" s="2147">
        <v>156917</v>
      </c>
      <c r="G19" s="2147">
        <v>146116</v>
      </c>
      <c r="H19" s="2843">
        <f t="shared" si="1"/>
        <v>5120627</v>
      </c>
      <c r="I19" s="458"/>
      <c r="J19" s="396"/>
    </row>
    <row r="20" spans="2:14">
      <c r="B20" s="2794" t="s">
        <v>114</v>
      </c>
      <c r="C20" s="2147">
        <v>5347</v>
      </c>
      <c r="D20" s="2770"/>
      <c r="E20" s="2147">
        <v>576433</v>
      </c>
      <c r="F20" s="2147">
        <v>12365</v>
      </c>
      <c r="G20" s="2147">
        <v>163540</v>
      </c>
      <c r="H20" s="2843">
        <f t="shared" si="1"/>
        <v>757685</v>
      </c>
      <c r="I20" s="458"/>
      <c r="J20" s="396"/>
    </row>
    <row r="21" spans="2:14">
      <c r="B21" s="2794" t="s">
        <v>115</v>
      </c>
      <c r="C21" s="2149">
        <v>206348</v>
      </c>
      <c r="D21" s="2149">
        <v>157772</v>
      </c>
      <c r="E21" s="2147">
        <v>11236618</v>
      </c>
      <c r="F21" s="2149">
        <v>4699920</v>
      </c>
      <c r="G21" s="2149">
        <v>599933</v>
      </c>
      <c r="H21" s="2843">
        <f t="shared" si="1"/>
        <v>16900591</v>
      </c>
      <c r="I21" s="458"/>
      <c r="J21" s="396"/>
    </row>
    <row r="22" spans="2:14">
      <c r="B22" s="2845" t="s">
        <v>523</v>
      </c>
      <c r="C22" s="2776">
        <f>SUM(C8:C21)</f>
        <v>2144142</v>
      </c>
      <c r="D22" s="2776">
        <f>SUM(D8:D21)</f>
        <v>1135974</v>
      </c>
      <c r="E22" s="2776">
        <f t="shared" ref="E22:G22" si="2">SUM(E8:E21)</f>
        <v>56001558</v>
      </c>
      <c r="F22" s="2776">
        <f t="shared" si="2"/>
        <v>18077561</v>
      </c>
      <c r="G22" s="2776">
        <f t="shared" si="2"/>
        <v>3307351</v>
      </c>
      <c r="H22" s="2843">
        <f>C22+D22+E22+F22+G22</f>
        <v>80666586</v>
      </c>
      <c r="I22" s="458"/>
      <c r="J22" s="396"/>
    </row>
    <row r="23" spans="2:14">
      <c r="B23" s="2810" t="s">
        <v>399</v>
      </c>
      <c r="C23" s="2775"/>
      <c r="D23" s="2775"/>
      <c r="E23" s="2775"/>
      <c r="F23" s="2775"/>
      <c r="G23" s="2775"/>
      <c r="H23" s="2843">
        <v>6314379</v>
      </c>
      <c r="I23" s="458"/>
      <c r="J23" s="396"/>
    </row>
    <row r="24" spans="2:14">
      <c r="B24" s="2845" t="s">
        <v>118</v>
      </c>
      <c r="C24" s="2776">
        <f>C22+C23</f>
        <v>2144142</v>
      </c>
      <c r="D24" s="2776">
        <f t="shared" ref="D24:G24" si="3">D22+D23</f>
        <v>1135974</v>
      </c>
      <c r="E24" s="2776">
        <f t="shared" si="3"/>
        <v>56001558</v>
      </c>
      <c r="F24" s="2776">
        <f t="shared" si="3"/>
        <v>18077561</v>
      </c>
      <c r="G24" s="2776">
        <f t="shared" si="3"/>
        <v>3307351</v>
      </c>
      <c r="H24" s="2843">
        <f>SUM(H22:H23)</f>
        <v>86980965</v>
      </c>
      <c r="I24" s="458"/>
      <c r="J24" s="396"/>
    </row>
    <row r="25" spans="2:14">
      <c r="B25" s="218"/>
      <c r="C25" s="383"/>
      <c r="D25" s="383"/>
      <c r="E25" s="383"/>
      <c r="F25" s="383"/>
      <c r="G25" s="383"/>
      <c r="H25" s="419"/>
      <c r="I25" s="458"/>
    </row>
    <row r="26" spans="2:14">
      <c r="B26" s="218"/>
      <c r="C26" s="383"/>
      <c r="D26" s="383"/>
      <c r="E26" s="383"/>
      <c r="F26" s="383"/>
      <c r="G26" s="383"/>
      <c r="H26" s="305">
        <v>153</v>
      </c>
      <c r="I26" s="458"/>
    </row>
    <row r="27" spans="2:14">
      <c r="B27" s="493"/>
      <c r="C27" s="493"/>
      <c r="D27" s="493"/>
      <c r="E27" s="493"/>
      <c r="F27" s="493"/>
      <c r="G27" s="493"/>
      <c r="H27" s="493"/>
      <c r="I27" s="458"/>
    </row>
    <row r="28" spans="2:14">
      <c r="B28" s="3692" t="s">
        <v>524</v>
      </c>
      <c r="C28" s="3692"/>
      <c r="D28" s="3692"/>
      <c r="E28" s="3692"/>
      <c r="F28" s="3692"/>
      <c r="G28" s="458"/>
      <c r="H28" s="443"/>
      <c r="I28" s="443"/>
    </row>
    <row r="29" spans="2:14">
      <c r="H29" s="535"/>
    </row>
    <row r="30" spans="2:14">
      <c r="B30" s="3737" t="s">
        <v>83</v>
      </c>
      <c r="C30" s="3701" t="s">
        <v>496</v>
      </c>
      <c r="D30" s="3736" t="s">
        <v>497</v>
      </c>
      <c r="E30" s="3736" t="s">
        <v>498</v>
      </c>
      <c r="F30" s="3701" t="s">
        <v>415</v>
      </c>
      <c r="G30" s="3701" t="s">
        <v>416</v>
      </c>
      <c r="H30" s="3736" t="s">
        <v>522</v>
      </c>
      <c r="I30" s="443"/>
    </row>
    <row r="31" spans="2:14">
      <c r="B31" s="3737"/>
      <c r="C31" s="3701"/>
      <c r="D31" s="3736"/>
      <c r="E31" s="3736"/>
      <c r="F31" s="3701"/>
      <c r="G31" s="3701"/>
      <c r="H31" s="3736"/>
      <c r="I31" s="443"/>
    </row>
    <row r="32" spans="2:14" ht="15">
      <c r="B32" s="2794" t="s">
        <v>92</v>
      </c>
      <c r="C32" s="2147">
        <v>1213334</v>
      </c>
      <c r="D32" s="2147">
        <v>343296</v>
      </c>
      <c r="E32" s="2147">
        <v>9589136</v>
      </c>
      <c r="F32" s="2147">
        <v>2039835</v>
      </c>
      <c r="G32" s="2147">
        <v>658863</v>
      </c>
      <c r="H32" s="2846">
        <f>C32+D32+E32+F32+G32</f>
        <v>13844464</v>
      </c>
      <c r="I32" s="39"/>
      <c r="J32" s="419"/>
      <c r="K32" s="419"/>
      <c r="L32" s="419"/>
      <c r="M32" s="419"/>
      <c r="N32" s="419"/>
    </row>
    <row r="33" spans="2:14" ht="15">
      <c r="B33" s="2794" t="s">
        <v>95</v>
      </c>
      <c r="C33" s="2147">
        <v>10909</v>
      </c>
      <c r="D33" s="2147">
        <v>47429</v>
      </c>
      <c r="E33" s="2147">
        <v>967712</v>
      </c>
      <c r="F33" s="2147">
        <v>205767</v>
      </c>
      <c r="G33" s="2147">
        <v>113885</v>
      </c>
      <c r="H33" s="2846">
        <f>C33+D33+E33+F33+G33</f>
        <v>1345702</v>
      </c>
      <c r="I33" s="39"/>
      <c r="J33" s="419"/>
      <c r="K33" s="419"/>
      <c r="L33" s="419"/>
      <c r="M33" s="419"/>
      <c r="N33" s="419"/>
    </row>
    <row r="34" spans="2:14" ht="15">
      <c r="B34" s="2794" t="s">
        <v>98</v>
      </c>
      <c r="C34" s="2149">
        <v>271265</v>
      </c>
      <c r="D34" s="2147">
        <v>290843</v>
      </c>
      <c r="E34" s="2147">
        <v>9932079</v>
      </c>
      <c r="F34" s="2147">
        <v>1755289</v>
      </c>
      <c r="G34" s="2147">
        <v>1306018</v>
      </c>
      <c r="H34" s="2846">
        <f t="shared" ref="H34:H45" si="4">C34+D34+E34+F34+G34</f>
        <v>13555494</v>
      </c>
      <c r="I34" s="39"/>
      <c r="J34" s="419"/>
      <c r="K34" s="419"/>
      <c r="L34" s="419"/>
      <c r="M34" s="419"/>
      <c r="N34" s="419"/>
    </row>
    <row r="35" spans="2:14" ht="15">
      <c r="B35" s="2794" t="s">
        <v>99</v>
      </c>
      <c r="C35" s="2147">
        <v>237659</v>
      </c>
      <c r="D35" s="2147">
        <v>9999</v>
      </c>
      <c r="E35" s="2147">
        <v>3142063</v>
      </c>
      <c r="F35" s="2147">
        <v>527536</v>
      </c>
      <c r="G35" s="2147">
        <v>25386</v>
      </c>
      <c r="H35" s="2846">
        <f t="shared" si="4"/>
        <v>3942643</v>
      </c>
      <c r="I35" s="39"/>
      <c r="J35" s="419"/>
      <c r="K35" s="419"/>
      <c r="L35" s="419"/>
      <c r="M35" s="419"/>
      <c r="N35" s="419"/>
    </row>
    <row r="36" spans="2:14" ht="15">
      <c r="B36" s="2794" t="s">
        <v>101</v>
      </c>
      <c r="C36" s="2147">
        <v>20264</v>
      </c>
      <c r="D36" s="2147">
        <v>6014</v>
      </c>
      <c r="E36" s="2147">
        <v>3375370</v>
      </c>
      <c r="F36" s="2147">
        <v>75465</v>
      </c>
      <c r="G36" s="2147">
        <v>156665</v>
      </c>
      <c r="H36" s="2846">
        <f>C36+D36+E36+F36+G36</f>
        <v>3633778</v>
      </c>
      <c r="I36" s="39"/>
      <c r="J36" s="419"/>
      <c r="K36" s="419"/>
      <c r="L36" s="419"/>
      <c r="M36" s="419"/>
      <c r="N36" s="419"/>
    </row>
    <row r="37" spans="2:14" ht="15">
      <c r="B37" s="2794" t="s">
        <v>102</v>
      </c>
      <c r="C37" s="2147">
        <v>205799</v>
      </c>
      <c r="D37" s="2147">
        <v>125182</v>
      </c>
      <c r="E37" s="2147">
        <v>3757096</v>
      </c>
      <c r="F37" s="2147">
        <v>2027391</v>
      </c>
      <c r="G37" s="2147">
        <v>205575</v>
      </c>
      <c r="H37" s="2846">
        <f t="shared" si="4"/>
        <v>6321043</v>
      </c>
      <c r="I37" s="39"/>
      <c r="J37" s="419"/>
      <c r="K37" s="419"/>
      <c r="L37" s="419"/>
      <c r="M37" s="419"/>
      <c r="N37" s="419"/>
    </row>
    <row r="38" spans="2:14" ht="15">
      <c r="B38" s="2794" t="s">
        <v>104</v>
      </c>
      <c r="C38" s="2147">
        <v>16851</v>
      </c>
      <c r="D38" s="2147">
        <v>1955</v>
      </c>
      <c r="E38" s="2147">
        <v>3418772</v>
      </c>
      <c r="F38" s="2147">
        <v>322222</v>
      </c>
      <c r="G38" s="2147">
        <v>30856</v>
      </c>
      <c r="H38" s="2846">
        <f t="shared" si="4"/>
        <v>3790656</v>
      </c>
      <c r="I38" s="39"/>
      <c r="J38" s="419"/>
      <c r="K38" s="419"/>
      <c r="L38" s="419"/>
      <c r="M38" s="419"/>
      <c r="N38" s="419"/>
    </row>
    <row r="39" spans="2:14" ht="15">
      <c r="B39" s="2794" t="s">
        <v>108</v>
      </c>
      <c r="C39" s="2147">
        <v>68045</v>
      </c>
      <c r="D39" s="2147">
        <v>8224</v>
      </c>
      <c r="E39" s="2147">
        <v>4331573</v>
      </c>
      <c r="F39" s="2770"/>
      <c r="G39" s="2147">
        <v>39765</v>
      </c>
      <c r="H39" s="2846">
        <f t="shared" si="4"/>
        <v>4447607</v>
      </c>
      <c r="I39" s="39"/>
      <c r="J39" s="419"/>
      <c r="K39" s="419"/>
      <c r="L39" s="419"/>
      <c r="M39" s="419"/>
      <c r="N39" s="419"/>
    </row>
    <row r="40" spans="2:14" ht="15">
      <c r="B40" s="2794" t="s">
        <v>109</v>
      </c>
      <c r="C40" s="2844">
        <v>567</v>
      </c>
      <c r="D40" s="2844">
        <v>250</v>
      </c>
      <c r="E40" s="2147">
        <v>155996</v>
      </c>
      <c r="F40" s="2147">
        <v>8367</v>
      </c>
      <c r="G40" s="2147">
        <v>5174</v>
      </c>
      <c r="H40" s="2846">
        <f t="shared" si="4"/>
        <v>170354</v>
      </c>
      <c r="I40" s="39"/>
      <c r="J40" s="419"/>
      <c r="K40" s="419"/>
      <c r="L40" s="419"/>
      <c r="M40" s="419"/>
      <c r="N40" s="419"/>
    </row>
    <row r="41" spans="2:14" ht="15">
      <c r="B41" s="2794" t="s">
        <v>110</v>
      </c>
      <c r="C41" s="2844">
        <v>-166</v>
      </c>
      <c r="D41" s="2147">
        <v>18684</v>
      </c>
      <c r="E41" s="2147">
        <v>316625</v>
      </c>
      <c r="F41" s="2147">
        <v>5516870</v>
      </c>
      <c r="G41" s="2147">
        <v>547064</v>
      </c>
      <c r="H41" s="2846">
        <f t="shared" si="4"/>
        <v>6399077</v>
      </c>
      <c r="I41" s="39"/>
      <c r="J41" s="419"/>
      <c r="K41" s="419"/>
      <c r="L41" s="419"/>
      <c r="M41" s="419"/>
      <c r="N41" s="419"/>
    </row>
    <row r="42" spans="2:14" ht="15">
      <c r="B42" s="2794" t="s">
        <v>111</v>
      </c>
      <c r="C42" s="2147">
        <v>8639</v>
      </c>
      <c r="D42" s="2147">
        <v>4691</v>
      </c>
      <c r="E42" s="2147">
        <v>1217911</v>
      </c>
      <c r="F42" s="2147">
        <v>88822</v>
      </c>
      <c r="G42" s="2147">
        <v>35082</v>
      </c>
      <c r="H42" s="2846">
        <f t="shared" si="4"/>
        <v>1355145</v>
      </c>
      <c r="I42" s="39"/>
      <c r="J42" s="419"/>
      <c r="K42" s="419"/>
      <c r="L42" s="419"/>
      <c r="M42" s="419"/>
      <c r="N42" s="419"/>
    </row>
    <row r="43" spans="2:14" ht="15">
      <c r="B43" s="2794" t="s">
        <v>112</v>
      </c>
      <c r="C43" s="2147">
        <v>127399</v>
      </c>
      <c r="D43" s="2147">
        <v>8304</v>
      </c>
      <c r="E43" s="2147">
        <v>4902618</v>
      </c>
      <c r="F43" s="2147">
        <v>159001</v>
      </c>
      <c r="G43" s="2147">
        <v>106070</v>
      </c>
      <c r="H43" s="2846">
        <f t="shared" si="4"/>
        <v>5303392</v>
      </c>
      <c r="I43" s="39"/>
      <c r="J43" s="419"/>
      <c r="K43" s="419"/>
      <c r="L43" s="419"/>
      <c r="M43" s="419"/>
      <c r="N43" s="419"/>
    </row>
    <row r="44" spans="2:14" ht="15">
      <c r="B44" s="2794" t="s">
        <v>114</v>
      </c>
      <c r="C44" s="2147">
        <v>4071</v>
      </c>
      <c r="D44" s="2770"/>
      <c r="E44" s="2147">
        <v>799985</v>
      </c>
      <c r="F44" s="2147">
        <v>25769</v>
      </c>
      <c r="G44" s="2147">
        <v>28696</v>
      </c>
      <c r="H44" s="2846">
        <f t="shared" si="4"/>
        <v>858521</v>
      </c>
      <c r="I44" s="39"/>
      <c r="J44" s="419"/>
      <c r="K44" s="419"/>
      <c r="L44" s="419"/>
      <c r="M44" s="419"/>
      <c r="N44" s="419"/>
    </row>
    <row r="45" spans="2:14" ht="15">
      <c r="B45" s="2794" t="s">
        <v>115</v>
      </c>
      <c r="C45" s="2149">
        <v>136340</v>
      </c>
      <c r="D45" s="2149">
        <v>108390</v>
      </c>
      <c r="E45" s="2147">
        <v>12023179</v>
      </c>
      <c r="F45" s="2149">
        <v>2243232</v>
      </c>
      <c r="G45" s="2149">
        <v>850893</v>
      </c>
      <c r="H45" s="2846">
        <f t="shared" si="4"/>
        <v>15362034</v>
      </c>
      <c r="I45" s="39"/>
      <c r="J45" s="419"/>
      <c r="K45" s="419"/>
      <c r="L45" s="419"/>
      <c r="M45" s="419"/>
      <c r="N45" s="419"/>
    </row>
    <row r="46" spans="2:14" ht="15">
      <c r="B46" s="2806" t="s">
        <v>523</v>
      </c>
      <c r="C46" s="2774">
        <f>SUM(C32:C45)</f>
        <v>2320976</v>
      </c>
      <c r="D46" s="2774">
        <f>SUM(D32:D45)</f>
        <v>973261</v>
      </c>
      <c r="E46" s="2774">
        <f t="shared" ref="E46:G46" si="5">SUM(E32:E45)</f>
        <v>57930115</v>
      </c>
      <c r="F46" s="2774">
        <f t="shared" si="5"/>
        <v>14995566</v>
      </c>
      <c r="G46" s="2774">
        <f t="shared" si="5"/>
        <v>4109992</v>
      </c>
      <c r="H46" s="2846">
        <f>C46+D46+E46+F46+G46</f>
        <v>80329910</v>
      </c>
      <c r="I46" s="39"/>
      <c r="J46" s="419"/>
      <c r="K46" s="419"/>
      <c r="L46" s="419"/>
      <c r="M46" s="419"/>
      <c r="N46" s="419"/>
    </row>
    <row r="47" spans="2:14" ht="15">
      <c r="B47" s="2810" t="s">
        <v>399</v>
      </c>
      <c r="C47" s="2775"/>
      <c r="D47" s="2775"/>
      <c r="E47" s="2775"/>
      <c r="F47" s="2775"/>
      <c r="G47" s="2775"/>
      <c r="H47" s="2846">
        <v>6159888</v>
      </c>
      <c r="I47" s="39"/>
      <c r="J47" s="419"/>
      <c r="K47" s="419"/>
      <c r="L47" s="419"/>
      <c r="M47" s="419"/>
      <c r="N47" s="419"/>
    </row>
    <row r="48" spans="2:14" ht="15">
      <c r="B48" s="2806" t="s">
        <v>118</v>
      </c>
      <c r="C48" s="2774">
        <f>C46+C47</f>
        <v>2320976</v>
      </c>
      <c r="D48" s="2774">
        <f t="shared" ref="D48:G48" si="6">D46+D47</f>
        <v>973261</v>
      </c>
      <c r="E48" s="2774">
        <f t="shared" si="6"/>
        <v>57930115</v>
      </c>
      <c r="F48" s="2774">
        <f t="shared" si="6"/>
        <v>14995566</v>
      </c>
      <c r="G48" s="2774">
        <f t="shared" si="6"/>
        <v>4109992</v>
      </c>
      <c r="H48" s="2846">
        <f>SUM(H46:H47)</f>
        <v>86489798</v>
      </c>
      <c r="I48" s="39"/>
      <c r="J48" s="419"/>
      <c r="K48" s="419"/>
      <c r="L48" s="419"/>
      <c r="M48" s="419"/>
      <c r="N48" s="419"/>
    </row>
    <row r="49" spans="2:14">
      <c r="B49" s="218"/>
      <c r="C49" s="383"/>
      <c r="D49" s="383"/>
      <c r="E49" s="383"/>
      <c r="F49" s="383"/>
      <c r="G49" s="383"/>
      <c r="H49" s="419"/>
      <c r="I49" s="419"/>
      <c r="J49" s="419"/>
      <c r="K49" s="419"/>
      <c r="L49" s="419"/>
      <c r="M49" s="419"/>
      <c r="N49" s="419"/>
    </row>
    <row r="50" spans="2:14">
      <c r="B50" s="218"/>
      <c r="C50" s="383"/>
      <c r="D50" s="383"/>
      <c r="E50" s="383"/>
      <c r="F50" s="383"/>
      <c r="G50" s="383"/>
      <c r="H50" s="305">
        <v>154</v>
      </c>
      <c r="I50" s="419"/>
      <c r="J50" s="419"/>
      <c r="K50" s="419"/>
      <c r="L50" s="419"/>
      <c r="M50" s="419"/>
      <c r="N50" s="419"/>
    </row>
    <row r="51" spans="2:14">
      <c r="B51" s="218"/>
      <c r="C51" s="383"/>
      <c r="D51" s="383"/>
      <c r="E51" s="383"/>
      <c r="F51" s="383"/>
      <c r="G51" s="383"/>
      <c r="H51" s="419"/>
      <c r="I51" s="419"/>
      <c r="J51" s="419"/>
      <c r="K51" s="419"/>
      <c r="L51" s="419"/>
      <c r="M51" s="419"/>
      <c r="N51" s="419"/>
    </row>
    <row r="52" spans="2:14">
      <c r="B52" s="3692" t="s">
        <v>525</v>
      </c>
      <c r="C52" s="3692"/>
      <c r="D52" s="3692"/>
      <c r="E52" s="3692"/>
      <c r="F52" s="3692"/>
      <c r="G52" s="383"/>
      <c r="H52" s="419"/>
      <c r="I52" s="419"/>
      <c r="J52" s="419"/>
      <c r="K52" s="419"/>
      <c r="L52" s="419"/>
      <c r="M52" s="419"/>
      <c r="N52" s="419"/>
    </row>
    <row r="53" spans="2:14">
      <c r="B53" s="218"/>
      <c r="C53" s="383"/>
      <c r="D53" s="383"/>
      <c r="E53" s="383"/>
      <c r="F53" s="383"/>
      <c r="G53" s="383"/>
      <c r="H53" s="419"/>
      <c r="I53" s="419"/>
      <c r="J53" s="419"/>
      <c r="K53" s="419"/>
      <c r="L53" s="419"/>
      <c r="M53" s="419"/>
      <c r="N53" s="419"/>
    </row>
    <row r="54" spans="2:14">
      <c r="B54" s="3737" t="s">
        <v>83</v>
      </c>
      <c r="C54" s="3701" t="s">
        <v>496</v>
      </c>
      <c r="D54" s="3736" t="s">
        <v>497</v>
      </c>
      <c r="E54" s="3736" t="s">
        <v>498</v>
      </c>
      <c r="F54" s="3701" t="s">
        <v>415</v>
      </c>
      <c r="G54" s="3701" t="s">
        <v>416</v>
      </c>
      <c r="H54" s="3736" t="s">
        <v>522</v>
      </c>
      <c r="I54" s="419"/>
      <c r="J54" s="419"/>
      <c r="K54" s="419"/>
      <c r="L54" s="419"/>
      <c r="M54" s="419"/>
      <c r="N54" s="419"/>
    </row>
    <row r="55" spans="2:14">
      <c r="B55" s="3737"/>
      <c r="C55" s="3701"/>
      <c r="D55" s="3736"/>
      <c r="E55" s="3736"/>
      <c r="F55" s="3701"/>
      <c r="G55" s="3701"/>
      <c r="H55" s="3736"/>
      <c r="I55" s="419"/>
      <c r="J55" s="419"/>
      <c r="K55" s="419"/>
      <c r="L55" s="419"/>
      <c r="M55" s="419"/>
      <c r="N55" s="419"/>
    </row>
    <row r="56" spans="2:14">
      <c r="B56" s="2794" t="s">
        <v>92</v>
      </c>
      <c r="C56" s="2022">
        <v>894974.9160731216</v>
      </c>
      <c r="D56" s="2022">
        <v>401211.76545430167</v>
      </c>
      <c r="E56" s="2022">
        <v>10541708.81798918</v>
      </c>
      <c r="F56" s="2022">
        <v>4357960.2174828546</v>
      </c>
      <c r="G56" s="2022">
        <v>1118545.6680854259</v>
      </c>
      <c r="H56" s="2812">
        <f>C56+D56+E56+F56+G56</f>
        <v>17314401.385084882</v>
      </c>
      <c r="I56" s="419"/>
      <c r="J56" s="419"/>
      <c r="K56" s="419"/>
      <c r="L56" s="419"/>
      <c r="M56" s="419"/>
      <c r="N56" s="419"/>
    </row>
    <row r="57" spans="2:14" ht="15">
      <c r="B57" s="2794" t="s">
        <v>95</v>
      </c>
      <c r="C57" s="2022">
        <v>27803.217304773243</v>
      </c>
      <c r="D57" s="576">
        <v>58973.275111107228</v>
      </c>
      <c r="E57" s="2022">
        <v>1004165.9821220267</v>
      </c>
      <c r="F57" s="2022">
        <v>246529.69096277305</v>
      </c>
      <c r="G57" s="2022">
        <v>139583.66341600686</v>
      </c>
      <c r="H57" s="2812">
        <f>C57+D57+E57+F57+G57</f>
        <v>1477055.8289166871</v>
      </c>
      <c r="I57" s="419"/>
      <c r="J57" s="419"/>
      <c r="K57" s="419"/>
      <c r="L57" s="419"/>
      <c r="M57" s="419"/>
      <c r="N57" s="419"/>
    </row>
    <row r="58" spans="2:14">
      <c r="B58" s="2794" t="s">
        <v>98</v>
      </c>
      <c r="C58" s="2022">
        <v>434565</v>
      </c>
      <c r="D58" s="2022">
        <v>340993</v>
      </c>
      <c r="E58" s="2022">
        <v>10556560</v>
      </c>
      <c r="F58" s="2022">
        <v>1501695</v>
      </c>
      <c r="G58" s="2022">
        <v>1552602</v>
      </c>
      <c r="H58" s="2812">
        <f t="shared" ref="H58:H69" si="7">C58+D58+E58+F58+G58</f>
        <v>14386415</v>
      </c>
      <c r="I58" s="419"/>
      <c r="J58" s="419"/>
      <c r="K58" s="419"/>
      <c r="L58" s="419"/>
      <c r="M58" s="419"/>
      <c r="N58" s="419"/>
    </row>
    <row r="59" spans="2:14">
      <c r="B59" s="2794" t="s">
        <v>99</v>
      </c>
      <c r="C59" s="2022">
        <v>241550.24608000016</v>
      </c>
      <c r="D59" s="2022">
        <v>14053.87811</v>
      </c>
      <c r="E59" s="2022">
        <v>3294276.4619400003</v>
      </c>
      <c r="F59" s="2022">
        <v>230137.58854</v>
      </c>
      <c r="G59" s="2022">
        <v>64726.333090000015</v>
      </c>
      <c r="H59" s="2812">
        <f t="shared" si="7"/>
        <v>3844744.5077600004</v>
      </c>
      <c r="I59" s="419"/>
      <c r="J59" s="419"/>
      <c r="K59" s="419"/>
      <c r="L59" s="419"/>
      <c r="M59" s="419"/>
      <c r="N59" s="419"/>
    </row>
    <row r="60" spans="2:14">
      <c r="B60" s="2794" t="s">
        <v>101</v>
      </c>
      <c r="C60" s="2022">
        <v>31569.249939999994</v>
      </c>
      <c r="D60" s="2022">
        <v>3833.2167799999997</v>
      </c>
      <c r="E60" s="2022">
        <v>3135767.8994200001</v>
      </c>
      <c r="F60" s="2022">
        <v>41090.019999999997</v>
      </c>
      <c r="G60" s="2022">
        <v>214336.94696000003</v>
      </c>
      <c r="H60" s="2812">
        <f t="shared" si="7"/>
        <v>3426597.3330999999</v>
      </c>
      <c r="I60" s="419"/>
      <c r="J60" s="419"/>
      <c r="K60" s="419"/>
      <c r="L60" s="419"/>
      <c r="M60" s="419"/>
      <c r="N60" s="419"/>
    </row>
    <row r="61" spans="2:14">
      <c r="B61" s="2794" t="s">
        <v>102</v>
      </c>
      <c r="C61" s="2022">
        <v>181966.59357685703</v>
      </c>
      <c r="D61" s="2022">
        <v>174215.1304347906</v>
      </c>
      <c r="E61" s="2022">
        <v>3408457.8327883733</v>
      </c>
      <c r="F61" s="2022">
        <v>1593028.452678547</v>
      </c>
      <c r="G61" s="2022">
        <v>311672.01226143539</v>
      </c>
      <c r="H61" s="2812">
        <f t="shared" si="7"/>
        <v>5669340.0217400035</v>
      </c>
      <c r="I61" s="419"/>
      <c r="J61" s="419"/>
      <c r="K61" s="419"/>
      <c r="L61" s="419"/>
      <c r="M61" s="419"/>
      <c r="N61" s="419"/>
    </row>
    <row r="62" spans="2:14">
      <c r="B62" s="2794" t="s">
        <v>104</v>
      </c>
      <c r="C62" s="2022">
        <v>42273.392780000155</v>
      </c>
      <c r="D62" s="2022">
        <v>5516.2546399999937</v>
      </c>
      <c r="E62" s="2022">
        <v>3327240.9094599998</v>
      </c>
      <c r="F62" s="2022">
        <v>173551.00905999998</v>
      </c>
      <c r="G62" s="2022">
        <v>41981.384140000002</v>
      </c>
      <c r="H62" s="2812">
        <f t="shared" si="7"/>
        <v>3590562.9500800003</v>
      </c>
      <c r="I62" s="419"/>
      <c r="J62" s="419"/>
      <c r="K62" s="419"/>
      <c r="L62" s="419"/>
      <c r="M62" s="419"/>
      <c r="N62" s="419"/>
    </row>
    <row r="63" spans="2:14">
      <c r="B63" s="2794" t="s">
        <v>108</v>
      </c>
      <c r="C63" s="2022">
        <v>52535.660239999452</v>
      </c>
      <c r="D63" s="2022">
        <v>8980.1610900000032</v>
      </c>
      <c r="E63" s="2022">
        <v>3815929.5538300029</v>
      </c>
      <c r="F63" s="2770"/>
      <c r="G63" s="2022">
        <v>42830.355369999932</v>
      </c>
      <c r="H63" s="2812">
        <f t="shared" si="7"/>
        <v>3920275.7305300022</v>
      </c>
      <c r="I63" s="419"/>
      <c r="J63" s="419"/>
      <c r="K63" s="419"/>
      <c r="L63" s="419"/>
      <c r="M63" s="419"/>
      <c r="N63" s="419"/>
    </row>
    <row r="64" spans="2:14">
      <c r="B64" s="2794" t="s">
        <v>109</v>
      </c>
      <c r="C64" s="2022">
        <v>-115.47004909033706</v>
      </c>
      <c r="D64" s="2022">
        <v>-90.737328992500636</v>
      </c>
      <c r="E64" s="2022">
        <v>6285.7533963415462</v>
      </c>
      <c r="F64" s="2022">
        <v>-19.322949999999764</v>
      </c>
      <c r="G64" s="2022">
        <v>5400.1222300412455</v>
      </c>
      <c r="H64" s="2812">
        <f t="shared" si="7"/>
        <v>11460.345298299955</v>
      </c>
      <c r="I64" s="419"/>
      <c r="J64" s="419"/>
      <c r="K64" s="419"/>
      <c r="L64" s="419"/>
      <c r="M64" s="419"/>
      <c r="N64" s="419"/>
    </row>
    <row r="65" spans="2:14">
      <c r="B65" s="2794" t="s">
        <v>110</v>
      </c>
      <c r="C65" s="2022">
        <v>2554.4119700000001</v>
      </c>
      <c r="D65" s="2022">
        <v>27305.966969999998</v>
      </c>
      <c r="E65" s="2022">
        <v>383485.46004999999</v>
      </c>
      <c r="F65" s="2022">
        <v>4964265.9978</v>
      </c>
      <c r="G65" s="2022">
        <v>414777.32105000014</v>
      </c>
      <c r="H65" s="2812">
        <f t="shared" si="7"/>
        <v>5792389.1578400005</v>
      </c>
      <c r="I65" s="419"/>
      <c r="J65" s="419"/>
      <c r="K65" s="419"/>
      <c r="L65" s="419"/>
      <c r="M65" s="419"/>
      <c r="N65" s="419"/>
    </row>
    <row r="66" spans="2:14">
      <c r="B66" s="2794" t="s">
        <v>111</v>
      </c>
      <c r="C66" s="2022">
        <v>12102</v>
      </c>
      <c r="D66" s="2022">
        <v>6065</v>
      </c>
      <c r="E66" s="2022">
        <v>1207274</v>
      </c>
      <c r="F66" s="2022">
        <v>55079</v>
      </c>
      <c r="G66" s="2022">
        <v>73395</v>
      </c>
      <c r="H66" s="2812">
        <f t="shared" si="7"/>
        <v>1353915</v>
      </c>
      <c r="I66" s="419"/>
      <c r="J66" s="419"/>
      <c r="K66" s="419"/>
      <c r="L66" s="419"/>
      <c r="M66" s="419"/>
      <c r="N66" s="419"/>
    </row>
    <row r="67" spans="2:14" ht="15">
      <c r="B67" s="2794" t="s">
        <v>112</v>
      </c>
      <c r="C67" s="2022">
        <v>147441</v>
      </c>
      <c r="D67" s="2022">
        <v>2854</v>
      </c>
      <c r="E67" s="2022">
        <v>4813706</v>
      </c>
      <c r="F67" s="2847">
        <v>121540</v>
      </c>
      <c r="G67" s="2022">
        <v>176195</v>
      </c>
      <c r="H67" s="2812">
        <f t="shared" si="7"/>
        <v>5261736</v>
      </c>
      <c r="I67" s="419"/>
      <c r="J67" s="419"/>
      <c r="K67" s="419"/>
      <c r="L67" s="419"/>
      <c r="M67" s="419"/>
      <c r="N67" s="419"/>
    </row>
    <row r="68" spans="2:14">
      <c r="B68" s="2794" t="s">
        <v>114</v>
      </c>
      <c r="C68" s="2022">
        <v>5075.2763300000006</v>
      </c>
      <c r="D68" s="2770"/>
      <c r="E68" s="2022">
        <v>737459.70700000005</v>
      </c>
      <c r="F68" s="2022">
        <v>11626.258930000002</v>
      </c>
      <c r="G68" s="2022">
        <v>67261.440959999964</v>
      </c>
      <c r="H68" s="2812">
        <f t="shared" si="7"/>
        <v>821422.68322000001</v>
      </c>
      <c r="I68" s="419"/>
      <c r="J68" s="419"/>
      <c r="K68" s="419"/>
      <c r="L68" s="419"/>
      <c r="M68" s="419"/>
      <c r="N68" s="419"/>
    </row>
    <row r="69" spans="2:14">
      <c r="B69" s="2794" t="s">
        <v>115</v>
      </c>
      <c r="C69" s="2022">
        <v>109355</v>
      </c>
      <c r="D69" s="2022">
        <v>131378</v>
      </c>
      <c r="E69" s="2022">
        <v>12492162</v>
      </c>
      <c r="F69" s="2022">
        <v>1856565</v>
      </c>
      <c r="G69" s="2022">
        <v>719543</v>
      </c>
      <c r="H69" s="2812">
        <f t="shared" si="7"/>
        <v>15309003</v>
      </c>
      <c r="I69" s="419"/>
      <c r="J69" s="419"/>
      <c r="K69" s="419"/>
      <c r="L69" s="419"/>
      <c r="M69" s="419"/>
      <c r="N69" s="419"/>
    </row>
    <row r="70" spans="2:14">
      <c r="B70" s="2810" t="s">
        <v>523</v>
      </c>
      <c r="C70" s="2815">
        <f>SUM(C56:C69)</f>
        <v>2183650.4942456614</v>
      </c>
      <c r="D70" s="2815">
        <f>SUM(D56:D69)</f>
        <v>1175288.911261207</v>
      </c>
      <c r="E70" s="2815">
        <f t="shared" ref="E70:G70" si="8">SUM(E56:E69)</f>
        <v>58724480.377995931</v>
      </c>
      <c r="F70" s="2815">
        <f t="shared" si="8"/>
        <v>15153048.912504174</v>
      </c>
      <c r="G70" s="2815">
        <f t="shared" si="8"/>
        <v>4942850.2475629095</v>
      </c>
      <c r="H70" s="2812">
        <f>C70+D70+E70+F70+G70</f>
        <v>82179318.943569899</v>
      </c>
      <c r="I70" s="419"/>
      <c r="J70" s="419"/>
      <c r="K70" s="419"/>
      <c r="L70" s="419"/>
      <c r="M70" s="419"/>
      <c r="N70" s="419"/>
    </row>
    <row r="71" spans="2:14">
      <c r="B71" s="2810" t="s">
        <v>399</v>
      </c>
      <c r="C71" s="2775"/>
      <c r="D71" s="2775"/>
      <c r="E71" s="2775"/>
      <c r="F71" s="2775"/>
      <c r="G71" s="2775"/>
      <c r="H71" s="2848">
        <v>5568739.3130600005</v>
      </c>
      <c r="I71" s="419"/>
      <c r="J71" s="419"/>
      <c r="K71" s="419"/>
      <c r="L71" s="419"/>
      <c r="M71" s="419"/>
      <c r="N71" s="419"/>
    </row>
    <row r="72" spans="2:14">
      <c r="B72" s="2810" t="s">
        <v>118</v>
      </c>
      <c r="C72" s="2815">
        <f>C70+C71</f>
        <v>2183650.4942456614</v>
      </c>
      <c r="D72" s="2815">
        <f t="shared" ref="D72:G72" si="9">D70+D71</f>
        <v>1175288.911261207</v>
      </c>
      <c r="E72" s="2815">
        <f t="shared" si="9"/>
        <v>58724480.377995931</v>
      </c>
      <c r="F72" s="2815">
        <f t="shared" si="9"/>
        <v>15153048.912504174</v>
      </c>
      <c r="G72" s="2815">
        <f t="shared" si="9"/>
        <v>4942850.2475629095</v>
      </c>
      <c r="H72" s="2812">
        <f>SUM(H70:H71)</f>
        <v>87748058.256629899</v>
      </c>
      <c r="I72" s="419"/>
      <c r="J72" s="419"/>
      <c r="K72" s="419"/>
      <c r="L72" s="419"/>
      <c r="M72" s="419"/>
      <c r="N72" s="419"/>
    </row>
    <row r="73" spans="2:14">
      <c r="B73" s="218"/>
      <c r="C73" s="383"/>
      <c r="D73" s="383"/>
      <c r="E73" s="383"/>
      <c r="F73" s="383"/>
      <c r="G73" s="383"/>
      <c r="H73" s="419"/>
      <c r="I73" s="419"/>
      <c r="J73" s="419"/>
      <c r="K73" s="419"/>
      <c r="L73" s="419"/>
      <c r="M73" s="419"/>
      <c r="N73" s="419"/>
    </row>
    <row r="74" spans="2:14">
      <c r="B74" s="218"/>
      <c r="C74" s="383"/>
      <c r="D74" s="383"/>
      <c r="E74" s="383"/>
      <c r="F74" s="383"/>
      <c r="G74" s="383"/>
      <c r="H74" s="305">
        <v>155</v>
      </c>
      <c r="I74" s="419"/>
      <c r="J74" s="419"/>
      <c r="K74" s="419"/>
      <c r="L74" s="419"/>
      <c r="M74" s="419"/>
      <c r="N74" s="419"/>
    </row>
    <row r="75" spans="2:14">
      <c r="B75" s="218"/>
      <c r="C75" s="383"/>
      <c r="D75" s="383"/>
      <c r="E75" s="383"/>
      <c r="F75" s="383"/>
      <c r="G75" s="383"/>
      <c r="H75" s="419"/>
      <c r="I75" s="419"/>
      <c r="J75" s="419"/>
      <c r="K75" s="419"/>
      <c r="L75" s="419"/>
      <c r="M75" s="419"/>
      <c r="N75" s="419"/>
    </row>
    <row r="76" spans="2:14">
      <c r="B76" s="3692" t="s">
        <v>526</v>
      </c>
      <c r="C76" s="3692"/>
      <c r="D76" s="3692"/>
      <c r="E76" s="3692"/>
      <c r="F76" s="3692"/>
      <c r="G76" s="458"/>
      <c r="H76" s="443"/>
      <c r="I76" s="443"/>
    </row>
    <row r="77" spans="2:14">
      <c r="H77" s="535"/>
    </row>
    <row r="78" spans="2:14">
      <c r="B78" s="3737" t="s">
        <v>83</v>
      </c>
      <c r="C78" s="3701" t="s">
        <v>496</v>
      </c>
      <c r="D78" s="3736" t="s">
        <v>497</v>
      </c>
      <c r="E78" s="3736" t="s">
        <v>498</v>
      </c>
      <c r="F78" s="3701" t="s">
        <v>527</v>
      </c>
      <c r="G78" s="3701" t="s">
        <v>416</v>
      </c>
      <c r="H78" s="3736" t="s">
        <v>522</v>
      </c>
      <c r="I78" s="443"/>
    </row>
    <row r="79" spans="2:14">
      <c r="B79" s="3737"/>
      <c r="C79" s="3701"/>
      <c r="D79" s="3736"/>
      <c r="E79" s="3736"/>
      <c r="F79" s="3701"/>
      <c r="G79" s="3701"/>
      <c r="H79" s="3736"/>
      <c r="I79" s="443"/>
    </row>
    <row r="80" spans="2:14">
      <c r="B80" s="2794" t="s">
        <v>92</v>
      </c>
      <c r="C80" s="2022">
        <v>720425.48432546936</v>
      </c>
      <c r="D80" s="2022">
        <v>343877.67274962907</v>
      </c>
      <c r="E80" s="2022">
        <v>10525086.413244998</v>
      </c>
      <c r="F80" s="2022">
        <v>2699221.8746300004</v>
      </c>
      <c r="G80" s="2022">
        <v>1046981.7183239016</v>
      </c>
      <c r="H80" s="2812">
        <f>C80+D80+E80+F80+G80</f>
        <v>15335593.163273998</v>
      </c>
      <c r="I80" s="419"/>
      <c r="J80" s="419"/>
      <c r="K80" s="419"/>
      <c r="L80" s="419"/>
      <c r="M80" s="419"/>
      <c r="N80" s="419"/>
    </row>
    <row r="81" spans="2:14">
      <c r="B81" s="2794" t="s">
        <v>95</v>
      </c>
      <c r="C81" s="2022">
        <v>37881.324923352426</v>
      </c>
      <c r="D81" s="2022">
        <v>67191.699730864508</v>
      </c>
      <c r="E81" s="2022">
        <v>1017622.0665285193</v>
      </c>
      <c r="F81" s="2022">
        <v>286225.82643110864</v>
      </c>
      <c r="G81" s="2022">
        <v>132263.55221554881</v>
      </c>
      <c r="H81" s="2812">
        <f t="shared" ref="H81:H94" si="10">C81+D81+E81+F81+G81</f>
        <v>1541184.4698293936</v>
      </c>
      <c r="I81" s="419"/>
      <c r="J81" s="419"/>
      <c r="K81" s="419"/>
      <c r="L81" s="419"/>
      <c r="M81" s="419"/>
      <c r="N81" s="419"/>
    </row>
    <row r="82" spans="2:14">
      <c r="B82" s="2794" t="s">
        <v>98</v>
      </c>
      <c r="C82" s="2022">
        <v>490891</v>
      </c>
      <c r="D82" s="2022">
        <v>343760</v>
      </c>
      <c r="E82" s="2022">
        <v>10652712</v>
      </c>
      <c r="F82" s="2022">
        <v>1371229</v>
      </c>
      <c r="G82" s="2022">
        <v>1333946</v>
      </c>
      <c r="H82" s="2812">
        <f t="shared" si="10"/>
        <v>14192538</v>
      </c>
      <c r="I82" s="419"/>
      <c r="J82" s="419"/>
      <c r="K82" s="419"/>
      <c r="L82" s="419"/>
      <c r="M82" s="419"/>
      <c r="N82" s="419"/>
    </row>
    <row r="83" spans="2:14">
      <c r="B83" s="2794" t="s">
        <v>99</v>
      </c>
      <c r="C83" s="2022">
        <v>143350.17136999994</v>
      </c>
      <c r="D83" s="2022">
        <v>14927.693780000001</v>
      </c>
      <c r="E83" s="2022">
        <v>2955100.9698001002</v>
      </c>
      <c r="F83" s="2022">
        <v>66471.926409999985</v>
      </c>
      <c r="G83" s="2022">
        <v>66291.94968000002</v>
      </c>
      <c r="H83" s="2812">
        <f t="shared" si="10"/>
        <v>3246142.7110401001</v>
      </c>
      <c r="I83" s="419"/>
      <c r="J83" s="419"/>
      <c r="K83" s="419"/>
      <c r="L83" s="419"/>
      <c r="M83" s="419"/>
      <c r="N83" s="419"/>
    </row>
    <row r="84" spans="2:14">
      <c r="B84" s="2794" t="s">
        <v>101</v>
      </c>
      <c r="C84" s="2022">
        <v>17100.939999999999</v>
      </c>
      <c r="D84" s="2022">
        <v>1249.4299999999998</v>
      </c>
      <c r="E84" s="2022">
        <v>2671298.2500000009</v>
      </c>
      <c r="F84" s="2022">
        <v>25838</v>
      </c>
      <c r="G84" s="2022">
        <v>128953.24999999997</v>
      </c>
      <c r="H84" s="2812">
        <f t="shared" si="10"/>
        <v>2844439.870000001</v>
      </c>
      <c r="I84" s="419"/>
      <c r="J84" s="419"/>
      <c r="K84" s="419"/>
      <c r="L84" s="419"/>
      <c r="M84" s="419"/>
      <c r="N84" s="419"/>
    </row>
    <row r="85" spans="2:14">
      <c r="B85" s="2794" t="s">
        <v>102</v>
      </c>
      <c r="C85" s="2022">
        <v>107035.28360000048</v>
      </c>
      <c r="D85" s="2022">
        <v>160580.85265000007</v>
      </c>
      <c r="E85" s="2022">
        <v>4588146.2982818754</v>
      </c>
      <c r="F85" s="2022">
        <v>1559182.0774998444</v>
      </c>
      <c r="G85" s="2022">
        <v>542853.21830015851</v>
      </c>
      <c r="H85" s="2812">
        <f t="shared" si="10"/>
        <v>6957797.7303318782</v>
      </c>
      <c r="I85" s="419"/>
      <c r="J85" s="419"/>
      <c r="K85" s="419"/>
      <c r="L85" s="419"/>
      <c r="M85" s="419"/>
      <c r="N85" s="419"/>
    </row>
    <row r="86" spans="2:14">
      <c r="B86" s="2794" t="s">
        <v>104</v>
      </c>
      <c r="C86" s="2022">
        <v>46775.605029999926</v>
      </c>
      <c r="D86" s="2022">
        <v>8648.0098800000051</v>
      </c>
      <c r="E86" s="2022">
        <v>3000044.1597499987</v>
      </c>
      <c r="F86" s="2022">
        <v>187886.03063000002</v>
      </c>
      <c r="G86" s="2022">
        <v>36594.197749999963</v>
      </c>
      <c r="H86" s="2812">
        <f t="shared" si="10"/>
        <v>3279948.0030399985</v>
      </c>
      <c r="I86" s="419"/>
      <c r="J86" s="419"/>
      <c r="K86" s="419"/>
      <c r="L86" s="419"/>
      <c r="M86" s="419"/>
      <c r="N86" s="419"/>
    </row>
    <row r="87" spans="2:14">
      <c r="B87" s="2794" t="s">
        <v>108</v>
      </c>
      <c r="C87" s="2022">
        <v>44127.078324563008</v>
      </c>
      <c r="D87" s="2022">
        <v>8580.7720500000032</v>
      </c>
      <c r="E87" s="2022">
        <v>3377375.7634900003</v>
      </c>
      <c r="F87" s="2770"/>
      <c r="G87" s="2022">
        <v>39068.772009999993</v>
      </c>
      <c r="H87" s="2812">
        <f t="shared" si="10"/>
        <v>3469152.3858745634</v>
      </c>
      <c r="I87" s="419"/>
      <c r="J87" s="419"/>
      <c r="K87" s="419"/>
      <c r="L87" s="419"/>
      <c r="M87" s="419"/>
      <c r="N87" s="419"/>
    </row>
    <row r="88" spans="2:14">
      <c r="B88" s="2794" t="s">
        <v>109</v>
      </c>
      <c r="C88" s="2022">
        <v>-862.25289999999995</v>
      </c>
      <c r="D88" s="2022">
        <v>11.663510000000002</v>
      </c>
      <c r="E88" s="2022">
        <v>19072.187389999999</v>
      </c>
      <c r="F88" s="2044"/>
      <c r="G88" s="2022">
        <v>63.047530000000279</v>
      </c>
      <c r="H88" s="2812">
        <f t="shared" si="10"/>
        <v>18284.645529999998</v>
      </c>
      <c r="I88" s="419"/>
      <c r="J88" s="419"/>
      <c r="K88" s="419"/>
      <c r="L88" s="419"/>
      <c r="M88" s="419"/>
      <c r="N88" s="419"/>
    </row>
    <row r="89" spans="2:14">
      <c r="B89" s="2794" t="s">
        <v>110</v>
      </c>
      <c r="C89" s="2022">
        <v>11902.887939999999</v>
      </c>
      <c r="D89" s="2022">
        <v>3468.0092500000001</v>
      </c>
      <c r="E89" s="2022">
        <v>383319.38270000007</v>
      </c>
      <c r="F89" s="2022">
        <v>4069119.0414900002</v>
      </c>
      <c r="G89" s="2022">
        <v>-94717.407570000039</v>
      </c>
      <c r="H89" s="2812">
        <f t="shared" si="10"/>
        <v>4373091.9138100008</v>
      </c>
      <c r="I89" s="419"/>
      <c r="J89" s="419"/>
      <c r="K89" s="419"/>
      <c r="L89" s="419"/>
      <c r="M89" s="419"/>
      <c r="N89" s="419"/>
    </row>
    <row r="90" spans="2:14">
      <c r="B90" s="2794" t="s">
        <v>111</v>
      </c>
      <c r="C90" s="2022">
        <v>5651.0105429542382</v>
      </c>
      <c r="D90" s="2022">
        <v>7978.9872868186985</v>
      </c>
      <c r="E90" s="2022">
        <v>1067724.6994845858</v>
      </c>
      <c r="F90" s="2022">
        <v>39591.354590416682</v>
      </c>
      <c r="G90" s="2022">
        <v>66306.445450562926</v>
      </c>
      <c r="H90" s="2812">
        <f t="shared" si="10"/>
        <v>1187252.4973553384</v>
      </c>
      <c r="I90" s="419"/>
      <c r="J90" s="419"/>
      <c r="K90" s="419"/>
      <c r="L90" s="419"/>
      <c r="M90" s="419"/>
      <c r="N90" s="419"/>
    </row>
    <row r="91" spans="2:14">
      <c r="B91" s="2794" t="s">
        <v>112</v>
      </c>
      <c r="C91" s="2022">
        <v>153432.12047000011</v>
      </c>
      <c r="D91" s="2022">
        <v>2291.51476</v>
      </c>
      <c r="E91" s="2022">
        <v>4232049.3682547705</v>
      </c>
      <c r="F91" s="2022">
        <v>95856</v>
      </c>
      <c r="G91" s="2022">
        <v>225858.09059000004</v>
      </c>
      <c r="H91" s="2812">
        <f t="shared" si="10"/>
        <v>4709487.0940747708</v>
      </c>
      <c r="I91" s="419"/>
      <c r="J91" s="419"/>
      <c r="K91" s="419"/>
      <c r="L91" s="419"/>
      <c r="M91" s="419"/>
      <c r="N91" s="419"/>
    </row>
    <row r="92" spans="2:14">
      <c r="B92" s="2794" t="s">
        <v>134</v>
      </c>
      <c r="C92" s="2022">
        <v>7357.6931058333303</v>
      </c>
      <c r="D92" s="2770"/>
      <c r="E92" s="2022">
        <v>497362.09213208652</v>
      </c>
      <c r="F92" s="2022">
        <v>10879.942319999998</v>
      </c>
      <c r="G92" s="2022">
        <v>69268.237692080249</v>
      </c>
      <c r="H92" s="2812">
        <f t="shared" si="10"/>
        <v>584867.96525000001</v>
      </c>
      <c r="I92" s="419"/>
      <c r="J92" s="419"/>
      <c r="K92" s="419"/>
      <c r="L92" s="419"/>
      <c r="M92" s="419"/>
      <c r="N92" s="419"/>
    </row>
    <row r="93" spans="2:14">
      <c r="B93" s="2794" t="s">
        <v>115</v>
      </c>
      <c r="C93" s="2022">
        <v>172169.02591906127</v>
      </c>
      <c r="D93" s="2022">
        <v>141809.30819601277</v>
      </c>
      <c r="E93" s="2022">
        <v>11904435.11677387</v>
      </c>
      <c r="F93" s="2022">
        <v>1974632.7106704654</v>
      </c>
      <c r="G93" s="2022">
        <v>898301.63627295836</v>
      </c>
      <c r="H93" s="2812">
        <f t="shared" si="10"/>
        <v>15091347.797832366</v>
      </c>
      <c r="I93" s="419"/>
      <c r="J93" s="419"/>
      <c r="K93" s="419"/>
      <c r="L93" s="419"/>
      <c r="M93" s="419"/>
      <c r="N93" s="419"/>
    </row>
    <row r="94" spans="2:14">
      <c r="B94" s="2810" t="s">
        <v>523</v>
      </c>
      <c r="C94" s="2815">
        <f>SUM(C80:C93)</f>
        <v>1957237.3726512343</v>
      </c>
      <c r="D94" s="2815">
        <f t="shared" ref="D94:G94" si="11">SUM(D80:D93)</f>
        <v>1104375.6138433251</v>
      </c>
      <c r="E94" s="2815">
        <f t="shared" si="11"/>
        <v>56891348.767830804</v>
      </c>
      <c r="F94" s="2815">
        <f t="shared" si="11"/>
        <v>12386133.784671836</v>
      </c>
      <c r="G94" s="2815">
        <f t="shared" si="11"/>
        <v>4492032.7082452113</v>
      </c>
      <c r="H94" s="2812">
        <f t="shared" si="10"/>
        <v>76831128.247242421</v>
      </c>
      <c r="I94" s="419"/>
      <c r="J94" s="419"/>
      <c r="K94" s="419"/>
      <c r="L94" s="419"/>
      <c r="M94" s="419"/>
      <c r="N94" s="419"/>
    </row>
    <row r="95" spans="2:14">
      <c r="B95" s="2810" t="s">
        <v>399</v>
      </c>
      <c r="C95" s="2775"/>
      <c r="D95" s="2775"/>
      <c r="E95" s="2775"/>
      <c r="F95" s="2775"/>
      <c r="G95" s="2775"/>
      <c r="H95" s="2848">
        <v>4031846.35268</v>
      </c>
      <c r="I95" s="419"/>
      <c r="J95" s="419"/>
      <c r="K95" s="419"/>
      <c r="L95" s="419"/>
      <c r="M95" s="419"/>
      <c r="N95" s="419"/>
    </row>
    <row r="96" spans="2:14">
      <c r="B96" s="2810" t="s">
        <v>118</v>
      </c>
      <c r="C96" s="2815">
        <f>C94+C95</f>
        <v>1957237.3726512343</v>
      </c>
      <c r="D96" s="2815">
        <f t="shared" ref="D96:H96" si="12">D94+D95</f>
        <v>1104375.6138433251</v>
      </c>
      <c r="E96" s="2815">
        <f t="shared" si="12"/>
        <v>56891348.767830804</v>
      </c>
      <c r="F96" s="2815">
        <f t="shared" si="12"/>
        <v>12386133.784671836</v>
      </c>
      <c r="G96" s="2815">
        <f t="shared" si="12"/>
        <v>4492032.7082452113</v>
      </c>
      <c r="H96" s="2815">
        <f t="shared" si="12"/>
        <v>80862974.599922419</v>
      </c>
      <c r="I96" s="419"/>
      <c r="J96" s="419"/>
      <c r="K96" s="419"/>
      <c r="L96" s="419"/>
      <c r="M96" s="419"/>
      <c r="N96" s="419"/>
    </row>
    <row r="97" spans="2:14">
      <c r="B97" s="481"/>
      <c r="C97" s="383"/>
      <c r="D97" s="383"/>
      <c r="E97" s="383"/>
      <c r="F97" s="383"/>
      <c r="G97" s="383"/>
      <c r="H97" s="279"/>
      <c r="I97" s="419"/>
      <c r="J97" s="419"/>
      <c r="K97" s="419"/>
      <c r="L97" s="419"/>
      <c r="M97" s="419"/>
      <c r="N97" s="419"/>
    </row>
    <row r="98" spans="2:14">
      <c r="B98" s="218"/>
      <c r="C98" s="383"/>
      <c r="D98" s="383"/>
      <c r="E98" s="383"/>
      <c r="F98" s="383"/>
      <c r="G98" s="383"/>
      <c r="H98" s="264">
        <v>156</v>
      </c>
      <c r="I98" s="419"/>
      <c r="J98" s="419"/>
      <c r="K98" s="419"/>
      <c r="L98" s="419"/>
      <c r="M98" s="419"/>
      <c r="N98" s="419"/>
    </row>
    <row r="99" spans="2:14">
      <c r="B99" s="292"/>
      <c r="H99" s="292"/>
      <c r="I99" s="419"/>
      <c r="J99" s="419"/>
      <c r="K99" s="419"/>
      <c r="L99" s="419"/>
      <c r="M99" s="419"/>
      <c r="N99" s="419"/>
    </row>
    <row r="100" spans="2:14">
      <c r="B100" s="3692" t="s">
        <v>528</v>
      </c>
      <c r="C100" s="3692"/>
      <c r="D100" s="3692"/>
      <c r="E100" s="3692"/>
      <c r="F100" s="3692"/>
      <c r="G100" s="458"/>
      <c r="H100" s="443"/>
      <c r="I100" s="419"/>
      <c r="J100" s="419"/>
      <c r="K100" s="419"/>
      <c r="L100" s="419"/>
      <c r="M100" s="419"/>
      <c r="N100" s="419"/>
    </row>
    <row r="101" spans="2:14">
      <c r="H101" s="535"/>
      <c r="I101" s="419"/>
      <c r="J101" s="419"/>
      <c r="K101" s="419"/>
      <c r="L101" s="419"/>
      <c r="M101" s="419"/>
      <c r="N101" s="419"/>
    </row>
    <row r="102" spans="2:14">
      <c r="B102" s="3737" t="s">
        <v>83</v>
      </c>
      <c r="C102" s="3701" t="s">
        <v>496</v>
      </c>
      <c r="D102" s="3736" t="s">
        <v>502</v>
      </c>
      <c r="E102" s="3736" t="s">
        <v>498</v>
      </c>
      <c r="F102" s="3736" t="s">
        <v>527</v>
      </c>
      <c r="G102" s="3736" t="s">
        <v>416</v>
      </c>
      <c r="H102" s="3736" t="s">
        <v>500</v>
      </c>
      <c r="I102" s="419"/>
      <c r="J102" s="419"/>
      <c r="K102" s="419"/>
      <c r="L102" s="419"/>
      <c r="M102" s="419"/>
      <c r="N102" s="419"/>
    </row>
    <row r="103" spans="2:14">
      <c r="B103" s="3737"/>
      <c r="C103" s="3701"/>
      <c r="D103" s="3736"/>
      <c r="E103" s="3736"/>
      <c r="F103" s="3736"/>
      <c r="G103" s="3736"/>
      <c r="H103" s="3736"/>
      <c r="I103" s="419"/>
      <c r="J103" s="419"/>
      <c r="K103" s="419"/>
      <c r="L103" s="419"/>
      <c r="M103" s="419"/>
      <c r="N103" s="419"/>
    </row>
    <row r="104" spans="2:14">
      <c r="B104" s="2794" t="s">
        <v>92</v>
      </c>
      <c r="C104" s="2022">
        <v>203080.48834698478</v>
      </c>
      <c r="D104" s="2022">
        <v>93192.697766640253</v>
      </c>
      <c r="E104" s="2022">
        <v>1996615.8859679992</v>
      </c>
      <c r="F104" s="2022">
        <v>602571.64159500005</v>
      </c>
      <c r="G104" s="2022">
        <v>518354.85350637801</v>
      </c>
      <c r="H104" s="2812">
        <v>3413815.5671830024</v>
      </c>
      <c r="I104" s="419"/>
      <c r="J104" s="419"/>
      <c r="K104" s="419"/>
      <c r="L104" s="419"/>
      <c r="M104" s="419"/>
      <c r="N104" s="419"/>
    </row>
    <row r="105" spans="2:14">
      <c r="B105" s="2794" t="s">
        <v>95</v>
      </c>
      <c r="C105" s="2022">
        <v>30273.567197515786</v>
      </c>
      <c r="D105" s="2022">
        <v>45834.325532507988</v>
      </c>
      <c r="E105" s="2022">
        <v>911560.23119413131</v>
      </c>
      <c r="F105" s="2022">
        <v>179093.46276599308</v>
      </c>
      <c r="G105" s="2022">
        <v>117369.34388486961</v>
      </c>
      <c r="H105" s="2812">
        <v>1284130.9305750178</v>
      </c>
      <c r="I105" s="419"/>
      <c r="J105" s="419"/>
      <c r="K105" s="419"/>
      <c r="L105" s="419"/>
      <c r="M105" s="419"/>
      <c r="N105" s="419"/>
    </row>
    <row r="106" spans="2:14">
      <c r="B106" s="2794" t="s">
        <v>98</v>
      </c>
      <c r="C106" s="2022">
        <v>656214</v>
      </c>
      <c r="D106" s="2022">
        <v>318426</v>
      </c>
      <c r="E106" s="2022">
        <v>9706166</v>
      </c>
      <c r="F106" s="2022">
        <v>1217459</v>
      </c>
      <c r="G106" s="2022">
        <v>1311172</v>
      </c>
      <c r="H106" s="2812">
        <v>13209437</v>
      </c>
      <c r="I106" s="419"/>
      <c r="J106" s="419"/>
      <c r="K106" s="419"/>
      <c r="L106" s="419"/>
      <c r="M106" s="419"/>
      <c r="N106" s="419"/>
    </row>
    <row r="107" spans="2:14">
      <c r="B107" s="2794" t="s">
        <v>99</v>
      </c>
      <c r="C107" s="2022">
        <v>105110.49992999999</v>
      </c>
      <c r="D107" s="2022">
        <v>12450.543520000012</v>
      </c>
      <c r="E107" s="2022">
        <v>2404670.2803400001</v>
      </c>
      <c r="F107" s="2022">
        <v>53160.585410000029</v>
      </c>
      <c r="G107" s="2022">
        <v>61748.017769999991</v>
      </c>
      <c r="H107" s="2812">
        <v>2637139.9269699994</v>
      </c>
      <c r="I107" s="419"/>
      <c r="J107" s="419"/>
      <c r="K107" s="419"/>
      <c r="L107" s="419"/>
      <c r="M107" s="419"/>
      <c r="N107" s="419"/>
    </row>
    <row r="108" spans="2:14">
      <c r="B108" s="2794" t="s">
        <v>101</v>
      </c>
      <c r="C108" s="2022">
        <v>25130.150000000009</v>
      </c>
      <c r="D108" s="2022">
        <v>-2801.0600000000004</v>
      </c>
      <c r="E108" s="2022">
        <v>2198817.4</v>
      </c>
      <c r="F108" s="2022">
        <v>16609</v>
      </c>
      <c r="G108" s="2022">
        <v>113564.26000000004</v>
      </c>
      <c r="H108" s="2812">
        <v>2351319.75</v>
      </c>
      <c r="I108" s="419"/>
      <c r="J108" s="419"/>
      <c r="K108" s="419"/>
      <c r="L108" s="419"/>
      <c r="M108" s="419"/>
      <c r="N108" s="419"/>
    </row>
    <row r="109" spans="2:14">
      <c r="B109" s="2794" t="s">
        <v>102</v>
      </c>
      <c r="C109" s="2022">
        <v>308129.39343992359</v>
      </c>
      <c r="D109" s="2022">
        <v>182881.88339758813</v>
      </c>
      <c r="E109" s="2022">
        <v>4743030.0316402223</v>
      </c>
      <c r="F109" s="2022">
        <v>2968127.6516633579</v>
      </c>
      <c r="G109" s="2022">
        <v>211636.13435219947</v>
      </c>
      <c r="H109" s="2812">
        <v>8413805.0944932923</v>
      </c>
      <c r="I109" s="419"/>
      <c r="J109" s="419"/>
      <c r="K109" s="419"/>
      <c r="L109" s="419"/>
      <c r="M109" s="419"/>
      <c r="N109" s="419"/>
    </row>
    <row r="110" spans="2:14">
      <c r="B110" s="2794" t="s">
        <v>104</v>
      </c>
      <c r="C110" s="2022">
        <v>14815.562399999961</v>
      </c>
      <c r="D110" s="2022">
        <v>6569.411979999998</v>
      </c>
      <c r="E110" s="2022">
        <v>2451170.8573999992</v>
      </c>
      <c r="F110" s="2022">
        <v>168802.07815000002</v>
      </c>
      <c r="G110" s="2022">
        <v>24847.358930000013</v>
      </c>
      <c r="H110" s="2812">
        <v>2666205.2688599993</v>
      </c>
      <c r="I110" s="419"/>
      <c r="J110" s="419"/>
      <c r="K110" s="419"/>
      <c r="L110" s="419"/>
      <c r="M110" s="419"/>
      <c r="N110" s="419"/>
    </row>
    <row r="111" spans="2:14">
      <c r="B111" s="2794" t="s">
        <v>145</v>
      </c>
      <c r="C111" s="2022">
        <v>53241.739909999473</v>
      </c>
      <c r="D111" s="2022">
        <v>161503.18862999996</v>
      </c>
      <c r="E111" s="2022">
        <v>7280591.7425899999</v>
      </c>
      <c r="F111" s="2022">
        <v>1318734.98385</v>
      </c>
      <c r="G111" s="2022">
        <v>402153.63177259761</v>
      </c>
      <c r="H111" s="2812">
        <v>9216225.2867525984</v>
      </c>
      <c r="I111" s="419"/>
      <c r="J111" s="419"/>
      <c r="K111" s="419"/>
      <c r="L111" s="419"/>
      <c r="M111" s="419"/>
      <c r="N111" s="419"/>
    </row>
    <row r="112" spans="2:14">
      <c r="B112" s="2794" t="s">
        <v>108</v>
      </c>
      <c r="C112" s="2022">
        <v>39300.150579999943</v>
      </c>
      <c r="D112" s="2022">
        <v>6438.8999300000005</v>
      </c>
      <c r="E112" s="2022">
        <v>2768466.4455599999</v>
      </c>
      <c r="F112" s="2770"/>
      <c r="G112" s="2022">
        <v>31562.671683738808</v>
      </c>
      <c r="H112" s="2812">
        <v>2845768.1677537388</v>
      </c>
      <c r="I112" s="419"/>
      <c r="J112" s="419"/>
      <c r="K112" s="419"/>
      <c r="L112" s="419"/>
      <c r="M112" s="419"/>
      <c r="N112" s="419"/>
    </row>
    <row r="113" spans="2:14">
      <c r="B113" s="2794" t="s">
        <v>109</v>
      </c>
      <c r="C113" s="2022">
        <v>7328.9712453597804</v>
      </c>
      <c r="D113" s="2022">
        <v>1626.1713489281824</v>
      </c>
      <c r="E113" s="2022">
        <v>367257.60564957885</v>
      </c>
      <c r="F113" s="2022">
        <v>88067.97062261797</v>
      </c>
      <c r="G113" s="2022">
        <v>7216.0989836727422</v>
      </c>
      <c r="H113" s="2812">
        <v>471496.81785015756</v>
      </c>
      <c r="I113" s="419"/>
      <c r="J113" s="419"/>
      <c r="K113" s="419"/>
      <c r="L113" s="419"/>
      <c r="M113" s="419"/>
      <c r="N113" s="419"/>
    </row>
    <row r="114" spans="2:14">
      <c r="B114" s="2794" t="s">
        <v>110</v>
      </c>
      <c r="C114" s="2022">
        <v>9707.9962599999999</v>
      </c>
      <c r="D114" s="2022">
        <v>507.44759999999997</v>
      </c>
      <c r="E114" s="2022">
        <v>377234.0183</v>
      </c>
      <c r="F114" s="2022">
        <v>2979162.7079300005</v>
      </c>
      <c r="G114" s="2022">
        <v>-228467.43870999996</v>
      </c>
      <c r="H114" s="2812">
        <v>3138144.7313800007</v>
      </c>
      <c r="I114" s="419"/>
      <c r="J114" s="419"/>
      <c r="K114" s="419"/>
      <c r="L114" s="419"/>
      <c r="M114" s="419"/>
      <c r="N114" s="419"/>
    </row>
    <row r="115" spans="2:14">
      <c r="B115" s="2794" t="s">
        <v>111</v>
      </c>
      <c r="C115" s="2022">
        <v>7554</v>
      </c>
      <c r="D115" s="2022">
        <v>8265</v>
      </c>
      <c r="E115" s="2022">
        <v>750807.2434910062</v>
      </c>
      <c r="F115" s="2022">
        <v>22891.094688749996</v>
      </c>
      <c r="G115" s="2022">
        <v>56757.415862571259</v>
      </c>
      <c r="H115" s="2812">
        <v>846274.7540423274</v>
      </c>
      <c r="I115" s="419"/>
      <c r="J115" s="419"/>
      <c r="K115" s="419"/>
      <c r="L115" s="419"/>
      <c r="M115" s="419"/>
      <c r="N115" s="419"/>
    </row>
    <row r="116" spans="2:14">
      <c r="B116" s="2794" t="s">
        <v>112</v>
      </c>
      <c r="C116" s="2022">
        <v>116450.05399000001</v>
      </c>
      <c r="D116" s="2022">
        <v>2479.2345399999995</v>
      </c>
      <c r="E116" s="2022">
        <v>3657219.393672362</v>
      </c>
      <c r="F116" s="2022">
        <v>88470.799397637631</v>
      </c>
      <c r="G116" s="2022">
        <v>232562.45639000001</v>
      </c>
      <c r="H116" s="2812">
        <v>4097181.9379899995</v>
      </c>
      <c r="I116" s="419"/>
      <c r="J116" s="419"/>
      <c r="K116" s="419"/>
      <c r="L116" s="419"/>
      <c r="M116" s="419"/>
      <c r="N116" s="419"/>
    </row>
    <row r="117" spans="2:14">
      <c r="B117" s="2794" t="s">
        <v>134</v>
      </c>
      <c r="C117" s="2022">
        <v>4770.8079870833344</v>
      </c>
      <c r="D117" s="2104"/>
      <c r="E117" s="2022">
        <v>317196.99173708336</v>
      </c>
      <c r="F117" s="2022"/>
      <c r="G117" s="2022">
        <v>54524.054275833303</v>
      </c>
      <c r="H117" s="2812">
        <v>376491.85399999999</v>
      </c>
      <c r="I117" s="419"/>
      <c r="J117" s="419"/>
      <c r="K117" s="419"/>
      <c r="L117" s="419"/>
      <c r="M117" s="419"/>
      <c r="N117" s="419"/>
    </row>
    <row r="118" spans="2:14">
      <c r="B118" s="2794" t="s">
        <v>115</v>
      </c>
      <c r="C118" s="2022">
        <v>140052</v>
      </c>
      <c r="D118" s="2022">
        <v>154199</v>
      </c>
      <c r="E118" s="2022">
        <v>10649206</v>
      </c>
      <c r="F118" s="2022">
        <v>1732325</v>
      </c>
      <c r="G118" s="2022">
        <v>976563</v>
      </c>
      <c r="H118" s="2812">
        <v>13652345</v>
      </c>
      <c r="I118" s="419"/>
      <c r="J118" s="419"/>
      <c r="K118" s="419"/>
      <c r="L118" s="419"/>
      <c r="M118" s="419"/>
      <c r="N118" s="419"/>
    </row>
    <row r="119" spans="2:14">
      <c r="B119" s="2810" t="s">
        <v>523</v>
      </c>
      <c r="C119" s="2815">
        <v>1721159.3812868667</v>
      </c>
      <c r="D119" s="2815">
        <v>991572.74424566433</v>
      </c>
      <c r="E119" s="2815">
        <v>50580010.127542377</v>
      </c>
      <c r="F119" s="2815">
        <v>11435475.976073358</v>
      </c>
      <c r="G119" s="2815">
        <v>3891563.8587018615</v>
      </c>
      <c r="H119" s="2815">
        <v>68619783</v>
      </c>
      <c r="I119" s="419"/>
      <c r="J119" s="419"/>
      <c r="K119" s="419"/>
      <c r="L119" s="419"/>
      <c r="M119" s="419"/>
      <c r="N119" s="419"/>
    </row>
    <row r="120" spans="2:14">
      <c r="B120" s="2810" t="s">
        <v>399</v>
      </c>
      <c r="C120" s="2775"/>
      <c r="D120" s="2775"/>
      <c r="E120" s="2775"/>
      <c r="F120" s="2775"/>
      <c r="G120" s="2775"/>
      <c r="H120" s="2849">
        <v>3734321.3482600003</v>
      </c>
      <c r="I120" s="419"/>
      <c r="J120" s="419"/>
      <c r="K120" s="419"/>
      <c r="L120" s="419"/>
      <c r="M120" s="419"/>
      <c r="N120" s="419"/>
    </row>
    <row r="121" spans="2:14">
      <c r="B121" s="2810" t="s">
        <v>118</v>
      </c>
      <c r="C121" s="2815">
        <v>1721159.3812868667</v>
      </c>
      <c r="D121" s="2815">
        <v>991572.74424566433</v>
      </c>
      <c r="E121" s="2815">
        <v>50580010.127542377</v>
      </c>
      <c r="F121" s="2815">
        <v>11435475.976073358</v>
      </c>
      <c r="G121" s="2815">
        <v>3891563.8587018615</v>
      </c>
      <c r="H121" s="2815">
        <v>72354104.34826</v>
      </c>
      <c r="I121" s="419"/>
      <c r="J121" s="419"/>
      <c r="K121" s="419"/>
      <c r="L121" s="419"/>
      <c r="M121" s="419"/>
      <c r="N121" s="419"/>
    </row>
    <row r="122" spans="2:14">
      <c r="B122" s="218"/>
      <c r="C122" s="383"/>
      <c r="D122" s="383"/>
      <c r="E122" s="383"/>
      <c r="F122" s="383"/>
      <c r="G122" s="383"/>
      <c r="H122" s="279"/>
      <c r="I122" s="419"/>
      <c r="J122" s="419"/>
      <c r="K122" s="419"/>
      <c r="L122" s="419"/>
      <c r="M122" s="419"/>
      <c r="N122" s="419"/>
    </row>
    <row r="123" spans="2:14">
      <c r="B123" s="218"/>
      <c r="C123" s="383"/>
      <c r="D123" s="383"/>
      <c r="E123" s="383"/>
      <c r="F123" s="383"/>
      <c r="G123" s="383"/>
      <c r="H123" s="264">
        <v>157</v>
      </c>
      <c r="I123" s="419"/>
      <c r="J123" s="419"/>
      <c r="K123" s="419"/>
      <c r="L123" s="419"/>
      <c r="M123" s="419"/>
      <c r="N123" s="419"/>
    </row>
    <row r="124" spans="2:14">
      <c r="B124" s="292"/>
      <c r="I124" s="419"/>
      <c r="J124" s="419"/>
      <c r="K124" s="419"/>
      <c r="L124" s="419"/>
      <c r="M124" s="419"/>
      <c r="N124" s="419"/>
    </row>
    <row r="125" spans="2:14" s="39" customFormat="1" ht="15"/>
    <row r="126" spans="2:14" s="39" customFormat="1" ht="15">
      <c r="B126" s="471"/>
      <c r="C126" s="292"/>
    </row>
    <row r="127" spans="2:14" s="39" customFormat="1" ht="15">
      <c r="B127" s="471"/>
      <c r="C127" s="292"/>
    </row>
    <row r="128" spans="2:14" s="39" customFormat="1" ht="15"/>
    <row r="129" spans="2:2" s="39" customFormat="1" ht="15"/>
    <row r="130" spans="2:2" s="39" customFormat="1" ht="15">
      <c r="B130" s="471"/>
    </row>
    <row r="131" spans="2:2" s="39" customFormat="1" ht="15">
      <c r="B131" s="471"/>
    </row>
    <row r="132" spans="2:2" s="39" customFormat="1" ht="15"/>
    <row r="133" spans="2:2" s="39" customFormat="1" ht="15"/>
    <row r="134" spans="2:2" s="39" customFormat="1" ht="15"/>
    <row r="135" spans="2:2" s="39" customFormat="1" ht="15"/>
    <row r="136" spans="2:2" s="39" customFormat="1" ht="15"/>
    <row r="137" spans="2:2" s="39" customFormat="1" ht="15"/>
    <row r="138" spans="2:2" s="39" customFormat="1" ht="15"/>
    <row r="139" spans="2:2" s="39" customFormat="1" ht="15"/>
    <row r="140" spans="2:2" s="39" customFormat="1" ht="15"/>
    <row r="141" spans="2:2" s="39" customFormat="1" ht="15"/>
    <row r="142" spans="2:2" s="39" customFormat="1" ht="15"/>
    <row r="143" spans="2:2" s="39" customFormat="1" ht="15"/>
    <row r="144" spans="2:2" s="39" customFormat="1" ht="15"/>
    <row r="145" spans="2:10" s="39" customFormat="1" ht="15"/>
    <row r="146" spans="2:10" s="39" customFormat="1" ht="15"/>
    <row r="147" spans="2:10" s="39" customFormat="1" ht="15"/>
    <row r="148" spans="2:10" s="39" customFormat="1" ht="15"/>
    <row r="149" spans="2:10">
      <c r="B149" s="218"/>
      <c r="C149" s="383"/>
      <c r="D149" s="383"/>
      <c r="E149" s="383"/>
      <c r="F149" s="383"/>
      <c r="G149" s="383"/>
      <c r="H149" s="279"/>
      <c r="I149" s="419"/>
    </row>
    <row r="150" spans="2:10">
      <c r="B150" s="218"/>
      <c r="C150" s="383"/>
      <c r="D150" s="383"/>
      <c r="E150" s="383"/>
      <c r="F150" s="383"/>
      <c r="G150" s="383"/>
      <c r="J150" s="577"/>
    </row>
  </sheetData>
  <mergeCells count="41">
    <mergeCell ref="G78:G79"/>
    <mergeCell ref="H78:H79"/>
    <mergeCell ref="B100:F100"/>
    <mergeCell ref="B102:B103"/>
    <mergeCell ref="C102:C103"/>
    <mergeCell ref="D102:D103"/>
    <mergeCell ref="E102:E103"/>
    <mergeCell ref="F102:F103"/>
    <mergeCell ref="G102:G103"/>
    <mergeCell ref="H102:H103"/>
    <mergeCell ref="B76:F76"/>
    <mergeCell ref="B78:B79"/>
    <mergeCell ref="C78:C79"/>
    <mergeCell ref="D78:D79"/>
    <mergeCell ref="E78:E79"/>
    <mergeCell ref="F78:F79"/>
    <mergeCell ref="B2:H2"/>
    <mergeCell ref="B28:F28"/>
    <mergeCell ref="B30:B31"/>
    <mergeCell ref="C30:C31"/>
    <mergeCell ref="D30:D31"/>
    <mergeCell ref="E30:E31"/>
    <mergeCell ref="F30:F31"/>
    <mergeCell ref="G30:G31"/>
    <mergeCell ref="H30:H31"/>
    <mergeCell ref="B4:F4"/>
    <mergeCell ref="B6:B7"/>
    <mergeCell ref="C6:C7"/>
    <mergeCell ref="D6:D7"/>
    <mergeCell ref="E6:E7"/>
    <mergeCell ref="F6:F7"/>
    <mergeCell ref="G6:G7"/>
    <mergeCell ref="H6:H7"/>
    <mergeCell ref="G54:G55"/>
    <mergeCell ref="H54:H55"/>
    <mergeCell ref="B52:F52"/>
    <mergeCell ref="B54:B55"/>
    <mergeCell ref="C54:C55"/>
    <mergeCell ref="D54:D55"/>
    <mergeCell ref="E54:E55"/>
    <mergeCell ref="F54:F55"/>
  </mergeCells>
  <pageMargins left="0.28999999999999998" right="0.22" top="0.28000000000000003" bottom="0.75" header="0.3" footer="0.3"/>
  <pageSetup paperSize="9" scale="80" orientation="landscape" r:id="rId1"/>
  <rowBreaks count="5" manualBreakCount="5">
    <brk id="26" max="7" man="1"/>
    <brk id="50" max="7" man="1"/>
    <brk id="74" max="7" man="1"/>
    <brk id="98" max="7" man="1"/>
    <brk id="123"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99"/>
    <pageSetUpPr autoPageBreaks="0"/>
  </sheetPr>
  <dimension ref="A1:U130"/>
  <sheetViews>
    <sheetView showGridLines="0" view="pageBreakPreview" zoomScale="70" zoomScaleNormal="90" zoomScaleSheetLayoutView="70" workbookViewId="0">
      <selection activeCell="K128" sqref="K128"/>
    </sheetView>
  </sheetViews>
  <sheetFormatPr defaultColWidth="9.140625" defaultRowHeight="12.75"/>
  <cols>
    <col min="1" max="1" width="4.7109375" style="292" customWidth="1"/>
    <col min="2" max="7" width="23.85546875" style="292" customWidth="1"/>
    <col min="8" max="8" width="23.85546875" style="52" customWidth="1"/>
    <col min="9" max="9" width="13.28515625" style="292" customWidth="1"/>
    <col min="10" max="11" width="13.28515625" style="292" bestFit="1" customWidth="1"/>
    <col min="12" max="12" width="14.28515625" style="292" customWidth="1"/>
    <col min="13" max="13" width="13.7109375" style="292" bestFit="1" customWidth="1"/>
    <col min="14" max="14" width="14.7109375" style="292" bestFit="1" customWidth="1"/>
    <col min="15" max="15" width="12.85546875" style="292" customWidth="1"/>
    <col min="16" max="16" width="13.140625" style="292" customWidth="1"/>
    <col min="17" max="17" width="12.140625" style="292" customWidth="1"/>
    <col min="18" max="18" width="11.28515625" style="292" customWidth="1"/>
    <col min="19" max="19" width="14.7109375" style="292" customWidth="1"/>
    <col min="20" max="20" width="16.42578125" style="292" customWidth="1"/>
    <col min="21" max="21" width="14.5703125" style="385" customWidth="1"/>
    <col min="22" max="16384" width="9.140625" style="292"/>
  </cols>
  <sheetData>
    <row r="1" spans="2:10">
      <c r="B1" s="3692" t="s">
        <v>529</v>
      </c>
      <c r="C1" s="3692"/>
      <c r="D1" s="3692"/>
      <c r="E1" s="3692"/>
      <c r="F1" s="3692"/>
      <c r="G1" s="3692"/>
      <c r="H1" s="3692"/>
    </row>
    <row r="2" spans="2:10">
      <c r="B2" s="218"/>
      <c r="C2" s="218"/>
      <c r="D2" s="218"/>
      <c r="E2" s="218"/>
      <c r="F2" s="218"/>
      <c r="G2" s="218"/>
      <c r="H2" s="218"/>
    </row>
    <row r="3" spans="2:10">
      <c r="B3" s="3692" t="s">
        <v>530</v>
      </c>
      <c r="C3" s="3692"/>
      <c r="D3" s="3692"/>
      <c r="E3" s="3692"/>
      <c r="F3" s="3692"/>
      <c r="G3" s="3692"/>
    </row>
    <row r="4" spans="2:10">
      <c r="B4" s="218"/>
      <c r="G4" s="3744" t="s">
        <v>232</v>
      </c>
      <c r="H4" s="3744"/>
    </row>
    <row r="5" spans="2:10">
      <c r="B5" s="3745" t="s">
        <v>83</v>
      </c>
      <c r="C5" s="3747" t="s">
        <v>496</v>
      </c>
      <c r="D5" s="3741" t="s">
        <v>502</v>
      </c>
      <c r="E5" s="3741" t="s">
        <v>498</v>
      </c>
      <c r="F5" s="3738" t="s">
        <v>531</v>
      </c>
      <c r="G5" s="3738" t="s">
        <v>532</v>
      </c>
      <c r="H5" s="3741" t="s">
        <v>522</v>
      </c>
    </row>
    <row r="6" spans="2:10">
      <c r="B6" s="3716"/>
      <c r="C6" s="3710"/>
      <c r="D6" s="3742"/>
      <c r="E6" s="3742"/>
      <c r="F6" s="3739"/>
      <c r="G6" s="3739"/>
      <c r="H6" s="3742"/>
    </row>
    <row r="7" spans="2:10">
      <c r="B7" s="3746"/>
      <c r="C7" s="3700"/>
      <c r="D7" s="3743"/>
      <c r="E7" s="3743"/>
      <c r="F7" s="3740"/>
      <c r="G7" s="3740"/>
      <c r="H7" s="3743"/>
    </row>
    <row r="8" spans="2:10">
      <c r="B8" s="2794" t="s">
        <v>92</v>
      </c>
      <c r="C8" s="2147">
        <v>997880</v>
      </c>
      <c r="D8" s="2147">
        <v>203649</v>
      </c>
      <c r="E8" s="2147">
        <v>3514364</v>
      </c>
      <c r="F8" s="2147">
        <v>850150</v>
      </c>
      <c r="G8" s="2147">
        <v>-5323</v>
      </c>
      <c r="H8" s="2850">
        <f>C8+D8+E8+F8+G8</f>
        <v>5560720</v>
      </c>
      <c r="J8" s="396"/>
    </row>
    <row r="9" spans="2:10">
      <c r="B9" s="2794" t="s">
        <v>95</v>
      </c>
      <c r="C9" s="2147">
        <v>32370</v>
      </c>
      <c r="D9" s="2147">
        <v>33456</v>
      </c>
      <c r="E9" s="2147">
        <v>498290</v>
      </c>
      <c r="F9" s="2147">
        <v>262409</v>
      </c>
      <c r="G9" s="2147">
        <v>62436</v>
      </c>
      <c r="H9" s="2850">
        <f>C9+D9+E9+F9+G9</f>
        <v>888961</v>
      </c>
      <c r="J9" s="396"/>
    </row>
    <row r="10" spans="2:10">
      <c r="B10" s="2794" t="s">
        <v>98</v>
      </c>
      <c r="C10" s="2149">
        <v>673930</v>
      </c>
      <c r="D10" s="2149">
        <v>125820</v>
      </c>
      <c r="E10" s="2147">
        <v>4121503</v>
      </c>
      <c r="F10" s="2149">
        <v>1590350</v>
      </c>
      <c r="G10" s="2149">
        <v>551938</v>
      </c>
      <c r="H10" s="2850">
        <f t="shared" ref="H10:H21" si="0">C10+D10+E10+F10+G10</f>
        <v>7063541</v>
      </c>
      <c r="J10" s="396"/>
    </row>
    <row r="11" spans="2:10">
      <c r="B11" s="2794" t="s">
        <v>99</v>
      </c>
      <c r="C11" s="2147">
        <v>18443</v>
      </c>
      <c r="D11" s="2844">
        <v>-15</v>
      </c>
      <c r="E11" s="2147">
        <v>1108236</v>
      </c>
      <c r="F11" s="2147">
        <v>714746</v>
      </c>
      <c r="G11" s="2147">
        <v>10497</v>
      </c>
      <c r="H11" s="2850">
        <f t="shared" si="0"/>
        <v>1851907</v>
      </c>
      <c r="J11" s="396"/>
    </row>
    <row r="12" spans="2:10">
      <c r="B12" s="2794" t="s">
        <v>101</v>
      </c>
      <c r="C12" s="2149">
        <v>27317</v>
      </c>
      <c r="D12" s="2149">
        <v>9054</v>
      </c>
      <c r="E12" s="2147">
        <v>1831679</v>
      </c>
      <c r="F12" s="2149">
        <v>153471</v>
      </c>
      <c r="G12" s="2149">
        <v>103694</v>
      </c>
      <c r="H12" s="2850">
        <f t="shared" si="0"/>
        <v>2125215</v>
      </c>
      <c r="J12" s="396"/>
    </row>
    <row r="13" spans="2:10">
      <c r="B13" s="2061" t="s">
        <v>102</v>
      </c>
      <c r="C13" s="2147">
        <v>79409</v>
      </c>
      <c r="D13" s="2147">
        <v>48826</v>
      </c>
      <c r="E13" s="2147">
        <v>2286394</v>
      </c>
      <c r="F13" s="2147">
        <v>1401810</v>
      </c>
      <c r="G13" s="2147">
        <v>66912</v>
      </c>
      <c r="H13" s="2850">
        <f t="shared" si="0"/>
        <v>3883351</v>
      </c>
      <c r="J13" s="396"/>
    </row>
    <row r="14" spans="2:10">
      <c r="B14" s="2794" t="s">
        <v>104</v>
      </c>
      <c r="C14" s="2149">
        <v>29124</v>
      </c>
      <c r="D14" s="2149">
        <v>3759</v>
      </c>
      <c r="E14" s="2147">
        <v>1928709</v>
      </c>
      <c r="F14" s="2149">
        <v>599085</v>
      </c>
      <c r="G14" s="2149">
        <v>18077</v>
      </c>
      <c r="H14" s="2850">
        <f t="shared" si="0"/>
        <v>2578754</v>
      </c>
      <c r="J14" s="396"/>
    </row>
    <row r="15" spans="2:10">
      <c r="B15" s="2794" t="s">
        <v>108</v>
      </c>
      <c r="C15" s="2149">
        <v>317121</v>
      </c>
      <c r="D15" s="2149">
        <v>4531</v>
      </c>
      <c r="E15" s="2147">
        <v>2308354</v>
      </c>
      <c r="F15" s="2851"/>
      <c r="G15" s="2149">
        <v>37812</v>
      </c>
      <c r="H15" s="2850">
        <f t="shared" si="0"/>
        <v>2667818</v>
      </c>
      <c r="J15" s="396"/>
    </row>
    <row r="16" spans="2:10">
      <c r="B16" s="2794" t="s">
        <v>109</v>
      </c>
      <c r="C16" s="2852">
        <v>469</v>
      </c>
      <c r="D16" s="2852">
        <v>29</v>
      </c>
      <c r="E16" s="2147">
        <v>149615</v>
      </c>
      <c r="F16" s="1989"/>
      <c r="G16" s="2149">
        <v>18732</v>
      </c>
      <c r="H16" s="2850">
        <f t="shared" si="0"/>
        <v>168845</v>
      </c>
      <c r="J16" s="396"/>
    </row>
    <row r="17" spans="2:10">
      <c r="B17" s="2794" t="s">
        <v>111</v>
      </c>
      <c r="C17" s="2149">
        <v>5883</v>
      </c>
      <c r="D17" s="2149">
        <v>2012</v>
      </c>
      <c r="E17" s="2147">
        <v>751597</v>
      </c>
      <c r="F17" s="2149">
        <v>103703</v>
      </c>
      <c r="G17" s="2149">
        <v>2700</v>
      </c>
      <c r="H17" s="2850">
        <f t="shared" si="0"/>
        <v>865895</v>
      </c>
      <c r="J17" s="396"/>
    </row>
    <row r="18" spans="2:10">
      <c r="B18" s="2794" t="s">
        <v>112</v>
      </c>
      <c r="C18" s="2149">
        <v>33945</v>
      </c>
      <c r="D18" s="2149">
        <v>20579</v>
      </c>
      <c r="E18" s="2147">
        <v>2635054</v>
      </c>
      <c r="F18" s="2149">
        <v>213438</v>
      </c>
      <c r="G18" s="2149">
        <v>91302</v>
      </c>
      <c r="H18" s="2850">
        <f t="shared" si="0"/>
        <v>2994318</v>
      </c>
      <c r="J18" s="396"/>
    </row>
    <row r="19" spans="2:10">
      <c r="B19" s="2794" t="s">
        <v>114</v>
      </c>
      <c r="C19" s="2149">
        <v>5430</v>
      </c>
      <c r="D19" s="2770"/>
      <c r="E19" s="2147">
        <v>229151</v>
      </c>
      <c r="F19" s="2149">
        <v>5034</v>
      </c>
      <c r="G19" s="2149">
        <v>29679</v>
      </c>
      <c r="H19" s="2850">
        <f t="shared" si="0"/>
        <v>269294</v>
      </c>
      <c r="J19" s="396"/>
    </row>
    <row r="20" spans="2:10">
      <c r="B20" s="2794" t="s">
        <v>115</v>
      </c>
      <c r="C20" s="2149">
        <v>210078</v>
      </c>
      <c r="D20" s="2149">
        <v>53723</v>
      </c>
      <c r="E20" s="2147">
        <v>5022589</v>
      </c>
      <c r="F20" s="2149">
        <v>4613612</v>
      </c>
      <c r="G20" s="2149">
        <v>305265</v>
      </c>
      <c r="H20" s="2850">
        <f t="shared" si="0"/>
        <v>10205267</v>
      </c>
      <c r="J20" s="396"/>
    </row>
    <row r="21" spans="2:10">
      <c r="B21" s="2794" t="s">
        <v>110</v>
      </c>
      <c r="C21" s="2852">
        <v>49</v>
      </c>
      <c r="D21" s="2149">
        <v>13787</v>
      </c>
      <c r="E21" s="2147">
        <v>202355</v>
      </c>
      <c r="F21" s="2149">
        <v>6759392</v>
      </c>
      <c r="G21" s="2149">
        <v>217236</v>
      </c>
      <c r="H21" s="2850">
        <f t="shared" si="0"/>
        <v>7192819</v>
      </c>
      <c r="J21" s="396"/>
    </row>
    <row r="22" spans="2:10">
      <c r="B22" s="2845" t="s">
        <v>523</v>
      </c>
      <c r="C22" s="2776">
        <f>SUM(C8:C21)</f>
        <v>2431448</v>
      </c>
      <c r="D22" s="2776">
        <f>SUM(D8:D21)</f>
        <v>519210</v>
      </c>
      <c r="E22" s="2776">
        <f t="shared" ref="E22:G22" si="1">SUM(E8:E21)</f>
        <v>26587890</v>
      </c>
      <c r="F22" s="2776">
        <f t="shared" si="1"/>
        <v>17267200</v>
      </c>
      <c r="G22" s="2776">
        <f t="shared" si="1"/>
        <v>1510957</v>
      </c>
      <c r="H22" s="2850">
        <f>C22+D22+E22+F22+G22</f>
        <v>48316705</v>
      </c>
      <c r="J22" s="396"/>
    </row>
    <row r="23" spans="2:10">
      <c r="B23" s="2810" t="s">
        <v>399</v>
      </c>
      <c r="C23" s="2775"/>
      <c r="D23" s="2775"/>
      <c r="E23" s="2775"/>
      <c r="F23" s="2775"/>
      <c r="G23" s="2775"/>
      <c r="H23" s="2850">
        <v>36899</v>
      </c>
      <c r="J23" s="396"/>
    </row>
    <row r="24" spans="2:10">
      <c r="B24" s="2845" t="s">
        <v>118</v>
      </c>
      <c r="C24" s="2776">
        <f>C22+C23</f>
        <v>2431448</v>
      </c>
      <c r="D24" s="2776">
        <f t="shared" ref="D24:H24" si="2">D22+D23</f>
        <v>519210</v>
      </c>
      <c r="E24" s="2776">
        <f t="shared" si="2"/>
        <v>26587890</v>
      </c>
      <c r="F24" s="2776">
        <f t="shared" si="2"/>
        <v>17267200</v>
      </c>
      <c r="G24" s="2776">
        <f t="shared" si="2"/>
        <v>1510957</v>
      </c>
      <c r="H24" s="2776">
        <f t="shared" si="2"/>
        <v>48353604</v>
      </c>
      <c r="J24" s="396"/>
    </row>
    <row r="25" spans="2:10">
      <c r="B25" s="218"/>
      <c r="C25" s="218"/>
      <c r="D25" s="218"/>
      <c r="E25" s="218"/>
      <c r="F25" s="218"/>
      <c r="G25" s="218"/>
      <c r="H25" s="218"/>
    </row>
    <row r="26" spans="2:10">
      <c r="B26" s="218"/>
      <c r="C26" s="218"/>
      <c r="D26" s="218"/>
      <c r="E26" s="218"/>
      <c r="F26" s="218"/>
      <c r="G26" s="218"/>
      <c r="H26" s="293">
        <v>158</v>
      </c>
    </row>
    <row r="27" spans="2:10">
      <c r="B27" s="218"/>
      <c r="C27" s="218"/>
      <c r="D27" s="218"/>
      <c r="E27" s="218"/>
      <c r="F27" s="218"/>
      <c r="G27" s="218"/>
      <c r="H27" s="218"/>
    </row>
    <row r="28" spans="2:10">
      <c r="B28" s="3692" t="s">
        <v>533</v>
      </c>
      <c r="C28" s="3692"/>
      <c r="D28" s="3692"/>
      <c r="E28" s="3692"/>
      <c r="F28" s="3692"/>
      <c r="G28" s="3692"/>
    </row>
    <row r="29" spans="2:10">
      <c r="B29" s="218"/>
      <c r="G29" s="3744" t="s">
        <v>232</v>
      </c>
      <c r="H29" s="3744"/>
    </row>
    <row r="30" spans="2:10">
      <c r="B30" s="3745" t="s">
        <v>83</v>
      </c>
      <c r="C30" s="3747" t="s">
        <v>496</v>
      </c>
      <c r="D30" s="3741" t="s">
        <v>502</v>
      </c>
      <c r="E30" s="3741" t="s">
        <v>498</v>
      </c>
      <c r="F30" s="3738" t="s">
        <v>531</v>
      </c>
      <c r="G30" s="3738" t="s">
        <v>532</v>
      </c>
      <c r="H30" s="3741" t="s">
        <v>522</v>
      </c>
    </row>
    <row r="31" spans="2:10">
      <c r="B31" s="3716"/>
      <c r="C31" s="3710"/>
      <c r="D31" s="3742"/>
      <c r="E31" s="3742"/>
      <c r="F31" s="3739"/>
      <c r="G31" s="3739"/>
      <c r="H31" s="3742"/>
    </row>
    <row r="32" spans="2:10">
      <c r="B32" s="3746"/>
      <c r="C32" s="3700"/>
      <c r="D32" s="3743"/>
      <c r="E32" s="3743"/>
      <c r="F32" s="3740"/>
      <c r="G32" s="3740"/>
      <c r="H32" s="3743"/>
    </row>
    <row r="33" spans="1:15">
      <c r="A33" s="471"/>
      <c r="B33" s="2794" t="s">
        <v>92</v>
      </c>
      <c r="C33" s="2147">
        <v>1282938</v>
      </c>
      <c r="D33" s="2147">
        <v>66907</v>
      </c>
      <c r="E33" s="2147">
        <v>4238735</v>
      </c>
      <c r="F33" s="2147">
        <v>1511607</v>
      </c>
      <c r="G33" s="2147">
        <v>248836</v>
      </c>
      <c r="H33" s="2853">
        <f>C33+D33+E33+F33+G33</f>
        <v>7349023</v>
      </c>
      <c r="J33" s="396"/>
      <c r="K33" s="396"/>
      <c r="L33" s="396"/>
      <c r="M33" s="396"/>
      <c r="N33" s="396"/>
      <c r="O33" s="396"/>
    </row>
    <row r="34" spans="1:15">
      <c r="A34" s="471"/>
      <c r="B34" s="2794" t="s">
        <v>95</v>
      </c>
      <c r="C34" s="2147">
        <v>21897</v>
      </c>
      <c r="D34" s="2147">
        <v>17353</v>
      </c>
      <c r="E34" s="2147">
        <v>472014</v>
      </c>
      <c r="F34" s="2147">
        <v>180920</v>
      </c>
      <c r="G34" s="2147">
        <v>46691</v>
      </c>
      <c r="H34" s="2853">
        <f>C34+D34+E34+F34+G34</f>
        <v>738875</v>
      </c>
      <c r="J34" s="396"/>
      <c r="K34" s="396"/>
      <c r="L34" s="396"/>
      <c r="M34" s="396"/>
      <c r="N34" s="396"/>
      <c r="O34" s="396"/>
    </row>
    <row r="35" spans="1:15">
      <c r="A35" s="471"/>
      <c r="B35" s="2794" t="s">
        <v>98</v>
      </c>
      <c r="C35" s="2149">
        <v>334092</v>
      </c>
      <c r="D35" s="2149">
        <v>65837</v>
      </c>
      <c r="E35" s="2147">
        <v>4698355</v>
      </c>
      <c r="F35" s="2149">
        <v>1090576</v>
      </c>
      <c r="G35" s="2149">
        <v>446339</v>
      </c>
      <c r="H35" s="2853">
        <f t="shared" ref="H35:H46" si="3">C35+D35+E35+F35+G35</f>
        <v>6635199</v>
      </c>
      <c r="J35" s="396"/>
      <c r="K35" s="396"/>
      <c r="L35" s="396"/>
      <c r="M35" s="396"/>
      <c r="N35" s="396"/>
      <c r="O35" s="396"/>
    </row>
    <row r="36" spans="1:15">
      <c r="A36" s="471"/>
      <c r="B36" s="2794" t="s">
        <v>99</v>
      </c>
      <c r="C36" s="2147">
        <v>-2219</v>
      </c>
      <c r="D36" s="2844">
        <v>831</v>
      </c>
      <c r="E36" s="2147">
        <v>1343003</v>
      </c>
      <c r="F36" s="2147">
        <v>403849</v>
      </c>
      <c r="G36" s="2147">
        <v>23453</v>
      </c>
      <c r="H36" s="2853">
        <f t="shared" si="3"/>
        <v>1768917</v>
      </c>
      <c r="J36" s="396"/>
      <c r="K36" s="396"/>
      <c r="L36" s="396"/>
      <c r="M36" s="396"/>
      <c r="N36" s="396"/>
      <c r="O36" s="396"/>
    </row>
    <row r="37" spans="1:15">
      <c r="A37" s="471"/>
      <c r="B37" s="2794" t="s">
        <v>101</v>
      </c>
      <c r="C37" s="2149">
        <v>24019</v>
      </c>
      <c r="D37" s="2149">
        <v>1398</v>
      </c>
      <c r="E37" s="2147">
        <v>1847385</v>
      </c>
      <c r="F37" s="2149">
        <v>68792</v>
      </c>
      <c r="G37" s="2149">
        <v>41146</v>
      </c>
      <c r="H37" s="2853">
        <f t="shared" si="3"/>
        <v>1982740</v>
      </c>
      <c r="J37" s="396"/>
      <c r="K37" s="396"/>
      <c r="L37" s="396"/>
      <c r="M37" s="396"/>
      <c r="N37" s="396"/>
      <c r="O37" s="396"/>
    </row>
    <row r="38" spans="1:15">
      <c r="A38" s="471"/>
      <c r="B38" s="2061" t="s">
        <v>102</v>
      </c>
      <c r="C38" s="2147">
        <v>121093</v>
      </c>
      <c r="D38" s="2147">
        <v>54707</v>
      </c>
      <c r="E38" s="2147">
        <v>2175098</v>
      </c>
      <c r="F38" s="2147">
        <v>1421621</v>
      </c>
      <c r="G38" s="2147">
        <v>103187</v>
      </c>
      <c r="H38" s="2853">
        <f t="shared" si="3"/>
        <v>3875706</v>
      </c>
      <c r="J38" s="396"/>
      <c r="K38" s="396"/>
      <c r="L38" s="396"/>
      <c r="M38" s="396"/>
      <c r="N38" s="396"/>
      <c r="O38" s="396"/>
    </row>
    <row r="39" spans="1:15">
      <c r="A39" s="471"/>
      <c r="B39" s="2794" t="s">
        <v>104</v>
      </c>
      <c r="C39" s="2149">
        <v>26365</v>
      </c>
      <c r="D39" s="2149">
        <v>1942</v>
      </c>
      <c r="E39" s="2147">
        <v>1744471</v>
      </c>
      <c r="F39" s="2149">
        <v>267647</v>
      </c>
      <c r="G39" s="2149">
        <v>24077</v>
      </c>
      <c r="H39" s="2853">
        <f t="shared" si="3"/>
        <v>2064502</v>
      </c>
      <c r="J39" s="396"/>
      <c r="K39" s="396"/>
      <c r="L39" s="396"/>
      <c r="M39" s="396"/>
      <c r="N39" s="396"/>
      <c r="O39" s="396"/>
    </row>
    <row r="40" spans="1:15">
      <c r="A40" s="471"/>
      <c r="B40" s="2794" t="s">
        <v>108</v>
      </c>
      <c r="C40" s="2149">
        <v>67520</v>
      </c>
      <c r="D40" s="2149">
        <v>1622</v>
      </c>
      <c r="E40" s="2147">
        <v>1683838</v>
      </c>
      <c r="F40" s="2851"/>
      <c r="G40" s="2149">
        <v>15370</v>
      </c>
      <c r="H40" s="2853">
        <f t="shared" si="3"/>
        <v>1768350</v>
      </c>
      <c r="J40" s="396"/>
      <c r="K40" s="396"/>
      <c r="L40" s="396"/>
      <c r="M40" s="396"/>
      <c r="N40" s="396"/>
      <c r="O40" s="396"/>
    </row>
    <row r="41" spans="1:15">
      <c r="A41" s="471"/>
      <c r="B41" s="2794" t="s">
        <v>109</v>
      </c>
      <c r="C41" s="2852">
        <v>-67</v>
      </c>
      <c r="D41" s="2852">
        <v>-712</v>
      </c>
      <c r="E41" s="2147">
        <v>107809</v>
      </c>
      <c r="F41" s="1989"/>
      <c r="G41" s="2149">
        <v>12123</v>
      </c>
      <c r="H41" s="2853">
        <f t="shared" si="3"/>
        <v>119153</v>
      </c>
      <c r="J41" s="396"/>
      <c r="K41" s="396"/>
      <c r="L41" s="396"/>
      <c r="M41" s="396"/>
      <c r="N41" s="396"/>
      <c r="O41" s="396"/>
    </row>
    <row r="42" spans="1:15">
      <c r="A42" s="471"/>
      <c r="B42" s="2794" t="s">
        <v>111</v>
      </c>
      <c r="C42" s="2149">
        <v>2520</v>
      </c>
      <c r="D42" s="2852">
        <v>603</v>
      </c>
      <c r="E42" s="2147">
        <v>616487</v>
      </c>
      <c r="F42" s="2149">
        <v>74774</v>
      </c>
      <c r="G42" s="2149">
        <v>10025</v>
      </c>
      <c r="H42" s="2853">
        <f t="shared" si="3"/>
        <v>704409</v>
      </c>
      <c r="J42" s="396"/>
      <c r="K42" s="396"/>
      <c r="L42" s="396"/>
      <c r="M42" s="396"/>
      <c r="N42" s="396"/>
      <c r="O42" s="396"/>
    </row>
    <row r="43" spans="1:15">
      <c r="A43" s="471"/>
      <c r="B43" s="2794" t="s">
        <v>112</v>
      </c>
      <c r="C43" s="2149">
        <v>69463</v>
      </c>
      <c r="D43" s="2149">
        <v>1267</v>
      </c>
      <c r="E43" s="2147">
        <v>2349970</v>
      </c>
      <c r="F43" s="2149">
        <v>156118</v>
      </c>
      <c r="G43" s="2149">
        <v>122735</v>
      </c>
      <c r="H43" s="2853">
        <f t="shared" si="3"/>
        <v>2699553</v>
      </c>
      <c r="J43" s="396"/>
      <c r="K43" s="396"/>
      <c r="L43" s="396"/>
      <c r="M43" s="396"/>
      <c r="N43" s="396"/>
      <c r="O43" s="396"/>
    </row>
    <row r="44" spans="1:15">
      <c r="A44" s="471"/>
      <c r="B44" s="2794" t="s">
        <v>114</v>
      </c>
      <c r="C44" s="2149">
        <v>1697</v>
      </c>
      <c r="D44" s="2770"/>
      <c r="E44" s="2147">
        <v>245924</v>
      </c>
      <c r="F44" s="2149">
        <v>9497</v>
      </c>
      <c r="G44" s="2149">
        <v>55447</v>
      </c>
      <c r="H44" s="2853">
        <f t="shared" si="3"/>
        <v>312565</v>
      </c>
      <c r="J44" s="396"/>
      <c r="K44" s="396"/>
      <c r="L44" s="396"/>
      <c r="M44" s="396"/>
      <c r="N44" s="396"/>
      <c r="O44" s="396"/>
    </row>
    <row r="45" spans="1:15">
      <c r="A45" s="471"/>
      <c r="B45" s="2794" t="s">
        <v>115</v>
      </c>
      <c r="C45" s="2149">
        <v>90062</v>
      </c>
      <c r="D45" s="2149">
        <v>44845</v>
      </c>
      <c r="E45" s="2147">
        <v>5132663</v>
      </c>
      <c r="F45" s="2149">
        <v>1946352</v>
      </c>
      <c r="G45" s="2149">
        <v>572298</v>
      </c>
      <c r="H45" s="2853">
        <f t="shared" si="3"/>
        <v>7786220</v>
      </c>
      <c r="J45" s="396"/>
      <c r="K45" s="396"/>
      <c r="L45" s="396"/>
      <c r="M45" s="396"/>
      <c r="N45" s="396"/>
      <c r="O45" s="396"/>
    </row>
    <row r="46" spans="1:15">
      <c r="A46" s="471"/>
      <c r="B46" s="2794" t="s">
        <v>110</v>
      </c>
      <c r="C46" s="2852">
        <v>104</v>
      </c>
      <c r="D46" s="2149">
        <v>20772</v>
      </c>
      <c r="E46" s="2147">
        <v>235519</v>
      </c>
      <c r="F46" s="2149">
        <v>4968164</v>
      </c>
      <c r="G46" s="2149">
        <v>-495885</v>
      </c>
      <c r="H46" s="2853">
        <f t="shared" si="3"/>
        <v>4728674</v>
      </c>
      <c r="J46" s="396"/>
      <c r="K46" s="396"/>
      <c r="L46" s="396"/>
      <c r="M46" s="396"/>
      <c r="N46" s="396"/>
      <c r="O46" s="396"/>
    </row>
    <row r="47" spans="1:15">
      <c r="A47" s="471"/>
      <c r="B47" s="2806" t="s">
        <v>523</v>
      </c>
      <c r="C47" s="2774">
        <f>SUM(C33:C46)</f>
        <v>2039484</v>
      </c>
      <c r="D47" s="2774">
        <f>SUM(D33:D46)</f>
        <v>277372</v>
      </c>
      <c r="E47" s="2774">
        <f t="shared" ref="E47:G47" si="4">SUM(E33:E46)</f>
        <v>26891271</v>
      </c>
      <c r="F47" s="2774">
        <f t="shared" si="4"/>
        <v>12099917</v>
      </c>
      <c r="G47" s="2774">
        <f t="shared" si="4"/>
        <v>1225842</v>
      </c>
      <c r="H47" s="2853">
        <f>C47+D47+E47+F47+G47</f>
        <v>42533886</v>
      </c>
      <c r="J47" s="396"/>
      <c r="K47" s="396"/>
      <c r="L47" s="396"/>
      <c r="M47" s="396"/>
      <c r="N47" s="396"/>
      <c r="O47" s="396"/>
    </row>
    <row r="48" spans="1:15">
      <c r="B48" s="2810" t="s">
        <v>399</v>
      </c>
      <c r="C48" s="2775"/>
      <c r="D48" s="2775"/>
      <c r="E48" s="2775"/>
      <c r="F48" s="2775"/>
      <c r="G48" s="2775"/>
      <c r="H48" s="2853">
        <v>-14382</v>
      </c>
      <c r="J48" s="396"/>
      <c r="K48" s="396"/>
      <c r="L48" s="396"/>
      <c r="M48" s="396"/>
      <c r="N48" s="396"/>
      <c r="O48" s="396"/>
    </row>
    <row r="49" spans="2:15">
      <c r="B49" s="2806" t="s">
        <v>118</v>
      </c>
      <c r="C49" s="2774">
        <f>C47+C48</f>
        <v>2039484</v>
      </c>
      <c r="D49" s="2774">
        <f t="shared" ref="D49:H49" si="5">D47+D48</f>
        <v>277372</v>
      </c>
      <c r="E49" s="2774">
        <f t="shared" si="5"/>
        <v>26891271</v>
      </c>
      <c r="F49" s="2774">
        <f t="shared" si="5"/>
        <v>12099917</v>
      </c>
      <c r="G49" s="2774">
        <f t="shared" si="5"/>
        <v>1225842</v>
      </c>
      <c r="H49" s="2774">
        <f t="shared" si="5"/>
        <v>42519504</v>
      </c>
      <c r="J49" s="396"/>
      <c r="K49" s="396"/>
      <c r="L49" s="396"/>
      <c r="M49" s="396"/>
      <c r="N49" s="396"/>
      <c r="O49" s="396"/>
    </row>
    <row r="50" spans="2:15">
      <c r="B50" s="218"/>
      <c r="C50" s="383"/>
      <c r="D50" s="383"/>
      <c r="E50" s="383"/>
      <c r="F50" s="383"/>
      <c r="G50" s="383"/>
      <c r="H50" s="383"/>
      <c r="I50" s="396"/>
      <c r="J50" s="396"/>
      <c r="K50" s="396"/>
      <c r="L50" s="396"/>
      <c r="M50" s="396"/>
      <c r="N50" s="396"/>
      <c r="O50" s="396"/>
    </row>
    <row r="51" spans="2:15">
      <c r="B51" s="218"/>
      <c r="C51" s="383"/>
      <c r="D51" s="383"/>
      <c r="E51" s="383"/>
      <c r="F51" s="383"/>
      <c r="G51" s="383"/>
      <c r="H51" s="293">
        <v>159</v>
      </c>
      <c r="I51" s="396"/>
      <c r="J51" s="396"/>
      <c r="K51" s="396"/>
      <c r="L51" s="396"/>
      <c r="M51" s="396"/>
      <c r="N51" s="396"/>
      <c r="O51" s="396"/>
    </row>
    <row r="52" spans="2:15">
      <c r="B52" s="218"/>
      <c r="C52" s="383"/>
      <c r="D52" s="383"/>
      <c r="E52" s="383"/>
      <c r="F52" s="383"/>
      <c r="G52" s="383"/>
      <c r="H52" s="293"/>
      <c r="I52" s="396"/>
      <c r="J52" s="396"/>
      <c r="K52" s="396"/>
      <c r="L52" s="396"/>
      <c r="M52" s="396"/>
      <c r="N52" s="396"/>
      <c r="O52" s="396"/>
    </row>
    <row r="53" spans="2:15">
      <c r="B53" s="3692" t="s">
        <v>534</v>
      </c>
      <c r="C53" s="3692"/>
      <c r="D53" s="3692"/>
      <c r="E53" s="3692"/>
      <c r="F53" s="3692"/>
      <c r="G53" s="3692"/>
      <c r="H53" s="293"/>
      <c r="I53" s="396"/>
      <c r="J53" s="396"/>
      <c r="K53" s="396"/>
      <c r="L53" s="396"/>
      <c r="M53" s="396"/>
      <c r="N53" s="396"/>
      <c r="O53" s="396"/>
    </row>
    <row r="54" spans="2:15">
      <c r="B54" s="218"/>
      <c r="C54" s="383"/>
      <c r="D54" s="383"/>
      <c r="E54" s="383"/>
      <c r="F54" s="383"/>
      <c r="G54" s="3744" t="s">
        <v>232</v>
      </c>
      <c r="H54" s="3744"/>
      <c r="I54" s="396"/>
      <c r="J54" s="396"/>
      <c r="K54" s="396"/>
      <c r="L54" s="396"/>
      <c r="M54" s="396"/>
      <c r="N54" s="396"/>
      <c r="O54" s="396"/>
    </row>
    <row r="55" spans="2:15">
      <c r="B55" s="3745" t="s">
        <v>83</v>
      </c>
      <c r="C55" s="3747" t="s">
        <v>496</v>
      </c>
      <c r="D55" s="3741" t="s">
        <v>502</v>
      </c>
      <c r="E55" s="3741" t="s">
        <v>498</v>
      </c>
      <c r="F55" s="3738" t="s">
        <v>531</v>
      </c>
      <c r="G55" s="3738" t="s">
        <v>532</v>
      </c>
      <c r="H55" s="3741" t="s">
        <v>522</v>
      </c>
      <c r="I55" s="396"/>
      <c r="J55" s="396"/>
      <c r="K55" s="396"/>
      <c r="L55" s="396"/>
      <c r="M55" s="396"/>
      <c r="N55" s="396"/>
      <c r="O55" s="396"/>
    </row>
    <row r="56" spans="2:15">
      <c r="B56" s="3716"/>
      <c r="C56" s="3710"/>
      <c r="D56" s="3742"/>
      <c r="E56" s="3742"/>
      <c r="F56" s="3739"/>
      <c r="G56" s="3739"/>
      <c r="H56" s="3742"/>
      <c r="I56" s="396"/>
      <c r="J56" s="396"/>
      <c r="K56" s="396"/>
      <c r="L56" s="396"/>
      <c r="M56" s="396"/>
      <c r="N56" s="396"/>
      <c r="O56" s="396"/>
    </row>
    <row r="57" spans="2:15">
      <c r="B57" s="3746"/>
      <c r="C57" s="3700"/>
      <c r="D57" s="3743"/>
      <c r="E57" s="3743"/>
      <c r="F57" s="3740"/>
      <c r="G57" s="3740"/>
      <c r="H57" s="3743"/>
      <c r="I57" s="396"/>
      <c r="J57" s="396"/>
      <c r="K57" s="396"/>
      <c r="L57" s="396"/>
      <c r="M57" s="396"/>
      <c r="N57" s="396"/>
      <c r="O57" s="396"/>
    </row>
    <row r="58" spans="2:15">
      <c r="B58" s="2794" t="s">
        <v>92</v>
      </c>
      <c r="C58" s="2022">
        <v>1506945.4387900003</v>
      </c>
      <c r="D58" s="2022">
        <v>131541.11340999999</v>
      </c>
      <c r="E58" s="2022">
        <v>6447983.511429999</v>
      </c>
      <c r="F58" s="1981">
        <v>6045525.4865199989</v>
      </c>
      <c r="G58" s="1981">
        <v>552697.13646000007</v>
      </c>
      <c r="H58" s="2854">
        <f>C58+D58+E58+F58+G58</f>
        <v>14684692.68661</v>
      </c>
      <c r="I58" s="396"/>
      <c r="J58" s="396"/>
      <c r="K58" s="396"/>
      <c r="L58" s="396"/>
      <c r="M58" s="396"/>
      <c r="N58" s="396"/>
      <c r="O58" s="396"/>
    </row>
    <row r="59" spans="2:15">
      <c r="B59" s="2794" t="s">
        <v>95</v>
      </c>
      <c r="C59" s="2022">
        <v>17191.735011173492</v>
      </c>
      <c r="D59" s="2022">
        <v>40048.991645230199</v>
      </c>
      <c r="E59" s="2022">
        <v>683133.54857575474</v>
      </c>
      <c r="F59" s="1981">
        <v>223256.84974293146</v>
      </c>
      <c r="G59" s="1981">
        <v>91475.848445405019</v>
      </c>
      <c r="H59" s="2854">
        <f>C59+D59+E59+F59+G59</f>
        <v>1055106.9734204949</v>
      </c>
      <c r="I59" s="396"/>
      <c r="J59" s="396"/>
      <c r="K59" s="396"/>
      <c r="L59" s="396"/>
      <c r="M59" s="396"/>
      <c r="N59" s="396"/>
      <c r="O59" s="396"/>
    </row>
    <row r="60" spans="2:15">
      <c r="B60" s="2794" t="s">
        <v>98</v>
      </c>
      <c r="C60" s="2022">
        <v>635621</v>
      </c>
      <c r="D60" s="2022">
        <v>114897</v>
      </c>
      <c r="E60" s="2022">
        <v>5736214</v>
      </c>
      <c r="F60" s="1981">
        <v>1242378</v>
      </c>
      <c r="G60" s="1981">
        <v>524484</v>
      </c>
      <c r="H60" s="2854">
        <f t="shared" ref="H60:H71" si="6">C60+D60+E60+F60+G60</f>
        <v>8253594</v>
      </c>
      <c r="I60" s="396"/>
      <c r="J60" s="396"/>
      <c r="K60" s="396"/>
      <c r="L60" s="396"/>
      <c r="M60" s="396"/>
      <c r="N60" s="396"/>
      <c r="O60" s="396"/>
    </row>
    <row r="61" spans="2:15">
      <c r="B61" s="2794" t="s">
        <v>99</v>
      </c>
      <c r="C61" s="2022">
        <v>53589.417340000015</v>
      </c>
      <c r="D61" s="2022">
        <v>3329.7578700000004</v>
      </c>
      <c r="E61" s="2022">
        <v>1955184.0469359315</v>
      </c>
      <c r="F61" s="1981">
        <v>210364.98875999995</v>
      </c>
      <c r="G61" s="1981">
        <v>14726.44599</v>
      </c>
      <c r="H61" s="2854">
        <f t="shared" si="6"/>
        <v>2237194.6568959313</v>
      </c>
      <c r="I61" s="396"/>
      <c r="J61" s="396"/>
      <c r="K61" s="396"/>
      <c r="L61" s="396"/>
      <c r="M61" s="396"/>
      <c r="N61" s="396"/>
      <c r="O61" s="396"/>
    </row>
    <row r="62" spans="2:15">
      <c r="B62" s="2794" t="s">
        <v>101</v>
      </c>
      <c r="C62" s="2022">
        <v>15758.089999999997</v>
      </c>
      <c r="D62" s="2022">
        <v>699.53451999999959</v>
      </c>
      <c r="E62" s="2022">
        <v>2130240.62</v>
      </c>
      <c r="F62" s="1989">
        <v>25248.616000000002</v>
      </c>
      <c r="G62" s="1981">
        <v>210046.20395</v>
      </c>
      <c r="H62" s="2854">
        <f t="shared" si="6"/>
        <v>2381993.0644700001</v>
      </c>
      <c r="I62" s="396"/>
      <c r="J62" s="396"/>
      <c r="K62" s="396"/>
      <c r="L62" s="396"/>
      <c r="M62" s="396"/>
      <c r="N62" s="396"/>
      <c r="O62" s="396"/>
    </row>
    <row r="63" spans="2:15">
      <c r="B63" s="2061" t="s">
        <v>102</v>
      </c>
      <c r="C63" s="2022">
        <v>83581.662734985934</v>
      </c>
      <c r="D63" s="2022">
        <v>107652.69991066102</v>
      </c>
      <c r="E63" s="2022">
        <v>2025454.3206583529</v>
      </c>
      <c r="F63" s="1981">
        <v>1165074.6867262844</v>
      </c>
      <c r="G63" s="1981">
        <v>114489.56224209425</v>
      </c>
      <c r="H63" s="2854">
        <f t="shared" si="6"/>
        <v>3496252.9322723784</v>
      </c>
      <c r="I63" s="396"/>
      <c r="J63" s="396"/>
      <c r="K63" s="396"/>
      <c r="L63" s="396"/>
      <c r="M63" s="396"/>
      <c r="N63" s="396"/>
      <c r="O63" s="396"/>
    </row>
    <row r="64" spans="2:15">
      <c r="B64" s="2794" t="s">
        <v>104</v>
      </c>
      <c r="C64" s="2022">
        <v>43743.268840000004</v>
      </c>
      <c r="D64" s="2022">
        <v>2220.8018700000102</v>
      </c>
      <c r="E64" s="2022">
        <v>2055359.9469299996</v>
      </c>
      <c r="F64" s="1981">
        <v>159422.52195999998</v>
      </c>
      <c r="G64" s="1981">
        <v>22213.625949999998</v>
      </c>
      <c r="H64" s="2854">
        <f t="shared" si="6"/>
        <v>2282960.1655499996</v>
      </c>
      <c r="I64" s="396"/>
      <c r="J64" s="396"/>
      <c r="K64" s="396"/>
      <c r="L64" s="396"/>
      <c r="M64" s="396"/>
      <c r="N64" s="396"/>
      <c r="O64" s="396"/>
    </row>
    <row r="65" spans="2:15">
      <c r="B65" s="2794" t="s">
        <v>108</v>
      </c>
      <c r="C65" s="2022">
        <v>49505.76276023619</v>
      </c>
      <c r="D65" s="2022">
        <v>-428.82917736072835</v>
      </c>
      <c r="E65" s="2022">
        <v>2045206.7405000003</v>
      </c>
      <c r="F65" s="2851"/>
      <c r="G65" s="1981">
        <v>41290.631700684542</v>
      </c>
      <c r="H65" s="2854">
        <f t="shared" si="6"/>
        <v>2135574.30578356</v>
      </c>
      <c r="I65" s="396"/>
      <c r="J65" s="396"/>
      <c r="K65" s="396"/>
      <c r="L65" s="396"/>
      <c r="M65" s="396"/>
      <c r="N65" s="396"/>
      <c r="O65" s="396"/>
    </row>
    <row r="66" spans="2:15">
      <c r="B66" s="2794" t="s">
        <v>109</v>
      </c>
      <c r="C66" s="2022">
        <v>1352.0075899999999</v>
      </c>
      <c r="D66" s="2022">
        <v>-6647.4912599999989</v>
      </c>
      <c r="E66" s="2022">
        <v>37276.276339999997</v>
      </c>
      <c r="F66" s="1989"/>
      <c r="G66" s="1981">
        <v>-541.54673999999977</v>
      </c>
      <c r="H66" s="2854">
        <f t="shared" si="6"/>
        <v>31439.245929999997</v>
      </c>
      <c r="I66" s="396"/>
      <c r="J66" s="396"/>
      <c r="K66" s="396"/>
      <c r="L66" s="396"/>
      <c r="M66" s="396"/>
      <c r="N66" s="396"/>
      <c r="O66" s="396"/>
    </row>
    <row r="67" spans="2:15">
      <c r="B67" s="2794" t="s">
        <v>111</v>
      </c>
      <c r="C67" s="2022">
        <v>1801</v>
      </c>
      <c r="D67" s="2022">
        <v>3146</v>
      </c>
      <c r="E67" s="2022">
        <v>725337</v>
      </c>
      <c r="F67" s="1981">
        <v>56572</v>
      </c>
      <c r="G67" s="1981">
        <v>20892</v>
      </c>
      <c r="H67" s="2854">
        <f t="shared" si="6"/>
        <v>807748</v>
      </c>
      <c r="I67" s="396"/>
      <c r="J67" s="396"/>
      <c r="K67" s="396"/>
      <c r="L67" s="396"/>
      <c r="M67" s="396"/>
      <c r="N67" s="396"/>
      <c r="O67" s="396"/>
    </row>
    <row r="68" spans="2:15">
      <c r="B68" s="2794" t="s">
        <v>112</v>
      </c>
      <c r="C68" s="2022">
        <v>66738</v>
      </c>
      <c r="D68" s="2022">
        <v>1677</v>
      </c>
      <c r="E68" s="2022">
        <v>3142530</v>
      </c>
      <c r="F68" s="1981">
        <v>57211</v>
      </c>
      <c r="G68" s="2022">
        <v>284419</v>
      </c>
      <c r="H68" s="2854">
        <f t="shared" si="6"/>
        <v>3552575</v>
      </c>
      <c r="I68" s="396"/>
      <c r="J68" s="396"/>
      <c r="K68" s="396"/>
      <c r="L68" s="396"/>
      <c r="M68" s="396"/>
      <c r="N68" s="396"/>
      <c r="O68" s="396"/>
    </row>
    <row r="69" spans="2:15">
      <c r="B69" s="2794" t="s">
        <v>114</v>
      </c>
      <c r="C69" s="2022">
        <v>275.26389560622692</v>
      </c>
      <c r="D69" s="2770"/>
      <c r="E69" s="2022">
        <v>343712.79775552487</v>
      </c>
      <c r="F69" s="1981">
        <v>0</v>
      </c>
      <c r="G69" s="1981">
        <v>57918.670000000035</v>
      </c>
      <c r="H69" s="2854">
        <f t="shared" si="6"/>
        <v>401906.73165113112</v>
      </c>
      <c r="I69" s="396"/>
      <c r="J69" s="396"/>
      <c r="K69" s="396"/>
      <c r="L69" s="396"/>
      <c r="M69" s="396"/>
      <c r="N69" s="396"/>
      <c r="O69" s="396"/>
    </row>
    <row r="70" spans="2:15">
      <c r="B70" s="2794" t="s">
        <v>115</v>
      </c>
      <c r="C70" s="2022">
        <v>65828</v>
      </c>
      <c r="D70" s="2022">
        <v>90403</v>
      </c>
      <c r="E70" s="2022">
        <v>6862997</v>
      </c>
      <c r="F70" s="1981">
        <v>1904534</v>
      </c>
      <c r="G70" s="1981">
        <v>366670</v>
      </c>
      <c r="H70" s="2854">
        <f t="shared" si="6"/>
        <v>9290432</v>
      </c>
      <c r="I70" s="396"/>
      <c r="J70" s="396"/>
      <c r="K70" s="396"/>
      <c r="L70" s="396"/>
      <c r="M70" s="396"/>
      <c r="N70" s="396"/>
      <c r="O70" s="396"/>
    </row>
    <row r="71" spans="2:15">
      <c r="B71" s="2794" t="s">
        <v>110</v>
      </c>
      <c r="C71" s="2104">
        <v>4370</v>
      </c>
      <c r="D71" s="2104">
        <v>12015</v>
      </c>
      <c r="E71" s="2022">
        <v>310679.24868000002</v>
      </c>
      <c r="F71" s="1981">
        <v>5670105.6114499997</v>
      </c>
      <c r="G71" s="1981">
        <v>847788.17449</v>
      </c>
      <c r="H71" s="2854">
        <f t="shared" si="6"/>
        <v>6844958.03462</v>
      </c>
      <c r="I71" s="396"/>
      <c r="J71" s="396"/>
      <c r="K71" s="396"/>
      <c r="L71" s="396"/>
      <c r="M71" s="396"/>
      <c r="N71" s="396"/>
      <c r="O71" s="396"/>
    </row>
    <row r="72" spans="2:15">
      <c r="B72" s="2810" t="s">
        <v>523</v>
      </c>
      <c r="C72" s="2815">
        <f>SUM(C58:C71)</f>
        <v>2546300.6469620019</v>
      </c>
      <c r="D72" s="2815">
        <f>SUM(D58:D71)</f>
        <v>500554.57878853049</v>
      </c>
      <c r="E72" s="2815">
        <f t="shared" ref="E72:G72" si="7">SUM(E58:E71)</f>
        <v>34501309.057805561</v>
      </c>
      <c r="F72" s="2815">
        <f t="shared" si="7"/>
        <v>16759693.761159215</v>
      </c>
      <c r="G72" s="2815">
        <f t="shared" si="7"/>
        <v>3148569.7524881838</v>
      </c>
      <c r="H72" s="2854">
        <f>C72+D72+E72+F72+G72</f>
        <v>57456427.797203496</v>
      </c>
      <c r="I72" s="396"/>
      <c r="J72" s="396"/>
      <c r="K72" s="396"/>
      <c r="L72" s="396"/>
      <c r="M72" s="396"/>
      <c r="N72" s="396"/>
      <c r="O72" s="396"/>
    </row>
    <row r="73" spans="2:15">
      <c r="B73" s="2810" t="s">
        <v>399</v>
      </c>
      <c r="C73" s="2775"/>
      <c r="D73" s="2775"/>
      <c r="E73" s="2775"/>
      <c r="F73" s="2775"/>
      <c r="G73" s="2775"/>
      <c r="H73" s="2849">
        <v>692926.50245999999</v>
      </c>
      <c r="I73" s="396"/>
      <c r="J73" s="396"/>
      <c r="K73" s="396"/>
      <c r="L73" s="396"/>
      <c r="M73" s="396"/>
      <c r="N73" s="396"/>
      <c r="O73" s="396"/>
    </row>
    <row r="74" spans="2:15">
      <c r="B74" s="2810" t="s">
        <v>118</v>
      </c>
      <c r="C74" s="2815">
        <f>C72+C73</f>
        <v>2546300.6469620019</v>
      </c>
      <c r="D74" s="2815">
        <f t="shared" ref="D74:H74" si="8">D72+D73</f>
        <v>500554.57878853049</v>
      </c>
      <c r="E74" s="2815">
        <f t="shared" si="8"/>
        <v>34501309.057805561</v>
      </c>
      <c r="F74" s="2815">
        <f t="shared" si="8"/>
        <v>16759693.761159215</v>
      </c>
      <c r="G74" s="2815">
        <f t="shared" si="8"/>
        <v>3148569.7524881838</v>
      </c>
      <c r="H74" s="2815">
        <f t="shared" si="8"/>
        <v>58149354.299663499</v>
      </c>
      <c r="I74" s="396"/>
      <c r="J74" s="396"/>
      <c r="K74" s="396"/>
      <c r="L74" s="396"/>
      <c r="M74" s="396"/>
      <c r="N74" s="396"/>
      <c r="O74" s="396"/>
    </row>
    <row r="75" spans="2:15">
      <c r="B75" s="218"/>
      <c r="C75" s="383"/>
      <c r="D75" s="383"/>
      <c r="E75" s="383"/>
      <c r="F75" s="383"/>
      <c r="G75" s="383"/>
      <c r="H75" s="293"/>
      <c r="I75" s="396"/>
      <c r="J75" s="396"/>
      <c r="K75" s="396"/>
      <c r="L75" s="396"/>
      <c r="M75" s="396"/>
      <c r="N75" s="396"/>
      <c r="O75" s="396"/>
    </row>
    <row r="76" spans="2:15">
      <c r="B76" s="218"/>
      <c r="C76" s="383"/>
      <c r="D76" s="383"/>
      <c r="E76" s="383"/>
      <c r="F76" s="383"/>
      <c r="G76" s="383"/>
      <c r="H76" s="293">
        <v>160</v>
      </c>
      <c r="I76" s="396"/>
      <c r="J76" s="396"/>
      <c r="K76" s="396"/>
      <c r="L76" s="396"/>
      <c r="M76" s="396"/>
      <c r="N76" s="396"/>
      <c r="O76" s="396"/>
    </row>
    <row r="77" spans="2:15">
      <c r="B77" s="218"/>
      <c r="C77" s="383"/>
      <c r="D77" s="383"/>
      <c r="E77" s="383"/>
      <c r="F77" s="383"/>
      <c r="G77" s="383"/>
      <c r="H77" s="293"/>
      <c r="I77" s="396"/>
      <c r="J77" s="396"/>
      <c r="K77" s="396"/>
      <c r="L77" s="396"/>
      <c r="M77" s="396"/>
      <c r="N77" s="396"/>
      <c r="O77" s="396"/>
    </row>
    <row r="78" spans="2:15">
      <c r="B78" s="3692" t="s">
        <v>535</v>
      </c>
      <c r="C78" s="3692"/>
      <c r="D78" s="3692"/>
      <c r="E78" s="3692"/>
      <c r="F78" s="3692"/>
      <c r="G78" s="3692"/>
    </row>
    <row r="79" spans="2:15">
      <c r="B79" s="218"/>
      <c r="G79" s="3744" t="s">
        <v>232</v>
      </c>
      <c r="H79" s="3744"/>
    </row>
    <row r="80" spans="2:15">
      <c r="B80" s="3745" t="s">
        <v>83</v>
      </c>
      <c r="C80" s="3747" t="s">
        <v>496</v>
      </c>
      <c r="D80" s="3741" t="s">
        <v>502</v>
      </c>
      <c r="E80" s="3741" t="s">
        <v>498</v>
      </c>
      <c r="F80" s="3738" t="s">
        <v>531</v>
      </c>
      <c r="G80" s="3738" t="s">
        <v>532</v>
      </c>
      <c r="H80" s="3741" t="s">
        <v>522</v>
      </c>
    </row>
    <row r="81" spans="1:15">
      <c r="B81" s="3716"/>
      <c r="C81" s="3710"/>
      <c r="D81" s="3742"/>
      <c r="E81" s="3742"/>
      <c r="F81" s="3739"/>
      <c r="G81" s="3739"/>
      <c r="H81" s="3742"/>
    </row>
    <row r="82" spans="1:15">
      <c r="B82" s="3746"/>
      <c r="C82" s="3700"/>
      <c r="D82" s="3743"/>
      <c r="E82" s="3743"/>
      <c r="F82" s="3740"/>
      <c r="G82" s="3740"/>
      <c r="H82" s="3743"/>
    </row>
    <row r="83" spans="1:15">
      <c r="A83" s="471"/>
      <c r="B83" s="2794" t="s">
        <v>92</v>
      </c>
      <c r="C83" s="2022">
        <v>725041.13101433869</v>
      </c>
      <c r="D83" s="2022">
        <v>194123.14200903405</v>
      </c>
      <c r="E83" s="2022">
        <v>6290599.0873300005</v>
      </c>
      <c r="F83" s="1981">
        <v>2424872.60231</v>
      </c>
      <c r="G83" s="1981">
        <v>569524.228235299</v>
      </c>
      <c r="H83" s="2854">
        <f>C83+D83+E83+F83+G83</f>
        <v>10204160.190898672</v>
      </c>
      <c r="J83" s="396"/>
      <c r="K83" s="396"/>
      <c r="L83" s="396"/>
      <c r="M83" s="396"/>
      <c r="N83" s="396"/>
      <c r="O83" s="396"/>
    </row>
    <row r="84" spans="1:15">
      <c r="A84" s="471"/>
      <c r="B84" s="2794" t="s">
        <v>95</v>
      </c>
      <c r="C84" s="2022">
        <v>22292.156147942005</v>
      </c>
      <c r="D84" s="2022">
        <v>32611.999846360006</v>
      </c>
      <c r="E84" s="2022">
        <v>575342.36638094881</v>
      </c>
      <c r="F84" s="1981">
        <v>206665.99351333099</v>
      </c>
      <c r="G84" s="1981">
        <v>38964.284706459475</v>
      </c>
      <c r="H84" s="2854">
        <f t="shared" ref="H84:H96" si="9">C84+D84+E84+F84+G84</f>
        <v>875876.80059504125</v>
      </c>
      <c r="J84" s="396"/>
      <c r="K84" s="396"/>
      <c r="L84" s="396"/>
      <c r="M84" s="396"/>
      <c r="N84" s="396"/>
      <c r="O84" s="396"/>
    </row>
    <row r="85" spans="1:15">
      <c r="A85" s="471"/>
      <c r="B85" s="2794" t="s">
        <v>98</v>
      </c>
      <c r="C85" s="2022">
        <v>563632</v>
      </c>
      <c r="D85" s="2022">
        <v>96167</v>
      </c>
      <c r="E85" s="2022">
        <v>5530800</v>
      </c>
      <c r="F85" s="1981">
        <v>933039</v>
      </c>
      <c r="G85" s="1981">
        <v>399623</v>
      </c>
      <c r="H85" s="2854">
        <f>C85+D85+E85+F85+G85</f>
        <v>7523261</v>
      </c>
      <c r="J85" s="396"/>
      <c r="K85" s="396"/>
      <c r="L85" s="396"/>
      <c r="M85" s="396"/>
      <c r="N85" s="396"/>
      <c r="O85" s="396"/>
    </row>
    <row r="86" spans="1:15">
      <c r="A86" s="471"/>
      <c r="B86" s="2794" t="s">
        <v>99</v>
      </c>
      <c r="C86" s="2022">
        <v>7076.5615244451883</v>
      </c>
      <c r="D86" s="2022">
        <v>-3231.5679539851808</v>
      </c>
      <c r="E86" s="2022">
        <v>1903509.3799400001</v>
      </c>
      <c r="F86" s="1981">
        <v>59331.509835618446</v>
      </c>
      <c r="G86" s="1981">
        <v>25985.143043921551</v>
      </c>
      <c r="H86" s="2854">
        <f>C86+D86+E86+F86+G86</f>
        <v>1992671.0263900002</v>
      </c>
      <c r="J86" s="396"/>
      <c r="K86" s="396"/>
      <c r="L86" s="396"/>
      <c r="M86" s="396"/>
      <c r="N86" s="396"/>
      <c r="O86" s="396"/>
    </row>
    <row r="87" spans="1:15">
      <c r="A87" s="471"/>
      <c r="B87" s="2794" t="s">
        <v>101</v>
      </c>
      <c r="C87" s="2022">
        <v>6446.4000000000005</v>
      </c>
      <c r="D87" s="2022">
        <v>2997.8200000000006</v>
      </c>
      <c r="E87" s="2022">
        <v>1781213.4500000002</v>
      </c>
      <c r="F87" s="1989"/>
      <c r="G87" s="1981">
        <v>136209.60000000001</v>
      </c>
      <c r="H87" s="2854">
        <f t="shared" si="9"/>
        <v>1926867.2700000003</v>
      </c>
      <c r="J87" s="396"/>
      <c r="K87" s="396"/>
      <c r="L87" s="396"/>
      <c r="M87" s="396"/>
      <c r="N87" s="396"/>
      <c r="O87" s="396"/>
    </row>
    <row r="88" spans="1:15">
      <c r="A88" s="471"/>
      <c r="B88" s="2061" t="s">
        <v>102</v>
      </c>
      <c r="C88" s="2022">
        <v>41530.549064744962</v>
      </c>
      <c r="D88" s="2022">
        <v>88871.766836242721</v>
      </c>
      <c r="E88" s="2022">
        <v>3105466.3267099438</v>
      </c>
      <c r="F88" s="1981">
        <v>1479641.5300577062</v>
      </c>
      <c r="G88" s="1981">
        <v>85024.632517115446</v>
      </c>
      <c r="H88" s="2854">
        <f t="shared" si="9"/>
        <v>4800534.8051857529</v>
      </c>
      <c r="J88" s="396"/>
      <c r="K88" s="396"/>
      <c r="L88" s="396"/>
      <c r="M88" s="396"/>
      <c r="N88" s="396"/>
      <c r="O88" s="396"/>
    </row>
    <row r="89" spans="1:15">
      <c r="A89" s="471"/>
      <c r="B89" s="2794" t="s">
        <v>104</v>
      </c>
      <c r="C89" s="2022">
        <v>32431.985259999987</v>
      </c>
      <c r="D89" s="2022">
        <v>3355.6246099999998</v>
      </c>
      <c r="E89" s="2022">
        <v>1948880.4208299997</v>
      </c>
      <c r="F89" s="1981">
        <v>162144.43746000004</v>
      </c>
      <c r="G89" s="1981">
        <v>23979.530220000008</v>
      </c>
      <c r="H89" s="2854">
        <f t="shared" si="9"/>
        <v>2170791.9983799998</v>
      </c>
      <c r="J89" s="396"/>
      <c r="K89" s="396"/>
      <c r="L89" s="396"/>
      <c r="M89" s="396"/>
      <c r="N89" s="396"/>
      <c r="O89" s="396"/>
    </row>
    <row r="90" spans="1:15">
      <c r="A90" s="471"/>
      <c r="B90" s="2794" t="s">
        <v>108</v>
      </c>
      <c r="C90" s="2022">
        <v>60365.77320999997</v>
      </c>
      <c r="D90" s="2022">
        <v>9364.9217500000013</v>
      </c>
      <c r="E90" s="2022">
        <v>1988504.4451700002</v>
      </c>
      <c r="F90" s="2851"/>
      <c r="G90" s="1981">
        <v>22904.30773</v>
      </c>
      <c r="H90" s="2854">
        <f t="shared" si="9"/>
        <v>2081139.4478600002</v>
      </c>
      <c r="J90" s="396"/>
      <c r="K90" s="396"/>
      <c r="L90" s="396"/>
      <c r="M90" s="396"/>
      <c r="N90" s="396"/>
      <c r="O90" s="396"/>
    </row>
    <row r="91" spans="1:15">
      <c r="A91" s="471"/>
      <c r="B91" s="2794" t="s">
        <v>109</v>
      </c>
      <c r="C91" s="2022">
        <v>3948.3127899999981</v>
      </c>
      <c r="D91" s="2022">
        <v>-1441.4798500000002</v>
      </c>
      <c r="E91" s="2022">
        <v>20358.292359999989</v>
      </c>
      <c r="F91" s="1989"/>
      <c r="G91" s="1981">
        <v>5428.0435799999996</v>
      </c>
      <c r="H91" s="2854">
        <f t="shared" si="9"/>
        <v>28293.168879999983</v>
      </c>
      <c r="J91" s="396"/>
      <c r="K91" s="396"/>
      <c r="L91" s="396"/>
      <c r="M91" s="396"/>
      <c r="N91" s="396"/>
      <c r="O91" s="396"/>
    </row>
    <row r="92" spans="1:15">
      <c r="A92" s="471"/>
      <c r="B92" s="2794" t="s">
        <v>111</v>
      </c>
      <c r="C92" s="2022">
        <v>3614.1240964017907</v>
      </c>
      <c r="D92" s="2022">
        <v>1253.2905388096306</v>
      </c>
      <c r="E92" s="2022">
        <v>685385.33845781453</v>
      </c>
      <c r="F92" s="1981">
        <v>34568.953186179431</v>
      </c>
      <c r="G92" s="1981">
        <v>16897.966942623898</v>
      </c>
      <c r="H92" s="2854">
        <f t="shared" si="9"/>
        <v>741719.67322182935</v>
      </c>
      <c r="J92" s="396"/>
      <c r="K92" s="396"/>
      <c r="L92" s="396"/>
      <c r="M92" s="396"/>
      <c r="N92" s="396"/>
      <c r="O92" s="396"/>
    </row>
    <row r="93" spans="1:15">
      <c r="A93" s="471"/>
      <c r="B93" s="2794" t="s">
        <v>112</v>
      </c>
      <c r="C93" s="2022">
        <v>88534</v>
      </c>
      <c r="D93" s="2022">
        <v>557</v>
      </c>
      <c r="E93" s="2022">
        <v>2899186.3712120606</v>
      </c>
      <c r="F93" s="1981">
        <v>58388</v>
      </c>
      <c r="G93" s="2022">
        <v>190561</v>
      </c>
      <c r="H93" s="2854">
        <f t="shared" si="9"/>
        <v>3237226.3712120606</v>
      </c>
      <c r="J93" s="396"/>
      <c r="K93" s="396"/>
      <c r="L93" s="396"/>
      <c r="M93" s="396"/>
      <c r="N93" s="396"/>
      <c r="O93" s="396"/>
    </row>
    <row r="94" spans="1:15">
      <c r="A94" s="471"/>
      <c r="B94" s="2794" t="s">
        <v>134</v>
      </c>
      <c r="C94" s="2022">
        <v>838.51900000000012</v>
      </c>
      <c r="D94" s="2770"/>
      <c r="E94" s="2022">
        <v>255754.41309999995</v>
      </c>
      <c r="F94" s="1989">
        <v>6254.1943999999994</v>
      </c>
      <c r="G94" s="1981">
        <v>29093.579939999989</v>
      </c>
      <c r="H94" s="2854">
        <f t="shared" si="9"/>
        <v>291940.70643999992</v>
      </c>
      <c r="J94" s="396"/>
      <c r="K94" s="396"/>
      <c r="L94" s="396"/>
      <c r="M94" s="396"/>
      <c r="N94" s="396"/>
      <c r="O94" s="396"/>
    </row>
    <row r="95" spans="1:15">
      <c r="A95" s="471"/>
      <c r="B95" s="2794" t="s">
        <v>115</v>
      </c>
      <c r="C95" s="2022">
        <v>138250.86154582998</v>
      </c>
      <c r="D95" s="2022">
        <v>29287.846013023056</v>
      </c>
      <c r="E95" s="2022">
        <v>7383426.1620872105</v>
      </c>
      <c r="F95" s="1981">
        <v>2005180.5969141813</v>
      </c>
      <c r="G95" s="1981">
        <v>472240.77125691256</v>
      </c>
      <c r="H95" s="2854">
        <f t="shared" si="9"/>
        <v>10028386.237817157</v>
      </c>
      <c r="J95" s="396"/>
      <c r="K95" s="396"/>
      <c r="L95" s="396"/>
      <c r="M95" s="396"/>
      <c r="N95" s="396"/>
      <c r="O95" s="396"/>
    </row>
    <row r="96" spans="1:15">
      <c r="A96" s="471"/>
      <c r="B96" s="2794" t="s">
        <v>110</v>
      </c>
      <c r="C96" s="2104">
        <v>2695.5518299999999</v>
      </c>
      <c r="D96" s="2770"/>
      <c r="E96" s="2022">
        <v>313335.61853000004</v>
      </c>
      <c r="F96" s="1981">
        <v>4778137.1220100001</v>
      </c>
      <c r="G96" s="1981">
        <v>1441186.8755600001</v>
      </c>
      <c r="H96" s="2854">
        <f t="shared" si="9"/>
        <v>6535355.1679299995</v>
      </c>
      <c r="J96" s="396"/>
      <c r="K96" s="396"/>
      <c r="L96" s="396"/>
      <c r="M96" s="396"/>
      <c r="N96" s="396"/>
      <c r="O96" s="396"/>
    </row>
    <row r="97" spans="1:15">
      <c r="A97" s="471"/>
      <c r="B97" s="2810" t="s">
        <v>523</v>
      </c>
      <c r="C97" s="2815">
        <f>SUM(C83:C96)</f>
        <v>1696697.9254837027</v>
      </c>
      <c r="D97" s="2815">
        <f t="shared" ref="D97:G97" si="10">SUM(D83:D96)</f>
        <v>453917.36379948427</v>
      </c>
      <c r="E97" s="2815">
        <f t="shared" si="10"/>
        <v>34681761.67210798</v>
      </c>
      <c r="F97" s="2815">
        <f t="shared" si="10"/>
        <v>12148223.939687017</v>
      </c>
      <c r="G97" s="2815">
        <f t="shared" si="10"/>
        <v>3457622.963732332</v>
      </c>
      <c r="H97" s="2854">
        <f>C97+D97+E97+F97+G97</f>
        <v>52438223.864810511</v>
      </c>
      <c r="J97" s="396"/>
      <c r="K97" s="396"/>
      <c r="L97" s="396"/>
      <c r="M97" s="396"/>
      <c r="N97" s="396"/>
      <c r="O97" s="396"/>
    </row>
    <row r="98" spans="1:15">
      <c r="B98" s="2810" t="s">
        <v>399</v>
      </c>
      <c r="C98" s="2855"/>
      <c r="D98" s="2855"/>
      <c r="E98" s="2855"/>
      <c r="F98" s="2855"/>
      <c r="G98" s="2855"/>
      <c r="H98" s="2849">
        <v>76067.884519999992</v>
      </c>
      <c r="J98" s="396"/>
      <c r="K98" s="396"/>
      <c r="L98" s="396"/>
      <c r="M98" s="396"/>
      <c r="N98" s="396"/>
      <c r="O98" s="396"/>
    </row>
    <row r="99" spans="1:15">
      <c r="B99" s="2810" t="s">
        <v>118</v>
      </c>
      <c r="C99" s="2815">
        <f>C97+C98</f>
        <v>1696697.9254837027</v>
      </c>
      <c r="D99" s="2815">
        <f t="shared" ref="D99:H99" si="11">D97+D98</f>
        <v>453917.36379948427</v>
      </c>
      <c r="E99" s="2815">
        <f t="shared" si="11"/>
        <v>34681761.67210798</v>
      </c>
      <c r="F99" s="2815">
        <f t="shared" si="11"/>
        <v>12148223.939687017</v>
      </c>
      <c r="G99" s="2815">
        <f t="shared" si="11"/>
        <v>3457622.963732332</v>
      </c>
      <c r="H99" s="2815">
        <f t="shared" si="11"/>
        <v>52514291.749330513</v>
      </c>
      <c r="J99" s="396"/>
      <c r="K99" s="396"/>
      <c r="L99" s="396"/>
      <c r="M99" s="396"/>
      <c r="N99" s="396"/>
      <c r="O99" s="396"/>
    </row>
    <row r="100" spans="1:15">
      <c r="B100" s="218"/>
      <c r="C100" s="383"/>
      <c r="D100" s="383"/>
      <c r="E100" s="383"/>
      <c r="F100" s="383"/>
      <c r="G100" s="383"/>
      <c r="H100" s="264"/>
      <c r="I100" s="396"/>
      <c r="J100" s="396"/>
      <c r="K100" s="396"/>
      <c r="L100" s="396"/>
      <c r="M100" s="396"/>
      <c r="N100" s="396"/>
      <c r="O100" s="396"/>
    </row>
    <row r="101" spans="1:15">
      <c r="B101" s="295"/>
      <c r="H101" s="52">
        <v>161</v>
      </c>
      <c r="J101" s="396"/>
      <c r="K101" s="396"/>
      <c r="L101" s="396"/>
      <c r="M101" s="396"/>
      <c r="N101" s="396"/>
      <c r="O101" s="396"/>
    </row>
    <row r="102" spans="1:15">
      <c r="J102" s="396"/>
      <c r="K102" s="396"/>
      <c r="L102" s="396"/>
      <c r="M102" s="396"/>
      <c r="N102" s="396"/>
      <c r="O102" s="396"/>
    </row>
    <row r="103" spans="1:15">
      <c r="B103" s="218" t="s">
        <v>536</v>
      </c>
      <c r="C103" s="218"/>
      <c r="D103" s="218"/>
      <c r="E103" s="218"/>
      <c r="F103" s="471"/>
      <c r="G103" s="471"/>
      <c r="J103" s="396"/>
      <c r="K103" s="396"/>
      <c r="L103" s="396"/>
      <c r="M103" s="396"/>
      <c r="N103" s="396"/>
      <c r="O103" s="396"/>
    </row>
    <row r="104" spans="1:15">
      <c r="B104" s="218"/>
      <c r="G104" s="3744" t="s">
        <v>232</v>
      </c>
      <c r="H104" s="3744"/>
      <c r="J104" s="396"/>
      <c r="K104" s="396"/>
      <c r="L104" s="396"/>
      <c r="M104" s="396"/>
      <c r="N104" s="396"/>
      <c r="O104" s="396"/>
    </row>
    <row r="105" spans="1:15">
      <c r="B105" s="3745" t="s">
        <v>83</v>
      </c>
      <c r="C105" s="3747" t="s">
        <v>496</v>
      </c>
      <c r="D105" s="3741" t="s">
        <v>502</v>
      </c>
      <c r="E105" s="3741" t="s">
        <v>498</v>
      </c>
      <c r="F105" s="3738" t="s">
        <v>531</v>
      </c>
      <c r="G105" s="3738" t="s">
        <v>537</v>
      </c>
      <c r="H105" s="3741" t="s">
        <v>522</v>
      </c>
      <c r="J105" s="396"/>
      <c r="K105" s="396"/>
      <c r="L105" s="396"/>
      <c r="M105" s="396"/>
      <c r="N105" s="396"/>
      <c r="O105" s="396"/>
    </row>
    <row r="106" spans="1:15">
      <c r="B106" s="3716"/>
      <c r="C106" s="3710"/>
      <c r="D106" s="3742"/>
      <c r="E106" s="3742"/>
      <c r="F106" s="3739"/>
      <c r="G106" s="3739"/>
      <c r="H106" s="3742"/>
      <c r="J106" s="396"/>
      <c r="K106" s="396"/>
      <c r="L106" s="396"/>
      <c r="M106" s="396"/>
      <c r="N106" s="396"/>
      <c r="O106" s="396"/>
    </row>
    <row r="107" spans="1:15">
      <c r="B107" s="3746"/>
      <c r="C107" s="3700"/>
      <c r="D107" s="3743"/>
      <c r="E107" s="3743"/>
      <c r="F107" s="3740"/>
      <c r="G107" s="3740"/>
      <c r="H107" s="3743"/>
      <c r="J107" s="396"/>
      <c r="K107" s="396"/>
      <c r="L107" s="396"/>
      <c r="M107" s="396"/>
      <c r="N107" s="396"/>
      <c r="O107" s="396"/>
    </row>
    <row r="108" spans="1:15">
      <c r="A108" s="471"/>
      <c r="B108" s="2794" t="s">
        <v>92</v>
      </c>
      <c r="C108" s="2022">
        <v>196647.00054000007</v>
      </c>
      <c r="D108" s="2022">
        <v>28798.310269999991</v>
      </c>
      <c r="E108" s="2022">
        <v>1183251.13273</v>
      </c>
      <c r="F108" s="2022">
        <v>639305.58622000006</v>
      </c>
      <c r="G108" s="2022">
        <v>263183.80220999999</v>
      </c>
      <c r="H108" s="2854">
        <v>2311185.8319699997</v>
      </c>
      <c r="I108" s="396"/>
      <c r="J108" s="396"/>
      <c r="K108" s="396"/>
      <c r="L108" s="396"/>
      <c r="M108" s="396"/>
      <c r="N108" s="396"/>
      <c r="O108" s="396"/>
    </row>
    <row r="109" spans="1:15">
      <c r="A109" s="471"/>
      <c r="B109" s="2794" t="s">
        <v>95</v>
      </c>
      <c r="C109" s="2022">
        <v>936.70960999999443</v>
      </c>
      <c r="D109" s="2022">
        <v>20812.032290000003</v>
      </c>
      <c r="E109" s="2022">
        <v>534783.08982999995</v>
      </c>
      <c r="F109" s="2022">
        <v>129319.80490999999</v>
      </c>
      <c r="G109" s="2022">
        <v>8173.8413299999993</v>
      </c>
      <c r="H109" s="2854">
        <v>694025.47796999989</v>
      </c>
      <c r="I109" s="396"/>
      <c r="J109" s="396"/>
      <c r="K109" s="396"/>
      <c r="L109" s="396"/>
      <c r="M109" s="396"/>
      <c r="N109" s="396"/>
      <c r="O109" s="396"/>
    </row>
    <row r="110" spans="1:15">
      <c r="A110" s="471"/>
      <c r="B110" s="2794" t="s">
        <v>98</v>
      </c>
      <c r="C110" s="2022">
        <v>1059195</v>
      </c>
      <c r="D110" s="2022">
        <v>77943</v>
      </c>
      <c r="E110" s="2022">
        <v>4862898</v>
      </c>
      <c r="F110" s="2022">
        <v>850530</v>
      </c>
      <c r="G110" s="2022">
        <v>520863</v>
      </c>
      <c r="H110" s="2854">
        <v>7371429</v>
      </c>
      <c r="I110" s="396"/>
      <c r="J110" s="396"/>
      <c r="K110" s="396"/>
      <c r="L110" s="396"/>
      <c r="M110" s="396"/>
      <c r="N110" s="396"/>
      <c r="O110" s="396"/>
    </row>
    <row r="111" spans="1:15">
      <c r="A111" s="471"/>
      <c r="B111" s="2794" t="s">
        <v>99</v>
      </c>
      <c r="C111" s="2022">
        <v>-7493.7360900000158</v>
      </c>
      <c r="D111" s="2022">
        <v>1472.0268499999984</v>
      </c>
      <c r="E111" s="2022">
        <v>1507588.3107399996</v>
      </c>
      <c r="F111" s="2022">
        <v>55325.87148999999</v>
      </c>
      <c r="G111" s="2022">
        <v>24964.835749999987</v>
      </c>
      <c r="H111" s="2854">
        <v>1581857.3087399998</v>
      </c>
      <c r="I111" s="396"/>
      <c r="J111" s="396"/>
      <c r="K111" s="396"/>
      <c r="L111" s="396"/>
      <c r="M111" s="396"/>
      <c r="N111" s="396"/>
      <c r="O111" s="396"/>
    </row>
    <row r="112" spans="1:15">
      <c r="A112" s="471"/>
      <c r="B112" s="2794" t="s">
        <v>101</v>
      </c>
      <c r="C112" s="2022">
        <v>-6356.8245599999973</v>
      </c>
      <c r="D112" s="2022">
        <v>-1898.4941100000001</v>
      </c>
      <c r="E112" s="2022">
        <v>1478790.2164099999</v>
      </c>
      <c r="F112" s="2022">
        <v>18653</v>
      </c>
      <c r="G112" s="2022">
        <v>39657.998080000005</v>
      </c>
      <c r="H112" s="2854">
        <v>1528845.89582</v>
      </c>
      <c r="I112" s="396"/>
      <c r="J112" s="396"/>
      <c r="K112" s="396"/>
      <c r="L112" s="396"/>
      <c r="M112" s="396"/>
      <c r="N112" s="396"/>
      <c r="O112" s="396"/>
    </row>
    <row r="113" spans="1:15">
      <c r="A113" s="471"/>
      <c r="B113" s="2061" t="s">
        <v>102</v>
      </c>
      <c r="C113" s="2022">
        <v>66659.486666128971</v>
      </c>
      <c r="D113" s="2022">
        <v>70498.171579922899</v>
      </c>
      <c r="E113" s="2022">
        <v>3357309.8658818007</v>
      </c>
      <c r="F113" s="2022">
        <v>2304681.204733036</v>
      </c>
      <c r="G113" s="2022">
        <v>116589.07500253606</v>
      </c>
      <c r="H113" s="2854">
        <v>5915737.8038634248</v>
      </c>
      <c r="I113" s="396"/>
      <c r="J113" s="396"/>
      <c r="K113" s="396"/>
      <c r="L113" s="396"/>
      <c r="M113" s="396"/>
      <c r="N113" s="396"/>
      <c r="O113" s="396"/>
    </row>
    <row r="114" spans="1:15">
      <c r="A114" s="471"/>
      <c r="B114" s="2794" t="s">
        <v>104</v>
      </c>
      <c r="C114" s="2022">
        <v>31200.55030999997</v>
      </c>
      <c r="D114" s="2022">
        <v>1387.9191700000029</v>
      </c>
      <c r="E114" s="2022">
        <v>1526394.0202000001</v>
      </c>
      <c r="F114" s="2022">
        <v>154511.50974999997</v>
      </c>
      <c r="G114" s="2022">
        <v>5354.2935900000102</v>
      </c>
      <c r="H114" s="2854">
        <v>1718848.29302</v>
      </c>
      <c r="I114" s="396"/>
      <c r="J114" s="396"/>
      <c r="K114" s="396"/>
      <c r="L114" s="396"/>
      <c r="M114" s="396"/>
      <c r="N114" s="396"/>
      <c r="O114" s="396"/>
    </row>
    <row r="115" spans="1:15">
      <c r="A115" s="471"/>
      <c r="B115" s="2794" t="s">
        <v>145</v>
      </c>
      <c r="C115" s="2022">
        <v>129366.12587999974</v>
      </c>
      <c r="D115" s="2022">
        <v>76916.030130000014</v>
      </c>
      <c r="E115" s="2022">
        <v>4534344.1108099995</v>
      </c>
      <c r="F115" s="2022">
        <v>1178318.7029199996</v>
      </c>
      <c r="G115" s="2022">
        <v>279475.07068999886</v>
      </c>
      <c r="H115" s="2854">
        <v>6198420.0404299982</v>
      </c>
      <c r="I115" s="396"/>
      <c r="J115" s="396"/>
      <c r="K115" s="396"/>
      <c r="L115" s="396"/>
      <c r="M115" s="396"/>
      <c r="N115" s="396"/>
      <c r="O115" s="396"/>
    </row>
    <row r="116" spans="1:15">
      <c r="A116" s="471"/>
      <c r="B116" s="2794" t="s">
        <v>108</v>
      </c>
      <c r="C116" s="2022">
        <v>23427.44405999998</v>
      </c>
      <c r="D116" s="2022">
        <v>3740.0445699999996</v>
      </c>
      <c r="E116" s="2022">
        <v>1616257.0826700001</v>
      </c>
      <c r="F116" s="2770"/>
      <c r="G116" s="2022">
        <v>17334.024810000003</v>
      </c>
      <c r="H116" s="2854">
        <v>1660758.5961100003</v>
      </c>
      <c r="I116" s="396"/>
      <c r="J116" s="396"/>
      <c r="K116" s="396"/>
      <c r="L116" s="396"/>
      <c r="M116" s="396"/>
      <c r="N116" s="396"/>
      <c r="O116" s="396"/>
    </row>
    <row r="117" spans="1:15">
      <c r="A117" s="471"/>
      <c r="B117" s="2794" t="s">
        <v>109</v>
      </c>
      <c r="C117" s="2022">
        <v>6180.0965912461743</v>
      </c>
      <c r="D117" s="2022">
        <v>3138.4183849999999</v>
      </c>
      <c r="E117" s="2022">
        <v>201565.270472</v>
      </c>
      <c r="F117" s="2022">
        <v>71860.717134999999</v>
      </c>
      <c r="G117" s="2022">
        <v>17700.044090999985</v>
      </c>
      <c r="H117" s="2854">
        <v>300444.54667424614</v>
      </c>
      <c r="I117" s="396"/>
      <c r="J117" s="396"/>
      <c r="K117" s="396"/>
      <c r="L117" s="396"/>
      <c r="M117" s="396"/>
      <c r="N117" s="396"/>
      <c r="O117" s="396"/>
    </row>
    <row r="118" spans="1:15">
      <c r="A118" s="471"/>
      <c r="B118" s="2794" t="s">
        <v>111</v>
      </c>
      <c r="C118" s="2022">
        <v>8008.0929295700626</v>
      </c>
      <c r="D118" s="2022">
        <v>5203.1702112151925</v>
      </c>
      <c r="E118" s="2022">
        <v>514979.88864177529</v>
      </c>
      <c r="F118" s="2022">
        <v>18836.368125002169</v>
      </c>
      <c r="G118" s="2022">
        <v>11195.14541282318</v>
      </c>
      <c r="H118" s="2854">
        <v>558222.66532038583</v>
      </c>
      <c r="I118" s="396"/>
      <c r="J118" s="396"/>
      <c r="K118" s="396"/>
      <c r="L118" s="396"/>
      <c r="M118" s="396"/>
      <c r="N118" s="396"/>
      <c r="O118" s="396"/>
    </row>
    <row r="119" spans="1:15">
      <c r="A119" s="471"/>
      <c r="B119" s="2794" t="s">
        <v>112</v>
      </c>
      <c r="C119" s="2022">
        <v>56547</v>
      </c>
      <c r="D119" s="2022">
        <v>-461</v>
      </c>
      <c r="E119" s="2022">
        <v>2582040.9999999949</v>
      </c>
      <c r="F119" s="2022">
        <v>103216</v>
      </c>
      <c r="G119" s="2022">
        <v>99607</v>
      </c>
      <c r="H119" s="2854">
        <v>2840949.9999999949</v>
      </c>
      <c r="I119" s="396"/>
      <c r="J119" s="396"/>
      <c r="K119" s="396"/>
      <c r="L119" s="396"/>
      <c r="M119" s="396"/>
      <c r="N119" s="396"/>
      <c r="O119" s="396"/>
    </row>
    <row r="120" spans="1:15">
      <c r="A120" s="471"/>
      <c r="B120" s="2794" t="s">
        <v>134</v>
      </c>
      <c r="C120" s="2022">
        <v>2620.0118663127655</v>
      </c>
      <c r="D120" s="2770"/>
      <c r="E120" s="2022">
        <v>113272.5179410921</v>
      </c>
      <c r="F120" s="2044"/>
      <c r="G120" s="2022">
        <v>58402.479192595085</v>
      </c>
      <c r="H120" s="2854">
        <v>174295.00899999996</v>
      </c>
      <c r="I120" s="396"/>
      <c r="J120" s="396"/>
      <c r="K120" s="396"/>
      <c r="L120" s="396"/>
      <c r="M120" s="396"/>
      <c r="N120" s="396"/>
      <c r="O120" s="396"/>
    </row>
    <row r="121" spans="1:15">
      <c r="A121" s="471"/>
      <c r="B121" s="2794" t="s">
        <v>115</v>
      </c>
      <c r="C121" s="2022">
        <v>68145.078149313878</v>
      </c>
      <c r="D121" s="2022">
        <v>57781.667189999993</v>
      </c>
      <c r="E121" s="2022">
        <v>6854282.3963300027</v>
      </c>
      <c r="F121" s="2022">
        <v>1792650.1274624998</v>
      </c>
      <c r="G121" s="2022">
        <v>354151.31328000006</v>
      </c>
      <c r="H121" s="2854">
        <v>9127010.5824118163</v>
      </c>
      <c r="I121" s="396"/>
      <c r="J121" s="396"/>
      <c r="K121" s="396"/>
      <c r="L121" s="396"/>
      <c r="M121" s="396"/>
      <c r="N121" s="396"/>
      <c r="O121" s="396"/>
    </row>
    <row r="122" spans="1:15">
      <c r="A122" s="471"/>
      <c r="B122" s="2061" t="s">
        <v>110</v>
      </c>
      <c r="C122" s="2104">
        <v>4979.9544699999997</v>
      </c>
      <c r="D122" s="2770"/>
      <c r="E122" s="2022">
        <v>266452.06657000002</v>
      </c>
      <c r="F122" s="2022">
        <v>3194002.8621499999</v>
      </c>
      <c r="G122" s="2022">
        <v>2370207.8139699996</v>
      </c>
      <c r="H122" s="2854">
        <v>5835642.69716</v>
      </c>
      <c r="I122" s="396"/>
      <c r="J122" s="396"/>
      <c r="K122" s="396"/>
      <c r="L122" s="396"/>
      <c r="M122" s="396"/>
      <c r="N122" s="396"/>
      <c r="O122" s="396"/>
    </row>
    <row r="123" spans="1:15">
      <c r="B123" s="2810" t="s">
        <v>523</v>
      </c>
      <c r="C123" s="2815">
        <v>1640061.9904225713</v>
      </c>
      <c r="D123" s="2815">
        <v>345331.29653613816</v>
      </c>
      <c r="E123" s="2815">
        <v>31134208.969226666</v>
      </c>
      <c r="F123" s="2815">
        <v>10511211.754895536</v>
      </c>
      <c r="G123" s="2815">
        <v>4186859.7374089528</v>
      </c>
      <c r="H123" s="2815">
        <v>47817673.748489864</v>
      </c>
      <c r="I123" s="396"/>
      <c r="J123" s="396"/>
      <c r="K123" s="396"/>
      <c r="L123" s="396"/>
      <c r="M123" s="396"/>
      <c r="N123" s="396"/>
      <c r="O123" s="396"/>
    </row>
    <row r="124" spans="1:15">
      <c r="B124" s="2810" t="s">
        <v>399</v>
      </c>
      <c r="C124" s="2775"/>
      <c r="D124" s="2775"/>
      <c r="E124" s="2775"/>
      <c r="F124" s="2775"/>
      <c r="G124" s="2775"/>
      <c r="H124" s="2775">
        <v>-10519.253340000001</v>
      </c>
      <c r="I124" s="396"/>
      <c r="J124" s="396"/>
      <c r="K124" s="396"/>
      <c r="L124" s="396"/>
      <c r="M124" s="396"/>
      <c r="N124" s="396"/>
      <c r="O124" s="396"/>
    </row>
    <row r="125" spans="1:15">
      <c r="B125" s="2810" t="s">
        <v>118</v>
      </c>
      <c r="C125" s="2815">
        <v>1640061.9904225713</v>
      </c>
      <c r="D125" s="2815">
        <v>345331.29653613816</v>
      </c>
      <c r="E125" s="2815">
        <v>31134208.969226666</v>
      </c>
      <c r="F125" s="2815">
        <v>10511211.754895536</v>
      </c>
      <c r="G125" s="2815">
        <v>4186859.7374089528</v>
      </c>
      <c r="H125" s="2815">
        <v>47807154.495149866</v>
      </c>
      <c r="I125" s="396"/>
      <c r="J125" s="396"/>
      <c r="K125" s="396"/>
      <c r="L125" s="396"/>
      <c r="M125" s="396"/>
      <c r="N125" s="396"/>
      <c r="O125" s="396"/>
    </row>
    <row r="126" spans="1:15">
      <c r="B126" s="218"/>
      <c r="C126" s="383"/>
      <c r="D126" s="383"/>
      <c r="E126" s="383"/>
      <c r="F126" s="383"/>
      <c r="G126" s="383"/>
      <c r="H126" s="264"/>
      <c r="I126" s="396"/>
      <c r="J126" s="396"/>
      <c r="K126" s="396"/>
      <c r="L126" s="396"/>
      <c r="M126" s="396"/>
      <c r="N126" s="396"/>
      <c r="O126" s="396"/>
    </row>
    <row r="127" spans="1:15">
      <c r="B127" s="218"/>
      <c r="C127" s="383"/>
      <c r="D127" s="383"/>
      <c r="E127" s="383"/>
      <c r="F127" s="383"/>
      <c r="G127" s="383"/>
      <c r="H127" s="52">
        <v>162</v>
      </c>
      <c r="I127" s="396"/>
      <c r="J127" s="396"/>
      <c r="K127" s="396"/>
      <c r="L127" s="396"/>
      <c r="M127" s="396"/>
      <c r="N127" s="396"/>
      <c r="O127" s="396"/>
    </row>
    <row r="128" spans="1:15">
      <c r="J128" s="396"/>
      <c r="K128" s="396"/>
      <c r="L128" s="396"/>
      <c r="M128" s="396"/>
      <c r="N128" s="396"/>
      <c r="O128" s="396"/>
    </row>
    <row r="130" spans="2:8">
      <c r="B130" s="471"/>
      <c r="C130" s="383"/>
      <c r="D130" s="383"/>
      <c r="E130" s="383"/>
      <c r="F130" s="383"/>
      <c r="G130" s="383"/>
      <c r="H130" s="419"/>
    </row>
  </sheetData>
  <mergeCells count="45">
    <mergeCell ref="G55:G57"/>
    <mergeCell ref="H55:H57"/>
    <mergeCell ref="B53:G53"/>
    <mergeCell ref="B55:B57"/>
    <mergeCell ref="C55:C57"/>
    <mergeCell ref="D55:D57"/>
    <mergeCell ref="E55:E57"/>
    <mergeCell ref="F55:F57"/>
    <mergeCell ref="G54:H54"/>
    <mergeCell ref="G104:H104"/>
    <mergeCell ref="B105:B107"/>
    <mergeCell ref="C105:C107"/>
    <mergeCell ref="D105:D107"/>
    <mergeCell ref="E105:E107"/>
    <mergeCell ref="F105:F107"/>
    <mergeCell ref="G105:G107"/>
    <mergeCell ref="H105:H107"/>
    <mergeCell ref="B78:G78"/>
    <mergeCell ref="G79:H79"/>
    <mergeCell ref="B80:B82"/>
    <mergeCell ref="C80:C82"/>
    <mergeCell ref="D80:D82"/>
    <mergeCell ref="E80:E82"/>
    <mergeCell ref="F80:F82"/>
    <mergeCell ref="G80:G82"/>
    <mergeCell ref="H80:H82"/>
    <mergeCell ref="G29:H29"/>
    <mergeCell ref="B30:B32"/>
    <mergeCell ref="C30:C32"/>
    <mergeCell ref="D30:D32"/>
    <mergeCell ref="E30:E32"/>
    <mergeCell ref="F30:F32"/>
    <mergeCell ref="G30:G32"/>
    <mergeCell ref="H30:H32"/>
    <mergeCell ref="F5:F7"/>
    <mergeCell ref="G5:G7"/>
    <mergeCell ref="H5:H7"/>
    <mergeCell ref="B1:H1"/>
    <mergeCell ref="B28:G28"/>
    <mergeCell ref="B3:G3"/>
    <mergeCell ref="G4:H4"/>
    <mergeCell ref="B5:B7"/>
    <mergeCell ref="C5:C7"/>
    <mergeCell ref="D5:D7"/>
    <mergeCell ref="E5:E7"/>
  </mergeCells>
  <pageMargins left="0.7" right="0.7" top="0.75" bottom="0.75" header="0.3" footer="0.3"/>
  <pageSetup paperSize="9" scale="75" orientation="landscape" r:id="rId1"/>
  <rowBreaks count="5" manualBreakCount="5">
    <brk id="26" max="7" man="1"/>
    <brk id="51" max="7" man="1"/>
    <brk id="76" max="7" man="1"/>
    <brk id="101" max="7" man="1"/>
    <brk id="127" max="7"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99"/>
  </sheetPr>
  <dimension ref="B2:T74"/>
  <sheetViews>
    <sheetView showGridLines="0" view="pageBreakPreview" topLeftCell="A16" zoomScaleNormal="100" zoomScaleSheetLayoutView="100" workbookViewId="0">
      <selection activeCell="J16" sqref="J16"/>
    </sheetView>
  </sheetViews>
  <sheetFormatPr defaultColWidth="9.140625" defaultRowHeight="12.75"/>
  <cols>
    <col min="1" max="1" width="5.28515625" style="292" customWidth="1"/>
    <col min="2" max="2" width="16.7109375" style="292" customWidth="1"/>
    <col min="3" max="3" width="14.7109375" style="292" hidden="1" customWidth="1"/>
    <col min="4" max="4" width="14.7109375" style="292" customWidth="1"/>
    <col min="5" max="5" width="13.140625" style="292" customWidth="1"/>
    <col min="6" max="6" width="16.28515625" style="292" customWidth="1"/>
    <col min="7" max="7" width="13.140625" style="292" customWidth="1"/>
    <col min="8" max="9" width="13.28515625" style="292" customWidth="1"/>
    <col min="10" max="10" width="13.28515625" style="292" bestFit="1" customWidth="1"/>
    <col min="11" max="11" width="15.140625" style="292" customWidth="1"/>
    <col min="12" max="12" width="13.7109375" style="292" bestFit="1" customWidth="1"/>
    <col min="13" max="13" width="14.7109375" style="292" bestFit="1" customWidth="1"/>
    <col min="14" max="14" width="12.85546875" style="292" customWidth="1"/>
    <col min="15" max="15" width="13.140625" style="292" customWidth="1"/>
    <col min="16" max="16" width="12.140625" style="292" customWidth="1"/>
    <col min="17" max="17" width="11.28515625" style="292" customWidth="1"/>
    <col min="18" max="18" width="14.7109375" style="292" customWidth="1"/>
    <col min="19" max="19" width="16.42578125" style="292" customWidth="1"/>
    <col min="20" max="20" width="14.5703125" style="385" customWidth="1"/>
    <col min="21" max="16384" width="9.140625" style="292"/>
  </cols>
  <sheetData>
    <row r="2" spans="2:20">
      <c r="B2" s="218" t="s">
        <v>538</v>
      </c>
      <c r="C2" s="218"/>
      <c r="D2" s="218"/>
      <c r="E2" s="218"/>
      <c r="F2" s="218"/>
      <c r="G2" s="218"/>
    </row>
    <row r="3" spans="2:20">
      <c r="B3" s="218"/>
      <c r="C3" s="218"/>
      <c r="D3" s="218"/>
      <c r="E3" s="218"/>
      <c r="F3" s="218"/>
      <c r="G3" s="218"/>
    </row>
    <row r="4" spans="2:20">
      <c r="B4" s="1836"/>
      <c r="D4" s="3748" t="s">
        <v>539</v>
      </c>
      <c r="E4" s="3749"/>
      <c r="F4" s="3749"/>
      <c r="G4" s="3749"/>
      <c r="H4" s="3750"/>
      <c r="I4" s="578"/>
    </row>
    <row r="5" spans="2:20">
      <c r="B5" s="3720" t="s">
        <v>83</v>
      </c>
      <c r="C5" s="3754">
        <v>2016</v>
      </c>
      <c r="D5" s="3704">
        <v>2017</v>
      </c>
      <c r="E5" s="3752">
        <v>2018</v>
      </c>
      <c r="F5" s="3704">
        <v>2019</v>
      </c>
      <c r="G5" s="3705" t="s">
        <v>540</v>
      </c>
      <c r="H5" s="3756" t="s">
        <v>541</v>
      </c>
      <c r="S5" s="385"/>
      <c r="T5" s="292"/>
    </row>
    <row r="6" spans="2:20">
      <c r="B6" s="3751"/>
      <c r="C6" s="3691"/>
      <c r="D6" s="3705"/>
      <c r="E6" s="3752"/>
      <c r="F6" s="3705" t="s">
        <v>542</v>
      </c>
      <c r="G6" s="3705" t="s">
        <v>542</v>
      </c>
      <c r="H6" s="3756" t="s">
        <v>542</v>
      </c>
      <c r="S6" s="385"/>
      <c r="T6" s="292"/>
    </row>
    <row r="7" spans="2:20">
      <c r="B7" s="3729"/>
      <c r="C7" s="3755"/>
      <c r="D7" s="3706"/>
      <c r="E7" s="3753"/>
      <c r="F7" s="3706"/>
      <c r="G7" s="3705"/>
      <c r="H7" s="3756"/>
      <c r="S7" s="385"/>
      <c r="T7" s="292"/>
    </row>
    <row r="8" spans="2:20">
      <c r="B8" s="1835" t="s">
        <v>92</v>
      </c>
      <c r="C8" s="2032">
        <v>109.31</v>
      </c>
      <c r="D8" s="1831">
        <v>104.80229985277963</v>
      </c>
      <c r="E8" s="2015">
        <v>109.26843802148414</v>
      </c>
      <c r="F8" s="1832">
        <v>125.95557575494961</v>
      </c>
      <c r="G8" s="1833">
        <v>100.1280728528024</v>
      </c>
      <c r="H8" s="1834">
        <v>99.427977334591631</v>
      </c>
      <c r="I8" s="491"/>
      <c r="J8" s="491"/>
      <c r="K8" s="491"/>
      <c r="L8" s="482"/>
      <c r="S8" s="385"/>
      <c r="T8" s="292"/>
    </row>
    <row r="9" spans="2:20">
      <c r="B9" s="2772" t="s">
        <v>95</v>
      </c>
      <c r="C9" s="2032">
        <v>121.75</v>
      </c>
      <c r="D9" s="2015">
        <v>104.90751715489131</v>
      </c>
      <c r="E9" s="2015">
        <v>111.2684037235901</v>
      </c>
      <c r="F9" s="2015">
        <v>129.59490165340691</v>
      </c>
      <c r="G9" s="2856">
        <v>104.96009143190055</v>
      </c>
      <c r="H9" s="2857">
        <v>106.81617915112423</v>
      </c>
      <c r="I9" s="491"/>
      <c r="J9" s="491"/>
      <c r="K9" s="491"/>
      <c r="L9" s="482"/>
      <c r="S9" s="385"/>
      <c r="T9" s="292"/>
    </row>
    <row r="10" spans="2:20">
      <c r="B10" s="2772" t="s">
        <v>98</v>
      </c>
      <c r="C10" s="2032">
        <v>97.61</v>
      </c>
      <c r="D10" s="2015">
        <v>98.541194450603768</v>
      </c>
      <c r="E10" s="2015">
        <v>100.22551287162311</v>
      </c>
      <c r="F10" s="2015">
        <v>104.15353651343995</v>
      </c>
      <c r="G10" s="2856">
        <v>101.08631968705825</v>
      </c>
      <c r="H10" s="2857">
        <v>105.94100194650147</v>
      </c>
      <c r="I10" s="491"/>
      <c r="J10" s="491"/>
      <c r="K10" s="491"/>
      <c r="L10" s="482"/>
      <c r="S10" s="385"/>
      <c r="T10" s="292"/>
    </row>
    <row r="11" spans="2:20">
      <c r="B11" s="2772" t="s">
        <v>99</v>
      </c>
      <c r="C11" s="2032">
        <v>101.53</v>
      </c>
      <c r="D11" s="2015">
        <v>100.98836823004488</v>
      </c>
      <c r="E11" s="2015">
        <v>102.06258980457601</v>
      </c>
      <c r="F11" s="1999">
        <v>98.556215453353047</v>
      </c>
      <c r="G11" s="2856">
        <v>85.455264400048407</v>
      </c>
      <c r="H11" s="2857">
        <v>89.284738294060915</v>
      </c>
      <c r="I11" s="491"/>
      <c r="J11" s="491"/>
      <c r="K11" s="491"/>
      <c r="L11" s="482"/>
      <c r="S11" s="385"/>
      <c r="T11" s="292"/>
    </row>
    <row r="12" spans="2:20">
      <c r="B12" s="2772" t="s">
        <v>101</v>
      </c>
      <c r="C12" s="2032">
        <v>100.95</v>
      </c>
      <c r="D12" s="2015">
        <v>100.32516274402916</v>
      </c>
      <c r="E12" s="2015">
        <v>104.41156381344069</v>
      </c>
      <c r="F12" s="2015">
        <v>107.56152871734108</v>
      </c>
      <c r="G12" s="2856">
        <v>96.109782881040587</v>
      </c>
      <c r="H12" s="2857">
        <v>100.19085969759907</v>
      </c>
      <c r="I12" s="491"/>
      <c r="J12" s="491"/>
      <c r="K12" s="491"/>
      <c r="L12" s="482"/>
      <c r="S12" s="385"/>
      <c r="T12" s="292"/>
    </row>
    <row r="13" spans="2:20">
      <c r="B13" s="2772" t="s">
        <v>102</v>
      </c>
      <c r="C13" s="2032">
        <v>128.28</v>
      </c>
      <c r="D13" s="2015">
        <v>100.24614671590273</v>
      </c>
      <c r="E13" s="2015">
        <v>103.97289287358946</v>
      </c>
      <c r="F13" s="2015">
        <v>104.20911755360333</v>
      </c>
      <c r="G13" s="2856">
        <v>101.67492927986727</v>
      </c>
      <c r="H13" s="2857">
        <v>100.78721683170289</v>
      </c>
      <c r="I13" s="491"/>
      <c r="J13" s="491"/>
      <c r="K13" s="491"/>
      <c r="L13" s="482"/>
      <c r="S13" s="385"/>
      <c r="T13" s="292"/>
    </row>
    <row r="14" spans="2:20">
      <c r="B14" s="2772" t="s">
        <v>104</v>
      </c>
      <c r="C14" s="2032">
        <v>110.03</v>
      </c>
      <c r="D14" s="2015">
        <v>105.95652299111633</v>
      </c>
      <c r="E14" s="2015">
        <v>105.39624393971965</v>
      </c>
      <c r="F14" s="2015">
        <v>103.7869609128276</v>
      </c>
      <c r="G14" s="2856">
        <v>97.270551587904592</v>
      </c>
      <c r="H14" s="2857">
        <v>104.19000423777956</v>
      </c>
      <c r="I14" s="491"/>
      <c r="J14" s="491"/>
      <c r="K14" s="491"/>
      <c r="L14" s="482"/>
      <c r="S14" s="385"/>
      <c r="T14" s="292"/>
    </row>
    <row r="15" spans="2:20">
      <c r="B15" s="2772" t="s">
        <v>145</v>
      </c>
      <c r="C15" s="2032">
        <v>103.25</v>
      </c>
      <c r="D15" s="2015">
        <v>105.94643458841166</v>
      </c>
      <c r="E15" s="2775"/>
      <c r="F15" s="2775"/>
      <c r="G15" s="2774"/>
      <c r="H15" s="2776"/>
      <c r="I15" s="491"/>
      <c r="J15" s="491"/>
      <c r="K15" s="491"/>
      <c r="L15" s="482"/>
      <c r="S15" s="385"/>
      <c r="T15" s="292"/>
    </row>
    <row r="16" spans="2:20">
      <c r="B16" s="2772" t="s">
        <v>108</v>
      </c>
      <c r="C16" s="2032">
        <v>103.33</v>
      </c>
      <c r="D16" s="2015">
        <v>106.21859168331153</v>
      </c>
      <c r="E16" s="2015">
        <v>109.17444260567413</v>
      </c>
      <c r="F16" s="2015">
        <v>95.861622309803479</v>
      </c>
      <c r="G16" s="2856">
        <v>80.721408163985714</v>
      </c>
      <c r="H16" s="2857">
        <v>90.731029389778143</v>
      </c>
      <c r="I16" s="491"/>
      <c r="J16" s="491"/>
      <c r="K16" s="491"/>
      <c r="L16" s="482"/>
      <c r="S16" s="385"/>
      <c r="T16" s="292"/>
    </row>
    <row r="17" spans="2:20">
      <c r="B17" s="2772" t="s">
        <v>109</v>
      </c>
      <c r="C17" s="2032">
        <v>143.47</v>
      </c>
      <c r="D17" s="2015">
        <v>131.88598757976507</v>
      </c>
      <c r="E17" s="2015">
        <v>1203.487807728915</v>
      </c>
      <c r="F17" s="2015">
        <v>1784.4702961117302</v>
      </c>
      <c r="G17" s="2856">
        <v>221.22932246968077</v>
      </c>
      <c r="H17" s="2857">
        <v>170.79666960693618</v>
      </c>
      <c r="I17" s="491"/>
      <c r="J17" s="491"/>
      <c r="K17" s="491"/>
      <c r="L17" s="482"/>
      <c r="S17" s="385"/>
      <c r="T17" s="292"/>
    </row>
    <row r="18" spans="2:20">
      <c r="B18" s="2772" t="s">
        <v>110</v>
      </c>
      <c r="C18" s="2015">
        <v>65.77</v>
      </c>
      <c r="D18" s="2015">
        <v>99.510012886137588</v>
      </c>
      <c r="E18" s="2015">
        <v>92.599195021750333</v>
      </c>
      <c r="F18" s="2015">
        <v>82.078924866326247</v>
      </c>
      <c r="G18" s="2856">
        <v>48.59670362963827</v>
      </c>
      <c r="H18" s="2857">
        <v>67.11305409635186</v>
      </c>
      <c r="I18" s="491"/>
      <c r="J18" s="491"/>
      <c r="K18" s="491"/>
      <c r="L18" s="482"/>
      <c r="S18" s="385"/>
      <c r="T18" s="292"/>
    </row>
    <row r="19" spans="2:20">
      <c r="B19" s="2772" t="s">
        <v>111</v>
      </c>
      <c r="C19" s="2032">
        <v>111.13</v>
      </c>
      <c r="D19" s="2015">
        <v>110.71070713464648</v>
      </c>
      <c r="E19" s="2015">
        <v>105.73349368067935</v>
      </c>
      <c r="F19" s="2015">
        <v>101.25384533002442</v>
      </c>
      <c r="G19" s="2856">
        <v>99.37999254692302</v>
      </c>
      <c r="H19" s="2857">
        <v>99.225757942881685</v>
      </c>
      <c r="I19" s="491"/>
      <c r="J19" s="491"/>
      <c r="K19" s="491"/>
      <c r="L19" s="482"/>
      <c r="S19" s="385"/>
      <c r="T19" s="292"/>
    </row>
    <row r="20" spans="2:20">
      <c r="B20" s="2772" t="s">
        <v>112</v>
      </c>
      <c r="C20" s="2032">
        <v>94.46</v>
      </c>
      <c r="D20" s="2015">
        <v>95.790766907592939</v>
      </c>
      <c r="E20" s="2015">
        <v>97.370526335691366</v>
      </c>
      <c r="F20" s="2015">
        <v>98.760086024840476</v>
      </c>
      <c r="G20" s="2856">
        <v>84.761149090996852</v>
      </c>
      <c r="H20" s="2857">
        <v>93.344838434824482</v>
      </c>
      <c r="I20" s="491"/>
      <c r="J20" s="491"/>
      <c r="K20" s="491"/>
      <c r="L20" s="482"/>
      <c r="S20" s="385"/>
      <c r="T20" s="292"/>
    </row>
    <row r="21" spans="2:20">
      <c r="B21" s="2772" t="s">
        <v>114</v>
      </c>
      <c r="C21" s="2032">
        <v>124.54</v>
      </c>
      <c r="D21" s="2015">
        <v>115.04042262757694</v>
      </c>
      <c r="E21" s="2015">
        <v>116.65022856370229</v>
      </c>
      <c r="F21" s="2015">
        <v>114.6257081754203</v>
      </c>
      <c r="G21" s="2856">
        <v>106.75044640725153</v>
      </c>
      <c r="H21" s="2857">
        <v>117.89595940265414</v>
      </c>
      <c r="I21" s="491"/>
      <c r="J21" s="491"/>
      <c r="K21" s="491"/>
      <c r="L21" s="482"/>
      <c r="S21" s="385"/>
      <c r="T21" s="292"/>
    </row>
    <row r="22" spans="2:20">
      <c r="B22" s="2772" t="s">
        <v>115</v>
      </c>
      <c r="C22" s="2032">
        <v>100.71</v>
      </c>
      <c r="D22" s="2015">
        <v>97.169788881483839</v>
      </c>
      <c r="E22" s="2015">
        <v>98.488172794736755</v>
      </c>
      <c r="F22" s="2015">
        <v>96.703384276559362</v>
      </c>
      <c r="G22" s="2856">
        <v>89.173933608010501</v>
      </c>
      <c r="H22" s="2857">
        <v>99.303343888979995</v>
      </c>
      <c r="I22" s="491"/>
      <c r="J22" s="491"/>
      <c r="K22" s="491"/>
      <c r="L22" s="482"/>
      <c r="S22" s="385"/>
      <c r="T22" s="292"/>
    </row>
    <row r="23" spans="2:20">
      <c r="B23" s="2764" t="s">
        <v>543</v>
      </c>
      <c r="C23" s="2858">
        <v>99.86</v>
      </c>
      <c r="D23" s="2858">
        <v>100.93648169747593</v>
      </c>
      <c r="E23" s="2858">
        <v>102.4539980061631</v>
      </c>
      <c r="F23" s="2858">
        <v>104.18116980368887</v>
      </c>
      <c r="G23" s="2858">
        <v>88.427499971614267</v>
      </c>
      <c r="H23" s="2858">
        <v>95.161625215318324</v>
      </c>
      <c r="I23" s="491"/>
      <c r="J23" s="491"/>
      <c r="K23" s="491"/>
      <c r="L23" s="484"/>
      <c r="S23" s="385"/>
      <c r="T23" s="292"/>
    </row>
    <row r="24" spans="2:20">
      <c r="B24" s="214"/>
      <c r="C24" s="383"/>
    </row>
    <row r="25" spans="2:20">
      <c r="H25" s="292">
        <v>163</v>
      </c>
    </row>
    <row r="28" spans="2:20">
      <c r="B28" s="3692"/>
      <c r="C28" s="3692"/>
      <c r="D28" s="3692"/>
      <c r="E28" s="3692"/>
      <c r="F28" s="3692"/>
      <c r="G28" s="218"/>
    </row>
    <row r="29" spans="2:20" ht="15">
      <c r="B29" s="295"/>
      <c r="F29" s="39"/>
      <c r="G29" s="583"/>
    </row>
    <row r="30" spans="2:20">
      <c r="B30" s="3473"/>
      <c r="C30" s="3473"/>
      <c r="D30" s="3473"/>
      <c r="E30" s="3473"/>
      <c r="F30" s="3473"/>
      <c r="G30" s="214"/>
    </row>
    <row r="31" spans="2:20">
      <c r="B31" s="3473"/>
      <c r="C31" s="214"/>
      <c r="D31" s="214"/>
      <c r="E31" s="214"/>
      <c r="F31" s="214"/>
      <c r="G31" s="214"/>
    </row>
    <row r="32" spans="2:20">
      <c r="C32" s="579"/>
      <c r="D32" s="579"/>
      <c r="E32" s="579"/>
      <c r="F32" s="579"/>
      <c r="G32" s="579"/>
    </row>
    <row r="33" spans="2:7">
      <c r="C33" s="579"/>
      <c r="D33" s="579"/>
      <c r="E33" s="579"/>
      <c r="F33" s="579"/>
      <c r="G33" s="579"/>
    </row>
    <row r="34" spans="2:7">
      <c r="C34" s="579"/>
      <c r="D34" s="579"/>
      <c r="E34" s="579"/>
      <c r="F34" s="579"/>
      <c r="G34" s="579"/>
    </row>
    <row r="35" spans="2:7">
      <c r="B35" s="467"/>
      <c r="C35" s="579"/>
      <c r="D35" s="579"/>
      <c r="E35" s="579"/>
      <c r="F35" s="579"/>
      <c r="G35" s="579"/>
    </row>
    <row r="36" spans="2:7">
      <c r="B36" s="467"/>
      <c r="C36" s="579"/>
      <c r="D36" s="579"/>
      <c r="E36" s="579"/>
      <c r="F36" s="579"/>
      <c r="G36" s="579"/>
    </row>
    <row r="37" spans="2:7">
      <c r="B37" s="295"/>
      <c r="C37" s="580"/>
      <c r="D37" s="580"/>
      <c r="E37" s="580"/>
      <c r="F37" s="580"/>
      <c r="G37" s="580"/>
    </row>
    <row r="38" spans="2:7">
      <c r="C38" s="579"/>
      <c r="D38" s="579"/>
      <c r="E38" s="579"/>
      <c r="F38" s="579"/>
      <c r="G38" s="579"/>
    </row>
    <row r="39" spans="2:7">
      <c r="B39" s="218"/>
      <c r="C39" s="580"/>
      <c r="D39" s="580"/>
      <c r="E39" s="580"/>
      <c r="F39" s="580"/>
      <c r="G39" s="580"/>
    </row>
    <row r="40" spans="2:7" ht="15">
      <c r="F40" s="39"/>
      <c r="G40" s="39"/>
    </row>
    <row r="41" spans="2:7">
      <c r="B41" s="3473"/>
      <c r="C41" s="3473"/>
      <c r="D41" s="3473"/>
      <c r="E41" s="3473"/>
      <c r="F41" s="3473"/>
      <c r="G41" s="214"/>
    </row>
    <row r="42" spans="2:7">
      <c r="B42" s="3473"/>
      <c r="C42" s="214"/>
      <c r="D42" s="214"/>
      <c r="E42" s="214"/>
      <c r="F42" s="214"/>
      <c r="G42" s="214"/>
    </row>
    <row r="43" spans="2:7" ht="15">
      <c r="C43" s="103"/>
      <c r="D43" s="103"/>
      <c r="E43" s="103"/>
      <c r="F43" s="197"/>
      <c r="G43" s="197"/>
    </row>
    <row r="44" spans="2:7" ht="15">
      <c r="C44" s="103"/>
      <c r="D44" s="103"/>
      <c r="E44" s="103"/>
      <c r="F44" s="197"/>
      <c r="G44" s="197"/>
    </row>
    <row r="45" spans="2:7" ht="15">
      <c r="C45" s="103"/>
      <c r="D45" s="103"/>
      <c r="E45" s="103"/>
      <c r="F45" s="197"/>
      <c r="G45" s="197"/>
    </row>
    <row r="46" spans="2:7" ht="15">
      <c r="B46" s="467"/>
      <c r="C46" s="3757"/>
      <c r="D46" s="3757"/>
      <c r="E46" s="293"/>
      <c r="F46" s="197"/>
      <c r="G46" s="197"/>
    </row>
    <row r="47" spans="2:7" ht="15">
      <c r="B47" s="467"/>
      <c r="C47" s="3757"/>
      <c r="D47" s="3757"/>
      <c r="E47" s="293"/>
      <c r="F47" s="197"/>
      <c r="G47" s="197"/>
    </row>
    <row r="48" spans="2:7">
      <c r="B48" s="295"/>
      <c r="C48" s="387"/>
      <c r="D48" s="387"/>
      <c r="E48" s="387"/>
      <c r="F48" s="387"/>
      <c r="G48" s="387"/>
    </row>
    <row r="49" spans="2:7">
      <c r="C49" s="387"/>
      <c r="D49" s="387"/>
      <c r="E49" s="387"/>
      <c r="F49" s="581"/>
      <c r="G49" s="581"/>
    </row>
    <row r="50" spans="2:7">
      <c r="B50" s="218"/>
      <c r="C50" s="387"/>
      <c r="D50" s="387"/>
      <c r="E50" s="387"/>
      <c r="F50" s="387"/>
      <c r="G50" s="387"/>
    </row>
    <row r="51" spans="2:7" ht="15">
      <c r="F51" s="39"/>
      <c r="G51" s="39"/>
    </row>
    <row r="52" spans="2:7">
      <c r="B52" s="3473"/>
      <c r="C52" s="3473"/>
      <c r="D52" s="3473"/>
      <c r="E52" s="3473"/>
      <c r="F52" s="3473"/>
      <c r="G52" s="214"/>
    </row>
    <row r="53" spans="2:7">
      <c r="B53" s="3473"/>
      <c r="C53" s="214"/>
      <c r="D53" s="214"/>
      <c r="E53" s="214"/>
      <c r="F53" s="214"/>
      <c r="G53" s="214"/>
    </row>
    <row r="54" spans="2:7" ht="15">
      <c r="C54" s="103"/>
      <c r="D54" s="103"/>
      <c r="E54" s="103"/>
      <c r="F54" s="197"/>
      <c r="G54" s="197"/>
    </row>
    <row r="55" spans="2:7" ht="15">
      <c r="C55" s="103"/>
      <c r="D55" s="103"/>
      <c r="E55" s="103"/>
      <c r="F55" s="197"/>
      <c r="G55" s="197"/>
    </row>
    <row r="56" spans="2:7" ht="15">
      <c r="C56" s="103"/>
      <c r="D56" s="103"/>
      <c r="E56" s="103"/>
      <c r="F56" s="197"/>
      <c r="G56" s="197"/>
    </row>
    <row r="57" spans="2:7" ht="15">
      <c r="B57" s="467"/>
      <c r="C57" s="3757"/>
      <c r="D57" s="3757"/>
      <c r="E57" s="293"/>
      <c r="F57" s="197"/>
      <c r="G57" s="197"/>
    </row>
    <row r="58" spans="2:7" ht="15">
      <c r="B58" s="467"/>
      <c r="C58" s="3757"/>
      <c r="D58" s="3757"/>
      <c r="E58" s="293"/>
      <c r="F58" s="197"/>
      <c r="G58" s="197"/>
    </row>
    <row r="59" spans="2:7">
      <c r="B59" s="295"/>
      <c r="C59" s="387"/>
      <c r="D59" s="387"/>
      <c r="E59" s="387"/>
      <c r="F59" s="387"/>
      <c r="G59" s="387"/>
    </row>
    <row r="60" spans="2:7">
      <c r="C60" s="103"/>
      <c r="D60" s="103"/>
      <c r="E60" s="103"/>
      <c r="F60" s="103"/>
      <c r="G60" s="103"/>
    </row>
    <row r="61" spans="2:7">
      <c r="B61" s="218"/>
      <c r="C61" s="387"/>
      <c r="D61" s="387"/>
      <c r="E61" s="387"/>
      <c r="F61" s="387"/>
      <c r="G61" s="387"/>
    </row>
    <row r="62" spans="2:7" ht="15">
      <c r="F62" s="39"/>
      <c r="G62" s="39"/>
    </row>
    <row r="63" spans="2:7">
      <c r="B63" s="3473"/>
      <c r="C63" s="3473"/>
      <c r="D63" s="3473"/>
      <c r="E63" s="3473"/>
      <c r="F63" s="3473"/>
      <c r="G63" s="214"/>
    </row>
    <row r="64" spans="2:7">
      <c r="B64" s="3473"/>
      <c r="C64" s="214"/>
      <c r="D64" s="214"/>
      <c r="E64" s="214"/>
      <c r="F64" s="214"/>
      <c r="G64" s="214"/>
    </row>
    <row r="65" spans="2:7" ht="15">
      <c r="C65" s="582"/>
      <c r="D65" s="582"/>
      <c r="E65" s="582"/>
      <c r="F65" s="583"/>
      <c r="G65" s="583"/>
    </row>
    <row r="66" spans="2:7" ht="15">
      <c r="C66" s="582"/>
      <c r="D66" s="582"/>
      <c r="E66" s="582"/>
      <c r="F66" s="583"/>
      <c r="G66" s="583"/>
    </row>
    <row r="67" spans="2:7" ht="15">
      <c r="C67" s="582"/>
      <c r="D67" s="582"/>
      <c r="E67" s="582"/>
      <c r="F67" s="583"/>
      <c r="G67" s="583"/>
    </row>
    <row r="68" spans="2:7">
      <c r="B68" s="467"/>
      <c r="C68" s="3758"/>
      <c r="D68" s="3758"/>
      <c r="E68" s="584"/>
      <c r="F68" s="584"/>
      <c r="G68" s="584"/>
    </row>
    <row r="69" spans="2:7">
      <c r="B69" s="467"/>
      <c r="C69" s="3758"/>
      <c r="D69" s="3758"/>
      <c r="E69" s="584"/>
      <c r="F69" s="584"/>
      <c r="G69" s="584"/>
    </row>
    <row r="70" spans="2:7" ht="15">
      <c r="B70" s="295"/>
      <c r="C70" s="585"/>
      <c r="D70" s="585"/>
      <c r="E70" s="585"/>
      <c r="F70" s="586"/>
      <c r="G70" s="586"/>
    </row>
    <row r="71" spans="2:7" ht="15">
      <c r="C71" s="530"/>
      <c r="D71" s="530"/>
      <c r="E71" s="530"/>
      <c r="F71" s="587"/>
      <c r="G71" s="587"/>
    </row>
    <row r="72" spans="2:7" ht="15">
      <c r="B72" s="218"/>
      <c r="C72" s="583"/>
      <c r="D72" s="583"/>
      <c r="E72" s="583"/>
      <c r="F72" s="583"/>
      <c r="G72" s="583"/>
    </row>
    <row r="73" spans="2:7" ht="15">
      <c r="B73" s="481"/>
      <c r="C73" s="272"/>
      <c r="D73" s="272"/>
      <c r="E73" s="272"/>
      <c r="F73" s="39"/>
      <c r="G73" s="39"/>
    </row>
    <row r="74" spans="2:7" ht="15">
      <c r="B74" s="39"/>
      <c r="C74" s="588"/>
      <c r="D74" s="588"/>
      <c r="E74" s="588"/>
      <c r="F74" s="39"/>
      <c r="G74" s="39"/>
    </row>
  </sheetData>
  <customSheetViews>
    <customSheetView guid="{5E394B0B-7867-4722-9497-A93AB2A9A773}" showPageBreaks="1" view="pageBreakPreview">
      <selection activeCell="D29" sqref="D29"/>
      <pageMargins left="0" right="0" top="0" bottom="0" header="0" footer="0"/>
      <pageSetup paperSize="9" scale="85" orientation="portrait" r:id="rId1"/>
    </customSheetView>
    <customSheetView guid="{B1E1B596-A9A1-411D-A882-A48CB025B978}" topLeftCell="B1">
      <selection activeCell="E8" sqref="E8"/>
      <pageMargins left="0" right="0" top="0" bottom="0" header="0" footer="0"/>
      <pageSetup paperSize="9" scale="72" orientation="portrait" r:id="rId2"/>
    </customSheetView>
    <customSheetView guid="{E82B35BE-4719-4C53-A9EF-1CC6F153A6F3}" topLeftCell="A85">
      <selection activeCell="G10" sqref="G10"/>
      <rowBreaks count="1" manualBreakCount="1">
        <brk id="50" max="16383" man="1"/>
      </rowBreaks>
      <pageMargins left="0" right="0" top="0" bottom="0" header="0" footer="0"/>
      <pageSetup scale="72" orientation="portrait" r:id="rId3"/>
    </customSheetView>
    <customSheetView guid="{46F31544-8E6F-41C5-8628-1D6EE074AF15}">
      <selection activeCell="J23" sqref="J23"/>
      <pageMargins left="0" right="0" top="0" bottom="0" header="0" footer="0"/>
      <pageSetup paperSize="9" scale="75" orientation="portrait" r:id="rId4"/>
    </customSheetView>
    <customSheetView guid="{B2E1A0C6-5BA1-4CF1-B412-16D81FCDF11F}">
      <selection activeCell="H26" sqref="H26"/>
      <pageMargins left="0" right="0" top="0" bottom="0" header="0" footer="0"/>
      <pageSetup paperSize="9" scale="75" orientation="portrait" r:id="rId5"/>
    </customSheetView>
    <customSheetView guid="{967E0446-E234-427F-8E57-7FE287052E2E}" showPageBreaks="1" topLeftCell="A13">
      <selection activeCell="B24" sqref="B24"/>
      <pageMargins left="0" right="0" top="0" bottom="0" header="0" footer="0"/>
      <pageSetup paperSize="9" scale="75" orientation="portrait" r:id="rId6"/>
    </customSheetView>
    <customSheetView guid="{2ACFE167-4169-43A6-9AB2-59D5A2DA2DB4}" showPageBreaks="1">
      <selection activeCell="H26" sqref="H26"/>
      <pageMargins left="0" right="0" top="0" bottom="0" header="0" footer="0"/>
      <pageSetup paperSize="9" scale="75" orientation="portrait" r:id="rId7"/>
    </customSheetView>
  </customSheetViews>
  <mergeCells count="23">
    <mergeCell ref="C68:C69"/>
    <mergeCell ref="D68:D69"/>
    <mergeCell ref="C57:C58"/>
    <mergeCell ref="D57:D58"/>
    <mergeCell ref="B63:B64"/>
    <mergeCell ref="C63:F63"/>
    <mergeCell ref="C46:C47"/>
    <mergeCell ref="D46:D47"/>
    <mergeCell ref="B52:B53"/>
    <mergeCell ref="C52:F52"/>
    <mergeCell ref="B28:F28"/>
    <mergeCell ref="B30:B31"/>
    <mergeCell ref="C30:F30"/>
    <mergeCell ref="B41:B42"/>
    <mergeCell ref="C41:F41"/>
    <mergeCell ref="D4:H4"/>
    <mergeCell ref="B5:B7"/>
    <mergeCell ref="E5:E7"/>
    <mergeCell ref="D5:D7"/>
    <mergeCell ref="C5:C7"/>
    <mergeCell ref="F5:F7"/>
    <mergeCell ref="G5:G7"/>
    <mergeCell ref="H5:H7"/>
  </mergeCells>
  <pageMargins left="0.7" right="0.7" top="0.76" bottom="0.75" header="0.3" footer="0.3"/>
  <pageSetup paperSize="9" scale="92" orientation="portrait" r:id="rId8"/>
  <rowBreaks count="1" manualBreakCount="1">
    <brk id="26" min="1" max="7"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99"/>
  </sheetPr>
  <dimension ref="B2:N61"/>
  <sheetViews>
    <sheetView showGridLines="0" view="pageBreakPreview" zoomScaleNormal="100" zoomScaleSheetLayoutView="100" workbookViewId="0">
      <selection activeCell="L18" sqref="L18"/>
    </sheetView>
  </sheetViews>
  <sheetFormatPr defaultColWidth="9.140625" defaultRowHeight="12.75"/>
  <cols>
    <col min="1" max="1" width="9.140625" style="292"/>
    <col min="2" max="2" width="30.85546875" style="292" customWidth="1"/>
    <col min="3" max="3" width="14.85546875" style="292" hidden="1" customWidth="1"/>
    <col min="4" max="6" width="14.85546875" style="292" customWidth="1"/>
    <col min="7" max="7" width="15.28515625" style="292" bestFit="1" customWidth="1"/>
    <col min="8" max="8" width="15.28515625" style="292" customWidth="1"/>
    <col min="9" max="9" width="4.7109375" style="292" customWidth="1"/>
    <col min="10" max="14" width="12" style="292" customWidth="1"/>
    <col min="15" max="16384" width="9.140625" style="292"/>
  </cols>
  <sheetData>
    <row r="2" spans="2:14">
      <c r="B2" s="3692" t="s">
        <v>544</v>
      </c>
      <c r="C2" s="3692"/>
      <c r="D2" s="3692"/>
      <c r="E2" s="3692"/>
      <c r="F2" s="3692"/>
      <c r="G2" s="3692"/>
    </row>
    <row r="3" spans="2:14">
      <c r="B3" s="295"/>
    </row>
    <row r="4" spans="2:14">
      <c r="B4" s="3717" t="s">
        <v>506</v>
      </c>
      <c r="C4" s="3721" t="s">
        <v>545</v>
      </c>
      <c r="D4" s="3722"/>
      <c r="E4" s="3722"/>
      <c r="F4" s="3722"/>
      <c r="G4" s="3722"/>
      <c r="H4" s="3722"/>
    </row>
    <row r="5" spans="2:14">
      <c r="B5" s="3718"/>
      <c r="C5" s="1860">
        <v>2016</v>
      </c>
      <c r="D5" s="1841">
        <v>2017</v>
      </c>
      <c r="E5" s="1888">
        <v>2018</v>
      </c>
      <c r="F5" s="1841">
        <v>2019</v>
      </c>
      <c r="G5" s="1857" t="s">
        <v>137</v>
      </c>
      <c r="H5" s="1841" t="s">
        <v>84</v>
      </c>
    </row>
    <row r="6" spans="2:14">
      <c r="B6" s="1895" t="s">
        <v>412</v>
      </c>
      <c r="C6" s="2022">
        <v>7479909.7406423176</v>
      </c>
      <c r="D6" s="1845">
        <v>8597489.2085514218</v>
      </c>
      <c r="E6" s="1845">
        <v>8821655.3978943285</v>
      </c>
      <c r="F6" s="1845">
        <v>8269991.1206638189</v>
      </c>
      <c r="G6" s="1824">
        <v>8888258</v>
      </c>
      <c r="H6" s="1870">
        <v>10324853</v>
      </c>
      <c r="I6" s="396"/>
      <c r="J6" s="396"/>
      <c r="K6" s="396"/>
      <c r="L6" s="396"/>
    </row>
    <row r="7" spans="2:14">
      <c r="B7" s="2061" t="s">
        <v>413</v>
      </c>
      <c r="C7" s="2022">
        <v>2086394.3325450725</v>
      </c>
      <c r="D7" s="2022">
        <v>2191654.2667042897</v>
      </c>
      <c r="E7" s="2022">
        <v>2403366.2699608421</v>
      </c>
      <c r="F7" s="2022">
        <v>2385566.1561371502</v>
      </c>
      <c r="G7" s="1824">
        <v>2276474</v>
      </c>
      <c r="H7" s="1870">
        <v>3074111</v>
      </c>
      <c r="I7" s="396"/>
      <c r="J7" s="396"/>
      <c r="K7" s="396"/>
      <c r="L7" s="396"/>
    </row>
    <row r="8" spans="2:14">
      <c r="B8" s="2061" t="s">
        <v>414</v>
      </c>
      <c r="C8" s="2022">
        <v>49333000.06178686</v>
      </c>
      <c r="D8" s="2022">
        <v>56047639.867470831</v>
      </c>
      <c r="E8" s="2022">
        <v>62363475.548629276</v>
      </c>
      <c r="F8" s="2022">
        <v>63685555.090495057</v>
      </c>
      <c r="G8" s="1824">
        <v>61276210</v>
      </c>
      <c r="H8" s="1870">
        <v>59733959</v>
      </c>
      <c r="I8" s="396"/>
      <c r="J8" s="396"/>
      <c r="K8" s="396"/>
      <c r="L8" s="396"/>
    </row>
    <row r="9" spans="2:14">
      <c r="B9" s="2061" t="s">
        <v>415</v>
      </c>
      <c r="C9" s="2022">
        <v>10036517.591002088</v>
      </c>
      <c r="D9" s="2022">
        <v>14649440.341688534</v>
      </c>
      <c r="E9" s="2022">
        <v>14161541.887519985</v>
      </c>
      <c r="F9" s="2022">
        <v>16593660.837659916</v>
      </c>
      <c r="G9" s="1824">
        <v>18877585</v>
      </c>
      <c r="H9" s="1870">
        <v>19960147</v>
      </c>
      <c r="I9" s="396"/>
      <c r="J9" s="396"/>
      <c r="K9" s="396"/>
      <c r="L9" s="396"/>
    </row>
    <row r="10" spans="2:14">
      <c r="B10" s="2061" t="s">
        <v>546</v>
      </c>
      <c r="C10" s="2022">
        <v>7120742.3725238405</v>
      </c>
      <c r="D10" s="2022">
        <v>7866259.8899797387</v>
      </c>
      <c r="E10" s="2022">
        <v>8254421.1407573605</v>
      </c>
      <c r="F10" s="2022">
        <v>10442623.51507557</v>
      </c>
      <c r="G10" s="1824">
        <v>7857768</v>
      </c>
      <c r="H10" s="1870">
        <v>8913184</v>
      </c>
      <c r="I10" s="396"/>
      <c r="J10" s="396"/>
      <c r="K10" s="396"/>
      <c r="L10" s="396"/>
    </row>
    <row r="11" spans="2:14">
      <c r="B11" s="2823" t="s">
        <v>508</v>
      </c>
      <c r="C11" s="2859">
        <v>76056564.098500177</v>
      </c>
      <c r="D11" s="2860">
        <v>89352483.574394807</v>
      </c>
      <c r="E11" s="2860">
        <f>SUM(E6:E10)</f>
        <v>96004460.244761795</v>
      </c>
      <c r="F11" s="2860">
        <f>SUM(F6:F10)</f>
        <v>101377396.7200315</v>
      </c>
      <c r="G11" s="2861">
        <f>SUM(G6:G10)</f>
        <v>99176295</v>
      </c>
      <c r="H11" s="1871">
        <f>SUM(H6:H10)</f>
        <v>102006254</v>
      </c>
      <c r="I11" s="396"/>
      <c r="J11" s="396"/>
      <c r="K11" s="396"/>
      <c r="L11" s="396"/>
    </row>
    <row r="12" spans="2:14">
      <c r="B12" s="2061" t="s">
        <v>399</v>
      </c>
      <c r="C12" s="2022">
        <v>3533324.423</v>
      </c>
      <c r="D12" s="2022">
        <v>4036282.8479400002</v>
      </c>
      <c r="E12" s="2022">
        <v>4581640.5440699998</v>
      </c>
      <c r="F12" s="2022">
        <v>6307350.3645284008</v>
      </c>
      <c r="G12" s="2819">
        <v>6088496</v>
      </c>
      <c r="H12" s="2820">
        <v>6754134</v>
      </c>
      <c r="I12" s="396"/>
      <c r="J12" s="396"/>
      <c r="K12" s="396"/>
      <c r="L12" s="396"/>
    </row>
    <row r="13" spans="2:14">
      <c r="B13" s="2810" t="s">
        <v>547</v>
      </c>
      <c r="C13" s="2120">
        <v>79589888.52150017</v>
      </c>
      <c r="D13" s="2860">
        <v>93388766.422334805</v>
      </c>
      <c r="E13" s="2860">
        <f>SUM(E11:E12)</f>
        <v>100586100.7888318</v>
      </c>
      <c r="F13" s="2860">
        <f>SUM(F11:F12)</f>
        <v>107684747.0845599</v>
      </c>
      <c r="G13" s="2861">
        <f>SUM(G11:G12)</f>
        <v>105264791</v>
      </c>
      <c r="H13" s="1871">
        <f>SUM(H11:H12)</f>
        <v>108760388</v>
      </c>
      <c r="I13" s="396"/>
      <c r="J13" s="396"/>
      <c r="K13" s="396"/>
      <c r="L13" s="396"/>
    </row>
    <row r="14" spans="2:14">
      <c r="H14" s="396"/>
      <c r="I14" s="396"/>
      <c r="J14" s="396"/>
      <c r="K14" s="396"/>
      <c r="L14" s="396"/>
    </row>
    <row r="15" spans="2:14">
      <c r="B15" s="3717" t="s">
        <v>506</v>
      </c>
      <c r="C15" s="3721" t="s">
        <v>548</v>
      </c>
      <c r="D15" s="3722"/>
      <c r="E15" s="3722"/>
      <c r="F15" s="3722"/>
      <c r="G15" s="3722"/>
      <c r="H15" s="3722"/>
      <c r="I15" s="396"/>
      <c r="J15" s="396"/>
      <c r="K15" s="396"/>
      <c r="L15" s="396"/>
      <c r="M15" s="396"/>
      <c r="N15" s="396"/>
    </row>
    <row r="16" spans="2:14">
      <c r="B16" s="3718"/>
      <c r="C16" s="1860">
        <v>2016</v>
      </c>
      <c r="D16" s="1887">
        <v>2017</v>
      </c>
      <c r="E16" s="1841">
        <v>2018</v>
      </c>
      <c r="F16" s="1888" t="s">
        <v>549</v>
      </c>
      <c r="G16" s="1841" t="s">
        <v>550</v>
      </c>
      <c r="H16" s="1857" t="s">
        <v>84</v>
      </c>
      <c r="I16" s="396"/>
      <c r="J16" s="396"/>
      <c r="K16" s="396"/>
      <c r="L16" s="396"/>
      <c r="M16" s="396"/>
      <c r="N16" s="396"/>
    </row>
    <row r="17" spans="2:14">
      <c r="B17" s="1895" t="s">
        <v>412</v>
      </c>
      <c r="C17" s="2818">
        <v>5959242.2903877404</v>
      </c>
      <c r="D17" s="206">
        <v>6947675.2992708655</v>
      </c>
      <c r="E17" s="1907">
        <v>6103608.9207248548</v>
      </c>
      <c r="F17" s="1907">
        <v>6061855.283161086</v>
      </c>
      <c r="G17" s="1824">
        <v>6609886</v>
      </c>
      <c r="H17" s="1870">
        <v>7997992</v>
      </c>
      <c r="I17" s="396"/>
      <c r="J17" s="396"/>
      <c r="K17" s="396"/>
      <c r="L17" s="396"/>
      <c r="M17" s="396"/>
      <c r="N17" s="396"/>
    </row>
    <row r="18" spans="2:14">
      <c r="B18" s="2061" t="s">
        <v>413</v>
      </c>
      <c r="C18" s="2818">
        <v>1174265.6702842477</v>
      </c>
      <c r="D18" s="2818">
        <v>1177400.1053695045</v>
      </c>
      <c r="E18" s="2862">
        <v>1200069.3351586754</v>
      </c>
      <c r="F18" s="2862">
        <v>1224829.1014187348</v>
      </c>
      <c r="G18" s="1824">
        <v>1352679</v>
      </c>
      <c r="H18" s="1870">
        <v>1885798</v>
      </c>
      <c r="I18" s="396"/>
      <c r="J18" s="396"/>
      <c r="K18" s="396"/>
      <c r="L18" s="396"/>
      <c r="M18" s="396"/>
      <c r="N18" s="396"/>
    </row>
    <row r="19" spans="2:14">
      <c r="B19" s="2061" t="s">
        <v>414</v>
      </c>
      <c r="C19" s="2818">
        <v>1233466.16489688</v>
      </c>
      <c r="D19" s="2818">
        <v>2152507.9832829717</v>
      </c>
      <c r="E19" s="2862">
        <v>4296451.0762441121</v>
      </c>
      <c r="F19" s="2862">
        <v>4229914.5419472121</v>
      </c>
      <c r="G19" s="1824">
        <v>4356260</v>
      </c>
      <c r="H19" s="1870">
        <v>3625979</v>
      </c>
      <c r="I19" s="396"/>
      <c r="J19" s="396"/>
      <c r="K19" s="396"/>
      <c r="L19" s="396"/>
      <c r="M19" s="396"/>
      <c r="N19" s="396"/>
    </row>
    <row r="20" spans="2:14">
      <c r="B20" s="2061" t="s">
        <v>415</v>
      </c>
      <c r="C20" s="2818">
        <v>486984.25237600808</v>
      </c>
      <c r="D20" s="2022">
        <v>2682617.3305118405</v>
      </c>
      <c r="E20" s="2862">
        <v>1771090.6075475714</v>
      </c>
      <c r="F20" s="2862">
        <v>1480481.7222324733</v>
      </c>
      <c r="G20" s="1824">
        <v>1645816</v>
      </c>
      <c r="H20" s="1870">
        <v>1662947</v>
      </c>
      <c r="I20" s="396"/>
      <c r="J20" s="396"/>
      <c r="K20" s="396"/>
      <c r="L20" s="396"/>
      <c r="M20" s="396"/>
      <c r="N20" s="396"/>
    </row>
    <row r="21" spans="2:14">
      <c r="B21" s="2061" t="s">
        <v>546</v>
      </c>
      <c r="C21" s="2818">
        <v>3213645.2578023593</v>
      </c>
      <c r="D21" s="2022">
        <v>3840459.4038162371</v>
      </c>
      <c r="E21" s="2862">
        <v>4462893.5534634925</v>
      </c>
      <c r="F21" s="2862">
        <v>4813309.8906417275</v>
      </c>
      <c r="G21" s="1824">
        <v>4546844</v>
      </c>
      <c r="H21" s="1870">
        <v>5305779</v>
      </c>
      <c r="I21" s="396"/>
      <c r="J21" s="396"/>
      <c r="K21" s="396"/>
      <c r="L21" s="396"/>
      <c r="M21" s="396"/>
      <c r="N21" s="396"/>
    </row>
    <row r="22" spans="2:14">
      <c r="B22" s="2823" t="s">
        <v>508</v>
      </c>
      <c r="C22" s="2859">
        <v>12067603.635747237</v>
      </c>
      <c r="D22" s="2860">
        <v>16800660.122251417</v>
      </c>
      <c r="E22" s="2860">
        <f>SUM(E17:E21)</f>
        <v>17834113.493138708</v>
      </c>
      <c r="F22" s="2860">
        <f>SUM(F17:F21)</f>
        <v>17810390.539401233</v>
      </c>
      <c r="G22" s="2828">
        <f>SUM(G17:G21)</f>
        <v>18511485</v>
      </c>
      <c r="H22" s="1871">
        <f>SUM(H17:H21)</f>
        <v>20478495</v>
      </c>
      <c r="I22" s="396"/>
      <c r="J22" s="396"/>
      <c r="K22" s="396"/>
      <c r="L22" s="396"/>
      <c r="M22" s="396"/>
      <c r="N22" s="396"/>
    </row>
    <row r="23" spans="2:14">
      <c r="B23" s="2061" t="s">
        <v>399</v>
      </c>
      <c r="C23" s="2863"/>
      <c r="D23" s="2864">
        <v>108750</v>
      </c>
      <c r="E23" s="2864">
        <v>81656.25</v>
      </c>
      <c r="F23" s="2864">
        <v>55563.767258399996</v>
      </c>
      <c r="G23" s="2819">
        <v>100121</v>
      </c>
      <c r="H23" s="2865"/>
      <c r="I23" s="396"/>
      <c r="J23" s="396"/>
      <c r="K23" s="396"/>
      <c r="L23" s="396"/>
      <c r="M23" s="515"/>
      <c r="N23" s="515"/>
    </row>
    <row r="24" spans="2:14">
      <c r="B24" s="2823" t="s">
        <v>551</v>
      </c>
      <c r="C24" s="2120">
        <v>12067603.635747237</v>
      </c>
      <c r="D24" s="2860">
        <v>16909410.122251417</v>
      </c>
      <c r="E24" s="2860">
        <f>SUM(E22:E23)</f>
        <v>17915769.743138708</v>
      </c>
      <c r="F24" s="2860">
        <f>SUM(F22:F23)</f>
        <v>17865954.306659631</v>
      </c>
      <c r="G24" s="2828">
        <f>SUM(G22:G23)</f>
        <v>18611606</v>
      </c>
      <c r="H24" s="1871">
        <f>SUM(H22:H23)</f>
        <v>20478495</v>
      </c>
      <c r="I24" s="396"/>
      <c r="J24" s="396"/>
      <c r="K24" s="396"/>
      <c r="L24" s="396"/>
    </row>
    <row r="25" spans="2:14">
      <c r="B25" s="295"/>
      <c r="H25" s="396"/>
      <c r="I25" s="396"/>
      <c r="J25" s="396"/>
      <c r="K25" s="396"/>
      <c r="L25" s="396"/>
    </row>
    <row r="26" spans="2:14">
      <c r="B26" s="3693" t="s">
        <v>506</v>
      </c>
      <c r="C26" s="3721" t="s">
        <v>552</v>
      </c>
      <c r="D26" s="3722"/>
      <c r="E26" s="3722"/>
      <c r="F26" s="3722"/>
      <c r="G26" s="3722"/>
      <c r="H26" s="3722"/>
      <c r="I26" s="396"/>
      <c r="J26" s="396"/>
      <c r="K26" s="396"/>
      <c r="L26" s="396"/>
      <c r="M26" s="396"/>
      <c r="N26" s="396"/>
    </row>
    <row r="27" spans="2:14">
      <c r="B27" s="3695"/>
      <c r="C27" s="1860">
        <v>2016</v>
      </c>
      <c r="D27" s="1887">
        <v>2017</v>
      </c>
      <c r="E27" s="1841">
        <v>2018</v>
      </c>
      <c r="F27" s="1888" t="s">
        <v>549</v>
      </c>
      <c r="G27" s="1841" t="s">
        <v>550</v>
      </c>
      <c r="H27" s="1857" t="s">
        <v>84</v>
      </c>
      <c r="I27" s="396"/>
      <c r="J27" s="396"/>
      <c r="K27" s="396"/>
      <c r="L27" s="396"/>
      <c r="M27" s="396"/>
      <c r="N27" s="396"/>
    </row>
    <row r="28" spans="2:14">
      <c r="B28" s="1895" t="s">
        <v>412</v>
      </c>
      <c r="C28" s="2818">
        <v>1520667.4502545772</v>
      </c>
      <c r="D28" s="206">
        <v>1649813.9092805563</v>
      </c>
      <c r="E28" s="1907">
        <v>2718046.4771694737</v>
      </c>
      <c r="F28" s="1907">
        <v>2208135.8375027329</v>
      </c>
      <c r="G28" s="1824">
        <v>2278372</v>
      </c>
      <c r="H28" s="1870">
        <v>2326860</v>
      </c>
      <c r="I28" s="396"/>
      <c r="J28" s="396"/>
      <c r="K28" s="396"/>
      <c r="L28" s="396"/>
      <c r="M28" s="396"/>
      <c r="N28" s="396"/>
    </row>
    <row r="29" spans="2:14">
      <c r="B29" s="2061" t="s">
        <v>413</v>
      </c>
      <c r="C29" s="2818">
        <v>912128.66226082481</v>
      </c>
      <c r="D29" s="2818">
        <v>1014254.1613347852</v>
      </c>
      <c r="E29" s="2862">
        <v>1203296.9348021667</v>
      </c>
      <c r="F29" s="2862">
        <v>1160737.0547184155</v>
      </c>
      <c r="G29" s="1824">
        <v>923795</v>
      </c>
      <c r="H29" s="1870">
        <v>1188314</v>
      </c>
      <c r="I29" s="396"/>
      <c r="J29" s="396"/>
      <c r="K29" s="396"/>
      <c r="L29" s="396"/>
      <c r="M29" s="396"/>
      <c r="N29" s="396"/>
    </row>
    <row r="30" spans="2:14">
      <c r="B30" s="2061" t="s">
        <v>414</v>
      </c>
      <c r="C30" s="2818">
        <v>48099533.896889977</v>
      </c>
      <c r="D30" s="2818">
        <v>53895131.884187862</v>
      </c>
      <c r="E30" s="2862">
        <v>58067024.472385168</v>
      </c>
      <c r="F30" s="2862">
        <v>59455640.548547849</v>
      </c>
      <c r="G30" s="1824">
        <v>56919950</v>
      </c>
      <c r="H30" s="1870">
        <v>56107980</v>
      </c>
      <c r="I30" s="396"/>
      <c r="J30" s="396"/>
      <c r="K30" s="396"/>
      <c r="L30" s="396"/>
      <c r="M30" s="396"/>
      <c r="N30" s="396"/>
    </row>
    <row r="31" spans="2:14">
      <c r="B31" s="2061" t="s">
        <v>415</v>
      </c>
      <c r="C31" s="2818">
        <v>9549533.3386260793</v>
      </c>
      <c r="D31" s="2022">
        <v>11966823.011176694</v>
      </c>
      <c r="E31" s="2862">
        <v>12390451.279972414</v>
      </c>
      <c r="F31" s="2862">
        <v>15113179.115427442</v>
      </c>
      <c r="G31" s="1824">
        <v>17231770</v>
      </c>
      <c r="H31" s="1870">
        <v>18297200</v>
      </c>
      <c r="I31" s="396"/>
      <c r="J31" s="396"/>
      <c r="K31" s="396"/>
      <c r="L31" s="396"/>
      <c r="M31" s="396"/>
      <c r="N31" s="396"/>
    </row>
    <row r="32" spans="2:14">
      <c r="B32" s="2061" t="s">
        <v>546</v>
      </c>
      <c r="C32" s="2818">
        <v>3907097.1147214812</v>
      </c>
      <c r="D32" s="2022">
        <v>4025800.4861635016</v>
      </c>
      <c r="E32" s="2862">
        <v>3791527.587293868</v>
      </c>
      <c r="F32" s="2862">
        <v>5629313.6244338425</v>
      </c>
      <c r="G32" s="1824">
        <v>3310924</v>
      </c>
      <c r="H32" s="1870">
        <v>3607405</v>
      </c>
      <c r="I32" s="396"/>
      <c r="J32" s="396"/>
      <c r="K32" s="396"/>
      <c r="L32" s="396"/>
      <c r="M32" s="396"/>
      <c r="N32" s="396"/>
    </row>
    <row r="33" spans="2:14">
      <c r="B33" s="2823" t="s">
        <v>508</v>
      </c>
      <c r="C33" s="2859">
        <v>63988960.462752946</v>
      </c>
      <c r="D33" s="2860">
        <v>72551823.452143401</v>
      </c>
      <c r="E33" s="2860">
        <f>SUM(E28:E32)</f>
        <v>78170346.751623094</v>
      </c>
      <c r="F33" s="2860">
        <f>SUM(F28:F32)</f>
        <v>83567006.180630282</v>
      </c>
      <c r="G33" s="2828">
        <f>SUM(G28:G32)</f>
        <v>80664811</v>
      </c>
      <c r="H33" s="1871">
        <f>SUM(H28:H32)</f>
        <v>81527759</v>
      </c>
      <c r="I33" s="396"/>
      <c r="J33" s="396"/>
      <c r="K33" s="396"/>
      <c r="L33" s="396"/>
      <c r="M33" s="396"/>
      <c r="N33" s="396"/>
    </row>
    <row r="34" spans="2:14">
      <c r="B34" s="2061" t="s">
        <v>399</v>
      </c>
      <c r="C34" s="2818">
        <v>3533324.423</v>
      </c>
      <c r="D34" s="2818">
        <v>3927532.8479400002</v>
      </c>
      <c r="E34" s="2818">
        <v>4499984.2940699998</v>
      </c>
      <c r="F34" s="2818">
        <v>6251786.5972700007</v>
      </c>
      <c r="G34" s="2819">
        <v>5988375</v>
      </c>
      <c r="H34" s="2820">
        <v>6754134</v>
      </c>
      <c r="I34" s="396"/>
      <c r="J34" s="396"/>
      <c r="K34" s="396"/>
      <c r="L34" s="396"/>
    </row>
    <row r="35" spans="2:14">
      <c r="B35" s="2823" t="s">
        <v>553</v>
      </c>
      <c r="C35" s="2120">
        <v>67522284.885752946</v>
      </c>
      <c r="D35" s="2860">
        <v>76479356.300083399</v>
      </c>
      <c r="E35" s="2860">
        <f>SUM(E33:E34)</f>
        <v>82670331.045693099</v>
      </c>
      <c r="F35" s="2860">
        <f>SUM(F33:F34)</f>
        <v>89818792.777900279</v>
      </c>
      <c r="G35" s="2828">
        <f>SUM(G33:G34)</f>
        <v>86653186</v>
      </c>
      <c r="H35" s="1871">
        <f>SUM(H33:H34)</f>
        <v>88281893</v>
      </c>
      <c r="I35" s="396"/>
      <c r="J35" s="396"/>
      <c r="K35" s="396"/>
      <c r="L35" s="396"/>
    </row>
    <row r="36" spans="2:14">
      <c r="H36" s="396"/>
      <c r="I36" s="396"/>
      <c r="J36" s="396"/>
      <c r="K36" s="396"/>
      <c r="L36" s="396"/>
      <c r="M36" s="396"/>
      <c r="N36" s="396"/>
    </row>
    <row r="37" spans="2:14">
      <c r="B37" s="3717" t="s">
        <v>506</v>
      </c>
      <c r="C37" s="3721" t="s">
        <v>554</v>
      </c>
      <c r="D37" s="3722"/>
      <c r="E37" s="3722"/>
      <c r="F37" s="3722"/>
      <c r="G37" s="3722"/>
      <c r="H37" s="3722"/>
      <c r="I37" s="396"/>
      <c r="J37" s="396"/>
      <c r="K37" s="396"/>
      <c r="L37" s="396"/>
      <c r="M37" s="396"/>
      <c r="N37" s="396"/>
    </row>
    <row r="38" spans="2:14">
      <c r="B38" s="3718"/>
      <c r="C38" s="1860">
        <v>2016</v>
      </c>
      <c r="D38" s="1887">
        <v>2017</v>
      </c>
      <c r="E38" s="1841">
        <v>2018</v>
      </c>
      <c r="F38" s="1888" t="s">
        <v>549</v>
      </c>
      <c r="G38" s="1841" t="s">
        <v>550</v>
      </c>
      <c r="H38" s="1857" t="s">
        <v>84</v>
      </c>
      <c r="I38" s="396"/>
      <c r="J38" s="396"/>
      <c r="K38" s="396"/>
      <c r="L38" s="396"/>
      <c r="M38" s="396"/>
      <c r="N38" s="396"/>
    </row>
    <row r="39" spans="2:14">
      <c r="B39" s="1895" t="s">
        <v>412</v>
      </c>
      <c r="C39" s="2866">
        <v>20.33002406422078</v>
      </c>
      <c r="D39" s="1908">
        <v>19.18948508408225</v>
      </c>
      <c r="E39" s="1908">
        <v>30.811070650280147</v>
      </c>
      <c r="F39" s="1832">
        <v>26.700582930317456</v>
      </c>
      <c r="G39" s="1828">
        <v>25.63</v>
      </c>
      <c r="H39" s="1829">
        <v>22.54</v>
      </c>
      <c r="I39" s="589"/>
      <c r="J39" s="567"/>
      <c r="K39" s="567"/>
      <c r="L39" s="567"/>
      <c r="M39" s="567"/>
      <c r="N39" s="567"/>
    </row>
    <row r="40" spans="2:14">
      <c r="B40" s="2061" t="s">
        <v>413</v>
      </c>
      <c r="C40" s="2866">
        <v>43.71794190737527</v>
      </c>
      <c r="D40" s="2866">
        <v>46.278018241443462</v>
      </c>
      <c r="E40" s="2866">
        <v>50.06714747734943</v>
      </c>
      <c r="F40" s="2015">
        <v>48.656670104590582</v>
      </c>
      <c r="G40" s="1828">
        <v>40.58</v>
      </c>
      <c r="H40" s="1829">
        <v>38.659999999999997</v>
      </c>
      <c r="I40" s="589"/>
      <c r="J40" s="567"/>
      <c r="K40" s="567"/>
      <c r="L40" s="567"/>
      <c r="M40" s="567"/>
      <c r="N40" s="567"/>
    </row>
    <row r="41" spans="2:14">
      <c r="B41" s="2061" t="s">
        <v>414</v>
      </c>
      <c r="C41" s="2866">
        <v>97.499713856136793</v>
      </c>
      <c r="D41" s="2866">
        <v>96.159502900795204</v>
      </c>
      <c r="E41" s="2866">
        <v>93.110629196902508</v>
      </c>
      <c r="F41" s="2015">
        <v>93.358125659835039</v>
      </c>
      <c r="G41" s="1828">
        <v>92.89</v>
      </c>
      <c r="H41" s="1829">
        <v>93.93</v>
      </c>
      <c r="I41" s="589"/>
      <c r="J41" s="567"/>
      <c r="K41" s="567"/>
      <c r="L41" s="567"/>
      <c r="M41" s="567"/>
      <c r="N41" s="567"/>
    </row>
    <row r="42" spans="2:14">
      <c r="B42" s="2061" t="s">
        <v>415</v>
      </c>
      <c r="C42" s="2867">
        <v>95.147876263250936</v>
      </c>
      <c r="D42" s="2866">
        <v>81.687919347486599</v>
      </c>
      <c r="E42" s="2017">
        <v>87.493659789204415</v>
      </c>
      <c r="F42" s="2017">
        <v>91.078028310229968</v>
      </c>
      <c r="G42" s="1828">
        <v>91.28</v>
      </c>
      <c r="H42" s="1829">
        <v>91.67</v>
      </c>
      <c r="I42" s="589"/>
      <c r="J42" s="567"/>
      <c r="K42" s="567"/>
      <c r="L42" s="567"/>
      <c r="M42" s="567"/>
      <c r="N42" s="567"/>
    </row>
    <row r="43" spans="2:14">
      <c r="B43" s="2061" t="s">
        <v>546</v>
      </c>
      <c r="C43" s="639">
        <v>54.869238491164076</v>
      </c>
      <c r="D43" s="2866">
        <v>51.178076270931228</v>
      </c>
      <c r="E43" s="2017">
        <v>45.933294687045581</v>
      </c>
      <c r="F43" s="2017">
        <v>53.9070820307468</v>
      </c>
      <c r="G43" s="1828">
        <v>42.14</v>
      </c>
      <c r="H43" s="1829">
        <v>40.47</v>
      </c>
      <c r="I43" s="589"/>
      <c r="J43" s="567"/>
      <c r="K43" s="567"/>
      <c r="L43" s="567"/>
      <c r="M43" s="567"/>
      <c r="N43" s="567"/>
    </row>
    <row r="44" spans="2:14">
      <c r="B44" s="2823" t="s">
        <v>508</v>
      </c>
      <c r="C44" s="2868">
        <v>84.133384228631797</v>
      </c>
      <c r="D44" s="2869">
        <v>81.19732160744789</v>
      </c>
      <c r="E44" s="2869">
        <v>81.423661517734786</v>
      </c>
      <c r="F44" s="2870">
        <v>82.431596079955355</v>
      </c>
      <c r="G44" s="2871">
        <f>(G33/G11)*100</f>
        <v>81.33476956363414</v>
      </c>
      <c r="H44" s="2872">
        <f>(H33/H11)*100</f>
        <v>79.924275035136574</v>
      </c>
      <c r="I44" s="590"/>
      <c r="J44" s="567"/>
      <c r="K44" s="567"/>
      <c r="L44" s="567"/>
      <c r="M44" s="567"/>
      <c r="N44" s="567"/>
    </row>
    <row r="45" spans="2:14">
      <c r="B45" s="2061" t="s">
        <v>399</v>
      </c>
      <c r="C45" s="2022">
        <v>100</v>
      </c>
      <c r="D45" s="2022">
        <v>97.30568931621076</v>
      </c>
      <c r="E45" s="2032">
        <v>98.217750842420685</v>
      </c>
      <c r="F45" s="2032">
        <v>99.119063250855973</v>
      </c>
      <c r="G45" s="2042">
        <v>98.36</v>
      </c>
      <c r="H45" s="2873">
        <v>100</v>
      </c>
      <c r="I45" s="589"/>
      <c r="J45" s="567"/>
      <c r="K45" s="567"/>
      <c r="L45" s="567"/>
      <c r="M45" s="567"/>
      <c r="N45" s="567"/>
    </row>
    <row r="46" spans="2:14">
      <c r="B46" s="2823" t="s">
        <v>555</v>
      </c>
      <c r="C46" s="2858">
        <v>84.837768953389556</v>
      </c>
      <c r="D46" s="2870">
        <v>81.893528772206409</v>
      </c>
      <c r="E46" s="2870">
        <v>82.188622878671211</v>
      </c>
      <c r="F46" s="2870">
        <v>83.409020506283667</v>
      </c>
      <c r="G46" s="2871">
        <f>(G35/G13)*100</f>
        <v>82.319249558002724</v>
      </c>
      <c r="H46" s="2872">
        <f>(H35/H13)*100</f>
        <v>81.170998580843616</v>
      </c>
      <c r="I46" s="590"/>
      <c r="J46" s="567"/>
      <c r="K46" s="567"/>
      <c r="L46" s="567"/>
      <c r="M46" s="567"/>
      <c r="N46" s="567"/>
    </row>
    <row r="47" spans="2:14">
      <c r="B47" s="481"/>
      <c r="C47" s="385"/>
      <c r="D47" s="385"/>
      <c r="E47" s="385"/>
      <c r="F47" s="385"/>
    </row>
    <row r="48" spans="2:14">
      <c r="C48" s="384"/>
      <c r="D48" s="384"/>
      <c r="E48" s="384"/>
      <c r="F48" s="384"/>
      <c r="H48" s="292">
        <v>164</v>
      </c>
    </row>
    <row r="49" spans="2:14">
      <c r="B49" s="471"/>
      <c r="C49" s="329"/>
      <c r="D49" s="329"/>
      <c r="E49" s="329"/>
      <c r="F49" s="329"/>
      <c r="J49" s="491"/>
      <c r="K49" s="491"/>
      <c r="L49" s="491"/>
      <c r="M49" s="491"/>
      <c r="N49" s="491"/>
    </row>
    <row r="50" spans="2:14">
      <c r="B50" s="413"/>
      <c r="C50" s="329"/>
      <c r="D50" s="329"/>
      <c r="E50" s="329"/>
      <c r="F50" s="329"/>
      <c r="J50" s="491"/>
      <c r="K50" s="491"/>
      <c r="L50" s="491"/>
      <c r="M50" s="491"/>
      <c r="N50" s="491"/>
    </row>
    <row r="51" spans="2:14">
      <c r="B51" s="330"/>
      <c r="C51" s="330"/>
      <c r="D51" s="330"/>
      <c r="E51" s="330"/>
      <c r="F51" s="330"/>
      <c r="J51" s="491"/>
      <c r="K51" s="491"/>
      <c r="L51" s="491"/>
      <c r="M51" s="491"/>
      <c r="N51" s="491"/>
    </row>
    <row r="52" spans="2:14">
      <c r="B52" s="329"/>
      <c r="C52" s="329"/>
      <c r="D52" s="329"/>
      <c r="E52" s="329"/>
      <c r="F52" s="329"/>
      <c r="J52" s="491"/>
      <c r="K52" s="491"/>
      <c r="L52" s="491"/>
      <c r="M52" s="491"/>
      <c r="N52" s="491"/>
    </row>
    <row r="53" spans="2:14">
      <c r="H53" s="3448"/>
      <c r="J53" s="491"/>
      <c r="K53" s="491"/>
      <c r="L53" s="491"/>
      <c r="M53" s="491"/>
      <c r="N53" s="491"/>
    </row>
    <row r="54" spans="2:14">
      <c r="H54" s="3448"/>
      <c r="J54" s="491"/>
      <c r="K54" s="491"/>
      <c r="L54" s="491"/>
      <c r="M54" s="491"/>
      <c r="N54" s="491"/>
    </row>
    <row r="55" spans="2:14">
      <c r="H55" s="330"/>
      <c r="J55" s="491"/>
      <c r="K55" s="491"/>
      <c r="L55" s="491"/>
      <c r="M55" s="491"/>
      <c r="N55" s="491"/>
    </row>
    <row r="56" spans="2:14">
      <c r="H56" s="329"/>
      <c r="J56" s="491"/>
      <c r="K56" s="491"/>
      <c r="L56" s="491"/>
      <c r="M56" s="491"/>
      <c r="N56" s="893"/>
    </row>
    <row r="57" spans="2:14">
      <c r="J57" s="491"/>
    </row>
    <row r="58" spans="2:14">
      <c r="B58" s="295"/>
      <c r="C58" s="295"/>
      <c r="D58" s="295"/>
      <c r="E58" s="295"/>
      <c r="F58" s="295"/>
      <c r="J58" s="491"/>
    </row>
    <row r="59" spans="2:14">
      <c r="B59" s="295"/>
      <c r="C59" s="214"/>
      <c r="D59" s="214"/>
      <c r="E59" s="214"/>
      <c r="F59" s="214"/>
      <c r="J59" s="491"/>
    </row>
    <row r="60" spans="2:14">
      <c r="B60" s="218"/>
      <c r="C60" s="387"/>
      <c r="D60" s="387"/>
      <c r="E60" s="387"/>
      <c r="F60" s="387"/>
    </row>
    <row r="61" spans="2:14">
      <c r="B61" s="218"/>
      <c r="C61" s="387"/>
      <c r="D61" s="387"/>
      <c r="E61" s="387"/>
      <c r="F61" s="387"/>
    </row>
  </sheetData>
  <mergeCells count="10">
    <mergeCell ref="B2:G2"/>
    <mergeCell ref="B4:B5"/>
    <mergeCell ref="B15:B16"/>
    <mergeCell ref="C4:H4"/>
    <mergeCell ref="C15:H15"/>
    <mergeCell ref="H53:H54"/>
    <mergeCell ref="B26:B27"/>
    <mergeCell ref="B37:B38"/>
    <mergeCell ref="C26:H26"/>
    <mergeCell ref="C37:H37"/>
  </mergeCells>
  <pageMargins left="0.36" right="0.22" top="0.75" bottom="0.75" header="0.3" footer="0.3"/>
  <pageSetup scale="8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99"/>
  </sheetPr>
  <dimension ref="A2:X170"/>
  <sheetViews>
    <sheetView showGridLines="0" view="pageBreakPreview" topLeftCell="A61" zoomScale="85" zoomScaleNormal="100" zoomScaleSheetLayoutView="85" workbookViewId="0">
      <pane xSplit="2" topLeftCell="C1" activePane="topRight" state="frozen"/>
      <selection pane="topRight" activeCell="J25" sqref="J25"/>
    </sheetView>
  </sheetViews>
  <sheetFormatPr defaultColWidth="19.28515625" defaultRowHeight="12.75"/>
  <cols>
    <col min="1" max="1" width="5.7109375" style="292" customWidth="1"/>
    <col min="2" max="2" width="19.28515625" style="292"/>
    <col min="3" max="6" width="16.7109375" style="292" customWidth="1"/>
    <col min="7" max="7" width="15.5703125" style="292" customWidth="1"/>
    <col min="8" max="8" width="16.7109375" style="292" customWidth="1"/>
    <col min="9" max="9" width="19.28515625" style="396"/>
    <col min="10" max="23" width="19.28515625" style="292"/>
    <col min="24" max="24" width="19.28515625" style="385"/>
    <col min="25" max="16384" width="19.28515625" style="292"/>
  </cols>
  <sheetData>
    <row r="2" spans="2:8">
      <c r="B2" s="3692" t="s">
        <v>556</v>
      </c>
      <c r="C2" s="3692"/>
      <c r="D2" s="3692"/>
      <c r="E2" s="3692"/>
      <c r="F2" s="3692"/>
      <c r="G2" s="3692"/>
      <c r="H2" s="3692"/>
    </row>
    <row r="3" spans="2:8">
      <c r="B3" s="218"/>
      <c r="C3" s="218"/>
      <c r="D3" s="218"/>
      <c r="E3" s="218"/>
      <c r="F3" s="218"/>
      <c r="G3" s="218"/>
      <c r="H3" s="218"/>
    </row>
    <row r="4" spans="2:8">
      <c r="B4" s="3692" t="s">
        <v>557</v>
      </c>
      <c r="C4" s="3692"/>
      <c r="D4" s="3692"/>
      <c r="E4" s="3692"/>
      <c r="F4" s="3692"/>
      <c r="G4" s="3692"/>
    </row>
    <row r="5" spans="2:8">
      <c r="B5" s="218"/>
      <c r="H5" s="535" t="s">
        <v>558</v>
      </c>
    </row>
    <row r="6" spans="2:8">
      <c r="B6" s="3745" t="s">
        <v>83</v>
      </c>
      <c r="C6" s="3747" t="s">
        <v>496</v>
      </c>
      <c r="D6" s="3741" t="s">
        <v>497</v>
      </c>
      <c r="E6" s="3741" t="s">
        <v>498</v>
      </c>
      <c r="F6" s="3741" t="s">
        <v>415</v>
      </c>
      <c r="G6" s="3747" t="s">
        <v>559</v>
      </c>
      <c r="H6" s="3747" t="s">
        <v>522</v>
      </c>
    </row>
    <row r="7" spans="2:8">
      <c r="B7" s="3716"/>
      <c r="C7" s="3710"/>
      <c r="D7" s="3742"/>
      <c r="E7" s="3742"/>
      <c r="F7" s="3742"/>
      <c r="G7" s="3710"/>
      <c r="H7" s="3710"/>
    </row>
    <row r="8" spans="2:8">
      <c r="B8" s="3746"/>
      <c r="C8" s="3700"/>
      <c r="D8" s="3743"/>
      <c r="E8" s="3743"/>
      <c r="F8" s="3743"/>
      <c r="G8" s="3700"/>
      <c r="H8" s="3700"/>
    </row>
    <row r="9" spans="2:8">
      <c r="B9" s="2061" t="s">
        <v>92</v>
      </c>
      <c r="C9" s="2147">
        <v>1206533</v>
      </c>
      <c r="D9" s="2147">
        <v>45558</v>
      </c>
      <c r="E9" s="2147">
        <v>13971</v>
      </c>
      <c r="F9" s="2147">
        <v>216995</v>
      </c>
      <c r="G9" s="2147">
        <v>239622</v>
      </c>
      <c r="H9" s="2850">
        <f>C9+D9+E9+F9+G9</f>
        <v>1722679</v>
      </c>
    </row>
    <row r="10" spans="2:8">
      <c r="B10" s="2061" t="s">
        <v>95</v>
      </c>
      <c r="C10" s="2147">
        <v>141511</v>
      </c>
      <c r="D10" s="2147">
        <v>159469</v>
      </c>
      <c r="E10" s="2147">
        <v>66397</v>
      </c>
      <c r="F10" s="2044"/>
      <c r="G10" s="2147">
        <v>101898</v>
      </c>
      <c r="H10" s="2850">
        <f t="shared" ref="H10" si="0">C10+D10+E10+F10+G10</f>
        <v>469275</v>
      </c>
    </row>
    <row r="11" spans="2:8">
      <c r="B11" s="2061" t="s">
        <v>98</v>
      </c>
      <c r="C11" s="2149">
        <v>1918932</v>
      </c>
      <c r="D11" s="2147">
        <v>384967</v>
      </c>
      <c r="E11" s="2147">
        <v>785447</v>
      </c>
      <c r="F11" s="2147">
        <v>238759</v>
      </c>
      <c r="G11" s="2147">
        <v>2092236</v>
      </c>
      <c r="H11" s="2850">
        <f>C11+D11+E11+F11+G11</f>
        <v>5420341</v>
      </c>
    </row>
    <row r="12" spans="2:8">
      <c r="B12" s="2061" t="s">
        <v>99</v>
      </c>
      <c r="C12" s="2147">
        <v>707064</v>
      </c>
      <c r="D12" s="2147">
        <v>95005</v>
      </c>
      <c r="E12" s="2147">
        <v>38314</v>
      </c>
      <c r="F12" s="2147">
        <v>11824</v>
      </c>
      <c r="G12" s="2147">
        <v>293217</v>
      </c>
      <c r="H12" s="2850">
        <f t="shared" ref="H12:H22" si="1">C12+D12+E12+F12+G12</f>
        <v>1145424</v>
      </c>
    </row>
    <row r="13" spans="2:8">
      <c r="B13" s="2061" t="s">
        <v>101</v>
      </c>
      <c r="C13" s="2147">
        <v>86621</v>
      </c>
      <c r="D13" s="2147">
        <v>32324</v>
      </c>
      <c r="E13" s="2147">
        <v>310795</v>
      </c>
      <c r="F13" s="2147">
        <v>1276</v>
      </c>
      <c r="G13" s="2147">
        <v>136737</v>
      </c>
      <c r="H13" s="2850">
        <f t="shared" si="1"/>
        <v>567753</v>
      </c>
    </row>
    <row r="14" spans="2:8">
      <c r="B14" s="2061" t="s">
        <v>102</v>
      </c>
      <c r="C14" s="2147">
        <v>1411130</v>
      </c>
      <c r="D14" s="2147">
        <v>527881</v>
      </c>
      <c r="E14" s="2147">
        <v>2044768</v>
      </c>
      <c r="F14" s="2147">
        <v>1191033</v>
      </c>
      <c r="G14" s="2147">
        <v>415214</v>
      </c>
      <c r="H14" s="2850">
        <f t="shared" si="1"/>
        <v>5590026</v>
      </c>
    </row>
    <row r="15" spans="2:8">
      <c r="B15" s="2061" t="s">
        <v>104</v>
      </c>
      <c r="C15" s="2147">
        <v>405688</v>
      </c>
      <c r="D15" s="2147">
        <v>75429</v>
      </c>
      <c r="E15" s="2147">
        <v>71773</v>
      </c>
      <c r="F15" s="2770"/>
      <c r="G15" s="2147">
        <v>258667</v>
      </c>
      <c r="H15" s="2850">
        <f t="shared" si="1"/>
        <v>811557</v>
      </c>
    </row>
    <row r="16" spans="2:8">
      <c r="B16" s="2061" t="s">
        <v>108</v>
      </c>
      <c r="C16" s="2147">
        <v>300813</v>
      </c>
      <c r="D16" s="2147">
        <v>27650</v>
      </c>
      <c r="E16" s="2147">
        <v>86705</v>
      </c>
      <c r="F16" s="2770"/>
      <c r="G16" s="2147">
        <v>23314</v>
      </c>
      <c r="H16" s="2850">
        <f t="shared" si="1"/>
        <v>438482</v>
      </c>
    </row>
    <row r="17" spans="2:9">
      <c r="B17" s="2061" t="s">
        <v>109</v>
      </c>
      <c r="C17" s="2147">
        <v>9362</v>
      </c>
      <c r="D17" s="2844">
        <v>767</v>
      </c>
      <c r="E17" s="2147">
        <v>37813</v>
      </c>
      <c r="F17" s="2044"/>
      <c r="G17" s="2147">
        <v>54515</v>
      </c>
      <c r="H17" s="2850">
        <f t="shared" si="1"/>
        <v>102457</v>
      </c>
    </row>
    <row r="18" spans="2:9">
      <c r="B18" s="2061" t="s">
        <v>110</v>
      </c>
      <c r="C18" s="2770"/>
      <c r="D18" s="2770"/>
      <c r="E18" s="2770"/>
      <c r="F18" s="2770"/>
      <c r="G18" s="2147">
        <v>123388</v>
      </c>
      <c r="H18" s="2850">
        <f t="shared" si="1"/>
        <v>123388</v>
      </c>
    </row>
    <row r="19" spans="2:9">
      <c r="B19" s="2061" t="s">
        <v>111</v>
      </c>
      <c r="C19" s="2147">
        <v>124632</v>
      </c>
      <c r="D19" s="2147">
        <v>12357</v>
      </c>
      <c r="E19" s="2147">
        <v>30925</v>
      </c>
      <c r="F19" s="2770"/>
      <c r="G19" s="2147">
        <v>69766</v>
      </c>
      <c r="H19" s="2850">
        <f t="shared" si="1"/>
        <v>237680</v>
      </c>
    </row>
    <row r="20" spans="2:9">
      <c r="B20" s="2061" t="s">
        <v>112</v>
      </c>
      <c r="C20" s="2147">
        <v>190829</v>
      </c>
      <c r="D20" s="2147">
        <v>88864</v>
      </c>
      <c r="E20" s="2147">
        <v>50422</v>
      </c>
      <c r="F20" s="2770"/>
      <c r="G20" s="2147">
        <v>260323</v>
      </c>
      <c r="H20" s="2850">
        <f t="shared" si="1"/>
        <v>590438</v>
      </c>
    </row>
    <row r="21" spans="2:9">
      <c r="B21" s="2061" t="s">
        <v>114</v>
      </c>
      <c r="C21" s="2147">
        <v>3758</v>
      </c>
      <c r="D21" s="2770"/>
      <c r="E21" s="2147">
        <v>15257</v>
      </c>
      <c r="F21" s="2147">
        <v>3060</v>
      </c>
      <c r="G21" s="2147">
        <v>80746</v>
      </c>
      <c r="H21" s="2850">
        <f t="shared" si="1"/>
        <v>102821</v>
      </c>
    </row>
    <row r="22" spans="2:9">
      <c r="B22" s="2061" t="s">
        <v>115</v>
      </c>
      <c r="C22" s="2149">
        <v>1491119</v>
      </c>
      <c r="D22" s="2149">
        <v>435526</v>
      </c>
      <c r="E22" s="2149">
        <v>73392</v>
      </c>
      <c r="F22" s="2044"/>
      <c r="G22" s="2149">
        <v>1156136</v>
      </c>
      <c r="H22" s="2850">
        <f t="shared" si="1"/>
        <v>3156173</v>
      </c>
    </row>
    <row r="23" spans="2:9">
      <c r="B23" s="2845" t="s">
        <v>523</v>
      </c>
      <c r="C23" s="2776">
        <f>SUM(C9:C22)</f>
        <v>7997992</v>
      </c>
      <c r="D23" s="2776">
        <f t="shared" ref="D23:H23" si="2">SUM(D9:D22)</f>
        <v>1885797</v>
      </c>
      <c r="E23" s="2776">
        <f t="shared" si="2"/>
        <v>3625979</v>
      </c>
      <c r="F23" s="2776">
        <f t="shared" si="2"/>
        <v>1662947</v>
      </c>
      <c r="G23" s="2776">
        <f t="shared" si="2"/>
        <v>5305779</v>
      </c>
      <c r="H23" s="2776">
        <f t="shared" si="2"/>
        <v>20478494</v>
      </c>
    </row>
    <row r="24" spans="2:9">
      <c r="B24" s="2810" t="s">
        <v>399</v>
      </c>
      <c r="C24" s="2855"/>
      <c r="D24" s="2855"/>
      <c r="E24" s="2855"/>
      <c r="F24" s="2855"/>
      <c r="G24" s="2855"/>
      <c r="H24" s="2855"/>
    </row>
    <row r="25" spans="2:9">
      <c r="B25" s="2845" t="s">
        <v>118</v>
      </c>
      <c r="C25" s="2776">
        <f>C23+C24</f>
        <v>7997992</v>
      </c>
      <c r="D25" s="2776">
        <f t="shared" ref="D25:G25" si="3">D23+D24</f>
        <v>1885797</v>
      </c>
      <c r="E25" s="2776">
        <f t="shared" si="3"/>
        <v>3625979</v>
      </c>
      <c r="F25" s="2776">
        <f t="shared" si="3"/>
        <v>1662947</v>
      </c>
      <c r="G25" s="2776">
        <f t="shared" si="3"/>
        <v>5305779</v>
      </c>
      <c r="H25" s="2776">
        <f>H23+H24</f>
        <v>20478494</v>
      </c>
    </row>
    <row r="26" spans="2:9">
      <c r="B26" s="218"/>
      <c r="C26" s="383"/>
      <c r="D26" s="383"/>
      <c r="E26" s="383"/>
      <c r="F26" s="383"/>
      <c r="G26" s="383"/>
      <c r="H26" s="383"/>
    </row>
    <row r="27" spans="2:9">
      <c r="B27" s="218"/>
      <c r="C27" s="383"/>
      <c r="D27" s="383"/>
      <c r="E27" s="383"/>
      <c r="F27" s="383"/>
      <c r="G27" s="383"/>
      <c r="H27" s="293">
        <v>165</v>
      </c>
    </row>
    <row r="28" spans="2:9">
      <c r="B28" s="218"/>
      <c r="C28" s="218"/>
      <c r="D28" s="218"/>
      <c r="E28" s="218"/>
      <c r="F28" s="218"/>
      <c r="G28" s="218"/>
      <c r="H28" s="218"/>
    </row>
    <row r="29" spans="2:9">
      <c r="B29" s="3692" t="s">
        <v>560</v>
      </c>
      <c r="C29" s="3692"/>
      <c r="D29" s="3692"/>
      <c r="E29" s="3692"/>
      <c r="F29" s="3692"/>
      <c r="G29" s="3692"/>
    </row>
    <row r="30" spans="2:9">
      <c r="B30" s="218"/>
      <c r="H30" s="535" t="s">
        <v>558</v>
      </c>
      <c r="I30" s="535"/>
    </row>
    <row r="31" spans="2:9">
      <c r="B31" s="3745" t="s">
        <v>83</v>
      </c>
      <c r="C31" s="3741" t="s">
        <v>496</v>
      </c>
      <c r="D31" s="3741" t="s">
        <v>497</v>
      </c>
      <c r="E31" s="3741" t="s">
        <v>498</v>
      </c>
      <c r="F31" s="3741" t="s">
        <v>415</v>
      </c>
      <c r="G31" s="3741" t="s">
        <v>559</v>
      </c>
      <c r="H31" s="3741" t="s">
        <v>522</v>
      </c>
    </row>
    <row r="32" spans="2:9">
      <c r="B32" s="3716"/>
      <c r="C32" s="3742"/>
      <c r="D32" s="3742"/>
      <c r="E32" s="3742"/>
      <c r="F32" s="3742"/>
      <c r="G32" s="3742"/>
      <c r="H32" s="3742"/>
    </row>
    <row r="33" spans="2:14">
      <c r="B33" s="3746"/>
      <c r="C33" s="3743"/>
      <c r="D33" s="3743"/>
      <c r="E33" s="3743"/>
      <c r="F33" s="3743"/>
      <c r="G33" s="3743"/>
      <c r="H33" s="3743"/>
    </row>
    <row r="34" spans="2:14">
      <c r="B34" s="2061" t="s">
        <v>92</v>
      </c>
      <c r="C34" s="2147">
        <v>1093785</v>
      </c>
      <c r="D34" s="2147">
        <v>73331</v>
      </c>
      <c r="E34" s="2147">
        <v>6781</v>
      </c>
      <c r="F34" s="2147">
        <v>150594</v>
      </c>
      <c r="G34" s="2147">
        <v>293240</v>
      </c>
      <c r="H34" s="2853">
        <f>C34+D34+E34+F34+G34</f>
        <v>1617731</v>
      </c>
      <c r="J34" s="396"/>
      <c r="K34" s="396"/>
      <c r="L34" s="396"/>
      <c r="M34" s="396"/>
      <c r="N34" s="396"/>
    </row>
    <row r="35" spans="2:14">
      <c r="B35" s="2061" t="s">
        <v>95</v>
      </c>
      <c r="C35" s="2147">
        <v>88029</v>
      </c>
      <c r="D35" s="2147">
        <v>79260</v>
      </c>
      <c r="E35" s="2147">
        <v>50240</v>
      </c>
      <c r="F35" s="2044"/>
      <c r="G35" s="2147">
        <v>57802</v>
      </c>
      <c r="H35" s="2853">
        <f t="shared" ref="H35:H47" si="4">C35+D35+E35+F35+G35</f>
        <v>275331</v>
      </c>
      <c r="J35" s="396"/>
      <c r="K35" s="396"/>
      <c r="L35" s="396"/>
      <c r="M35" s="396"/>
      <c r="N35" s="396"/>
    </row>
    <row r="36" spans="2:14">
      <c r="B36" s="2061" t="s">
        <v>98</v>
      </c>
      <c r="C36" s="2149">
        <v>1505020</v>
      </c>
      <c r="D36" s="2147">
        <v>284499</v>
      </c>
      <c r="E36" s="2147">
        <v>1095407</v>
      </c>
      <c r="F36" s="2147">
        <v>193430</v>
      </c>
      <c r="G36" s="2147">
        <v>2204294</v>
      </c>
      <c r="H36" s="2853">
        <f>C36+D36+E36+F36+G36</f>
        <v>5282650</v>
      </c>
      <c r="J36" s="396"/>
      <c r="K36" s="396"/>
      <c r="L36" s="396"/>
      <c r="M36" s="396"/>
      <c r="N36" s="396"/>
    </row>
    <row r="37" spans="2:14">
      <c r="B37" s="2061" t="s">
        <v>99</v>
      </c>
      <c r="C37" s="2147">
        <v>623905</v>
      </c>
      <c r="D37" s="2147">
        <v>80831</v>
      </c>
      <c r="E37" s="2147">
        <v>43112</v>
      </c>
      <c r="F37" s="2147">
        <v>7506</v>
      </c>
      <c r="G37" s="2147">
        <v>209011</v>
      </c>
      <c r="H37" s="2853">
        <f t="shared" si="4"/>
        <v>964365</v>
      </c>
      <c r="J37" s="396"/>
      <c r="K37" s="396"/>
      <c r="L37" s="396"/>
      <c r="M37" s="396"/>
      <c r="N37" s="396"/>
    </row>
    <row r="38" spans="2:14">
      <c r="B38" s="2061" t="s">
        <v>101</v>
      </c>
      <c r="C38" s="2147">
        <v>90203</v>
      </c>
      <c r="D38" s="2147">
        <v>16788</v>
      </c>
      <c r="E38" s="2147">
        <v>327440</v>
      </c>
      <c r="F38" s="2147">
        <v>1681</v>
      </c>
      <c r="G38" s="2147">
        <v>108621</v>
      </c>
      <c r="H38" s="2853">
        <f t="shared" si="4"/>
        <v>544733</v>
      </c>
      <c r="J38" s="396"/>
      <c r="K38" s="396"/>
      <c r="L38" s="396"/>
      <c r="M38" s="396"/>
      <c r="N38" s="396"/>
    </row>
    <row r="39" spans="2:14">
      <c r="B39" s="2061" t="s">
        <v>102</v>
      </c>
      <c r="C39" s="2147">
        <v>987460</v>
      </c>
      <c r="D39" s="2147">
        <v>401578</v>
      </c>
      <c r="E39" s="2147">
        <v>2137082</v>
      </c>
      <c r="F39" s="2147">
        <v>1292605</v>
      </c>
      <c r="G39" s="2147">
        <v>520425</v>
      </c>
      <c r="H39" s="2853">
        <f t="shared" si="4"/>
        <v>5339150</v>
      </c>
      <c r="J39" s="396"/>
      <c r="K39" s="396"/>
      <c r="L39" s="396"/>
      <c r="M39" s="396"/>
      <c r="N39" s="396"/>
    </row>
    <row r="40" spans="2:14">
      <c r="B40" s="2061" t="s">
        <v>104</v>
      </c>
      <c r="C40" s="2147">
        <v>354121</v>
      </c>
      <c r="D40" s="2147">
        <v>52838</v>
      </c>
      <c r="E40" s="2147">
        <v>60522</v>
      </c>
      <c r="F40" s="2770"/>
      <c r="G40" s="2147">
        <v>160841</v>
      </c>
      <c r="H40" s="2853">
        <f t="shared" si="4"/>
        <v>628322</v>
      </c>
      <c r="J40" s="396"/>
      <c r="K40" s="396"/>
      <c r="L40" s="396"/>
      <c r="M40" s="396"/>
      <c r="N40" s="396"/>
    </row>
    <row r="41" spans="2:14">
      <c r="B41" s="2061" t="s">
        <v>108</v>
      </c>
      <c r="C41" s="2147">
        <v>414640</v>
      </c>
      <c r="D41" s="2147">
        <v>10846</v>
      </c>
      <c r="E41" s="2147">
        <v>388046</v>
      </c>
      <c r="F41" s="2770"/>
      <c r="G41" s="2147">
        <v>62501</v>
      </c>
      <c r="H41" s="2853">
        <f t="shared" si="4"/>
        <v>876033</v>
      </c>
      <c r="J41" s="396"/>
      <c r="K41" s="396"/>
      <c r="L41" s="396"/>
      <c r="M41" s="396"/>
      <c r="N41" s="396"/>
    </row>
    <row r="42" spans="2:14">
      <c r="B42" s="2061" t="s">
        <v>109</v>
      </c>
      <c r="C42" s="2147">
        <v>3575</v>
      </c>
      <c r="D42" s="2844">
        <v>503</v>
      </c>
      <c r="E42" s="2147">
        <v>37680</v>
      </c>
      <c r="F42" s="2044"/>
      <c r="G42" s="2147">
        <v>18043</v>
      </c>
      <c r="H42" s="2853">
        <f t="shared" si="4"/>
        <v>59801</v>
      </c>
      <c r="J42" s="396"/>
      <c r="K42" s="396"/>
      <c r="L42" s="396"/>
      <c r="M42" s="396"/>
      <c r="N42" s="396"/>
    </row>
    <row r="43" spans="2:14">
      <c r="B43" s="2061" t="s">
        <v>110</v>
      </c>
      <c r="C43" s="2147">
        <v>9586</v>
      </c>
      <c r="D43" s="2770"/>
      <c r="E43" s="2147">
        <v>6683</v>
      </c>
      <c r="F43" s="2770"/>
      <c r="G43" s="2770"/>
      <c r="H43" s="2853">
        <f t="shared" si="4"/>
        <v>16269</v>
      </c>
      <c r="J43" s="396"/>
      <c r="K43" s="396"/>
      <c r="L43" s="396"/>
      <c r="M43" s="396"/>
      <c r="N43" s="396"/>
    </row>
    <row r="44" spans="2:14">
      <c r="B44" s="2061" t="s">
        <v>111</v>
      </c>
      <c r="C44" s="2147">
        <v>70578</v>
      </c>
      <c r="D44" s="2147">
        <v>10909</v>
      </c>
      <c r="E44" s="2147">
        <v>28655</v>
      </c>
      <c r="F44" s="2770"/>
      <c r="G44" s="2147">
        <v>49806</v>
      </c>
      <c r="H44" s="2853">
        <f t="shared" si="4"/>
        <v>159948</v>
      </c>
      <c r="J44" s="396"/>
      <c r="K44" s="396"/>
      <c r="L44" s="396"/>
      <c r="M44" s="396"/>
      <c r="N44" s="396"/>
    </row>
    <row r="45" spans="2:14">
      <c r="B45" s="2061" t="s">
        <v>112</v>
      </c>
      <c r="C45" s="2147">
        <v>167040</v>
      </c>
      <c r="D45" s="2147">
        <v>30456</v>
      </c>
      <c r="E45" s="2147">
        <v>44924</v>
      </c>
      <c r="F45" s="2770"/>
      <c r="G45" s="2147">
        <v>107687</v>
      </c>
      <c r="H45" s="2853">
        <f t="shared" si="4"/>
        <v>350107</v>
      </c>
      <c r="J45" s="396"/>
      <c r="K45" s="396"/>
      <c r="L45" s="396"/>
      <c r="M45" s="396"/>
      <c r="N45" s="396"/>
    </row>
    <row r="46" spans="2:14">
      <c r="B46" s="2061" t="s">
        <v>114</v>
      </c>
      <c r="C46" s="2147">
        <v>3214</v>
      </c>
      <c r="D46" s="2770"/>
      <c r="E46" s="2147">
        <v>17085</v>
      </c>
      <c r="F46" s="2044"/>
      <c r="G46" s="2147">
        <v>35418</v>
      </c>
      <c r="H46" s="2853">
        <f t="shared" si="4"/>
        <v>55717</v>
      </c>
      <c r="J46" s="396"/>
      <c r="K46" s="396"/>
      <c r="L46" s="396"/>
      <c r="M46" s="396"/>
      <c r="N46" s="396"/>
    </row>
    <row r="47" spans="2:14">
      <c r="B47" s="2061" t="s">
        <v>115</v>
      </c>
      <c r="C47" s="2149">
        <v>1198730</v>
      </c>
      <c r="D47" s="2149">
        <v>310840</v>
      </c>
      <c r="E47" s="2149">
        <v>112603</v>
      </c>
      <c r="F47" s="2044"/>
      <c r="G47" s="2149">
        <v>719155</v>
      </c>
      <c r="H47" s="2853">
        <f t="shared" si="4"/>
        <v>2341328</v>
      </c>
      <c r="J47" s="396"/>
      <c r="K47" s="396"/>
      <c r="L47" s="396"/>
      <c r="M47" s="396"/>
      <c r="N47" s="396"/>
    </row>
    <row r="48" spans="2:14">
      <c r="B48" s="2806" t="s">
        <v>523</v>
      </c>
      <c r="C48" s="2774">
        <f>SUM(C34:C47)</f>
        <v>6609886</v>
      </c>
      <c r="D48" s="2774">
        <f t="shared" ref="D48:H48" si="5">SUM(D34:D47)</f>
        <v>1352679</v>
      </c>
      <c r="E48" s="2774">
        <f t="shared" si="5"/>
        <v>4356260</v>
      </c>
      <c r="F48" s="2774">
        <f t="shared" si="5"/>
        <v>1645816</v>
      </c>
      <c r="G48" s="2774">
        <f t="shared" si="5"/>
        <v>4546844</v>
      </c>
      <c r="H48" s="2774">
        <f t="shared" si="5"/>
        <v>18511485</v>
      </c>
      <c r="J48" s="396"/>
      <c r="K48" s="396"/>
      <c r="L48" s="396"/>
      <c r="M48" s="396"/>
      <c r="N48" s="396"/>
    </row>
    <row r="49" spans="2:14">
      <c r="B49" s="2810" t="s">
        <v>399</v>
      </c>
      <c r="C49" s="2775"/>
      <c r="D49" s="2775"/>
      <c r="E49" s="2775"/>
      <c r="F49" s="2775"/>
      <c r="G49" s="2775"/>
      <c r="H49" s="2853">
        <v>100121</v>
      </c>
      <c r="J49" s="396"/>
      <c r="K49" s="396"/>
      <c r="L49" s="396"/>
      <c r="M49" s="396"/>
      <c r="N49" s="396"/>
    </row>
    <row r="50" spans="2:14">
      <c r="B50" s="2806" t="s">
        <v>118</v>
      </c>
      <c r="C50" s="2774">
        <f>C48+C49</f>
        <v>6609886</v>
      </c>
      <c r="D50" s="2774">
        <f t="shared" ref="D50:H50" si="6">D48+D49</f>
        <v>1352679</v>
      </c>
      <c r="E50" s="2774">
        <f t="shared" si="6"/>
        <v>4356260</v>
      </c>
      <c r="F50" s="2774">
        <f t="shared" si="6"/>
        <v>1645816</v>
      </c>
      <c r="G50" s="2774">
        <f t="shared" si="6"/>
        <v>4546844</v>
      </c>
      <c r="H50" s="2774">
        <f t="shared" si="6"/>
        <v>18611606</v>
      </c>
      <c r="J50" s="396"/>
      <c r="K50" s="396"/>
      <c r="L50" s="396"/>
      <c r="M50" s="396"/>
      <c r="N50" s="396"/>
    </row>
    <row r="51" spans="2:14">
      <c r="B51" s="218"/>
      <c r="C51" s="383"/>
      <c r="D51" s="383"/>
      <c r="E51" s="383"/>
      <c r="F51" s="383"/>
      <c r="G51" s="383"/>
      <c r="H51" s="383"/>
      <c r="J51" s="396"/>
      <c r="K51" s="396"/>
      <c r="L51" s="396"/>
      <c r="M51" s="396"/>
      <c r="N51" s="396"/>
    </row>
    <row r="52" spans="2:14">
      <c r="B52" s="218"/>
      <c r="C52" s="383"/>
      <c r="D52" s="383"/>
      <c r="E52" s="383"/>
      <c r="F52" s="383"/>
      <c r="G52" s="383"/>
      <c r="H52" s="293">
        <v>166</v>
      </c>
      <c r="J52" s="396"/>
      <c r="K52" s="396"/>
      <c r="L52" s="396"/>
      <c r="M52" s="396"/>
      <c r="N52" s="396"/>
    </row>
    <row r="53" spans="2:14">
      <c r="B53" s="218" t="s">
        <v>561</v>
      </c>
      <c r="C53" s="383"/>
      <c r="D53" s="383"/>
      <c r="E53" s="383"/>
      <c r="F53" s="383"/>
      <c r="G53" s="383"/>
      <c r="H53" s="293"/>
      <c r="J53" s="396"/>
      <c r="K53" s="396"/>
      <c r="L53" s="396"/>
      <c r="M53" s="396"/>
      <c r="N53" s="396"/>
    </row>
    <row r="54" spans="2:14">
      <c r="B54" s="218"/>
      <c r="H54" s="535" t="s">
        <v>558</v>
      </c>
      <c r="J54" s="396"/>
      <c r="K54" s="396"/>
      <c r="L54" s="396"/>
      <c r="M54" s="396"/>
      <c r="N54" s="396"/>
    </row>
    <row r="55" spans="2:14">
      <c r="B55" s="3745" t="s">
        <v>83</v>
      </c>
      <c r="C55" s="3747" t="s">
        <v>496</v>
      </c>
      <c r="D55" s="3741" t="s">
        <v>497</v>
      </c>
      <c r="E55" s="3741" t="s">
        <v>498</v>
      </c>
      <c r="F55" s="3741" t="s">
        <v>415</v>
      </c>
      <c r="G55" s="3747" t="s">
        <v>559</v>
      </c>
      <c r="H55" s="3747" t="s">
        <v>522</v>
      </c>
      <c r="J55" s="396"/>
      <c r="K55" s="396"/>
      <c r="L55" s="396"/>
      <c r="M55" s="396"/>
      <c r="N55" s="396"/>
    </row>
    <row r="56" spans="2:14">
      <c r="B56" s="3716"/>
      <c r="C56" s="3710"/>
      <c r="D56" s="3742"/>
      <c r="E56" s="3742"/>
      <c r="F56" s="3742"/>
      <c r="G56" s="3710"/>
      <c r="H56" s="3710"/>
      <c r="J56" s="396"/>
      <c r="K56" s="396"/>
      <c r="L56" s="396"/>
      <c r="M56" s="396"/>
      <c r="N56" s="396"/>
    </row>
    <row r="57" spans="2:14">
      <c r="B57" s="3746"/>
      <c r="C57" s="3700"/>
      <c r="D57" s="3743"/>
      <c r="E57" s="3743"/>
      <c r="F57" s="3743"/>
      <c r="G57" s="3700"/>
      <c r="H57" s="3700"/>
      <c r="J57" s="396"/>
      <c r="K57" s="396"/>
      <c r="L57" s="396"/>
      <c r="M57" s="396"/>
      <c r="N57" s="396"/>
    </row>
    <row r="58" spans="2:14">
      <c r="B58" s="2061" t="s">
        <v>92</v>
      </c>
      <c r="C58" s="2022">
        <v>1430477.1320279145</v>
      </c>
      <c r="D58" s="2022">
        <v>57723.28371569833</v>
      </c>
      <c r="E58" s="2022">
        <v>14777.293755199988</v>
      </c>
      <c r="F58" s="2022">
        <v>157034.73396000001</v>
      </c>
      <c r="G58" s="2022">
        <v>282260.90132338717</v>
      </c>
      <c r="H58" s="2854">
        <f>C58+D58+E58+F58+G58</f>
        <v>1942273.3447822002</v>
      </c>
      <c r="J58" s="396"/>
      <c r="K58" s="396"/>
      <c r="L58" s="396"/>
      <c r="M58" s="396"/>
      <c r="N58" s="396"/>
    </row>
    <row r="59" spans="2:14">
      <c r="B59" s="2061" t="s">
        <v>95</v>
      </c>
      <c r="C59" s="2022">
        <v>106774.70387407392</v>
      </c>
      <c r="D59" s="2022">
        <v>71532.46600670449</v>
      </c>
      <c r="E59" s="2022">
        <v>30428.140169352992</v>
      </c>
      <c r="F59" s="2044"/>
      <c r="G59" s="2022">
        <v>63031.292129868896</v>
      </c>
      <c r="H59" s="2854">
        <f t="shared" ref="H59" si="7">C59+D59+E59+F59+G59</f>
        <v>271766.60218000028</v>
      </c>
      <c r="J59" s="396"/>
      <c r="K59" s="396"/>
      <c r="L59" s="396"/>
      <c r="M59" s="396"/>
      <c r="N59" s="396"/>
    </row>
    <row r="60" spans="2:14">
      <c r="B60" s="2061" t="s">
        <v>98</v>
      </c>
      <c r="C60" s="2022">
        <v>1197937</v>
      </c>
      <c r="D60" s="2022">
        <v>299851</v>
      </c>
      <c r="E60" s="2022">
        <v>592755</v>
      </c>
      <c r="F60" s="2022">
        <v>173713</v>
      </c>
      <c r="G60" s="2022">
        <v>1811173</v>
      </c>
      <c r="H60" s="2854">
        <f>C60+D60+E60+F60+G60</f>
        <v>4075429</v>
      </c>
      <c r="J60" s="396"/>
      <c r="K60" s="396"/>
      <c r="L60" s="396"/>
      <c r="M60" s="396"/>
      <c r="N60" s="396"/>
    </row>
    <row r="61" spans="2:14">
      <c r="B61" s="2061" t="s">
        <v>99</v>
      </c>
      <c r="C61" s="2022">
        <v>567647.34783999994</v>
      </c>
      <c r="D61" s="2022">
        <v>58623.25505</v>
      </c>
      <c r="E61" s="2022">
        <v>46780.721660000003</v>
      </c>
      <c r="F61" s="2022">
        <v>26680.24569</v>
      </c>
      <c r="G61" s="2022">
        <v>148178.85412</v>
      </c>
      <c r="H61" s="2854">
        <f t="shared" ref="H61:H71" si="8">C61+D61+E61+F61+G61</f>
        <v>847910.42436000006</v>
      </c>
      <c r="J61" s="396"/>
      <c r="K61" s="396"/>
      <c r="L61" s="396"/>
      <c r="M61" s="396"/>
      <c r="N61" s="396"/>
    </row>
    <row r="62" spans="2:14">
      <c r="B62" s="2061" t="s">
        <v>101</v>
      </c>
      <c r="C62" s="2022">
        <v>80029.918650000007</v>
      </c>
      <c r="D62" s="2022">
        <v>10643.31472</v>
      </c>
      <c r="E62" s="2022">
        <v>343139.82201000006</v>
      </c>
      <c r="F62" s="2104">
        <v>759.29</v>
      </c>
      <c r="G62" s="2022">
        <v>137219.11286999998</v>
      </c>
      <c r="H62" s="2854">
        <f t="shared" si="8"/>
        <v>571791.45825000003</v>
      </c>
      <c r="J62" s="396"/>
      <c r="K62" s="396"/>
      <c r="L62" s="396"/>
      <c r="M62" s="396"/>
      <c r="N62" s="396"/>
    </row>
    <row r="63" spans="2:14">
      <c r="B63" s="2061" t="s">
        <v>102</v>
      </c>
      <c r="C63" s="2022">
        <v>949397.1116731423</v>
      </c>
      <c r="D63" s="2022">
        <v>292906.79762520996</v>
      </c>
      <c r="E63" s="2022">
        <v>2546803.4667013278</v>
      </c>
      <c r="F63" s="2022">
        <v>1099764.9365624732</v>
      </c>
      <c r="G63" s="2022">
        <v>448824.99857784336</v>
      </c>
      <c r="H63" s="2854">
        <f t="shared" si="8"/>
        <v>5337697.3111399962</v>
      </c>
      <c r="J63" s="396"/>
      <c r="K63" s="396"/>
      <c r="L63" s="396"/>
      <c r="M63" s="396"/>
      <c r="N63" s="396"/>
    </row>
    <row r="64" spans="2:14">
      <c r="B64" s="2061" t="s">
        <v>104</v>
      </c>
      <c r="C64" s="2022">
        <v>338938.28133999987</v>
      </c>
      <c r="D64" s="2022">
        <v>51704.870670000004</v>
      </c>
      <c r="E64" s="2022">
        <v>71515.315647434938</v>
      </c>
      <c r="F64" s="2770"/>
      <c r="G64" s="2022">
        <v>185519.27585999999</v>
      </c>
      <c r="H64" s="2854">
        <f t="shared" si="8"/>
        <v>647677.74351743469</v>
      </c>
      <c r="J64" s="396"/>
      <c r="K64" s="396"/>
      <c r="L64" s="396"/>
      <c r="M64" s="396"/>
      <c r="N64" s="396"/>
    </row>
    <row r="65" spans="2:14">
      <c r="B65" s="2061" t="s">
        <v>108</v>
      </c>
      <c r="C65" s="2022">
        <v>261156.75784999994</v>
      </c>
      <c r="D65" s="2022">
        <v>5421.4735799999999</v>
      </c>
      <c r="E65" s="2022">
        <v>354406.45162000076</v>
      </c>
      <c r="F65" s="2770"/>
      <c r="G65" s="2022">
        <v>65318.433110000005</v>
      </c>
      <c r="H65" s="2854">
        <f t="shared" si="8"/>
        <v>686303.11616000067</v>
      </c>
      <c r="J65" s="396"/>
      <c r="K65" s="396"/>
      <c r="L65" s="396"/>
      <c r="M65" s="396"/>
      <c r="N65" s="396"/>
    </row>
    <row r="66" spans="2:14">
      <c r="B66" s="2061" t="s">
        <v>109</v>
      </c>
      <c r="C66" s="2022">
        <v>2869.7509059550794</v>
      </c>
      <c r="D66" s="2022">
        <v>430.64005112208798</v>
      </c>
      <c r="E66" s="2022">
        <v>8869.4784342952989</v>
      </c>
      <c r="F66" s="2022">
        <v>128.57294999999999</v>
      </c>
      <c r="G66" s="2022">
        <v>3183.74901862759</v>
      </c>
      <c r="H66" s="2854">
        <f t="shared" si="8"/>
        <v>15482.191360000057</v>
      </c>
      <c r="J66" s="396"/>
      <c r="K66" s="396"/>
      <c r="L66" s="396"/>
      <c r="M66" s="396"/>
      <c r="N66" s="396"/>
    </row>
    <row r="67" spans="2:14">
      <c r="B67" s="2061" t="s">
        <v>110</v>
      </c>
      <c r="C67" s="2770"/>
      <c r="D67" s="2770"/>
      <c r="E67" s="2104">
        <v>10328.9459496</v>
      </c>
      <c r="F67" s="2770"/>
      <c r="G67" s="2022">
        <v>418732.72758200002</v>
      </c>
      <c r="H67" s="2854">
        <f t="shared" si="8"/>
        <v>429061.67353160004</v>
      </c>
      <c r="J67" s="396"/>
      <c r="K67" s="396"/>
      <c r="L67" s="396"/>
      <c r="M67" s="396"/>
      <c r="N67" s="396"/>
    </row>
    <row r="68" spans="2:14">
      <c r="B68" s="2061" t="s">
        <v>111</v>
      </c>
      <c r="C68" s="2022">
        <v>59833.5290992597</v>
      </c>
      <c r="D68" s="2022">
        <v>12303.80449450483</v>
      </c>
      <c r="E68" s="2022">
        <v>30037.264308610629</v>
      </c>
      <c r="F68" s="2770"/>
      <c r="G68" s="2022">
        <v>24652.633449836681</v>
      </c>
      <c r="H68" s="2854">
        <f t="shared" si="8"/>
        <v>126827.23135221183</v>
      </c>
      <c r="J68" s="396"/>
      <c r="K68" s="396"/>
      <c r="L68" s="396"/>
      <c r="M68" s="396"/>
      <c r="N68" s="396"/>
    </row>
    <row r="69" spans="2:14">
      <c r="B69" s="2061" t="s">
        <v>112</v>
      </c>
      <c r="C69" s="2022">
        <v>117081.63500000001</v>
      </c>
      <c r="D69" s="2022">
        <v>15038.346</v>
      </c>
      <c r="E69" s="2022">
        <v>39011.002079999998</v>
      </c>
      <c r="F69" s="2770"/>
      <c r="G69" s="2022">
        <v>73824.388999999996</v>
      </c>
      <c r="H69" s="2854">
        <f t="shared" si="8"/>
        <v>244955.37208</v>
      </c>
      <c r="J69" s="396"/>
      <c r="K69" s="396"/>
      <c r="L69" s="396"/>
      <c r="M69" s="396"/>
      <c r="N69" s="396"/>
    </row>
    <row r="70" spans="2:14">
      <c r="B70" s="2061" t="s">
        <v>114</v>
      </c>
      <c r="C70" s="2022">
        <v>3865.2799999999997</v>
      </c>
      <c r="D70" s="2770"/>
      <c r="E70" s="2022">
        <v>20331.668000000001</v>
      </c>
      <c r="F70" s="2022">
        <v>15409.943069999999</v>
      </c>
      <c r="G70" s="2022">
        <v>26676.546049999997</v>
      </c>
      <c r="H70" s="2854">
        <f t="shared" si="8"/>
        <v>66283.437119999988</v>
      </c>
      <c r="J70" s="396"/>
      <c r="K70" s="396"/>
      <c r="L70" s="396"/>
      <c r="M70" s="396"/>
      <c r="N70" s="396"/>
    </row>
    <row r="71" spans="2:14">
      <c r="B71" s="2061" t="s">
        <v>115</v>
      </c>
      <c r="C71" s="2022">
        <v>945846</v>
      </c>
      <c r="D71" s="2022">
        <v>348650</v>
      </c>
      <c r="E71" s="2022">
        <v>120730</v>
      </c>
      <c r="F71" s="2022">
        <v>7031</v>
      </c>
      <c r="G71" s="2022">
        <v>1124714</v>
      </c>
      <c r="H71" s="2854">
        <f t="shared" si="8"/>
        <v>2546971</v>
      </c>
      <c r="J71" s="396"/>
      <c r="K71" s="396"/>
      <c r="L71" s="396"/>
      <c r="M71" s="396"/>
      <c r="N71" s="396"/>
    </row>
    <row r="72" spans="2:14">
      <c r="B72" s="2810" t="s">
        <v>523</v>
      </c>
      <c r="C72" s="2854">
        <f>SUM(C58:C71)</f>
        <v>6061854.4482603455</v>
      </c>
      <c r="D72" s="2854">
        <f t="shared" ref="D72:H72" si="9">SUM(D58:D71)</f>
        <v>1224829.2519132397</v>
      </c>
      <c r="E72" s="2854">
        <f t="shared" si="9"/>
        <v>4229914.5703358222</v>
      </c>
      <c r="F72" s="2854">
        <f t="shared" si="9"/>
        <v>1480521.7222324731</v>
      </c>
      <c r="G72" s="2854">
        <f t="shared" si="9"/>
        <v>4813309.9130915636</v>
      </c>
      <c r="H72" s="2854">
        <f t="shared" si="9"/>
        <v>17810429.905833445</v>
      </c>
      <c r="J72" s="396"/>
      <c r="K72" s="396"/>
      <c r="L72" s="396"/>
      <c r="M72" s="396"/>
      <c r="N72" s="396"/>
    </row>
    <row r="73" spans="2:14">
      <c r="B73" s="2810" t="s">
        <v>399</v>
      </c>
      <c r="C73" s="2775"/>
      <c r="D73" s="2775"/>
      <c r="E73" s="2775"/>
      <c r="F73" s="2775"/>
      <c r="G73" s="2775"/>
      <c r="H73" s="2849">
        <v>55563.767258400003</v>
      </c>
      <c r="J73" s="396"/>
      <c r="K73" s="396"/>
      <c r="L73" s="396"/>
      <c r="M73" s="396"/>
      <c r="N73" s="396"/>
    </row>
    <row r="74" spans="2:14">
      <c r="B74" s="2810" t="s">
        <v>118</v>
      </c>
      <c r="C74" s="2854">
        <f>C72+C73</f>
        <v>6061854.4482603455</v>
      </c>
      <c r="D74" s="2854">
        <f t="shared" ref="D74:H74" si="10">D72+D73</f>
        <v>1224829.2519132397</v>
      </c>
      <c r="E74" s="2854">
        <f t="shared" si="10"/>
        <v>4229914.5703358222</v>
      </c>
      <c r="F74" s="2854">
        <f t="shared" si="10"/>
        <v>1480521.7222324731</v>
      </c>
      <c r="G74" s="2854">
        <f t="shared" si="10"/>
        <v>4813309.9130915636</v>
      </c>
      <c r="H74" s="2854">
        <f t="shared" si="10"/>
        <v>17865993.673091844</v>
      </c>
      <c r="J74" s="396"/>
      <c r="K74" s="396"/>
      <c r="L74" s="396"/>
      <c r="M74" s="396"/>
      <c r="N74" s="396"/>
    </row>
    <row r="75" spans="2:14">
      <c r="B75" s="218"/>
      <c r="C75" s="383"/>
      <c r="D75" s="383"/>
      <c r="E75" s="383"/>
      <c r="F75" s="383"/>
      <c r="G75" s="383"/>
      <c r="H75" s="383"/>
      <c r="J75" s="396"/>
      <c r="K75" s="396"/>
      <c r="L75" s="396"/>
      <c r="M75" s="396"/>
      <c r="N75" s="396"/>
    </row>
    <row r="76" spans="2:14">
      <c r="B76" s="218"/>
      <c r="C76" s="383"/>
      <c r="D76" s="383"/>
      <c r="E76" s="383"/>
      <c r="F76" s="383"/>
      <c r="G76" s="383"/>
      <c r="H76" s="293">
        <v>167</v>
      </c>
      <c r="J76" s="396"/>
      <c r="K76" s="396"/>
      <c r="L76" s="396"/>
      <c r="M76" s="396"/>
      <c r="N76" s="396"/>
    </row>
    <row r="77" spans="2:14">
      <c r="B77" s="214"/>
      <c r="C77" s="214"/>
      <c r="D77" s="214"/>
      <c r="E77" s="214"/>
      <c r="F77" s="214"/>
      <c r="G77" s="214"/>
      <c r="H77" s="483"/>
    </row>
    <row r="78" spans="2:14">
      <c r="B78" s="3692" t="s">
        <v>562</v>
      </c>
      <c r="C78" s="3692"/>
      <c r="D78" s="3692"/>
      <c r="E78" s="3692"/>
      <c r="F78" s="3692"/>
      <c r="G78" s="3692"/>
    </row>
    <row r="79" spans="2:14">
      <c r="B79" s="218"/>
      <c r="H79" s="535" t="s">
        <v>558</v>
      </c>
      <c r="I79" s="535"/>
    </row>
    <row r="80" spans="2:14">
      <c r="B80" s="3745" t="s">
        <v>83</v>
      </c>
      <c r="C80" s="3747" t="s">
        <v>496</v>
      </c>
      <c r="D80" s="3741" t="s">
        <v>497</v>
      </c>
      <c r="E80" s="3741" t="s">
        <v>498</v>
      </c>
      <c r="F80" s="3741" t="s">
        <v>415</v>
      </c>
      <c r="G80" s="3747" t="s">
        <v>559</v>
      </c>
      <c r="H80" s="3747" t="s">
        <v>522</v>
      </c>
    </row>
    <row r="81" spans="2:14">
      <c r="B81" s="3716"/>
      <c r="C81" s="3710"/>
      <c r="D81" s="3742"/>
      <c r="E81" s="3742"/>
      <c r="F81" s="3742"/>
      <c r="G81" s="3710"/>
      <c r="H81" s="3710"/>
    </row>
    <row r="82" spans="2:14">
      <c r="B82" s="3746"/>
      <c r="C82" s="3700"/>
      <c r="D82" s="3743"/>
      <c r="E82" s="3743"/>
      <c r="F82" s="3743"/>
      <c r="G82" s="3700"/>
      <c r="H82" s="3700"/>
    </row>
    <row r="83" spans="2:14">
      <c r="B83" s="2061" t="s">
        <v>92</v>
      </c>
      <c r="C83" s="2022">
        <v>1100340.1490045304</v>
      </c>
      <c r="D83" s="2022">
        <v>116341.83517037101</v>
      </c>
      <c r="E83" s="2022">
        <v>78474.038059600061</v>
      </c>
      <c r="F83" s="2022">
        <v>-5666.8175300000103</v>
      </c>
      <c r="G83" s="2022">
        <v>466005.05622609856</v>
      </c>
      <c r="H83" s="2854">
        <f>C83+D83+E83+F83+G83</f>
        <v>1755494.2609306001</v>
      </c>
      <c r="J83" s="396"/>
      <c r="K83" s="396"/>
      <c r="L83" s="396"/>
      <c r="M83" s="396"/>
      <c r="N83" s="396"/>
    </row>
    <row r="84" spans="2:14">
      <c r="B84" s="2061" t="s">
        <v>95</v>
      </c>
      <c r="C84" s="2022">
        <v>54257.182806179226</v>
      </c>
      <c r="D84" s="2022">
        <v>75879.930526373151</v>
      </c>
      <c r="E84" s="2022">
        <v>23506.305223905176</v>
      </c>
      <c r="F84" s="2022">
        <v>218.99222</v>
      </c>
      <c r="G84" s="2022">
        <v>72818.918655472429</v>
      </c>
      <c r="H84" s="2854">
        <f t="shared" ref="H84:H96" si="11">C84+D84+E84+F84+G84</f>
        <v>226681.32943192997</v>
      </c>
      <c r="J84" s="396"/>
      <c r="K84" s="396"/>
      <c r="L84" s="396"/>
      <c r="M84" s="396"/>
      <c r="N84" s="396"/>
    </row>
    <row r="85" spans="2:14">
      <c r="B85" s="2061" t="s">
        <v>98</v>
      </c>
      <c r="C85" s="2022">
        <v>1786559</v>
      </c>
      <c r="D85" s="2022">
        <v>284200</v>
      </c>
      <c r="E85" s="2022">
        <v>352704</v>
      </c>
      <c r="F85" s="2022">
        <v>138194</v>
      </c>
      <c r="G85" s="2022">
        <v>1106052</v>
      </c>
      <c r="H85" s="2854">
        <f t="shared" si="11"/>
        <v>3667709</v>
      </c>
      <c r="J85" s="396"/>
      <c r="K85" s="396"/>
      <c r="L85" s="396"/>
      <c r="M85" s="396"/>
      <c r="N85" s="396"/>
    </row>
    <row r="86" spans="2:14">
      <c r="B86" s="2061" t="s">
        <v>99</v>
      </c>
      <c r="C86" s="2022">
        <v>406222.50203000009</v>
      </c>
      <c r="D86" s="2022">
        <v>66197.458440000002</v>
      </c>
      <c r="E86" s="2022">
        <v>67279.574290000004</v>
      </c>
      <c r="F86" s="2022">
        <v>376214.25817000004</v>
      </c>
      <c r="G86" s="2022">
        <v>110008.01131999999</v>
      </c>
      <c r="H86" s="2854">
        <f t="shared" si="11"/>
        <v>1025921.80425</v>
      </c>
      <c r="J86" s="396"/>
      <c r="K86" s="396"/>
      <c r="L86" s="396"/>
      <c r="M86" s="396"/>
      <c r="N86" s="396"/>
    </row>
    <row r="87" spans="2:14">
      <c r="B87" s="2061" t="s">
        <v>101</v>
      </c>
      <c r="C87" s="2022">
        <v>75658.070000000007</v>
      </c>
      <c r="D87" s="2022">
        <v>2463.4</v>
      </c>
      <c r="E87" s="2022">
        <v>303234.53999999998</v>
      </c>
      <c r="F87" s="2104">
        <v>1383</v>
      </c>
      <c r="G87" s="2022">
        <v>117759.6</v>
      </c>
      <c r="H87" s="2854">
        <f t="shared" si="11"/>
        <v>500498.61</v>
      </c>
      <c r="J87" s="396"/>
      <c r="K87" s="396"/>
      <c r="L87" s="396"/>
      <c r="M87" s="396"/>
      <c r="N87" s="396"/>
    </row>
    <row r="88" spans="2:14">
      <c r="B88" s="2061" t="s">
        <v>102</v>
      </c>
      <c r="C88" s="2022">
        <v>807422.17568999995</v>
      </c>
      <c r="D88" s="2022">
        <v>202519.52444000001</v>
      </c>
      <c r="E88" s="2022">
        <v>2872700.4039599961</v>
      </c>
      <c r="F88" s="2022">
        <v>1250821.9014075715</v>
      </c>
      <c r="G88" s="2022">
        <v>79540.107582428449</v>
      </c>
      <c r="H88" s="2854">
        <f t="shared" si="11"/>
        <v>5213004.1130799958</v>
      </c>
      <c r="J88" s="396"/>
      <c r="K88" s="396"/>
      <c r="L88" s="396"/>
      <c r="M88" s="396"/>
      <c r="N88" s="396"/>
    </row>
    <row r="89" spans="2:14">
      <c r="B89" s="2061" t="s">
        <v>104</v>
      </c>
      <c r="C89" s="2022">
        <v>319601.06179000001</v>
      </c>
      <c r="D89" s="2022">
        <v>61817.614870000005</v>
      </c>
      <c r="E89" s="2022">
        <v>64596.428672698239</v>
      </c>
      <c r="F89" s="2770"/>
      <c r="G89" s="2022">
        <v>119220.19225000002</v>
      </c>
      <c r="H89" s="2854">
        <f t="shared" si="11"/>
        <v>565235.29758269829</v>
      </c>
      <c r="J89" s="396"/>
      <c r="K89" s="396"/>
      <c r="L89" s="396"/>
      <c r="M89" s="396"/>
      <c r="N89" s="396"/>
    </row>
    <row r="90" spans="2:14">
      <c r="B90" s="2061" t="s">
        <v>108</v>
      </c>
      <c r="C90" s="2022">
        <v>226076.634315437</v>
      </c>
      <c r="D90" s="2022">
        <v>5777.7636399999992</v>
      </c>
      <c r="E90" s="2022">
        <v>324652.72866000002</v>
      </c>
      <c r="F90" s="2770"/>
      <c r="G90" s="2022">
        <v>26303.266970000004</v>
      </c>
      <c r="H90" s="2854">
        <f t="shared" si="11"/>
        <v>582810.39358543698</v>
      </c>
      <c r="J90" s="396"/>
      <c r="K90" s="396"/>
      <c r="L90" s="396"/>
      <c r="M90" s="396"/>
      <c r="N90" s="396"/>
    </row>
    <row r="91" spans="2:14">
      <c r="B91" s="2061" t="s">
        <v>109</v>
      </c>
      <c r="C91" s="2022">
        <v>1025.1122700000001</v>
      </c>
      <c r="D91" s="2022">
        <v>82.231179999999995</v>
      </c>
      <c r="E91" s="2022">
        <v>8327.9713499999998</v>
      </c>
      <c r="F91" s="2044"/>
      <c r="G91" s="2022">
        <v>3414.8292499999998</v>
      </c>
      <c r="H91" s="2854">
        <f t="shared" si="11"/>
        <v>12850.144049999999</v>
      </c>
      <c r="J91" s="396"/>
      <c r="K91" s="396"/>
      <c r="L91" s="396"/>
      <c r="M91" s="396"/>
      <c r="N91" s="396"/>
    </row>
    <row r="92" spans="2:14">
      <c r="B92" s="2061" t="s">
        <v>110</v>
      </c>
      <c r="C92" s="2770"/>
      <c r="D92" s="2770"/>
      <c r="E92" s="2104">
        <v>8726.2292500000003</v>
      </c>
      <c r="F92" s="2770"/>
      <c r="G92" s="2022">
        <v>1461188.57914</v>
      </c>
      <c r="H92" s="2854">
        <f t="shared" si="11"/>
        <v>1469914.8083900001</v>
      </c>
      <c r="J92" s="396"/>
      <c r="K92" s="396"/>
      <c r="L92" s="396"/>
      <c r="M92" s="396"/>
      <c r="N92" s="396"/>
    </row>
    <row r="93" spans="2:14">
      <c r="B93" s="2061" t="s">
        <v>111</v>
      </c>
      <c r="C93" s="2022">
        <v>58867.822968708097</v>
      </c>
      <c r="D93" s="2022">
        <v>15723.7564419313</v>
      </c>
      <c r="E93" s="2022">
        <v>32956.013617913501</v>
      </c>
      <c r="F93" s="2770"/>
      <c r="G93" s="2022">
        <v>34536.434479492702</v>
      </c>
      <c r="H93" s="2854">
        <f t="shared" si="11"/>
        <v>142084.0275080456</v>
      </c>
      <c r="J93" s="396"/>
      <c r="K93" s="396"/>
      <c r="L93" s="396"/>
      <c r="M93" s="396"/>
      <c r="N93" s="396"/>
    </row>
    <row r="94" spans="2:14">
      <c r="B94" s="2061" t="s">
        <v>112</v>
      </c>
      <c r="C94" s="2022">
        <v>143634.87952999989</v>
      </c>
      <c r="D94" s="2022">
        <v>7214.48524</v>
      </c>
      <c r="E94" s="2022">
        <v>32786</v>
      </c>
      <c r="F94" s="2770"/>
      <c r="G94" s="2022">
        <v>61098.541729999997</v>
      </c>
      <c r="H94" s="2854">
        <f t="shared" si="11"/>
        <v>244733.9064999999</v>
      </c>
      <c r="J94" s="396"/>
      <c r="K94" s="396"/>
      <c r="L94" s="396"/>
      <c r="M94" s="396"/>
      <c r="N94" s="396"/>
    </row>
    <row r="95" spans="2:14">
      <c r="B95" s="2061" t="s">
        <v>134</v>
      </c>
      <c r="C95" s="2022">
        <v>3492.5820000000003</v>
      </c>
      <c r="D95" s="2770"/>
      <c r="E95" s="2022">
        <v>12827.668000000001</v>
      </c>
      <c r="F95" s="2022">
        <v>1786.31268</v>
      </c>
      <c r="G95" s="2022">
        <v>35096.764920000001</v>
      </c>
      <c r="H95" s="2854">
        <f t="shared" si="11"/>
        <v>53203.327600000004</v>
      </c>
      <c r="J95" s="396"/>
      <c r="K95" s="396"/>
      <c r="L95" s="396"/>
      <c r="M95" s="396"/>
      <c r="N95" s="396"/>
    </row>
    <row r="96" spans="2:14">
      <c r="B96" s="2061" t="s">
        <v>115</v>
      </c>
      <c r="C96" s="2022">
        <v>1120451.74832</v>
      </c>
      <c r="D96" s="2022">
        <v>361851.33521000005</v>
      </c>
      <c r="E96" s="2022">
        <v>113679.17516000001</v>
      </c>
      <c r="F96" s="2022">
        <v>8138.9606000000003</v>
      </c>
      <c r="G96" s="2022">
        <v>769851.25094000006</v>
      </c>
      <c r="H96" s="2854">
        <f t="shared" si="11"/>
        <v>2373972.4702300001</v>
      </c>
      <c r="J96" s="396"/>
      <c r="K96" s="396"/>
      <c r="L96" s="396"/>
      <c r="M96" s="396"/>
      <c r="N96" s="396"/>
    </row>
    <row r="97" spans="2:14">
      <c r="B97" s="2810" t="s">
        <v>523</v>
      </c>
      <c r="C97" s="2815">
        <f>SUM(C83:C96)</f>
        <v>6103608.9207248548</v>
      </c>
      <c r="D97" s="2815">
        <f t="shared" ref="D97:G97" si="12">SUM(D83:D96)</f>
        <v>1200069.3351586754</v>
      </c>
      <c r="E97" s="2815">
        <f t="shared" si="12"/>
        <v>4296451.076244113</v>
      </c>
      <c r="F97" s="2815">
        <f t="shared" si="12"/>
        <v>1771090.6075475716</v>
      </c>
      <c r="G97" s="2815">
        <f t="shared" si="12"/>
        <v>4462893.5534634925</v>
      </c>
      <c r="H97" s="2815">
        <f>SUM(H83:H96)</f>
        <v>17834113.493138712</v>
      </c>
      <c r="J97" s="396"/>
      <c r="K97" s="396"/>
      <c r="L97" s="396"/>
      <c r="M97" s="396"/>
      <c r="N97" s="396"/>
    </row>
    <row r="98" spans="2:14">
      <c r="B98" s="2810" t="s">
        <v>399</v>
      </c>
      <c r="C98" s="2775"/>
      <c r="D98" s="2775"/>
      <c r="E98" s="2775"/>
      <c r="F98" s="2775"/>
      <c r="G98" s="2775"/>
      <c r="H98" s="2849">
        <v>81656.25</v>
      </c>
      <c r="J98" s="396"/>
      <c r="K98" s="396"/>
      <c r="L98" s="396"/>
      <c r="M98" s="396"/>
      <c r="N98" s="396"/>
    </row>
    <row r="99" spans="2:14">
      <c r="B99" s="2810" t="s">
        <v>118</v>
      </c>
      <c r="C99" s="2815">
        <f>C97+C98</f>
        <v>6103608.9207248548</v>
      </c>
      <c r="D99" s="2815">
        <f t="shared" ref="D99:H99" si="13">D97+D98</f>
        <v>1200069.3351586754</v>
      </c>
      <c r="E99" s="2815">
        <f t="shared" si="13"/>
        <v>4296451.076244113</v>
      </c>
      <c r="F99" s="2815">
        <f t="shared" si="13"/>
        <v>1771090.6075475716</v>
      </c>
      <c r="G99" s="2815">
        <f t="shared" si="13"/>
        <v>4462893.5534634925</v>
      </c>
      <c r="H99" s="2815">
        <f t="shared" si="13"/>
        <v>17915769.743138712</v>
      </c>
      <c r="J99" s="396"/>
      <c r="K99" s="396"/>
      <c r="L99" s="396"/>
      <c r="M99" s="396"/>
      <c r="N99" s="396"/>
    </row>
    <row r="100" spans="2:14">
      <c r="B100" s="295"/>
      <c r="C100" s="295"/>
      <c r="D100" s="295"/>
      <c r="E100" s="295"/>
      <c r="F100" s="295"/>
      <c r="G100" s="295"/>
      <c r="H100" s="295"/>
      <c r="J100" s="396"/>
      <c r="K100" s="396"/>
      <c r="L100" s="396"/>
      <c r="M100" s="396"/>
      <c r="N100" s="396"/>
    </row>
    <row r="101" spans="2:14">
      <c r="B101" s="295"/>
      <c r="C101" s="295"/>
      <c r="D101" s="295"/>
      <c r="E101" s="295"/>
      <c r="F101" s="295"/>
      <c r="G101" s="295"/>
      <c r="H101" s="292">
        <v>168</v>
      </c>
      <c r="J101" s="396"/>
      <c r="K101" s="396"/>
      <c r="L101" s="396"/>
      <c r="M101" s="396"/>
      <c r="N101" s="396"/>
    </row>
    <row r="102" spans="2:14">
      <c r="J102" s="396"/>
      <c r="K102" s="396"/>
      <c r="L102" s="396"/>
      <c r="M102" s="396"/>
      <c r="N102" s="396"/>
    </row>
    <row r="103" spans="2:14">
      <c r="B103" s="3692" t="s">
        <v>563</v>
      </c>
      <c r="C103" s="3692"/>
      <c r="D103" s="3692"/>
      <c r="E103" s="3692"/>
      <c r="F103" s="3692"/>
      <c r="G103" s="3692"/>
      <c r="J103" s="396"/>
      <c r="K103" s="396"/>
      <c r="L103" s="396"/>
      <c r="M103" s="396"/>
      <c r="N103" s="396"/>
    </row>
    <row r="104" spans="2:14">
      <c r="B104" s="218"/>
      <c r="G104" s="549" t="s">
        <v>558</v>
      </c>
      <c r="H104" s="549"/>
      <c r="J104" s="396"/>
      <c r="K104" s="396"/>
      <c r="L104" s="396"/>
      <c r="M104" s="396"/>
      <c r="N104" s="396"/>
    </row>
    <row r="105" spans="2:14">
      <c r="B105" s="3745" t="s">
        <v>83</v>
      </c>
      <c r="C105" s="3747" t="s">
        <v>496</v>
      </c>
      <c r="D105" s="3741" t="s">
        <v>502</v>
      </c>
      <c r="E105" s="3741" t="s">
        <v>498</v>
      </c>
      <c r="F105" s="3741" t="s">
        <v>415</v>
      </c>
      <c r="G105" s="3747" t="s">
        <v>559</v>
      </c>
      <c r="H105" s="3747" t="s">
        <v>522</v>
      </c>
      <c r="J105" s="396"/>
      <c r="K105" s="396"/>
      <c r="L105" s="396"/>
      <c r="M105" s="396"/>
      <c r="N105" s="396"/>
    </row>
    <row r="106" spans="2:14">
      <c r="B106" s="3716"/>
      <c r="C106" s="3710"/>
      <c r="D106" s="3742"/>
      <c r="E106" s="3742"/>
      <c r="F106" s="3742"/>
      <c r="G106" s="3710"/>
      <c r="H106" s="3710"/>
      <c r="J106" s="396"/>
      <c r="K106" s="396"/>
      <c r="L106" s="396"/>
      <c r="M106" s="396"/>
      <c r="N106" s="396"/>
    </row>
    <row r="107" spans="2:14">
      <c r="B107" s="3746"/>
      <c r="C107" s="3700"/>
      <c r="D107" s="3743"/>
      <c r="E107" s="3743"/>
      <c r="F107" s="3743"/>
      <c r="G107" s="3700"/>
      <c r="H107" s="3700"/>
      <c r="J107" s="396"/>
      <c r="K107" s="396"/>
      <c r="L107" s="396"/>
      <c r="M107" s="396"/>
      <c r="N107" s="396"/>
    </row>
    <row r="108" spans="2:14">
      <c r="B108" s="2061" t="s">
        <v>92</v>
      </c>
      <c r="C108" s="2022">
        <v>1460768.4561251099</v>
      </c>
      <c r="D108" s="2022">
        <v>13146.2759303518</v>
      </c>
      <c r="E108" s="2022">
        <v>21771.507239999999</v>
      </c>
      <c r="F108" s="2022">
        <v>123027.94171</v>
      </c>
      <c r="G108" s="2022">
        <v>40305.955184535298</v>
      </c>
      <c r="H108" s="2854">
        <v>1659020.136189997</v>
      </c>
      <c r="J108" s="396"/>
      <c r="K108" s="396"/>
      <c r="L108" s="396"/>
      <c r="M108" s="396"/>
      <c r="N108" s="396"/>
    </row>
    <row r="109" spans="2:14">
      <c r="B109" s="2061" t="s">
        <v>95</v>
      </c>
      <c r="C109" s="2022">
        <v>73513.454884000006</v>
      </c>
      <c r="D109" s="2022">
        <v>69688.041798000006</v>
      </c>
      <c r="E109" s="2022">
        <v>18243.570304000001</v>
      </c>
      <c r="F109" s="2047">
        <v>30721.789766999998</v>
      </c>
      <c r="G109" s="385">
        <v>80327.237889999989</v>
      </c>
      <c r="H109" s="2854">
        <v>272494.09464299999</v>
      </c>
      <c r="J109" s="396"/>
      <c r="K109" s="396"/>
      <c r="L109" s="396"/>
      <c r="M109" s="396"/>
      <c r="N109" s="396"/>
    </row>
    <row r="110" spans="2:14">
      <c r="B110" s="2061" t="s">
        <v>98</v>
      </c>
      <c r="C110" s="2022">
        <v>1430220</v>
      </c>
      <c r="D110" s="2022">
        <v>268930</v>
      </c>
      <c r="E110" s="2022">
        <v>707294</v>
      </c>
      <c r="F110" s="2022">
        <v>71728</v>
      </c>
      <c r="G110" s="2022">
        <v>823186</v>
      </c>
      <c r="H110" s="2854">
        <v>3301358</v>
      </c>
      <c r="J110" s="396"/>
      <c r="K110" s="396"/>
      <c r="L110" s="396"/>
      <c r="M110" s="396"/>
      <c r="N110" s="396"/>
    </row>
    <row r="111" spans="2:14">
      <c r="B111" s="2061" t="s">
        <v>99</v>
      </c>
      <c r="C111" s="2022">
        <v>425594.24217999994</v>
      </c>
      <c r="D111" s="2022">
        <v>64304.115380000003</v>
      </c>
      <c r="E111" s="2022">
        <v>35432.840889999999</v>
      </c>
      <c r="F111" s="2022">
        <v>272627.27354000002</v>
      </c>
      <c r="G111" s="2022">
        <v>109021.64425000001</v>
      </c>
      <c r="H111" s="2854">
        <v>906980.11624</v>
      </c>
      <c r="J111" s="396"/>
      <c r="K111" s="396"/>
      <c r="L111" s="396"/>
      <c r="M111" s="396"/>
      <c r="N111" s="396"/>
    </row>
    <row r="112" spans="2:14">
      <c r="B112" s="2061" t="s">
        <v>101</v>
      </c>
      <c r="C112" s="2022">
        <v>62021.158649999998</v>
      </c>
      <c r="D112" s="2022">
        <v>3192.7324800000006</v>
      </c>
      <c r="E112" s="2022">
        <v>277158</v>
      </c>
      <c r="F112" s="2104">
        <v>3739</v>
      </c>
      <c r="G112" s="2022">
        <v>109087.82999999999</v>
      </c>
      <c r="H112" s="2854">
        <v>455198.72112999996</v>
      </c>
      <c r="J112" s="396"/>
      <c r="K112" s="396"/>
      <c r="L112" s="396"/>
      <c r="M112" s="396"/>
      <c r="N112" s="396"/>
    </row>
    <row r="113" spans="2:14">
      <c r="B113" s="2061" t="s">
        <v>102</v>
      </c>
      <c r="C113" s="2022">
        <v>622596.53320469894</v>
      </c>
      <c r="D113" s="2022">
        <v>203397.89355217727</v>
      </c>
      <c r="E113" s="2022">
        <v>335038.48970355961</v>
      </c>
      <c r="F113" s="2022">
        <v>120168.87030303555</v>
      </c>
      <c r="G113" s="2022">
        <v>498309.154600429</v>
      </c>
      <c r="H113" s="2854">
        <v>1779510.9413639004</v>
      </c>
      <c r="J113" s="396"/>
      <c r="K113" s="396"/>
      <c r="L113" s="396"/>
      <c r="M113" s="396"/>
      <c r="N113" s="396"/>
    </row>
    <row r="114" spans="2:14">
      <c r="B114" s="2061" t="s">
        <v>104</v>
      </c>
      <c r="C114" s="2022">
        <v>364095.39698999998</v>
      </c>
      <c r="D114" s="2022">
        <v>39825.412230000002</v>
      </c>
      <c r="E114" s="2022">
        <v>51897.058691495993</v>
      </c>
      <c r="F114" s="2770"/>
      <c r="G114" s="2022">
        <v>211166.19951999999</v>
      </c>
      <c r="H114" s="2854">
        <v>666984.06743149599</v>
      </c>
      <c r="J114" s="396"/>
      <c r="K114" s="396"/>
      <c r="L114" s="396"/>
      <c r="M114" s="396"/>
      <c r="N114" s="396"/>
    </row>
    <row r="115" spans="2:14">
      <c r="B115" s="2061" t="s">
        <v>145</v>
      </c>
      <c r="C115" s="2022">
        <v>1017578.3604500002</v>
      </c>
      <c r="D115" s="2022">
        <v>199546.12878</v>
      </c>
      <c r="E115" s="2022">
        <v>173353.24323000002</v>
      </c>
      <c r="F115" s="2044"/>
      <c r="G115" s="2022">
        <v>520805.86057999998</v>
      </c>
      <c r="H115" s="2854">
        <v>1911283.5930400002</v>
      </c>
      <c r="J115" s="396"/>
      <c r="K115" s="396"/>
      <c r="L115" s="396"/>
      <c r="M115" s="396"/>
      <c r="N115" s="396"/>
    </row>
    <row r="116" spans="2:14">
      <c r="B116" s="2061" t="s">
        <v>108</v>
      </c>
      <c r="C116" s="2022">
        <v>298013.33046999993</v>
      </c>
      <c r="D116" s="2022">
        <v>5319.0031900000004</v>
      </c>
      <c r="E116" s="2022">
        <v>274290.93718000001</v>
      </c>
      <c r="F116" s="2770"/>
      <c r="G116" s="2022">
        <v>33373.276176261206</v>
      </c>
      <c r="H116" s="2854">
        <v>610996.54701626115</v>
      </c>
      <c r="J116" s="396"/>
      <c r="K116" s="396"/>
      <c r="L116" s="396"/>
      <c r="M116" s="396"/>
      <c r="N116" s="396"/>
    </row>
    <row r="117" spans="2:14">
      <c r="B117" s="2061" t="s">
        <v>109</v>
      </c>
      <c r="C117" s="2022">
        <v>15150.6224430605</v>
      </c>
      <c r="D117" s="2022">
        <v>1936.4449352709485</v>
      </c>
      <c r="E117" s="2022">
        <v>35888.953064999201</v>
      </c>
      <c r="F117" s="2022">
        <v>17463.455191804926</v>
      </c>
      <c r="G117" s="2022">
        <v>11067.54752041171</v>
      </c>
      <c r="H117" s="2854">
        <v>81507.023155547286</v>
      </c>
      <c r="J117" s="396"/>
      <c r="K117" s="396"/>
      <c r="L117" s="396"/>
      <c r="M117" s="396"/>
      <c r="N117" s="396"/>
    </row>
    <row r="118" spans="2:14">
      <c r="B118" s="2061" t="s">
        <v>110</v>
      </c>
      <c r="C118" s="2770"/>
      <c r="D118" s="2770"/>
      <c r="E118" s="2104">
        <v>7853.26638</v>
      </c>
      <c r="F118" s="2770"/>
      <c r="G118" s="2022">
        <v>688397.72884</v>
      </c>
      <c r="H118" s="2854">
        <v>805000.99522000004</v>
      </c>
      <c r="J118" s="396"/>
      <c r="K118" s="396"/>
      <c r="L118" s="396"/>
      <c r="M118" s="396"/>
      <c r="N118" s="396"/>
    </row>
    <row r="119" spans="2:14">
      <c r="B119" s="2061" t="s">
        <v>111</v>
      </c>
      <c r="C119" s="2022">
        <v>66575.384933995301</v>
      </c>
      <c r="D119" s="2022">
        <v>16963.229633704439</v>
      </c>
      <c r="E119" s="2022">
        <v>24311.576587799987</v>
      </c>
      <c r="F119" s="2770"/>
      <c r="G119" s="2022">
        <v>22183.833084599999</v>
      </c>
      <c r="H119" s="2854">
        <v>130034.02424009972</v>
      </c>
      <c r="J119" s="396"/>
      <c r="K119" s="396"/>
      <c r="L119" s="396"/>
      <c r="M119" s="396"/>
      <c r="N119" s="396"/>
    </row>
    <row r="120" spans="2:14">
      <c r="B120" s="2061" t="s">
        <v>112</v>
      </c>
      <c r="C120" s="2022">
        <v>115026.66034999999</v>
      </c>
      <c r="D120" s="2022">
        <v>13718.82746</v>
      </c>
      <c r="E120" s="2022">
        <v>58065.683991117126</v>
      </c>
      <c r="F120" s="2770"/>
      <c r="G120" s="2022">
        <v>46447.151780000007</v>
      </c>
      <c r="H120" s="2854">
        <v>233258.32358111715</v>
      </c>
      <c r="J120" s="396"/>
      <c r="K120" s="396"/>
      <c r="L120" s="396"/>
      <c r="M120" s="396"/>
      <c r="N120" s="396"/>
    </row>
    <row r="121" spans="2:14">
      <c r="B121" s="2061" t="s">
        <v>134</v>
      </c>
      <c r="C121" s="2022">
        <v>9055.69859</v>
      </c>
      <c r="D121" s="2770"/>
      <c r="E121" s="2022">
        <v>19722.856019999999</v>
      </c>
      <c r="F121" s="2770"/>
      <c r="G121" s="2022">
        <v>90176.984389999998</v>
      </c>
      <c r="H121" s="2854">
        <v>118955.53899999999</v>
      </c>
      <c r="J121" s="396"/>
      <c r="K121" s="396"/>
      <c r="L121" s="396"/>
      <c r="M121" s="396"/>
      <c r="N121" s="396"/>
    </row>
    <row r="122" spans="2:14">
      <c r="B122" s="2061" t="s">
        <v>115</v>
      </c>
      <c r="C122" s="2022">
        <v>987466</v>
      </c>
      <c r="D122" s="2022">
        <v>277432</v>
      </c>
      <c r="E122" s="2022">
        <v>112186</v>
      </c>
      <c r="F122" s="2022">
        <v>2043141</v>
      </c>
      <c r="G122" s="2022">
        <v>556603</v>
      </c>
      <c r="H122" s="2854">
        <v>3976828</v>
      </c>
      <c r="J122" s="396"/>
      <c r="K122" s="396"/>
      <c r="L122" s="396"/>
      <c r="M122" s="396"/>
      <c r="N122" s="396"/>
    </row>
    <row r="123" spans="2:14">
      <c r="B123" s="2810" t="s">
        <v>523</v>
      </c>
      <c r="C123" s="2815">
        <v>6947675.2992708655</v>
      </c>
      <c r="D123" s="2815">
        <v>1177400.1053695043</v>
      </c>
      <c r="E123" s="2815">
        <v>2152507.9832829721</v>
      </c>
      <c r="F123" s="2815">
        <v>2682617.3305118405</v>
      </c>
      <c r="G123" s="2815">
        <v>3840459.4038162371</v>
      </c>
      <c r="H123" s="2815">
        <v>16800660.122251417</v>
      </c>
      <c r="J123" s="396"/>
      <c r="K123" s="396"/>
      <c r="L123" s="396"/>
      <c r="M123" s="396"/>
      <c r="N123" s="396"/>
    </row>
    <row r="124" spans="2:14">
      <c r="B124" s="2810" t="s">
        <v>399</v>
      </c>
      <c r="C124" s="2775"/>
      <c r="D124" s="2775"/>
      <c r="E124" s="2775"/>
      <c r="F124" s="2775"/>
      <c r="G124" s="2775"/>
      <c r="H124" s="2815">
        <v>108750</v>
      </c>
      <c r="J124" s="396"/>
      <c r="K124" s="396"/>
      <c r="L124" s="396"/>
      <c r="M124" s="396"/>
      <c r="N124" s="396"/>
    </row>
    <row r="125" spans="2:14">
      <c r="B125" s="2810" t="s">
        <v>118</v>
      </c>
      <c r="C125" s="2815">
        <v>6947675.2992708655</v>
      </c>
      <c r="D125" s="2815">
        <v>1177400.1053695043</v>
      </c>
      <c r="E125" s="2815">
        <v>2152507.9832829721</v>
      </c>
      <c r="F125" s="2815">
        <v>2682617.3305118405</v>
      </c>
      <c r="G125" s="2815">
        <v>3840459.4038162371</v>
      </c>
      <c r="H125" s="2815">
        <v>16909410.122251417</v>
      </c>
      <c r="J125" s="396"/>
      <c r="K125" s="396"/>
      <c r="L125" s="396"/>
      <c r="M125" s="396"/>
      <c r="N125" s="396"/>
    </row>
    <row r="126" spans="2:14">
      <c r="B126" s="295"/>
      <c r="C126" s="295"/>
      <c r="D126" s="295"/>
      <c r="E126" s="295"/>
      <c r="F126" s="295"/>
      <c r="G126" s="295"/>
      <c r="H126" s="295"/>
      <c r="J126" s="396"/>
      <c r="K126" s="396"/>
      <c r="L126" s="396"/>
      <c r="M126" s="396"/>
      <c r="N126" s="396"/>
    </row>
    <row r="127" spans="2:14">
      <c r="B127" s="395"/>
      <c r="C127" s="395"/>
      <c r="D127" s="395"/>
      <c r="E127" s="395"/>
      <c r="F127" s="395"/>
      <c r="G127" s="395"/>
      <c r="H127" s="591">
        <v>169</v>
      </c>
      <c r="J127" s="396"/>
      <c r="K127" s="396"/>
      <c r="L127" s="396"/>
      <c r="M127" s="396"/>
      <c r="N127" s="396"/>
    </row>
    <row r="128" spans="2:14" ht="15">
      <c r="B128" s="39"/>
      <c r="J128" s="396"/>
      <c r="K128" s="396"/>
      <c r="L128" s="396"/>
      <c r="M128" s="396"/>
      <c r="N128" s="396"/>
    </row>
    <row r="129" spans="1:24" ht="15">
      <c r="A129" s="39"/>
      <c r="C129" s="39"/>
      <c r="D129" s="39"/>
      <c r="E129" s="39"/>
      <c r="F129" s="39"/>
      <c r="G129" s="39"/>
      <c r="H129" s="39"/>
      <c r="J129" s="396"/>
      <c r="K129" s="396"/>
      <c r="L129" s="396"/>
      <c r="M129" s="396"/>
      <c r="N129" s="396"/>
    </row>
    <row r="130" spans="1:24" ht="15">
      <c r="A130" s="39"/>
      <c r="B130" s="39"/>
      <c r="C130" s="39"/>
      <c r="D130" s="39"/>
      <c r="E130" s="39"/>
      <c r="F130" s="39"/>
      <c r="G130" s="39"/>
      <c r="H130" s="39"/>
      <c r="J130" s="396"/>
      <c r="K130" s="396"/>
      <c r="L130" s="396"/>
      <c r="M130" s="396"/>
      <c r="N130" s="396"/>
    </row>
    <row r="131" spans="1:24" ht="15">
      <c r="A131" s="39"/>
      <c r="B131" s="39"/>
      <c r="C131" s="39"/>
      <c r="D131" s="39"/>
      <c r="E131" s="39"/>
      <c r="F131" s="39"/>
      <c r="G131" s="39"/>
      <c r="H131" s="39"/>
      <c r="J131" s="396"/>
      <c r="K131" s="396"/>
      <c r="L131" s="396"/>
      <c r="M131" s="396"/>
      <c r="W131" s="385"/>
      <c r="X131" s="292"/>
    </row>
    <row r="132" spans="1:24" ht="15">
      <c r="A132" s="39"/>
      <c r="B132" s="39"/>
      <c r="C132" s="39"/>
      <c r="D132" s="39"/>
      <c r="E132" s="39"/>
      <c r="F132" s="39"/>
      <c r="G132" s="39"/>
      <c r="H132" s="39"/>
      <c r="J132" s="396"/>
      <c r="K132" s="396"/>
      <c r="L132" s="396"/>
      <c r="M132" s="396"/>
      <c r="W132" s="385"/>
      <c r="X132" s="292"/>
    </row>
    <row r="133" spans="1:24" ht="15">
      <c r="A133" s="39"/>
      <c r="B133" s="39"/>
      <c r="C133" s="39"/>
      <c r="D133" s="39"/>
      <c r="E133" s="39"/>
      <c r="F133" s="39"/>
      <c r="G133" s="39"/>
      <c r="H133" s="39"/>
      <c r="J133" s="396"/>
      <c r="K133" s="396"/>
      <c r="L133" s="396"/>
      <c r="M133" s="396"/>
      <c r="W133" s="385"/>
      <c r="X133" s="292"/>
    </row>
    <row r="134" spans="1:24" ht="15">
      <c r="A134" s="39"/>
      <c r="B134" s="39"/>
      <c r="C134" s="39"/>
      <c r="D134" s="39"/>
      <c r="E134" s="39"/>
      <c r="F134" s="39"/>
      <c r="G134" s="39"/>
      <c r="H134" s="39"/>
      <c r="J134" s="396"/>
      <c r="K134" s="396"/>
      <c r="L134" s="396"/>
      <c r="M134" s="396"/>
      <c r="W134" s="385"/>
      <c r="X134" s="292"/>
    </row>
    <row r="135" spans="1:24" ht="15">
      <c r="A135" s="39"/>
      <c r="B135" s="39"/>
      <c r="C135" s="39"/>
      <c r="D135" s="39"/>
      <c r="E135" s="39"/>
      <c r="F135" s="39"/>
      <c r="G135" s="39"/>
      <c r="H135" s="39"/>
      <c r="J135" s="396"/>
      <c r="K135" s="396"/>
      <c r="L135" s="396"/>
      <c r="M135" s="396"/>
      <c r="W135" s="385"/>
      <c r="X135" s="292"/>
    </row>
    <row r="136" spans="1:24" ht="15">
      <c r="A136" s="39"/>
      <c r="B136" s="39"/>
      <c r="C136" s="39"/>
      <c r="D136" s="39"/>
      <c r="E136" s="39"/>
      <c r="F136" s="39"/>
      <c r="G136" s="39"/>
      <c r="H136" s="39"/>
      <c r="J136" s="396"/>
      <c r="K136" s="396"/>
      <c r="L136" s="396"/>
      <c r="M136" s="396"/>
      <c r="W136" s="385"/>
      <c r="X136" s="292"/>
    </row>
    <row r="137" spans="1:24" ht="15">
      <c r="A137" s="39"/>
      <c r="B137" s="39"/>
      <c r="C137" s="39"/>
      <c r="D137" s="39"/>
      <c r="E137" s="39"/>
      <c r="F137" s="39"/>
      <c r="G137" s="39"/>
      <c r="H137" s="39"/>
      <c r="J137" s="396"/>
      <c r="K137" s="396"/>
      <c r="L137" s="396"/>
      <c r="M137" s="396"/>
      <c r="W137" s="385"/>
      <c r="X137" s="292"/>
    </row>
    <row r="138" spans="1:24" ht="15">
      <c r="A138" s="39"/>
      <c r="B138" s="39"/>
      <c r="C138" s="39"/>
      <c r="D138" s="39"/>
      <c r="E138" s="39"/>
      <c r="F138" s="39"/>
      <c r="G138" s="39"/>
      <c r="H138" s="39"/>
      <c r="J138" s="396"/>
      <c r="K138" s="396"/>
      <c r="L138" s="396"/>
      <c r="M138" s="396"/>
      <c r="W138" s="385"/>
      <c r="X138" s="292"/>
    </row>
    <row r="139" spans="1:24" ht="15">
      <c r="A139" s="39"/>
      <c r="B139" s="39"/>
      <c r="C139" s="39"/>
      <c r="D139" s="39"/>
      <c r="E139" s="39"/>
      <c r="F139" s="39"/>
      <c r="G139" s="39"/>
      <c r="H139" s="39"/>
      <c r="J139" s="396"/>
      <c r="K139" s="396"/>
      <c r="L139" s="396"/>
      <c r="M139" s="396"/>
      <c r="W139" s="385"/>
      <c r="X139" s="292"/>
    </row>
    <row r="140" spans="1:24" ht="15">
      <c r="A140" s="39"/>
      <c r="B140" s="39"/>
      <c r="C140" s="39"/>
      <c r="D140" s="39"/>
      <c r="E140" s="39"/>
      <c r="F140" s="39"/>
      <c r="G140" s="39"/>
      <c r="H140" s="39"/>
      <c r="J140" s="396"/>
      <c r="K140" s="396"/>
      <c r="L140" s="396"/>
      <c r="M140" s="396"/>
      <c r="W140" s="385"/>
      <c r="X140" s="292"/>
    </row>
    <row r="141" spans="1:24" ht="15">
      <c r="A141" s="39"/>
      <c r="B141" s="39"/>
      <c r="C141" s="39"/>
      <c r="D141" s="39"/>
      <c r="E141" s="39"/>
      <c r="F141" s="39"/>
      <c r="G141" s="39"/>
      <c r="H141" s="39"/>
      <c r="J141" s="396"/>
      <c r="K141" s="396"/>
      <c r="L141" s="396"/>
      <c r="M141" s="396"/>
      <c r="W141" s="385"/>
      <c r="X141" s="292"/>
    </row>
    <row r="142" spans="1:24" ht="15">
      <c r="A142" s="39"/>
      <c r="B142" s="39"/>
      <c r="C142" s="39"/>
      <c r="D142" s="39"/>
      <c r="E142" s="39"/>
      <c r="F142" s="39"/>
      <c r="G142" s="39"/>
      <c r="H142" s="39"/>
      <c r="J142" s="396"/>
      <c r="K142" s="396"/>
      <c r="L142" s="396"/>
      <c r="M142" s="396"/>
      <c r="W142" s="385"/>
      <c r="X142" s="292"/>
    </row>
    <row r="143" spans="1:24" ht="15">
      <c r="A143" s="39"/>
      <c r="B143" s="39"/>
      <c r="C143" s="39"/>
      <c r="D143" s="39"/>
      <c r="E143" s="39"/>
      <c r="F143" s="39"/>
      <c r="G143" s="39"/>
      <c r="H143" s="39"/>
      <c r="J143" s="396"/>
      <c r="K143" s="396"/>
      <c r="L143" s="396"/>
      <c r="M143" s="396"/>
      <c r="W143" s="385"/>
      <c r="X143" s="292"/>
    </row>
    <row r="144" spans="1:24" ht="15">
      <c r="A144" s="39"/>
      <c r="B144" s="39"/>
      <c r="C144" s="39"/>
      <c r="D144" s="39"/>
      <c r="E144" s="39"/>
      <c r="F144" s="39"/>
      <c r="G144" s="39"/>
      <c r="H144" s="39"/>
      <c r="J144" s="396"/>
      <c r="K144" s="396"/>
      <c r="L144" s="396"/>
      <c r="M144" s="396"/>
      <c r="W144" s="385"/>
      <c r="X144" s="292"/>
    </row>
    <row r="145" spans="1:24" ht="15">
      <c r="A145" s="39"/>
      <c r="B145" s="39"/>
      <c r="C145" s="39"/>
      <c r="D145" s="39"/>
      <c r="E145" s="39"/>
      <c r="F145" s="39"/>
      <c r="G145" s="39"/>
      <c r="H145" s="39"/>
      <c r="J145" s="396"/>
      <c r="K145" s="396"/>
      <c r="L145" s="396"/>
      <c r="M145" s="396"/>
      <c r="W145" s="385"/>
      <c r="X145" s="292"/>
    </row>
    <row r="146" spans="1:24" ht="15">
      <c r="A146" s="39"/>
      <c r="B146" s="39"/>
      <c r="C146" s="39"/>
      <c r="D146" s="39"/>
      <c r="E146" s="39"/>
      <c r="F146" s="39"/>
      <c r="G146" s="39"/>
      <c r="H146" s="39"/>
      <c r="J146" s="396"/>
      <c r="K146" s="396"/>
      <c r="L146" s="396"/>
      <c r="M146" s="396"/>
      <c r="W146" s="385"/>
      <c r="X146" s="292"/>
    </row>
    <row r="147" spans="1:24" ht="15">
      <c r="A147" s="39"/>
      <c r="B147" s="39"/>
      <c r="C147" s="39"/>
      <c r="D147" s="39"/>
      <c r="E147" s="39"/>
      <c r="F147" s="39"/>
      <c r="G147" s="39"/>
      <c r="H147" s="39"/>
      <c r="J147" s="396"/>
      <c r="K147" s="396"/>
      <c r="L147" s="396"/>
      <c r="M147" s="396"/>
      <c r="W147" s="385"/>
      <c r="X147" s="292"/>
    </row>
    <row r="148" spans="1:24" ht="15">
      <c r="A148" s="39"/>
      <c r="B148" s="39"/>
      <c r="C148" s="39"/>
      <c r="D148" s="39"/>
      <c r="E148" s="39"/>
      <c r="F148" s="39"/>
      <c r="G148" s="39"/>
      <c r="H148" s="39"/>
      <c r="J148" s="396"/>
      <c r="K148" s="396"/>
      <c r="L148" s="396"/>
      <c r="M148" s="396"/>
      <c r="W148" s="385"/>
      <c r="X148" s="292"/>
    </row>
    <row r="149" spans="1:24" ht="15">
      <c r="A149" s="39"/>
      <c r="B149" s="39"/>
      <c r="C149" s="39"/>
      <c r="D149" s="39"/>
      <c r="E149" s="39"/>
      <c r="F149" s="39"/>
      <c r="G149" s="39"/>
      <c r="H149" s="39"/>
      <c r="J149" s="396"/>
      <c r="K149" s="396"/>
      <c r="L149" s="396"/>
      <c r="M149" s="396"/>
      <c r="W149" s="385"/>
      <c r="X149" s="292"/>
    </row>
    <row r="150" spans="1:24" ht="15">
      <c r="A150" s="39"/>
      <c r="B150" s="39"/>
      <c r="C150" s="39"/>
      <c r="D150" s="39"/>
      <c r="E150" s="39"/>
      <c r="F150" s="39"/>
      <c r="G150" s="39"/>
      <c r="H150" s="39"/>
      <c r="J150" s="396"/>
      <c r="K150" s="396"/>
      <c r="L150" s="396"/>
      <c r="M150" s="396"/>
      <c r="W150" s="385"/>
      <c r="X150" s="292"/>
    </row>
    <row r="151" spans="1:24" ht="15">
      <c r="A151" s="39"/>
      <c r="B151" s="39"/>
      <c r="C151" s="39"/>
      <c r="D151" s="39"/>
      <c r="E151" s="39"/>
      <c r="F151" s="39"/>
      <c r="G151" s="39"/>
      <c r="H151" s="39"/>
      <c r="J151" s="396"/>
      <c r="K151" s="396"/>
      <c r="L151" s="396"/>
      <c r="M151" s="396"/>
      <c r="W151" s="385"/>
      <c r="X151" s="292"/>
    </row>
    <row r="152" spans="1:24">
      <c r="J152" s="396"/>
      <c r="K152" s="396"/>
      <c r="L152" s="396"/>
      <c r="M152" s="396"/>
      <c r="N152" s="396"/>
    </row>
    <row r="153" spans="1:24">
      <c r="J153" s="396"/>
      <c r="K153" s="396"/>
      <c r="L153" s="396"/>
      <c r="M153" s="396"/>
      <c r="N153" s="396"/>
    </row>
    <row r="154" spans="1:24">
      <c r="B154" s="218"/>
      <c r="C154" s="383"/>
      <c r="D154" s="383"/>
      <c r="E154" s="383"/>
      <c r="F154" s="383"/>
      <c r="G154" s="383"/>
      <c r="H154" s="383"/>
    </row>
    <row r="155" spans="1:24">
      <c r="B155" s="471"/>
      <c r="C155" s="383"/>
      <c r="D155" s="383"/>
      <c r="E155" s="383"/>
      <c r="F155" s="383"/>
      <c r="G155" s="383"/>
      <c r="H155" s="383"/>
    </row>
    <row r="156" spans="1:24">
      <c r="B156" s="218"/>
      <c r="C156" s="383"/>
      <c r="D156" s="383"/>
      <c r="E156" s="383"/>
      <c r="F156" s="383"/>
      <c r="G156" s="383"/>
      <c r="H156" s="383"/>
    </row>
    <row r="157" spans="1:24">
      <c r="B157" s="218"/>
      <c r="C157" s="383"/>
      <c r="D157" s="383"/>
      <c r="E157" s="383"/>
      <c r="F157" s="383"/>
      <c r="G157" s="383"/>
      <c r="H157" s="383"/>
    </row>
    <row r="158" spans="1:24">
      <c r="B158" s="218"/>
      <c r="C158" s="383"/>
      <c r="D158" s="383"/>
      <c r="E158" s="383"/>
      <c r="F158" s="383"/>
      <c r="G158" s="383"/>
      <c r="H158" s="383"/>
    </row>
    <row r="159" spans="1:24">
      <c r="B159" s="218"/>
      <c r="C159" s="383"/>
      <c r="D159" s="383"/>
      <c r="E159" s="383"/>
      <c r="F159" s="383"/>
      <c r="G159" s="383"/>
      <c r="H159" s="383"/>
    </row>
    <row r="160" spans="1:24">
      <c r="B160" s="218"/>
      <c r="C160" s="383"/>
      <c r="D160" s="383"/>
      <c r="E160" s="383"/>
      <c r="F160" s="383"/>
      <c r="G160" s="383"/>
      <c r="H160" s="383"/>
    </row>
    <row r="161" spans="2:8">
      <c r="B161" s="218"/>
      <c r="C161" s="383"/>
      <c r="D161" s="383"/>
      <c r="E161" s="383"/>
      <c r="F161" s="383"/>
      <c r="G161" s="383"/>
      <c r="H161" s="383"/>
    </row>
    <row r="162" spans="2:8">
      <c r="B162" s="218"/>
      <c r="C162" s="383"/>
      <c r="D162" s="383"/>
      <c r="E162" s="383"/>
      <c r="F162" s="383"/>
      <c r="G162" s="383"/>
      <c r="H162" s="383"/>
    </row>
    <row r="163" spans="2:8">
      <c r="B163" s="218"/>
      <c r="C163" s="383"/>
      <c r="D163" s="383"/>
      <c r="E163" s="383"/>
      <c r="F163" s="383"/>
      <c r="G163" s="383"/>
      <c r="H163" s="383"/>
    </row>
    <row r="164" spans="2:8">
      <c r="B164" s="218"/>
      <c r="C164" s="383"/>
      <c r="D164" s="383"/>
      <c r="E164" s="383"/>
      <c r="F164" s="383"/>
      <c r="G164" s="383"/>
      <c r="H164" s="383"/>
    </row>
    <row r="165" spans="2:8">
      <c r="B165" s="218"/>
      <c r="C165" s="383"/>
      <c r="D165" s="383"/>
      <c r="E165" s="383"/>
      <c r="F165" s="383"/>
      <c r="G165" s="383"/>
      <c r="H165" s="383"/>
    </row>
    <row r="166" spans="2:8">
      <c r="B166" s="218"/>
      <c r="C166" s="383"/>
      <c r="D166" s="383"/>
      <c r="E166" s="383"/>
      <c r="F166" s="383"/>
      <c r="G166" s="383"/>
      <c r="H166" s="383"/>
    </row>
    <row r="167" spans="2:8">
      <c r="B167" s="218"/>
      <c r="C167" s="383"/>
      <c r="D167" s="383"/>
      <c r="E167" s="383"/>
      <c r="F167" s="383"/>
      <c r="G167" s="383"/>
      <c r="H167" s="383"/>
    </row>
    <row r="168" spans="2:8">
      <c r="B168" s="218"/>
      <c r="C168" s="383"/>
      <c r="D168" s="383"/>
      <c r="E168" s="383"/>
      <c r="F168" s="383"/>
      <c r="G168" s="383"/>
      <c r="H168" s="383"/>
    </row>
    <row r="169" spans="2:8">
      <c r="B169" s="218"/>
      <c r="C169" s="383"/>
      <c r="D169" s="383"/>
      <c r="E169" s="383"/>
      <c r="F169" s="383"/>
      <c r="G169" s="383"/>
      <c r="H169" s="383"/>
    </row>
    <row r="170" spans="2:8">
      <c r="B170" s="218"/>
      <c r="C170" s="383"/>
      <c r="D170" s="383"/>
      <c r="E170" s="383"/>
      <c r="F170" s="383"/>
      <c r="G170" s="383"/>
      <c r="H170" s="383"/>
    </row>
  </sheetData>
  <mergeCells count="40">
    <mergeCell ref="H6:H8"/>
    <mergeCell ref="B2:H2"/>
    <mergeCell ref="B29:G29"/>
    <mergeCell ref="B31:B33"/>
    <mergeCell ref="C31:C33"/>
    <mergeCell ref="D31:D33"/>
    <mergeCell ref="E31:E33"/>
    <mergeCell ref="F31:F33"/>
    <mergeCell ref="G31:G33"/>
    <mergeCell ref="H31:H33"/>
    <mergeCell ref="B4:G4"/>
    <mergeCell ref="B6:B8"/>
    <mergeCell ref="C6:C8"/>
    <mergeCell ref="D6:D8"/>
    <mergeCell ref="E6:E8"/>
    <mergeCell ref="F6:F8"/>
    <mergeCell ref="G6:G8"/>
    <mergeCell ref="B78:G78"/>
    <mergeCell ref="B80:B82"/>
    <mergeCell ref="C80:C82"/>
    <mergeCell ref="D80:D82"/>
    <mergeCell ref="E80:E82"/>
    <mergeCell ref="F80:F82"/>
    <mergeCell ref="G80:G82"/>
    <mergeCell ref="G55:G57"/>
    <mergeCell ref="H80:H82"/>
    <mergeCell ref="B103:G103"/>
    <mergeCell ref="B105:B107"/>
    <mergeCell ref="C105:C107"/>
    <mergeCell ref="D105:D107"/>
    <mergeCell ref="E105:E107"/>
    <mergeCell ref="F105:F107"/>
    <mergeCell ref="G105:G107"/>
    <mergeCell ref="H105:H107"/>
    <mergeCell ref="H55:H57"/>
    <mergeCell ref="B55:B57"/>
    <mergeCell ref="C55:C57"/>
    <mergeCell ref="D55:D57"/>
    <mergeCell ref="E55:E57"/>
    <mergeCell ref="F55:F57"/>
  </mergeCells>
  <pageMargins left="0.7" right="0.7" top="0.75" bottom="0.75" header="0.3" footer="0.3"/>
  <pageSetup paperSize="9" scale="72" orientation="landscape" r:id="rId1"/>
  <rowBreaks count="5" manualBreakCount="5">
    <brk id="27" max="7" man="1"/>
    <brk id="52" max="7" man="1"/>
    <brk id="76" max="7" man="1"/>
    <brk id="101" max="16383" man="1"/>
    <brk id="127" max="9"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Z460"/>
  <sheetViews>
    <sheetView showGridLines="0" view="pageBreakPreview" zoomScale="85" zoomScaleNormal="100" zoomScaleSheetLayoutView="85" workbookViewId="0">
      <selection activeCell="R265" sqref="R265"/>
    </sheetView>
  </sheetViews>
  <sheetFormatPr defaultColWidth="9.140625" defaultRowHeight="13.5" customHeight="1"/>
  <cols>
    <col min="1" max="1" width="4" style="292" customWidth="1"/>
    <col min="2" max="2" width="30.140625" style="471" customWidth="1"/>
    <col min="3" max="14" width="11.7109375" style="292" customWidth="1"/>
    <col min="15" max="26" width="5.42578125" style="292" customWidth="1"/>
    <col min="27" max="16384" width="9.140625" style="292"/>
  </cols>
  <sheetData>
    <row r="1" spans="1:26" ht="13.5" customHeight="1">
      <c r="B1" s="292"/>
    </row>
    <row r="2" spans="1:26" ht="18" customHeight="1">
      <c r="A2" s="274"/>
      <c r="B2" s="1972" t="s">
        <v>564</v>
      </c>
      <c r="C2" s="236"/>
      <c r="D2" s="236"/>
      <c r="E2" s="236"/>
      <c r="F2" s="196"/>
      <c r="G2" s="196"/>
      <c r="H2" s="196"/>
      <c r="I2" s="196"/>
      <c r="J2" s="196"/>
      <c r="K2" s="196"/>
      <c r="L2" s="196"/>
      <c r="M2" s="196"/>
    </row>
    <row r="3" spans="1:26" ht="13.5" customHeight="1">
      <c r="A3" s="52"/>
      <c r="B3" s="51"/>
      <c r="C3" s="52"/>
      <c r="D3" s="52"/>
      <c r="E3" s="52"/>
      <c r="F3" s="52"/>
      <c r="G3" s="52"/>
      <c r="H3" s="52"/>
      <c r="I3" s="52"/>
      <c r="J3" s="52"/>
      <c r="K3" s="52"/>
      <c r="L3" s="52"/>
      <c r="M3" s="52"/>
    </row>
    <row r="4" spans="1:26" ht="13.5" customHeight="1">
      <c r="A4" s="52"/>
      <c r="B4" s="1909" t="s">
        <v>565</v>
      </c>
      <c r="C4" s="52"/>
      <c r="D4" s="52"/>
      <c r="E4" s="52"/>
      <c r="F4" s="52"/>
      <c r="G4" s="52"/>
      <c r="H4" s="52"/>
      <c r="I4" s="52"/>
      <c r="J4" s="52"/>
      <c r="K4" s="52"/>
      <c r="L4" s="52"/>
      <c r="M4" s="52"/>
    </row>
    <row r="5" spans="1:26" ht="28.5" customHeight="1">
      <c r="A5" s="52"/>
      <c r="B5" s="3760" t="s">
        <v>566</v>
      </c>
      <c r="C5" s="3778" t="s">
        <v>567</v>
      </c>
      <c r="D5" s="3778"/>
      <c r="E5" s="3778"/>
      <c r="F5" s="3779"/>
      <c r="G5" s="3777" t="s">
        <v>568</v>
      </c>
      <c r="H5" s="3778"/>
      <c r="I5" s="3778"/>
      <c r="J5" s="3779"/>
      <c r="K5" s="3777" t="s">
        <v>569</v>
      </c>
      <c r="L5" s="3778"/>
      <c r="M5" s="3778"/>
      <c r="N5" s="3779"/>
    </row>
    <row r="6" spans="1:26" ht="13.5" customHeight="1">
      <c r="A6" s="52"/>
      <c r="B6" s="3762"/>
      <c r="C6" s="2874" t="s">
        <v>570</v>
      </c>
      <c r="D6" s="2875" t="s">
        <v>571</v>
      </c>
      <c r="E6" s="2875" t="s">
        <v>572</v>
      </c>
      <c r="F6" s="2876" t="s">
        <v>118</v>
      </c>
      <c r="G6" s="2875" t="s">
        <v>570</v>
      </c>
      <c r="H6" s="2875" t="s">
        <v>571</v>
      </c>
      <c r="I6" s="2875" t="s">
        <v>572</v>
      </c>
      <c r="J6" s="2876" t="s">
        <v>118</v>
      </c>
      <c r="K6" s="2875" t="s">
        <v>570</v>
      </c>
      <c r="L6" s="2875" t="s">
        <v>571</v>
      </c>
      <c r="M6" s="2875" t="s">
        <v>572</v>
      </c>
      <c r="N6" s="2876" t="s">
        <v>118</v>
      </c>
    </row>
    <row r="7" spans="1:26" ht="13.5" customHeight="1">
      <c r="A7" s="52"/>
      <c r="B7" s="1916" t="s">
        <v>573</v>
      </c>
      <c r="C7" s="1981">
        <f>C22+C38+C53+C68+C84+C99+C114+C131+C147+C163+C180+C196+C212+C229+C245+C261+C279+C295+C312+C328+C344+C361+C377+C393+C410+C426+C442</f>
        <v>82</v>
      </c>
      <c r="D7" s="1981">
        <f t="shared" ref="D7:E7" si="0">D22+D38+D53+D68+D84+D99+D114+D131+D147+D163+D180+D196+D212+D229+D245+D261+D279+D295+D312+D328+D344+D361+D377+D393+D410+D426+D442</f>
        <v>101</v>
      </c>
      <c r="E7" s="1981">
        <f t="shared" si="0"/>
        <v>14</v>
      </c>
      <c r="F7" s="2877">
        <f>SUM(C7:E7)</f>
        <v>197</v>
      </c>
      <c r="G7" s="1981">
        <f>G22+G38+G53+G68+G84+G99+G114+G131+G147+G163+G180+G196+G212+G229+G245+G261+G279+G295+G312+G328+G344+G361+G377+G393+G410+G426+G442</f>
        <v>704</v>
      </c>
      <c r="H7" s="1981">
        <f t="shared" ref="H7:I7" si="1">H22+H38+H53+H68+H84+H99+H114+H131+H147+H163+H180+H196+H212+H229+H245+H261+H279+H295+H312+H328+H344+H361+H377+H393+H410+H426+H442</f>
        <v>440</v>
      </c>
      <c r="I7" s="1981">
        <f t="shared" si="1"/>
        <v>183</v>
      </c>
      <c r="J7" s="2877">
        <f>SUM(G7:I7)</f>
        <v>1327</v>
      </c>
      <c r="K7" s="1981">
        <f>K22+K38+K53+K68+K84+K99+K114+K131+K147+K163+K180+K196+K212+K229+K245+K261+K279+K295+K312+K328+K344+K361+K377+K393+K410+K426+K442</f>
        <v>291</v>
      </c>
      <c r="L7" s="1981">
        <f t="shared" ref="L7:M7" si="2">L22+L38+L53+L68+L84+L99+L114+L131+L147+L163+L180+L196+L212+L229+L245+L261+L279+L295+L312+L328+L344+L361+L377+L393+L410+L426+L442</f>
        <v>2206</v>
      </c>
      <c r="M7" s="1981">
        <f t="shared" si="2"/>
        <v>1208</v>
      </c>
      <c r="N7" s="2877">
        <f>SUM(K7:M7)</f>
        <v>3705</v>
      </c>
      <c r="O7" s="396"/>
      <c r="P7" s="396"/>
      <c r="Q7" s="396"/>
      <c r="R7" s="396"/>
      <c r="S7" s="396"/>
      <c r="T7" s="396"/>
      <c r="U7" s="396"/>
      <c r="V7" s="396"/>
      <c r="W7" s="396"/>
      <c r="X7" s="396"/>
      <c r="Y7" s="396"/>
      <c r="Z7" s="396"/>
    </row>
    <row r="8" spans="1:26" ht="13.5" customHeight="1">
      <c r="A8" s="52"/>
      <c r="B8" s="2813" t="s">
        <v>574</v>
      </c>
      <c r="C8" s="1981">
        <f t="shared" ref="C8:E15" si="3">C23+C39+C54+C69+C85+C100+C115+C132+C148+C164+C181+C197+C213+C230+C246+C262+C280+C296+C313+C329+C345+C362+C378+C394+C411+C427+C443</f>
        <v>53</v>
      </c>
      <c r="D8" s="1981">
        <f t="shared" si="3"/>
        <v>70</v>
      </c>
      <c r="E8" s="1981">
        <f t="shared" si="3"/>
        <v>7</v>
      </c>
      <c r="F8" s="2877">
        <f t="shared" ref="F8:F15" si="4">SUM(C8:E8)</f>
        <v>130</v>
      </c>
      <c r="G8" s="1981">
        <f t="shared" ref="G8:I15" si="5">G23+G39+G54+G69+G85+G100+G115+G132+G148+G164+G181+G197+G213+G230+G246+G262+G280+G296+G313+G329+G345+G362+G378+G394+G411+G427+G443</f>
        <v>335</v>
      </c>
      <c r="H8" s="1981">
        <f t="shared" si="5"/>
        <v>271</v>
      </c>
      <c r="I8" s="1981">
        <f t="shared" si="5"/>
        <v>59</v>
      </c>
      <c r="J8" s="2877">
        <f t="shared" ref="J8:J15" si="6">SUM(G8:I8)</f>
        <v>665</v>
      </c>
      <c r="K8" s="1981">
        <f t="shared" ref="K8:M14" si="7">K23+K39+K54+K69+K85+K100+K115+K132+K148+K164+K181+K197+K213+K230+K246+K262+K280+K296+K313+K329+K345+K362+K378+K394+K411+K427+K443</f>
        <v>96</v>
      </c>
      <c r="L8" s="1981">
        <f t="shared" si="7"/>
        <v>1870</v>
      </c>
      <c r="M8" s="1981">
        <f t="shared" si="7"/>
        <v>435</v>
      </c>
      <c r="N8" s="2877">
        <f t="shared" ref="N8:N15" si="8">SUM(K8:M8)</f>
        <v>2401</v>
      </c>
      <c r="O8" s="396"/>
      <c r="P8" s="396"/>
      <c r="Q8" s="396"/>
      <c r="R8" s="396"/>
      <c r="S8" s="396"/>
      <c r="T8" s="396"/>
      <c r="U8" s="396"/>
      <c r="V8" s="396"/>
      <c r="W8" s="396"/>
      <c r="X8" s="396"/>
      <c r="Y8" s="396"/>
      <c r="Z8" s="396"/>
    </row>
    <row r="9" spans="1:26" ht="13.5" customHeight="1">
      <c r="A9" s="52"/>
      <c r="B9" s="2813" t="s">
        <v>575</v>
      </c>
      <c r="C9" s="1981">
        <f t="shared" si="3"/>
        <v>53</v>
      </c>
      <c r="D9" s="1981">
        <f t="shared" si="3"/>
        <v>70</v>
      </c>
      <c r="E9" s="1981">
        <f t="shared" si="3"/>
        <v>11</v>
      </c>
      <c r="F9" s="2877">
        <f t="shared" si="4"/>
        <v>134</v>
      </c>
      <c r="G9" s="1981">
        <f t="shared" si="5"/>
        <v>383</v>
      </c>
      <c r="H9" s="1981">
        <f t="shared" si="5"/>
        <v>274</v>
      </c>
      <c r="I9" s="1981">
        <f t="shared" si="5"/>
        <v>79</v>
      </c>
      <c r="J9" s="2877">
        <f t="shared" si="6"/>
        <v>736</v>
      </c>
      <c r="K9" s="1981">
        <f t="shared" si="7"/>
        <v>219</v>
      </c>
      <c r="L9" s="1981">
        <f t="shared" si="7"/>
        <v>1656</v>
      </c>
      <c r="M9" s="1981">
        <f t="shared" si="7"/>
        <v>597</v>
      </c>
      <c r="N9" s="2877">
        <f t="shared" si="8"/>
        <v>2472</v>
      </c>
      <c r="O9" s="396"/>
      <c r="P9" s="396"/>
      <c r="Q9" s="396"/>
      <c r="R9" s="396"/>
      <c r="S9" s="396"/>
      <c r="T9" s="396"/>
      <c r="U9" s="396"/>
      <c r="V9" s="396"/>
      <c r="W9" s="396"/>
      <c r="X9" s="396"/>
      <c r="Y9" s="396"/>
      <c r="Z9" s="396"/>
    </row>
    <row r="10" spans="1:26" ht="13.5" customHeight="1">
      <c r="A10" s="52"/>
      <c r="B10" s="2813" t="s">
        <v>576</v>
      </c>
      <c r="C10" s="1981">
        <f t="shared" si="3"/>
        <v>86</v>
      </c>
      <c r="D10" s="1981">
        <f t="shared" si="3"/>
        <v>104</v>
      </c>
      <c r="E10" s="1981">
        <f t="shared" si="3"/>
        <v>17</v>
      </c>
      <c r="F10" s="2877">
        <f t="shared" si="4"/>
        <v>207</v>
      </c>
      <c r="G10" s="1981">
        <f t="shared" si="5"/>
        <v>639</v>
      </c>
      <c r="H10" s="1981">
        <f t="shared" si="5"/>
        <v>389</v>
      </c>
      <c r="I10" s="1981">
        <f t="shared" si="5"/>
        <v>193</v>
      </c>
      <c r="J10" s="2877">
        <f t="shared" si="6"/>
        <v>1221</v>
      </c>
      <c r="K10" s="1981">
        <f t="shared" si="7"/>
        <v>318</v>
      </c>
      <c r="L10" s="1981">
        <f t="shared" si="7"/>
        <v>2667</v>
      </c>
      <c r="M10" s="1981">
        <f t="shared" si="7"/>
        <v>1429</v>
      </c>
      <c r="N10" s="2877">
        <f t="shared" si="8"/>
        <v>4414</v>
      </c>
      <c r="O10" s="396"/>
      <c r="P10" s="396"/>
      <c r="Q10" s="396"/>
      <c r="R10" s="396"/>
      <c r="S10" s="396"/>
      <c r="T10" s="396"/>
      <c r="U10" s="396"/>
      <c r="V10" s="396"/>
      <c r="W10" s="396"/>
      <c r="X10" s="396"/>
      <c r="Y10" s="396"/>
      <c r="Z10" s="396"/>
    </row>
    <row r="11" spans="1:26" ht="13.5" customHeight="1">
      <c r="A11" s="52"/>
      <c r="B11" s="2813" t="s">
        <v>577</v>
      </c>
      <c r="C11" s="1981">
        <f t="shared" si="3"/>
        <v>47</v>
      </c>
      <c r="D11" s="1981">
        <f t="shared" si="3"/>
        <v>75</v>
      </c>
      <c r="E11" s="1981">
        <f t="shared" si="3"/>
        <v>8</v>
      </c>
      <c r="F11" s="2877">
        <f t="shared" si="4"/>
        <v>130</v>
      </c>
      <c r="G11" s="1981">
        <f t="shared" si="5"/>
        <v>302</v>
      </c>
      <c r="H11" s="1981">
        <f t="shared" si="5"/>
        <v>330</v>
      </c>
      <c r="I11" s="1981">
        <f t="shared" si="5"/>
        <v>57</v>
      </c>
      <c r="J11" s="2877">
        <f t="shared" si="6"/>
        <v>689</v>
      </c>
      <c r="K11" s="1981">
        <f t="shared" si="7"/>
        <v>78</v>
      </c>
      <c r="L11" s="1981">
        <f t="shared" si="7"/>
        <v>2791</v>
      </c>
      <c r="M11" s="1981">
        <f t="shared" si="7"/>
        <v>644</v>
      </c>
      <c r="N11" s="2877">
        <f t="shared" si="8"/>
        <v>3513</v>
      </c>
      <c r="O11" s="396"/>
      <c r="P11" s="396"/>
      <c r="Q11" s="396"/>
      <c r="R11" s="396"/>
      <c r="S11" s="396"/>
      <c r="T11" s="396"/>
      <c r="U11" s="396"/>
      <c r="V11" s="396"/>
      <c r="W11" s="396"/>
      <c r="X11" s="396"/>
      <c r="Y11" s="396"/>
      <c r="Z11" s="396"/>
    </row>
    <row r="12" spans="1:26" ht="13.5" customHeight="1">
      <c r="A12" s="52"/>
      <c r="B12" s="2813" t="s">
        <v>578</v>
      </c>
      <c r="C12" s="1981">
        <f t="shared" si="3"/>
        <v>60</v>
      </c>
      <c r="D12" s="1981">
        <f t="shared" si="3"/>
        <v>72</v>
      </c>
      <c r="E12" s="1981">
        <f t="shared" si="3"/>
        <v>13</v>
      </c>
      <c r="F12" s="2877">
        <f t="shared" si="4"/>
        <v>145</v>
      </c>
      <c r="G12" s="1981">
        <f t="shared" si="5"/>
        <v>489</v>
      </c>
      <c r="H12" s="1981">
        <f t="shared" si="5"/>
        <v>321</v>
      </c>
      <c r="I12" s="1981">
        <f t="shared" si="5"/>
        <v>97</v>
      </c>
      <c r="J12" s="2877">
        <f t="shared" si="6"/>
        <v>907</v>
      </c>
      <c r="K12" s="1981">
        <f t="shared" si="7"/>
        <v>308</v>
      </c>
      <c r="L12" s="1981">
        <f t="shared" si="7"/>
        <v>1923</v>
      </c>
      <c r="M12" s="1981">
        <f t="shared" si="7"/>
        <v>1296</v>
      </c>
      <c r="N12" s="2877">
        <f t="shared" si="8"/>
        <v>3527</v>
      </c>
      <c r="O12" s="396"/>
      <c r="P12" s="396"/>
      <c r="Q12" s="396"/>
      <c r="R12" s="396"/>
      <c r="S12" s="396"/>
      <c r="T12" s="396"/>
      <c r="U12" s="396"/>
      <c r="V12" s="396"/>
      <c r="W12" s="396"/>
      <c r="X12" s="396"/>
      <c r="Y12" s="396"/>
      <c r="Z12" s="396"/>
    </row>
    <row r="13" spans="1:26" ht="13.5" customHeight="1">
      <c r="A13" s="52"/>
      <c r="B13" s="2813" t="s">
        <v>579</v>
      </c>
      <c r="C13" s="1981">
        <f t="shared" si="3"/>
        <v>97</v>
      </c>
      <c r="D13" s="1981">
        <f t="shared" si="3"/>
        <v>121</v>
      </c>
      <c r="E13" s="1981">
        <f t="shared" si="3"/>
        <v>20</v>
      </c>
      <c r="F13" s="2877">
        <f t="shared" si="4"/>
        <v>238</v>
      </c>
      <c r="G13" s="1981">
        <f t="shared" si="5"/>
        <v>812</v>
      </c>
      <c r="H13" s="1981">
        <f t="shared" si="5"/>
        <v>505</v>
      </c>
      <c r="I13" s="1981">
        <f t="shared" si="5"/>
        <v>282</v>
      </c>
      <c r="J13" s="2877">
        <f t="shared" si="6"/>
        <v>1599</v>
      </c>
      <c r="K13" s="1981">
        <f t="shared" si="7"/>
        <v>420</v>
      </c>
      <c r="L13" s="1981">
        <f t="shared" si="7"/>
        <v>3293</v>
      </c>
      <c r="M13" s="1981">
        <f t="shared" si="7"/>
        <v>1449</v>
      </c>
      <c r="N13" s="2877">
        <f t="shared" si="8"/>
        <v>5162</v>
      </c>
      <c r="O13" s="396"/>
      <c r="P13" s="396"/>
      <c r="Q13" s="396"/>
      <c r="R13" s="396"/>
      <c r="S13" s="396"/>
      <c r="T13" s="396"/>
      <c r="U13" s="396"/>
      <c r="V13" s="396"/>
      <c r="W13" s="396"/>
      <c r="X13" s="396"/>
      <c r="Y13" s="396"/>
      <c r="Z13" s="396"/>
    </row>
    <row r="14" spans="1:26" ht="13.5" customHeight="1">
      <c r="A14" s="52"/>
      <c r="B14" s="2813" t="s">
        <v>580</v>
      </c>
      <c r="C14" s="1981">
        <f t="shared" si="3"/>
        <v>50</v>
      </c>
      <c r="D14" s="1981">
        <f t="shared" si="3"/>
        <v>59</v>
      </c>
      <c r="E14" s="1981">
        <f t="shared" si="3"/>
        <v>8</v>
      </c>
      <c r="F14" s="2877">
        <f t="shared" si="4"/>
        <v>117</v>
      </c>
      <c r="G14" s="1981">
        <f t="shared" si="5"/>
        <v>329</v>
      </c>
      <c r="H14" s="1981">
        <f t="shared" si="5"/>
        <v>316</v>
      </c>
      <c r="I14" s="1981">
        <f t="shared" si="5"/>
        <v>97</v>
      </c>
      <c r="J14" s="2877">
        <f t="shared" si="6"/>
        <v>742</v>
      </c>
      <c r="K14" s="1981">
        <f t="shared" si="7"/>
        <v>142</v>
      </c>
      <c r="L14" s="1981">
        <f t="shared" si="7"/>
        <v>1413</v>
      </c>
      <c r="M14" s="1981">
        <f t="shared" si="7"/>
        <v>532</v>
      </c>
      <c r="N14" s="2877">
        <f t="shared" si="8"/>
        <v>2087</v>
      </c>
      <c r="O14" s="396"/>
      <c r="P14" s="396"/>
      <c r="Q14" s="396"/>
      <c r="R14" s="396"/>
      <c r="S14" s="396"/>
      <c r="T14" s="396"/>
      <c r="U14" s="396"/>
      <c r="V14" s="396"/>
      <c r="W14" s="396"/>
      <c r="X14" s="396"/>
      <c r="Y14" s="396"/>
      <c r="Z14" s="396"/>
    </row>
    <row r="15" spans="1:26" ht="13.5" customHeight="1">
      <c r="A15" s="52"/>
      <c r="B15" s="2813" t="s">
        <v>581</v>
      </c>
      <c r="C15" s="1981">
        <f t="shared" si="3"/>
        <v>247</v>
      </c>
      <c r="D15" s="1981">
        <f t="shared" si="3"/>
        <v>292</v>
      </c>
      <c r="E15" s="1981">
        <f t="shared" si="3"/>
        <v>59</v>
      </c>
      <c r="F15" s="2877">
        <f t="shared" si="4"/>
        <v>598</v>
      </c>
      <c r="G15" s="1981">
        <f t="shared" si="5"/>
        <v>7006</v>
      </c>
      <c r="H15" s="1981">
        <f t="shared" si="5"/>
        <v>3366</v>
      </c>
      <c r="I15" s="1981">
        <f t="shared" si="5"/>
        <v>1774</v>
      </c>
      <c r="J15" s="2877">
        <f t="shared" si="6"/>
        <v>12146</v>
      </c>
      <c r="K15" s="1981">
        <f>K30+K46+K61+K76+K92+K107+K122+K139+K155+K171+K188+K204+K220+K237+K253+K269+K287+K303+K320+K336+K352+K369+K385+K401+K418+K434+K450</f>
        <v>1551</v>
      </c>
      <c r="L15" s="1981">
        <f t="shared" ref="L15:M15" si="9">L30+L46+L61+L76+L92+L107+L122+L139+L155+L171+L188+L204+L220+L237+L253+L269+L287+L303+L320+L336+L352+L369+L385+L401+L418+L434+L450</f>
        <v>9097</v>
      </c>
      <c r="M15" s="1981">
        <f t="shared" si="9"/>
        <v>5891</v>
      </c>
      <c r="N15" s="2877">
        <f t="shared" si="8"/>
        <v>16539</v>
      </c>
      <c r="O15" s="396"/>
      <c r="P15" s="396"/>
      <c r="Q15" s="396"/>
      <c r="R15" s="396"/>
      <c r="S15" s="396"/>
      <c r="T15" s="396"/>
      <c r="U15" s="396"/>
      <c r="V15" s="396"/>
      <c r="W15" s="396"/>
      <c r="X15" s="396"/>
      <c r="Y15" s="396"/>
      <c r="Z15" s="396"/>
    </row>
    <row r="16" spans="1:26" s="295" customFormat="1" ht="13.5" customHeight="1">
      <c r="A16" s="236"/>
      <c r="B16" s="2878" t="s">
        <v>118</v>
      </c>
      <c r="C16" s="1996">
        <f>SUM(C7:C15)</f>
        <v>775</v>
      </c>
      <c r="D16" s="1996">
        <f t="shared" ref="D16:F16" si="10">SUM(D7:D15)</f>
        <v>964</v>
      </c>
      <c r="E16" s="1996">
        <f t="shared" si="10"/>
        <v>157</v>
      </c>
      <c r="F16" s="1996">
        <f t="shared" si="10"/>
        <v>1896</v>
      </c>
      <c r="G16" s="1996">
        <f>SUM(G7:G15)</f>
        <v>10999</v>
      </c>
      <c r="H16" s="1996">
        <f t="shared" ref="H16:J16" si="11">SUM(H7:H15)</f>
        <v>6212</v>
      </c>
      <c r="I16" s="1996">
        <f t="shared" si="11"/>
        <v>2821</v>
      </c>
      <c r="J16" s="1996">
        <f t="shared" si="11"/>
        <v>20032</v>
      </c>
      <c r="K16" s="1996">
        <f>SUM(K7:K15)</f>
        <v>3423</v>
      </c>
      <c r="L16" s="1996">
        <f t="shared" ref="L16:M16" si="12">SUM(L7:L15)</f>
        <v>26916</v>
      </c>
      <c r="M16" s="1996">
        <f t="shared" si="12"/>
        <v>13481</v>
      </c>
      <c r="N16" s="1996">
        <f>SUM(N7:N15)</f>
        <v>43820</v>
      </c>
      <c r="O16" s="396"/>
      <c r="P16" s="396"/>
      <c r="Q16" s="396"/>
      <c r="R16" s="396"/>
      <c r="S16" s="396"/>
      <c r="T16" s="396"/>
      <c r="U16" s="396"/>
      <c r="V16" s="396"/>
      <c r="W16" s="396"/>
      <c r="X16" s="396"/>
      <c r="Y16" s="396"/>
      <c r="Z16" s="396"/>
    </row>
    <row r="17" spans="2:26" ht="13.5" customHeight="1">
      <c r="C17" s="396"/>
      <c r="D17" s="396"/>
      <c r="E17" s="396"/>
      <c r="F17" s="1209"/>
    </row>
    <row r="19" spans="2:26" ht="13.5" customHeight="1">
      <c r="B19" s="1909" t="s">
        <v>91</v>
      </c>
    </row>
    <row r="20" spans="2:26" ht="26.25" customHeight="1">
      <c r="B20" s="3780" t="s">
        <v>566</v>
      </c>
      <c r="C20" s="3782" t="s">
        <v>567</v>
      </c>
      <c r="D20" s="3782"/>
      <c r="E20" s="3782"/>
      <c r="F20" s="3783"/>
      <c r="G20" s="3784" t="s">
        <v>568</v>
      </c>
      <c r="H20" s="3785"/>
      <c r="I20" s="3785"/>
      <c r="J20" s="3786"/>
      <c r="K20" s="3784" t="s">
        <v>569</v>
      </c>
      <c r="L20" s="3785"/>
      <c r="M20" s="3785"/>
      <c r="N20" s="3786"/>
    </row>
    <row r="21" spans="2:26" ht="13.5" customHeight="1">
      <c r="B21" s="3781"/>
      <c r="C21" s="2879" t="s">
        <v>570</v>
      </c>
      <c r="D21" s="2880" t="s">
        <v>571</v>
      </c>
      <c r="E21" s="2880" t="s">
        <v>572</v>
      </c>
      <c r="F21" s="2881" t="s">
        <v>118</v>
      </c>
      <c r="G21" s="2880" t="s">
        <v>570</v>
      </c>
      <c r="H21" s="2880" t="s">
        <v>571</v>
      </c>
      <c r="I21" s="2880" t="s">
        <v>572</v>
      </c>
      <c r="J21" s="2881" t="s">
        <v>118</v>
      </c>
      <c r="K21" s="2880" t="s">
        <v>570</v>
      </c>
      <c r="L21" s="2880" t="s">
        <v>571</v>
      </c>
      <c r="M21" s="2880" t="s">
        <v>572</v>
      </c>
      <c r="N21" s="2881" t="s">
        <v>118</v>
      </c>
    </row>
    <row r="22" spans="2:26" ht="13.5" customHeight="1">
      <c r="B22" s="1915" t="s">
        <v>573</v>
      </c>
      <c r="C22" s="2882"/>
      <c r="D22" s="2883">
        <v>9</v>
      </c>
      <c r="E22" s="2884"/>
      <c r="F22" s="2885">
        <f>SUM(C22:E22)</f>
        <v>9</v>
      </c>
      <c r="G22" s="2886"/>
      <c r="H22" s="2887">
        <v>24</v>
      </c>
      <c r="I22" s="2886"/>
      <c r="J22" s="2885">
        <f>SUM(G22:I22)</f>
        <v>24</v>
      </c>
      <c r="K22" s="2886"/>
      <c r="L22" s="2887">
        <v>407</v>
      </c>
      <c r="M22" s="2886"/>
      <c r="N22" s="2885">
        <f>SUM(K22:M22)</f>
        <v>407</v>
      </c>
      <c r="O22" s="396"/>
      <c r="P22" s="396"/>
      <c r="Q22" s="396"/>
      <c r="R22" s="396"/>
      <c r="S22" s="396"/>
      <c r="T22" s="396"/>
      <c r="U22" s="396"/>
      <c r="V22" s="396"/>
      <c r="W22" s="396"/>
      <c r="X22" s="396"/>
      <c r="Y22" s="396"/>
      <c r="Z22" s="396"/>
    </row>
    <row r="23" spans="2:26" ht="13.5" customHeight="1">
      <c r="B23" s="2888" t="s">
        <v>574</v>
      </c>
      <c r="C23" s="2886"/>
      <c r="D23" s="2887">
        <v>8</v>
      </c>
      <c r="E23" s="2884"/>
      <c r="F23" s="2885">
        <f t="shared" ref="F23:F30" si="13">SUM(C23:E23)</f>
        <v>8</v>
      </c>
      <c r="G23" s="2886"/>
      <c r="H23" s="2887">
        <v>16</v>
      </c>
      <c r="I23" s="2886"/>
      <c r="J23" s="2885">
        <f t="shared" ref="J23:J30" si="14">SUM(G23:I23)</f>
        <v>16</v>
      </c>
      <c r="K23" s="2886"/>
      <c r="L23" s="2887">
        <v>331</v>
      </c>
      <c r="M23" s="2886"/>
      <c r="N23" s="2885">
        <f t="shared" ref="N23:N30" si="15">SUM(K23:M23)</f>
        <v>331</v>
      </c>
      <c r="O23" s="396"/>
      <c r="P23" s="396"/>
      <c r="Q23" s="396"/>
      <c r="R23" s="396"/>
      <c r="S23" s="396"/>
      <c r="T23" s="396"/>
      <c r="U23" s="396"/>
      <c r="V23" s="396"/>
      <c r="W23" s="396"/>
      <c r="X23" s="396"/>
      <c r="Y23" s="396"/>
      <c r="Z23" s="396"/>
    </row>
    <row r="24" spans="2:26" ht="13.5" customHeight="1">
      <c r="B24" s="2888" t="s">
        <v>575</v>
      </c>
      <c r="C24" s="2886"/>
      <c r="D24" s="2887">
        <v>4</v>
      </c>
      <c r="E24" s="2884"/>
      <c r="F24" s="2885">
        <f t="shared" si="13"/>
        <v>4</v>
      </c>
      <c r="G24" s="2886"/>
      <c r="H24" s="2887">
        <v>10</v>
      </c>
      <c r="I24" s="2886"/>
      <c r="J24" s="2885">
        <f t="shared" si="14"/>
        <v>10</v>
      </c>
      <c r="K24" s="2886"/>
      <c r="L24" s="2887">
        <v>210</v>
      </c>
      <c r="M24" s="2886"/>
      <c r="N24" s="2885">
        <f t="shared" si="15"/>
        <v>210</v>
      </c>
      <c r="O24" s="396"/>
      <c r="P24" s="396"/>
      <c r="Q24" s="396"/>
      <c r="R24" s="396"/>
      <c r="S24" s="396"/>
      <c r="T24" s="396"/>
      <c r="U24" s="396"/>
      <c r="V24" s="396"/>
      <c r="W24" s="396"/>
      <c r="X24" s="396"/>
      <c r="Y24" s="396"/>
      <c r="Z24" s="396"/>
    </row>
    <row r="25" spans="2:26" ht="13.5" customHeight="1">
      <c r="B25" s="2888" t="s">
        <v>576</v>
      </c>
      <c r="C25" s="2886"/>
      <c r="D25" s="2887">
        <v>8</v>
      </c>
      <c r="E25" s="2884"/>
      <c r="F25" s="2885">
        <f t="shared" si="13"/>
        <v>8</v>
      </c>
      <c r="G25" s="2886"/>
      <c r="H25" s="2887">
        <v>14</v>
      </c>
      <c r="I25" s="2886"/>
      <c r="J25" s="2885">
        <f t="shared" si="14"/>
        <v>14</v>
      </c>
      <c r="K25" s="2886"/>
      <c r="L25" s="2887">
        <v>426</v>
      </c>
      <c r="M25" s="2886"/>
      <c r="N25" s="2885">
        <f t="shared" si="15"/>
        <v>426</v>
      </c>
      <c r="O25" s="396"/>
      <c r="P25" s="396"/>
      <c r="Q25" s="396"/>
      <c r="R25" s="396"/>
      <c r="S25" s="396"/>
      <c r="T25" s="396"/>
      <c r="U25" s="396"/>
      <c r="V25" s="396"/>
      <c r="W25" s="396"/>
      <c r="X25" s="396"/>
      <c r="Y25" s="396"/>
      <c r="Z25" s="396"/>
    </row>
    <row r="26" spans="2:26" ht="13.5" customHeight="1">
      <c r="B26" s="2888" t="s">
        <v>582</v>
      </c>
      <c r="C26" s="2886"/>
      <c r="D26" s="2887">
        <v>5</v>
      </c>
      <c r="E26" s="2884"/>
      <c r="F26" s="2885">
        <f t="shared" si="13"/>
        <v>5</v>
      </c>
      <c r="G26" s="2886"/>
      <c r="H26" s="2887">
        <v>13</v>
      </c>
      <c r="I26" s="2886"/>
      <c r="J26" s="2885">
        <f t="shared" si="14"/>
        <v>13</v>
      </c>
      <c r="K26" s="2886"/>
      <c r="L26" s="2887">
        <v>200</v>
      </c>
      <c r="M26" s="2886"/>
      <c r="N26" s="2885">
        <f t="shared" si="15"/>
        <v>200</v>
      </c>
      <c r="O26" s="396"/>
      <c r="P26" s="396"/>
      <c r="Q26" s="396"/>
      <c r="R26" s="396"/>
      <c r="S26" s="396"/>
      <c r="T26" s="396"/>
      <c r="U26" s="396"/>
      <c r="V26" s="396"/>
      <c r="W26" s="396"/>
      <c r="X26" s="396"/>
      <c r="Y26" s="396"/>
      <c r="Z26" s="396"/>
    </row>
    <row r="27" spans="2:26" ht="13.5" customHeight="1">
      <c r="B27" s="2888" t="s">
        <v>578</v>
      </c>
      <c r="C27" s="2886"/>
      <c r="D27" s="2887">
        <v>7</v>
      </c>
      <c r="E27" s="2884"/>
      <c r="F27" s="2885">
        <f t="shared" si="13"/>
        <v>7</v>
      </c>
      <c r="G27" s="2886"/>
      <c r="H27" s="2887">
        <v>17</v>
      </c>
      <c r="I27" s="2886"/>
      <c r="J27" s="2885">
        <f t="shared" si="14"/>
        <v>17</v>
      </c>
      <c r="K27" s="2886"/>
      <c r="L27" s="2887">
        <v>352</v>
      </c>
      <c r="M27" s="2886"/>
      <c r="N27" s="2885">
        <f t="shared" si="15"/>
        <v>352</v>
      </c>
      <c r="O27" s="396"/>
      <c r="P27" s="396"/>
      <c r="Q27" s="396"/>
      <c r="R27" s="396"/>
      <c r="S27" s="396"/>
      <c r="T27" s="396"/>
      <c r="U27" s="396"/>
      <c r="V27" s="396"/>
      <c r="W27" s="396"/>
      <c r="X27" s="396"/>
      <c r="Y27" s="396"/>
      <c r="Z27" s="396"/>
    </row>
    <row r="28" spans="2:26" ht="13.5" customHeight="1">
      <c r="B28" s="2888" t="s">
        <v>579</v>
      </c>
      <c r="C28" s="2886"/>
      <c r="D28" s="2887">
        <v>14</v>
      </c>
      <c r="E28" s="2884"/>
      <c r="F28" s="2885">
        <f t="shared" si="13"/>
        <v>14</v>
      </c>
      <c r="G28" s="2886"/>
      <c r="H28" s="2887">
        <v>26</v>
      </c>
      <c r="I28" s="2886"/>
      <c r="J28" s="2885">
        <f t="shared" si="14"/>
        <v>26</v>
      </c>
      <c r="K28" s="2886"/>
      <c r="L28" s="2887">
        <v>610</v>
      </c>
      <c r="M28" s="2886"/>
      <c r="N28" s="2885">
        <f t="shared" si="15"/>
        <v>610</v>
      </c>
      <c r="O28" s="396"/>
      <c r="P28" s="396"/>
      <c r="Q28" s="396"/>
      <c r="R28" s="396"/>
      <c r="S28" s="396"/>
      <c r="T28" s="396"/>
      <c r="U28" s="396"/>
      <c r="V28" s="396"/>
      <c r="W28" s="396"/>
      <c r="X28" s="396"/>
      <c r="Y28" s="396"/>
      <c r="Z28" s="396"/>
    </row>
    <row r="29" spans="2:26" ht="13.5" customHeight="1">
      <c r="B29" s="2888" t="s">
        <v>580</v>
      </c>
      <c r="C29" s="2886"/>
      <c r="D29" s="2887">
        <v>5</v>
      </c>
      <c r="E29" s="2884"/>
      <c r="F29" s="2885">
        <f t="shared" si="13"/>
        <v>5</v>
      </c>
      <c r="G29" s="2886"/>
      <c r="H29" s="2887">
        <v>18</v>
      </c>
      <c r="I29" s="2886"/>
      <c r="J29" s="2885">
        <f t="shared" si="14"/>
        <v>18</v>
      </c>
      <c r="K29" s="2886"/>
      <c r="L29" s="2887">
        <v>266</v>
      </c>
      <c r="M29" s="2886"/>
      <c r="N29" s="2885">
        <f t="shared" si="15"/>
        <v>266</v>
      </c>
      <c r="O29" s="396"/>
      <c r="P29" s="396"/>
      <c r="Q29" s="396"/>
      <c r="R29" s="396"/>
      <c r="S29" s="396"/>
      <c r="T29" s="396"/>
      <c r="U29" s="396"/>
      <c r="V29" s="396"/>
      <c r="W29" s="396"/>
      <c r="X29" s="396"/>
      <c r="Y29" s="396"/>
      <c r="Z29" s="396"/>
    </row>
    <row r="30" spans="2:26" ht="13.5" customHeight="1">
      <c r="B30" s="2888" t="s">
        <v>581</v>
      </c>
      <c r="C30" s="2886"/>
      <c r="D30" s="2887">
        <v>43</v>
      </c>
      <c r="E30" s="2884"/>
      <c r="F30" s="2885">
        <f t="shared" si="13"/>
        <v>43</v>
      </c>
      <c r="G30" s="2886"/>
      <c r="H30" s="2887">
        <v>566</v>
      </c>
      <c r="I30" s="2886"/>
      <c r="J30" s="2885">
        <f t="shared" si="14"/>
        <v>566</v>
      </c>
      <c r="K30" s="2886"/>
      <c r="L30" s="2889">
        <v>2662</v>
      </c>
      <c r="M30" s="2886"/>
      <c r="N30" s="2885">
        <f t="shared" si="15"/>
        <v>2662</v>
      </c>
      <c r="O30" s="396"/>
      <c r="P30" s="396"/>
      <c r="Q30" s="396"/>
      <c r="R30" s="396"/>
      <c r="S30" s="396"/>
      <c r="T30" s="396"/>
      <c r="U30" s="396"/>
      <c r="V30" s="396"/>
      <c r="W30" s="396"/>
      <c r="X30" s="396"/>
      <c r="Y30" s="396"/>
      <c r="Z30" s="396"/>
    </row>
    <row r="31" spans="2:26" ht="13.5" customHeight="1">
      <c r="B31" s="2890" t="s">
        <v>118</v>
      </c>
      <c r="C31" s="2891">
        <f>SUM(C22:C30)</f>
        <v>0</v>
      </c>
      <c r="D31" s="2891">
        <f t="shared" ref="D31:N31" si="16">SUM(D22:D30)</f>
        <v>103</v>
      </c>
      <c r="E31" s="2891">
        <f t="shared" si="16"/>
        <v>0</v>
      </c>
      <c r="F31" s="2891">
        <f t="shared" si="16"/>
        <v>103</v>
      </c>
      <c r="G31" s="2891">
        <f t="shared" si="16"/>
        <v>0</v>
      </c>
      <c r="H31" s="2891">
        <f t="shared" si="16"/>
        <v>704</v>
      </c>
      <c r="I31" s="2891">
        <f t="shared" si="16"/>
        <v>0</v>
      </c>
      <c r="J31" s="2891">
        <f t="shared" si="16"/>
        <v>704</v>
      </c>
      <c r="K31" s="2891">
        <f t="shared" si="16"/>
        <v>0</v>
      </c>
      <c r="L31" s="2891">
        <f t="shared" si="16"/>
        <v>5464</v>
      </c>
      <c r="M31" s="2891">
        <f t="shared" si="16"/>
        <v>0</v>
      </c>
      <c r="N31" s="2891">
        <f t="shared" si="16"/>
        <v>5464</v>
      </c>
      <c r="O31" s="396"/>
      <c r="P31" s="396"/>
      <c r="Q31" s="396"/>
      <c r="R31" s="396"/>
      <c r="S31" s="396"/>
      <c r="T31" s="396"/>
      <c r="U31" s="396"/>
      <c r="V31" s="396"/>
      <c r="W31" s="396"/>
      <c r="X31" s="396"/>
      <c r="Y31" s="396"/>
      <c r="Z31" s="396"/>
    </row>
    <row r="33" spans="2:26" ht="13.5" customHeight="1">
      <c r="B33" s="51"/>
      <c r="C33" s="420"/>
      <c r="D33" s="420"/>
      <c r="E33" s="420"/>
      <c r="F33" s="420"/>
      <c r="G33" s="420"/>
      <c r="H33" s="420"/>
      <c r="I33" s="420"/>
      <c r="J33" s="420"/>
      <c r="K33" s="420"/>
      <c r="L33" s="420"/>
      <c r="M33" s="420"/>
      <c r="N33" s="460">
        <v>170</v>
      </c>
    </row>
    <row r="34" spans="2:26" ht="13.5" customHeight="1">
      <c r="B34" s="51"/>
      <c r="C34" s="420"/>
      <c r="D34" s="420"/>
      <c r="E34" s="420"/>
      <c r="F34" s="420"/>
      <c r="G34" s="420"/>
      <c r="H34" s="420"/>
      <c r="I34" s="420"/>
      <c r="J34" s="420"/>
      <c r="K34" s="420"/>
      <c r="L34" s="420"/>
      <c r="M34" s="420"/>
      <c r="N34" s="460"/>
    </row>
    <row r="35" spans="2:26" ht="13.5" customHeight="1">
      <c r="B35" s="1909" t="s">
        <v>92</v>
      </c>
    </row>
    <row r="36" spans="2:26" ht="25.5" customHeight="1">
      <c r="B36" s="3772" t="s">
        <v>566</v>
      </c>
      <c r="C36" s="3764" t="s">
        <v>567</v>
      </c>
      <c r="D36" s="3764"/>
      <c r="E36" s="3764"/>
      <c r="F36" s="3764"/>
      <c r="G36" s="3777" t="s">
        <v>568</v>
      </c>
      <c r="H36" s="3778"/>
      <c r="I36" s="3778"/>
      <c r="J36" s="3779"/>
      <c r="K36" s="3775" t="s">
        <v>569</v>
      </c>
      <c r="L36" s="3776"/>
      <c r="M36" s="3776"/>
      <c r="N36" s="3763"/>
    </row>
    <row r="37" spans="2:26" ht="13.5" customHeight="1">
      <c r="B37" s="3773"/>
      <c r="C37" s="2875" t="s">
        <v>570</v>
      </c>
      <c r="D37" s="2875" t="s">
        <v>571</v>
      </c>
      <c r="E37" s="2875" t="s">
        <v>572</v>
      </c>
      <c r="F37" s="2892" t="s">
        <v>118</v>
      </c>
      <c r="G37" s="2875" t="s">
        <v>570</v>
      </c>
      <c r="H37" s="2875" t="s">
        <v>571</v>
      </c>
      <c r="I37" s="2875" t="s">
        <v>572</v>
      </c>
      <c r="J37" s="2892" t="s">
        <v>118</v>
      </c>
      <c r="K37" s="2875" t="s">
        <v>570</v>
      </c>
      <c r="L37" s="2875" t="s">
        <v>571</v>
      </c>
      <c r="M37" s="2875" t="s">
        <v>572</v>
      </c>
      <c r="N37" s="2892" t="s">
        <v>118</v>
      </c>
    </row>
    <row r="38" spans="2:26" ht="13.5" customHeight="1">
      <c r="B38" s="2813" t="s">
        <v>573</v>
      </c>
      <c r="C38" s="2883">
        <v>9</v>
      </c>
      <c r="D38" s="2882"/>
      <c r="E38" s="2882"/>
      <c r="F38" s="2885">
        <f>SUM(C38:E38)</f>
        <v>9</v>
      </c>
      <c r="G38" s="2887">
        <v>139</v>
      </c>
      <c r="H38" s="2882"/>
      <c r="I38" s="2882"/>
      <c r="J38" s="2885">
        <f>SUM(G38:I38)</f>
        <v>139</v>
      </c>
      <c r="K38" s="2887">
        <v>59</v>
      </c>
      <c r="L38" s="2882"/>
      <c r="M38" s="2882"/>
      <c r="N38" s="2885">
        <f>SUM(K38:M38)</f>
        <v>59</v>
      </c>
      <c r="O38" s="396"/>
      <c r="P38" s="396"/>
      <c r="Q38" s="396"/>
      <c r="R38" s="396"/>
      <c r="S38" s="396"/>
      <c r="T38" s="396"/>
      <c r="U38" s="396"/>
      <c r="V38" s="396"/>
      <c r="W38" s="396"/>
      <c r="X38" s="396"/>
      <c r="Y38" s="396"/>
      <c r="Z38" s="396"/>
    </row>
    <row r="39" spans="2:26" ht="13.5" customHeight="1">
      <c r="B39" s="2813" t="s">
        <v>574</v>
      </c>
      <c r="C39" s="2883">
        <v>8</v>
      </c>
      <c r="D39" s="2882"/>
      <c r="E39" s="2882"/>
      <c r="F39" s="2885">
        <f t="shared" ref="F39:F46" si="17">SUM(C39:E39)</f>
        <v>8</v>
      </c>
      <c r="G39" s="2887">
        <v>58</v>
      </c>
      <c r="H39" s="2882"/>
      <c r="I39" s="2882"/>
      <c r="J39" s="2885">
        <f t="shared" ref="J39:J46" si="18">SUM(G39:I39)</f>
        <v>58</v>
      </c>
      <c r="K39" s="2887">
        <v>30</v>
      </c>
      <c r="L39" s="2882"/>
      <c r="M39" s="2882"/>
      <c r="N39" s="2885">
        <f t="shared" ref="N39:N46" si="19">SUM(K39:M39)</f>
        <v>30</v>
      </c>
      <c r="O39" s="396"/>
      <c r="P39" s="396"/>
      <c r="Q39" s="396"/>
      <c r="R39" s="396"/>
      <c r="S39" s="396"/>
      <c r="T39" s="396"/>
      <c r="U39" s="396"/>
      <c r="V39" s="396"/>
      <c r="W39" s="396"/>
      <c r="X39" s="396"/>
      <c r="Y39" s="396"/>
      <c r="Z39" s="396"/>
    </row>
    <row r="40" spans="2:26" ht="13.5" customHeight="1">
      <c r="B40" s="2813" t="s">
        <v>575</v>
      </c>
      <c r="C40" s="2883">
        <v>6</v>
      </c>
      <c r="D40" s="2882"/>
      <c r="E40" s="2882"/>
      <c r="F40" s="2885">
        <f t="shared" si="17"/>
        <v>6</v>
      </c>
      <c r="G40" s="2887">
        <v>49</v>
      </c>
      <c r="H40" s="2882"/>
      <c r="I40" s="2882"/>
      <c r="J40" s="2885">
        <f t="shared" si="18"/>
        <v>49</v>
      </c>
      <c r="K40" s="2887">
        <v>16</v>
      </c>
      <c r="L40" s="2882"/>
      <c r="M40" s="2882"/>
      <c r="N40" s="2885">
        <f t="shared" si="19"/>
        <v>16</v>
      </c>
      <c r="O40" s="396"/>
      <c r="P40" s="396"/>
      <c r="Q40" s="396"/>
      <c r="R40" s="396"/>
      <c r="S40" s="396"/>
      <c r="T40" s="396"/>
      <c r="U40" s="396"/>
      <c r="V40" s="396"/>
      <c r="W40" s="396"/>
      <c r="X40" s="396"/>
      <c r="Y40" s="396"/>
      <c r="Z40" s="396"/>
    </row>
    <row r="41" spans="2:26" ht="13.5" customHeight="1">
      <c r="B41" s="2813" t="s">
        <v>576</v>
      </c>
      <c r="C41" s="2883">
        <v>8</v>
      </c>
      <c r="D41" s="2882"/>
      <c r="E41" s="2882"/>
      <c r="F41" s="2885">
        <f t="shared" si="17"/>
        <v>8</v>
      </c>
      <c r="G41" s="2887">
        <v>107</v>
      </c>
      <c r="H41" s="2882"/>
      <c r="I41" s="2882"/>
      <c r="J41" s="2885">
        <f t="shared" si="18"/>
        <v>107</v>
      </c>
      <c r="K41" s="2887">
        <v>68</v>
      </c>
      <c r="L41" s="2882"/>
      <c r="M41" s="2882"/>
      <c r="N41" s="2885">
        <f t="shared" si="19"/>
        <v>68</v>
      </c>
      <c r="O41" s="396"/>
      <c r="P41" s="396"/>
      <c r="Q41" s="396"/>
      <c r="R41" s="396"/>
      <c r="S41" s="396"/>
      <c r="T41" s="396"/>
      <c r="U41" s="396"/>
      <c r="V41" s="396"/>
      <c r="W41" s="396"/>
      <c r="X41" s="396"/>
      <c r="Y41" s="396"/>
      <c r="Z41" s="396"/>
    </row>
    <row r="42" spans="2:26" ht="13.5" customHeight="1">
      <c r="B42" s="2813" t="s">
        <v>582</v>
      </c>
      <c r="C42" s="2883">
        <v>7</v>
      </c>
      <c r="D42" s="2882"/>
      <c r="E42" s="2882"/>
      <c r="F42" s="2885">
        <f t="shared" si="17"/>
        <v>7</v>
      </c>
      <c r="G42" s="2887">
        <v>64</v>
      </c>
      <c r="H42" s="2882"/>
      <c r="I42" s="2882"/>
      <c r="J42" s="2885">
        <f t="shared" si="18"/>
        <v>64</v>
      </c>
      <c r="K42" s="2887">
        <v>19</v>
      </c>
      <c r="L42" s="2882"/>
      <c r="M42" s="2882"/>
      <c r="N42" s="2885">
        <f t="shared" si="19"/>
        <v>19</v>
      </c>
      <c r="O42" s="396"/>
      <c r="P42" s="396"/>
      <c r="Q42" s="396"/>
      <c r="R42" s="396"/>
      <c r="S42" s="396"/>
      <c r="T42" s="396"/>
      <c r="U42" s="396"/>
      <c r="V42" s="396"/>
      <c r="W42" s="396"/>
      <c r="X42" s="396"/>
      <c r="Y42" s="396"/>
      <c r="Z42" s="396"/>
    </row>
    <row r="43" spans="2:26" ht="13.5" customHeight="1">
      <c r="B43" s="2813" t="s">
        <v>578</v>
      </c>
      <c r="C43" s="2883">
        <v>8</v>
      </c>
      <c r="D43" s="2882"/>
      <c r="E43" s="2882"/>
      <c r="F43" s="2885">
        <f t="shared" si="17"/>
        <v>8</v>
      </c>
      <c r="G43" s="2887">
        <v>110</v>
      </c>
      <c r="H43" s="2882"/>
      <c r="I43" s="2882"/>
      <c r="J43" s="2885">
        <f t="shared" si="18"/>
        <v>110</v>
      </c>
      <c r="K43" s="2887">
        <v>83</v>
      </c>
      <c r="L43" s="2882"/>
      <c r="M43" s="2882"/>
      <c r="N43" s="2885">
        <f t="shared" si="19"/>
        <v>83</v>
      </c>
      <c r="O43" s="396"/>
      <c r="P43" s="396"/>
      <c r="Q43" s="396"/>
      <c r="R43" s="396"/>
      <c r="S43" s="396"/>
      <c r="T43" s="396"/>
      <c r="U43" s="396"/>
      <c r="V43" s="396"/>
      <c r="W43" s="396"/>
      <c r="X43" s="396"/>
      <c r="Y43" s="396"/>
      <c r="Z43" s="396"/>
    </row>
    <row r="44" spans="2:26" ht="13.5" customHeight="1">
      <c r="B44" s="2813" t="s">
        <v>579</v>
      </c>
      <c r="C44" s="2883">
        <v>8</v>
      </c>
      <c r="D44" s="2882"/>
      <c r="E44" s="2882"/>
      <c r="F44" s="2885">
        <f t="shared" si="17"/>
        <v>8</v>
      </c>
      <c r="G44" s="2887">
        <v>122</v>
      </c>
      <c r="H44" s="2882"/>
      <c r="I44" s="2882"/>
      <c r="J44" s="2885">
        <f t="shared" si="18"/>
        <v>122</v>
      </c>
      <c r="K44" s="2887">
        <v>55</v>
      </c>
      <c r="L44" s="2882"/>
      <c r="M44" s="2882"/>
      <c r="N44" s="2885">
        <f t="shared" si="19"/>
        <v>55</v>
      </c>
      <c r="O44" s="396"/>
      <c r="P44" s="396"/>
      <c r="Q44" s="396"/>
      <c r="R44" s="396"/>
      <c r="S44" s="396"/>
      <c r="T44" s="396"/>
      <c r="U44" s="396"/>
      <c r="V44" s="396"/>
      <c r="W44" s="396"/>
      <c r="X44" s="396"/>
      <c r="Y44" s="396"/>
      <c r="Z44" s="396"/>
    </row>
    <row r="45" spans="2:26" ht="13.5" customHeight="1">
      <c r="B45" s="2893" t="s">
        <v>580</v>
      </c>
      <c r="C45" s="2883">
        <v>7</v>
      </c>
      <c r="D45" s="2882"/>
      <c r="E45" s="2882"/>
      <c r="F45" s="2885">
        <f t="shared" si="17"/>
        <v>7</v>
      </c>
      <c r="G45" s="2887">
        <v>56</v>
      </c>
      <c r="H45" s="2882"/>
      <c r="I45" s="2882"/>
      <c r="J45" s="2885">
        <f t="shared" si="18"/>
        <v>56</v>
      </c>
      <c r="K45" s="2887">
        <v>31</v>
      </c>
      <c r="L45" s="2882"/>
      <c r="M45" s="2882"/>
      <c r="N45" s="2885">
        <f t="shared" si="19"/>
        <v>31</v>
      </c>
      <c r="O45" s="396"/>
      <c r="P45" s="396"/>
      <c r="Q45" s="396"/>
      <c r="R45" s="396"/>
      <c r="S45" s="396"/>
      <c r="T45" s="396"/>
      <c r="U45" s="396"/>
      <c r="V45" s="396"/>
      <c r="W45" s="396"/>
      <c r="X45" s="396"/>
      <c r="Y45" s="396"/>
      <c r="Z45" s="396"/>
    </row>
    <row r="46" spans="2:26" ht="13.5" customHeight="1">
      <c r="B46" s="2813" t="s">
        <v>581</v>
      </c>
      <c r="C46" s="2883">
        <v>35</v>
      </c>
      <c r="D46" s="2882"/>
      <c r="E46" s="2882"/>
      <c r="F46" s="2885">
        <f t="shared" si="17"/>
        <v>35</v>
      </c>
      <c r="G46" s="2889">
        <v>1465</v>
      </c>
      <c r="H46" s="2882"/>
      <c r="I46" s="2882"/>
      <c r="J46" s="2885">
        <f t="shared" si="18"/>
        <v>1465</v>
      </c>
      <c r="K46" s="2887">
        <v>512</v>
      </c>
      <c r="L46" s="2894"/>
      <c r="M46" s="2894"/>
      <c r="N46" s="2885">
        <f t="shared" si="19"/>
        <v>512</v>
      </c>
      <c r="O46" s="396"/>
      <c r="P46" s="396"/>
      <c r="Q46" s="396"/>
      <c r="R46" s="396"/>
      <c r="S46" s="396"/>
      <c r="T46" s="396"/>
      <c r="U46" s="396"/>
      <c r="V46" s="396"/>
      <c r="W46" s="396"/>
      <c r="X46" s="396"/>
      <c r="Y46" s="396"/>
      <c r="Z46" s="396"/>
    </row>
    <row r="47" spans="2:26" ht="13.5" customHeight="1">
      <c r="B47" s="2895" t="s">
        <v>118</v>
      </c>
      <c r="C47" s="2891">
        <f t="shared" ref="C47:F47" si="20">SUM(C38:C46)</f>
        <v>96</v>
      </c>
      <c r="D47" s="2891">
        <f t="shared" si="20"/>
        <v>0</v>
      </c>
      <c r="E47" s="2891">
        <f t="shared" si="20"/>
        <v>0</v>
      </c>
      <c r="F47" s="2891">
        <f t="shared" si="20"/>
        <v>96</v>
      </c>
      <c r="G47" s="2891">
        <f>SUM(G38:G46)</f>
        <v>2170</v>
      </c>
      <c r="H47" s="2891">
        <f t="shared" ref="H47" si="21">SUM(H38:H46)</f>
        <v>0</v>
      </c>
      <c r="I47" s="2891">
        <f t="shared" ref="I47" si="22">SUM(I38:I46)</f>
        <v>0</v>
      </c>
      <c r="J47" s="2891">
        <f t="shared" ref="J47" si="23">SUM(J38:J46)</f>
        <v>2170</v>
      </c>
      <c r="K47" s="2891">
        <f t="shared" ref="K47:L47" si="24">SUM(K38:K46)</f>
        <v>873</v>
      </c>
      <c r="L47" s="2891">
        <f t="shared" si="24"/>
        <v>0</v>
      </c>
      <c r="M47" s="2891">
        <f t="shared" ref="M47" si="25">SUM(M38:M46)</f>
        <v>0</v>
      </c>
      <c r="N47" s="2891">
        <f t="shared" ref="N47" si="26">SUM(N38:N46)</f>
        <v>873</v>
      </c>
      <c r="O47" s="396"/>
      <c r="P47" s="396"/>
      <c r="Q47" s="396"/>
      <c r="R47" s="396"/>
      <c r="S47" s="396"/>
      <c r="T47" s="396"/>
      <c r="U47" s="396"/>
      <c r="V47" s="396"/>
      <c r="W47" s="396"/>
      <c r="X47" s="396"/>
      <c r="Y47" s="396"/>
      <c r="Z47" s="396"/>
    </row>
    <row r="48" spans="2:26" ht="13.5" customHeight="1">
      <c r="B48" s="51"/>
      <c r="C48" s="420"/>
      <c r="D48" s="420"/>
      <c r="E48" s="420"/>
      <c r="F48" s="420"/>
      <c r="G48" s="420"/>
      <c r="H48" s="420"/>
      <c r="I48" s="420"/>
      <c r="J48" s="460"/>
      <c r="K48" s="420"/>
      <c r="L48" s="420"/>
      <c r="M48" s="420"/>
      <c r="N48" s="460"/>
      <c r="O48" s="396"/>
    </row>
    <row r="49" spans="2:26" ht="13.5" customHeight="1">
      <c r="B49" s="51"/>
      <c r="C49" s="420"/>
      <c r="D49" s="420"/>
      <c r="E49" s="420"/>
      <c r="F49" s="420"/>
      <c r="G49" s="420"/>
      <c r="H49" s="236"/>
      <c r="I49" s="236"/>
      <c r="J49" s="236"/>
      <c r="K49" s="236"/>
      <c r="L49" s="236"/>
      <c r="M49" s="420"/>
      <c r="N49" s="460"/>
      <c r="O49" s="396"/>
    </row>
    <row r="50" spans="2:26" ht="13.5" customHeight="1">
      <c r="B50" s="1909" t="s">
        <v>93</v>
      </c>
      <c r="L50" s="396"/>
    </row>
    <row r="51" spans="2:26" ht="26.25" customHeight="1">
      <c r="B51" s="3760" t="s">
        <v>566</v>
      </c>
      <c r="C51" s="3763" t="s">
        <v>567</v>
      </c>
      <c r="D51" s="3764"/>
      <c r="E51" s="3764"/>
      <c r="F51" s="3764"/>
      <c r="G51" s="3701" t="s">
        <v>568</v>
      </c>
      <c r="H51" s="3701"/>
      <c r="I51" s="3701"/>
      <c r="J51" s="3701"/>
      <c r="K51" s="3775" t="s">
        <v>569</v>
      </c>
      <c r="L51" s="3776"/>
      <c r="M51" s="3776"/>
      <c r="N51" s="3763"/>
    </row>
    <row r="52" spans="2:26" ht="13.5" customHeight="1">
      <c r="B52" s="3762"/>
      <c r="C52" s="2874" t="s">
        <v>570</v>
      </c>
      <c r="D52" s="2875" t="s">
        <v>571</v>
      </c>
      <c r="E52" s="2875" t="s">
        <v>572</v>
      </c>
      <c r="F52" s="2892" t="s">
        <v>118</v>
      </c>
      <c r="G52" s="2875" t="s">
        <v>570</v>
      </c>
      <c r="H52" s="2875" t="s">
        <v>571</v>
      </c>
      <c r="I52" s="2875" t="s">
        <v>572</v>
      </c>
      <c r="J52" s="2892" t="s">
        <v>118</v>
      </c>
      <c r="K52" s="2875" t="s">
        <v>570</v>
      </c>
      <c r="L52" s="2875" t="s">
        <v>571</v>
      </c>
      <c r="M52" s="2875" t="s">
        <v>572</v>
      </c>
      <c r="N52" s="2892" t="s">
        <v>118</v>
      </c>
    </row>
    <row r="53" spans="2:26" ht="13.5" customHeight="1">
      <c r="B53" s="1911" t="s">
        <v>573</v>
      </c>
      <c r="C53" s="2882"/>
      <c r="D53" s="2883">
        <v>8</v>
      </c>
      <c r="E53" s="2884"/>
      <c r="F53" s="2885">
        <f>SUM(C53:E53)</f>
        <v>8</v>
      </c>
      <c r="G53" s="2886"/>
      <c r="H53" s="2887">
        <v>8</v>
      </c>
      <c r="I53" s="2886"/>
      <c r="J53" s="2885">
        <f>SUM(G53:I53)</f>
        <v>8</v>
      </c>
      <c r="K53" s="2886"/>
      <c r="L53" s="2887">
        <v>87</v>
      </c>
      <c r="M53" s="2886"/>
      <c r="N53" s="2885">
        <f>SUM(K53:M53)</f>
        <v>87</v>
      </c>
      <c r="O53" s="396"/>
      <c r="P53" s="396"/>
      <c r="Q53" s="396"/>
      <c r="R53" s="396"/>
      <c r="S53" s="396"/>
      <c r="T53" s="396"/>
      <c r="U53" s="396"/>
      <c r="V53" s="396"/>
      <c r="W53" s="396"/>
      <c r="X53" s="396"/>
      <c r="Y53" s="396"/>
      <c r="Z53" s="396"/>
    </row>
    <row r="54" spans="2:26" ht="13.5" customHeight="1">
      <c r="B54" s="2813" t="s">
        <v>574</v>
      </c>
      <c r="C54" s="2886"/>
      <c r="D54" s="2887">
        <v>4</v>
      </c>
      <c r="E54" s="2884"/>
      <c r="F54" s="2885">
        <f t="shared" ref="F54:F61" si="27">SUM(C54:E54)</f>
        <v>4</v>
      </c>
      <c r="G54" s="2886"/>
      <c r="H54" s="2887">
        <v>3</v>
      </c>
      <c r="I54" s="2886"/>
      <c r="J54" s="2885">
        <f t="shared" ref="J54:J61" si="28">SUM(G54:I54)</f>
        <v>3</v>
      </c>
      <c r="K54" s="2886"/>
      <c r="L54" s="2887">
        <v>16</v>
      </c>
      <c r="M54" s="2886"/>
      <c r="N54" s="2885">
        <f t="shared" ref="N54:N61" si="29">SUM(K54:M54)</f>
        <v>16</v>
      </c>
      <c r="O54" s="396"/>
      <c r="P54" s="396"/>
      <c r="Q54" s="396"/>
      <c r="R54" s="396"/>
      <c r="S54" s="396"/>
      <c r="T54" s="396"/>
      <c r="U54" s="396"/>
      <c r="V54" s="396"/>
      <c r="W54" s="396"/>
      <c r="X54" s="396"/>
      <c r="Y54" s="396"/>
      <c r="Z54" s="396"/>
    </row>
    <row r="55" spans="2:26" ht="13.5" customHeight="1">
      <c r="B55" s="2813" t="s">
        <v>575</v>
      </c>
      <c r="C55" s="2886"/>
      <c r="D55" s="2887">
        <v>11</v>
      </c>
      <c r="E55" s="2884"/>
      <c r="F55" s="2885">
        <f t="shared" si="27"/>
        <v>11</v>
      </c>
      <c r="G55" s="2886"/>
      <c r="H55" s="2887">
        <v>15</v>
      </c>
      <c r="I55" s="2886"/>
      <c r="J55" s="2885">
        <f t="shared" si="28"/>
        <v>15</v>
      </c>
      <c r="K55" s="2886"/>
      <c r="L55" s="2887">
        <v>83</v>
      </c>
      <c r="M55" s="2886"/>
      <c r="N55" s="2885">
        <f t="shared" si="29"/>
        <v>83</v>
      </c>
      <c r="O55" s="396"/>
      <c r="P55" s="396"/>
      <c r="Q55" s="396"/>
      <c r="R55" s="396"/>
      <c r="S55" s="396"/>
      <c r="T55" s="396"/>
      <c r="U55" s="396"/>
      <c r="V55" s="396"/>
      <c r="W55" s="396"/>
      <c r="X55" s="396"/>
      <c r="Y55" s="396"/>
      <c r="Z55" s="396"/>
    </row>
    <row r="56" spans="2:26" ht="13.5" customHeight="1">
      <c r="B56" s="2813" t="s">
        <v>576</v>
      </c>
      <c r="C56" s="2886"/>
      <c r="D56" s="2887">
        <v>3</v>
      </c>
      <c r="E56" s="2884"/>
      <c r="F56" s="2885">
        <f t="shared" si="27"/>
        <v>3</v>
      </c>
      <c r="G56" s="2886"/>
      <c r="H56" s="2887">
        <v>3</v>
      </c>
      <c r="I56" s="2886"/>
      <c r="J56" s="2885">
        <f t="shared" si="28"/>
        <v>3</v>
      </c>
      <c r="K56" s="2886"/>
      <c r="L56" s="2887">
        <v>54</v>
      </c>
      <c r="M56" s="2886"/>
      <c r="N56" s="2885">
        <f t="shared" si="29"/>
        <v>54</v>
      </c>
      <c r="O56" s="396"/>
      <c r="P56" s="396"/>
      <c r="Q56" s="396"/>
      <c r="R56" s="396"/>
      <c r="S56" s="396"/>
      <c r="T56" s="396"/>
      <c r="U56" s="396"/>
      <c r="V56" s="396"/>
      <c r="W56" s="396"/>
      <c r="X56" s="396"/>
      <c r="Y56" s="396"/>
      <c r="Z56" s="396"/>
    </row>
    <row r="57" spans="2:26" ht="13.5" customHeight="1">
      <c r="B57" s="2813" t="s">
        <v>582</v>
      </c>
      <c r="C57" s="2886"/>
      <c r="D57" s="2887">
        <v>9</v>
      </c>
      <c r="E57" s="2884"/>
      <c r="F57" s="2885">
        <f t="shared" si="27"/>
        <v>9</v>
      </c>
      <c r="G57" s="2886"/>
      <c r="H57" s="2887">
        <v>9</v>
      </c>
      <c r="I57" s="2886"/>
      <c r="J57" s="2885">
        <f t="shared" si="28"/>
        <v>9</v>
      </c>
      <c r="K57" s="2886"/>
      <c r="L57" s="2887">
        <v>149</v>
      </c>
      <c r="M57" s="2886"/>
      <c r="N57" s="2885">
        <f t="shared" si="29"/>
        <v>149</v>
      </c>
      <c r="O57" s="396"/>
      <c r="P57" s="396"/>
      <c r="Q57" s="396"/>
      <c r="R57" s="396"/>
      <c r="S57" s="396"/>
      <c r="T57" s="396"/>
      <c r="U57" s="396"/>
      <c r="V57" s="396"/>
      <c r="W57" s="396"/>
      <c r="X57" s="396"/>
      <c r="Y57" s="396"/>
      <c r="Z57" s="396"/>
    </row>
    <row r="58" spans="2:26" ht="13.5" customHeight="1">
      <c r="B58" s="2813" t="s">
        <v>578</v>
      </c>
      <c r="C58" s="2886"/>
      <c r="D58" s="2887">
        <v>6</v>
      </c>
      <c r="E58" s="2884"/>
      <c r="F58" s="2885">
        <f t="shared" si="27"/>
        <v>6</v>
      </c>
      <c r="G58" s="2886"/>
      <c r="H58" s="2887">
        <v>7</v>
      </c>
      <c r="I58" s="2886"/>
      <c r="J58" s="2885">
        <f t="shared" si="28"/>
        <v>7</v>
      </c>
      <c r="K58" s="2886"/>
      <c r="L58" s="2887">
        <v>54</v>
      </c>
      <c r="M58" s="2886"/>
      <c r="N58" s="2885">
        <f t="shared" si="29"/>
        <v>54</v>
      </c>
      <c r="O58" s="396"/>
      <c r="P58" s="396"/>
      <c r="Q58" s="396"/>
      <c r="R58" s="396"/>
      <c r="S58" s="396"/>
      <c r="T58" s="396"/>
      <c r="U58" s="396"/>
      <c r="V58" s="396"/>
      <c r="W58" s="396"/>
      <c r="X58" s="396"/>
      <c r="Y58" s="396"/>
      <c r="Z58" s="396"/>
    </row>
    <row r="59" spans="2:26" ht="13.5" customHeight="1">
      <c r="B59" s="2813" t="s">
        <v>579</v>
      </c>
      <c r="C59" s="2886"/>
      <c r="D59" s="2887">
        <v>11</v>
      </c>
      <c r="E59" s="2884"/>
      <c r="F59" s="2885">
        <f t="shared" si="27"/>
        <v>11</v>
      </c>
      <c r="G59" s="2886"/>
      <c r="H59" s="2887">
        <v>12</v>
      </c>
      <c r="I59" s="2886"/>
      <c r="J59" s="2885">
        <f t="shared" si="28"/>
        <v>12</v>
      </c>
      <c r="K59" s="2886"/>
      <c r="L59" s="2887">
        <v>153</v>
      </c>
      <c r="M59" s="2886"/>
      <c r="N59" s="2885">
        <f t="shared" si="29"/>
        <v>153</v>
      </c>
      <c r="O59" s="396"/>
      <c r="P59" s="396"/>
      <c r="Q59" s="396"/>
      <c r="R59" s="396"/>
      <c r="S59" s="396"/>
      <c r="T59" s="396"/>
      <c r="U59" s="396"/>
      <c r="V59" s="396"/>
      <c r="W59" s="396"/>
      <c r="X59" s="396"/>
      <c r="Y59" s="396"/>
      <c r="Z59" s="396"/>
    </row>
    <row r="60" spans="2:26" ht="13.5" customHeight="1">
      <c r="B60" s="2813" t="s">
        <v>580</v>
      </c>
      <c r="C60" s="2886"/>
      <c r="D60" s="2887">
        <v>8</v>
      </c>
      <c r="E60" s="2884"/>
      <c r="F60" s="2885">
        <f t="shared" si="27"/>
        <v>8</v>
      </c>
      <c r="G60" s="2886"/>
      <c r="H60" s="2887">
        <v>105</v>
      </c>
      <c r="I60" s="2886"/>
      <c r="J60" s="2885">
        <f t="shared" si="28"/>
        <v>105</v>
      </c>
      <c r="K60" s="2886"/>
      <c r="L60" s="2887">
        <v>73</v>
      </c>
      <c r="M60" s="2886"/>
      <c r="N60" s="2885">
        <f t="shared" si="29"/>
        <v>73</v>
      </c>
      <c r="O60" s="396"/>
      <c r="P60" s="396"/>
      <c r="Q60" s="396"/>
      <c r="R60" s="396"/>
      <c r="S60" s="396"/>
      <c r="T60" s="396"/>
      <c r="U60" s="396"/>
      <c r="V60" s="396"/>
      <c r="W60" s="396"/>
      <c r="X60" s="396"/>
      <c r="Y60" s="396"/>
      <c r="Z60" s="396"/>
    </row>
    <row r="61" spans="2:26" ht="13.5" customHeight="1">
      <c r="B61" s="2813" t="s">
        <v>581</v>
      </c>
      <c r="C61" s="2886"/>
      <c r="D61" s="2887">
        <v>22</v>
      </c>
      <c r="E61" s="2884"/>
      <c r="F61" s="2885">
        <f t="shared" si="27"/>
        <v>22</v>
      </c>
      <c r="G61" s="2886"/>
      <c r="H61" s="2887">
        <v>18</v>
      </c>
      <c r="I61" s="2896"/>
      <c r="J61" s="2885">
        <f t="shared" si="28"/>
        <v>18</v>
      </c>
      <c r="K61" s="2886"/>
      <c r="L61" s="2887">
        <v>165</v>
      </c>
      <c r="M61" s="2886"/>
      <c r="N61" s="2885">
        <f t="shared" si="29"/>
        <v>165</v>
      </c>
      <c r="O61" s="396"/>
      <c r="P61" s="396"/>
      <c r="Q61" s="396"/>
      <c r="R61" s="396"/>
      <c r="S61" s="396"/>
      <c r="T61" s="396"/>
      <c r="U61" s="396"/>
      <c r="V61" s="396"/>
      <c r="W61" s="396"/>
      <c r="X61" s="396"/>
      <c r="Y61" s="396"/>
      <c r="Z61" s="396"/>
    </row>
    <row r="62" spans="2:26" ht="13.5" customHeight="1">
      <c r="B62" s="2895" t="s">
        <v>118</v>
      </c>
      <c r="C62" s="2891"/>
      <c r="D62" s="2891">
        <f>SUM(D53:D61)</f>
        <v>82</v>
      </c>
      <c r="E62" s="2891"/>
      <c r="F62" s="2891">
        <f>SUM(F53:F61)</f>
        <v>82</v>
      </c>
      <c r="G62" s="2891"/>
      <c r="H62" s="2891">
        <f>SUM(H53:H61)</f>
        <v>180</v>
      </c>
      <c r="I62" s="2891"/>
      <c r="J62" s="2891">
        <f>SUM(J53:J61)</f>
        <v>180</v>
      </c>
      <c r="K62" s="2891"/>
      <c r="L62" s="2891">
        <f t="shared" ref="L62:N62" si="30">SUM(L53:L61)</f>
        <v>834</v>
      </c>
      <c r="M62" s="2891"/>
      <c r="N62" s="2891">
        <f t="shared" si="30"/>
        <v>834</v>
      </c>
      <c r="O62" s="396"/>
      <c r="P62" s="396"/>
      <c r="Q62" s="396"/>
      <c r="R62" s="396"/>
      <c r="S62" s="396"/>
      <c r="T62" s="396"/>
      <c r="U62" s="396"/>
      <c r="V62" s="396"/>
      <c r="W62" s="396"/>
      <c r="X62" s="396"/>
      <c r="Y62" s="396"/>
      <c r="Z62" s="396"/>
    </row>
    <row r="63" spans="2:26" ht="12.75">
      <c r="B63" s="51"/>
      <c r="C63" s="420"/>
      <c r="D63" s="420"/>
      <c r="E63" s="420"/>
      <c r="F63" s="420"/>
      <c r="G63" s="420"/>
      <c r="H63" s="236"/>
      <c r="I63" s="236"/>
      <c r="J63" s="236"/>
      <c r="K63" s="236"/>
      <c r="L63" s="236"/>
      <c r="M63" s="420"/>
      <c r="N63" s="420"/>
    </row>
    <row r="64" spans="2:26" ht="13.5" customHeight="1">
      <c r="B64" s="51"/>
      <c r="C64" s="420"/>
      <c r="D64" s="420"/>
      <c r="E64" s="420"/>
      <c r="F64" s="420"/>
      <c r="G64" s="420"/>
      <c r="H64" s="420"/>
      <c r="I64" s="420"/>
      <c r="J64" s="420"/>
      <c r="K64" s="420"/>
      <c r="L64" s="420"/>
      <c r="M64" s="420"/>
      <c r="N64" s="420"/>
    </row>
    <row r="65" spans="2:26" ht="13.5" customHeight="1">
      <c r="B65" s="1909" t="s">
        <v>95</v>
      </c>
      <c r="O65" s="396"/>
    </row>
    <row r="66" spans="2:26" ht="27" customHeight="1">
      <c r="B66" s="3760" t="s">
        <v>566</v>
      </c>
      <c r="C66" s="3763" t="s">
        <v>567</v>
      </c>
      <c r="D66" s="3764"/>
      <c r="E66" s="3764"/>
      <c r="F66" s="3764"/>
      <c r="G66" s="3701" t="s">
        <v>568</v>
      </c>
      <c r="H66" s="3701"/>
      <c r="I66" s="3701"/>
      <c r="J66" s="3701"/>
      <c r="K66" s="3775" t="s">
        <v>569</v>
      </c>
      <c r="L66" s="3776"/>
      <c r="M66" s="3776"/>
      <c r="N66" s="3763"/>
      <c r="O66" s="274"/>
    </row>
    <row r="67" spans="2:26" ht="13.5" customHeight="1">
      <c r="B67" s="3762"/>
      <c r="C67" s="2874" t="s">
        <v>570</v>
      </c>
      <c r="D67" s="2875" t="s">
        <v>571</v>
      </c>
      <c r="E67" s="2875" t="s">
        <v>572</v>
      </c>
      <c r="F67" s="2892" t="s">
        <v>118</v>
      </c>
      <c r="G67" s="2875" t="s">
        <v>570</v>
      </c>
      <c r="H67" s="2875" t="s">
        <v>571</v>
      </c>
      <c r="I67" s="2875" t="s">
        <v>572</v>
      </c>
      <c r="J67" s="2892" t="s">
        <v>118</v>
      </c>
      <c r="K67" s="2875" t="s">
        <v>570</v>
      </c>
      <c r="L67" s="2875" t="s">
        <v>571</v>
      </c>
      <c r="M67" s="2875" t="s">
        <v>572</v>
      </c>
      <c r="N67" s="2892" t="s">
        <v>118</v>
      </c>
      <c r="O67" s="274"/>
    </row>
    <row r="68" spans="2:26" ht="13.5" customHeight="1">
      <c r="B68" s="1911" t="s">
        <v>573</v>
      </c>
      <c r="C68" s="2897">
        <v>6</v>
      </c>
      <c r="D68" s="2898"/>
      <c r="E68" s="2898"/>
      <c r="F68" s="2885">
        <f>SUM(C68:E68)</f>
        <v>6</v>
      </c>
      <c r="G68" s="2899">
        <v>20</v>
      </c>
      <c r="H68" s="2898"/>
      <c r="I68" s="2899">
        <v>8</v>
      </c>
      <c r="J68" s="2885">
        <f>SUM(G68:I68)</f>
        <v>28</v>
      </c>
      <c r="K68" s="895"/>
      <c r="L68" s="2898"/>
      <c r="M68" s="2896"/>
      <c r="N68" s="2885">
        <f>SUM(K68:M68)</f>
        <v>0</v>
      </c>
      <c r="O68" s="461"/>
      <c r="P68" s="461"/>
      <c r="Q68" s="461"/>
      <c r="R68" s="461"/>
      <c r="S68" s="461"/>
      <c r="T68" s="461"/>
      <c r="U68" s="461"/>
      <c r="V68" s="461"/>
      <c r="W68" s="461"/>
      <c r="X68" s="461"/>
      <c r="Y68" s="461"/>
      <c r="Z68" s="461"/>
    </row>
    <row r="69" spans="2:26" ht="13.5" customHeight="1">
      <c r="B69" s="2813" t="s">
        <v>574</v>
      </c>
      <c r="C69" s="895">
        <v>4</v>
      </c>
      <c r="D69" s="2898"/>
      <c r="E69" s="2898"/>
      <c r="F69" s="2885">
        <f t="shared" ref="F69:F76" si="31">SUM(C69:E69)</f>
        <v>4</v>
      </c>
      <c r="G69" s="895">
        <v>13</v>
      </c>
      <c r="H69" s="2898"/>
      <c r="I69" s="895">
        <v>11</v>
      </c>
      <c r="J69" s="2885">
        <f t="shared" ref="J69:J76" si="32">SUM(G69:I69)</f>
        <v>24</v>
      </c>
      <c r="K69" s="895">
        <v>1</v>
      </c>
      <c r="L69" s="2898"/>
      <c r="M69" s="2896"/>
      <c r="N69" s="2885">
        <f t="shared" ref="N69:N76" si="33">SUM(K69:M69)</f>
        <v>1</v>
      </c>
      <c r="O69" s="461"/>
      <c r="P69" s="461"/>
      <c r="Q69" s="461"/>
      <c r="R69" s="461"/>
      <c r="S69" s="461"/>
      <c r="T69" s="461"/>
      <c r="U69" s="461"/>
      <c r="V69" s="461"/>
      <c r="W69" s="461"/>
      <c r="X69" s="461"/>
      <c r="Y69" s="461"/>
      <c r="Z69" s="461"/>
    </row>
    <row r="70" spans="2:26" ht="13.5" customHeight="1">
      <c r="B70" s="2813" t="s">
        <v>575</v>
      </c>
      <c r="C70" s="895">
        <v>2</v>
      </c>
      <c r="D70" s="2898"/>
      <c r="E70" s="2898"/>
      <c r="F70" s="2885">
        <f t="shared" si="31"/>
        <v>2</v>
      </c>
      <c r="G70" s="895">
        <v>1</v>
      </c>
      <c r="H70" s="2898"/>
      <c r="I70" s="895">
        <v>1</v>
      </c>
      <c r="J70" s="2885">
        <f t="shared" si="32"/>
        <v>2</v>
      </c>
      <c r="K70" s="896">
        <v>0</v>
      </c>
      <c r="L70" s="2898"/>
      <c r="M70" s="2896"/>
      <c r="N70" s="2885">
        <f t="shared" si="33"/>
        <v>0</v>
      </c>
      <c r="O70" s="461"/>
      <c r="P70" s="461"/>
      <c r="Q70" s="461"/>
      <c r="R70" s="461"/>
      <c r="S70" s="461"/>
      <c r="T70" s="461"/>
      <c r="U70" s="461"/>
      <c r="V70" s="461"/>
      <c r="W70" s="461"/>
      <c r="X70" s="461"/>
      <c r="Y70" s="461"/>
      <c r="Z70" s="461"/>
    </row>
    <row r="71" spans="2:26" ht="13.5" customHeight="1">
      <c r="B71" s="2813" t="s">
        <v>576</v>
      </c>
      <c r="C71" s="895">
        <v>2</v>
      </c>
      <c r="D71" s="2898"/>
      <c r="E71" s="2898"/>
      <c r="F71" s="2885">
        <f t="shared" si="31"/>
        <v>2</v>
      </c>
      <c r="G71" s="895">
        <v>17</v>
      </c>
      <c r="H71" s="2898"/>
      <c r="I71" s="895">
        <v>5</v>
      </c>
      <c r="J71" s="2885">
        <f t="shared" si="32"/>
        <v>22</v>
      </c>
      <c r="K71" s="895">
        <v>2</v>
      </c>
      <c r="L71" s="2898"/>
      <c r="M71" s="2896"/>
      <c r="N71" s="2885">
        <f t="shared" si="33"/>
        <v>2</v>
      </c>
      <c r="O71" s="461"/>
      <c r="P71" s="461"/>
      <c r="Q71" s="461"/>
      <c r="R71" s="461"/>
      <c r="S71" s="461"/>
      <c r="T71" s="461"/>
      <c r="U71" s="461"/>
      <c r="V71" s="461"/>
      <c r="W71" s="461"/>
      <c r="X71" s="461"/>
      <c r="Y71" s="461"/>
      <c r="Z71" s="461"/>
    </row>
    <row r="72" spans="2:26" ht="13.5" customHeight="1">
      <c r="B72" s="2813" t="s">
        <v>582</v>
      </c>
      <c r="C72" s="895">
        <v>3</v>
      </c>
      <c r="D72" s="2898"/>
      <c r="E72" s="2898"/>
      <c r="F72" s="2885">
        <f t="shared" si="31"/>
        <v>3</v>
      </c>
      <c r="G72" s="895">
        <v>6</v>
      </c>
      <c r="H72" s="2898"/>
      <c r="I72" s="895">
        <v>3</v>
      </c>
      <c r="J72" s="2885">
        <f t="shared" si="32"/>
        <v>9</v>
      </c>
      <c r="K72" s="896">
        <v>0</v>
      </c>
      <c r="L72" s="2898"/>
      <c r="M72" s="2896"/>
      <c r="N72" s="2885">
        <f t="shared" si="33"/>
        <v>0</v>
      </c>
      <c r="O72" s="461"/>
      <c r="P72" s="461"/>
      <c r="Q72" s="461"/>
      <c r="R72" s="461"/>
      <c r="S72" s="461"/>
      <c r="T72" s="461"/>
      <c r="U72" s="461"/>
      <c r="V72" s="461"/>
      <c r="W72" s="461"/>
      <c r="X72" s="461"/>
      <c r="Y72" s="461"/>
      <c r="Z72" s="461"/>
    </row>
    <row r="73" spans="2:26" ht="13.5" customHeight="1">
      <c r="B73" s="2813" t="s">
        <v>578</v>
      </c>
      <c r="C73" s="895">
        <v>1</v>
      </c>
      <c r="D73" s="2898"/>
      <c r="E73" s="2898"/>
      <c r="F73" s="2885">
        <f t="shared" si="31"/>
        <v>1</v>
      </c>
      <c r="G73" s="895">
        <v>2</v>
      </c>
      <c r="H73" s="2898"/>
      <c r="I73" s="895">
        <v>1</v>
      </c>
      <c r="J73" s="2885">
        <f t="shared" si="32"/>
        <v>3</v>
      </c>
      <c r="K73" s="896">
        <v>0</v>
      </c>
      <c r="L73" s="2898"/>
      <c r="M73" s="2896"/>
      <c r="N73" s="2885">
        <f t="shared" si="33"/>
        <v>0</v>
      </c>
      <c r="O73" s="461"/>
      <c r="P73" s="461"/>
      <c r="Q73" s="461"/>
      <c r="R73" s="461"/>
      <c r="S73" s="461"/>
      <c r="T73" s="461"/>
      <c r="U73" s="461"/>
      <c r="V73" s="461"/>
      <c r="W73" s="461"/>
      <c r="X73" s="461"/>
      <c r="Y73" s="461"/>
      <c r="Z73" s="461"/>
    </row>
    <row r="74" spans="2:26" ht="13.5" customHeight="1">
      <c r="B74" s="2813" t="s">
        <v>579</v>
      </c>
      <c r="C74" s="895">
        <v>2</v>
      </c>
      <c r="D74" s="2898"/>
      <c r="E74" s="2898"/>
      <c r="F74" s="2885">
        <f t="shared" si="31"/>
        <v>2</v>
      </c>
      <c r="G74" s="895">
        <v>11</v>
      </c>
      <c r="H74" s="2898"/>
      <c r="I74" s="895">
        <v>3</v>
      </c>
      <c r="J74" s="2885">
        <f t="shared" si="32"/>
        <v>14</v>
      </c>
      <c r="K74" s="895">
        <v>1</v>
      </c>
      <c r="L74" s="2898"/>
      <c r="M74" s="2896"/>
      <c r="N74" s="2885">
        <f t="shared" si="33"/>
        <v>1</v>
      </c>
      <c r="O74" s="461"/>
      <c r="P74" s="461"/>
      <c r="Q74" s="461"/>
      <c r="R74" s="461"/>
      <c r="S74" s="461"/>
      <c r="T74" s="461"/>
      <c r="U74" s="461"/>
      <c r="V74" s="461"/>
      <c r="W74" s="461"/>
      <c r="X74" s="461"/>
      <c r="Y74" s="461"/>
      <c r="Z74" s="461"/>
    </row>
    <row r="75" spans="2:26" ht="13.5" customHeight="1">
      <c r="B75" s="2813" t="s">
        <v>580</v>
      </c>
      <c r="C75" s="895">
        <v>2</v>
      </c>
      <c r="D75" s="2898"/>
      <c r="E75" s="2898"/>
      <c r="F75" s="2885">
        <f t="shared" si="31"/>
        <v>2</v>
      </c>
      <c r="G75" s="895">
        <v>29</v>
      </c>
      <c r="H75" s="2898"/>
      <c r="I75" s="896">
        <v>0</v>
      </c>
      <c r="J75" s="2885">
        <f t="shared" si="32"/>
        <v>29</v>
      </c>
      <c r="K75" s="896">
        <v>0</v>
      </c>
      <c r="L75" s="2898"/>
      <c r="M75" s="2896"/>
      <c r="N75" s="2885">
        <f t="shared" si="33"/>
        <v>0</v>
      </c>
      <c r="O75" s="461"/>
      <c r="P75" s="461"/>
      <c r="Q75" s="461"/>
      <c r="R75" s="461"/>
      <c r="S75" s="461"/>
      <c r="T75" s="461"/>
      <c r="U75" s="461"/>
      <c r="V75" s="461"/>
      <c r="W75" s="461"/>
      <c r="X75" s="461"/>
      <c r="Y75" s="461"/>
      <c r="Z75" s="461"/>
    </row>
    <row r="76" spans="2:26" ht="13.5" customHeight="1">
      <c r="B76" s="2813" t="s">
        <v>581</v>
      </c>
      <c r="C76" s="895">
        <v>7</v>
      </c>
      <c r="D76" s="2898"/>
      <c r="E76" s="2898"/>
      <c r="F76" s="2885">
        <f t="shared" si="31"/>
        <v>7</v>
      </c>
      <c r="G76" s="895">
        <v>201</v>
      </c>
      <c r="H76" s="2898"/>
      <c r="I76" s="895">
        <v>39</v>
      </c>
      <c r="J76" s="2885">
        <f t="shared" si="32"/>
        <v>240</v>
      </c>
      <c r="K76" s="895">
        <v>5</v>
      </c>
      <c r="L76" s="2898"/>
      <c r="M76" s="2896"/>
      <c r="N76" s="2885">
        <f t="shared" si="33"/>
        <v>5</v>
      </c>
      <c r="O76" s="461"/>
      <c r="P76" s="461"/>
      <c r="Q76" s="461"/>
      <c r="R76" s="461"/>
      <c r="S76" s="461"/>
      <c r="T76" s="461"/>
      <c r="U76" s="461"/>
      <c r="V76" s="461"/>
      <c r="W76" s="461"/>
      <c r="X76" s="461"/>
      <c r="Y76" s="461"/>
      <c r="Z76" s="461"/>
    </row>
    <row r="77" spans="2:26" ht="13.5" customHeight="1">
      <c r="B77" s="2895" t="s">
        <v>118</v>
      </c>
      <c r="C77" s="2891">
        <f>SUM(C68:C76)</f>
        <v>29</v>
      </c>
      <c r="D77" s="2891">
        <f t="shared" ref="D77:N77" si="34">SUM(D68:D76)</f>
        <v>0</v>
      </c>
      <c r="E77" s="2891">
        <f t="shared" si="34"/>
        <v>0</v>
      </c>
      <c r="F77" s="2891">
        <f t="shared" si="34"/>
        <v>29</v>
      </c>
      <c r="G77" s="2891">
        <f t="shared" si="34"/>
        <v>300</v>
      </c>
      <c r="H77" s="2891">
        <f t="shared" si="34"/>
        <v>0</v>
      </c>
      <c r="I77" s="2891">
        <f t="shared" si="34"/>
        <v>71</v>
      </c>
      <c r="J77" s="2891">
        <f t="shared" si="34"/>
        <v>371</v>
      </c>
      <c r="K77" s="2891">
        <f t="shared" si="34"/>
        <v>9</v>
      </c>
      <c r="L77" s="2891">
        <f t="shared" si="34"/>
        <v>0</v>
      </c>
      <c r="M77" s="2891">
        <f t="shared" si="34"/>
        <v>0</v>
      </c>
      <c r="N77" s="2891">
        <f t="shared" si="34"/>
        <v>9</v>
      </c>
      <c r="O77" s="461"/>
      <c r="P77" s="461"/>
      <c r="Q77" s="461"/>
      <c r="R77" s="461"/>
      <c r="S77" s="461"/>
      <c r="T77" s="461"/>
      <c r="U77" s="461"/>
      <c r="V77" s="461"/>
      <c r="W77" s="461"/>
      <c r="X77" s="461"/>
      <c r="Y77" s="461"/>
      <c r="Z77" s="461"/>
    </row>
    <row r="78" spans="2:26" ht="13.5" customHeight="1">
      <c r="B78" s="51"/>
      <c r="C78" s="420"/>
      <c r="D78" s="420"/>
      <c r="E78" s="420"/>
      <c r="F78" s="420"/>
      <c r="G78" s="420"/>
      <c r="H78" s="420"/>
      <c r="I78" s="420"/>
      <c r="J78" s="420"/>
      <c r="K78" s="420"/>
      <c r="L78" s="420"/>
      <c r="M78" s="420"/>
      <c r="N78" s="420"/>
    </row>
    <row r="79" spans="2:26" ht="13.5" customHeight="1">
      <c r="B79" s="51"/>
      <c r="C79" s="420"/>
      <c r="D79" s="420"/>
      <c r="E79" s="420"/>
      <c r="F79" s="420"/>
      <c r="G79" s="420"/>
      <c r="H79" s="420"/>
      <c r="I79" s="420"/>
      <c r="J79" s="420"/>
      <c r="K79" s="420"/>
      <c r="L79" s="420"/>
      <c r="M79" s="420"/>
      <c r="N79" s="460">
        <v>171</v>
      </c>
    </row>
    <row r="80" spans="2:26" ht="13.5" customHeight="1">
      <c r="B80" s="51"/>
      <c r="C80" s="420"/>
      <c r="D80" s="420"/>
      <c r="E80" s="420"/>
      <c r="F80" s="420"/>
      <c r="G80" s="420"/>
      <c r="H80" s="236"/>
      <c r="I80" s="236"/>
      <c r="J80" s="236"/>
      <c r="K80" s="236"/>
      <c r="L80" s="236"/>
      <c r="M80" s="420"/>
      <c r="N80" s="420"/>
    </row>
    <row r="81" spans="2:26" ht="13.5" customHeight="1">
      <c r="B81" s="1909" t="s">
        <v>94</v>
      </c>
    </row>
    <row r="82" spans="2:26" ht="26.25" customHeight="1">
      <c r="B82" s="3772" t="s">
        <v>566</v>
      </c>
      <c r="C82" s="3764" t="s">
        <v>567</v>
      </c>
      <c r="D82" s="3764"/>
      <c r="E82" s="3764"/>
      <c r="F82" s="3764"/>
      <c r="G82" s="3701" t="s">
        <v>568</v>
      </c>
      <c r="H82" s="3701"/>
      <c r="I82" s="3701"/>
      <c r="J82" s="3701"/>
      <c r="K82" s="3775" t="s">
        <v>569</v>
      </c>
      <c r="L82" s="3776"/>
      <c r="M82" s="3776"/>
      <c r="N82" s="3763"/>
    </row>
    <row r="83" spans="2:26" ht="13.5" customHeight="1">
      <c r="B83" s="3773"/>
      <c r="C83" s="2875" t="s">
        <v>570</v>
      </c>
      <c r="D83" s="2875" t="s">
        <v>571</v>
      </c>
      <c r="E83" s="2875" t="s">
        <v>572</v>
      </c>
      <c r="F83" s="2892" t="s">
        <v>118</v>
      </c>
      <c r="G83" s="2875" t="s">
        <v>570</v>
      </c>
      <c r="H83" s="2875" t="s">
        <v>571</v>
      </c>
      <c r="I83" s="2875" t="s">
        <v>572</v>
      </c>
      <c r="J83" s="2892" t="s">
        <v>118</v>
      </c>
      <c r="K83" s="2875" t="s">
        <v>570</v>
      </c>
      <c r="L83" s="2875" t="s">
        <v>571</v>
      </c>
      <c r="M83" s="2875" t="s">
        <v>572</v>
      </c>
      <c r="N83" s="2892" t="s">
        <v>118</v>
      </c>
    </row>
    <row r="84" spans="2:26" ht="13.5" customHeight="1">
      <c r="B84" s="2813" t="s">
        <v>573</v>
      </c>
      <c r="C84" s="2894"/>
      <c r="D84" s="2883">
        <v>6</v>
      </c>
      <c r="E84" s="2898"/>
      <c r="F84" s="2885">
        <f>SUM(C84:E84)</f>
        <v>6</v>
      </c>
      <c r="G84" s="2896"/>
      <c r="H84" s="2887">
        <v>15</v>
      </c>
      <c r="I84" s="2896"/>
      <c r="J84" s="2885">
        <f>SUM(G84:I84)</f>
        <v>15</v>
      </c>
      <c r="K84" s="2896"/>
      <c r="L84" s="2887">
        <v>42</v>
      </c>
      <c r="M84" s="2896"/>
      <c r="N84" s="2885">
        <f>SUM(K84:M84)</f>
        <v>42</v>
      </c>
      <c r="O84" s="396"/>
      <c r="P84" s="396"/>
      <c r="Q84" s="396"/>
      <c r="R84" s="396"/>
      <c r="S84" s="396"/>
      <c r="T84" s="396"/>
      <c r="U84" s="396"/>
      <c r="V84" s="396"/>
      <c r="W84" s="396"/>
      <c r="X84" s="396"/>
      <c r="Y84" s="396"/>
      <c r="Z84" s="396"/>
    </row>
    <row r="85" spans="2:26" ht="13.5" customHeight="1">
      <c r="B85" s="2813" t="s">
        <v>574</v>
      </c>
      <c r="C85" s="2896"/>
      <c r="D85" s="2883">
        <v>9</v>
      </c>
      <c r="E85" s="2898"/>
      <c r="F85" s="2885">
        <f t="shared" ref="F85:F92" si="35">SUM(C85:E85)</f>
        <v>9</v>
      </c>
      <c r="G85" s="2896"/>
      <c r="H85" s="2887">
        <v>11</v>
      </c>
      <c r="I85" s="2896"/>
      <c r="J85" s="2885">
        <f t="shared" ref="J85:J92" si="36">SUM(G85:I85)</f>
        <v>11</v>
      </c>
      <c r="K85" s="2896"/>
      <c r="L85" s="2887">
        <v>111</v>
      </c>
      <c r="M85" s="2896"/>
      <c r="N85" s="2885">
        <f t="shared" ref="N85:N92" si="37">SUM(K85:M85)</f>
        <v>111</v>
      </c>
      <c r="O85" s="396"/>
      <c r="P85" s="396"/>
      <c r="Q85" s="396"/>
      <c r="R85" s="396"/>
      <c r="S85" s="396"/>
      <c r="T85" s="396"/>
      <c r="U85" s="396"/>
      <c r="V85" s="396"/>
      <c r="W85" s="396"/>
      <c r="X85" s="396"/>
      <c r="Y85" s="396"/>
      <c r="Z85" s="396"/>
    </row>
    <row r="86" spans="2:26" ht="13.5" customHeight="1">
      <c r="B86" s="2813" t="s">
        <v>575</v>
      </c>
      <c r="C86" s="2896"/>
      <c r="D86" s="2883">
        <v>2</v>
      </c>
      <c r="E86" s="2898"/>
      <c r="F86" s="2885">
        <f t="shared" si="35"/>
        <v>2</v>
      </c>
      <c r="G86" s="2896"/>
      <c r="H86" s="2887">
        <v>1</v>
      </c>
      <c r="I86" s="2896"/>
      <c r="J86" s="2885">
        <f t="shared" si="36"/>
        <v>1</v>
      </c>
      <c r="K86" s="2896"/>
      <c r="L86" s="2887">
        <v>22</v>
      </c>
      <c r="M86" s="2896"/>
      <c r="N86" s="2885">
        <f t="shared" si="37"/>
        <v>22</v>
      </c>
      <c r="O86" s="396"/>
      <c r="P86" s="396"/>
      <c r="Q86" s="396"/>
      <c r="R86" s="396"/>
      <c r="S86" s="396"/>
      <c r="T86" s="396"/>
      <c r="U86" s="396"/>
      <c r="V86" s="396"/>
      <c r="W86" s="396"/>
      <c r="X86" s="396"/>
      <c r="Y86" s="396"/>
      <c r="Z86" s="396"/>
    </row>
    <row r="87" spans="2:26" ht="13.5" customHeight="1">
      <c r="B87" s="2813" t="s">
        <v>576</v>
      </c>
      <c r="C87" s="2896"/>
      <c r="D87" s="2883">
        <v>2</v>
      </c>
      <c r="E87" s="2898"/>
      <c r="F87" s="2885">
        <f t="shared" si="35"/>
        <v>2</v>
      </c>
      <c r="G87" s="2896"/>
      <c r="H87" s="2887">
        <v>4</v>
      </c>
      <c r="I87" s="2896"/>
      <c r="J87" s="2885">
        <f t="shared" si="36"/>
        <v>4</v>
      </c>
      <c r="K87" s="2896"/>
      <c r="L87" s="2887">
        <v>14</v>
      </c>
      <c r="M87" s="2896"/>
      <c r="N87" s="2885">
        <f t="shared" si="37"/>
        <v>14</v>
      </c>
      <c r="O87" s="396"/>
      <c r="P87" s="396"/>
      <c r="Q87" s="396"/>
      <c r="R87" s="396"/>
      <c r="S87" s="396"/>
      <c r="T87" s="396"/>
      <c r="U87" s="396"/>
      <c r="V87" s="396"/>
      <c r="W87" s="396"/>
      <c r="X87" s="396"/>
      <c r="Y87" s="396"/>
      <c r="Z87" s="396"/>
    </row>
    <row r="88" spans="2:26" ht="13.5" customHeight="1">
      <c r="B88" s="2813" t="s">
        <v>582</v>
      </c>
      <c r="C88" s="2896"/>
      <c r="D88" s="2883">
        <v>3</v>
      </c>
      <c r="E88" s="2898"/>
      <c r="F88" s="2885">
        <f t="shared" si="35"/>
        <v>3</v>
      </c>
      <c r="G88" s="2896"/>
      <c r="H88" s="2887">
        <v>3</v>
      </c>
      <c r="I88" s="2896"/>
      <c r="J88" s="2885">
        <f t="shared" si="36"/>
        <v>3</v>
      </c>
      <c r="K88" s="2896"/>
      <c r="L88" s="2887">
        <v>15</v>
      </c>
      <c r="M88" s="2896"/>
      <c r="N88" s="2885">
        <f t="shared" si="37"/>
        <v>15</v>
      </c>
      <c r="O88" s="396"/>
      <c r="P88" s="396"/>
      <c r="Q88" s="396"/>
      <c r="R88" s="396"/>
      <c r="S88" s="396"/>
      <c r="T88" s="396"/>
      <c r="U88" s="396"/>
      <c r="V88" s="396"/>
      <c r="W88" s="396"/>
      <c r="X88" s="396"/>
      <c r="Y88" s="396"/>
      <c r="Z88" s="396"/>
    </row>
    <row r="89" spans="2:26" ht="13.5" customHeight="1">
      <c r="B89" s="2813" t="s">
        <v>578</v>
      </c>
      <c r="C89" s="2896"/>
      <c r="D89" s="2883">
        <v>1</v>
      </c>
      <c r="E89" s="2898"/>
      <c r="F89" s="2885">
        <f t="shared" si="35"/>
        <v>1</v>
      </c>
      <c r="G89" s="2896"/>
      <c r="H89" s="2887">
        <v>3</v>
      </c>
      <c r="I89" s="2896"/>
      <c r="J89" s="2885">
        <f t="shared" si="36"/>
        <v>3</v>
      </c>
      <c r="K89" s="2896"/>
      <c r="L89" s="2887">
        <v>18</v>
      </c>
      <c r="M89" s="2896"/>
      <c r="N89" s="2885">
        <f t="shared" si="37"/>
        <v>18</v>
      </c>
      <c r="O89" s="396"/>
      <c r="P89" s="396"/>
      <c r="Q89" s="396"/>
      <c r="R89" s="396"/>
      <c r="S89" s="396"/>
      <c r="T89" s="396"/>
      <c r="U89" s="396"/>
      <c r="V89" s="396"/>
      <c r="W89" s="396"/>
      <c r="X89" s="396"/>
      <c r="Y89" s="396"/>
      <c r="Z89" s="396"/>
    </row>
    <row r="90" spans="2:26" ht="13.5" customHeight="1">
      <c r="B90" s="2813" t="s">
        <v>579</v>
      </c>
      <c r="C90" s="2896"/>
      <c r="D90" s="2883">
        <v>2</v>
      </c>
      <c r="E90" s="2898"/>
      <c r="F90" s="2885">
        <f t="shared" si="35"/>
        <v>2</v>
      </c>
      <c r="G90" s="2896"/>
      <c r="H90" s="2887">
        <v>2</v>
      </c>
      <c r="I90" s="2896"/>
      <c r="J90" s="2885">
        <f t="shared" si="36"/>
        <v>2</v>
      </c>
      <c r="K90" s="2896"/>
      <c r="L90" s="2887">
        <v>7</v>
      </c>
      <c r="M90" s="2896"/>
      <c r="N90" s="2885">
        <f t="shared" si="37"/>
        <v>7</v>
      </c>
      <c r="O90" s="396"/>
      <c r="P90" s="396"/>
      <c r="Q90" s="396"/>
      <c r="R90" s="396"/>
      <c r="S90" s="396"/>
      <c r="T90" s="396"/>
      <c r="U90" s="396"/>
      <c r="V90" s="396"/>
      <c r="W90" s="396"/>
      <c r="X90" s="396"/>
      <c r="Y90" s="396"/>
      <c r="Z90" s="396"/>
    </row>
    <row r="91" spans="2:26" ht="13.5" customHeight="1">
      <c r="B91" s="2813" t="s">
        <v>580</v>
      </c>
      <c r="C91" s="2896"/>
      <c r="D91" s="2883">
        <v>1</v>
      </c>
      <c r="E91" s="2898"/>
      <c r="F91" s="2885">
        <f t="shared" si="35"/>
        <v>1</v>
      </c>
      <c r="G91" s="2896"/>
      <c r="H91" s="2887">
        <v>3</v>
      </c>
      <c r="I91" s="2896"/>
      <c r="J91" s="2885">
        <f t="shared" si="36"/>
        <v>3</v>
      </c>
      <c r="K91" s="2896"/>
      <c r="L91" s="2887">
        <v>17</v>
      </c>
      <c r="M91" s="2896"/>
      <c r="N91" s="2885">
        <f t="shared" si="37"/>
        <v>17</v>
      </c>
      <c r="O91" s="396"/>
      <c r="P91" s="396"/>
      <c r="Q91" s="396"/>
      <c r="R91" s="396"/>
      <c r="S91" s="396"/>
      <c r="T91" s="396"/>
      <c r="U91" s="396"/>
      <c r="V91" s="396"/>
      <c r="W91" s="396"/>
      <c r="X91" s="396"/>
      <c r="Y91" s="396"/>
      <c r="Z91" s="396"/>
    </row>
    <row r="92" spans="2:26" ht="13.5" customHeight="1">
      <c r="B92" s="2813" t="s">
        <v>581</v>
      </c>
      <c r="C92" s="2896"/>
      <c r="D92" s="2883">
        <v>7</v>
      </c>
      <c r="E92" s="2898"/>
      <c r="F92" s="2885">
        <f t="shared" si="35"/>
        <v>7</v>
      </c>
      <c r="G92" s="2896"/>
      <c r="H92" s="2887">
        <v>52</v>
      </c>
      <c r="I92" s="2896"/>
      <c r="J92" s="2885">
        <f t="shared" si="36"/>
        <v>52</v>
      </c>
      <c r="K92" s="2896"/>
      <c r="L92" s="2887">
        <v>97</v>
      </c>
      <c r="M92" s="2896"/>
      <c r="N92" s="2885">
        <f t="shared" si="37"/>
        <v>97</v>
      </c>
      <c r="O92" s="396"/>
      <c r="P92" s="396"/>
      <c r="Q92" s="396"/>
      <c r="R92" s="396"/>
      <c r="S92" s="396"/>
      <c r="T92" s="396"/>
      <c r="U92" s="396"/>
      <c r="V92" s="396"/>
      <c r="W92" s="396"/>
      <c r="X92" s="396"/>
      <c r="Y92" s="396"/>
      <c r="Z92" s="396"/>
    </row>
    <row r="93" spans="2:26" ht="13.5" customHeight="1">
      <c r="B93" s="2895" t="s">
        <v>118</v>
      </c>
      <c r="C93" s="2891"/>
      <c r="D93" s="2891">
        <f>SUM(D84:D92)</f>
        <v>33</v>
      </c>
      <c r="E93" s="2891"/>
      <c r="F93" s="2891">
        <f>SUM(F84:F92)</f>
        <v>33</v>
      </c>
      <c r="G93" s="2891"/>
      <c r="H93" s="2891">
        <f>SUM(H84:H92)</f>
        <v>94</v>
      </c>
      <c r="I93" s="2891"/>
      <c r="J93" s="2891">
        <f>SUM(J84:J92)</f>
        <v>94</v>
      </c>
      <c r="K93" s="2891"/>
      <c r="L93" s="2891">
        <f>SUM(L84:L92)</f>
        <v>343</v>
      </c>
      <c r="M93" s="2891"/>
      <c r="N93" s="2891">
        <f>SUM(N84:N92)</f>
        <v>343</v>
      </c>
      <c r="O93" s="396"/>
      <c r="P93" s="396"/>
      <c r="Q93" s="396"/>
      <c r="R93" s="396"/>
      <c r="S93" s="396"/>
      <c r="T93" s="396"/>
      <c r="U93" s="396"/>
      <c r="V93" s="396"/>
      <c r="W93" s="396"/>
      <c r="X93" s="396"/>
      <c r="Y93" s="396"/>
      <c r="Z93" s="396"/>
    </row>
    <row r="94" spans="2:26" ht="13.5" customHeight="1">
      <c r="B94" s="51"/>
      <c r="C94" s="420"/>
      <c r="D94" s="420"/>
      <c r="E94" s="420"/>
      <c r="F94" s="420"/>
      <c r="G94" s="420"/>
      <c r="H94" s="236"/>
      <c r="I94" s="236"/>
      <c r="J94" s="236"/>
      <c r="K94" s="236"/>
      <c r="L94" s="236"/>
      <c r="M94" s="420"/>
      <c r="N94" s="420"/>
    </row>
    <row r="95" spans="2:26" ht="13.5" customHeight="1">
      <c r="B95" s="51"/>
      <c r="C95" s="420"/>
      <c r="D95" s="420"/>
      <c r="E95" s="420"/>
      <c r="F95" s="420"/>
      <c r="G95" s="420"/>
      <c r="H95" s="236"/>
      <c r="I95" s="236"/>
      <c r="J95" s="236"/>
      <c r="K95" s="236"/>
      <c r="L95" s="236"/>
      <c r="M95" s="420"/>
      <c r="N95" s="420"/>
    </row>
    <row r="96" spans="2:26" ht="13.5" customHeight="1">
      <c r="B96" s="1909" t="s">
        <v>96</v>
      </c>
    </row>
    <row r="97" spans="2:26" ht="28.5" customHeight="1">
      <c r="B97" s="3760" t="s">
        <v>566</v>
      </c>
      <c r="C97" s="3763" t="s">
        <v>567</v>
      </c>
      <c r="D97" s="3764"/>
      <c r="E97" s="3764"/>
      <c r="F97" s="3764"/>
      <c r="G97" s="3701" t="s">
        <v>568</v>
      </c>
      <c r="H97" s="3774"/>
      <c r="I97" s="3774"/>
      <c r="J97" s="3774"/>
      <c r="K97" s="3775" t="s">
        <v>569</v>
      </c>
      <c r="L97" s="3776"/>
      <c r="M97" s="3776"/>
      <c r="N97" s="3763"/>
    </row>
    <row r="98" spans="2:26" ht="13.5" customHeight="1">
      <c r="B98" s="3762"/>
      <c r="C98" s="2874" t="s">
        <v>570</v>
      </c>
      <c r="D98" s="2875" t="s">
        <v>571</v>
      </c>
      <c r="E98" s="2875" t="s">
        <v>572</v>
      </c>
      <c r="F98" s="2892" t="s">
        <v>118</v>
      </c>
      <c r="G98" s="2875" t="s">
        <v>570</v>
      </c>
      <c r="H98" s="2875" t="s">
        <v>571</v>
      </c>
      <c r="I98" s="2875" t="s">
        <v>572</v>
      </c>
      <c r="J98" s="2892" t="s">
        <v>118</v>
      </c>
      <c r="K98" s="2875" t="s">
        <v>570</v>
      </c>
      <c r="L98" s="2875" t="s">
        <v>571</v>
      </c>
      <c r="M98" s="2875" t="s">
        <v>572</v>
      </c>
      <c r="N98" s="2892" t="s">
        <v>118</v>
      </c>
    </row>
    <row r="99" spans="2:26" ht="13.5" customHeight="1">
      <c r="B99" s="1911" t="s">
        <v>573</v>
      </c>
      <c r="C99" s="2894"/>
      <c r="D99" s="2883">
        <v>8</v>
      </c>
      <c r="E99" s="2898"/>
      <c r="F99" s="2885">
        <f>SUM(C99:E99)</f>
        <v>8</v>
      </c>
      <c r="G99" s="2896"/>
      <c r="H99" s="2887">
        <v>59</v>
      </c>
      <c r="I99" s="2896"/>
      <c r="J99" s="2885">
        <f>SUM(G99:I99)</f>
        <v>59</v>
      </c>
      <c r="K99" s="2896"/>
      <c r="L99" s="2887">
        <v>136</v>
      </c>
      <c r="M99" s="2896"/>
      <c r="N99" s="2885">
        <f>SUM(K99:M99)</f>
        <v>136</v>
      </c>
      <c r="O99" s="396"/>
      <c r="P99" s="396"/>
      <c r="Q99" s="396"/>
      <c r="R99" s="396"/>
      <c r="S99" s="396"/>
      <c r="T99" s="396"/>
      <c r="U99" s="396"/>
      <c r="V99" s="396"/>
      <c r="W99" s="396"/>
      <c r="X99" s="396"/>
      <c r="Y99" s="396"/>
      <c r="Z99" s="396"/>
    </row>
    <row r="100" spans="2:26" ht="13.5" customHeight="1">
      <c r="B100" s="2813" t="s">
        <v>574</v>
      </c>
      <c r="C100" s="2896"/>
      <c r="D100" s="2887">
        <v>8</v>
      </c>
      <c r="E100" s="2898"/>
      <c r="F100" s="2885">
        <f t="shared" ref="F100:F107" si="38">SUM(C100:E100)</f>
        <v>8</v>
      </c>
      <c r="G100" s="2896"/>
      <c r="H100" s="2887">
        <v>55</v>
      </c>
      <c r="I100" s="2896"/>
      <c r="J100" s="2885">
        <f t="shared" ref="J100:J107" si="39">SUM(G100:I100)</f>
        <v>55</v>
      </c>
      <c r="K100" s="2896"/>
      <c r="L100" s="2887">
        <v>271</v>
      </c>
      <c r="M100" s="2896"/>
      <c r="N100" s="2885">
        <f t="shared" ref="N100:N107" si="40">SUM(K100:M100)</f>
        <v>271</v>
      </c>
      <c r="O100" s="396"/>
      <c r="P100" s="396"/>
      <c r="Q100" s="396"/>
      <c r="R100" s="396"/>
      <c r="S100" s="396"/>
      <c r="T100" s="396"/>
      <c r="U100" s="396"/>
      <c r="V100" s="396"/>
      <c r="W100" s="396"/>
      <c r="X100" s="396"/>
      <c r="Y100" s="396"/>
      <c r="Z100" s="396"/>
    </row>
    <row r="101" spans="2:26" ht="13.5" customHeight="1">
      <c r="B101" s="2813" t="s">
        <v>575</v>
      </c>
      <c r="C101" s="2896"/>
      <c r="D101" s="2887">
        <v>5</v>
      </c>
      <c r="E101" s="2898"/>
      <c r="F101" s="2885">
        <f t="shared" si="38"/>
        <v>5</v>
      </c>
      <c r="G101" s="2896"/>
      <c r="H101" s="2887">
        <v>45</v>
      </c>
      <c r="I101" s="2896"/>
      <c r="J101" s="2885">
        <f t="shared" si="39"/>
        <v>45</v>
      </c>
      <c r="K101" s="2896"/>
      <c r="L101" s="2887">
        <v>132</v>
      </c>
      <c r="M101" s="2896"/>
      <c r="N101" s="2885">
        <f t="shared" si="40"/>
        <v>132</v>
      </c>
      <c r="O101" s="396"/>
      <c r="P101" s="396"/>
      <c r="Q101" s="396"/>
      <c r="R101" s="396"/>
      <c r="S101" s="396"/>
      <c r="T101" s="396"/>
      <c r="U101" s="396"/>
      <c r="V101" s="396"/>
      <c r="W101" s="396"/>
      <c r="X101" s="396"/>
      <c r="Y101" s="396"/>
      <c r="Z101" s="396"/>
    </row>
    <row r="102" spans="2:26" ht="13.5" customHeight="1">
      <c r="B102" s="2813" t="s">
        <v>576</v>
      </c>
      <c r="C102" s="2896"/>
      <c r="D102" s="2887">
        <v>3</v>
      </c>
      <c r="E102" s="2898"/>
      <c r="F102" s="2885">
        <f t="shared" si="38"/>
        <v>3</v>
      </c>
      <c r="G102" s="2896"/>
      <c r="H102" s="2887">
        <v>40</v>
      </c>
      <c r="I102" s="2896"/>
      <c r="J102" s="2885">
        <f t="shared" si="39"/>
        <v>40</v>
      </c>
      <c r="K102" s="2896"/>
      <c r="L102" s="2887">
        <v>150</v>
      </c>
      <c r="M102" s="2896"/>
      <c r="N102" s="2885">
        <f t="shared" si="40"/>
        <v>150</v>
      </c>
      <c r="O102" s="396"/>
      <c r="P102" s="396"/>
      <c r="Q102" s="396"/>
      <c r="R102" s="396"/>
      <c r="S102" s="396"/>
      <c r="T102" s="396"/>
      <c r="U102" s="396"/>
      <c r="V102" s="396"/>
      <c r="W102" s="396"/>
      <c r="X102" s="396"/>
      <c r="Y102" s="396"/>
      <c r="Z102" s="396"/>
    </row>
    <row r="103" spans="2:26" ht="13.5" customHeight="1">
      <c r="B103" s="2813" t="s">
        <v>582</v>
      </c>
      <c r="C103" s="2896"/>
      <c r="D103" s="2887">
        <v>6</v>
      </c>
      <c r="E103" s="2898"/>
      <c r="F103" s="2885">
        <f t="shared" si="38"/>
        <v>6</v>
      </c>
      <c r="G103" s="2896"/>
      <c r="H103" s="2887">
        <v>51</v>
      </c>
      <c r="I103" s="2896"/>
      <c r="J103" s="2885">
        <f t="shared" si="39"/>
        <v>51</v>
      </c>
      <c r="K103" s="2896"/>
      <c r="L103" s="2887">
        <v>264</v>
      </c>
      <c r="M103" s="2896"/>
      <c r="N103" s="2885">
        <f t="shared" si="40"/>
        <v>264</v>
      </c>
      <c r="O103" s="396"/>
      <c r="P103" s="396"/>
      <c r="Q103" s="396"/>
      <c r="R103" s="396"/>
      <c r="S103" s="396"/>
      <c r="T103" s="396"/>
      <c r="U103" s="396"/>
      <c r="V103" s="396"/>
      <c r="W103" s="396"/>
      <c r="X103" s="396"/>
      <c r="Y103" s="396"/>
      <c r="Z103" s="396"/>
    </row>
    <row r="104" spans="2:26" ht="13.5" customHeight="1">
      <c r="B104" s="2813" t="s">
        <v>578</v>
      </c>
      <c r="C104" s="2896"/>
      <c r="D104" s="2887">
        <v>5</v>
      </c>
      <c r="E104" s="2898"/>
      <c r="F104" s="2885">
        <f t="shared" si="38"/>
        <v>5</v>
      </c>
      <c r="G104" s="2896"/>
      <c r="H104" s="2887">
        <v>54</v>
      </c>
      <c r="I104" s="2896"/>
      <c r="J104" s="2885">
        <f t="shared" si="39"/>
        <v>54</v>
      </c>
      <c r="K104" s="2896"/>
      <c r="L104" s="2887">
        <v>225</v>
      </c>
      <c r="M104" s="2896"/>
      <c r="N104" s="2885">
        <f t="shared" si="40"/>
        <v>225</v>
      </c>
      <c r="O104" s="396"/>
      <c r="P104" s="396"/>
      <c r="Q104" s="396"/>
      <c r="R104" s="396"/>
      <c r="S104" s="396"/>
      <c r="T104" s="396"/>
      <c r="U104" s="396"/>
      <c r="V104" s="396"/>
      <c r="W104" s="396"/>
      <c r="X104" s="396"/>
      <c r="Y104" s="396"/>
      <c r="Z104" s="396"/>
    </row>
    <row r="105" spans="2:26" ht="13.5" customHeight="1">
      <c r="B105" s="2813" t="s">
        <v>579</v>
      </c>
      <c r="C105" s="2896"/>
      <c r="D105" s="2887">
        <v>8</v>
      </c>
      <c r="E105" s="2898"/>
      <c r="F105" s="2885">
        <f t="shared" si="38"/>
        <v>8</v>
      </c>
      <c r="G105" s="2896"/>
      <c r="H105" s="2887">
        <v>78</v>
      </c>
      <c r="I105" s="2896"/>
      <c r="J105" s="2885">
        <f t="shared" si="39"/>
        <v>78</v>
      </c>
      <c r="K105" s="2896"/>
      <c r="L105" s="2887">
        <v>261</v>
      </c>
      <c r="M105" s="2896"/>
      <c r="N105" s="2885">
        <f t="shared" si="40"/>
        <v>261</v>
      </c>
      <c r="O105" s="396"/>
      <c r="P105" s="396"/>
      <c r="Q105" s="396"/>
      <c r="R105" s="396"/>
      <c r="S105" s="396"/>
      <c r="T105" s="396"/>
      <c r="U105" s="396"/>
      <c r="V105" s="396"/>
      <c r="W105" s="396"/>
      <c r="X105" s="396"/>
      <c r="Y105" s="396"/>
      <c r="Z105" s="396"/>
    </row>
    <row r="106" spans="2:26" ht="13.5" customHeight="1">
      <c r="B106" s="2813" t="s">
        <v>580</v>
      </c>
      <c r="C106" s="2896"/>
      <c r="D106" s="2887">
        <v>5</v>
      </c>
      <c r="E106" s="2898"/>
      <c r="F106" s="2885">
        <f t="shared" si="38"/>
        <v>5</v>
      </c>
      <c r="G106" s="2896"/>
      <c r="H106" s="2887">
        <v>46</v>
      </c>
      <c r="I106" s="2896"/>
      <c r="J106" s="2885">
        <f t="shared" si="39"/>
        <v>46</v>
      </c>
      <c r="K106" s="2896"/>
      <c r="L106" s="2887">
        <v>171</v>
      </c>
      <c r="M106" s="2896"/>
      <c r="N106" s="2885">
        <f t="shared" si="40"/>
        <v>171</v>
      </c>
      <c r="O106" s="396"/>
      <c r="P106" s="396"/>
      <c r="Q106" s="396"/>
      <c r="R106" s="396"/>
      <c r="S106" s="396"/>
      <c r="T106" s="396"/>
      <c r="U106" s="396"/>
      <c r="V106" s="396"/>
      <c r="W106" s="396"/>
      <c r="X106" s="396"/>
      <c r="Y106" s="396"/>
      <c r="Z106" s="396"/>
    </row>
    <row r="107" spans="2:26" ht="13.5" customHeight="1">
      <c r="B107" s="2893" t="s">
        <v>581</v>
      </c>
      <c r="C107" s="2896"/>
      <c r="D107" s="2887">
        <v>17</v>
      </c>
      <c r="E107" s="2898"/>
      <c r="F107" s="2885">
        <f t="shared" si="38"/>
        <v>17</v>
      </c>
      <c r="G107" s="2896"/>
      <c r="H107" s="2887">
        <v>223</v>
      </c>
      <c r="I107" s="2896"/>
      <c r="J107" s="2885">
        <f t="shared" si="39"/>
        <v>223</v>
      </c>
      <c r="K107" s="2896"/>
      <c r="L107" s="2887">
        <v>544</v>
      </c>
      <c r="M107" s="2896"/>
      <c r="N107" s="2885">
        <f t="shared" si="40"/>
        <v>544</v>
      </c>
      <c r="O107" s="396"/>
      <c r="P107" s="396"/>
      <c r="Q107" s="396"/>
      <c r="R107" s="396"/>
      <c r="S107" s="396"/>
      <c r="T107" s="396"/>
      <c r="U107" s="396"/>
      <c r="V107" s="396"/>
      <c r="W107" s="396"/>
      <c r="X107" s="396"/>
      <c r="Y107" s="396"/>
      <c r="Z107" s="396"/>
    </row>
    <row r="108" spans="2:26" ht="13.5" customHeight="1">
      <c r="B108" s="2895" t="s">
        <v>118</v>
      </c>
      <c r="C108" s="2891"/>
      <c r="D108" s="2891">
        <f>SUM(D99:D107)</f>
        <v>65</v>
      </c>
      <c r="E108" s="2891"/>
      <c r="F108" s="2891">
        <f>SUM(F99:F107)</f>
        <v>65</v>
      </c>
      <c r="G108" s="2891"/>
      <c r="H108" s="2891">
        <f>SUM(H99:H107)</f>
        <v>651</v>
      </c>
      <c r="I108" s="2891"/>
      <c r="J108" s="2891">
        <f>SUM(J99:J107)</f>
        <v>651</v>
      </c>
      <c r="K108" s="2891"/>
      <c r="L108" s="2891">
        <f>SUM(L99:L107)</f>
        <v>2154</v>
      </c>
      <c r="M108" s="2891"/>
      <c r="N108" s="2891">
        <f>SUM(N99:N107)</f>
        <v>2154</v>
      </c>
      <c r="O108" s="396"/>
      <c r="P108" s="396"/>
      <c r="Q108" s="396"/>
      <c r="R108" s="396"/>
      <c r="S108" s="396"/>
      <c r="T108" s="396"/>
      <c r="U108" s="396"/>
      <c r="V108" s="396"/>
      <c r="W108" s="396"/>
      <c r="X108" s="396"/>
      <c r="Y108" s="396"/>
      <c r="Z108" s="396"/>
    </row>
    <row r="109" spans="2:26" ht="13.5" customHeight="1">
      <c r="B109" s="51"/>
      <c r="C109" s="420"/>
      <c r="D109" s="420"/>
      <c r="E109" s="420"/>
      <c r="F109" s="264"/>
      <c r="G109" s="420"/>
      <c r="H109" s="420"/>
      <c r="I109" s="420"/>
      <c r="J109" s="264"/>
      <c r="K109" s="420"/>
      <c r="L109" s="420"/>
      <c r="M109" s="420"/>
      <c r="N109" s="264"/>
    </row>
    <row r="110" spans="2:26" ht="13.5" customHeight="1">
      <c r="B110" s="51"/>
      <c r="C110" s="420"/>
      <c r="D110" s="420"/>
      <c r="E110" s="420"/>
      <c r="F110" s="264"/>
      <c r="G110" s="420"/>
      <c r="H110" s="51"/>
      <c r="I110" s="51"/>
      <c r="J110" s="51"/>
      <c r="K110" s="51"/>
      <c r="L110" s="51"/>
      <c r="M110" s="420"/>
      <c r="N110" s="264"/>
    </row>
    <row r="111" spans="2:26" ht="13.5" customHeight="1">
      <c r="B111" s="1909" t="s">
        <v>116</v>
      </c>
    </row>
    <row r="112" spans="2:26" ht="28.5" customHeight="1">
      <c r="B112" s="3760" t="s">
        <v>566</v>
      </c>
      <c r="C112" s="3763" t="s">
        <v>567</v>
      </c>
      <c r="D112" s="3764"/>
      <c r="E112" s="3764"/>
      <c r="F112" s="3764"/>
      <c r="G112" s="3701" t="s">
        <v>568</v>
      </c>
      <c r="H112" s="3774"/>
      <c r="I112" s="3774"/>
      <c r="J112" s="3774"/>
      <c r="K112" s="3775" t="s">
        <v>569</v>
      </c>
      <c r="L112" s="3776"/>
      <c r="M112" s="3776"/>
      <c r="N112" s="3763"/>
    </row>
    <row r="113" spans="2:26" ht="13.5" customHeight="1">
      <c r="B113" s="3762"/>
      <c r="C113" s="2874" t="s">
        <v>570</v>
      </c>
      <c r="D113" s="2875" t="s">
        <v>571</v>
      </c>
      <c r="E113" s="2875" t="s">
        <v>572</v>
      </c>
      <c r="F113" s="2892" t="s">
        <v>118</v>
      </c>
      <c r="G113" s="2875" t="s">
        <v>570</v>
      </c>
      <c r="H113" s="2875" t="s">
        <v>571</v>
      </c>
      <c r="I113" s="2875" t="s">
        <v>572</v>
      </c>
      <c r="J113" s="2892" t="s">
        <v>118</v>
      </c>
      <c r="K113" s="2875" t="s">
        <v>570</v>
      </c>
      <c r="L113" s="2875" t="s">
        <v>571</v>
      </c>
      <c r="M113" s="2875" t="s">
        <v>572</v>
      </c>
      <c r="N113" s="2892" t="s">
        <v>118</v>
      </c>
    </row>
    <row r="114" spans="2:26" ht="13.5" customHeight="1">
      <c r="B114" s="1911" t="s">
        <v>573</v>
      </c>
      <c r="C114" s="2894"/>
      <c r="D114" s="2887">
        <v>10</v>
      </c>
      <c r="E114" s="2898"/>
      <c r="F114" s="2885">
        <f>SUM(C114:E114)</f>
        <v>10</v>
      </c>
      <c r="G114" s="2896"/>
      <c r="H114" s="2900">
        <v>66</v>
      </c>
      <c r="I114" s="2896"/>
      <c r="J114" s="2885">
        <f>SUM(G114:I114)</f>
        <v>66</v>
      </c>
      <c r="K114" s="2896"/>
      <c r="L114" s="2887">
        <v>351</v>
      </c>
      <c r="M114" s="2896"/>
      <c r="N114" s="2885">
        <f>SUM(K114:M114)</f>
        <v>351</v>
      </c>
      <c r="O114" s="396"/>
      <c r="P114" s="396"/>
      <c r="Q114" s="396"/>
      <c r="R114" s="396"/>
      <c r="S114" s="396"/>
      <c r="T114" s="396"/>
      <c r="U114" s="396"/>
      <c r="V114" s="396"/>
      <c r="W114" s="396"/>
      <c r="X114" s="396"/>
      <c r="Y114" s="396"/>
      <c r="Z114" s="396"/>
    </row>
    <row r="115" spans="2:26" ht="13.5" customHeight="1">
      <c r="B115" s="2813" t="s">
        <v>574</v>
      </c>
      <c r="C115" s="2896"/>
      <c r="D115" s="2887">
        <v>3</v>
      </c>
      <c r="E115" s="2898"/>
      <c r="F115" s="2885">
        <f t="shared" ref="F115:F122" si="41">SUM(C115:E115)</f>
        <v>3</v>
      </c>
      <c r="G115" s="2896"/>
      <c r="H115" s="2900">
        <v>26</v>
      </c>
      <c r="I115" s="2896"/>
      <c r="J115" s="2885">
        <f t="shared" ref="J115:J122" si="42">SUM(G115:I115)</f>
        <v>26</v>
      </c>
      <c r="K115" s="2896"/>
      <c r="L115" s="2887">
        <v>137</v>
      </c>
      <c r="M115" s="2896"/>
      <c r="N115" s="2885">
        <f t="shared" ref="N115:N122" si="43">SUM(K115:M115)</f>
        <v>137</v>
      </c>
      <c r="O115" s="396"/>
      <c r="P115" s="396"/>
      <c r="Q115" s="396"/>
      <c r="R115" s="396"/>
      <c r="S115" s="396"/>
      <c r="T115" s="396"/>
      <c r="U115" s="396"/>
      <c r="V115" s="396"/>
      <c r="W115" s="396"/>
      <c r="X115" s="396"/>
      <c r="Y115" s="396"/>
      <c r="Z115" s="396"/>
    </row>
    <row r="116" spans="2:26" ht="13.5" customHeight="1">
      <c r="B116" s="2813" t="s">
        <v>575</v>
      </c>
      <c r="C116" s="2896"/>
      <c r="D116" s="2887">
        <v>4</v>
      </c>
      <c r="E116" s="2898"/>
      <c r="F116" s="2885">
        <f t="shared" si="41"/>
        <v>4</v>
      </c>
      <c r="G116" s="2896"/>
      <c r="H116" s="2900">
        <v>25</v>
      </c>
      <c r="I116" s="2896"/>
      <c r="J116" s="2885">
        <f t="shared" si="42"/>
        <v>25</v>
      </c>
      <c r="K116" s="2896"/>
      <c r="L116" s="2887">
        <v>144</v>
      </c>
      <c r="M116" s="2896"/>
      <c r="N116" s="2885">
        <f t="shared" si="43"/>
        <v>144</v>
      </c>
      <c r="O116" s="396"/>
      <c r="P116" s="396"/>
      <c r="Q116" s="396"/>
      <c r="R116" s="396"/>
      <c r="S116" s="396"/>
      <c r="T116" s="396"/>
      <c r="U116" s="396"/>
      <c r="V116" s="396"/>
      <c r="W116" s="396"/>
      <c r="X116" s="396"/>
      <c r="Y116" s="396"/>
      <c r="Z116" s="396"/>
    </row>
    <row r="117" spans="2:26" ht="13.5" customHeight="1">
      <c r="B117" s="2813" t="s">
        <v>576</v>
      </c>
      <c r="C117" s="2896"/>
      <c r="D117" s="2887">
        <v>12</v>
      </c>
      <c r="E117" s="2898"/>
      <c r="F117" s="2885">
        <f t="shared" si="41"/>
        <v>12</v>
      </c>
      <c r="G117" s="2896"/>
      <c r="H117" s="2900">
        <v>66</v>
      </c>
      <c r="I117" s="2896"/>
      <c r="J117" s="2885">
        <f t="shared" si="42"/>
        <v>66</v>
      </c>
      <c r="K117" s="2896"/>
      <c r="L117" s="2887">
        <v>440</v>
      </c>
      <c r="M117" s="2896"/>
      <c r="N117" s="2885">
        <f t="shared" si="43"/>
        <v>440</v>
      </c>
      <c r="O117" s="396"/>
      <c r="P117" s="396"/>
      <c r="Q117" s="396"/>
      <c r="R117" s="396"/>
      <c r="S117" s="396"/>
      <c r="T117" s="396"/>
      <c r="U117" s="396"/>
      <c r="V117" s="396"/>
      <c r="W117" s="396"/>
      <c r="X117" s="396"/>
      <c r="Y117" s="396"/>
      <c r="Z117" s="396"/>
    </row>
    <row r="118" spans="2:26" ht="13.5" customHeight="1">
      <c r="B118" s="2813" t="s">
        <v>582</v>
      </c>
      <c r="C118" s="2896"/>
      <c r="D118" s="2887">
        <v>4</v>
      </c>
      <c r="E118" s="2898"/>
      <c r="F118" s="2885">
        <f t="shared" si="41"/>
        <v>4</v>
      </c>
      <c r="G118" s="2896"/>
      <c r="H118" s="2900">
        <v>32</v>
      </c>
      <c r="I118" s="2896"/>
      <c r="J118" s="2885">
        <f t="shared" si="42"/>
        <v>32</v>
      </c>
      <c r="K118" s="2896"/>
      <c r="L118" s="2887">
        <v>158</v>
      </c>
      <c r="M118" s="2896"/>
      <c r="N118" s="2885">
        <f t="shared" si="43"/>
        <v>158</v>
      </c>
      <c r="O118" s="396"/>
      <c r="P118" s="396"/>
      <c r="Q118" s="396"/>
      <c r="R118" s="396"/>
      <c r="S118" s="396"/>
      <c r="T118" s="396"/>
      <c r="U118" s="396"/>
      <c r="V118" s="396"/>
      <c r="W118" s="396"/>
      <c r="X118" s="396"/>
      <c r="Y118" s="396"/>
      <c r="Z118" s="396"/>
    </row>
    <row r="119" spans="2:26" ht="13.5" customHeight="1">
      <c r="B119" s="2813" t="s">
        <v>578</v>
      </c>
      <c r="C119" s="2896"/>
      <c r="D119" s="2887">
        <v>5</v>
      </c>
      <c r="E119" s="2898"/>
      <c r="F119" s="2885">
        <f t="shared" si="41"/>
        <v>5</v>
      </c>
      <c r="G119" s="2896"/>
      <c r="H119" s="2900">
        <v>35</v>
      </c>
      <c r="I119" s="2896"/>
      <c r="J119" s="2885">
        <f t="shared" si="42"/>
        <v>35</v>
      </c>
      <c r="K119" s="2896"/>
      <c r="L119" s="2887">
        <v>157</v>
      </c>
      <c r="M119" s="2896"/>
      <c r="N119" s="2885">
        <f t="shared" si="43"/>
        <v>157</v>
      </c>
      <c r="O119" s="396"/>
      <c r="P119" s="396"/>
      <c r="Q119" s="396"/>
      <c r="R119" s="396"/>
      <c r="S119" s="396"/>
      <c r="T119" s="396"/>
      <c r="U119" s="396"/>
      <c r="V119" s="396"/>
      <c r="W119" s="396"/>
      <c r="X119" s="396"/>
      <c r="Y119" s="396"/>
      <c r="Z119" s="396"/>
    </row>
    <row r="120" spans="2:26" ht="13.5" customHeight="1">
      <c r="B120" s="2813" t="s">
        <v>579</v>
      </c>
      <c r="C120" s="2896"/>
      <c r="D120" s="2887">
        <v>13</v>
      </c>
      <c r="E120" s="2898"/>
      <c r="F120" s="2885">
        <f t="shared" si="41"/>
        <v>13</v>
      </c>
      <c r="G120" s="2896"/>
      <c r="H120" s="2900">
        <v>75</v>
      </c>
      <c r="I120" s="2896"/>
      <c r="J120" s="2885">
        <f t="shared" si="42"/>
        <v>75</v>
      </c>
      <c r="K120" s="2896"/>
      <c r="L120" s="2887">
        <v>382</v>
      </c>
      <c r="M120" s="2896"/>
      <c r="N120" s="2885">
        <f t="shared" si="43"/>
        <v>382</v>
      </c>
      <c r="O120" s="396"/>
      <c r="P120" s="396"/>
      <c r="Q120" s="396"/>
      <c r="R120" s="396"/>
      <c r="S120" s="396"/>
      <c r="T120" s="396"/>
      <c r="U120" s="396"/>
      <c r="V120" s="396"/>
      <c r="W120" s="396"/>
      <c r="X120" s="396"/>
      <c r="Y120" s="396"/>
      <c r="Z120" s="396"/>
    </row>
    <row r="121" spans="2:26" ht="13.5" customHeight="1">
      <c r="B121" s="2813" t="s">
        <v>580</v>
      </c>
      <c r="C121" s="2896"/>
      <c r="D121" s="2887">
        <v>5</v>
      </c>
      <c r="E121" s="2898"/>
      <c r="F121" s="2885">
        <f t="shared" si="41"/>
        <v>5</v>
      </c>
      <c r="G121" s="2896"/>
      <c r="H121" s="2900">
        <v>26</v>
      </c>
      <c r="I121" s="2896"/>
      <c r="J121" s="2885">
        <f t="shared" si="42"/>
        <v>26</v>
      </c>
      <c r="K121" s="2896"/>
      <c r="L121" s="2887">
        <v>93</v>
      </c>
      <c r="M121" s="2896"/>
      <c r="N121" s="2885">
        <f t="shared" si="43"/>
        <v>93</v>
      </c>
      <c r="O121" s="396"/>
      <c r="P121" s="396"/>
      <c r="Q121" s="396"/>
      <c r="R121" s="396"/>
      <c r="S121" s="396"/>
      <c r="T121" s="396"/>
      <c r="U121" s="396"/>
      <c r="V121" s="396"/>
      <c r="W121" s="396"/>
      <c r="X121" s="396"/>
      <c r="Y121" s="396"/>
      <c r="Z121" s="396"/>
    </row>
    <row r="122" spans="2:26" ht="13.5" customHeight="1">
      <c r="B122" s="2813" t="s">
        <v>581</v>
      </c>
      <c r="C122" s="2896"/>
      <c r="D122" s="2887">
        <v>50</v>
      </c>
      <c r="E122" s="2898"/>
      <c r="F122" s="2885">
        <f t="shared" si="41"/>
        <v>50</v>
      </c>
      <c r="G122" s="2896"/>
      <c r="H122" s="2900">
        <v>629</v>
      </c>
      <c r="I122" s="2896"/>
      <c r="J122" s="2885">
        <f t="shared" si="42"/>
        <v>629</v>
      </c>
      <c r="K122" s="2896"/>
      <c r="L122" s="2889">
        <v>1262</v>
      </c>
      <c r="M122" s="2896"/>
      <c r="N122" s="2885">
        <f t="shared" si="43"/>
        <v>1262</v>
      </c>
      <c r="O122" s="396"/>
      <c r="P122" s="396"/>
      <c r="Q122" s="396"/>
      <c r="R122" s="396"/>
      <c r="S122" s="396"/>
      <c r="T122" s="396"/>
      <c r="U122" s="396"/>
      <c r="V122" s="396"/>
      <c r="W122" s="396"/>
      <c r="X122" s="396"/>
      <c r="Y122" s="396"/>
      <c r="Z122" s="396"/>
    </row>
    <row r="123" spans="2:26" ht="13.5" customHeight="1">
      <c r="B123" s="2895" t="s">
        <v>118</v>
      </c>
      <c r="C123" s="2891"/>
      <c r="D123" s="2891">
        <f>SUM(D114:D122)</f>
        <v>106</v>
      </c>
      <c r="E123" s="2891">
        <v>0</v>
      </c>
      <c r="F123" s="2891">
        <f>SUM(F114:F122)</f>
        <v>106</v>
      </c>
      <c r="G123" s="2891">
        <v>0</v>
      </c>
      <c r="H123" s="2891">
        <f>SUM(H114:H122)</f>
        <v>980</v>
      </c>
      <c r="I123" s="2891">
        <v>0</v>
      </c>
      <c r="J123" s="2891">
        <f>SUM(J114:J122)</f>
        <v>980</v>
      </c>
      <c r="K123" s="2891">
        <v>0</v>
      </c>
      <c r="L123" s="2891">
        <f>SUM(L114:L122)</f>
        <v>3124</v>
      </c>
      <c r="M123" s="2891">
        <v>0</v>
      </c>
      <c r="N123" s="2891">
        <f>SUM(N114:N122)</f>
        <v>3124</v>
      </c>
      <c r="O123" s="396"/>
      <c r="P123" s="396"/>
      <c r="Q123" s="396"/>
      <c r="R123" s="396"/>
      <c r="S123" s="396"/>
      <c r="T123" s="396"/>
      <c r="U123" s="396"/>
      <c r="V123" s="396"/>
      <c r="W123" s="396"/>
      <c r="X123" s="396"/>
      <c r="Y123" s="396"/>
      <c r="Z123" s="396"/>
    </row>
    <row r="124" spans="2:26" ht="13.5" customHeight="1">
      <c r="B124" s="51"/>
      <c r="C124" s="420"/>
      <c r="D124" s="420"/>
      <c r="E124" s="420"/>
      <c r="F124" s="420"/>
      <c r="G124" s="420"/>
      <c r="H124" s="420"/>
      <c r="I124" s="420"/>
      <c r="J124" s="420"/>
      <c r="K124" s="420"/>
      <c r="L124" s="420"/>
      <c r="M124" s="420"/>
      <c r="N124" s="420"/>
    </row>
    <row r="125" spans="2:26" ht="13.5" customHeight="1">
      <c r="B125" s="51"/>
      <c r="C125" s="420"/>
      <c r="D125" s="420"/>
      <c r="E125" s="420"/>
      <c r="F125" s="420"/>
      <c r="G125" s="420"/>
      <c r="H125" s="420"/>
      <c r="I125" s="420"/>
      <c r="J125" s="420"/>
      <c r="K125" s="420"/>
      <c r="L125" s="420"/>
      <c r="M125" s="420"/>
      <c r="N125" s="460">
        <v>172</v>
      </c>
    </row>
    <row r="126" spans="2:26" ht="13.5" customHeight="1">
      <c r="B126" s="51"/>
      <c r="C126" s="420"/>
      <c r="D126" s="420"/>
      <c r="E126" s="420"/>
      <c r="F126" s="420"/>
      <c r="G126" s="236"/>
      <c r="H126" s="236"/>
      <c r="I126" s="236"/>
      <c r="J126" s="236"/>
      <c r="K126" s="236"/>
      <c r="L126" s="236"/>
      <c r="M126" s="420"/>
      <c r="N126" s="460"/>
    </row>
    <row r="127" spans="2:26" ht="13.5" customHeight="1">
      <c r="B127" s="1909" t="s">
        <v>102</v>
      </c>
      <c r="H127" s="274"/>
      <c r="I127" s="274"/>
      <c r="J127" s="274"/>
      <c r="K127" s="274"/>
      <c r="L127" s="274"/>
      <c r="M127" s="274"/>
    </row>
    <row r="128" spans="2:26" ht="13.5" customHeight="1">
      <c r="B128" s="3772" t="s">
        <v>566</v>
      </c>
      <c r="C128" s="3764" t="s">
        <v>567</v>
      </c>
      <c r="D128" s="3764"/>
      <c r="E128" s="3764"/>
      <c r="F128" s="3764"/>
      <c r="G128" s="3701" t="s">
        <v>568</v>
      </c>
      <c r="H128" s="3701"/>
      <c r="I128" s="3701"/>
      <c r="J128" s="3701"/>
      <c r="K128" s="3764" t="s">
        <v>569</v>
      </c>
      <c r="L128" s="3764"/>
      <c r="M128" s="3764"/>
      <c r="N128" s="3764"/>
    </row>
    <row r="129" spans="2:26" ht="13.5" customHeight="1">
      <c r="B129" s="3772"/>
      <c r="C129" s="3764"/>
      <c r="D129" s="3764"/>
      <c r="E129" s="3764"/>
      <c r="F129" s="3764"/>
      <c r="G129" s="3701"/>
      <c r="H129" s="3701"/>
      <c r="I129" s="3701"/>
      <c r="J129" s="3701"/>
      <c r="K129" s="3764"/>
      <c r="L129" s="3764"/>
      <c r="M129" s="3764"/>
      <c r="N129" s="3764"/>
    </row>
    <row r="130" spans="2:26" ht="13.5" customHeight="1">
      <c r="B130" s="3773"/>
      <c r="C130" s="2875" t="s">
        <v>570</v>
      </c>
      <c r="D130" s="2875" t="s">
        <v>571</v>
      </c>
      <c r="E130" s="2875" t="s">
        <v>572</v>
      </c>
      <c r="F130" s="2892" t="s">
        <v>118</v>
      </c>
      <c r="G130" s="2875" t="s">
        <v>570</v>
      </c>
      <c r="H130" s="2875" t="s">
        <v>571</v>
      </c>
      <c r="I130" s="2875" t="s">
        <v>572</v>
      </c>
      <c r="J130" s="2892" t="s">
        <v>118</v>
      </c>
      <c r="K130" s="2875" t="s">
        <v>570</v>
      </c>
      <c r="L130" s="2875" t="s">
        <v>571</v>
      </c>
      <c r="M130" s="2875" t="s">
        <v>572</v>
      </c>
      <c r="N130" s="2892" t="s">
        <v>118</v>
      </c>
    </row>
    <row r="131" spans="2:26" ht="13.5" customHeight="1">
      <c r="B131" s="2813" t="s">
        <v>573</v>
      </c>
      <c r="C131" s="2883">
        <v>5</v>
      </c>
      <c r="D131" s="2898"/>
      <c r="E131" s="2898"/>
      <c r="F131" s="2885">
        <f>SUM(C131:E131)</f>
        <v>5</v>
      </c>
      <c r="G131" s="2887">
        <v>36</v>
      </c>
      <c r="H131" s="2898"/>
      <c r="I131" s="2896"/>
      <c r="J131" s="2885">
        <f>SUM(G131:I131)</f>
        <v>36</v>
      </c>
      <c r="K131" s="2887">
        <v>34</v>
      </c>
      <c r="L131" s="2898"/>
      <c r="M131" s="2896"/>
      <c r="N131" s="2885">
        <f>SUM(K131:M131)</f>
        <v>34</v>
      </c>
      <c r="O131" s="396"/>
      <c r="P131" s="396"/>
      <c r="Q131" s="396"/>
      <c r="R131" s="396"/>
      <c r="S131" s="396"/>
      <c r="T131" s="396"/>
      <c r="U131" s="396"/>
      <c r="V131" s="396"/>
      <c r="W131" s="396"/>
      <c r="X131" s="396"/>
      <c r="Y131" s="396"/>
      <c r="Z131" s="396"/>
    </row>
    <row r="132" spans="2:26" ht="13.5" customHeight="1">
      <c r="B132" s="2813" t="s">
        <v>574</v>
      </c>
      <c r="C132" s="2887">
        <v>4</v>
      </c>
      <c r="D132" s="2898"/>
      <c r="E132" s="2898"/>
      <c r="F132" s="2885">
        <f t="shared" ref="F132:F139" si="44">SUM(C132:E132)</f>
        <v>4</v>
      </c>
      <c r="G132" s="2887">
        <v>10</v>
      </c>
      <c r="H132" s="2898"/>
      <c r="I132" s="2896"/>
      <c r="J132" s="2885">
        <f t="shared" ref="J132:J139" si="45">SUM(G132:I132)</f>
        <v>10</v>
      </c>
      <c r="K132" s="2887">
        <v>12</v>
      </c>
      <c r="L132" s="2898"/>
      <c r="M132" s="2896"/>
      <c r="N132" s="2885">
        <f t="shared" ref="N132:N139" si="46">SUM(K132:M132)</f>
        <v>12</v>
      </c>
      <c r="O132" s="396"/>
      <c r="P132" s="396"/>
      <c r="Q132" s="396"/>
      <c r="R132" s="396"/>
      <c r="S132" s="396"/>
      <c r="T132" s="396"/>
      <c r="U132" s="396"/>
      <c r="V132" s="396"/>
      <c r="W132" s="396"/>
      <c r="X132" s="396"/>
      <c r="Y132" s="396"/>
      <c r="Z132" s="396"/>
    </row>
    <row r="133" spans="2:26" ht="13.5" customHeight="1">
      <c r="B133" s="2813" t="s">
        <v>575</v>
      </c>
      <c r="C133" s="2887">
        <v>4</v>
      </c>
      <c r="D133" s="2898"/>
      <c r="E133" s="2898"/>
      <c r="F133" s="2885">
        <f t="shared" si="44"/>
        <v>4</v>
      </c>
      <c r="G133" s="2887">
        <v>30</v>
      </c>
      <c r="H133" s="2898"/>
      <c r="I133" s="2896"/>
      <c r="J133" s="2885">
        <f t="shared" si="45"/>
        <v>30</v>
      </c>
      <c r="K133" s="2887">
        <v>43</v>
      </c>
      <c r="L133" s="2898"/>
      <c r="M133" s="2896"/>
      <c r="N133" s="2885">
        <f t="shared" si="46"/>
        <v>43</v>
      </c>
      <c r="O133" s="396"/>
      <c r="P133" s="396"/>
      <c r="Q133" s="396"/>
      <c r="R133" s="396"/>
      <c r="S133" s="396"/>
      <c r="T133" s="396"/>
      <c r="U133" s="396"/>
      <c r="V133" s="396"/>
      <c r="W133" s="396"/>
      <c r="X133" s="396"/>
      <c r="Y133" s="396"/>
      <c r="Z133" s="396"/>
    </row>
    <row r="134" spans="2:26" ht="13.5" customHeight="1">
      <c r="B134" s="2813" t="s">
        <v>576</v>
      </c>
      <c r="C134" s="2887">
        <v>6</v>
      </c>
      <c r="D134" s="2898"/>
      <c r="E134" s="2898"/>
      <c r="F134" s="2885">
        <f t="shared" si="44"/>
        <v>6</v>
      </c>
      <c r="G134" s="2887">
        <v>36</v>
      </c>
      <c r="H134" s="2898"/>
      <c r="I134" s="2896"/>
      <c r="J134" s="2885">
        <f t="shared" si="45"/>
        <v>36</v>
      </c>
      <c r="K134" s="2887">
        <v>39</v>
      </c>
      <c r="L134" s="2898"/>
      <c r="M134" s="2896"/>
      <c r="N134" s="2885">
        <f t="shared" si="46"/>
        <v>39</v>
      </c>
      <c r="O134" s="396"/>
      <c r="P134" s="396"/>
      <c r="Q134" s="396"/>
      <c r="R134" s="396"/>
      <c r="S134" s="396"/>
      <c r="T134" s="396"/>
      <c r="U134" s="396"/>
      <c r="V134" s="396"/>
      <c r="W134" s="396"/>
      <c r="X134" s="396"/>
      <c r="Y134" s="396"/>
      <c r="Z134" s="396"/>
    </row>
    <row r="135" spans="2:26" ht="13.5" customHeight="1">
      <c r="B135" s="2813" t="s">
        <v>582</v>
      </c>
      <c r="C135" s="2887">
        <v>2</v>
      </c>
      <c r="D135" s="2898"/>
      <c r="E135" s="2898"/>
      <c r="F135" s="2885">
        <f t="shared" si="44"/>
        <v>2</v>
      </c>
      <c r="G135" s="2887">
        <v>11</v>
      </c>
      <c r="H135" s="2898"/>
      <c r="I135" s="2896"/>
      <c r="J135" s="2885">
        <f t="shared" si="45"/>
        <v>11</v>
      </c>
      <c r="K135" s="2887">
        <v>4</v>
      </c>
      <c r="L135" s="2898"/>
      <c r="M135" s="2896"/>
      <c r="N135" s="2885">
        <f t="shared" si="46"/>
        <v>4</v>
      </c>
      <c r="O135" s="396"/>
      <c r="P135" s="396"/>
      <c r="Q135" s="396"/>
      <c r="R135" s="396"/>
      <c r="S135" s="396"/>
      <c r="T135" s="396"/>
      <c r="U135" s="396"/>
      <c r="V135" s="396"/>
      <c r="W135" s="396"/>
      <c r="X135" s="396"/>
      <c r="Y135" s="396"/>
      <c r="Z135" s="396"/>
    </row>
    <row r="136" spans="2:26" ht="13.5" customHeight="1">
      <c r="B136" s="2813" t="s">
        <v>578</v>
      </c>
      <c r="C136" s="2887">
        <v>4</v>
      </c>
      <c r="D136" s="2898"/>
      <c r="E136" s="2898"/>
      <c r="F136" s="2885">
        <f t="shared" si="44"/>
        <v>4</v>
      </c>
      <c r="G136" s="2887">
        <v>32</v>
      </c>
      <c r="H136" s="2898"/>
      <c r="I136" s="2896"/>
      <c r="J136" s="2885">
        <f t="shared" si="45"/>
        <v>32</v>
      </c>
      <c r="K136" s="2887">
        <v>34</v>
      </c>
      <c r="L136" s="2898"/>
      <c r="M136" s="2896"/>
      <c r="N136" s="2885">
        <f t="shared" si="46"/>
        <v>34</v>
      </c>
      <c r="O136" s="396"/>
      <c r="P136" s="396"/>
      <c r="Q136" s="396"/>
      <c r="R136" s="396"/>
      <c r="S136" s="396"/>
      <c r="T136" s="396"/>
      <c r="U136" s="396"/>
      <c r="V136" s="396"/>
      <c r="W136" s="396"/>
      <c r="X136" s="396"/>
      <c r="Y136" s="396"/>
      <c r="Z136" s="396"/>
    </row>
    <row r="137" spans="2:26" ht="13.5" customHeight="1">
      <c r="B137" s="2813" t="s">
        <v>579</v>
      </c>
      <c r="C137" s="2887">
        <v>6</v>
      </c>
      <c r="D137" s="2898"/>
      <c r="E137" s="2898"/>
      <c r="F137" s="2885">
        <f t="shared" si="44"/>
        <v>6</v>
      </c>
      <c r="G137" s="2887">
        <v>52</v>
      </c>
      <c r="H137" s="2898"/>
      <c r="I137" s="2896"/>
      <c r="J137" s="2885">
        <f t="shared" si="45"/>
        <v>52</v>
      </c>
      <c r="K137" s="2887">
        <v>50</v>
      </c>
      <c r="L137" s="2898"/>
      <c r="M137" s="2896"/>
      <c r="N137" s="2885">
        <f t="shared" si="46"/>
        <v>50</v>
      </c>
      <c r="O137" s="396"/>
      <c r="P137" s="396"/>
      <c r="Q137" s="396"/>
      <c r="R137" s="396"/>
      <c r="S137" s="396"/>
      <c r="T137" s="396"/>
      <c r="U137" s="396"/>
      <c r="V137" s="396"/>
      <c r="W137" s="396"/>
      <c r="X137" s="396"/>
      <c r="Y137" s="396"/>
      <c r="Z137" s="396"/>
    </row>
    <row r="138" spans="2:26" ht="13.5" customHeight="1">
      <c r="B138" s="2813" t="s">
        <v>580</v>
      </c>
      <c r="C138" s="2887">
        <v>4</v>
      </c>
      <c r="D138" s="2898"/>
      <c r="E138" s="2898"/>
      <c r="F138" s="2885">
        <f t="shared" si="44"/>
        <v>4</v>
      </c>
      <c r="G138" s="2887">
        <v>19</v>
      </c>
      <c r="H138" s="2898"/>
      <c r="I138" s="2896"/>
      <c r="J138" s="2885">
        <f t="shared" si="45"/>
        <v>19</v>
      </c>
      <c r="K138" s="2887">
        <v>19</v>
      </c>
      <c r="L138" s="2898"/>
      <c r="M138" s="2896"/>
      <c r="N138" s="2885">
        <f t="shared" si="46"/>
        <v>19</v>
      </c>
      <c r="O138" s="396"/>
      <c r="P138" s="396"/>
      <c r="Q138" s="396"/>
      <c r="R138" s="396"/>
      <c r="S138" s="396"/>
      <c r="T138" s="396"/>
      <c r="U138" s="396"/>
      <c r="V138" s="396"/>
      <c r="W138" s="396"/>
      <c r="X138" s="396"/>
      <c r="Y138" s="396"/>
      <c r="Z138" s="396"/>
    </row>
    <row r="139" spans="2:26" ht="13.5" customHeight="1">
      <c r="B139" s="2813" t="s">
        <v>581</v>
      </c>
      <c r="C139" s="2887">
        <v>20</v>
      </c>
      <c r="D139" s="2898"/>
      <c r="E139" s="2898"/>
      <c r="F139" s="2885">
        <f t="shared" si="44"/>
        <v>20</v>
      </c>
      <c r="G139" s="2887">
        <v>727</v>
      </c>
      <c r="H139" s="2898"/>
      <c r="I139" s="2896"/>
      <c r="J139" s="2885">
        <f t="shared" si="45"/>
        <v>727</v>
      </c>
      <c r="K139" s="2887">
        <v>188</v>
      </c>
      <c r="L139" s="2898"/>
      <c r="M139" s="2896"/>
      <c r="N139" s="2885">
        <f t="shared" si="46"/>
        <v>188</v>
      </c>
      <c r="O139" s="396"/>
      <c r="P139" s="396"/>
      <c r="Q139" s="396"/>
      <c r="R139" s="396"/>
      <c r="S139" s="396"/>
      <c r="T139" s="396"/>
      <c r="U139" s="396"/>
      <c r="V139" s="396"/>
      <c r="W139" s="396"/>
      <c r="X139" s="396"/>
      <c r="Y139" s="396"/>
      <c r="Z139" s="396"/>
    </row>
    <row r="140" spans="2:26" ht="13.5" customHeight="1">
      <c r="B140" s="2895" t="s">
        <v>118</v>
      </c>
      <c r="C140" s="2891">
        <f>SUM(C131:C139)</f>
        <v>55</v>
      </c>
      <c r="D140" s="2891">
        <f t="shared" ref="D140:F140" si="47">SUM(D131:D139)</f>
        <v>0</v>
      </c>
      <c r="E140" s="2891">
        <f t="shared" si="47"/>
        <v>0</v>
      </c>
      <c r="F140" s="2891">
        <f t="shared" si="47"/>
        <v>55</v>
      </c>
      <c r="G140" s="2891">
        <f>SUM(G131:G139)</f>
        <v>953</v>
      </c>
      <c r="H140" s="2891">
        <f t="shared" ref="H140:J140" si="48">SUM(H131:H139)</f>
        <v>0</v>
      </c>
      <c r="I140" s="2891">
        <f t="shared" si="48"/>
        <v>0</v>
      </c>
      <c r="J140" s="2891">
        <f t="shared" si="48"/>
        <v>953</v>
      </c>
      <c r="K140" s="2891">
        <f>SUM(K131:K139)</f>
        <v>423</v>
      </c>
      <c r="L140" s="2891">
        <f t="shared" ref="L140:N140" si="49">SUM(L131:L139)</f>
        <v>0</v>
      </c>
      <c r="M140" s="2891">
        <f t="shared" si="49"/>
        <v>0</v>
      </c>
      <c r="N140" s="2891">
        <f t="shared" si="49"/>
        <v>423</v>
      </c>
      <c r="O140" s="396"/>
      <c r="P140" s="396"/>
      <c r="Q140" s="396"/>
      <c r="R140" s="396"/>
      <c r="S140" s="396"/>
      <c r="T140" s="396"/>
      <c r="U140" s="396"/>
      <c r="V140" s="396"/>
      <c r="W140" s="396"/>
      <c r="X140" s="396"/>
      <c r="Y140" s="396"/>
      <c r="Z140" s="396"/>
    </row>
    <row r="141" spans="2:26" ht="13.5" customHeight="1">
      <c r="B141" s="51"/>
      <c r="C141" s="420"/>
      <c r="D141" s="420"/>
      <c r="E141" s="420"/>
      <c r="F141" s="420"/>
      <c r="G141" s="420"/>
      <c r="H141" s="420"/>
      <c r="I141" s="420"/>
      <c r="J141" s="420"/>
      <c r="K141" s="420"/>
      <c r="L141" s="420"/>
      <c r="M141" s="420"/>
      <c r="N141" s="420"/>
    </row>
    <row r="142" spans="2:26" ht="13.5" customHeight="1">
      <c r="B142" s="51"/>
      <c r="C142" s="420"/>
      <c r="D142" s="420"/>
      <c r="E142" s="420"/>
      <c r="F142" s="420"/>
      <c r="G142" s="420"/>
      <c r="H142" s="420"/>
      <c r="I142" s="420"/>
      <c r="J142" s="420"/>
      <c r="K142" s="420"/>
      <c r="L142" s="420"/>
      <c r="M142" s="420"/>
      <c r="N142" s="420"/>
    </row>
    <row r="143" spans="2:26" ht="13.5" customHeight="1">
      <c r="B143" s="1910" t="s">
        <v>98</v>
      </c>
    </row>
    <row r="144" spans="2:26" ht="13.5" customHeight="1">
      <c r="B144" s="3760" t="s">
        <v>566</v>
      </c>
      <c r="C144" s="3763" t="s">
        <v>567</v>
      </c>
      <c r="D144" s="3764"/>
      <c r="E144" s="3764"/>
      <c r="F144" s="3764"/>
      <c r="G144" s="3701" t="s">
        <v>568</v>
      </c>
      <c r="H144" s="3774"/>
      <c r="I144" s="3774"/>
      <c r="J144" s="3774"/>
      <c r="K144" s="3765" t="s">
        <v>569</v>
      </c>
      <c r="L144" s="3766"/>
      <c r="M144" s="3766"/>
      <c r="N144" s="3767"/>
    </row>
    <row r="145" spans="2:26" ht="13.5" customHeight="1">
      <c r="B145" s="3761"/>
      <c r="C145" s="3763"/>
      <c r="D145" s="3764"/>
      <c r="E145" s="3764"/>
      <c r="F145" s="3764"/>
      <c r="G145" s="3774"/>
      <c r="H145" s="3774"/>
      <c r="I145" s="3774"/>
      <c r="J145" s="3774"/>
      <c r="K145" s="3768"/>
      <c r="L145" s="3769"/>
      <c r="M145" s="3769"/>
      <c r="N145" s="3770"/>
    </row>
    <row r="146" spans="2:26" ht="13.5" customHeight="1">
      <c r="B146" s="3762"/>
      <c r="C146" s="2874" t="s">
        <v>570</v>
      </c>
      <c r="D146" s="2875" t="s">
        <v>571</v>
      </c>
      <c r="E146" s="2875" t="s">
        <v>572</v>
      </c>
      <c r="F146" s="2892" t="s">
        <v>118</v>
      </c>
      <c r="G146" s="2875" t="s">
        <v>570</v>
      </c>
      <c r="H146" s="2875" t="s">
        <v>571</v>
      </c>
      <c r="I146" s="2875" t="s">
        <v>572</v>
      </c>
      <c r="J146" s="2892" t="s">
        <v>118</v>
      </c>
      <c r="K146" s="2875" t="s">
        <v>570</v>
      </c>
      <c r="L146" s="2875" t="s">
        <v>571</v>
      </c>
      <c r="M146" s="2875" t="s">
        <v>572</v>
      </c>
      <c r="N146" s="2892" t="s">
        <v>118</v>
      </c>
    </row>
    <row r="147" spans="2:26" ht="13.5" customHeight="1">
      <c r="B147" s="1911" t="s">
        <v>573</v>
      </c>
      <c r="C147" s="2883">
        <v>16</v>
      </c>
      <c r="D147" s="2898"/>
      <c r="E147" s="2898"/>
      <c r="F147" s="2885">
        <f>SUM(C147:E147)</f>
        <v>16</v>
      </c>
      <c r="G147" s="2887">
        <v>196</v>
      </c>
      <c r="H147" s="2898"/>
      <c r="I147" s="2896"/>
      <c r="J147" s="2885">
        <f>SUM(G147:I147)</f>
        <v>196</v>
      </c>
      <c r="K147" s="2887">
        <v>109</v>
      </c>
      <c r="L147" s="2898"/>
      <c r="M147" s="2896"/>
      <c r="N147" s="2885">
        <f>SUM(K147:M147)</f>
        <v>109</v>
      </c>
      <c r="O147" s="396"/>
      <c r="P147" s="396"/>
      <c r="Q147" s="396"/>
      <c r="R147" s="396"/>
      <c r="S147" s="396"/>
      <c r="T147" s="396"/>
      <c r="U147" s="396"/>
      <c r="V147" s="396"/>
      <c r="W147" s="396"/>
      <c r="X147" s="396"/>
      <c r="Y147" s="396"/>
      <c r="Z147" s="396"/>
    </row>
    <row r="148" spans="2:26" ht="13.5" customHeight="1">
      <c r="B148" s="2813" t="s">
        <v>574</v>
      </c>
      <c r="C148" s="2887">
        <v>8</v>
      </c>
      <c r="D148" s="2898"/>
      <c r="E148" s="2898"/>
      <c r="F148" s="2885">
        <f t="shared" ref="F148:F155" si="50">SUM(C148:E148)</f>
        <v>8</v>
      </c>
      <c r="G148" s="2887">
        <v>95</v>
      </c>
      <c r="H148" s="2898"/>
      <c r="I148" s="2896"/>
      <c r="J148" s="2885">
        <f t="shared" ref="J148:J155" si="51">SUM(G148:I148)</f>
        <v>95</v>
      </c>
      <c r="K148" s="2887">
        <v>16</v>
      </c>
      <c r="L148" s="2898"/>
      <c r="M148" s="2896"/>
      <c r="N148" s="2885">
        <f t="shared" ref="N148:N155" si="52">SUM(K148:M148)</f>
        <v>16</v>
      </c>
      <c r="O148" s="396"/>
      <c r="P148" s="396"/>
      <c r="Q148" s="396"/>
      <c r="R148" s="396"/>
      <c r="S148" s="396"/>
      <c r="T148" s="396"/>
      <c r="U148" s="396"/>
      <c r="V148" s="396"/>
      <c r="W148" s="396"/>
      <c r="X148" s="396"/>
      <c r="Y148" s="396"/>
      <c r="Z148" s="396"/>
    </row>
    <row r="149" spans="2:26" ht="13.5" customHeight="1">
      <c r="B149" s="2813" t="s">
        <v>575</v>
      </c>
      <c r="C149" s="2887">
        <v>13</v>
      </c>
      <c r="D149" s="2898"/>
      <c r="E149" s="2898"/>
      <c r="F149" s="2885">
        <f t="shared" si="50"/>
        <v>13</v>
      </c>
      <c r="G149" s="2887">
        <v>108</v>
      </c>
      <c r="H149" s="2898"/>
      <c r="I149" s="2896"/>
      <c r="J149" s="2885">
        <f t="shared" si="51"/>
        <v>108</v>
      </c>
      <c r="K149" s="2887">
        <v>87</v>
      </c>
      <c r="L149" s="2898"/>
      <c r="M149" s="2896"/>
      <c r="N149" s="2885">
        <f t="shared" si="52"/>
        <v>87</v>
      </c>
      <c r="O149" s="396"/>
      <c r="P149" s="396"/>
      <c r="Q149" s="396"/>
      <c r="R149" s="396"/>
      <c r="S149" s="396"/>
      <c r="T149" s="396"/>
      <c r="U149" s="396"/>
      <c r="V149" s="396"/>
      <c r="W149" s="396"/>
      <c r="X149" s="396"/>
      <c r="Y149" s="396"/>
      <c r="Z149" s="396"/>
    </row>
    <row r="150" spans="2:26" ht="13.5" customHeight="1">
      <c r="B150" s="2813" t="s">
        <v>576</v>
      </c>
      <c r="C150" s="2887">
        <v>23</v>
      </c>
      <c r="D150" s="2898"/>
      <c r="E150" s="2898"/>
      <c r="F150" s="2885">
        <f t="shared" si="50"/>
        <v>23</v>
      </c>
      <c r="G150" s="2887">
        <v>174</v>
      </c>
      <c r="H150" s="2898"/>
      <c r="I150" s="2896"/>
      <c r="J150" s="2885">
        <f t="shared" si="51"/>
        <v>174</v>
      </c>
      <c r="K150" s="2887">
        <v>57</v>
      </c>
      <c r="L150" s="2898"/>
      <c r="M150" s="2896"/>
      <c r="N150" s="2885">
        <f t="shared" si="52"/>
        <v>57</v>
      </c>
      <c r="O150" s="396"/>
      <c r="P150" s="396"/>
      <c r="Q150" s="396"/>
      <c r="R150" s="396"/>
      <c r="S150" s="396"/>
      <c r="T150" s="396"/>
      <c r="U150" s="396"/>
      <c r="V150" s="396"/>
      <c r="W150" s="396"/>
      <c r="X150" s="396"/>
      <c r="Y150" s="396"/>
      <c r="Z150" s="396"/>
    </row>
    <row r="151" spans="2:26" ht="13.5" customHeight="1">
      <c r="B151" s="2813" t="s">
        <v>582</v>
      </c>
      <c r="C151" s="2887">
        <v>7</v>
      </c>
      <c r="D151" s="2898"/>
      <c r="E151" s="2898"/>
      <c r="F151" s="2885">
        <f t="shared" si="50"/>
        <v>7</v>
      </c>
      <c r="G151" s="2887">
        <v>47</v>
      </c>
      <c r="H151" s="2898"/>
      <c r="I151" s="2896"/>
      <c r="J151" s="2885">
        <f t="shared" si="51"/>
        <v>47</v>
      </c>
      <c r="K151" s="2887">
        <v>23</v>
      </c>
      <c r="L151" s="2898"/>
      <c r="M151" s="2896"/>
      <c r="N151" s="2885">
        <f t="shared" si="52"/>
        <v>23</v>
      </c>
      <c r="O151" s="396"/>
      <c r="P151" s="396"/>
      <c r="Q151" s="396"/>
      <c r="R151" s="396"/>
      <c r="S151" s="396"/>
      <c r="T151" s="396"/>
      <c r="U151" s="396"/>
      <c r="V151" s="396"/>
      <c r="W151" s="396"/>
      <c r="X151" s="396"/>
      <c r="Y151" s="396"/>
      <c r="Z151" s="396"/>
    </row>
    <row r="152" spans="2:26" ht="13.5" customHeight="1">
      <c r="B152" s="2813" t="s">
        <v>578</v>
      </c>
      <c r="C152" s="2887">
        <v>17</v>
      </c>
      <c r="D152" s="2898"/>
      <c r="E152" s="2898"/>
      <c r="F152" s="2885">
        <f t="shared" si="50"/>
        <v>17</v>
      </c>
      <c r="G152" s="2887">
        <v>153</v>
      </c>
      <c r="H152" s="2898"/>
      <c r="I152" s="2896"/>
      <c r="J152" s="2885">
        <f t="shared" si="51"/>
        <v>153</v>
      </c>
      <c r="K152" s="2887">
        <v>89</v>
      </c>
      <c r="L152" s="2898"/>
      <c r="M152" s="2896"/>
      <c r="N152" s="2885">
        <f t="shared" si="52"/>
        <v>89</v>
      </c>
      <c r="O152" s="396"/>
      <c r="P152" s="396"/>
      <c r="Q152" s="396"/>
      <c r="R152" s="396"/>
      <c r="S152" s="396"/>
      <c r="T152" s="396"/>
      <c r="U152" s="396"/>
      <c r="V152" s="396"/>
      <c r="W152" s="396"/>
      <c r="X152" s="396"/>
      <c r="Y152" s="396"/>
      <c r="Z152" s="396"/>
    </row>
    <row r="153" spans="2:26" ht="13.5" customHeight="1">
      <c r="B153" s="2813" t="s">
        <v>579</v>
      </c>
      <c r="C153" s="2887">
        <v>23</v>
      </c>
      <c r="D153" s="2898"/>
      <c r="E153" s="2898"/>
      <c r="F153" s="2885">
        <f t="shared" si="50"/>
        <v>23</v>
      </c>
      <c r="G153" s="2887">
        <v>193</v>
      </c>
      <c r="H153" s="2898"/>
      <c r="I153" s="2896"/>
      <c r="J153" s="2885">
        <f t="shared" si="51"/>
        <v>193</v>
      </c>
      <c r="K153" s="2887">
        <v>94</v>
      </c>
      <c r="L153" s="2898"/>
      <c r="M153" s="2896"/>
      <c r="N153" s="2885">
        <f t="shared" si="52"/>
        <v>94</v>
      </c>
      <c r="O153" s="396"/>
      <c r="P153" s="396"/>
      <c r="Q153" s="396"/>
      <c r="R153" s="396"/>
      <c r="S153" s="396"/>
      <c r="T153" s="396"/>
      <c r="U153" s="396"/>
      <c r="V153" s="396"/>
      <c r="W153" s="396"/>
      <c r="X153" s="396"/>
      <c r="Y153" s="396"/>
      <c r="Z153" s="396"/>
    </row>
    <row r="154" spans="2:26" ht="13.5" customHeight="1">
      <c r="B154" s="2813" t="s">
        <v>580</v>
      </c>
      <c r="C154" s="2887">
        <v>9</v>
      </c>
      <c r="D154" s="2898"/>
      <c r="E154" s="2898"/>
      <c r="F154" s="2885">
        <f t="shared" si="50"/>
        <v>9</v>
      </c>
      <c r="G154" s="2887">
        <v>86</v>
      </c>
      <c r="H154" s="2898"/>
      <c r="I154" s="2896"/>
      <c r="J154" s="2885">
        <f t="shared" si="51"/>
        <v>86</v>
      </c>
      <c r="K154" s="2887">
        <v>52</v>
      </c>
      <c r="L154" s="2898"/>
      <c r="M154" s="2896"/>
      <c r="N154" s="2885">
        <f t="shared" si="52"/>
        <v>52</v>
      </c>
      <c r="O154" s="396"/>
      <c r="P154" s="396"/>
      <c r="Q154" s="396"/>
      <c r="R154" s="396"/>
      <c r="S154" s="396"/>
      <c r="T154" s="396"/>
      <c r="U154" s="396"/>
      <c r="V154" s="396"/>
      <c r="W154" s="396"/>
      <c r="X154" s="396"/>
      <c r="Y154" s="396"/>
      <c r="Z154" s="396"/>
    </row>
    <row r="155" spans="2:26" ht="13.5" customHeight="1">
      <c r="B155" s="2813" t="s">
        <v>581</v>
      </c>
      <c r="C155" s="2887">
        <v>74</v>
      </c>
      <c r="D155" s="2898"/>
      <c r="E155" s="2898"/>
      <c r="F155" s="2885">
        <f t="shared" si="50"/>
        <v>74</v>
      </c>
      <c r="G155" s="2889">
        <v>1819</v>
      </c>
      <c r="H155" s="2898"/>
      <c r="I155" s="2896"/>
      <c r="J155" s="2885">
        <f t="shared" si="51"/>
        <v>1819</v>
      </c>
      <c r="K155" s="2887">
        <v>454</v>
      </c>
      <c r="L155" s="2898"/>
      <c r="M155" s="2896"/>
      <c r="N155" s="2885">
        <f t="shared" si="52"/>
        <v>454</v>
      </c>
      <c r="O155" s="396"/>
      <c r="P155" s="396"/>
      <c r="Q155" s="396"/>
      <c r="R155" s="396"/>
      <c r="S155" s="396"/>
      <c r="T155" s="396"/>
      <c r="U155" s="396"/>
      <c r="V155" s="396"/>
      <c r="W155" s="396"/>
      <c r="X155" s="396"/>
      <c r="Y155" s="396"/>
      <c r="Z155" s="396"/>
    </row>
    <row r="156" spans="2:26" ht="13.5" customHeight="1">
      <c r="B156" s="2895" t="s">
        <v>118</v>
      </c>
      <c r="C156" s="2891">
        <f>SUM(C147:C155)</f>
        <v>190</v>
      </c>
      <c r="D156" s="2891">
        <f>SUM(D147:D155)</f>
        <v>0</v>
      </c>
      <c r="E156" s="2891">
        <f t="shared" ref="E156:F156" si="53">SUM(E147:E155)</f>
        <v>0</v>
      </c>
      <c r="F156" s="2891">
        <f t="shared" si="53"/>
        <v>190</v>
      </c>
      <c r="G156" s="2891">
        <f>SUM(G147:G155)</f>
        <v>2871</v>
      </c>
      <c r="H156" s="2891">
        <f t="shared" ref="H156:N156" si="54">SUM(H147:H155)</f>
        <v>0</v>
      </c>
      <c r="I156" s="2891">
        <f t="shared" si="54"/>
        <v>0</v>
      </c>
      <c r="J156" s="2891">
        <f t="shared" si="54"/>
        <v>2871</v>
      </c>
      <c r="K156" s="2891">
        <f>SUM(K147:K155)</f>
        <v>981</v>
      </c>
      <c r="L156" s="2891">
        <f t="shared" si="54"/>
        <v>0</v>
      </c>
      <c r="M156" s="2891">
        <f t="shared" si="54"/>
        <v>0</v>
      </c>
      <c r="N156" s="2891">
        <f t="shared" si="54"/>
        <v>981</v>
      </c>
      <c r="O156" s="396"/>
      <c r="P156" s="396"/>
      <c r="Q156" s="396"/>
      <c r="R156" s="396"/>
      <c r="S156" s="396"/>
      <c r="T156" s="396"/>
      <c r="U156" s="396"/>
      <c r="V156" s="396"/>
      <c r="W156" s="396"/>
      <c r="X156" s="396"/>
      <c r="Y156" s="396"/>
      <c r="Z156" s="396"/>
    </row>
    <row r="157" spans="2:26" ht="13.5" customHeight="1">
      <c r="B157" s="51"/>
      <c r="C157" s="462"/>
      <c r="D157" s="462"/>
      <c r="E157" s="462"/>
      <c r="F157" s="462"/>
      <c r="G157" s="462"/>
      <c r="H157" s="462"/>
      <c r="I157" s="462"/>
      <c r="J157" s="462"/>
      <c r="K157" s="462"/>
      <c r="L157" s="462"/>
      <c r="M157" s="462"/>
      <c r="N157" s="462"/>
    </row>
    <row r="158" spans="2:26" ht="13.5" customHeight="1">
      <c r="B158" s="51"/>
      <c r="C158" s="420"/>
      <c r="D158" s="420"/>
      <c r="E158" s="420"/>
      <c r="F158" s="420"/>
      <c r="G158" s="236"/>
      <c r="H158" s="236"/>
      <c r="I158" s="236"/>
      <c r="J158" s="236"/>
      <c r="K158" s="236"/>
      <c r="L158" s="236"/>
      <c r="M158" s="420"/>
      <c r="N158" s="420"/>
    </row>
    <row r="159" spans="2:26" ht="13.5" customHeight="1">
      <c r="B159" s="1909" t="s">
        <v>97</v>
      </c>
    </row>
    <row r="160" spans="2:26" ht="13.5" customHeight="1">
      <c r="B160" s="3760" t="s">
        <v>566</v>
      </c>
      <c r="C160" s="3763" t="s">
        <v>567</v>
      </c>
      <c r="D160" s="3764"/>
      <c r="E160" s="3764"/>
      <c r="F160" s="3764"/>
      <c r="G160" s="3701" t="s">
        <v>568</v>
      </c>
      <c r="H160" s="3774"/>
      <c r="I160" s="3774"/>
      <c r="J160" s="3774"/>
      <c r="K160" s="3765" t="s">
        <v>569</v>
      </c>
      <c r="L160" s="3766"/>
      <c r="M160" s="3766"/>
      <c r="N160" s="3767"/>
    </row>
    <row r="161" spans="2:26" ht="13.5" customHeight="1">
      <c r="B161" s="3761"/>
      <c r="C161" s="3763"/>
      <c r="D161" s="3764"/>
      <c r="E161" s="3764"/>
      <c r="F161" s="3764"/>
      <c r="G161" s="3774"/>
      <c r="H161" s="3774"/>
      <c r="I161" s="3774"/>
      <c r="J161" s="3774"/>
      <c r="K161" s="3768"/>
      <c r="L161" s="3769"/>
      <c r="M161" s="3769"/>
      <c r="N161" s="3770"/>
    </row>
    <row r="162" spans="2:26" ht="13.5" customHeight="1">
      <c r="B162" s="3762"/>
      <c r="C162" s="2874" t="s">
        <v>570</v>
      </c>
      <c r="D162" s="2875" t="s">
        <v>571</v>
      </c>
      <c r="E162" s="2875" t="s">
        <v>572</v>
      </c>
      <c r="F162" s="2892" t="s">
        <v>118</v>
      </c>
      <c r="G162" s="2875" t="s">
        <v>570</v>
      </c>
      <c r="H162" s="2875" t="s">
        <v>571</v>
      </c>
      <c r="I162" s="2875" t="s">
        <v>572</v>
      </c>
      <c r="J162" s="2892" t="s">
        <v>118</v>
      </c>
      <c r="K162" s="2875" t="s">
        <v>570</v>
      </c>
      <c r="L162" s="2875" t="s">
        <v>571</v>
      </c>
      <c r="M162" s="2875" t="s">
        <v>572</v>
      </c>
      <c r="N162" s="2892" t="s">
        <v>118</v>
      </c>
    </row>
    <row r="163" spans="2:26" ht="13.5" customHeight="1">
      <c r="B163" s="1911" t="s">
        <v>573</v>
      </c>
      <c r="C163" s="2894"/>
      <c r="D163" s="2883">
        <v>11</v>
      </c>
      <c r="E163" s="2898"/>
      <c r="F163" s="2885">
        <f>SUM(C163:E163)</f>
        <v>11</v>
      </c>
      <c r="G163" s="2896"/>
      <c r="H163" s="2887">
        <v>66</v>
      </c>
      <c r="I163" s="2896"/>
      <c r="J163" s="2885">
        <f>SUM(G163:I163)</f>
        <v>66</v>
      </c>
      <c r="K163" s="2896"/>
      <c r="L163" s="2901">
        <v>233</v>
      </c>
      <c r="M163" s="2896"/>
      <c r="N163" s="2885">
        <f>SUM(K163:M163)</f>
        <v>233</v>
      </c>
      <c r="O163" s="396"/>
      <c r="P163" s="396"/>
      <c r="Q163" s="396"/>
      <c r="R163" s="396"/>
      <c r="S163" s="396"/>
      <c r="T163" s="396"/>
      <c r="U163" s="396"/>
      <c r="V163" s="396"/>
      <c r="W163" s="396"/>
      <c r="X163" s="396"/>
      <c r="Y163" s="396"/>
      <c r="Z163" s="396"/>
    </row>
    <row r="164" spans="2:26" ht="13.5" customHeight="1">
      <c r="B164" s="2813" t="s">
        <v>574</v>
      </c>
      <c r="C164" s="2896"/>
      <c r="D164" s="2887">
        <v>10</v>
      </c>
      <c r="E164" s="2898"/>
      <c r="F164" s="2885">
        <f t="shared" ref="F164:F171" si="55">SUM(C164:E164)</f>
        <v>10</v>
      </c>
      <c r="G164" s="2896"/>
      <c r="H164" s="2887">
        <v>34</v>
      </c>
      <c r="I164" s="2896"/>
      <c r="J164" s="2885">
        <f t="shared" ref="J164:J171" si="56">SUM(G164:I164)</f>
        <v>34</v>
      </c>
      <c r="K164" s="2896"/>
      <c r="L164" s="2901">
        <v>252</v>
      </c>
      <c r="M164" s="2896"/>
      <c r="N164" s="2885">
        <f t="shared" ref="N164:N171" si="57">SUM(K164:M164)</f>
        <v>252</v>
      </c>
      <c r="O164" s="396"/>
      <c r="P164" s="396"/>
      <c r="Q164" s="396"/>
      <c r="R164" s="396"/>
      <c r="S164" s="396"/>
      <c r="T164" s="396"/>
      <c r="U164" s="396"/>
      <c r="V164" s="396"/>
      <c r="W164" s="396"/>
      <c r="X164" s="396"/>
      <c r="Y164" s="396"/>
      <c r="Z164" s="396"/>
    </row>
    <row r="165" spans="2:26" ht="13.5" customHeight="1">
      <c r="B165" s="2813" t="s">
        <v>575</v>
      </c>
      <c r="C165" s="2896"/>
      <c r="D165" s="2887">
        <v>11</v>
      </c>
      <c r="E165" s="2898"/>
      <c r="F165" s="2885">
        <f t="shared" si="55"/>
        <v>11</v>
      </c>
      <c r="G165" s="2896"/>
      <c r="H165" s="2887">
        <v>39</v>
      </c>
      <c r="I165" s="2896"/>
      <c r="J165" s="2885">
        <f t="shared" si="56"/>
        <v>39</v>
      </c>
      <c r="K165" s="2896"/>
      <c r="L165" s="2901">
        <v>293</v>
      </c>
      <c r="M165" s="2896"/>
      <c r="N165" s="2885">
        <f t="shared" si="57"/>
        <v>293</v>
      </c>
      <c r="O165" s="396"/>
      <c r="P165" s="396"/>
      <c r="Q165" s="396"/>
      <c r="R165" s="396"/>
      <c r="S165" s="396"/>
      <c r="T165" s="396"/>
      <c r="U165" s="396"/>
      <c r="V165" s="396"/>
      <c r="W165" s="396"/>
      <c r="X165" s="396"/>
      <c r="Y165" s="396"/>
      <c r="Z165" s="396"/>
    </row>
    <row r="166" spans="2:26" ht="13.5" customHeight="1">
      <c r="B166" s="2813" t="s">
        <v>576</v>
      </c>
      <c r="C166" s="2896"/>
      <c r="D166" s="2887">
        <v>19</v>
      </c>
      <c r="E166" s="2898"/>
      <c r="F166" s="2885">
        <f t="shared" si="55"/>
        <v>19</v>
      </c>
      <c r="G166" s="2896"/>
      <c r="H166" s="2887">
        <v>59</v>
      </c>
      <c r="I166" s="2896"/>
      <c r="J166" s="2885">
        <f t="shared" si="56"/>
        <v>59</v>
      </c>
      <c r="K166" s="2896"/>
      <c r="L166" s="2901">
        <v>448</v>
      </c>
      <c r="M166" s="2896"/>
      <c r="N166" s="2885">
        <f t="shared" si="57"/>
        <v>448</v>
      </c>
      <c r="O166" s="396"/>
      <c r="P166" s="396"/>
      <c r="Q166" s="396"/>
      <c r="R166" s="396"/>
      <c r="S166" s="396"/>
      <c r="T166" s="396"/>
      <c r="U166" s="396"/>
      <c r="V166" s="396"/>
      <c r="W166" s="396"/>
      <c r="X166" s="396"/>
      <c r="Y166" s="396"/>
      <c r="Z166" s="396"/>
    </row>
    <row r="167" spans="2:26" ht="13.5" customHeight="1">
      <c r="B167" s="2813" t="s">
        <v>582</v>
      </c>
      <c r="C167" s="2896"/>
      <c r="D167" s="2887">
        <v>9</v>
      </c>
      <c r="E167" s="2898"/>
      <c r="F167" s="2885">
        <f t="shared" si="55"/>
        <v>9</v>
      </c>
      <c r="G167" s="2896"/>
      <c r="H167" s="2887">
        <v>40</v>
      </c>
      <c r="I167" s="2896"/>
      <c r="J167" s="2885">
        <f t="shared" si="56"/>
        <v>40</v>
      </c>
      <c r="K167" s="2896"/>
      <c r="L167" s="2901">
        <v>367</v>
      </c>
      <c r="M167" s="2896"/>
      <c r="N167" s="2885">
        <f t="shared" si="57"/>
        <v>367</v>
      </c>
      <c r="O167" s="396"/>
      <c r="P167" s="396"/>
      <c r="Q167" s="396"/>
      <c r="R167" s="396"/>
      <c r="S167" s="396"/>
      <c r="T167" s="396"/>
      <c r="U167" s="396"/>
      <c r="V167" s="396"/>
      <c r="W167" s="396"/>
      <c r="X167" s="396"/>
      <c r="Y167" s="396"/>
      <c r="Z167" s="396"/>
    </row>
    <row r="168" spans="2:26" ht="13.5" customHeight="1">
      <c r="B168" s="2813" t="s">
        <v>578</v>
      </c>
      <c r="C168" s="2896"/>
      <c r="D168" s="2887">
        <v>12</v>
      </c>
      <c r="E168" s="2898"/>
      <c r="F168" s="2885">
        <f t="shared" si="55"/>
        <v>12</v>
      </c>
      <c r="G168" s="2896"/>
      <c r="H168" s="2887">
        <v>57</v>
      </c>
      <c r="I168" s="2896"/>
      <c r="J168" s="2885">
        <f t="shared" si="56"/>
        <v>57</v>
      </c>
      <c r="K168" s="2896"/>
      <c r="L168" s="2901">
        <v>231</v>
      </c>
      <c r="M168" s="2896"/>
      <c r="N168" s="2885">
        <f t="shared" si="57"/>
        <v>231</v>
      </c>
      <c r="O168" s="396"/>
      <c r="P168" s="396"/>
      <c r="Q168" s="396"/>
      <c r="R168" s="396"/>
      <c r="S168" s="396"/>
      <c r="T168" s="396"/>
      <c r="U168" s="396"/>
      <c r="V168" s="396"/>
      <c r="W168" s="396"/>
      <c r="X168" s="396"/>
      <c r="Y168" s="396"/>
      <c r="Z168" s="396"/>
    </row>
    <row r="169" spans="2:26" ht="13.5" customHeight="1">
      <c r="B169" s="2813" t="s">
        <v>579</v>
      </c>
      <c r="C169" s="2896"/>
      <c r="D169" s="2887">
        <v>15</v>
      </c>
      <c r="E169" s="2898"/>
      <c r="F169" s="2885">
        <f t="shared" si="55"/>
        <v>15</v>
      </c>
      <c r="G169" s="2896"/>
      <c r="H169" s="2887">
        <v>60</v>
      </c>
      <c r="I169" s="2896"/>
      <c r="J169" s="2885">
        <f t="shared" si="56"/>
        <v>60</v>
      </c>
      <c r="K169" s="2896"/>
      <c r="L169" s="2901">
        <v>389</v>
      </c>
      <c r="M169" s="2896"/>
      <c r="N169" s="2885">
        <f t="shared" si="57"/>
        <v>389</v>
      </c>
      <c r="O169" s="396"/>
      <c r="P169" s="396"/>
      <c r="Q169" s="396"/>
      <c r="R169" s="396"/>
      <c r="S169" s="396"/>
      <c r="T169" s="396"/>
      <c r="U169" s="396"/>
      <c r="V169" s="396"/>
      <c r="W169" s="396"/>
      <c r="X169" s="396"/>
      <c r="Y169" s="396"/>
      <c r="Z169" s="396"/>
    </row>
    <row r="170" spans="2:26" ht="13.5" customHeight="1">
      <c r="B170" s="2813" t="s">
        <v>580</v>
      </c>
      <c r="C170" s="2896"/>
      <c r="D170" s="2887">
        <v>7</v>
      </c>
      <c r="E170" s="2898"/>
      <c r="F170" s="2885">
        <f t="shared" si="55"/>
        <v>7</v>
      </c>
      <c r="G170" s="2896"/>
      <c r="H170" s="2887">
        <v>21</v>
      </c>
      <c r="I170" s="2896"/>
      <c r="J170" s="2885">
        <f t="shared" si="56"/>
        <v>21</v>
      </c>
      <c r="K170" s="2896"/>
      <c r="L170" s="2901">
        <v>192</v>
      </c>
      <c r="M170" s="2896"/>
      <c r="N170" s="2885">
        <f t="shared" si="57"/>
        <v>192</v>
      </c>
      <c r="O170" s="396"/>
      <c r="P170" s="396"/>
      <c r="Q170" s="396"/>
      <c r="R170" s="396"/>
      <c r="S170" s="396"/>
      <c r="T170" s="396"/>
      <c r="U170" s="396"/>
      <c r="V170" s="396"/>
      <c r="W170" s="396"/>
      <c r="X170" s="396"/>
      <c r="Y170" s="396"/>
      <c r="Z170" s="396"/>
    </row>
    <row r="171" spans="2:26" ht="13.5" customHeight="1">
      <c r="B171" s="2813" t="s">
        <v>581</v>
      </c>
      <c r="C171" s="2896"/>
      <c r="D171" s="2887">
        <v>41</v>
      </c>
      <c r="E171" s="2898"/>
      <c r="F171" s="2885">
        <f t="shared" si="55"/>
        <v>41</v>
      </c>
      <c r="G171" s="2896"/>
      <c r="H171" s="2887">
        <v>419</v>
      </c>
      <c r="I171" s="2896"/>
      <c r="J171" s="2885">
        <f t="shared" si="56"/>
        <v>419</v>
      </c>
      <c r="K171" s="2896"/>
      <c r="L171" s="2902">
        <v>1178</v>
      </c>
      <c r="M171" s="2896"/>
      <c r="N171" s="2885">
        <f t="shared" si="57"/>
        <v>1178</v>
      </c>
      <c r="O171" s="396"/>
      <c r="P171" s="396"/>
      <c r="Q171" s="396"/>
      <c r="R171" s="396"/>
      <c r="S171" s="396"/>
      <c r="T171" s="396"/>
      <c r="U171" s="396"/>
      <c r="V171" s="396"/>
      <c r="W171" s="396"/>
      <c r="X171" s="396"/>
      <c r="Y171" s="396"/>
      <c r="Z171" s="396"/>
    </row>
    <row r="172" spans="2:26" ht="13.5" customHeight="1">
      <c r="B172" s="2895" t="s">
        <v>118</v>
      </c>
      <c r="C172" s="2891"/>
      <c r="D172" s="2891">
        <f>SUM(D163:D171)</f>
        <v>135</v>
      </c>
      <c r="E172" s="2891">
        <v>0</v>
      </c>
      <c r="F172" s="2891">
        <f>SUM(F163:F171)</f>
        <v>135</v>
      </c>
      <c r="G172" s="2891">
        <v>0</v>
      </c>
      <c r="H172" s="2891">
        <f>SUM(H163:H171)</f>
        <v>795</v>
      </c>
      <c r="I172" s="2891">
        <v>0</v>
      </c>
      <c r="J172" s="2891">
        <f>SUM(J163:J171)</f>
        <v>795</v>
      </c>
      <c r="K172" s="2891">
        <v>0</v>
      </c>
      <c r="L172" s="2891">
        <f>SUM(L163:L171)</f>
        <v>3583</v>
      </c>
      <c r="M172" s="2891">
        <v>0</v>
      </c>
      <c r="N172" s="2891">
        <f>SUM(N163:N171)</f>
        <v>3583</v>
      </c>
      <c r="O172" s="396"/>
      <c r="P172" s="396"/>
      <c r="Q172" s="396"/>
      <c r="R172" s="396"/>
      <c r="S172" s="396"/>
      <c r="T172" s="396"/>
      <c r="U172" s="396"/>
      <c r="V172" s="396"/>
      <c r="W172" s="396"/>
      <c r="X172" s="396"/>
      <c r="Y172" s="396"/>
      <c r="Z172" s="396"/>
    </row>
    <row r="173" spans="2:26" ht="13.5" customHeight="1">
      <c r="B173" s="51"/>
      <c r="C173" s="462"/>
      <c r="D173" s="462"/>
      <c r="E173" s="462"/>
      <c r="F173" s="529"/>
      <c r="G173" s="462"/>
      <c r="H173" s="462"/>
      <c r="I173" s="462"/>
      <c r="J173" s="529"/>
      <c r="K173" s="462"/>
      <c r="L173" s="462"/>
      <c r="M173" s="462"/>
      <c r="N173" s="529"/>
    </row>
    <row r="174" spans="2:26" ht="13.5" customHeight="1">
      <c r="B174" s="51"/>
      <c r="C174" s="420"/>
      <c r="D174" s="420"/>
      <c r="E174" s="420"/>
      <c r="F174" s="236"/>
      <c r="G174" s="236"/>
      <c r="H174" s="236"/>
      <c r="I174" s="236"/>
      <c r="J174" s="236"/>
      <c r="K174" s="236"/>
      <c r="L174" s="420"/>
      <c r="M174" s="420"/>
      <c r="N174" s="460">
        <v>173</v>
      </c>
    </row>
    <row r="175" spans="2:26" ht="13.5" customHeight="1">
      <c r="B175" s="51"/>
      <c r="C175" s="420"/>
      <c r="D175" s="420"/>
      <c r="E175" s="420"/>
      <c r="F175" s="236"/>
      <c r="G175" s="236"/>
      <c r="H175" s="236"/>
      <c r="I175" s="236"/>
      <c r="J175" s="236"/>
      <c r="K175" s="236"/>
      <c r="L175" s="420"/>
      <c r="M175" s="420"/>
      <c r="N175" s="460"/>
    </row>
    <row r="176" spans="2:26" ht="13.5" customHeight="1">
      <c r="B176" s="1909" t="s">
        <v>99</v>
      </c>
      <c r="E176" s="460"/>
      <c r="F176" s="592"/>
      <c r="G176" s="592"/>
      <c r="H176" s="592"/>
      <c r="K176" s="592"/>
      <c r="L176" s="592"/>
    </row>
    <row r="177" spans="2:26" ht="13.5" customHeight="1">
      <c r="B177" s="3772" t="s">
        <v>566</v>
      </c>
      <c r="C177" s="3764" t="s">
        <v>567</v>
      </c>
      <c r="D177" s="3764"/>
      <c r="E177" s="3764"/>
      <c r="F177" s="3764"/>
      <c r="G177" s="3701" t="s">
        <v>568</v>
      </c>
      <c r="H177" s="3774"/>
      <c r="I177" s="3774"/>
      <c r="J177" s="3774"/>
      <c r="K177" s="3765" t="s">
        <v>569</v>
      </c>
      <c r="L177" s="3766"/>
      <c r="M177" s="3766"/>
      <c r="N177" s="3767"/>
    </row>
    <row r="178" spans="2:26" ht="13.5" customHeight="1">
      <c r="B178" s="3772"/>
      <c r="C178" s="3764"/>
      <c r="D178" s="3764"/>
      <c r="E178" s="3764"/>
      <c r="F178" s="3764"/>
      <c r="G178" s="3774"/>
      <c r="H178" s="3774"/>
      <c r="I178" s="3774"/>
      <c r="J178" s="3774"/>
      <c r="K178" s="3768"/>
      <c r="L178" s="3769"/>
      <c r="M178" s="3769"/>
      <c r="N178" s="3770"/>
    </row>
    <row r="179" spans="2:26" ht="13.5" customHeight="1">
      <c r="B179" s="3773"/>
      <c r="C179" s="2875" t="s">
        <v>570</v>
      </c>
      <c r="D179" s="2875" t="s">
        <v>571</v>
      </c>
      <c r="E179" s="2875" t="s">
        <v>572</v>
      </c>
      <c r="F179" s="2892" t="s">
        <v>118</v>
      </c>
      <c r="G179" s="2875" t="s">
        <v>570</v>
      </c>
      <c r="H179" s="2875" t="s">
        <v>571</v>
      </c>
      <c r="I179" s="2875" t="s">
        <v>572</v>
      </c>
      <c r="J179" s="2892" t="s">
        <v>118</v>
      </c>
      <c r="K179" s="2875" t="s">
        <v>570</v>
      </c>
      <c r="L179" s="2875" t="s">
        <v>571</v>
      </c>
      <c r="M179" s="2875" t="s">
        <v>572</v>
      </c>
      <c r="N179" s="2892" t="s">
        <v>118</v>
      </c>
    </row>
    <row r="180" spans="2:26" ht="13.5" customHeight="1">
      <c r="B180" s="2813" t="s">
        <v>573</v>
      </c>
      <c r="C180" s="2883">
        <v>7</v>
      </c>
      <c r="D180" s="2898"/>
      <c r="E180" s="2898"/>
      <c r="F180" s="2885">
        <f>SUM(C180:E180)</f>
        <v>7</v>
      </c>
      <c r="G180" s="2887">
        <v>32</v>
      </c>
      <c r="H180" s="2898"/>
      <c r="I180" s="2896"/>
      <c r="J180" s="2885">
        <f>SUM(G180:I180)</f>
        <v>32</v>
      </c>
      <c r="K180" s="2887">
        <v>9</v>
      </c>
      <c r="L180" s="2898"/>
      <c r="M180" s="2896"/>
      <c r="N180" s="2885">
        <f>SUM(K180:M180)</f>
        <v>9</v>
      </c>
      <c r="O180" s="396"/>
      <c r="P180" s="396"/>
      <c r="Q180" s="396"/>
      <c r="R180" s="396"/>
      <c r="S180" s="396"/>
      <c r="T180" s="396"/>
      <c r="U180" s="396"/>
      <c r="V180" s="396"/>
      <c r="W180" s="396"/>
      <c r="X180" s="396"/>
      <c r="Y180" s="396"/>
      <c r="Z180" s="396"/>
    </row>
    <row r="181" spans="2:26" ht="13.5" customHeight="1">
      <c r="B181" s="2813" t="s">
        <v>574</v>
      </c>
      <c r="C181" s="2887">
        <v>4</v>
      </c>
      <c r="D181" s="2898"/>
      <c r="E181" s="2898"/>
      <c r="F181" s="2885">
        <f t="shared" ref="F181:F188" si="58">SUM(C181:E181)</f>
        <v>4</v>
      </c>
      <c r="G181" s="2887">
        <v>22</v>
      </c>
      <c r="H181" s="2898"/>
      <c r="I181" s="2896"/>
      <c r="J181" s="2885">
        <f t="shared" ref="J181:J188" si="59">SUM(G181:I181)</f>
        <v>22</v>
      </c>
      <c r="K181" s="2887">
        <v>5</v>
      </c>
      <c r="L181" s="2898"/>
      <c r="M181" s="2896"/>
      <c r="N181" s="2885">
        <f t="shared" ref="N181:N188" si="60">SUM(K181:M181)</f>
        <v>5</v>
      </c>
      <c r="O181" s="396"/>
      <c r="P181" s="396"/>
      <c r="Q181" s="396"/>
      <c r="R181" s="396"/>
      <c r="S181" s="396"/>
      <c r="T181" s="396"/>
      <c r="U181" s="396"/>
      <c r="V181" s="396"/>
      <c r="W181" s="396"/>
      <c r="X181" s="396"/>
      <c r="Y181" s="396"/>
      <c r="Z181" s="396"/>
    </row>
    <row r="182" spans="2:26" ht="13.5" customHeight="1">
      <c r="B182" s="2813" t="s">
        <v>575</v>
      </c>
      <c r="C182" s="2887">
        <v>6</v>
      </c>
      <c r="D182" s="2898"/>
      <c r="E182" s="2898"/>
      <c r="F182" s="2885">
        <f t="shared" si="58"/>
        <v>6</v>
      </c>
      <c r="G182" s="2887">
        <v>15</v>
      </c>
      <c r="H182" s="2898"/>
      <c r="I182" s="2896"/>
      <c r="J182" s="2885">
        <f t="shared" si="59"/>
        <v>15</v>
      </c>
      <c r="K182" s="2887">
        <v>10</v>
      </c>
      <c r="L182" s="2898"/>
      <c r="M182" s="2896"/>
      <c r="N182" s="2885">
        <f t="shared" si="60"/>
        <v>10</v>
      </c>
      <c r="O182" s="396"/>
      <c r="P182" s="396"/>
      <c r="Q182" s="396"/>
      <c r="R182" s="396"/>
      <c r="S182" s="396"/>
      <c r="T182" s="396"/>
      <c r="U182" s="396"/>
      <c r="V182" s="396"/>
      <c r="W182" s="396"/>
      <c r="X182" s="396"/>
      <c r="Y182" s="396"/>
      <c r="Z182" s="396"/>
    </row>
    <row r="183" spans="2:26" ht="13.5" customHeight="1">
      <c r="B183" s="2813" t="s">
        <v>576</v>
      </c>
      <c r="C183" s="2887">
        <v>6</v>
      </c>
      <c r="D183" s="2898"/>
      <c r="E183" s="2898"/>
      <c r="F183" s="2885">
        <f t="shared" si="58"/>
        <v>6</v>
      </c>
      <c r="G183" s="2887">
        <v>8</v>
      </c>
      <c r="H183" s="2898"/>
      <c r="I183" s="2896"/>
      <c r="J183" s="2885">
        <f t="shared" si="59"/>
        <v>8</v>
      </c>
      <c r="K183" s="2887">
        <v>22</v>
      </c>
      <c r="L183" s="2898"/>
      <c r="M183" s="2896"/>
      <c r="N183" s="2885">
        <f t="shared" si="60"/>
        <v>22</v>
      </c>
      <c r="O183" s="396"/>
      <c r="P183" s="396"/>
      <c r="Q183" s="396"/>
      <c r="R183" s="396"/>
      <c r="S183" s="396"/>
      <c r="T183" s="396"/>
      <c r="U183" s="396"/>
      <c r="V183" s="396"/>
      <c r="W183" s="396"/>
      <c r="X183" s="396"/>
      <c r="Y183" s="396"/>
      <c r="Z183" s="396"/>
    </row>
    <row r="184" spans="2:26" ht="13.5" customHeight="1">
      <c r="B184" s="2813" t="s">
        <v>582</v>
      </c>
      <c r="C184" s="2887">
        <v>2</v>
      </c>
      <c r="D184" s="2898"/>
      <c r="E184" s="2898"/>
      <c r="F184" s="2885">
        <f t="shared" si="58"/>
        <v>2</v>
      </c>
      <c r="G184" s="2887">
        <v>30</v>
      </c>
      <c r="H184" s="2898"/>
      <c r="I184" s="2896"/>
      <c r="J184" s="2885">
        <f t="shared" si="59"/>
        <v>30</v>
      </c>
      <c r="K184" s="2887">
        <v>2</v>
      </c>
      <c r="L184" s="2898"/>
      <c r="M184" s="2896"/>
      <c r="N184" s="2885">
        <f t="shared" si="60"/>
        <v>2</v>
      </c>
      <c r="O184" s="396"/>
      <c r="P184" s="396"/>
      <c r="Q184" s="396"/>
      <c r="R184" s="396"/>
      <c r="S184" s="396"/>
      <c r="T184" s="396"/>
      <c r="U184" s="396"/>
      <c r="V184" s="396"/>
      <c r="W184" s="396"/>
      <c r="X184" s="396"/>
      <c r="Y184" s="396"/>
      <c r="Z184" s="396"/>
    </row>
    <row r="185" spans="2:26" ht="13.5" customHeight="1">
      <c r="B185" s="2813" t="s">
        <v>578</v>
      </c>
      <c r="C185" s="2887">
        <v>4</v>
      </c>
      <c r="D185" s="2898"/>
      <c r="E185" s="2898"/>
      <c r="F185" s="2885">
        <f t="shared" si="58"/>
        <v>4</v>
      </c>
      <c r="G185" s="2887">
        <v>17</v>
      </c>
      <c r="H185" s="2898"/>
      <c r="I185" s="2896"/>
      <c r="J185" s="2885">
        <f t="shared" si="59"/>
        <v>17</v>
      </c>
      <c r="K185" s="2887">
        <v>22</v>
      </c>
      <c r="L185" s="2898"/>
      <c r="M185" s="2896"/>
      <c r="N185" s="2885">
        <f t="shared" si="60"/>
        <v>22</v>
      </c>
      <c r="O185" s="396"/>
      <c r="P185" s="396"/>
      <c r="Q185" s="396"/>
      <c r="R185" s="396"/>
      <c r="S185" s="396"/>
      <c r="T185" s="396"/>
      <c r="U185" s="396"/>
      <c r="V185" s="396"/>
      <c r="W185" s="396"/>
      <c r="X185" s="396"/>
      <c r="Y185" s="396"/>
      <c r="Z185" s="396"/>
    </row>
    <row r="186" spans="2:26" ht="13.5" customHeight="1">
      <c r="B186" s="2813" t="s">
        <v>579</v>
      </c>
      <c r="C186" s="2887">
        <v>8</v>
      </c>
      <c r="D186" s="2898"/>
      <c r="E186" s="2898"/>
      <c r="F186" s="2885">
        <f t="shared" si="58"/>
        <v>8</v>
      </c>
      <c r="G186" s="2887">
        <v>29</v>
      </c>
      <c r="H186" s="2898"/>
      <c r="I186" s="2896"/>
      <c r="J186" s="2885">
        <f t="shared" si="59"/>
        <v>29</v>
      </c>
      <c r="K186" s="2887">
        <v>14</v>
      </c>
      <c r="L186" s="2898"/>
      <c r="M186" s="2896"/>
      <c r="N186" s="2885">
        <f t="shared" si="60"/>
        <v>14</v>
      </c>
      <c r="O186" s="396"/>
      <c r="P186" s="396"/>
      <c r="Q186" s="396"/>
      <c r="R186" s="396"/>
      <c r="S186" s="396"/>
      <c r="T186" s="396"/>
      <c r="U186" s="396"/>
      <c r="V186" s="396"/>
      <c r="W186" s="396"/>
      <c r="X186" s="396"/>
      <c r="Y186" s="396"/>
      <c r="Z186" s="396"/>
    </row>
    <row r="187" spans="2:26" ht="13.5" customHeight="1">
      <c r="B187" s="2813" t="s">
        <v>580</v>
      </c>
      <c r="C187" s="2887">
        <v>4</v>
      </c>
      <c r="D187" s="2898"/>
      <c r="E187" s="2898"/>
      <c r="F187" s="2885">
        <f t="shared" si="58"/>
        <v>4</v>
      </c>
      <c r="G187" s="2887">
        <v>18</v>
      </c>
      <c r="H187" s="2898"/>
      <c r="I187" s="2896"/>
      <c r="J187" s="2885">
        <f t="shared" si="59"/>
        <v>18</v>
      </c>
      <c r="K187" s="2887">
        <v>3</v>
      </c>
      <c r="L187" s="2898"/>
      <c r="M187" s="2896"/>
      <c r="N187" s="2885">
        <f t="shared" si="60"/>
        <v>3</v>
      </c>
      <c r="O187" s="396"/>
      <c r="P187" s="396"/>
      <c r="Q187" s="396"/>
      <c r="R187" s="396"/>
      <c r="S187" s="396"/>
      <c r="T187" s="396"/>
      <c r="U187" s="396"/>
      <c r="V187" s="396"/>
      <c r="W187" s="396"/>
      <c r="X187" s="396"/>
      <c r="Y187" s="396"/>
      <c r="Z187" s="396"/>
    </row>
    <row r="188" spans="2:26" ht="13.5" customHeight="1">
      <c r="B188" s="2813" t="s">
        <v>581</v>
      </c>
      <c r="C188" s="2887">
        <v>17</v>
      </c>
      <c r="D188" s="2898"/>
      <c r="E188" s="2898"/>
      <c r="F188" s="2885">
        <f t="shared" si="58"/>
        <v>17</v>
      </c>
      <c r="G188" s="2887">
        <v>397</v>
      </c>
      <c r="H188" s="2898"/>
      <c r="I188" s="2896"/>
      <c r="J188" s="2885">
        <f t="shared" si="59"/>
        <v>397</v>
      </c>
      <c r="K188" s="2887">
        <v>17</v>
      </c>
      <c r="L188" s="2898"/>
      <c r="M188" s="2896"/>
      <c r="N188" s="2885">
        <f t="shared" si="60"/>
        <v>17</v>
      </c>
      <c r="O188" s="396"/>
      <c r="P188" s="396"/>
      <c r="Q188" s="396"/>
      <c r="R188" s="396"/>
      <c r="S188" s="396"/>
      <c r="T188" s="396"/>
      <c r="U188" s="396"/>
      <c r="V188" s="396"/>
      <c r="W188" s="396"/>
      <c r="X188" s="396"/>
      <c r="Y188" s="396"/>
      <c r="Z188" s="396"/>
    </row>
    <row r="189" spans="2:26" ht="13.5" customHeight="1">
      <c r="B189" s="2895" t="s">
        <v>118</v>
      </c>
      <c r="C189" s="2891">
        <f>SUM(C180:C188)</f>
        <v>58</v>
      </c>
      <c r="D189" s="2891">
        <v>0</v>
      </c>
      <c r="E189" s="2891">
        <v>0</v>
      </c>
      <c r="F189" s="2891">
        <f>SUM(F180:F188)</f>
        <v>58</v>
      </c>
      <c r="G189" s="2891">
        <f>SUM(G180:G188)</f>
        <v>568</v>
      </c>
      <c r="H189" s="2891">
        <v>0</v>
      </c>
      <c r="I189" s="2891">
        <v>0</v>
      </c>
      <c r="J189" s="2891">
        <f>SUM(J180:J188)</f>
        <v>568</v>
      </c>
      <c r="K189" s="2891">
        <f>SUM(K180:K188)</f>
        <v>104</v>
      </c>
      <c r="L189" s="2891">
        <v>0</v>
      </c>
      <c r="M189" s="2891">
        <v>0</v>
      </c>
      <c r="N189" s="2891">
        <f>SUM(N180:N188)</f>
        <v>104</v>
      </c>
      <c r="O189" s="396"/>
      <c r="P189" s="396"/>
      <c r="Q189" s="396"/>
      <c r="R189" s="396"/>
      <c r="S189" s="396"/>
      <c r="T189" s="396"/>
      <c r="U189" s="396"/>
      <c r="V189" s="396"/>
      <c r="W189" s="396"/>
      <c r="X189" s="396"/>
      <c r="Y189" s="396"/>
      <c r="Z189" s="396"/>
    </row>
    <row r="190" spans="2:26" ht="13.5" customHeight="1">
      <c r="B190" s="51"/>
      <c r="C190" s="462"/>
      <c r="D190" s="462"/>
      <c r="E190" s="462"/>
      <c r="F190" s="462"/>
      <c r="G190" s="462"/>
      <c r="H190" s="462"/>
      <c r="I190" s="462"/>
      <c r="J190" s="462"/>
      <c r="K190" s="462"/>
      <c r="L190" s="462"/>
      <c r="M190" s="462"/>
      <c r="N190" s="462"/>
    </row>
    <row r="191" spans="2:26" ht="13.5" customHeight="1">
      <c r="B191" s="51"/>
      <c r="C191" s="420"/>
      <c r="D191" s="420"/>
      <c r="E191" s="420"/>
      <c r="F191" s="420"/>
      <c r="G191" s="420"/>
      <c r="H191" s="420"/>
      <c r="I191" s="420"/>
      <c r="J191" s="420"/>
      <c r="K191" s="420"/>
      <c r="L191" s="420"/>
      <c r="M191" s="420"/>
    </row>
    <row r="192" spans="2:26" ht="13.5" customHeight="1">
      <c r="B192" s="1909" t="s">
        <v>101</v>
      </c>
    </row>
    <row r="193" spans="2:26" ht="13.5" customHeight="1">
      <c r="B193" s="3772" t="s">
        <v>566</v>
      </c>
      <c r="C193" s="3764" t="s">
        <v>567</v>
      </c>
      <c r="D193" s="3764"/>
      <c r="E193" s="3764"/>
      <c r="F193" s="3764"/>
      <c r="G193" s="3736" t="s">
        <v>583</v>
      </c>
      <c r="H193" s="3736"/>
      <c r="I193" s="3736"/>
      <c r="J193" s="3736"/>
      <c r="K193" s="3765" t="s">
        <v>569</v>
      </c>
      <c r="L193" s="3766"/>
      <c r="M193" s="3766"/>
      <c r="N193" s="3767"/>
    </row>
    <row r="194" spans="2:26" ht="13.5" customHeight="1">
      <c r="B194" s="3772"/>
      <c r="C194" s="3764"/>
      <c r="D194" s="3764"/>
      <c r="E194" s="3764"/>
      <c r="F194" s="3764"/>
      <c r="G194" s="3736"/>
      <c r="H194" s="3736"/>
      <c r="I194" s="3736"/>
      <c r="J194" s="3736"/>
      <c r="K194" s="3768"/>
      <c r="L194" s="3769"/>
      <c r="M194" s="3769"/>
      <c r="N194" s="3770"/>
    </row>
    <row r="195" spans="2:26" ht="13.5" customHeight="1">
      <c r="B195" s="3773"/>
      <c r="C195" s="2875" t="s">
        <v>570</v>
      </c>
      <c r="D195" s="2875" t="s">
        <v>571</v>
      </c>
      <c r="E195" s="2875" t="s">
        <v>572</v>
      </c>
      <c r="F195" s="2892" t="s">
        <v>118</v>
      </c>
      <c r="G195" s="1913" t="s">
        <v>570</v>
      </c>
      <c r="H195" s="1913" t="s">
        <v>571</v>
      </c>
      <c r="I195" s="1913" t="s">
        <v>572</v>
      </c>
      <c r="J195" s="2892" t="s">
        <v>118</v>
      </c>
      <c r="K195" s="2875" t="s">
        <v>570</v>
      </c>
      <c r="L195" s="2875" t="s">
        <v>571</v>
      </c>
      <c r="M195" s="2875" t="s">
        <v>572</v>
      </c>
      <c r="N195" s="2892" t="s">
        <v>118</v>
      </c>
    </row>
    <row r="196" spans="2:26" ht="13.5" customHeight="1">
      <c r="B196" s="2813" t="s">
        <v>573</v>
      </c>
      <c r="C196" s="2883">
        <v>11</v>
      </c>
      <c r="D196" s="2898"/>
      <c r="E196" s="2898"/>
      <c r="F196" s="2885">
        <f>SUM(C196:E196)</f>
        <v>11</v>
      </c>
      <c r="G196" s="2887">
        <v>89</v>
      </c>
      <c r="H196" s="2898"/>
      <c r="I196" s="2896"/>
      <c r="J196" s="2885">
        <f>SUM(G196:I196)</f>
        <v>89</v>
      </c>
      <c r="K196" s="2887">
        <v>15</v>
      </c>
      <c r="L196" s="2898"/>
      <c r="M196" s="2896"/>
      <c r="N196" s="2885">
        <f>SUM(K196:M196)</f>
        <v>15</v>
      </c>
      <c r="O196" s="396"/>
      <c r="P196" s="396"/>
      <c r="Q196" s="396"/>
      <c r="R196" s="396"/>
      <c r="S196" s="396"/>
      <c r="T196" s="396"/>
      <c r="U196" s="396"/>
      <c r="V196" s="396"/>
      <c r="W196" s="396"/>
      <c r="X196" s="396"/>
      <c r="Y196" s="396"/>
      <c r="Z196" s="396"/>
    </row>
    <row r="197" spans="2:26" ht="13.5" customHeight="1">
      <c r="B197" s="2813" t="s">
        <v>574</v>
      </c>
      <c r="C197" s="2887">
        <v>8</v>
      </c>
      <c r="D197" s="2898"/>
      <c r="E197" s="2898"/>
      <c r="F197" s="2885">
        <f t="shared" ref="F197:F204" si="61">SUM(C197:E197)</f>
        <v>8</v>
      </c>
      <c r="G197" s="2887">
        <v>51</v>
      </c>
      <c r="H197" s="2898"/>
      <c r="I197" s="2896"/>
      <c r="J197" s="2885">
        <f t="shared" ref="J197:J204" si="62">SUM(G197:I197)</f>
        <v>51</v>
      </c>
      <c r="K197" s="2887">
        <v>6</v>
      </c>
      <c r="L197" s="2898"/>
      <c r="M197" s="2896"/>
      <c r="N197" s="2885">
        <f t="shared" ref="N197:N204" si="63">SUM(K197:M197)</f>
        <v>6</v>
      </c>
      <c r="O197" s="396"/>
      <c r="P197" s="396"/>
      <c r="Q197" s="396"/>
      <c r="R197" s="396"/>
      <c r="S197" s="396"/>
      <c r="T197" s="396"/>
      <c r="U197" s="396"/>
      <c r="V197" s="396"/>
      <c r="W197" s="396"/>
      <c r="X197" s="396"/>
      <c r="Y197" s="396"/>
      <c r="Z197" s="396"/>
    </row>
    <row r="198" spans="2:26" ht="13.5" customHeight="1">
      <c r="B198" s="2813" t="s">
        <v>575</v>
      </c>
      <c r="C198" s="2887">
        <v>7</v>
      </c>
      <c r="D198" s="2898"/>
      <c r="E198" s="2898"/>
      <c r="F198" s="2885">
        <f t="shared" si="61"/>
        <v>7</v>
      </c>
      <c r="G198" s="2887">
        <v>49</v>
      </c>
      <c r="H198" s="2898"/>
      <c r="I198" s="2896"/>
      <c r="J198" s="2885">
        <f t="shared" si="62"/>
        <v>49</v>
      </c>
      <c r="K198" s="2887">
        <v>11</v>
      </c>
      <c r="L198" s="2898"/>
      <c r="M198" s="2896"/>
      <c r="N198" s="2885">
        <f t="shared" si="63"/>
        <v>11</v>
      </c>
      <c r="O198" s="396"/>
      <c r="P198" s="396"/>
      <c r="Q198" s="396"/>
      <c r="R198" s="396"/>
      <c r="S198" s="396"/>
      <c r="T198" s="396"/>
      <c r="U198" s="396"/>
      <c r="V198" s="396"/>
      <c r="W198" s="396"/>
      <c r="X198" s="396"/>
      <c r="Y198" s="396"/>
      <c r="Z198" s="396"/>
    </row>
    <row r="199" spans="2:26" ht="13.5" customHeight="1">
      <c r="B199" s="2813" t="s">
        <v>576</v>
      </c>
      <c r="C199" s="2887">
        <v>12</v>
      </c>
      <c r="D199" s="2898"/>
      <c r="E199" s="2898"/>
      <c r="F199" s="2885">
        <f t="shared" si="61"/>
        <v>12</v>
      </c>
      <c r="G199" s="2887">
        <v>129</v>
      </c>
      <c r="H199" s="2898"/>
      <c r="I199" s="2896"/>
      <c r="J199" s="2885">
        <f t="shared" si="62"/>
        <v>129</v>
      </c>
      <c r="K199" s="2887">
        <v>16</v>
      </c>
      <c r="L199" s="2898"/>
      <c r="M199" s="2896"/>
      <c r="N199" s="2885">
        <f t="shared" si="63"/>
        <v>16</v>
      </c>
      <c r="O199" s="396"/>
      <c r="P199" s="396"/>
      <c r="Q199" s="396"/>
      <c r="R199" s="396"/>
      <c r="S199" s="396"/>
      <c r="T199" s="396"/>
      <c r="U199" s="396"/>
      <c r="V199" s="396"/>
      <c r="W199" s="396"/>
      <c r="X199" s="396"/>
      <c r="Y199" s="396"/>
      <c r="Z199" s="396"/>
    </row>
    <row r="200" spans="2:26" ht="13.5" customHeight="1">
      <c r="B200" s="2813" t="s">
        <v>582</v>
      </c>
      <c r="C200" s="2887">
        <v>7</v>
      </c>
      <c r="D200" s="2898"/>
      <c r="E200" s="2898"/>
      <c r="F200" s="2885">
        <f t="shared" si="61"/>
        <v>7</v>
      </c>
      <c r="G200" s="2887">
        <v>36</v>
      </c>
      <c r="H200" s="2898"/>
      <c r="I200" s="2896"/>
      <c r="J200" s="2885">
        <f t="shared" si="62"/>
        <v>36</v>
      </c>
      <c r="K200" s="2887">
        <v>2</v>
      </c>
      <c r="L200" s="2898"/>
      <c r="M200" s="2896"/>
      <c r="N200" s="2885">
        <f t="shared" si="63"/>
        <v>2</v>
      </c>
      <c r="O200" s="396"/>
      <c r="P200" s="396"/>
      <c r="Q200" s="396"/>
      <c r="R200" s="396"/>
      <c r="S200" s="396"/>
      <c r="T200" s="396"/>
      <c r="U200" s="396"/>
      <c r="V200" s="396"/>
      <c r="W200" s="396"/>
      <c r="X200" s="396"/>
      <c r="Y200" s="396"/>
      <c r="Z200" s="396"/>
    </row>
    <row r="201" spans="2:26" ht="13.5" customHeight="1">
      <c r="B201" s="2813" t="s">
        <v>578</v>
      </c>
      <c r="C201" s="2887">
        <v>6</v>
      </c>
      <c r="D201" s="2898"/>
      <c r="E201" s="2898"/>
      <c r="F201" s="2885">
        <f t="shared" si="61"/>
        <v>6</v>
      </c>
      <c r="G201" s="2887">
        <v>71</v>
      </c>
      <c r="H201" s="2898"/>
      <c r="I201" s="2896"/>
      <c r="J201" s="2885">
        <f t="shared" si="62"/>
        <v>71</v>
      </c>
      <c r="K201" s="2887">
        <v>11</v>
      </c>
      <c r="L201" s="2898"/>
      <c r="M201" s="2896"/>
      <c r="N201" s="2885">
        <f t="shared" si="63"/>
        <v>11</v>
      </c>
      <c r="O201" s="396"/>
      <c r="P201" s="396"/>
      <c r="Q201" s="396"/>
      <c r="R201" s="396"/>
      <c r="S201" s="396"/>
      <c r="T201" s="396"/>
      <c r="U201" s="396"/>
      <c r="V201" s="396"/>
      <c r="W201" s="396"/>
      <c r="X201" s="396"/>
      <c r="Y201" s="396"/>
      <c r="Z201" s="396"/>
    </row>
    <row r="202" spans="2:26" ht="13.5" customHeight="1">
      <c r="B202" s="2813" t="s">
        <v>579</v>
      </c>
      <c r="C202" s="2887">
        <v>15</v>
      </c>
      <c r="D202" s="2898"/>
      <c r="E202" s="2898"/>
      <c r="F202" s="2885">
        <f t="shared" si="61"/>
        <v>15</v>
      </c>
      <c r="G202" s="2887">
        <v>174</v>
      </c>
      <c r="H202" s="2898"/>
      <c r="I202" s="2896"/>
      <c r="J202" s="2885">
        <f t="shared" si="62"/>
        <v>174</v>
      </c>
      <c r="K202" s="2887">
        <v>29</v>
      </c>
      <c r="L202" s="2898"/>
      <c r="M202" s="2896"/>
      <c r="N202" s="2885">
        <f t="shared" si="63"/>
        <v>29</v>
      </c>
      <c r="O202" s="396"/>
      <c r="P202" s="396"/>
      <c r="Q202" s="396"/>
      <c r="R202" s="396"/>
      <c r="S202" s="396"/>
      <c r="T202" s="396"/>
      <c r="U202" s="396"/>
      <c r="V202" s="396"/>
      <c r="W202" s="396"/>
      <c r="X202" s="396"/>
      <c r="Y202" s="396"/>
      <c r="Z202" s="396"/>
    </row>
    <row r="203" spans="2:26" ht="13.5" customHeight="1">
      <c r="B203" s="2813" t="s">
        <v>580</v>
      </c>
      <c r="C203" s="2887">
        <v>8</v>
      </c>
      <c r="D203" s="2898"/>
      <c r="E203" s="2898"/>
      <c r="F203" s="2885">
        <f t="shared" si="61"/>
        <v>8</v>
      </c>
      <c r="G203" s="2887">
        <v>44</v>
      </c>
      <c r="H203" s="2898"/>
      <c r="I203" s="2896"/>
      <c r="J203" s="2885">
        <f t="shared" si="62"/>
        <v>44</v>
      </c>
      <c r="K203" s="2887">
        <v>1</v>
      </c>
      <c r="L203" s="2898"/>
      <c r="M203" s="2896"/>
      <c r="N203" s="2885">
        <f t="shared" si="63"/>
        <v>1</v>
      </c>
      <c r="O203" s="396"/>
      <c r="P203" s="396"/>
      <c r="Q203" s="396"/>
      <c r="R203" s="396"/>
      <c r="S203" s="396"/>
      <c r="T203" s="396"/>
      <c r="U203" s="396"/>
      <c r="V203" s="396"/>
      <c r="W203" s="396"/>
      <c r="X203" s="396"/>
      <c r="Y203" s="396"/>
      <c r="Z203" s="396"/>
    </row>
    <row r="204" spans="2:26" ht="13.5" customHeight="1">
      <c r="B204" s="2813" t="s">
        <v>581</v>
      </c>
      <c r="C204" s="2887">
        <v>38</v>
      </c>
      <c r="D204" s="2898"/>
      <c r="E204" s="2898"/>
      <c r="F204" s="2885">
        <f t="shared" si="61"/>
        <v>38</v>
      </c>
      <c r="G204" s="2887">
        <v>653</v>
      </c>
      <c r="H204" s="2898"/>
      <c r="I204" s="2896"/>
      <c r="J204" s="2885">
        <f t="shared" si="62"/>
        <v>653</v>
      </c>
      <c r="K204" s="2887">
        <v>73</v>
      </c>
      <c r="L204" s="2898"/>
      <c r="M204" s="2896"/>
      <c r="N204" s="2885">
        <f t="shared" si="63"/>
        <v>73</v>
      </c>
      <c r="O204" s="396"/>
      <c r="P204" s="396"/>
      <c r="Q204" s="396"/>
      <c r="R204" s="396"/>
      <c r="S204" s="396"/>
      <c r="T204" s="396"/>
      <c r="U204" s="396"/>
      <c r="V204" s="396"/>
      <c r="W204" s="396"/>
      <c r="X204" s="396"/>
      <c r="Y204" s="396"/>
      <c r="Z204" s="396"/>
    </row>
    <row r="205" spans="2:26" ht="13.5" customHeight="1">
      <c r="B205" s="2895" t="s">
        <v>118</v>
      </c>
      <c r="C205" s="2891">
        <f>SUM(C196:C204)</f>
        <v>112</v>
      </c>
      <c r="D205" s="2891">
        <v>0</v>
      </c>
      <c r="E205" s="2891">
        <v>0</v>
      </c>
      <c r="F205" s="2891">
        <f>SUM(F196:F204)</f>
        <v>112</v>
      </c>
      <c r="G205" s="2891">
        <f>SUM(G196:G204)</f>
        <v>1296</v>
      </c>
      <c r="H205" s="2891">
        <v>0</v>
      </c>
      <c r="I205" s="2891">
        <v>0</v>
      </c>
      <c r="J205" s="2891">
        <f>SUM(J196:J204)</f>
        <v>1296</v>
      </c>
      <c r="K205" s="2891">
        <f>SUM(K196:K204)</f>
        <v>164</v>
      </c>
      <c r="L205" s="2891">
        <v>0</v>
      </c>
      <c r="M205" s="2891">
        <v>0</v>
      </c>
      <c r="N205" s="2891">
        <f>SUM(N196:N204)</f>
        <v>164</v>
      </c>
      <c r="O205" s="396"/>
      <c r="P205" s="396"/>
      <c r="Q205" s="396"/>
      <c r="R205" s="396"/>
      <c r="S205" s="396"/>
      <c r="T205" s="396"/>
      <c r="U205" s="396"/>
      <c r="V205" s="396"/>
      <c r="W205" s="396"/>
      <c r="X205" s="396"/>
      <c r="Y205" s="396"/>
      <c r="Z205" s="396"/>
    </row>
    <row r="206" spans="2:26" ht="13.5" customHeight="1">
      <c r="B206" s="51"/>
      <c r="C206" s="420"/>
      <c r="D206" s="420"/>
      <c r="E206" s="420"/>
      <c r="F206" s="420"/>
      <c r="G206" s="420"/>
      <c r="H206" s="420"/>
      <c r="I206" s="420"/>
      <c r="J206" s="420"/>
      <c r="K206" s="420"/>
      <c r="L206" s="420"/>
      <c r="M206" s="420"/>
      <c r="N206" s="460"/>
    </row>
    <row r="207" spans="2:26" ht="13.5" customHeight="1">
      <c r="B207" s="292"/>
    </row>
    <row r="208" spans="2:26" ht="13.5" customHeight="1">
      <c r="B208" s="1909" t="s">
        <v>233</v>
      </c>
    </row>
    <row r="209" spans="2:26" ht="13.5" customHeight="1">
      <c r="B209" s="3772" t="s">
        <v>566</v>
      </c>
      <c r="C209" s="3764" t="s">
        <v>567</v>
      </c>
      <c r="D209" s="3764"/>
      <c r="E209" s="3764"/>
      <c r="F209" s="3764"/>
      <c r="G209" s="3736" t="s">
        <v>568</v>
      </c>
      <c r="H209" s="3736"/>
      <c r="I209" s="3736"/>
      <c r="J209" s="3736"/>
      <c r="K209" s="3765" t="s">
        <v>569</v>
      </c>
      <c r="L209" s="3766"/>
      <c r="M209" s="3766"/>
      <c r="N209" s="3767"/>
    </row>
    <row r="210" spans="2:26" ht="13.5" customHeight="1">
      <c r="B210" s="3772"/>
      <c r="C210" s="3764"/>
      <c r="D210" s="3764"/>
      <c r="E210" s="3764"/>
      <c r="F210" s="3764"/>
      <c r="G210" s="3736"/>
      <c r="H210" s="3736"/>
      <c r="I210" s="3736"/>
      <c r="J210" s="3736"/>
      <c r="K210" s="3768"/>
      <c r="L210" s="3769"/>
      <c r="M210" s="3769"/>
      <c r="N210" s="3770"/>
    </row>
    <row r="211" spans="2:26" ht="13.5" customHeight="1">
      <c r="B211" s="3773"/>
      <c r="C211" s="2875" t="s">
        <v>570</v>
      </c>
      <c r="D211" s="2875" t="s">
        <v>571</v>
      </c>
      <c r="E211" s="2875" t="s">
        <v>572</v>
      </c>
      <c r="F211" s="2892" t="s">
        <v>118</v>
      </c>
      <c r="G211" s="2875" t="s">
        <v>570</v>
      </c>
      <c r="H211" s="2875" t="s">
        <v>571</v>
      </c>
      <c r="I211" s="2875" t="s">
        <v>572</v>
      </c>
      <c r="J211" s="2892" t="s">
        <v>118</v>
      </c>
      <c r="K211" s="2875" t="s">
        <v>570</v>
      </c>
      <c r="L211" s="2875" t="s">
        <v>571</v>
      </c>
      <c r="M211" s="2875" t="s">
        <v>572</v>
      </c>
      <c r="N211" s="2892" t="s">
        <v>118</v>
      </c>
    </row>
    <row r="212" spans="2:26" ht="13.5" customHeight="1">
      <c r="B212" s="2813" t="s">
        <v>573</v>
      </c>
      <c r="C212" s="2894"/>
      <c r="D212" s="2903">
        <v>4</v>
      </c>
      <c r="E212" s="2898"/>
      <c r="F212" s="2885">
        <f>SUM(C212:E212)</f>
        <v>4</v>
      </c>
      <c r="G212" s="2896"/>
      <c r="H212" s="2887">
        <v>15</v>
      </c>
      <c r="I212" s="2896"/>
      <c r="J212" s="2885">
        <f>SUM(G212:I212)</f>
        <v>15</v>
      </c>
      <c r="K212" s="2896"/>
      <c r="L212" s="2887">
        <v>32</v>
      </c>
      <c r="M212" s="2896"/>
      <c r="N212" s="2885">
        <f>SUM(K212:M212)</f>
        <v>32</v>
      </c>
      <c r="O212" s="396"/>
      <c r="P212" s="396"/>
      <c r="Q212" s="396"/>
      <c r="R212" s="396"/>
      <c r="S212" s="396"/>
      <c r="T212" s="396"/>
      <c r="U212" s="396"/>
      <c r="V212" s="396"/>
      <c r="W212" s="396"/>
      <c r="X212" s="396"/>
      <c r="Y212" s="396"/>
      <c r="Z212" s="396"/>
    </row>
    <row r="213" spans="2:26" ht="13.5" customHeight="1">
      <c r="B213" s="2813" t="s">
        <v>574</v>
      </c>
      <c r="C213" s="2896"/>
      <c r="D213" s="2883">
        <v>4</v>
      </c>
      <c r="E213" s="2898"/>
      <c r="F213" s="2885">
        <f t="shared" ref="F213:F220" si="64">SUM(C213:E213)</f>
        <v>4</v>
      </c>
      <c r="G213" s="2896"/>
      <c r="H213" s="2887">
        <v>5</v>
      </c>
      <c r="I213" s="2896"/>
      <c r="J213" s="2885">
        <f t="shared" ref="J213:J220" si="65">SUM(G213:I213)</f>
        <v>5</v>
      </c>
      <c r="K213" s="2896"/>
      <c r="L213" s="2887">
        <v>10</v>
      </c>
      <c r="M213" s="2896"/>
      <c r="N213" s="2885">
        <f t="shared" ref="N213:N220" si="66">SUM(K213:M213)</f>
        <v>10</v>
      </c>
      <c r="O213" s="396"/>
      <c r="P213" s="396"/>
      <c r="Q213" s="396"/>
      <c r="R213" s="396"/>
      <c r="S213" s="396"/>
      <c r="T213" s="396"/>
      <c r="U213" s="396"/>
      <c r="V213" s="396"/>
      <c r="W213" s="396"/>
      <c r="X213" s="396"/>
      <c r="Y213" s="396"/>
      <c r="Z213" s="396"/>
    </row>
    <row r="214" spans="2:26" ht="13.5" customHeight="1">
      <c r="B214" s="2813" t="s">
        <v>575</v>
      </c>
      <c r="C214" s="2896"/>
      <c r="D214" s="2887">
        <v>4</v>
      </c>
      <c r="E214" s="2898"/>
      <c r="F214" s="2885">
        <f t="shared" si="64"/>
        <v>4</v>
      </c>
      <c r="G214" s="2896"/>
      <c r="H214" s="2887">
        <v>8</v>
      </c>
      <c r="I214" s="2896"/>
      <c r="J214" s="2885">
        <f t="shared" si="65"/>
        <v>8</v>
      </c>
      <c r="K214" s="2896"/>
      <c r="L214" s="2887">
        <v>29</v>
      </c>
      <c r="M214" s="2896"/>
      <c r="N214" s="2885">
        <f t="shared" si="66"/>
        <v>29</v>
      </c>
      <c r="O214" s="396"/>
      <c r="P214" s="396"/>
      <c r="Q214" s="396"/>
      <c r="R214" s="396"/>
      <c r="S214" s="396"/>
      <c r="T214" s="396"/>
      <c r="U214" s="396"/>
      <c r="V214" s="396"/>
      <c r="W214" s="396"/>
      <c r="X214" s="396"/>
      <c r="Y214" s="396"/>
      <c r="Z214" s="396"/>
    </row>
    <row r="215" spans="2:26" ht="13.5" customHeight="1">
      <c r="B215" s="2813" t="s">
        <v>576</v>
      </c>
      <c r="C215" s="2896"/>
      <c r="D215" s="2887">
        <v>9</v>
      </c>
      <c r="E215" s="2898"/>
      <c r="F215" s="2885">
        <f t="shared" si="64"/>
        <v>9</v>
      </c>
      <c r="G215" s="2896"/>
      <c r="H215" s="2887">
        <v>28</v>
      </c>
      <c r="I215" s="2896"/>
      <c r="J215" s="2885">
        <f t="shared" si="65"/>
        <v>28</v>
      </c>
      <c r="K215" s="2896"/>
      <c r="L215" s="2887">
        <v>89</v>
      </c>
      <c r="M215" s="2896"/>
      <c r="N215" s="2885">
        <f t="shared" si="66"/>
        <v>89</v>
      </c>
      <c r="O215" s="396"/>
      <c r="P215" s="396"/>
      <c r="Q215" s="396"/>
      <c r="R215" s="396"/>
      <c r="S215" s="396"/>
      <c r="T215" s="396"/>
      <c r="U215" s="396"/>
      <c r="V215" s="396"/>
      <c r="W215" s="396"/>
      <c r="X215" s="396"/>
      <c r="Y215" s="396"/>
      <c r="Z215" s="396"/>
    </row>
    <row r="216" spans="2:26" ht="13.5" customHeight="1">
      <c r="B216" s="2813" t="s">
        <v>582</v>
      </c>
      <c r="C216" s="2896"/>
      <c r="D216" s="2887">
        <v>8</v>
      </c>
      <c r="E216" s="2898"/>
      <c r="F216" s="2885">
        <f t="shared" si="64"/>
        <v>8</v>
      </c>
      <c r="G216" s="2896"/>
      <c r="H216" s="2887">
        <v>18</v>
      </c>
      <c r="I216" s="2896"/>
      <c r="J216" s="2885">
        <f t="shared" si="65"/>
        <v>18</v>
      </c>
      <c r="K216" s="2896"/>
      <c r="L216" s="2887">
        <v>46</v>
      </c>
      <c r="M216" s="2896"/>
      <c r="N216" s="2885">
        <f t="shared" si="66"/>
        <v>46</v>
      </c>
      <c r="O216" s="396"/>
      <c r="P216" s="396"/>
      <c r="Q216" s="396"/>
      <c r="R216" s="396"/>
      <c r="S216" s="396"/>
      <c r="T216" s="396"/>
      <c r="U216" s="396"/>
      <c r="V216" s="396"/>
      <c r="W216" s="396"/>
      <c r="X216" s="396"/>
      <c r="Y216" s="396"/>
      <c r="Z216" s="396"/>
    </row>
    <row r="217" spans="2:26" ht="13.5" customHeight="1">
      <c r="B217" s="2813" t="s">
        <v>578</v>
      </c>
      <c r="C217" s="2896"/>
      <c r="D217" s="2887">
        <v>4</v>
      </c>
      <c r="E217" s="2898"/>
      <c r="F217" s="2885">
        <f t="shared" si="64"/>
        <v>4</v>
      </c>
      <c r="G217" s="2896"/>
      <c r="H217" s="2887">
        <v>13</v>
      </c>
      <c r="I217" s="2896"/>
      <c r="J217" s="2885">
        <f t="shared" si="65"/>
        <v>13</v>
      </c>
      <c r="K217" s="2896"/>
      <c r="L217" s="2887">
        <v>28</v>
      </c>
      <c r="M217" s="2896"/>
      <c r="N217" s="2885">
        <f t="shared" si="66"/>
        <v>28</v>
      </c>
      <c r="O217" s="396"/>
      <c r="P217" s="396"/>
      <c r="Q217" s="396"/>
      <c r="R217" s="396"/>
      <c r="S217" s="396"/>
      <c r="T217" s="396"/>
      <c r="U217" s="396"/>
      <c r="V217" s="396"/>
      <c r="W217" s="396"/>
      <c r="X217" s="396"/>
      <c r="Y217" s="396"/>
      <c r="Z217" s="396"/>
    </row>
    <row r="218" spans="2:26" ht="13.5" customHeight="1">
      <c r="B218" s="2813" t="s">
        <v>579</v>
      </c>
      <c r="C218" s="2896"/>
      <c r="D218" s="2887">
        <v>7</v>
      </c>
      <c r="E218" s="2898"/>
      <c r="F218" s="2885">
        <f t="shared" si="64"/>
        <v>7</v>
      </c>
      <c r="G218" s="2896"/>
      <c r="H218" s="2887">
        <v>21</v>
      </c>
      <c r="I218" s="2896"/>
      <c r="J218" s="2885">
        <f t="shared" si="65"/>
        <v>21</v>
      </c>
      <c r="K218" s="2896"/>
      <c r="L218" s="2887">
        <v>39</v>
      </c>
      <c r="M218" s="2896"/>
      <c r="N218" s="2885">
        <f t="shared" si="66"/>
        <v>39</v>
      </c>
      <c r="O218" s="396"/>
      <c r="P218" s="396"/>
      <c r="Q218" s="396"/>
      <c r="R218" s="396"/>
      <c r="S218" s="396"/>
      <c r="T218" s="396"/>
      <c r="U218" s="396"/>
      <c r="V218" s="396"/>
      <c r="W218" s="396"/>
      <c r="X218" s="396"/>
      <c r="Y218" s="396"/>
      <c r="Z218" s="396"/>
    </row>
    <row r="219" spans="2:26" ht="13.5" customHeight="1">
      <c r="B219" s="2813" t="s">
        <v>580</v>
      </c>
      <c r="C219" s="2896"/>
      <c r="D219" s="2887">
        <v>5</v>
      </c>
      <c r="E219" s="2898"/>
      <c r="F219" s="2885">
        <f t="shared" si="64"/>
        <v>5</v>
      </c>
      <c r="G219" s="2896"/>
      <c r="H219" s="2887">
        <v>11</v>
      </c>
      <c r="I219" s="2896"/>
      <c r="J219" s="2885">
        <f t="shared" si="65"/>
        <v>11</v>
      </c>
      <c r="K219" s="2896"/>
      <c r="L219" s="2887">
        <v>18</v>
      </c>
      <c r="M219" s="2896"/>
      <c r="N219" s="2885">
        <f t="shared" si="66"/>
        <v>18</v>
      </c>
      <c r="O219" s="396"/>
      <c r="P219" s="396"/>
      <c r="Q219" s="396"/>
      <c r="R219" s="396"/>
      <c r="S219" s="396"/>
      <c r="T219" s="396"/>
      <c r="U219" s="396"/>
      <c r="V219" s="396"/>
      <c r="W219" s="396"/>
      <c r="X219" s="396"/>
      <c r="Y219" s="396"/>
      <c r="Z219" s="396"/>
    </row>
    <row r="220" spans="2:26" ht="13.5" customHeight="1">
      <c r="B220" s="2813" t="s">
        <v>581</v>
      </c>
      <c r="C220" s="2896"/>
      <c r="D220" s="2887">
        <v>12</v>
      </c>
      <c r="E220" s="2898"/>
      <c r="F220" s="2885">
        <f t="shared" si="64"/>
        <v>12</v>
      </c>
      <c r="G220" s="2896"/>
      <c r="H220" s="2887">
        <v>88</v>
      </c>
      <c r="I220" s="2896"/>
      <c r="J220" s="2885">
        <f t="shared" si="65"/>
        <v>88</v>
      </c>
      <c r="K220" s="2896"/>
      <c r="L220" s="2887">
        <v>49</v>
      </c>
      <c r="M220" s="2896"/>
      <c r="N220" s="2885">
        <f t="shared" si="66"/>
        <v>49</v>
      </c>
      <c r="O220" s="396"/>
      <c r="P220" s="396"/>
      <c r="Q220" s="396"/>
      <c r="R220" s="396"/>
      <c r="S220" s="396"/>
      <c r="T220" s="396"/>
      <c r="U220" s="396"/>
      <c r="V220" s="396"/>
      <c r="W220" s="396"/>
      <c r="X220" s="396"/>
      <c r="Y220" s="396"/>
      <c r="Z220" s="396"/>
    </row>
    <row r="221" spans="2:26" ht="13.5" customHeight="1">
      <c r="B221" s="2895" t="s">
        <v>118</v>
      </c>
      <c r="C221" s="2891"/>
      <c r="D221" s="2891">
        <f>SUM(D212:D220)</f>
        <v>57</v>
      </c>
      <c r="E221" s="2891">
        <v>0</v>
      </c>
      <c r="F221" s="2891">
        <f>SUM(F212:F220)</f>
        <v>57</v>
      </c>
      <c r="G221" s="2891">
        <v>0</v>
      </c>
      <c r="H221" s="2891">
        <f>SUM(H212:H220)</f>
        <v>207</v>
      </c>
      <c r="I221" s="2891">
        <v>0</v>
      </c>
      <c r="J221" s="2891">
        <f>SUM(J212:J220)</f>
        <v>207</v>
      </c>
      <c r="K221" s="2891">
        <v>0</v>
      </c>
      <c r="L221" s="2891">
        <f>SUM(L212:L220)</f>
        <v>340</v>
      </c>
      <c r="M221" s="2891">
        <v>0</v>
      </c>
      <c r="N221" s="2891">
        <f>SUM(N212:N220)</f>
        <v>340</v>
      </c>
      <c r="O221" s="396"/>
      <c r="P221" s="396"/>
      <c r="Q221" s="396"/>
      <c r="R221" s="396"/>
      <c r="S221" s="396"/>
      <c r="T221" s="396"/>
      <c r="U221" s="396"/>
      <c r="V221" s="396"/>
      <c r="W221" s="396"/>
      <c r="X221" s="396"/>
      <c r="Y221" s="396"/>
      <c r="Z221" s="396"/>
    </row>
    <row r="222" spans="2:26" ht="13.5" customHeight="1">
      <c r="B222" s="51"/>
      <c r="C222" s="420"/>
      <c r="D222" s="420"/>
      <c r="E222" s="420"/>
      <c r="F222" s="264"/>
      <c r="G222" s="420"/>
      <c r="H222" s="420"/>
      <c r="I222" s="420"/>
      <c r="J222" s="264"/>
      <c r="K222" s="420"/>
      <c r="L222" s="420"/>
      <c r="M222" s="420"/>
      <c r="N222" s="264"/>
    </row>
    <row r="223" spans="2:26" ht="13.5" customHeight="1">
      <c r="B223" s="292"/>
      <c r="N223" s="292">
        <v>174</v>
      </c>
    </row>
    <row r="224" spans="2:26" ht="13.5" customHeight="1">
      <c r="B224" s="292"/>
    </row>
    <row r="225" spans="2:26" ht="13.5" customHeight="1">
      <c r="B225" s="1909" t="s">
        <v>103</v>
      </c>
    </row>
    <row r="226" spans="2:26" ht="13.5" customHeight="1">
      <c r="B226" s="3772" t="s">
        <v>566</v>
      </c>
      <c r="C226" s="3764" t="s">
        <v>567</v>
      </c>
      <c r="D226" s="3764"/>
      <c r="E226" s="3764"/>
      <c r="F226" s="3764"/>
      <c r="G226" s="3736" t="s">
        <v>568</v>
      </c>
      <c r="H226" s="3736"/>
      <c r="I226" s="3736"/>
      <c r="J226" s="3736"/>
      <c r="K226" s="3765" t="s">
        <v>569</v>
      </c>
      <c r="L226" s="3766"/>
      <c r="M226" s="3766"/>
      <c r="N226" s="3767"/>
    </row>
    <row r="227" spans="2:26" ht="13.5" customHeight="1">
      <c r="B227" s="3772"/>
      <c r="C227" s="3764"/>
      <c r="D227" s="3764"/>
      <c r="E227" s="3764"/>
      <c r="F227" s="3764"/>
      <c r="G227" s="3736"/>
      <c r="H227" s="3736"/>
      <c r="I227" s="3736"/>
      <c r="J227" s="3736"/>
      <c r="K227" s="3768"/>
      <c r="L227" s="3769"/>
      <c r="M227" s="3769"/>
      <c r="N227" s="3770"/>
    </row>
    <row r="228" spans="2:26" ht="13.5" customHeight="1">
      <c r="B228" s="3773"/>
      <c r="C228" s="2875" t="s">
        <v>570</v>
      </c>
      <c r="D228" s="2875" t="s">
        <v>571</v>
      </c>
      <c r="E228" s="2875" t="s">
        <v>572</v>
      </c>
      <c r="F228" s="2892" t="s">
        <v>118</v>
      </c>
      <c r="G228" s="2875" t="s">
        <v>570</v>
      </c>
      <c r="H228" s="2875" t="s">
        <v>571</v>
      </c>
      <c r="I228" s="2875" t="s">
        <v>572</v>
      </c>
      <c r="J228" s="2892" t="s">
        <v>118</v>
      </c>
      <c r="K228" s="2875" t="s">
        <v>570</v>
      </c>
      <c r="L228" s="2875" t="s">
        <v>571</v>
      </c>
      <c r="M228" s="2875" t="s">
        <v>572</v>
      </c>
      <c r="N228" s="2892" t="s">
        <v>118</v>
      </c>
    </row>
    <row r="229" spans="2:26" ht="13.5" customHeight="1">
      <c r="B229" s="2813" t="s">
        <v>573</v>
      </c>
      <c r="C229" s="2894"/>
      <c r="D229" s="2883">
        <v>6</v>
      </c>
      <c r="E229" s="2898"/>
      <c r="F229" s="2885">
        <f>SUM(C229:E229)</f>
        <v>6</v>
      </c>
      <c r="G229" s="2896"/>
      <c r="H229" s="2887">
        <v>34</v>
      </c>
      <c r="I229" s="2896"/>
      <c r="J229" s="2885">
        <f>SUM(G229:I229)</f>
        <v>34</v>
      </c>
      <c r="K229" s="2896"/>
      <c r="L229" s="2887">
        <v>243</v>
      </c>
      <c r="M229" s="2896"/>
      <c r="N229" s="2885">
        <f>SUM(K229:M229)</f>
        <v>243</v>
      </c>
      <c r="O229" s="396"/>
      <c r="P229" s="396"/>
      <c r="Q229" s="396"/>
      <c r="R229" s="396"/>
      <c r="S229" s="396"/>
      <c r="T229" s="396"/>
      <c r="U229" s="396"/>
      <c r="V229" s="396"/>
      <c r="W229" s="396"/>
      <c r="X229" s="396"/>
      <c r="Y229" s="396"/>
      <c r="Z229" s="396"/>
    </row>
    <row r="230" spans="2:26" ht="13.5" customHeight="1">
      <c r="B230" s="2813" t="s">
        <v>574</v>
      </c>
      <c r="C230" s="2896"/>
      <c r="D230" s="2887">
        <v>5</v>
      </c>
      <c r="E230" s="2898"/>
      <c r="F230" s="2885">
        <f t="shared" ref="F230:F237" si="67">SUM(C230:E230)</f>
        <v>5</v>
      </c>
      <c r="G230" s="2896"/>
      <c r="H230" s="2887">
        <v>40</v>
      </c>
      <c r="I230" s="2896"/>
      <c r="J230" s="2885">
        <f t="shared" ref="J230:J237" si="68">SUM(G230:I230)</f>
        <v>40</v>
      </c>
      <c r="K230" s="2896"/>
      <c r="L230" s="2887">
        <v>216</v>
      </c>
      <c r="M230" s="2896"/>
      <c r="N230" s="2885">
        <f t="shared" ref="N230:N237" si="69">SUM(K230:M230)</f>
        <v>216</v>
      </c>
      <c r="O230" s="396"/>
      <c r="P230" s="396"/>
      <c r="Q230" s="396"/>
      <c r="R230" s="396"/>
      <c r="S230" s="396"/>
      <c r="T230" s="396"/>
      <c r="U230" s="396"/>
      <c r="V230" s="396"/>
      <c r="W230" s="396"/>
      <c r="X230" s="396"/>
      <c r="Y230" s="396"/>
      <c r="Z230" s="396"/>
    </row>
    <row r="231" spans="2:26" ht="13.5" customHeight="1">
      <c r="B231" s="2813" t="s">
        <v>575</v>
      </c>
      <c r="C231" s="2896"/>
      <c r="D231" s="2887">
        <v>4</v>
      </c>
      <c r="E231" s="2898"/>
      <c r="F231" s="2885">
        <f t="shared" si="67"/>
        <v>4</v>
      </c>
      <c r="G231" s="2896"/>
      <c r="H231" s="2887">
        <v>16</v>
      </c>
      <c r="I231" s="2896"/>
      <c r="J231" s="2885">
        <f t="shared" si="68"/>
        <v>16</v>
      </c>
      <c r="K231" s="2896"/>
      <c r="L231" s="2887">
        <v>92</v>
      </c>
      <c r="M231" s="2896"/>
      <c r="N231" s="2885">
        <f t="shared" si="69"/>
        <v>92</v>
      </c>
      <c r="O231" s="396"/>
      <c r="P231" s="396"/>
      <c r="Q231" s="396"/>
      <c r="R231" s="396"/>
      <c r="S231" s="396"/>
      <c r="T231" s="396"/>
      <c r="U231" s="396"/>
      <c r="V231" s="396"/>
      <c r="W231" s="396"/>
      <c r="X231" s="396"/>
      <c r="Y231" s="396"/>
      <c r="Z231" s="396"/>
    </row>
    <row r="232" spans="2:26" ht="13.5" customHeight="1">
      <c r="B232" s="2813" t="s">
        <v>576</v>
      </c>
      <c r="C232" s="2896"/>
      <c r="D232" s="2887">
        <v>4</v>
      </c>
      <c r="E232" s="2898"/>
      <c r="F232" s="2885">
        <f t="shared" si="67"/>
        <v>4</v>
      </c>
      <c r="G232" s="2896"/>
      <c r="H232" s="2887">
        <v>27</v>
      </c>
      <c r="I232" s="2896"/>
      <c r="J232" s="2885">
        <f t="shared" si="68"/>
        <v>27</v>
      </c>
      <c r="K232" s="2896"/>
      <c r="L232" s="2887">
        <v>237</v>
      </c>
      <c r="M232" s="2896"/>
      <c r="N232" s="2885">
        <f t="shared" si="69"/>
        <v>237</v>
      </c>
      <c r="O232" s="396"/>
      <c r="P232" s="396"/>
      <c r="Q232" s="396"/>
      <c r="R232" s="396"/>
      <c r="S232" s="396"/>
      <c r="T232" s="396"/>
      <c r="U232" s="396"/>
      <c r="V232" s="396"/>
      <c r="W232" s="396"/>
      <c r="X232" s="396"/>
      <c r="Y232" s="396"/>
      <c r="Z232" s="396"/>
    </row>
    <row r="233" spans="2:26" ht="13.5" customHeight="1">
      <c r="B233" s="2813" t="s">
        <v>582</v>
      </c>
      <c r="C233" s="2896"/>
      <c r="D233" s="2887">
        <v>7</v>
      </c>
      <c r="E233" s="2898"/>
      <c r="F233" s="2885">
        <f t="shared" si="67"/>
        <v>7</v>
      </c>
      <c r="G233" s="2896"/>
      <c r="H233" s="2887">
        <v>48</v>
      </c>
      <c r="I233" s="2896"/>
      <c r="J233" s="2885">
        <f t="shared" si="68"/>
        <v>48</v>
      </c>
      <c r="K233" s="2896"/>
      <c r="L233" s="2887">
        <v>331</v>
      </c>
      <c r="M233" s="2896"/>
      <c r="N233" s="2885">
        <f t="shared" si="69"/>
        <v>331</v>
      </c>
      <c r="O233" s="396"/>
      <c r="P233" s="396"/>
      <c r="Q233" s="396"/>
      <c r="R233" s="396"/>
      <c r="S233" s="396"/>
      <c r="T233" s="396"/>
      <c r="U233" s="396"/>
      <c r="V233" s="396"/>
      <c r="W233" s="396"/>
      <c r="X233" s="396"/>
      <c r="Y233" s="396"/>
      <c r="Z233" s="396"/>
    </row>
    <row r="234" spans="2:26" ht="13.5" customHeight="1">
      <c r="B234" s="2813" t="s">
        <v>578</v>
      </c>
      <c r="C234" s="2896"/>
      <c r="D234" s="2887">
        <v>4</v>
      </c>
      <c r="E234" s="2898"/>
      <c r="F234" s="2885">
        <f t="shared" si="67"/>
        <v>4</v>
      </c>
      <c r="G234" s="2896"/>
      <c r="H234" s="2887">
        <v>22</v>
      </c>
      <c r="I234" s="2896"/>
      <c r="J234" s="2885">
        <f t="shared" si="68"/>
        <v>22</v>
      </c>
      <c r="K234" s="2896"/>
      <c r="L234" s="2887">
        <v>251</v>
      </c>
      <c r="M234" s="2896"/>
      <c r="N234" s="2885">
        <f t="shared" si="69"/>
        <v>251</v>
      </c>
      <c r="O234" s="396"/>
      <c r="P234" s="396"/>
      <c r="Q234" s="396"/>
      <c r="R234" s="396"/>
      <c r="S234" s="396"/>
      <c r="T234" s="396"/>
      <c r="U234" s="396"/>
      <c r="V234" s="396"/>
      <c r="W234" s="396"/>
      <c r="X234" s="396"/>
      <c r="Y234" s="396"/>
      <c r="Z234" s="396"/>
    </row>
    <row r="235" spans="2:26" ht="13.5" customHeight="1">
      <c r="B235" s="2813" t="s">
        <v>579</v>
      </c>
      <c r="C235" s="2896"/>
      <c r="D235" s="2887">
        <v>7</v>
      </c>
      <c r="E235" s="2898"/>
      <c r="F235" s="2885">
        <f t="shared" si="67"/>
        <v>7</v>
      </c>
      <c r="G235" s="2896"/>
      <c r="H235" s="2887">
        <v>41</v>
      </c>
      <c r="I235" s="2896"/>
      <c r="J235" s="2885">
        <f t="shared" si="68"/>
        <v>41</v>
      </c>
      <c r="K235" s="2896"/>
      <c r="L235" s="2887">
        <v>371</v>
      </c>
      <c r="M235" s="2896"/>
      <c r="N235" s="2885">
        <f t="shared" si="69"/>
        <v>371</v>
      </c>
      <c r="O235" s="396"/>
      <c r="P235" s="396"/>
      <c r="Q235" s="396"/>
      <c r="R235" s="396"/>
      <c r="S235" s="396"/>
      <c r="T235" s="396"/>
      <c r="U235" s="396"/>
      <c r="V235" s="396"/>
      <c r="W235" s="396"/>
      <c r="X235" s="396"/>
      <c r="Y235" s="396"/>
      <c r="Z235" s="396"/>
    </row>
    <row r="236" spans="2:26" ht="13.5" customHeight="1">
      <c r="B236" s="2813" t="s">
        <v>580</v>
      </c>
      <c r="C236" s="2896"/>
      <c r="D236" s="2887">
        <v>4</v>
      </c>
      <c r="E236" s="2898"/>
      <c r="F236" s="2885">
        <f t="shared" si="67"/>
        <v>4</v>
      </c>
      <c r="G236" s="2896"/>
      <c r="H236" s="2887">
        <v>21</v>
      </c>
      <c r="I236" s="2896"/>
      <c r="J236" s="2885">
        <f t="shared" si="68"/>
        <v>21</v>
      </c>
      <c r="K236" s="2896"/>
      <c r="L236" s="2887">
        <v>108</v>
      </c>
      <c r="M236" s="2896"/>
      <c r="N236" s="2885">
        <f t="shared" si="69"/>
        <v>108</v>
      </c>
      <c r="O236" s="396"/>
      <c r="P236" s="396"/>
      <c r="Q236" s="396"/>
      <c r="R236" s="396"/>
      <c r="S236" s="396"/>
      <c r="T236" s="396"/>
      <c r="U236" s="396"/>
      <c r="V236" s="396"/>
      <c r="W236" s="396"/>
      <c r="X236" s="396"/>
      <c r="Y236" s="396"/>
      <c r="Z236" s="396"/>
    </row>
    <row r="237" spans="2:26" ht="13.5" customHeight="1">
      <c r="B237" s="2813" t="s">
        <v>581</v>
      </c>
      <c r="C237" s="2896"/>
      <c r="D237" s="2887">
        <v>22</v>
      </c>
      <c r="E237" s="2898"/>
      <c r="F237" s="2885">
        <f t="shared" si="67"/>
        <v>22</v>
      </c>
      <c r="G237" s="2896"/>
      <c r="H237" s="2887">
        <v>378</v>
      </c>
      <c r="I237" s="2896"/>
      <c r="J237" s="2885">
        <f t="shared" si="68"/>
        <v>378</v>
      </c>
      <c r="K237" s="2896"/>
      <c r="L237" s="2887">
        <v>913</v>
      </c>
      <c r="M237" s="2896"/>
      <c r="N237" s="2885">
        <f t="shared" si="69"/>
        <v>913</v>
      </c>
      <c r="O237" s="396"/>
      <c r="P237" s="396"/>
      <c r="Q237" s="396"/>
      <c r="R237" s="396"/>
      <c r="S237" s="396"/>
      <c r="T237" s="396"/>
      <c r="U237" s="396"/>
      <c r="V237" s="396"/>
      <c r="W237" s="396"/>
      <c r="X237" s="396"/>
      <c r="Y237" s="396"/>
      <c r="Z237" s="396"/>
    </row>
    <row r="238" spans="2:26" ht="13.5" customHeight="1">
      <c r="B238" s="2895" t="s">
        <v>118</v>
      </c>
      <c r="C238" s="2891">
        <f>SUM(C229:C237)</f>
        <v>0</v>
      </c>
      <c r="D238" s="2891">
        <f t="shared" ref="D238:N238" si="70">SUM(D229:D237)</f>
        <v>63</v>
      </c>
      <c r="E238" s="2891">
        <f t="shared" si="70"/>
        <v>0</v>
      </c>
      <c r="F238" s="2891">
        <f t="shared" si="70"/>
        <v>63</v>
      </c>
      <c r="G238" s="2891">
        <f t="shared" si="70"/>
        <v>0</v>
      </c>
      <c r="H238" s="2891">
        <f t="shared" si="70"/>
        <v>627</v>
      </c>
      <c r="I238" s="2891">
        <f t="shared" si="70"/>
        <v>0</v>
      </c>
      <c r="J238" s="2891">
        <f t="shared" si="70"/>
        <v>627</v>
      </c>
      <c r="K238" s="2891">
        <f t="shared" si="70"/>
        <v>0</v>
      </c>
      <c r="L238" s="2891">
        <f t="shared" si="70"/>
        <v>2762</v>
      </c>
      <c r="M238" s="2891">
        <f t="shared" si="70"/>
        <v>0</v>
      </c>
      <c r="N238" s="2891">
        <f t="shared" si="70"/>
        <v>2762</v>
      </c>
      <c r="O238" s="396"/>
      <c r="P238" s="396"/>
      <c r="Q238" s="396"/>
      <c r="R238" s="396"/>
      <c r="S238" s="396"/>
      <c r="T238" s="396"/>
      <c r="U238" s="396"/>
      <c r="V238" s="396"/>
      <c r="W238" s="396"/>
      <c r="X238" s="396"/>
      <c r="Y238" s="396"/>
      <c r="Z238" s="396"/>
    </row>
    <row r="239" spans="2:26" ht="13.5" customHeight="1">
      <c r="B239" s="292"/>
    </row>
    <row r="240" spans="2:26" ht="13.5" customHeight="1">
      <c r="B240" s="292"/>
    </row>
    <row r="241" spans="2:26" ht="13.5" customHeight="1">
      <c r="B241" s="1909" t="s">
        <v>104</v>
      </c>
    </row>
    <row r="242" spans="2:26" ht="13.5" customHeight="1">
      <c r="B242" s="3760" t="s">
        <v>566</v>
      </c>
      <c r="C242" s="3763" t="s">
        <v>567</v>
      </c>
      <c r="D242" s="3764"/>
      <c r="E242" s="3764"/>
      <c r="F242" s="3764"/>
      <c r="G242" s="3736" t="s">
        <v>568</v>
      </c>
      <c r="H242" s="3736"/>
      <c r="I242" s="3736"/>
      <c r="J242" s="3736"/>
      <c r="K242" s="3765" t="s">
        <v>569</v>
      </c>
      <c r="L242" s="3766"/>
      <c r="M242" s="3766"/>
      <c r="N242" s="3767"/>
    </row>
    <row r="243" spans="2:26" ht="13.5" customHeight="1">
      <c r="B243" s="3761"/>
      <c r="C243" s="3763"/>
      <c r="D243" s="3764"/>
      <c r="E243" s="3764"/>
      <c r="F243" s="3764"/>
      <c r="G243" s="3736"/>
      <c r="H243" s="3736"/>
      <c r="I243" s="3736"/>
      <c r="J243" s="3736"/>
      <c r="K243" s="3768"/>
      <c r="L243" s="3769"/>
      <c r="M243" s="3769"/>
      <c r="N243" s="3770"/>
    </row>
    <row r="244" spans="2:26" ht="13.5" customHeight="1">
      <c r="B244" s="3762"/>
      <c r="C244" s="2874" t="s">
        <v>570</v>
      </c>
      <c r="D244" s="2875" t="s">
        <v>571</v>
      </c>
      <c r="E244" s="2875" t="s">
        <v>572</v>
      </c>
      <c r="F244" s="2892" t="s">
        <v>118</v>
      </c>
      <c r="G244" s="2875" t="s">
        <v>570</v>
      </c>
      <c r="H244" s="2875" t="s">
        <v>571</v>
      </c>
      <c r="I244" s="2875" t="s">
        <v>572</v>
      </c>
      <c r="J244" s="2892" t="s">
        <v>118</v>
      </c>
      <c r="K244" s="2875" t="s">
        <v>570</v>
      </c>
      <c r="L244" s="2875" t="s">
        <v>571</v>
      </c>
      <c r="M244" s="2875" t="s">
        <v>572</v>
      </c>
      <c r="N244" s="2892" t="s">
        <v>118</v>
      </c>
    </row>
    <row r="245" spans="2:26" ht="13.5" customHeight="1">
      <c r="B245" s="1911" t="s">
        <v>573</v>
      </c>
      <c r="C245" s="2904">
        <v>6</v>
      </c>
      <c r="D245" s="2898"/>
      <c r="E245" s="2898"/>
      <c r="F245" s="2885">
        <f>SUM(C245:E245)</f>
        <v>6</v>
      </c>
      <c r="G245" s="2905">
        <v>44</v>
      </c>
      <c r="H245" s="2898"/>
      <c r="I245" s="2896"/>
      <c r="J245" s="2885">
        <f>SUM(G245:I245)</f>
        <v>44</v>
      </c>
      <c r="K245" s="2905">
        <v>34</v>
      </c>
      <c r="L245" s="2898"/>
      <c r="M245" s="2896"/>
      <c r="N245" s="2885">
        <f>SUM(K245:M245)</f>
        <v>34</v>
      </c>
      <c r="O245" s="396"/>
      <c r="P245" s="396"/>
      <c r="Q245" s="396"/>
      <c r="R245" s="396"/>
      <c r="S245" s="396"/>
      <c r="T245" s="396"/>
      <c r="U245" s="396"/>
      <c r="V245" s="396"/>
      <c r="W245" s="396"/>
      <c r="X245" s="396"/>
      <c r="Y245" s="396"/>
      <c r="Z245" s="396"/>
    </row>
    <row r="246" spans="2:26" ht="13.5" customHeight="1">
      <c r="B246" s="2813" t="s">
        <v>574</v>
      </c>
      <c r="C246" s="897">
        <v>4</v>
      </c>
      <c r="D246" s="2898"/>
      <c r="E246" s="2898"/>
      <c r="F246" s="2885">
        <f t="shared" ref="F246:F253" si="71">SUM(C246:E246)</f>
        <v>4</v>
      </c>
      <c r="G246" s="897">
        <v>28</v>
      </c>
      <c r="H246" s="2898"/>
      <c r="I246" s="2896"/>
      <c r="J246" s="2885">
        <f t="shared" ref="J246:J253" si="72">SUM(G246:I246)</f>
        <v>28</v>
      </c>
      <c r="K246" s="897">
        <v>17</v>
      </c>
      <c r="L246" s="2898"/>
      <c r="M246" s="2896"/>
      <c r="N246" s="2885">
        <f t="shared" ref="N246:N253" si="73">SUM(K246:M246)</f>
        <v>17</v>
      </c>
      <c r="O246" s="396"/>
      <c r="P246" s="396"/>
      <c r="Q246" s="396"/>
      <c r="R246" s="396"/>
      <c r="S246" s="396"/>
      <c r="T246" s="396"/>
      <c r="U246" s="396"/>
      <c r="V246" s="396"/>
      <c r="W246" s="396"/>
      <c r="X246" s="396"/>
      <c r="Y246" s="396"/>
      <c r="Z246" s="396"/>
    </row>
    <row r="247" spans="2:26" ht="13.5" customHeight="1">
      <c r="B247" s="2813" t="s">
        <v>575</v>
      </c>
      <c r="C247" s="897">
        <v>3</v>
      </c>
      <c r="D247" s="2898"/>
      <c r="E247" s="2898"/>
      <c r="F247" s="2885">
        <f t="shared" si="71"/>
        <v>3</v>
      </c>
      <c r="G247" s="897">
        <v>16</v>
      </c>
      <c r="H247" s="2898"/>
      <c r="I247" s="2896"/>
      <c r="J247" s="2885">
        <f t="shared" si="72"/>
        <v>16</v>
      </c>
      <c r="K247" s="897">
        <v>25</v>
      </c>
      <c r="L247" s="2898"/>
      <c r="M247" s="2896"/>
      <c r="N247" s="2885">
        <f t="shared" si="73"/>
        <v>25</v>
      </c>
      <c r="O247" s="396"/>
      <c r="P247" s="396"/>
      <c r="Q247" s="396"/>
      <c r="R247" s="396"/>
      <c r="S247" s="396"/>
      <c r="T247" s="396"/>
      <c r="U247" s="396"/>
      <c r="V247" s="396"/>
      <c r="W247" s="396"/>
      <c r="X247" s="396"/>
      <c r="Y247" s="396"/>
      <c r="Z247" s="396"/>
    </row>
    <row r="248" spans="2:26" ht="13.5" customHeight="1">
      <c r="B248" s="2813" t="s">
        <v>576</v>
      </c>
      <c r="C248" s="897">
        <v>4</v>
      </c>
      <c r="D248" s="2898"/>
      <c r="E248" s="2898"/>
      <c r="F248" s="2885">
        <f t="shared" si="71"/>
        <v>4</v>
      </c>
      <c r="G248" s="897">
        <v>21</v>
      </c>
      <c r="H248" s="2898"/>
      <c r="I248" s="2896"/>
      <c r="J248" s="2885">
        <f t="shared" si="72"/>
        <v>21</v>
      </c>
      <c r="K248" s="897">
        <v>14</v>
      </c>
      <c r="L248" s="2898"/>
      <c r="M248" s="2896"/>
      <c r="N248" s="2885">
        <f t="shared" si="73"/>
        <v>14</v>
      </c>
      <c r="O248" s="396"/>
      <c r="P248" s="396"/>
      <c r="Q248" s="396"/>
      <c r="R248" s="396"/>
      <c r="S248" s="396"/>
      <c r="T248" s="396"/>
      <c r="U248" s="396"/>
      <c r="V248" s="396"/>
      <c r="W248" s="396"/>
      <c r="X248" s="396"/>
      <c r="Y248" s="396"/>
      <c r="Z248" s="396"/>
    </row>
    <row r="249" spans="2:26" ht="13.5" customHeight="1">
      <c r="B249" s="2813" t="s">
        <v>582</v>
      </c>
      <c r="C249" s="897">
        <v>6</v>
      </c>
      <c r="D249" s="2898"/>
      <c r="E249" s="2898"/>
      <c r="F249" s="2885">
        <f t="shared" si="71"/>
        <v>6</v>
      </c>
      <c r="G249" s="897">
        <v>30</v>
      </c>
      <c r="H249" s="2898"/>
      <c r="I249" s="2896"/>
      <c r="J249" s="2885">
        <f t="shared" si="72"/>
        <v>30</v>
      </c>
      <c r="K249" s="897">
        <v>24</v>
      </c>
      <c r="L249" s="2898"/>
      <c r="M249" s="2896"/>
      <c r="N249" s="2885">
        <f t="shared" si="73"/>
        <v>24</v>
      </c>
      <c r="O249" s="396"/>
      <c r="P249" s="396"/>
      <c r="Q249" s="396"/>
      <c r="R249" s="396"/>
      <c r="S249" s="396"/>
      <c r="T249" s="396"/>
      <c r="U249" s="396"/>
      <c r="V249" s="396"/>
      <c r="W249" s="396"/>
      <c r="X249" s="396"/>
      <c r="Y249" s="396"/>
      <c r="Z249" s="396"/>
    </row>
    <row r="250" spans="2:26" ht="13.5" customHeight="1">
      <c r="B250" s="2813" t="s">
        <v>578</v>
      </c>
      <c r="C250" s="897">
        <v>3</v>
      </c>
      <c r="D250" s="2898"/>
      <c r="E250" s="2898"/>
      <c r="F250" s="2885">
        <f t="shared" si="71"/>
        <v>3</v>
      </c>
      <c r="G250" s="897">
        <v>18</v>
      </c>
      <c r="H250" s="2898"/>
      <c r="I250" s="2896"/>
      <c r="J250" s="2885">
        <f t="shared" si="72"/>
        <v>18</v>
      </c>
      <c r="K250" s="897">
        <v>20</v>
      </c>
      <c r="L250" s="2898"/>
      <c r="M250" s="2896"/>
      <c r="N250" s="2885">
        <f t="shared" si="73"/>
        <v>20</v>
      </c>
      <c r="O250" s="396"/>
      <c r="P250" s="396"/>
      <c r="Q250" s="396"/>
      <c r="R250" s="396"/>
      <c r="S250" s="396"/>
      <c r="T250" s="396"/>
      <c r="U250" s="396"/>
      <c r="V250" s="396"/>
      <c r="W250" s="396"/>
      <c r="X250" s="396"/>
      <c r="Y250" s="396"/>
      <c r="Z250" s="396"/>
    </row>
    <row r="251" spans="2:26" ht="13.5" customHeight="1">
      <c r="B251" s="2813" t="s">
        <v>579</v>
      </c>
      <c r="C251" s="897">
        <v>7</v>
      </c>
      <c r="D251" s="2898"/>
      <c r="E251" s="2898"/>
      <c r="F251" s="2885">
        <f t="shared" si="71"/>
        <v>7</v>
      </c>
      <c r="G251" s="897">
        <v>49</v>
      </c>
      <c r="H251" s="2898"/>
      <c r="I251" s="2896"/>
      <c r="J251" s="2885">
        <f t="shared" si="72"/>
        <v>49</v>
      </c>
      <c r="K251" s="897">
        <v>76</v>
      </c>
      <c r="L251" s="2898"/>
      <c r="M251" s="2896"/>
      <c r="N251" s="2885">
        <f t="shared" si="73"/>
        <v>76</v>
      </c>
      <c r="O251" s="396"/>
      <c r="P251" s="396"/>
      <c r="Q251" s="396"/>
      <c r="R251" s="396"/>
      <c r="S251" s="396"/>
      <c r="T251" s="396"/>
      <c r="U251" s="396"/>
      <c r="V251" s="396"/>
      <c r="W251" s="396"/>
      <c r="X251" s="396"/>
      <c r="Y251" s="396"/>
      <c r="Z251" s="396"/>
    </row>
    <row r="252" spans="2:26" ht="13.5" customHeight="1">
      <c r="B252" s="2813" t="s">
        <v>580</v>
      </c>
      <c r="C252" s="897">
        <v>4</v>
      </c>
      <c r="D252" s="2898"/>
      <c r="E252" s="2898"/>
      <c r="F252" s="2885">
        <f t="shared" si="71"/>
        <v>4</v>
      </c>
      <c r="G252" s="897">
        <v>22</v>
      </c>
      <c r="H252" s="2898"/>
      <c r="I252" s="2896"/>
      <c r="J252" s="2885">
        <f t="shared" si="72"/>
        <v>22</v>
      </c>
      <c r="K252" s="897">
        <v>17</v>
      </c>
      <c r="L252" s="2898"/>
      <c r="M252" s="2896"/>
      <c r="N252" s="2885">
        <f t="shared" si="73"/>
        <v>17</v>
      </c>
      <c r="O252" s="396"/>
      <c r="P252" s="396"/>
      <c r="Q252" s="396"/>
      <c r="R252" s="396"/>
      <c r="S252" s="396"/>
      <c r="T252" s="396"/>
      <c r="U252" s="396"/>
      <c r="V252" s="396"/>
      <c r="W252" s="396"/>
      <c r="X252" s="396"/>
      <c r="Y252" s="396"/>
      <c r="Z252" s="396"/>
    </row>
    <row r="253" spans="2:26" ht="13.5" customHeight="1">
      <c r="B253" s="2813" t="s">
        <v>581</v>
      </c>
      <c r="C253" s="897">
        <v>18</v>
      </c>
      <c r="D253" s="2898"/>
      <c r="E253" s="2898"/>
      <c r="F253" s="2885">
        <f t="shared" si="71"/>
        <v>18</v>
      </c>
      <c r="G253" s="897">
        <v>361</v>
      </c>
      <c r="H253" s="2898"/>
      <c r="I253" s="2896"/>
      <c r="J253" s="2885">
        <f t="shared" si="72"/>
        <v>361</v>
      </c>
      <c r="K253" s="897">
        <v>119</v>
      </c>
      <c r="L253" s="2898"/>
      <c r="M253" s="2896"/>
      <c r="N253" s="2885">
        <f t="shared" si="73"/>
        <v>119</v>
      </c>
      <c r="O253" s="396"/>
      <c r="P253" s="396"/>
      <c r="Q253" s="396"/>
      <c r="R253" s="396"/>
      <c r="S253" s="396"/>
      <c r="T253" s="396"/>
      <c r="U253" s="396"/>
      <c r="V253" s="396"/>
      <c r="W253" s="396"/>
      <c r="X253" s="396"/>
      <c r="Y253" s="396"/>
      <c r="Z253" s="396"/>
    </row>
    <row r="254" spans="2:26" ht="13.5" customHeight="1">
      <c r="B254" s="2895" t="s">
        <v>118</v>
      </c>
      <c r="C254" s="2891">
        <f>SUM(C245:C253)</f>
        <v>55</v>
      </c>
      <c r="D254" s="2891">
        <f t="shared" ref="D254:F254" si="74">SUM(D245:D253)</f>
        <v>0</v>
      </c>
      <c r="E254" s="2891">
        <f t="shared" si="74"/>
        <v>0</v>
      </c>
      <c r="F254" s="2891">
        <f t="shared" si="74"/>
        <v>55</v>
      </c>
      <c r="G254" s="2891">
        <f t="shared" ref="G254" si="75">SUM(G245:G253)</f>
        <v>589</v>
      </c>
      <c r="H254" s="2891">
        <f t="shared" ref="H254" si="76">SUM(H245:H253)</f>
        <v>0</v>
      </c>
      <c r="I254" s="2891">
        <f t="shared" ref="I254" si="77">SUM(I245:I253)</f>
        <v>0</v>
      </c>
      <c r="J254" s="2891">
        <f t="shared" ref="J254" si="78">SUM(J245:J253)</f>
        <v>589</v>
      </c>
      <c r="K254" s="2891">
        <f t="shared" ref="K254" si="79">SUM(K245:K253)</f>
        <v>346</v>
      </c>
      <c r="L254" s="2891">
        <f t="shared" ref="L254" si="80">SUM(L245:L253)</f>
        <v>0</v>
      </c>
      <c r="M254" s="2891">
        <f t="shared" ref="M254" si="81">SUM(M245:M253)</f>
        <v>0</v>
      </c>
      <c r="N254" s="2891">
        <f t="shared" ref="N254" si="82">SUM(N245:N253)</f>
        <v>346</v>
      </c>
      <c r="O254" s="396"/>
      <c r="P254" s="396"/>
      <c r="Q254" s="396"/>
      <c r="R254" s="396"/>
      <c r="S254" s="396"/>
      <c r="T254" s="396"/>
      <c r="U254" s="396"/>
      <c r="V254" s="396"/>
      <c r="W254" s="396"/>
      <c r="X254" s="396"/>
      <c r="Y254" s="396"/>
      <c r="Z254" s="396"/>
    </row>
    <row r="255" spans="2:26" ht="13.5" customHeight="1">
      <c r="B255" s="51"/>
      <c r="C255" s="420"/>
      <c r="D255" s="420"/>
      <c r="E255" s="420"/>
      <c r="F255" s="420"/>
      <c r="G255" s="420"/>
      <c r="H255" s="420"/>
      <c r="I255" s="420"/>
      <c r="J255" s="420"/>
      <c r="K255" s="420"/>
      <c r="L255" s="420"/>
      <c r="M255" s="420"/>
      <c r="N255" s="460"/>
      <c r="O255" s="556"/>
    </row>
    <row r="256" spans="2:26" ht="13.5" customHeight="1">
      <c r="B256" s="292"/>
    </row>
    <row r="257" spans="2:26" ht="13.5" customHeight="1">
      <c r="B257" s="1909" t="s">
        <v>105</v>
      </c>
    </row>
    <row r="258" spans="2:26" ht="13.5" customHeight="1">
      <c r="B258" s="3760" t="s">
        <v>566</v>
      </c>
      <c r="C258" s="3763" t="s">
        <v>567</v>
      </c>
      <c r="D258" s="3764"/>
      <c r="E258" s="3764"/>
      <c r="F258" s="3764"/>
      <c r="G258" s="3736" t="s">
        <v>568</v>
      </c>
      <c r="H258" s="3736"/>
      <c r="I258" s="3736"/>
      <c r="J258" s="3736"/>
      <c r="K258" s="3765" t="s">
        <v>569</v>
      </c>
      <c r="L258" s="3766"/>
      <c r="M258" s="3766"/>
      <c r="N258" s="3767"/>
    </row>
    <row r="259" spans="2:26" ht="13.5" customHeight="1">
      <c r="B259" s="3761"/>
      <c r="C259" s="3763"/>
      <c r="D259" s="3764"/>
      <c r="E259" s="3764"/>
      <c r="F259" s="3764"/>
      <c r="G259" s="3736"/>
      <c r="H259" s="3736"/>
      <c r="I259" s="3736"/>
      <c r="J259" s="3736"/>
      <c r="K259" s="3768"/>
      <c r="L259" s="3769"/>
      <c r="M259" s="3769"/>
      <c r="N259" s="3770"/>
      <c r="O259" s="396"/>
    </row>
    <row r="260" spans="2:26" ht="13.5" customHeight="1">
      <c r="B260" s="3762"/>
      <c r="C260" s="2874" t="s">
        <v>570</v>
      </c>
      <c r="D260" s="2875" t="s">
        <v>571</v>
      </c>
      <c r="E260" s="2875" t="s">
        <v>572</v>
      </c>
      <c r="F260" s="2892" t="s">
        <v>118</v>
      </c>
      <c r="G260" s="2875" t="s">
        <v>570</v>
      </c>
      <c r="H260" s="2875" t="s">
        <v>571</v>
      </c>
      <c r="I260" s="2875" t="s">
        <v>572</v>
      </c>
      <c r="J260" s="2892" t="s">
        <v>118</v>
      </c>
      <c r="K260" s="2875" t="s">
        <v>570</v>
      </c>
      <c r="L260" s="2875" t="s">
        <v>571</v>
      </c>
      <c r="M260" s="2875" t="s">
        <v>572</v>
      </c>
      <c r="N260" s="2892" t="s">
        <v>118</v>
      </c>
      <c r="O260" s="396"/>
    </row>
    <row r="261" spans="2:26" ht="13.5" customHeight="1">
      <c r="B261" s="1911" t="s">
        <v>573</v>
      </c>
      <c r="C261" s="2894"/>
      <c r="D261" s="2883">
        <v>9</v>
      </c>
      <c r="E261" s="2898"/>
      <c r="F261" s="2885">
        <f>SUM(C261:E261)</f>
        <v>9</v>
      </c>
      <c r="G261" s="2896"/>
      <c r="H261" s="2887">
        <v>29</v>
      </c>
      <c r="I261" s="2896"/>
      <c r="J261" s="2885">
        <f>SUM(G261:I261)</f>
        <v>29</v>
      </c>
      <c r="K261" s="2896"/>
      <c r="L261" s="2887">
        <v>139</v>
      </c>
      <c r="M261" s="2896"/>
      <c r="N261" s="2885">
        <f>SUM(K261:M261)</f>
        <v>139</v>
      </c>
      <c r="O261" s="396"/>
      <c r="P261" s="396"/>
      <c r="Q261" s="396"/>
      <c r="R261" s="396"/>
      <c r="S261" s="396"/>
      <c r="T261" s="396"/>
      <c r="U261" s="396"/>
      <c r="V261" s="396"/>
      <c r="W261" s="396"/>
      <c r="X261" s="396"/>
      <c r="Y261" s="396"/>
      <c r="Z261" s="396"/>
    </row>
    <row r="262" spans="2:26" ht="13.5" customHeight="1">
      <c r="B262" s="2813" t="s">
        <v>574</v>
      </c>
      <c r="C262" s="2896"/>
      <c r="D262" s="2883">
        <v>5</v>
      </c>
      <c r="E262" s="2898"/>
      <c r="F262" s="2885">
        <f t="shared" ref="F262:F269" si="83">SUM(C262:E262)</f>
        <v>5</v>
      </c>
      <c r="G262" s="2896"/>
      <c r="H262" s="2887">
        <v>32</v>
      </c>
      <c r="I262" s="2896"/>
      <c r="J262" s="2885">
        <f t="shared" ref="J262:J269" si="84">SUM(G262:I262)</f>
        <v>32</v>
      </c>
      <c r="K262" s="2896"/>
      <c r="L262" s="2887">
        <v>140</v>
      </c>
      <c r="M262" s="2896"/>
      <c r="N262" s="2885">
        <f t="shared" ref="N262:N269" si="85">SUM(K262:M262)</f>
        <v>140</v>
      </c>
      <c r="O262" s="396"/>
      <c r="P262" s="396"/>
      <c r="Q262" s="396"/>
      <c r="R262" s="396"/>
      <c r="S262" s="396"/>
      <c r="T262" s="396"/>
      <c r="U262" s="396"/>
      <c r="V262" s="396"/>
      <c r="W262" s="396"/>
      <c r="X262" s="396"/>
      <c r="Y262" s="396"/>
      <c r="Z262" s="396"/>
    </row>
    <row r="263" spans="2:26" ht="13.5" customHeight="1">
      <c r="B263" s="2813" t="s">
        <v>575</v>
      </c>
      <c r="C263" s="2896"/>
      <c r="D263" s="2883">
        <v>6</v>
      </c>
      <c r="E263" s="2898"/>
      <c r="F263" s="2885">
        <f t="shared" si="83"/>
        <v>6</v>
      </c>
      <c r="G263" s="2896"/>
      <c r="H263" s="2887">
        <v>11</v>
      </c>
      <c r="I263" s="2896"/>
      <c r="J263" s="2885">
        <f t="shared" si="84"/>
        <v>11</v>
      </c>
      <c r="K263" s="2896"/>
      <c r="L263" s="2887">
        <v>156</v>
      </c>
      <c r="M263" s="2896"/>
      <c r="N263" s="2885">
        <f t="shared" si="85"/>
        <v>156</v>
      </c>
      <c r="O263" s="396"/>
      <c r="P263" s="396"/>
      <c r="Q263" s="396"/>
      <c r="R263" s="396"/>
      <c r="S263" s="396"/>
      <c r="T263" s="396"/>
      <c r="U263" s="396"/>
      <c r="V263" s="396"/>
      <c r="W263" s="396"/>
      <c r="X263" s="396"/>
      <c r="Y263" s="396"/>
      <c r="Z263" s="396"/>
    </row>
    <row r="264" spans="2:26" ht="13.5" customHeight="1">
      <c r="B264" s="2813" t="s">
        <v>576</v>
      </c>
      <c r="C264" s="2896"/>
      <c r="D264" s="2883">
        <v>12</v>
      </c>
      <c r="E264" s="2898"/>
      <c r="F264" s="2885">
        <f t="shared" si="83"/>
        <v>12</v>
      </c>
      <c r="G264" s="2896"/>
      <c r="H264" s="2887">
        <v>17</v>
      </c>
      <c r="I264" s="2896"/>
      <c r="J264" s="2885">
        <f t="shared" si="84"/>
        <v>17</v>
      </c>
      <c r="K264" s="2896"/>
      <c r="L264" s="2887">
        <v>57</v>
      </c>
      <c r="M264" s="2896"/>
      <c r="N264" s="2885">
        <f t="shared" si="85"/>
        <v>57</v>
      </c>
      <c r="O264" s="396"/>
      <c r="P264" s="396"/>
      <c r="Q264" s="396"/>
      <c r="R264" s="396"/>
      <c r="S264" s="396"/>
      <c r="T264" s="396"/>
      <c r="U264" s="396"/>
      <c r="V264" s="396"/>
      <c r="W264" s="396"/>
      <c r="X264" s="396"/>
      <c r="Y264" s="396"/>
      <c r="Z264" s="396"/>
    </row>
    <row r="265" spans="2:26" ht="13.5" customHeight="1">
      <c r="B265" s="2813" t="s">
        <v>582</v>
      </c>
      <c r="C265" s="2896"/>
      <c r="D265" s="2883">
        <v>4</v>
      </c>
      <c r="E265" s="2898"/>
      <c r="F265" s="2885">
        <f t="shared" si="83"/>
        <v>4</v>
      </c>
      <c r="G265" s="2896"/>
      <c r="H265" s="2887">
        <v>24</v>
      </c>
      <c r="I265" s="2896"/>
      <c r="J265" s="2885">
        <f t="shared" si="84"/>
        <v>24</v>
      </c>
      <c r="K265" s="2896"/>
      <c r="L265" s="2887">
        <v>241</v>
      </c>
      <c r="M265" s="2896"/>
      <c r="N265" s="2885">
        <f t="shared" si="85"/>
        <v>241</v>
      </c>
      <c r="O265" s="396"/>
      <c r="P265" s="396"/>
      <c r="Q265" s="396"/>
      <c r="R265" s="396"/>
      <c r="S265" s="396"/>
      <c r="T265" s="396"/>
      <c r="U265" s="396"/>
      <c r="V265" s="396"/>
      <c r="W265" s="396"/>
      <c r="X265" s="396"/>
      <c r="Y265" s="396"/>
      <c r="Z265" s="396"/>
    </row>
    <row r="266" spans="2:26" ht="13.5" customHeight="1">
      <c r="B266" s="2813" t="s">
        <v>578</v>
      </c>
      <c r="C266" s="2896"/>
      <c r="D266" s="2883">
        <v>5</v>
      </c>
      <c r="E266" s="2898"/>
      <c r="F266" s="2885">
        <f t="shared" si="83"/>
        <v>5</v>
      </c>
      <c r="G266" s="2896"/>
      <c r="H266" s="2887">
        <v>11</v>
      </c>
      <c r="I266" s="2896"/>
      <c r="J266" s="2885">
        <f t="shared" si="84"/>
        <v>11</v>
      </c>
      <c r="K266" s="2896"/>
      <c r="L266" s="2887">
        <v>108</v>
      </c>
      <c r="M266" s="2896"/>
      <c r="N266" s="2885">
        <f t="shared" si="85"/>
        <v>108</v>
      </c>
      <c r="O266" s="396"/>
      <c r="P266" s="396"/>
      <c r="Q266" s="396"/>
      <c r="R266" s="396"/>
      <c r="S266" s="396"/>
      <c r="T266" s="396"/>
      <c r="U266" s="396"/>
      <c r="V266" s="396"/>
      <c r="W266" s="396"/>
      <c r="X266" s="396"/>
      <c r="Y266" s="396"/>
      <c r="Z266" s="396"/>
    </row>
    <row r="267" spans="2:26" ht="13.5" customHeight="1">
      <c r="B267" s="2813" t="s">
        <v>579</v>
      </c>
      <c r="C267" s="2896"/>
      <c r="D267" s="2883">
        <v>9</v>
      </c>
      <c r="E267" s="2898"/>
      <c r="F267" s="2885">
        <f t="shared" si="83"/>
        <v>9</v>
      </c>
      <c r="G267" s="2896"/>
      <c r="H267" s="2887">
        <v>40</v>
      </c>
      <c r="I267" s="2896"/>
      <c r="J267" s="2885">
        <f t="shared" si="84"/>
        <v>40</v>
      </c>
      <c r="K267" s="2896"/>
      <c r="L267" s="2887">
        <v>154</v>
      </c>
      <c r="M267" s="2896"/>
      <c r="N267" s="2885">
        <f t="shared" si="85"/>
        <v>154</v>
      </c>
      <c r="O267" s="396"/>
      <c r="P267" s="396"/>
      <c r="Q267" s="396"/>
      <c r="R267" s="396"/>
      <c r="S267" s="396"/>
      <c r="T267" s="396"/>
      <c r="U267" s="396"/>
      <c r="V267" s="396"/>
      <c r="W267" s="396"/>
      <c r="X267" s="396"/>
      <c r="Y267" s="396"/>
      <c r="Z267" s="396"/>
    </row>
    <row r="268" spans="2:26" ht="13.5" customHeight="1">
      <c r="B268" s="2813" t="s">
        <v>580</v>
      </c>
      <c r="C268" s="2896"/>
      <c r="D268" s="2883">
        <v>5</v>
      </c>
      <c r="E268" s="2898"/>
      <c r="F268" s="2885">
        <f t="shared" si="83"/>
        <v>5</v>
      </c>
      <c r="G268" s="2896"/>
      <c r="H268" s="2887">
        <v>15</v>
      </c>
      <c r="I268" s="2896"/>
      <c r="J268" s="2885">
        <f t="shared" si="84"/>
        <v>15</v>
      </c>
      <c r="K268" s="2896"/>
      <c r="L268" s="2887">
        <v>149</v>
      </c>
      <c r="M268" s="2896"/>
      <c r="N268" s="2885">
        <f t="shared" si="85"/>
        <v>149</v>
      </c>
      <c r="O268" s="396"/>
      <c r="P268" s="396"/>
      <c r="Q268" s="396"/>
      <c r="R268" s="396"/>
      <c r="S268" s="396"/>
      <c r="T268" s="396"/>
      <c r="U268" s="396"/>
      <c r="V268" s="396"/>
      <c r="W268" s="396"/>
      <c r="X268" s="396"/>
      <c r="Y268" s="396"/>
      <c r="Z268" s="396"/>
    </row>
    <row r="269" spans="2:26" ht="13.5" customHeight="1">
      <c r="B269" s="2813" t="s">
        <v>581</v>
      </c>
      <c r="C269" s="2896"/>
      <c r="D269" s="2883">
        <v>22</v>
      </c>
      <c r="E269" s="2898"/>
      <c r="F269" s="2885">
        <f t="shared" si="83"/>
        <v>22</v>
      </c>
      <c r="G269" s="2896"/>
      <c r="H269" s="2887">
        <v>193</v>
      </c>
      <c r="I269" s="2896"/>
      <c r="J269" s="2885">
        <f t="shared" si="84"/>
        <v>193</v>
      </c>
      <c r="K269" s="2896"/>
      <c r="L269" s="2887">
        <v>380</v>
      </c>
      <c r="M269" s="2896"/>
      <c r="N269" s="2885">
        <f t="shared" si="85"/>
        <v>380</v>
      </c>
      <c r="O269" s="396"/>
      <c r="P269" s="396"/>
      <c r="Q269" s="396"/>
      <c r="R269" s="396"/>
      <c r="S269" s="396"/>
      <c r="T269" s="396"/>
      <c r="U269" s="396"/>
      <c r="V269" s="396"/>
      <c r="W269" s="396"/>
      <c r="X269" s="396"/>
      <c r="Y269" s="396"/>
      <c r="Z269" s="396"/>
    </row>
    <row r="270" spans="2:26" ht="13.5" customHeight="1">
      <c r="B270" s="2895" t="s">
        <v>118</v>
      </c>
      <c r="C270" s="2891"/>
      <c r="D270" s="2891">
        <f>SUM(D261:D269)</f>
        <v>77</v>
      </c>
      <c r="E270" s="2891">
        <f t="shared" ref="E270:N270" si="86">SUM(E261:E269)</f>
        <v>0</v>
      </c>
      <c r="F270" s="2891">
        <f t="shared" si="86"/>
        <v>77</v>
      </c>
      <c r="G270" s="2891">
        <f t="shared" si="86"/>
        <v>0</v>
      </c>
      <c r="H270" s="2891">
        <f t="shared" si="86"/>
        <v>372</v>
      </c>
      <c r="I270" s="2891">
        <f t="shared" si="86"/>
        <v>0</v>
      </c>
      <c r="J270" s="2891">
        <f t="shared" si="86"/>
        <v>372</v>
      </c>
      <c r="K270" s="2891">
        <f t="shared" si="86"/>
        <v>0</v>
      </c>
      <c r="L270" s="2891">
        <f t="shared" si="86"/>
        <v>1524</v>
      </c>
      <c r="M270" s="2891">
        <f t="shared" si="86"/>
        <v>0</v>
      </c>
      <c r="N270" s="2891">
        <f t="shared" si="86"/>
        <v>1524</v>
      </c>
      <c r="O270" s="396"/>
      <c r="P270" s="396"/>
      <c r="Q270" s="396"/>
      <c r="R270" s="396"/>
      <c r="S270" s="396"/>
      <c r="T270" s="396"/>
      <c r="U270" s="396"/>
      <c r="V270" s="396"/>
      <c r="W270" s="396"/>
      <c r="X270" s="396"/>
      <c r="Y270" s="396"/>
      <c r="Z270" s="396"/>
    </row>
    <row r="271" spans="2:26" ht="13.5" customHeight="1">
      <c r="B271" s="51"/>
      <c r="C271" s="420"/>
      <c r="D271" s="420"/>
      <c r="E271" s="420"/>
      <c r="F271" s="420"/>
      <c r="G271" s="420"/>
      <c r="H271" s="420"/>
      <c r="I271" s="420"/>
      <c r="J271" s="420"/>
      <c r="K271" s="420"/>
      <c r="L271" s="420"/>
      <c r="M271" s="420"/>
      <c r="N271" s="420"/>
    </row>
    <row r="272" spans="2:26" ht="13.5" customHeight="1">
      <c r="B272" s="292"/>
      <c r="N272" s="292">
        <v>175</v>
      </c>
    </row>
    <row r="273" spans="2:26" ht="13.5" customHeight="1">
      <c r="B273" s="292"/>
    </row>
    <row r="274" spans="2:26" ht="12.75">
      <c r="B274" s="51"/>
      <c r="C274" s="462"/>
      <c r="D274" s="462"/>
      <c r="E274" s="462"/>
      <c r="F274" s="462"/>
      <c r="G274" s="462"/>
      <c r="H274" s="462"/>
      <c r="I274" s="462"/>
      <c r="J274" s="462"/>
      <c r="K274" s="462"/>
      <c r="L274" s="462"/>
      <c r="M274" s="462"/>
      <c r="N274" s="462"/>
    </row>
    <row r="275" spans="2:26" ht="12.75">
      <c r="B275" s="1909" t="s">
        <v>106</v>
      </c>
    </row>
    <row r="276" spans="2:26" ht="13.5" customHeight="1">
      <c r="B276" s="3760" t="s">
        <v>566</v>
      </c>
      <c r="C276" s="3763" t="s">
        <v>567</v>
      </c>
      <c r="D276" s="3764"/>
      <c r="E276" s="3764"/>
      <c r="F276" s="3764"/>
      <c r="G276" s="3736" t="s">
        <v>568</v>
      </c>
      <c r="H276" s="3736"/>
      <c r="I276" s="3736"/>
      <c r="J276" s="3736"/>
      <c r="K276" s="3765" t="s">
        <v>569</v>
      </c>
      <c r="L276" s="3766"/>
      <c r="M276" s="3766"/>
      <c r="N276" s="3767"/>
    </row>
    <row r="277" spans="2:26" ht="13.5" customHeight="1">
      <c r="B277" s="3761"/>
      <c r="C277" s="3763"/>
      <c r="D277" s="3764"/>
      <c r="E277" s="3764"/>
      <c r="F277" s="3764"/>
      <c r="G277" s="3736"/>
      <c r="H277" s="3736"/>
      <c r="I277" s="3736"/>
      <c r="J277" s="3736"/>
      <c r="K277" s="3768"/>
      <c r="L277" s="3769"/>
      <c r="M277" s="3769"/>
      <c r="N277" s="3770"/>
    </row>
    <row r="278" spans="2:26" ht="13.5" customHeight="1">
      <c r="B278" s="3762"/>
      <c r="C278" s="2874" t="s">
        <v>570</v>
      </c>
      <c r="D278" s="2875" t="s">
        <v>571</v>
      </c>
      <c r="E278" s="2875" t="s">
        <v>572</v>
      </c>
      <c r="F278" s="2892" t="s">
        <v>118</v>
      </c>
      <c r="G278" s="2875" t="s">
        <v>570</v>
      </c>
      <c r="H278" s="2875" t="s">
        <v>571</v>
      </c>
      <c r="I278" s="2875" t="s">
        <v>572</v>
      </c>
      <c r="J278" s="2892" t="s">
        <v>118</v>
      </c>
      <c r="K278" s="2875" t="s">
        <v>570</v>
      </c>
      <c r="L278" s="2875" t="s">
        <v>571</v>
      </c>
      <c r="M278" s="2875" t="s">
        <v>572</v>
      </c>
      <c r="N278" s="2892" t="s">
        <v>118</v>
      </c>
    </row>
    <row r="279" spans="2:26" ht="13.5" customHeight="1">
      <c r="B279" s="1911" t="s">
        <v>573</v>
      </c>
      <c r="C279" s="2894"/>
      <c r="D279" s="2906">
        <v>3</v>
      </c>
      <c r="E279" s="2898"/>
      <c r="F279" s="2885">
        <f>SUM(C279:E279)</f>
        <v>3</v>
      </c>
      <c r="G279" s="2896"/>
      <c r="H279" s="2906">
        <v>8</v>
      </c>
      <c r="I279" s="2896"/>
      <c r="J279" s="2885">
        <f>SUM(G279:I279)</f>
        <v>8</v>
      </c>
      <c r="K279" s="2896"/>
      <c r="L279" s="2906">
        <v>91</v>
      </c>
      <c r="M279" s="2896"/>
      <c r="N279" s="2885">
        <f>SUM(K279:M279)</f>
        <v>91</v>
      </c>
      <c r="O279" s="396"/>
      <c r="P279" s="396"/>
      <c r="Q279" s="396"/>
      <c r="R279" s="396"/>
      <c r="S279" s="396"/>
      <c r="T279" s="396"/>
      <c r="U279" s="396"/>
      <c r="V279" s="396"/>
      <c r="W279" s="396"/>
      <c r="X279" s="396"/>
      <c r="Y279" s="396"/>
      <c r="Z279" s="396"/>
    </row>
    <row r="280" spans="2:26" ht="13.5" customHeight="1">
      <c r="B280" s="2813" t="s">
        <v>574</v>
      </c>
      <c r="C280" s="2896"/>
      <c r="D280" s="2906">
        <v>3</v>
      </c>
      <c r="E280" s="2898"/>
      <c r="F280" s="2885">
        <f t="shared" ref="F280:F287" si="87">SUM(C280:E280)</f>
        <v>3</v>
      </c>
      <c r="G280" s="2896"/>
      <c r="H280" s="2906">
        <v>9</v>
      </c>
      <c r="I280" s="2896"/>
      <c r="J280" s="2885">
        <f t="shared" ref="J280:J287" si="88">SUM(G280:I280)</f>
        <v>9</v>
      </c>
      <c r="K280" s="2896"/>
      <c r="L280" s="2906">
        <v>101</v>
      </c>
      <c r="M280" s="2896"/>
      <c r="N280" s="2885">
        <f t="shared" ref="N280:N287" si="89">SUM(K280:M280)</f>
        <v>101</v>
      </c>
      <c r="O280" s="396"/>
      <c r="P280" s="396"/>
      <c r="Q280" s="396"/>
      <c r="R280" s="396"/>
      <c r="S280" s="396"/>
      <c r="T280" s="396"/>
      <c r="U280" s="396"/>
      <c r="V280" s="396"/>
      <c r="W280" s="396"/>
      <c r="X280" s="396"/>
      <c r="Y280" s="396"/>
      <c r="Z280" s="396"/>
    </row>
    <row r="281" spans="2:26" ht="13.5" customHeight="1">
      <c r="B281" s="2813" t="s">
        <v>575</v>
      </c>
      <c r="C281" s="2896"/>
      <c r="D281" s="2906">
        <v>2</v>
      </c>
      <c r="E281" s="2898"/>
      <c r="F281" s="2885">
        <f t="shared" si="87"/>
        <v>2</v>
      </c>
      <c r="G281" s="2896"/>
      <c r="H281" s="2906">
        <v>5</v>
      </c>
      <c r="I281" s="2896"/>
      <c r="J281" s="2885">
        <f t="shared" si="88"/>
        <v>5</v>
      </c>
      <c r="K281" s="2896"/>
      <c r="L281" s="2906">
        <v>88</v>
      </c>
      <c r="M281" s="2896"/>
      <c r="N281" s="2885">
        <f t="shared" si="89"/>
        <v>88</v>
      </c>
      <c r="O281" s="396"/>
      <c r="P281" s="396"/>
      <c r="Q281" s="396"/>
      <c r="R281" s="396"/>
      <c r="S281" s="396"/>
      <c r="T281" s="396"/>
      <c r="U281" s="396"/>
      <c r="V281" s="396"/>
      <c r="W281" s="396"/>
      <c r="X281" s="396"/>
      <c r="Y281" s="396"/>
      <c r="Z281" s="396"/>
    </row>
    <row r="282" spans="2:26" ht="13.5" customHeight="1">
      <c r="B282" s="2813" t="s">
        <v>576</v>
      </c>
      <c r="C282" s="2896"/>
      <c r="D282" s="2906">
        <v>3</v>
      </c>
      <c r="E282" s="2898"/>
      <c r="F282" s="2885">
        <f t="shared" si="87"/>
        <v>3</v>
      </c>
      <c r="G282" s="2896"/>
      <c r="H282" s="2906">
        <v>8</v>
      </c>
      <c r="I282" s="2896"/>
      <c r="J282" s="2885">
        <f t="shared" si="88"/>
        <v>8</v>
      </c>
      <c r="K282" s="2896"/>
      <c r="L282" s="2906">
        <v>33</v>
      </c>
      <c r="M282" s="2896"/>
      <c r="N282" s="2885">
        <f t="shared" si="89"/>
        <v>33</v>
      </c>
      <c r="O282" s="396"/>
      <c r="P282" s="396"/>
      <c r="Q282" s="396"/>
      <c r="R282" s="396"/>
      <c r="S282" s="396"/>
      <c r="T282" s="396"/>
      <c r="U282" s="396"/>
      <c r="V282" s="396"/>
      <c r="W282" s="396"/>
      <c r="X282" s="396"/>
      <c r="Y282" s="396"/>
      <c r="Z282" s="396"/>
    </row>
    <row r="283" spans="2:26" ht="13.5" customHeight="1">
      <c r="B283" s="2813" t="s">
        <v>582</v>
      </c>
      <c r="C283" s="2896"/>
      <c r="D283" s="2906">
        <v>9</v>
      </c>
      <c r="E283" s="2898"/>
      <c r="F283" s="2885">
        <f t="shared" si="87"/>
        <v>9</v>
      </c>
      <c r="G283" s="2896"/>
      <c r="H283" s="2906">
        <v>30</v>
      </c>
      <c r="I283" s="2896"/>
      <c r="J283" s="2885">
        <f t="shared" si="88"/>
        <v>30</v>
      </c>
      <c r="K283" s="2896"/>
      <c r="L283" s="2906">
        <v>408</v>
      </c>
      <c r="M283" s="2896"/>
      <c r="N283" s="2885">
        <f t="shared" si="89"/>
        <v>408</v>
      </c>
      <c r="O283" s="396"/>
      <c r="P283" s="396"/>
      <c r="Q283" s="396"/>
      <c r="R283" s="396"/>
      <c r="S283" s="396"/>
      <c r="T283" s="396"/>
      <c r="U283" s="396"/>
      <c r="V283" s="396"/>
      <c r="W283" s="396"/>
      <c r="X283" s="396"/>
      <c r="Y283" s="396"/>
      <c r="Z283" s="396"/>
    </row>
    <row r="284" spans="2:26" ht="13.5" customHeight="1">
      <c r="B284" s="2813" t="s">
        <v>578</v>
      </c>
      <c r="C284" s="2896"/>
      <c r="D284" s="2906">
        <v>2</v>
      </c>
      <c r="E284" s="2898"/>
      <c r="F284" s="2885">
        <f t="shared" si="87"/>
        <v>2</v>
      </c>
      <c r="G284" s="2896"/>
      <c r="H284" s="2906">
        <v>6</v>
      </c>
      <c r="I284" s="2896"/>
      <c r="J284" s="2885">
        <f t="shared" si="88"/>
        <v>6</v>
      </c>
      <c r="K284" s="2896"/>
      <c r="L284" s="2906">
        <v>46</v>
      </c>
      <c r="M284" s="2896"/>
      <c r="N284" s="2885">
        <f t="shared" si="89"/>
        <v>46</v>
      </c>
      <c r="O284" s="396"/>
      <c r="P284" s="396"/>
      <c r="Q284" s="396"/>
      <c r="R284" s="396"/>
      <c r="S284" s="396"/>
      <c r="T284" s="396"/>
      <c r="U284" s="396"/>
      <c r="V284" s="396"/>
      <c r="W284" s="396"/>
      <c r="X284" s="396"/>
      <c r="Y284" s="396"/>
      <c r="Z284" s="396"/>
    </row>
    <row r="285" spans="2:26" ht="13.5" customHeight="1">
      <c r="B285" s="2813" t="s">
        <v>579</v>
      </c>
      <c r="C285" s="2896"/>
      <c r="D285" s="2906">
        <v>1</v>
      </c>
      <c r="E285" s="2898"/>
      <c r="F285" s="2885">
        <f t="shared" si="87"/>
        <v>1</v>
      </c>
      <c r="G285" s="2896"/>
      <c r="H285" s="2906">
        <v>2</v>
      </c>
      <c r="I285" s="2896"/>
      <c r="J285" s="2885">
        <f t="shared" si="88"/>
        <v>2</v>
      </c>
      <c r="K285" s="2896"/>
      <c r="L285" s="2906">
        <v>31</v>
      </c>
      <c r="M285" s="2896"/>
      <c r="N285" s="2885">
        <f t="shared" si="89"/>
        <v>31</v>
      </c>
      <c r="O285" s="396"/>
      <c r="P285" s="396"/>
      <c r="Q285" s="396"/>
      <c r="R285" s="396"/>
      <c r="S285" s="396"/>
      <c r="T285" s="396"/>
      <c r="U285" s="396"/>
      <c r="V285" s="396"/>
      <c r="W285" s="396"/>
      <c r="X285" s="396"/>
      <c r="Y285" s="396"/>
      <c r="Z285" s="396"/>
    </row>
    <row r="286" spans="2:26" ht="13.5" customHeight="1">
      <c r="B286" s="2813" t="s">
        <v>580</v>
      </c>
      <c r="C286" s="2896"/>
      <c r="D286" s="2906">
        <v>1</v>
      </c>
      <c r="E286" s="2898"/>
      <c r="F286" s="2885">
        <f t="shared" si="87"/>
        <v>1</v>
      </c>
      <c r="G286" s="2896"/>
      <c r="H286" s="2906">
        <v>2</v>
      </c>
      <c r="I286" s="2896"/>
      <c r="J286" s="2885">
        <f t="shared" si="88"/>
        <v>2</v>
      </c>
      <c r="K286" s="2896"/>
      <c r="L286" s="2906">
        <v>18</v>
      </c>
      <c r="M286" s="2896"/>
      <c r="N286" s="2885">
        <f t="shared" si="89"/>
        <v>18</v>
      </c>
      <c r="O286" s="396"/>
      <c r="P286" s="396"/>
      <c r="Q286" s="396"/>
      <c r="R286" s="396"/>
      <c r="S286" s="396"/>
      <c r="T286" s="396"/>
      <c r="U286" s="396"/>
      <c r="V286" s="396"/>
      <c r="W286" s="396"/>
      <c r="X286" s="396"/>
      <c r="Y286" s="396"/>
      <c r="Z286" s="396"/>
    </row>
    <row r="287" spans="2:26" ht="13.5" customHeight="1">
      <c r="B287" s="2813" t="s">
        <v>581</v>
      </c>
      <c r="C287" s="2896"/>
      <c r="D287" s="2906">
        <v>4</v>
      </c>
      <c r="E287" s="2898"/>
      <c r="F287" s="2885">
        <f t="shared" si="87"/>
        <v>4</v>
      </c>
      <c r="G287" s="2896"/>
      <c r="H287" s="2906">
        <v>29</v>
      </c>
      <c r="I287" s="2896"/>
      <c r="J287" s="2885">
        <f t="shared" si="88"/>
        <v>29</v>
      </c>
      <c r="K287" s="2896"/>
      <c r="L287" s="2906">
        <v>153</v>
      </c>
      <c r="M287" s="2896"/>
      <c r="N287" s="2885">
        <f t="shared" si="89"/>
        <v>153</v>
      </c>
      <c r="O287" s="396"/>
      <c r="P287" s="396"/>
      <c r="Q287" s="396"/>
      <c r="R287" s="396"/>
      <c r="S287" s="396"/>
      <c r="T287" s="396"/>
      <c r="U287" s="396"/>
      <c r="V287" s="396"/>
      <c r="W287" s="396"/>
      <c r="X287" s="396"/>
      <c r="Y287" s="396"/>
      <c r="Z287" s="396"/>
    </row>
    <row r="288" spans="2:26" ht="13.5" customHeight="1">
      <c r="B288" s="2895" t="s">
        <v>118</v>
      </c>
      <c r="C288" s="2891"/>
      <c r="D288" s="2891">
        <f>SUM(D279:D287)</f>
        <v>28</v>
      </c>
      <c r="E288" s="2891">
        <f t="shared" ref="E288:N288" si="90">SUM(E279:E287)</f>
        <v>0</v>
      </c>
      <c r="F288" s="2891">
        <f t="shared" si="90"/>
        <v>28</v>
      </c>
      <c r="G288" s="2891">
        <f t="shared" si="90"/>
        <v>0</v>
      </c>
      <c r="H288" s="2891">
        <f t="shared" si="90"/>
        <v>99</v>
      </c>
      <c r="I288" s="2891">
        <f t="shared" si="90"/>
        <v>0</v>
      </c>
      <c r="J288" s="2891">
        <f t="shared" si="90"/>
        <v>99</v>
      </c>
      <c r="K288" s="2891">
        <f t="shared" si="90"/>
        <v>0</v>
      </c>
      <c r="L288" s="2891">
        <f t="shared" si="90"/>
        <v>969</v>
      </c>
      <c r="M288" s="2891">
        <f t="shared" si="90"/>
        <v>0</v>
      </c>
      <c r="N288" s="2891">
        <f t="shared" si="90"/>
        <v>969</v>
      </c>
      <c r="O288" s="396"/>
      <c r="P288" s="396"/>
      <c r="Q288" s="396"/>
      <c r="R288" s="396"/>
      <c r="S288" s="396"/>
      <c r="T288" s="396"/>
      <c r="U288" s="396"/>
      <c r="V288" s="396"/>
      <c r="W288" s="396"/>
      <c r="X288" s="396"/>
      <c r="Y288" s="396"/>
      <c r="Z288" s="396"/>
    </row>
    <row r="289" spans="2:26" ht="13.5" customHeight="1">
      <c r="B289" s="51"/>
      <c r="C289" s="420"/>
      <c r="D289" s="420"/>
      <c r="E289" s="420"/>
      <c r="F289" s="420"/>
      <c r="G289" s="420"/>
      <c r="H289" s="420"/>
      <c r="I289" s="420"/>
      <c r="J289" s="420"/>
      <c r="K289" s="420"/>
      <c r="L289" s="420"/>
      <c r="M289" s="420"/>
      <c r="N289" s="420"/>
    </row>
    <row r="290" spans="2:26" ht="13.5" customHeight="1">
      <c r="B290" s="51"/>
      <c r="C290" s="420"/>
      <c r="D290" s="420"/>
      <c r="E290" s="420"/>
      <c r="F290" s="420"/>
      <c r="G290" s="420"/>
      <c r="H290" s="420"/>
      <c r="I290" s="420"/>
      <c r="J290" s="420"/>
      <c r="K290" s="420"/>
      <c r="L290" s="420"/>
      <c r="M290" s="420"/>
      <c r="N290" s="460"/>
    </row>
    <row r="291" spans="2:26" ht="13.5" customHeight="1">
      <c r="B291" s="1909" t="s">
        <v>108</v>
      </c>
    </row>
    <row r="292" spans="2:26" ht="13.5" customHeight="1">
      <c r="B292" s="3760" t="s">
        <v>566</v>
      </c>
      <c r="C292" s="3763" t="s">
        <v>567</v>
      </c>
      <c r="D292" s="3764"/>
      <c r="E292" s="3764"/>
      <c r="F292" s="3764"/>
      <c r="G292" s="3736" t="s">
        <v>568</v>
      </c>
      <c r="H292" s="3736"/>
      <c r="I292" s="3736"/>
      <c r="J292" s="3736"/>
      <c r="K292" s="3765" t="s">
        <v>569</v>
      </c>
      <c r="L292" s="3766"/>
      <c r="M292" s="3766"/>
      <c r="N292" s="3767"/>
    </row>
    <row r="293" spans="2:26" ht="13.5" customHeight="1">
      <c r="B293" s="3761"/>
      <c r="C293" s="3763"/>
      <c r="D293" s="3764"/>
      <c r="E293" s="3764"/>
      <c r="F293" s="3764"/>
      <c r="G293" s="3736"/>
      <c r="H293" s="3736"/>
      <c r="I293" s="3736"/>
      <c r="J293" s="3736"/>
      <c r="K293" s="3768"/>
      <c r="L293" s="3769"/>
      <c r="M293" s="3769"/>
      <c r="N293" s="3770"/>
    </row>
    <row r="294" spans="2:26" ht="13.5" customHeight="1">
      <c r="B294" s="3762"/>
      <c r="C294" s="2874" t="s">
        <v>570</v>
      </c>
      <c r="D294" s="2875" t="s">
        <v>571</v>
      </c>
      <c r="E294" s="2875" t="s">
        <v>572</v>
      </c>
      <c r="F294" s="2892" t="s">
        <v>118</v>
      </c>
      <c r="G294" s="2875" t="s">
        <v>570</v>
      </c>
      <c r="H294" s="2875" t="s">
        <v>571</v>
      </c>
      <c r="I294" s="2875" t="s">
        <v>572</v>
      </c>
      <c r="J294" s="2892" t="s">
        <v>118</v>
      </c>
      <c r="K294" s="2875" t="s">
        <v>570</v>
      </c>
      <c r="L294" s="2875" t="s">
        <v>571</v>
      </c>
      <c r="M294" s="2875" t="s">
        <v>572</v>
      </c>
      <c r="N294" s="2892" t="s">
        <v>118</v>
      </c>
    </row>
    <row r="295" spans="2:26" ht="13.5" customHeight="1">
      <c r="B295" s="1911" t="s">
        <v>573</v>
      </c>
      <c r="C295" s="2883">
        <v>8</v>
      </c>
      <c r="D295" s="2898"/>
      <c r="E295" s="2898"/>
      <c r="F295" s="2885">
        <f>SUM(C295:E295)</f>
        <v>8</v>
      </c>
      <c r="G295" s="2887">
        <v>31</v>
      </c>
      <c r="H295" s="2898"/>
      <c r="I295" s="2896"/>
      <c r="J295" s="2885">
        <f>SUM(G295:I295)</f>
        <v>31</v>
      </c>
      <c r="K295" s="2887">
        <v>5</v>
      </c>
      <c r="L295" s="2898"/>
      <c r="M295" s="2896"/>
      <c r="N295" s="2885">
        <f>SUM(K295:M295)</f>
        <v>5</v>
      </c>
      <c r="O295" s="396"/>
      <c r="P295" s="396"/>
      <c r="Q295" s="396"/>
      <c r="R295" s="396"/>
      <c r="S295" s="396"/>
      <c r="T295" s="396"/>
      <c r="U295" s="396"/>
      <c r="V295" s="396"/>
      <c r="W295" s="396"/>
      <c r="X295" s="396"/>
      <c r="Y295" s="396"/>
      <c r="Z295" s="396"/>
    </row>
    <row r="296" spans="2:26" ht="13.5" customHeight="1">
      <c r="B296" s="2813" t="s">
        <v>574</v>
      </c>
      <c r="C296" s="2887">
        <v>4</v>
      </c>
      <c r="D296" s="2898"/>
      <c r="E296" s="2898"/>
      <c r="F296" s="2885">
        <f t="shared" ref="F296:F303" si="91">SUM(C296:E296)</f>
        <v>4</v>
      </c>
      <c r="G296" s="2887">
        <v>12</v>
      </c>
      <c r="H296" s="2898"/>
      <c r="I296" s="2896"/>
      <c r="J296" s="2885">
        <f t="shared" ref="J296:J303" si="92">SUM(G296:I296)</f>
        <v>12</v>
      </c>
      <c r="K296" s="2887"/>
      <c r="L296" s="2898"/>
      <c r="M296" s="2896"/>
      <c r="N296" s="2885">
        <f t="shared" ref="N296:N303" si="93">SUM(K296:M296)</f>
        <v>0</v>
      </c>
      <c r="O296" s="396"/>
      <c r="P296" s="396"/>
      <c r="Q296" s="396"/>
      <c r="R296" s="396"/>
      <c r="S296" s="396"/>
      <c r="T296" s="396"/>
      <c r="U296" s="396"/>
      <c r="V296" s="396"/>
      <c r="W296" s="396"/>
      <c r="X296" s="396"/>
      <c r="Y296" s="396"/>
      <c r="Z296" s="396"/>
    </row>
    <row r="297" spans="2:26" ht="13.5" customHeight="1">
      <c r="B297" s="2813" t="s">
        <v>575</v>
      </c>
      <c r="C297" s="2887">
        <v>2</v>
      </c>
      <c r="D297" s="2898"/>
      <c r="E297" s="2898"/>
      <c r="F297" s="2885">
        <f t="shared" si="91"/>
        <v>2</v>
      </c>
      <c r="G297" s="2887">
        <v>41</v>
      </c>
      <c r="H297" s="2898"/>
      <c r="I297" s="2896"/>
      <c r="J297" s="2885">
        <f t="shared" si="92"/>
        <v>41</v>
      </c>
      <c r="K297" s="2887">
        <v>8</v>
      </c>
      <c r="L297" s="2898"/>
      <c r="M297" s="2896"/>
      <c r="N297" s="2885">
        <f t="shared" si="93"/>
        <v>8</v>
      </c>
      <c r="O297" s="396"/>
      <c r="P297" s="396"/>
      <c r="Q297" s="396"/>
      <c r="R297" s="396"/>
      <c r="S297" s="396"/>
      <c r="T297" s="396"/>
      <c r="U297" s="396"/>
      <c r="V297" s="396"/>
      <c r="W297" s="396"/>
      <c r="X297" s="396"/>
      <c r="Y297" s="396"/>
      <c r="Z297" s="396"/>
    </row>
    <row r="298" spans="2:26" ht="13.5" customHeight="1">
      <c r="B298" s="2813" t="s">
        <v>576</v>
      </c>
      <c r="C298" s="2887">
        <v>6</v>
      </c>
      <c r="D298" s="2898"/>
      <c r="E298" s="2898"/>
      <c r="F298" s="2885">
        <f t="shared" si="91"/>
        <v>6</v>
      </c>
      <c r="G298" s="2887">
        <v>12</v>
      </c>
      <c r="H298" s="2898"/>
      <c r="I298" s="2896"/>
      <c r="J298" s="2885">
        <f t="shared" si="92"/>
        <v>12</v>
      </c>
      <c r="K298" s="2887">
        <v>8</v>
      </c>
      <c r="L298" s="2898"/>
      <c r="M298" s="2896"/>
      <c r="N298" s="2885">
        <f t="shared" si="93"/>
        <v>8</v>
      </c>
      <c r="O298" s="396"/>
      <c r="P298" s="396"/>
      <c r="Q298" s="396"/>
      <c r="R298" s="396"/>
      <c r="S298" s="396"/>
      <c r="T298" s="396"/>
      <c r="U298" s="396"/>
      <c r="V298" s="396"/>
      <c r="W298" s="396"/>
      <c r="X298" s="396"/>
      <c r="Y298" s="396"/>
      <c r="Z298" s="396"/>
    </row>
    <row r="299" spans="2:26" ht="13.5" customHeight="1">
      <c r="B299" s="2813" t="s">
        <v>582</v>
      </c>
      <c r="C299" s="2887">
        <v>3</v>
      </c>
      <c r="D299" s="2898"/>
      <c r="E299" s="2898"/>
      <c r="F299" s="2885">
        <f t="shared" si="91"/>
        <v>3</v>
      </c>
      <c r="G299" s="2887">
        <v>24</v>
      </c>
      <c r="H299" s="2898"/>
      <c r="I299" s="2896"/>
      <c r="J299" s="2885">
        <f t="shared" si="92"/>
        <v>24</v>
      </c>
      <c r="K299" s="2887"/>
      <c r="L299" s="2898"/>
      <c r="M299" s="2896"/>
      <c r="N299" s="2885">
        <f t="shared" si="93"/>
        <v>0</v>
      </c>
      <c r="O299" s="396"/>
      <c r="P299" s="396"/>
      <c r="Q299" s="396"/>
      <c r="R299" s="396"/>
      <c r="S299" s="396"/>
      <c r="T299" s="396"/>
      <c r="U299" s="396"/>
      <c r="V299" s="396"/>
      <c r="W299" s="396"/>
      <c r="X299" s="396"/>
      <c r="Y299" s="396"/>
      <c r="Z299" s="396"/>
    </row>
    <row r="300" spans="2:26" ht="13.5" customHeight="1">
      <c r="B300" s="2813" t="s">
        <v>578</v>
      </c>
      <c r="C300" s="2887">
        <v>6</v>
      </c>
      <c r="D300" s="2898"/>
      <c r="E300" s="2898"/>
      <c r="F300" s="2885">
        <f t="shared" si="91"/>
        <v>6</v>
      </c>
      <c r="G300" s="2887">
        <v>16</v>
      </c>
      <c r="H300" s="2898"/>
      <c r="I300" s="2896"/>
      <c r="J300" s="2885">
        <f t="shared" si="92"/>
        <v>16</v>
      </c>
      <c r="K300" s="2887">
        <v>3</v>
      </c>
      <c r="L300" s="2898"/>
      <c r="M300" s="2896"/>
      <c r="N300" s="2885">
        <f t="shared" si="93"/>
        <v>3</v>
      </c>
      <c r="O300" s="396"/>
      <c r="P300" s="396"/>
      <c r="Q300" s="396"/>
      <c r="R300" s="396"/>
      <c r="S300" s="396"/>
      <c r="T300" s="396"/>
      <c r="U300" s="396"/>
      <c r="V300" s="396"/>
      <c r="W300" s="396"/>
      <c r="X300" s="396"/>
      <c r="Y300" s="396"/>
      <c r="Z300" s="396"/>
    </row>
    <row r="301" spans="2:26" ht="13.5" customHeight="1">
      <c r="B301" s="2813" t="s">
        <v>579</v>
      </c>
      <c r="C301" s="2887">
        <v>10</v>
      </c>
      <c r="D301" s="2898"/>
      <c r="E301" s="2898"/>
      <c r="F301" s="2885">
        <f t="shared" si="91"/>
        <v>10</v>
      </c>
      <c r="G301" s="2887">
        <v>48</v>
      </c>
      <c r="H301" s="2898"/>
      <c r="I301" s="2896"/>
      <c r="J301" s="2885">
        <f t="shared" si="92"/>
        <v>48</v>
      </c>
      <c r="K301" s="2887">
        <v>14</v>
      </c>
      <c r="L301" s="2898"/>
      <c r="M301" s="2896"/>
      <c r="N301" s="2885">
        <f t="shared" si="93"/>
        <v>14</v>
      </c>
      <c r="O301" s="396"/>
      <c r="P301" s="396"/>
      <c r="Q301" s="396"/>
      <c r="R301" s="396"/>
      <c r="S301" s="396"/>
      <c r="T301" s="396"/>
      <c r="U301" s="396"/>
      <c r="V301" s="396"/>
      <c r="W301" s="396"/>
      <c r="X301" s="396"/>
      <c r="Y301" s="396"/>
      <c r="Z301" s="396"/>
    </row>
    <row r="302" spans="2:26" ht="13.5" customHeight="1">
      <c r="B302" s="2813" t="s">
        <v>580</v>
      </c>
      <c r="C302" s="2887">
        <v>6</v>
      </c>
      <c r="D302" s="2898"/>
      <c r="E302" s="2898"/>
      <c r="F302" s="2885">
        <f t="shared" si="91"/>
        <v>6</v>
      </c>
      <c r="G302" s="2887">
        <v>16</v>
      </c>
      <c r="H302" s="2898"/>
      <c r="I302" s="2896"/>
      <c r="J302" s="2885">
        <f t="shared" si="92"/>
        <v>16</v>
      </c>
      <c r="K302" s="2887">
        <v>5</v>
      </c>
      <c r="L302" s="2898"/>
      <c r="M302" s="2896"/>
      <c r="N302" s="2885">
        <f t="shared" si="93"/>
        <v>5</v>
      </c>
      <c r="O302" s="396"/>
      <c r="P302" s="396"/>
      <c r="Q302" s="396"/>
      <c r="R302" s="396"/>
      <c r="S302" s="396"/>
      <c r="T302" s="396"/>
      <c r="U302" s="396"/>
      <c r="V302" s="396"/>
      <c r="W302" s="396"/>
      <c r="X302" s="396"/>
      <c r="Y302" s="396"/>
      <c r="Z302" s="396"/>
    </row>
    <row r="303" spans="2:26" ht="13.5" customHeight="1">
      <c r="B303" s="2813" t="s">
        <v>581</v>
      </c>
      <c r="C303" s="2887">
        <v>14</v>
      </c>
      <c r="D303" s="2898"/>
      <c r="E303" s="2898"/>
      <c r="F303" s="2885">
        <f t="shared" si="91"/>
        <v>14</v>
      </c>
      <c r="G303" s="2887">
        <v>347</v>
      </c>
      <c r="H303" s="2898"/>
      <c r="I303" s="2896"/>
      <c r="J303" s="2885">
        <f t="shared" si="92"/>
        <v>347</v>
      </c>
      <c r="K303" s="2887">
        <v>36</v>
      </c>
      <c r="L303" s="2898"/>
      <c r="M303" s="2896"/>
      <c r="N303" s="2885">
        <f t="shared" si="93"/>
        <v>36</v>
      </c>
      <c r="O303" s="396"/>
      <c r="P303" s="396"/>
      <c r="Q303" s="396"/>
      <c r="R303" s="396"/>
      <c r="S303" s="396"/>
      <c r="T303" s="396"/>
      <c r="U303" s="396"/>
      <c r="V303" s="396"/>
      <c r="W303" s="396"/>
      <c r="X303" s="396"/>
      <c r="Y303" s="396"/>
      <c r="Z303" s="396"/>
    </row>
    <row r="304" spans="2:26" ht="13.5" customHeight="1">
      <c r="B304" s="2895" t="s">
        <v>118</v>
      </c>
      <c r="C304" s="2891">
        <f>SUM(C295:C303)</f>
        <v>59</v>
      </c>
      <c r="D304" s="2891">
        <f t="shared" ref="D304:N304" si="94">SUM(D295:D303)</f>
        <v>0</v>
      </c>
      <c r="E304" s="2891">
        <f t="shared" si="94"/>
        <v>0</v>
      </c>
      <c r="F304" s="2891">
        <f t="shared" si="94"/>
        <v>59</v>
      </c>
      <c r="G304" s="2891">
        <f t="shared" si="94"/>
        <v>547</v>
      </c>
      <c r="H304" s="2891">
        <f t="shared" si="94"/>
        <v>0</v>
      </c>
      <c r="I304" s="2891">
        <f t="shared" si="94"/>
        <v>0</v>
      </c>
      <c r="J304" s="2891">
        <f t="shared" si="94"/>
        <v>547</v>
      </c>
      <c r="K304" s="2891">
        <f t="shared" si="94"/>
        <v>79</v>
      </c>
      <c r="L304" s="2891">
        <f t="shared" si="94"/>
        <v>0</v>
      </c>
      <c r="M304" s="2891">
        <f t="shared" si="94"/>
        <v>0</v>
      </c>
      <c r="N304" s="2891">
        <f t="shared" si="94"/>
        <v>79</v>
      </c>
      <c r="O304" s="396"/>
      <c r="P304" s="396"/>
      <c r="Q304" s="396"/>
      <c r="R304" s="396"/>
      <c r="S304" s="396"/>
      <c r="T304" s="396"/>
      <c r="U304" s="396"/>
      <c r="V304" s="396"/>
      <c r="W304" s="396"/>
      <c r="X304" s="396"/>
      <c r="Y304" s="396"/>
      <c r="Z304" s="396"/>
    </row>
    <row r="305" spans="2:26" ht="13.5" customHeight="1">
      <c r="B305" s="51"/>
      <c r="C305" s="420"/>
      <c r="D305" s="420"/>
      <c r="E305" s="420"/>
      <c r="F305" s="420"/>
      <c r="G305" s="420"/>
      <c r="H305" s="420"/>
      <c r="I305" s="420"/>
      <c r="J305" s="420"/>
      <c r="K305" s="420"/>
      <c r="L305" s="420"/>
      <c r="M305" s="420"/>
      <c r="N305" s="420"/>
    </row>
    <row r="306" spans="2:26" ht="13.5" customHeight="1">
      <c r="B306" s="51"/>
      <c r="C306" s="420"/>
      <c r="D306" s="420"/>
      <c r="E306" s="420"/>
      <c r="F306" s="420"/>
      <c r="G306" s="420"/>
      <c r="H306" s="420"/>
      <c r="I306" s="420"/>
      <c r="J306" s="420"/>
      <c r="K306" s="420"/>
      <c r="L306" s="420"/>
      <c r="M306" s="420"/>
      <c r="N306" s="460">
        <v>176</v>
      </c>
    </row>
    <row r="307" spans="2:26" ht="13.5" customHeight="1">
      <c r="B307" s="51"/>
      <c r="C307" s="420"/>
      <c r="D307" s="420"/>
      <c r="E307" s="420"/>
      <c r="F307" s="420"/>
      <c r="G307" s="420"/>
      <c r="H307" s="420"/>
      <c r="I307" s="420"/>
      <c r="J307" s="420"/>
      <c r="K307" s="420"/>
      <c r="L307" s="420"/>
      <c r="M307" s="420"/>
      <c r="N307" s="460"/>
    </row>
    <row r="308" spans="2:26" ht="13.5" customHeight="1">
      <c r="B308" s="1909" t="s">
        <v>107</v>
      </c>
    </row>
    <row r="309" spans="2:26" ht="13.5" customHeight="1">
      <c r="B309" s="3760" t="s">
        <v>566</v>
      </c>
      <c r="C309" s="3763" t="s">
        <v>567</v>
      </c>
      <c r="D309" s="3764"/>
      <c r="E309" s="3764"/>
      <c r="F309" s="3764"/>
      <c r="G309" s="3736" t="s">
        <v>568</v>
      </c>
      <c r="H309" s="3736"/>
      <c r="I309" s="3736"/>
      <c r="J309" s="3736"/>
      <c r="K309" s="3765" t="s">
        <v>569</v>
      </c>
      <c r="L309" s="3766"/>
      <c r="M309" s="3766"/>
      <c r="N309" s="3767"/>
    </row>
    <row r="310" spans="2:26" ht="13.5" customHeight="1">
      <c r="B310" s="3761"/>
      <c r="C310" s="3763"/>
      <c r="D310" s="3764"/>
      <c r="E310" s="3764"/>
      <c r="F310" s="3764"/>
      <c r="G310" s="3736"/>
      <c r="H310" s="3736"/>
      <c r="I310" s="3736"/>
      <c r="J310" s="3736"/>
      <c r="K310" s="3768"/>
      <c r="L310" s="3769"/>
      <c r="M310" s="3769"/>
      <c r="N310" s="3770"/>
    </row>
    <row r="311" spans="2:26" ht="13.5" customHeight="1">
      <c r="B311" s="3762"/>
      <c r="C311" s="2874" t="s">
        <v>570</v>
      </c>
      <c r="D311" s="2875" t="s">
        <v>571</v>
      </c>
      <c r="E311" s="2875" t="s">
        <v>572</v>
      </c>
      <c r="F311" s="2892" t="s">
        <v>118</v>
      </c>
      <c r="G311" s="2875" t="s">
        <v>570</v>
      </c>
      <c r="H311" s="2875" t="s">
        <v>571</v>
      </c>
      <c r="I311" s="2875" t="s">
        <v>572</v>
      </c>
      <c r="J311" s="2892" t="s">
        <v>118</v>
      </c>
      <c r="K311" s="2875" t="s">
        <v>570</v>
      </c>
      <c r="L311" s="2875" t="s">
        <v>571</v>
      </c>
      <c r="M311" s="2875" t="s">
        <v>572</v>
      </c>
      <c r="N311" s="2892" t="s">
        <v>118</v>
      </c>
    </row>
    <row r="312" spans="2:26" ht="13.5" customHeight="1">
      <c r="B312" s="1911" t="s">
        <v>573</v>
      </c>
      <c r="C312" s="2894"/>
      <c r="D312" s="2883">
        <v>8</v>
      </c>
      <c r="E312" s="2898"/>
      <c r="F312" s="2885">
        <f>SUM(C312:E312)</f>
        <v>8</v>
      </c>
      <c r="G312" s="2896"/>
      <c r="H312" s="2887">
        <v>22</v>
      </c>
      <c r="I312" s="2896"/>
      <c r="J312" s="2885">
        <f>SUM(G312:I312)</f>
        <v>22</v>
      </c>
      <c r="K312" s="2896"/>
      <c r="L312" s="2887">
        <v>179</v>
      </c>
      <c r="M312" s="2896"/>
      <c r="N312" s="2885">
        <f>SUM(K312:M312)</f>
        <v>179</v>
      </c>
      <c r="O312" s="396"/>
      <c r="P312" s="396"/>
      <c r="Q312" s="396"/>
      <c r="R312" s="396"/>
      <c r="S312" s="396"/>
      <c r="T312" s="396"/>
      <c r="U312" s="396"/>
      <c r="V312" s="396"/>
      <c r="W312" s="396"/>
      <c r="X312" s="396"/>
      <c r="Y312" s="396"/>
      <c r="Z312" s="396"/>
    </row>
    <row r="313" spans="2:26" ht="13.5" customHeight="1">
      <c r="B313" s="2813" t="s">
        <v>574</v>
      </c>
      <c r="C313" s="2896"/>
      <c r="D313" s="2887">
        <v>4</v>
      </c>
      <c r="E313" s="2898"/>
      <c r="F313" s="2885">
        <f t="shared" ref="F313:F320" si="95">SUM(C313:E313)</f>
        <v>4</v>
      </c>
      <c r="G313" s="2896"/>
      <c r="H313" s="2887">
        <v>4</v>
      </c>
      <c r="I313" s="2896"/>
      <c r="J313" s="2885">
        <f t="shared" ref="J313:J320" si="96">SUM(G313:I313)</f>
        <v>4</v>
      </c>
      <c r="K313" s="2896"/>
      <c r="L313" s="2887">
        <v>162</v>
      </c>
      <c r="M313" s="2896"/>
      <c r="N313" s="2885">
        <f t="shared" ref="N313:N320" si="97">SUM(K313:M313)</f>
        <v>162</v>
      </c>
      <c r="O313" s="396"/>
      <c r="P313" s="396"/>
      <c r="Q313" s="396"/>
      <c r="R313" s="396"/>
      <c r="S313" s="396"/>
      <c r="T313" s="396"/>
      <c r="U313" s="396"/>
      <c r="V313" s="396"/>
      <c r="W313" s="396"/>
      <c r="X313" s="396"/>
      <c r="Y313" s="396"/>
      <c r="Z313" s="396"/>
    </row>
    <row r="314" spans="2:26" ht="13.5" customHeight="1">
      <c r="B314" s="2813" t="s">
        <v>575</v>
      </c>
      <c r="C314" s="2896"/>
      <c r="D314" s="2887">
        <v>2</v>
      </c>
      <c r="E314" s="2898"/>
      <c r="F314" s="2885">
        <f t="shared" si="95"/>
        <v>2</v>
      </c>
      <c r="G314" s="2896"/>
      <c r="H314" s="2887">
        <v>26</v>
      </c>
      <c r="I314" s="2896"/>
      <c r="J314" s="2885">
        <f t="shared" si="96"/>
        <v>26</v>
      </c>
      <c r="K314" s="2896"/>
      <c r="L314" s="2887">
        <v>145</v>
      </c>
      <c r="M314" s="2896"/>
      <c r="N314" s="2885">
        <f t="shared" si="97"/>
        <v>145</v>
      </c>
      <c r="O314" s="396"/>
      <c r="P314" s="396"/>
      <c r="Q314" s="396"/>
      <c r="R314" s="396"/>
      <c r="S314" s="396"/>
      <c r="T314" s="396"/>
      <c r="U314" s="396"/>
      <c r="V314" s="396"/>
      <c r="W314" s="396"/>
      <c r="X314" s="396"/>
      <c r="Y314" s="396"/>
      <c r="Z314" s="396"/>
    </row>
    <row r="315" spans="2:26" ht="13.5" customHeight="1">
      <c r="B315" s="2813" t="s">
        <v>576</v>
      </c>
      <c r="C315" s="2896"/>
      <c r="D315" s="2887">
        <v>6</v>
      </c>
      <c r="E315" s="2898"/>
      <c r="F315" s="2885">
        <f t="shared" si="95"/>
        <v>6</v>
      </c>
      <c r="G315" s="2896"/>
      <c r="H315" s="2887">
        <v>15</v>
      </c>
      <c r="I315" s="2896"/>
      <c r="J315" s="2885">
        <f t="shared" si="96"/>
        <v>15</v>
      </c>
      <c r="K315" s="2896"/>
      <c r="L315" s="2887">
        <v>139</v>
      </c>
      <c r="M315" s="2896"/>
      <c r="N315" s="2885">
        <f t="shared" si="97"/>
        <v>139</v>
      </c>
      <c r="O315" s="396"/>
      <c r="P315" s="396"/>
      <c r="Q315" s="396"/>
      <c r="R315" s="396"/>
      <c r="S315" s="396"/>
      <c r="T315" s="396"/>
      <c r="U315" s="396"/>
      <c r="V315" s="396"/>
      <c r="W315" s="396"/>
      <c r="X315" s="396"/>
      <c r="Y315" s="396"/>
      <c r="Z315" s="396"/>
    </row>
    <row r="316" spans="2:26" ht="13.5" customHeight="1">
      <c r="B316" s="2813" t="s">
        <v>582</v>
      </c>
      <c r="C316" s="2896"/>
      <c r="D316" s="2887">
        <v>3</v>
      </c>
      <c r="E316" s="2898"/>
      <c r="F316" s="2885">
        <f t="shared" si="95"/>
        <v>3</v>
      </c>
      <c r="G316" s="2896"/>
      <c r="H316" s="2887">
        <v>27</v>
      </c>
      <c r="I316" s="2896"/>
      <c r="J316" s="2885">
        <f t="shared" si="96"/>
        <v>27</v>
      </c>
      <c r="K316" s="2896"/>
      <c r="L316" s="2887">
        <v>328</v>
      </c>
      <c r="M316" s="2896"/>
      <c r="N316" s="2885">
        <f t="shared" si="97"/>
        <v>328</v>
      </c>
      <c r="O316" s="396"/>
      <c r="P316" s="396"/>
      <c r="Q316" s="396"/>
      <c r="R316" s="396"/>
      <c r="S316" s="396"/>
      <c r="T316" s="396"/>
      <c r="U316" s="396"/>
      <c r="V316" s="396"/>
      <c r="W316" s="396"/>
      <c r="X316" s="396"/>
      <c r="Y316" s="396"/>
      <c r="Z316" s="396"/>
    </row>
    <row r="317" spans="2:26" ht="13.5" customHeight="1">
      <c r="B317" s="2813" t="s">
        <v>578</v>
      </c>
      <c r="C317" s="2896"/>
      <c r="D317" s="2887">
        <v>6</v>
      </c>
      <c r="E317" s="2898"/>
      <c r="F317" s="2885">
        <f t="shared" si="95"/>
        <v>6</v>
      </c>
      <c r="G317" s="2896"/>
      <c r="H317" s="2887">
        <v>17</v>
      </c>
      <c r="I317" s="2896"/>
      <c r="J317" s="2885">
        <f t="shared" si="96"/>
        <v>17</v>
      </c>
      <c r="K317" s="2896"/>
      <c r="L317" s="2887">
        <v>161</v>
      </c>
      <c r="M317" s="2896"/>
      <c r="N317" s="2885">
        <f t="shared" si="97"/>
        <v>161</v>
      </c>
      <c r="O317" s="396"/>
      <c r="P317" s="396"/>
      <c r="Q317" s="396"/>
      <c r="R317" s="396"/>
      <c r="S317" s="396"/>
      <c r="T317" s="396"/>
      <c r="U317" s="396"/>
      <c r="V317" s="396"/>
      <c r="W317" s="396"/>
      <c r="X317" s="396"/>
      <c r="Y317" s="396"/>
      <c r="Z317" s="396"/>
    </row>
    <row r="318" spans="2:26" ht="13.5" customHeight="1">
      <c r="B318" s="2813" t="s">
        <v>579</v>
      </c>
      <c r="C318" s="2896"/>
      <c r="D318" s="2887">
        <v>10</v>
      </c>
      <c r="E318" s="2898"/>
      <c r="F318" s="2885">
        <f t="shared" si="95"/>
        <v>10</v>
      </c>
      <c r="G318" s="2896"/>
      <c r="H318" s="2887">
        <v>17</v>
      </c>
      <c r="I318" s="2896"/>
      <c r="J318" s="2885">
        <f t="shared" si="96"/>
        <v>17</v>
      </c>
      <c r="K318" s="2896"/>
      <c r="L318" s="2887">
        <v>301</v>
      </c>
      <c r="M318" s="2896"/>
      <c r="N318" s="2885">
        <f t="shared" si="97"/>
        <v>301</v>
      </c>
      <c r="O318" s="396"/>
      <c r="P318" s="396"/>
      <c r="Q318" s="396"/>
      <c r="R318" s="396"/>
      <c r="S318" s="396"/>
      <c r="T318" s="396"/>
      <c r="U318" s="396"/>
      <c r="V318" s="396"/>
      <c r="W318" s="396"/>
      <c r="X318" s="396"/>
      <c r="Y318" s="396"/>
      <c r="Z318" s="396"/>
    </row>
    <row r="319" spans="2:26" ht="13.5" customHeight="1">
      <c r="B319" s="2813" t="s">
        <v>580</v>
      </c>
      <c r="C319" s="2896"/>
      <c r="D319" s="2887">
        <v>6</v>
      </c>
      <c r="E319" s="2898"/>
      <c r="F319" s="2885">
        <f t="shared" si="95"/>
        <v>6</v>
      </c>
      <c r="G319" s="2896"/>
      <c r="H319" s="2887">
        <v>11</v>
      </c>
      <c r="I319" s="2896"/>
      <c r="J319" s="2885">
        <f t="shared" si="96"/>
        <v>11</v>
      </c>
      <c r="K319" s="2896"/>
      <c r="L319" s="2887">
        <v>129</v>
      </c>
      <c r="M319" s="2896"/>
      <c r="N319" s="2885">
        <f t="shared" si="97"/>
        <v>129</v>
      </c>
      <c r="O319" s="396"/>
      <c r="P319" s="396"/>
      <c r="Q319" s="396"/>
      <c r="R319" s="396"/>
      <c r="S319" s="396"/>
      <c r="T319" s="396"/>
      <c r="U319" s="396"/>
      <c r="V319" s="396"/>
      <c r="W319" s="396"/>
      <c r="X319" s="396"/>
      <c r="Y319" s="396"/>
      <c r="Z319" s="396"/>
    </row>
    <row r="320" spans="2:26" ht="13.5" customHeight="1">
      <c r="B320" s="2813" t="s">
        <v>581</v>
      </c>
      <c r="C320" s="2896"/>
      <c r="D320" s="2887">
        <v>14</v>
      </c>
      <c r="E320" s="2898"/>
      <c r="F320" s="2885">
        <f t="shared" si="95"/>
        <v>14</v>
      </c>
      <c r="G320" s="2896"/>
      <c r="H320" s="2887">
        <v>167</v>
      </c>
      <c r="I320" s="2896"/>
      <c r="J320" s="2885">
        <f t="shared" si="96"/>
        <v>167</v>
      </c>
      <c r="K320" s="2896"/>
      <c r="L320" s="2887">
        <v>326</v>
      </c>
      <c r="M320" s="2896"/>
      <c r="N320" s="2885">
        <f t="shared" si="97"/>
        <v>326</v>
      </c>
      <c r="O320" s="396"/>
      <c r="P320" s="396"/>
      <c r="Q320" s="396"/>
      <c r="R320" s="396"/>
      <c r="S320" s="396"/>
      <c r="T320" s="396"/>
      <c r="U320" s="396"/>
      <c r="V320" s="396"/>
      <c r="W320" s="396"/>
      <c r="X320" s="396"/>
      <c r="Y320" s="396"/>
      <c r="Z320" s="396"/>
    </row>
    <row r="321" spans="2:26" ht="13.5" customHeight="1">
      <c r="B321" s="2895" t="s">
        <v>118</v>
      </c>
      <c r="C321" s="2891"/>
      <c r="D321" s="2891">
        <f>SUM(D312:D320)</f>
        <v>59</v>
      </c>
      <c r="E321" s="2891">
        <f t="shared" ref="E321:N321" si="98">SUM(E312:E320)</f>
        <v>0</v>
      </c>
      <c r="F321" s="2891">
        <f t="shared" si="98"/>
        <v>59</v>
      </c>
      <c r="G321" s="2891">
        <f t="shared" si="98"/>
        <v>0</v>
      </c>
      <c r="H321" s="2891">
        <f t="shared" si="98"/>
        <v>306</v>
      </c>
      <c r="I321" s="2891">
        <f t="shared" si="98"/>
        <v>0</v>
      </c>
      <c r="J321" s="2891">
        <f t="shared" si="98"/>
        <v>306</v>
      </c>
      <c r="K321" s="2891">
        <f t="shared" si="98"/>
        <v>0</v>
      </c>
      <c r="L321" s="2891">
        <f t="shared" si="98"/>
        <v>1870</v>
      </c>
      <c r="M321" s="2891">
        <f t="shared" si="98"/>
        <v>0</v>
      </c>
      <c r="N321" s="2891">
        <f t="shared" si="98"/>
        <v>1870</v>
      </c>
      <c r="O321" s="396"/>
      <c r="P321" s="396"/>
      <c r="Q321" s="396"/>
      <c r="R321" s="396"/>
      <c r="S321" s="396"/>
      <c r="T321" s="396"/>
      <c r="U321" s="396"/>
      <c r="V321" s="396"/>
      <c r="W321" s="396"/>
      <c r="X321" s="396"/>
      <c r="Y321" s="396"/>
      <c r="Z321" s="396"/>
    </row>
    <row r="324" spans="2:26" ht="13.5" customHeight="1">
      <c r="B324" s="2907" t="s">
        <v>109</v>
      </c>
    </row>
    <row r="325" spans="2:26" ht="13.5" customHeight="1">
      <c r="B325" s="3771" t="s">
        <v>566</v>
      </c>
      <c r="C325" s="3764" t="s">
        <v>567</v>
      </c>
      <c r="D325" s="3764"/>
      <c r="E325" s="3764"/>
      <c r="F325" s="3764"/>
      <c r="G325" s="3736" t="s">
        <v>568</v>
      </c>
      <c r="H325" s="3736"/>
      <c r="I325" s="3736"/>
      <c r="J325" s="3736"/>
      <c r="K325" s="3765" t="s">
        <v>569</v>
      </c>
      <c r="L325" s="3766"/>
      <c r="M325" s="3766"/>
      <c r="N325" s="3767"/>
    </row>
    <row r="326" spans="2:26" ht="13.5" customHeight="1">
      <c r="B326" s="3772"/>
      <c r="C326" s="3764"/>
      <c r="D326" s="3764"/>
      <c r="E326" s="3764"/>
      <c r="F326" s="3764"/>
      <c r="G326" s="3736"/>
      <c r="H326" s="3736"/>
      <c r="I326" s="3736"/>
      <c r="J326" s="3736"/>
      <c r="K326" s="3768"/>
      <c r="L326" s="3769"/>
      <c r="M326" s="3769"/>
      <c r="N326" s="3770"/>
    </row>
    <row r="327" spans="2:26" ht="13.5" customHeight="1">
      <c r="B327" s="3773"/>
      <c r="C327" s="2875" t="s">
        <v>570</v>
      </c>
      <c r="D327" s="2875" t="s">
        <v>571</v>
      </c>
      <c r="E327" s="2875" t="s">
        <v>572</v>
      </c>
      <c r="F327" s="2892" t="s">
        <v>118</v>
      </c>
      <c r="G327" s="2875" t="s">
        <v>570</v>
      </c>
      <c r="H327" s="2875" t="s">
        <v>571</v>
      </c>
      <c r="I327" s="2875" t="s">
        <v>572</v>
      </c>
      <c r="J327" s="2892" t="s">
        <v>118</v>
      </c>
      <c r="K327" s="2875" t="s">
        <v>570</v>
      </c>
      <c r="L327" s="2875" t="s">
        <v>571</v>
      </c>
      <c r="M327" s="2875" t="s">
        <v>572</v>
      </c>
      <c r="N327" s="2892" t="s">
        <v>118</v>
      </c>
    </row>
    <row r="328" spans="2:26" ht="13.5" customHeight="1">
      <c r="B328" s="2813" t="s">
        <v>573</v>
      </c>
      <c r="C328" s="2894"/>
      <c r="D328" s="2894"/>
      <c r="E328" s="2908">
        <v>1</v>
      </c>
      <c r="F328" s="2885">
        <f>SUM(C328:E328)</f>
        <v>1</v>
      </c>
      <c r="G328" s="2908">
        <v>16</v>
      </c>
      <c r="H328" s="2908"/>
      <c r="I328" s="2896"/>
      <c r="J328" s="2885">
        <f>SUM(G328:I328)</f>
        <v>16</v>
      </c>
      <c r="K328" s="2909"/>
      <c r="L328" s="2909">
        <v>4</v>
      </c>
      <c r="M328" s="2896"/>
      <c r="N328" s="2885">
        <f>SUM(K328:M328)</f>
        <v>4</v>
      </c>
      <c r="O328" s="396"/>
      <c r="P328" s="396"/>
      <c r="Q328" s="396"/>
      <c r="R328" s="396"/>
      <c r="S328" s="396"/>
      <c r="T328" s="396"/>
      <c r="U328" s="396"/>
      <c r="V328" s="396"/>
      <c r="W328" s="396"/>
      <c r="X328" s="396"/>
      <c r="Y328" s="396"/>
      <c r="Z328" s="396"/>
    </row>
    <row r="329" spans="2:26" ht="13.5" customHeight="1">
      <c r="B329" s="2813" t="s">
        <v>574</v>
      </c>
      <c r="C329" s="2896"/>
      <c r="D329" s="2896"/>
      <c r="E329" s="2908"/>
      <c r="F329" s="2885">
        <f t="shared" ref="F329:F336" si="99">SUM(C329:E329)</f>
        <v>0</v>
      </c>
      <c r="G329" s="2908">
        <v>1</v>
      </c>
      <c r="H329" s="2908">
        <v>1</v>
      </c>
      <c r="I329" s="2896"/>
      <c r="J329" s="2885">
        <f t="shared" ref="J329:J336" si="100">SUM(G329:I329)</f>
        <v>2</v>
      </c>
      <c r="K329" s="2909">
        <v>1</v>
      </c>
      <c r="L329" s="2909">
        <v>6</v>
      </c>
      <c r="M329" s="2896"/>
      <c r="N329" s="2885">
        <f t="shared" ref="N329:N336" si="101">SUM(K329:M329)</f>
        <v>7</v>
      </c>
      <c r="O329" s="396"/>
      <c r="P329" s="396"/>
      <c r="Q329" s="396"/>
      <c r="R329" s="396"/>
      <c r="S329" s="396"/>
      <c r="T329" s="396"/>
      <c r="U329" s="396"/>
      <c r="V329" s="396"/>
      <c r="W329" s="396"/>
      <c r="X329" s="396"/>
      <c r="Y329" s="396"/>
      <c r="Z329" s="396"/>
    </row>
    <row r="330" spans="2:26" ht="13.5" customHeight="1">
      <c r="B330" s="2813" t="s">
        <v>575</v>
      </c>
      <c r="C330" s="2896"/>
      <c r="D330" s="2896"/>
      <c r="E330" s="2908">
        <v>1</v>
      </c>
      <c r="F330" s="2885">
        <f t="shared" si="99"/>
        <v>1</v>
      </c>
      <c r="G330" s="2908">
        <v>6</v>
      </c>
      <c r="H330" s="2908">
        <v>1</v>
      </c>
      <c r="I330" s="2896"/>
      <c r="J330" s="2885">
        <f t="shared" si="100"/>
        <v>7</v>
      </c>
      <c r="K330" s="2909">
        <v>2</v>
      </c>
      <c r="L330" s="2909">
        <v>7</v>
      </c>
      <c r="M330" s="2896"/>
      <c r="N330" s="2885">
        <f t="shared" si="101"/>
        <v>9</v>
      </c>
      <c r="O330" s="396"/>
      <c r="P330" s="396"/>
      <c r="Q330" s="396"/>
      <c r="R330" s="396"/>
      <c r="S330" s="396"/>
      <c r="T330" s="396"/>
      <c r="U330" s="396"/>
      <c r="V330" s="396"/>
      <c r="W330" s="396"/>
      <c r="X330" s="396"/>
      <c r="Y330" s="396"/>
      <c r="Z330" s="396"/>
    </row>
    <row r="331" spans="2:26" ht="13.5" customHeight="1">
      <c r="B331" s="2813" t="s">
        <v>576</v>
      </c>
      <c r="C331" s="2896"/>
      <c r="D331" s="2896"/>
      <c r="E331" s="2908">
        <v>1</v>
      </c>
      <c r="F331" s="2885">
        <f t="shared" si="99"/>
        <v>1</v>
      </c>
      <c r="G331" s="2908">
        <v>13</v>
      </c>
      <c r="H331" s="2908"/>
      <c r="I331" s="2896"/>
      <c r="J331" s="2885">
        <f t="shared" si="100"/>
        <v>13</v>
      </c>
      <c r="K331" s="2909">
        <v>1</v>
      </c>
      <c r="L331" s="2909">
        <v>2</v>
      </c>
      <c r="M331" s="2896"/>
      <c r="N331" s="2885">
        <f t="shared" si="101"/>
        <v>3</v>
      </c>
      <c r="O331" s="396"/>
      <c r="P331" s="396"/>
      <c r="Q331" s="396"/>
      <c r="R331" s="396"/>
      <c r="S331" s="396"/>
      <c r="T331" s="396"/>
      <c r="U331" s="396"/>
      <c r="V331" s="396"/>
      <c r="W331" s="396"/>
      <c r="X331" s="396"/>
      <c r="Y331" s="396"/>
      <c r="Z331" s="396"/>
    </row>
    <row r="332" spans="2:26" ht="13.5" customHeight="1">
      <c r="B332" s="2813" t="s">
        <v>582</v>
      </c>
      <c r="C332" s="2896"/>
      <c r="D332" s="2896"/>
      <c r="E332" s="2908"/>
      <c r="F332" s="2885">
        <f t="shared" si="99"/>
        <v>0</v>
      </c>
      <c r="G332" s="2908">
        <v>1</v>
      </c>
      <c r="H332" s="2908"/>
      <c r="I332" s="2896"/>
      <c r="J332" s="2885">
        <f t="shared" si="100"/>
        <v>1</v>
      </c>
      <c r="K332" s="2909"/>
      <c r="L332" s="2909">
        <v>1</v>
      </c>
      <c r="M332" s="2896"/>
      <c r="N332" s="2885">
        <f t="shared" si="101"/>
        <v>1</v>
      </c>
      <c r="O332" s="396"/>
      <c r="P332" s="396"/>
      <c r="Q332" s="396"/>
      <c r="R332" s="396"/>
      <c r="S332" s="396"/>
      <c r="T332" s="396"/>
      <c r="U332" s="396"/>
      <c r="V332" s="396"/>
      <c r="W332" s="396"/>
      <c r="X332" s="396"/>
      <c r="Y332" s="396"/>
      <c r="Z332" s="396"/>
    </row>
    <row r="333" spans="2:26" ht="13.5" customHeight="1">
      <c r="B333" s="2813" t="s">
        <v>578</v>
      </c>
      <c r="C333" s="2896"/>
      <c r="D333" s="2896"/>
      <c r="E333" s="2908">
        <v>1</v>
      </c>
      <c r="F333" s="2885">
        <f t="shared" si="99"/>
        <v>1</v>
      </c>
      <c r="G333" s="2908">
        <v>7</v>
      </c>
      <c r="H333" s="2908"/>
      <c r="I333" s="2896"/>
      <c r="J333" s="2885">
        <f t="shared" si="100"/>
        <v>7</v>
      </c>
      <c r="K333" s="2909">
        <v>4</v>
      </c>
      <c r="L333" s="2909">
        <v>12</v>
      </c>
      <c r="M333" s="2896"/>
      <c r="N333" s="2885">
        <f t="shared" si="101"/>
        <v>16</v>
      </c>
      <c r="O333" s="396"/>
      <c r="P333" s="396"/>
      <c r="Q333" s="396"/>
      <c r="R333" s="396"/>
      <c r="S333" s="396"/>
      <c r="T333" s="396"/>
      <c r="U333" s="396"/>
      <c r="V333" s="396"/>
      <c r="W333" s="396"/>
      <c r="X333" s="396"/>
      <c r="Y333" s="396"/>
      <c r="Z333" s="396"/>
    </row>
    <row r="334" spans="2:26" ht="13.5" customHeight="1">
      <c r="B334" s="2813" t="s">
        <v>579</v>
      </c>
      <c r="C334" s="2896"/>
      <c r="D334" s="2896"/>
      <c r="E334" s="2908">
        <v>2</v>
      </c>
      <c r="F334" s="2885">
        <f t="shared" si="99"/>
        <v>2</v>
      </c>
      <c r="G334" s="2908">
        <v>18</v>
      </c>
      <c r="H334" s="2908"/>
      <c r="I334" s="2896"/>
      <c r="J334" s="2885">
        <f t="shared" si="100"/>
        <v>18</v>
      </c>
      <c r="K334" s="2909">
        <v>12</v>
      </c>
      <c r="L334" s="2909">
        <v>3</v>
      </c>
      <c r="M334" s="2896"/>
      <c r="N334" s="2885">
        <f t="shared" si="101"/>
        <v>15</v>
      </c>
      <c r="O334" s="396"/>
      <c r="P334" s="396"/>
      <c r="Q334" s="396"/>
      <c r="R334" s="396"/>
      <c r="S334" s="396"/>
      <c r="T334" s="396"/>
      <c r="U334" s="396"/>
      <c r="V334" s="396"/>
      <c r="W334" s="396"/>
      <c r="X334" s="396"/>
      <c r="Y334" s="396"/>
      <c r="Z334" s="396"/>
    </row>
    <row r="335" spans="2:26" ht="13.5" customHeight="1">
      <c r="B335" s="2813" t="s">
        <v>580</v>
      </c>
      <c r="C335" s="2896"/>
      <c r="D335" s="2896"/>
      <c r="E335" s="2908">
        <v>1</v>
      </c>
      <c r="F335" s="2885">
        <f t="shared" si="99"/>
        <v>1</v>
      </c>
      <c r="G335" s="2908">
        <v>6</v>
      </c>
      <c r="H335" s="2908">
        <v>1</v>
      </c>
      <c r="I335" s="2896"/>
      <c r="J335" s="2885">
        <f t="shared" si="100"/>
        <v>7</v>
      </c>
      <c r="K335" s="2909"/>
      <c r="L335" s="2909">
        <v>10</v>
      </c>
      <c r="M335" s="2896"/>
      <c r="N335" s="2885">
        <f t="shared" si="101"/>
        <v>10</v>
      </c>
      <c r="O335" s="396"/>
      <c r="P335" s="396"/>
      <c r="Q335" s="396"/>
      <c r="R335" s="396"/>
      <c r="S335" s="396"/>
      <c r="T335" s="396"/>
      <c r="U335" s="396"/>
      <c r="V335" s="396"/>
      <c r="W335" s="396"/>
      <c r="X335" s="396"/>
      <c r="Y335" s="396"/>
      <c r="Z335" s="396"/>
    </row>
    <row r="336" spans="2:26" ht="13.5" customHeight="1">
      <c r="B336" s="2813" t="s">
        <v>581</v>
      </c>
      <c r="C336" s="2896"/>
      <c r="D336" s="2896"/>
      <c r="E336" s="2908">
        <v>8</v>
      </c>
      <c r="F336" s="2885">
        <f t="shared" si="99"/>
        <v>8</v>
      </c>
      <c r="G336" s="2908">
        <v>139</v>
      </c>
      <c r="H336" s="2908">
        <v>6</v>
      </c>
      <c r="I336" s="2896"/>
      <c r="J336" s="2885">
        <f t="shared" si="100"/>
        <v>145</v>
      </c>
      <c r="K336" s="2909">
        <v>35</v>
      </c>
      <c r="L336" s="2909">
        <v>23</v>
      </c>
      <c r="M336" s="2896"/>
      <c r="N336" s="2885">
        <f t="shared" si="101"/>
        <v>58</v>
      </c>
      <c r="O336" s="396"/>
      <c r="P336" s="396"/>
      <c r="Q336" s="396"/>
      <c r="R336" s="396"/>
      <c r="S336" s="396"/>
      <c r="T336" s="396"/>
      <c r="U336" s="396"/>
      <c r="V336" s="396"/>
      <c r="W336" s="396"/>
      <c r="X336" s="396"/>
      <c r="Y336" s="396"/>
      <c r="Z336" s="396"/>
    </row>
    <row r="337" spans="2:26" ht="13.5" customHeight="1">
      <c r="B337" s="2895" t="s">
        <v>118</v>
      </c>
      <c r="C337" s="2891"/>
      <c r="D337" s="2891"/>
      <c r="E337" s="2891">
        <f>SUM(E328:E336)</f>
        <v>15</v>
      </c>
      <c r="F337" s="2891">
        <f t="shared" ref="F337:N337" si="102">SUM(F328:F336)</f>
        <v>15</v>
      </c>
      <c r="G337" s="2891">
        <f t="shared" si="102"/>
        <v>207</v>
      </c>
      <c r="H337" s="2891">
        <f t="shared" si="102"/>
        <v>9</v>
      </c>
      <c r="I337" s="2891">
        <f t="shared" si="102"/>
        <v>0</v>
      </c>
      <c r="J337" s="2891">
        <f t="shared" si="102"/>
        <v>216</v>
      </c>
      <c r="K337" s="2891">
        <f t="shared" si="102"/>
        <v>55</v>
      </c>
      <c r="L337" s="2891">
        <f t="shared" si="102"/>
        <v>68</v>
      </c>
      <c r="M337" s="2891">
        <f t="shared" si="102"/>
        <v>0</v>
      </c>
      <c r="N337" s="2891">
        <f t="shared" si="102"/>
        <v>123</v>
      </c>
      <c r="O337" s="396"/>
      <c r="P337" s="396"/>
      <c r="Q337" s="396"/>
      <c r="R337" s="396"/>
      <c r="S337" s="396"/>
      <c r="T337" s="396"/>
      <c r="U337" s="396"/>
      <c r="V337" s="396"/>
      <c r="W337" s="396"/>
      <c r="X337" s="396"/>
      <c r="Y337" s="396"/>
      <c r="Z337" s="396"/>
    </row>
    <row r="340" spans="2:26" ht="13.5" customHeight="1">
      <c r="B340" s="2907" t="s">
        <v>110</v>
      </c>
    </row>
    <row r="341" spans="2:26" ht="13.5" customHeight="1">
      <c r="B341" s="3771" t="s">
        <v>566</v>
      </c>
      <c r="C341" s="3764" t="s">
        <v>567</v>
      </c>
      <c r="D341" s="3764"/>
      <c r="E341" s="3764"/>
      <c r="F341" s="3764"/>
      <c r="G341" s="3736" t="s">
        <v>568</v>
      </c>
      <c r="H341" s="3736"/>
      <c r="I341" s="3736"/>
      <c r="J341" s="3736"/>
      <c r="K341" s="3765" t="s">
        <v>569</v>
      </c>
      <c r="L341" s="3766"/>
      <c r="M341" s="3766"/>
      <c r="N341" s="3767"/>
    </row>
    <row r="342" spans="2:26" ht="13.5" customHeight="1">
      <c r="B342" s="3772"/>
      <c r="C342" s="3764"/>
      <c r="D342" s="3764"/>
      <c r="E342" s="3764"/>
      <c r="F342" s="3764"/>
      <c r="G342" s="3736"/>
      <c r="H342" s="3736"/>
      <c r="I342" s="3736"/>
      <c r="J342" s="3736"/>
      <c r="K342" s="3768"/>
      <c r="L342" s="3769"/>
      <c r="M342" s="3769"/>
      <c r="N342" s="3770"/>
    </row>
    <row r="343" spans="2:26" ht="13.5" customHeight="1">
      <c r="B343" s="3773"/>
      <c r="C343" s="2875" t="s">
        <v>570</v>
      </c>
      <c r="D343" s="2875" t="s">
        <v>571</v>
      </c>
      <c r="E343" s="2875" t="s">
        <v>572</v>
      </c>
      <c r="F343" s="2892" t="s">
        <v>118</v>
      </c>
      <c r="G343" s="2875" t="s">
        <v>570</v>
      </c>
      <c r="H343" s="2875" t="s">
        <v>571</v>
      </c>
      <c r="I343" s="2875" t="s">
        <v>572</v>
      </c>
      <c r="J343" s="2892" t="s">
        <v>118</v>
      </c>
      <c r="K343" s="2875" t="s">
        <v>570</v>
      </c>
      <c r="L343" s="2875" t="s">
        <v>571</v>
      </c>
      <c r="M343" s="2875" t="s">
        <v>572</v>
      </c>
      <c r="N343" s="2892" t="s">
        <v>118</v>
      </c>
    </row>
    <row r="344" spans="2:26" ht="13.5" customHeight="1">
      <c r="B344" s="2813" t="s">
        <v>573</v>
      </c>
      <c r="C344" s="2910">
        <v>4</v>
      </c>
      <c r="D344" s="2898"/>
      <c r="E344" s="2898"/>
      <c r="F344" s="2885">
        <f>SUM(C344:E344)</f>
        <v>4</v>
      </c>
      <c r="G344" s="2911">
        <v>7</v>
      </c>
      <c r="H344" s="2898"/>
      <c r="I344" s="2896"/>
      <c r="J344" s="2885">
        <f>SUM(G344:I344)</f>
        <v>7</v>
      </c>
      <c r="K344" s="2896"/>
      <c r="L344" s="2898"/>
      <c r="M344" s="2896"/>
      <c r="N344" s="2885">
        <f>SUM(K344:M344)</f>
        <v>0</v>
      </c>
      <c r="O344" s="396"/>
      <c r="P344" s="396"/>
      <c r="Q344" s="396"/>
      <c r="R344" s="396"/>
      <c r="S344" s="396"/>
      <c r="T344" s="396"/>
      <c r="U344" s="396"/>
      <c r="V344" s="396"/>
      <c r="W344" s="396"/>
      <c r="X344" s="396"/>
      <c r="Y344" s="396"/>
      <c r="Z344" s="396"/>
    </row>
    <row r="345" spans="2:26" ht="13.5" customHeight="1">
      <c r="B345" s="2813" t="s">
        <v>574</v>
      </c>
      <c r="C345" s="2911">
        <v>3</v>
      </c>
      <c r="D345" s="2898"/>
      <c r="E345" s="2898"/>
      <c r="F345" s="2885">
        <f t="shared" ref="F345:F352" si="103">SUM(C345:E345)</f>
        <v>3</v>
      </c>
      <c r="G345" s="2911">
        <v>4</v>
      </c>
      <c r="H345" s="2898"/>
      <c r="I345" s="2896"/>
      <c r="J345" s="2885">
        <f t="shared" ref="J345:J352" si="104">SUM(G345:I345)</f>
        <v>4</v>
      </c>
      <c r="K345" s="2896"/>
      <c r="L345" s="2898"/>
      <c r="M345" s="2896"/>
      <c r="N345" s="2885">
        <f t="shared" ref="N345:N352" si="105">SUM(K345:M345)</f>
        <v>0</v>
      </c>
      <c r="O345" s="396"/>
      <c r="P345" s="396"/>
      <c r="Q345" s="396"/>
      <c r="R345" s="396"/>
      <c r="S345" s="396"/>
      <c r="T345" s="396"/>
      <c r="U345" s="396"/>
      <c r="V345" s="396"/>
      <c r="W345" s="396"/>
      <c r="X345" s="396"/>
      <c r="Y345" s="396"/>
      <c r="Z345" s="396"/>
    </row>
    <row r="346" spans="2:26" ht="13.5" customHeight="1">
      <c r="B346" s="2813" t="s">
        <v>575</v>
      </c>
      <c r="C346" s="2911">
        <v>3</v>
      </c>
      <c r="D346" s="2898"/>
      <c r="E346" s="2898"/>
      <c r="F346" s="2885">
        <f t="shared" si="103"/>
        <v>3</v>
      </c>
      <c r="G346" s="2911">
        <v>12</v>
      </c>
      <c r="H346" s="2898"/>
      <c r="I346" s="2896"/>
      <c r="J346" s="2885">
        <f t="shared" si="104"/>
        <v>12</v>
      </c>
      <c r="K346" s="2896"/>
      <c r="L346" s="2898"/>
      <c r="M346" s="2896"/>
      <c r="N346" s="2885">
        <f t="shared" si="105"/>
        <v>0</v>
      </c>
      <c r="O346" s="396"/>
      <c r="P346" s="396"/>
      <c r="Q346" s="396"/>
      <c r="R346" s="396"/>
      <c r="S346" s="396"/>
      <c r="T346" s="396"/>
      <c r="U346" s="396"/>
      <c r="V346" s="396"/>
      <c r="W346" s="396"/>
      <c r="X346" s="396"/>
      <c r="Y346" s="396"/>
      <c r="Z346" s="396"/>
    </row>
    <row r="347" spans="2:26" ht="13.5" customHeight="1">
      <c r="B347" s="2813" t="s">
        <v>576</v>
      </c>
      <c r="C347" s="2911">
        <v>4</v>
      </c>
      <c r="D347" s="2898"/>
      <c r="E347" s="2898"/>
      <c r="F347" s="2885">
        <f t="shared" si="103"/>
        <v>4</v>
      </c>
      <c r="G347" s="2911">
        <v>5</v>
      </c>
      <c r="H347" s="2898"/>
      <c r="I347" s="2896"/>
      <c r="J347" s="2885">
        <f t="shared" si="104"/>
        <v>5</v>
      </c>
      <c r="K347" s="2896"/>
      <c r="L347" s="2898"/>
      <c r="M347" s="2896"/>
      <c r="N347" s="2885">
        <f t="shared" si="105"/>
        <v>0</v>
      </c>
      <c r="O347" s="396"/>
      <c r="P347" s="396"/>
      <c r="Q347" s="396"/>
      <c r="R347" s="396"/>
      <c r="S347" s="396"/>
      <c r="T347" s="396"/>
      <c r="U347" s="396"/>
      <c r="V347" s="396"/>
      <c r="W347" s="396"/>
      <c r="X347" s="396"/>
      <c r="Y347" s="396"/>
      <c r="Z347" s="396"/>
    </row>
    <row r="348" spans="2:26" ht="13.5" customHeight="1">
      <c r="B348" s="2813" t="s">
        <v>582</v>
      </c>
      <c r="C348" s="2911">
        <v>4</v>
      </c>
      <c r="D348" s="2898"/>
      <c r="E348" s="2898"/>
      <c r="F348" s="2885">
        <f t="shared" si="103"/>
        <v>4</v>
      </c>
      <c r="G348" s="2911">
        <v>4</v>
      </c>
      <c r="H348" s="2898"/>
      <c r="I348" s="2896"/>
      <c r="J348" s="2885">
        <f t="shared" si="104"/>
        <v>4</v>
      </c>
      <c r="K348" s="2896"/>
      <c r="L348" s="2898"/>
      <c r="M348" s="2896"/>
      <c r="N348" s="2885">
        <f t="shared" si="105"/>
        <v>0</v>
      </c>
      <c r="O348" s="396"/>
      <c r="P348" s="396"/>
      <c r="Q348" s="396"/>
      <c r="R348" s="396"/>
      <c r="S348" s="396"/>
      <c r="T348" s="396"/>
      <c r="U348" s="396"/>
      <c r="V348" s="396"/>
      <c r="W348" s="396"/>
      <c r="X348" s="396"/>
      <c r="Y348" s="396"/>
      <c r="Z348" s="396"/>
    </row>
    <row r="349" spans="2:26" ht="13.5" customHeight="1">
      <c r="B349" s="2813" t="s">
        <v>578</v>
      </c>
      <c r="C349" s="2911">
        <v>3</v>
      </c>
      <c r="D349" s="2898"/>
      <c r="E349" s="2898"/>
      <c r="F349" s="2885">
        <f t="shared" si="103"/>
        <v>3</v>
      </c>
      <c r="G349" s="2911">
        <v>4</v>
      </c>
      <c r="H349" s="2898"/>
      <c r="I349" s="2896"/>
      <c r="J349" s="2885">
        <f t="shared" si="104"/>
        <v>4</v>
      </c>
      <c r="K349" s="2896"/>
      <c r="L349" s="2898"/>
      <c r="M349" s="2896"/>
      <c r="N349" s="2885">
        <f t="shared" si="105"/>
        <v>0</v>
      </c>
      <c r="O349" s="396"/>
      <c r="P349" s="396"/>
      <c r="Q349" s="396"/>
      <c r="R349" s="396"/>
      <c r="S349" s="396"/>
      <c r="T349" s="396"/>
      <c r="U349" s="396"/>
      <c r="V349" s="396"/>
      <c r="W349" s="396"/>
      <c r="X349" s="396"/>
      <c r="Y349" s="396"/>
      <c r="Z349" s="396"/>
    </row>
    <row r="350" spans="2:26" ht="13.5" customHeight="1">
      <c r="B350" s="2813" t="s">
        <v>579</v>
      </c>
      <c r="C350" s="2911">
        <v>5</v>
      </c>
      <c r="D350" s="2898"/>
      <c r="E350" s="2898"/>
      <c r="F350" s="2885">
        <f t="shared" si="103"/>
        <v>5</v>
      </c>
      <c r="G350" s="2911">
        <v>19</v>
      </c>
      <c r="H350" s="2898"/>
      <c r="I350" s="2896"/>
      <c r="J350" s="2885">
        <f t="shared" si="104"/>
        <v>19</v>
      </c>
      <c r="K350" s="2896"/>
      <c r="L350" s="2898"/>
      <c r="M350" s="2896"/>
      <c r="N350" s="2885">
        <f t="shared" si="105"/>
        <v>0</v>
      </c>
      <c r="O350" s="396"/>
      <c r="P350" s="396"/>
      <c r="Q350" s="396"/>
      <c r="R350" s="396"/>
      <c r="S350" s="396"/>
      <c r="T350" s="396"/>
      <c r="U350" s="396"/>
      <c r="V350" s="396"/>
      <c r="W350" s="396"/>
      <c r="X350" s="396"/>
      <c r="Y350" s="396"/>
      <c r="Z350" s="396"/>
    </row>
    <row r="351" spans="2:26" ht="13.5" customHeight="1">
      <c r="B351" s="2813" t="s">
        <v>580</v>
      </c>
      <c r="C351" s="2911">
        <v>4</v>
      </c>
      <c r="D351" s="2898"/>
      <c r="E351" s="2898"/>
      <c r="F351" s="2885">
        <f t="shared" si="103"/>
        <v>4</v>
      </c>
      <c r="G351" s="2911">
        <v>5</v>
      </c>
      <c r="H351" s="2898"/>
      <c r="I351" s="2896"/>
      <c r="J351" s="2885">
        <f t="shared" si="104"/>
        <v>5</v>
      </c>
      <c r="K351" s="2896"/>
      <c r="L351" s="2898"/>
      <c r="M351" s="2896"/>
      <c r="N351" s="2885">
        <f t="shared" si="105"/>
        <v>0</v>
      </c>
      <c r="O351" s="396"/>
      <c r="P351" s="396"/>
      <c r="Q351" s="396"/>
      <c r="R351" s="396"/>
      <c r="S351" s="396"/>
      <c r="T351" s="396"/>
      <c r="U351" s="396"/>
      <c r="V351" s="396"/>
      <c r="W351" s="396"/>
      <c r="X351" s="396"/>
      <c r="Y351" s="396"/>
      <c r="Z351" s="396"/>
    </row>
    <row r="352" spans="2:26" ht="13.5" customHeight="1">
      <c r="B352" s="2813" t="s">
        <v>581</v>
      </c>
      <c r="C352" s="2911">
        <v>2</v>
      </c>
      <c r="D352" s="2898"/>
      <c r="E352" s="2898"/>
      <c r="F352" s="2885">
        <f t="shared" si="103"/>
        <v>2</v>
      </c>
      <c r="G352" s="2911">
        <v>205</v>
      </c>
      <c r="H352" s="2898"/>
      <c r="I352" s="2896"/>
      <c r="J352" s="2885">
        <f t="shared" si="104"/>
        <v>205</v>
      </c>
      <c r="K352" s="2896"/>
      <c r="L352" s="2898"/>
      <c r="M352" s="2896"/>
      <c r="N352" s="2885">
        <f t="shared" si="105"/>
        <v>0</v>
      </c>
      <c r="O352" s="396"/>
      <c r="P352" s="396"/>
      <c r="Q352" s="396"/>
      <c r="R352" s="396"/>
      <c r="S352" s="396"/>
      <c r="T352" s="396"/>
      <c r="U352" s="396"/>
      <c r="V352" s="396"/>
      <c r="W352" s="396"/>
      <c r="X352" s="396"/>
      <c r="Y352" s="396"/>
      <c r="Z352" s="396"/>
    </row>
    <row r="353" spans="2:26" ht="13.5" customHeight="1">
      <c r="B353" s="2895" t="s">
        <v>118</v>
      </c>
      <c r="C353" s="2891">
        <f>SUM(C344:C352)</f>
        <v>32</v>
      </c>
      <c r="D353" s="2891"/>
      <c r="E353" s="2891"/>
      <c r="F353" s="2891">
        <f t="shared" ref="F353:J353" si="106">SUM(F344:F352)</f>
        <v>32</v>
      </c>
      <c r="G353" s="2891">
        <f t="shared" si="106"/>
        <v>265</v>
      </c>
      <c r="H353" s="2891"/>
      <c r="I353" s="2891"/>
      <c r="J353" s="2891">
        <f t="shared" si="106"/>
        <v>265</v>
      </c>
      <c r="K353" s="2891"/>
      <c r="L353" s="2891"/>
      <c r="M353" s="2891"/>
      <c r="N353" s="2891"/>
      <c r="O353" s="396"/>
      <c r="P353" s="396"/>
      <c r="Q353" s="396"/>
      <c r="R353" s="396"/>
      <c r="S353" s="396"/>
      <c r="T353" s="396"/>
      <c r="U353" s="396"/>
      <c r="V353" s="396"/>
      <c r="W353" s="396"/>
      <c r="X353" s="396"/>
      <c r="Y353" s="396"/>
      <c r="Z353" s="396"/>
    </row>
    <row r="355" spans="2:26" ht="13.5" customHeight="1">
      <c r="N355" s="292">
        <v>177</v>
      </c>
    </row>
    <row r="357" spans="2:26" ht="13.5" customHeight="1">
      <c r="B357" s="1909" t="s">
        <v>111</v>
      </c>
    </row>
    <row r="358" spans="2:26" ht="13.5" customHeight="1">
      <c r="B358" s="3760" t="s">
        <v>566</v>
      </c>
      <c r="C358" s="3763" t="s">
        <v>567</v>
      </c>
      <c r="D358" s="3764"/>
      <c r="E358" s="3764"/>
      <c r="F358" s="3764"/>
      <c r="G358" s="3736" t="s">
        <v>568</v>
      </c>
      <c r="H358" s="3736"/>
      <c r="I358" s="3736"/>
      <c r="J358" s="3736"/>
      <c r="K358" s="3765" t="s">
        <v>569</v>
      </c>
      <c r="L358" s="3766"/>
      <c r="M358" s="3766"/>
      <c r="N358" s="3767"/>
    </row>
    <row r="359" spans="2:26" ht="13.5" customHeight="1">
      <c r="B359" s="3761"/>
      <c r="C359" s="3763"/>
      <c r="D359" s="3764"/>
      <c r="E359" s="3764"/>
      <c r="F359" s="3764"/>
      <c r="G359" s="3736"/>
      <c r="H359" s="3736"/>
      <c r="I359" s="3736"/>
      <c r="J359" s="3736"/>
      <c r="K359" s="3768"/>
      <c r="L359" s="3769"/>
      <c r="M359" s="3769"/>
      <c r="N359" s="3770"/>
    </row>
    <row r="360" spans="2:26" ht="13.5" customHeight="1">
      <c r="B360" s="3762"/>
      <c r="C360" s="2874" t="s">
        <v>570</v>
      </c>
      <c r="D360" s="2875" t="s">
        <v>571</v>
      </c>
      <c r="E360" s="2875" t="s">
        <v>572</v>
      </c>
      <c r="F360" s="2892" t="s">
        <v>118</v>
      </c>
      <c r="G360" s="2875" t="s">
        <v>570</v>
      </c>
      <c r="H360" s="2875" t="s">
        <v>571</v>
      </c>
      <c r="I360" s="2875" t="s">
        <v>572</v>
      </c>
      <c r="J360" s="2892" t="s">
        <v>118</v>
      </c>
      <c r="K360" s="2875" t="s">
        <v>570</v>
      </c>
      <c r="L360" s="2875" t="s">
        <v>571</v>
      </c>
      <c r="M360" s="2875" t="s">
        <v>572</v>
      </c>
      <c r="N360" s="2892" t="s">
        <v>118</v>
      </c>
    </row>
    <row r="361" spans="2:26" ht="13.5" customHeight="1">
      <c r="B361" s="1911" t="s">
        <v>573</v>
      </c>
      <c r="C361" s="2912">
        <v>3</v>
      </c>
      <c r="D361" s="2898"/>
      <c r="E361" s="2898"/>
      <c r="F361" s="2885">
        <f>SUM(C361:E361)</f>
        <v>3</v>
      </c>
      <c r="G361" s="2911">
        <v>25</v>
      </c>
      <c r="H361" s="2898"/>
      <c r="I361" s="2896"/>
      <c r="J361" s="2885">
        <f>SUM(G361:I361)</f>
        <v>25</v>
      </c>
      <c r="K361" s="2911">
        <v>2</v>
      </c>
      <c r="L361" s="2898"/>
      <c r="M361" s="2896"/>
      <c r="N361" s="2885">
        <f>SUM(K361:M361)</f>
        <v>2</v>
      </c>
      <c r="O361" s="396"/>
      <c r="P361" s="396"/>
      <c r="Q361" s="396"/>
      <c r="R361" s="396"/>
      <c r="S361" s="396"/>
      <c r="T361" s="396"/>
      <c r="U361" s="396"/>
      <c r="V361" s="396"/>
      <c r="W361" s="396"/>
      <c r="X361" s="396"/>
      <c r="Y361" s="396"/>
      <c r="Z361" s="396"/>
    </row>
    <row r="362" spans="2:26" ht="13.5" customHeight="1">
      <c r="B362" s="2813" t="s">
        <v>574</v>
      </c>
      <c r="C362" s="2913">
        <v>1</v>
      </c>
      <c r="D362" s="2898"/>
      <c r="E362" s="2898"/>
      <c r="F362" s="2885">
        <f t="shared" ref="F362:F369" si="107">SUM(C362:E362)</f>
        <v>1</v>
      </c>
      <c r="G362" s="2911">
        <v>3</v>
      </c>
      <c r="H362" s="2898"/>
      <c r="I362" s="2896"/>
      <c r="J362" s="2885">
        <f t="shared" ref="J362:J369" si="108">SUM(G362:I362)</f>
        <v>3</v>
      </c>
      <c r="K362" s="2911">
        <v>4</v>
      </c>
      <c r="L362" s="2898"/>
      <c r="M362" s="2896"/>
      <c r="N362" s="2885">
        <f t="shared" ref="N362:N369" si="109">SUM(K362:M362)</f>
        <v>4</v>
      </c>
      <c r="O362" s="396"/>
      <c r="P362" s="396"/>
      <c r="Q362" s="396"/>
      <c r="R362" s="396"/>
      <c r="S362" s="396"/>
      <c r="T362" s="396"/>
      <c r="U362" s="396"/>
      <c r="V362" s="396"/>
      <c r="W362" s="396"/>
      <c r="X362" s="396"/>
      <c r="Y362" s="396"/>
      <c r="Z362" s="396"/>
    </row>
    <row r="363" spans="2:26" ht="13.5" customHeight="1">
      <c r="B363" s="2813" t="s">
        <v>575</v>
      </c>
      <c r="C363" s="2913">
        <v>0</v>
      </c>
      <c r="D363" s="2898"/>
      <c r="E363" s="2898"/>
      <c r="F363" s="2885">
        <f t="shared" si="107"/>
        <v>0</v>
      </c>
      <c r="G363" s="2911">
        <v>5</v>
      </c>
      <c r="H363" s="2898"/>
      <c r="I363" s="2896"/>
      <c r="J363" s="2885">
        <f t="shared" si="108"/>
        <v>5</v>
      </c>
      <c r="K363" s="2911">
        <v>0</v>
      </c>
      <c r="L363" s="2898"/>
      <c r="M363" s="2896"/>
      <c r="N363" s="2885">
        <f t="shared" si="109"/>
        <v>0</v>
      </c>
      <c r="O363" s="396"/>
      <c r="P363" s="396"/>
      <c r="Q363" s="396"/>
      <c r="R363" s="396"/>
      <c r="S363" s="396"/>
      <c r="T363" s="396"/>
      <c r="U363" s="396"/>
      <c r="V363" s="396"/>
      <c r="W363" s="396"/>
      <c r="X363" s="396"/>
      <c r="Y363" s="396"/>
      <c r="Z363" s="396"/>
    </row>
    <row r="364" spans="2:26" ht="13.5" customHeight="1">
      <c r="B364" s="2813" t="s">
        <v>576</v>
      </c>
      <c r="C364" s="2913">
        <v>5</v>
      </c>
      <c r="D364" s="2898"/>
      <c r="E364" s="2898"/>
      <c r="F364" s="2885">
        <f t="shared" si="107"/>
        <v>5</v>
      </c>
      <c r="G364" s="2911">
        <v>28</v>
      </c>
      <c r="H364" s="2898"/>
      <c r="I364" s="2896"/>
      <c r="J364" s="2885">
        <f t="shared" si="108"/>
        <v>28</v>
      </c>
      <c r="K364" s="2911">
        <v>6</v>
      </c>
      <c r="L364" s="2898"/>
      <c r="M364" s="2896"/>
      <c r="N364" s="2885">
        <f t="shared" si="109"/>
        <v>6</v>
      </c>
      <c r="O364" s="396"/>
      <c r="P364" s="396"/>
      <c r="Q364" s="396"/>
      <c r="R364" s="396"/>
      <c r="S364" s="396"/>
      <c r="T364" s="396"/>
      <c r="U364" s="396"/>
      <c r="V364" s="396"/>
      <c r="W364" s="396"/>
      <c r="X364" s="396"/>
      <c r="Y364" s="396"/>
      <c r="Z364" s="396"/>
    </row>
    <row r="365" spans="2:26" ht="13.5" customHeight="1">
      <c r="B365" s="2813" t="s">
        <v>582</v>
      </c>
      <c r="C365" s="2913">
        <v>0</v>
      </c>
      <c r="D365" s="2898"/>
      <c r="E365" s="2898"/>
      <c r="F365" s="2885">
        <f t="shared" si="107"/>
        <v>0</v>
      </c>
      <c r="G365" s="2911">
        <v>0</v>
      </c>
      <c r="H365" s="2898"/>
      <c r="I365" s="2896"/>
      <c r="J365" s="2885">
        <f t="shared" si="108"/>
        <v>0</v>
      </c>
      <c r="K365" s="2911">
        <v>0</v>
      </c>
      <c r="L365" s="2898"/>
      <c r="M365" s="2896"/>
      <c r="N365" s="2885">
        <f t="shared" si="109"/>
        <v>0</v>
      </c>
      <c r="O365" s="396"/>
      <c r="P365" s="396"/>
      <c r="Q365" s="396"/>
      <c r="R365" s="396"/>
      <c r="S365" s="396"/>
      <c r="T365" s="396"/>
      <c r="U365" s="396"/>
      <c r="V365" s="396"/>
      <c r="W365" s="396"/>
      <c r="X365" s="396"/>
      <c r="Y365" s="396"/>
      <c r="Z365" s="396"/>
    </row>
    <row r="366" spans="2:26" ht="13.5" customHeight="1">
      <c r="B366" s="2813" t="s">
        <v>578</v>
      </c>
      <c r="C366" s="2913">
        <v>2</v>
      </c>
      <c r="D366" s="2898"/>
      <c r="E366" s="2898"/>
      <c r="F366" s="2885">
        <f t="shared" si="107"/>
        <v>2</v>
      </c>
      <c r="G366" s="2911">
        <v>6</v>
      </c>
      <c r="H366" s="2898"/>
      <c r="I366" s="2896"/>
      <c r="J366" s="2885">
        <f t="shared" si="108"/>
        <v>6</v>
      </c>
      <c r="K366" s="2911">
        <v>8</v>
      </c>
      <c r="L366" s="2898"/>
      <c r="M366" s="2896"/>
      <c r="N366" s="2885">
        <f t="shared" si="109"/>
        <v>8</v>
      </c>
      <c r="O366" s="396"/>
      <c r="P366" s="396"/>
      <c r="Q366" s="396"/>
      <c r="R366" s="396"/>
      <c r="S366" s="396"/>
      <c r="T366" s="396"/>
      <c r="U366" s="396"/>
      <c r="V366" s="396"/>
      <c r="W366" s="396"/>
      <c r="X366" s="396"/>
      <c r="Y366" s="396"/>
      <c r="Z366" s="396"/>
    </row>
    <row r="367" spans="2:26" ht="13.5" customHeight="1">
      <c r="B367" s="2813" t="s">
        <v>579</v>
      </c>
      <c r="C367" s="2913">
        <v>2</v>
      </c>
      <c r="D367" s="2898"/>
      <c r="E367" s="2898"/>
      <c r="F367" s="2885">
        <f t="shared" si="107"/>
        <v>2</v>
      </c>
      <c r="G367" s="2911">
        <v>15</v>
      </c>
      <c r="H367" s="2898"/>
      <c r="I367" s="2896"/>
      <c r="J367" s="2885">
        <f t="shared" si="108"/>
        <v>15</v>
      </c>
      <c r="K367" s="2911">
        <v>5</v>
      </c>
      <c r="L367" s="2898"/>
      <c r="M367" s="2896"/>
      <c r="N367" s="2885">
        <f t="shared" si="109"/>
        <v>5</v>
      </c>
      <c r="O367" s="396"/>
      <c r="P367" s="396"/>
      <c r="Q367" s="396"/>
      <c r="R367" s="396"/>
      <c r="S367" s="396"/>
      <c r="T367" s="396"/>
      <c r="U367" s="396"/>
      <c r="V367" s="396"/>
      <c r="W367" s="396"/>
      <c r="X367" s="396"/>
      <c r="Y367" s="396"/>
      <c r="Z367" s="396"/>
    </row>
    <row r="368" spans="2:26" ht="13.5" customHeight="1">
      <c r="B368" s="2813" t="s">
        <v>580</v>
      </c>
      <c r="C368" s="2913">
        <v>0</v>
      </c>
      <c r="D368" s="2898"/>
      <c r="E368" s="2898"/>
      <c r="F368" s="2885">
        <f t="shared" si="107"/>
        <v>0</v>
      </c>
      <c r="G368" s="2911">
        <v>1</v>
      </c>
      <c r="H368" s="2898"/>
      <c r="I368" s="2896"/>
      <c r="J368" s="2885">
        <f t="shared" si="108"/>
        <v>1</v>
      </c>
      <c r="K368" s="2911">
        <v>0</v>
      </c>
      <c r="L368" s="2898"/>
      <c r="M368" s="2896"/>
      <c r="N368" s="2885">
        <f t="shared" si="109"/>
        <v>0</v>
      </c>
      <c r="O368" s="396"/>
      <c r="P368" s="396"/>
      <c r="Q368" s="396"/>
      <c r="R368" s="396"/>
      <c r="S368" s="396"/>
      <c r="T368" s="396"/>
      <c r="U368" s="396"/>
      <c r="V368" s="396"/>
      <c r="W368" s="396"/>
      <c r="X368" s="396"/>
      <c r="Y368" s="396"/>
      <c r="Z368" s="396"/>
    </row>
    <row r="369" spans="1:26" ht="13.5" customHeight="1">
      <c r="B369" s="2813" t="s">
        <v>581</v>
      </c>
      <c r="C369" s="2913">
        <v>7</v>
      </c>
      <c r="D369" s="2898"/>
      <c r="E369" s="2898"/>
      <c r="F369" s="2885">
        <f t="shared" si="107"/>
        <v>7</v>
      </c>
      <c r="G369" s="2911">
        <v>164</v>
      </c>
      <c r="H369" s="2898"/>
      <c r="I369" s="2896"/>
      <c r="J369" s="2885">
        <f t="shared" si="108"/>
        <v>164</v>
      </c>
      <c r="K369" s="2911">
        <v>13</v>
      </c>
      <c r="L369" s="2898"/>
      <c r="M369" s="2896"/>
      <c r="N369" s="2885">
        <f t="shared" si="109"/>
        <v>13</v>
      </c>
      <c r="O369" s="396"/>
      <c r="P369" s="396"/>
      <c r="Q369" s="396"/>
      <c r="R369" s="396"/>
      <c r="S369" s="396"/>
      <c r="T369" s="396"/>
      <c r="U369" s="396"/>
      <c r="V369" s="396"/>
      <c r="W369" s="396"/>
      <c r="X369" s="396"/>
      <c r="Y369" s="396"/>
      <c r="Z369" s="396"/>
    </row>
    <row r="370" spans="1:26" ht="12.75">
      <c r="B370" s="2914" t="s">
        <v>118</v>
      </c>
      <c r="C370" s="2891">
        <f>SUM(C361:C369)</f>
        <v>20</v>
      </c>
      <c r="D370" s="2891"/>
      <c r="E370" s="2891"/>
      <c r="F370" s="2891">
        <f t="shared" ref="F370:N370" si="110">SUM(F361:F369)</f>
        <v>20</v>
      </c>
      <c r="G370" s="2891">
        <f t="shared" si="110"/>
        <v>247</v>
      </c>
      <c r="H370" s="2891"/>
      <c r="I370" s="2891"/>
      <c r="J370" s="2891">
        <f t="shared" si="110"/>
        <v>247</v>
      </c>
      <c r="K370" s="2891">
        <f t="shared" si="110"/>
        <v>38</v>
      </c>
      <c r="L370" s="2891"/>
      <c r="M370" s="2891"/>
      <c r="N370" s="2891">
        <f t="shared" si="110"/>
        <v>38</v>
      </c>
      <c r="O370" s="396"/>
      <c r="P370" s="396"/>
      <c r="Q370" s="396"/>
      <c r="R370" s="396"/>
      <c r="S370" s="396"/>
      <c r="T370" s="396"/>
      <c r="U370" s="396"/>
      <c r="V370" s="396"/>
      <c r="W370" s="396"/>
      <c r="X370" s="396"/>
      <c r="Y370" s="396"/>
      <c r="Z370" s="396"/>
    </row>
    <row r="371" spans="1:26" s="295" customFormat="1" ht="13.5" customHeight="1">
      <c r="A371" s="292"/>
      <c r="B371" s="471"/>
      <c r="C371" s="292"/>
      <c r="D371" s="292"/>
      <c r="E371" s="292"/>
      <c r="F371" s="292"/>
      <c r="G371" s="292"/>
      <c r="H371" s="292"/>
      <c r="I371" s="292"/>
      <c r="J371" s="292"/>
      <c r="K371" s="292"/>
      <c r="L371" s="292"/>
      <c r="M371" s="292"/>
      <c r="N371" s="292"/>
    </row>
    <row r="373" spans="1:26" ht="13.5" customHeight="1">
      <c r="B373" s="1909" t="s">
        <v>112</v>
      </c>
    </row>
    <row r="374" spans="1:26" ht="13.5" customHeight="1">
      <c r="B374" s="3760" t="s">
        <v>566</v>
      </c>
      <c r="C374" s="3763" t="s">
        <v>567</v>
      </c>
      <c r="D374" s="3764"/>
      <c r="E374" s="3764"/>
      <c r="F374" s="3764"/>
      <c r="G374" s="3736" t="s">
        <v>568</v>
      </c>
      <c r="H374" s="3736"/>
      <c r="I374" s="3736"/>
      <c r="J374" s="3736"/>
      <c r="K374" s="3765" t="s">
        <v>569</v>
      </c>
      <c r="L374" s="3766"/>
      <c r="M374" s="3766"/>
      <c r="N374" s="3767"/>
    </row>
    <row r="375" spans="1:26" ht="13.5" customHeight="1">
      <c r="B375" s="3761"/>
      <c r="C375" s="3763"/>
      <c r="D375" s="3764"/>
      <c r="E375" s="3764"/>
      <c r="F375" s="3764"/>
      <c r="G375" s="3736"/>
      <c r="H375" s="3736"/>
      <c r="I375" s="3736"/>
      <c r="J375" s="3736"/>
      <c r="K375" s="3768"/>
      <c r="L375" s="3769"/>
      <c r="M375" s="3769"/>
      <c r="N375" s="3770"/>
    </row>
    <row r="376" spans="1:26" ht="13.5" customHeight="1">
      <c r="B376" s="3762"/>
      <c r="C376" s="2874" t="s">
        <v>570</v>
      </c>
      <c r="D376" s="2875" t="s">
        <v>571</v>
      </c>
      <c r="E376" s="2875" t="s">
        <v>572</v>
      </c>
      <c r="F376" s="2892" t="s">
        <v>118</v>
      </c>
      <c r="G376" s="2875" t="s">
        <v>570</v>
      </c>
      <c r="H376" s="2875" t="s">
        <v>571</v>
      </c>
      <c r="I376" s="2875" t="s">
        <v>572</v>
      </c>
      <c r="J376" s="2892" t="s">
        <v>118</v>
      </c>
      <c r="K376" s="2875" t="s">
        <v>570</v>
      </c>
      <c r="L376" s="2875" t="s">
        <v>571</v>
      </c>
      <c r="M376" s="2875" t="s">
        <v>572</v>
      </c>
      <c r="N376" s="2892" t="s">
        <v>118</v>
      </c>
    </row>
    <row r="377" spans="1:26" ht="13.5" customHeight="1">
      <c r="B377" s="1911" t="s">
        <v>573</v>
      </c>
      <c r="C377" s="2915">
        <v>1</v>
      </c>
      <c r="D377" s="2898"/>
      <c r="E377" s="2898"/>
      <c r="F377" s="2885">
        <f>SUM(C377:E377)</f>
        <v>1</v>
      </c>
      <c r="G377" s="2911">
        <v>46</v>
      </c>
      <c r="H377" s="2898"/>
      <c r="I377" s="2896"/>
      <c r="J377" s="2885">
        <f>SUM(G377:I377)</f>
        <v>46</v>
      </c>
      <c r="K377" s="2911">
        <v>10</v>
      </c>
      <c r="L377" s="2898"/>
      <c r="M377" s="2896"/>
      <c r="N377" s="2885">
        <f>SUM(K377:M377)</f>
        <v>10</v>
      </c>
      <c r="O377" s="396"/>
      <c r="P377" s="396"/>
      <c r="Q377" s="396"/>
      <c r="R377" s="396"/>
      <c r="S377" s="396"/>
      <c r="T377" s="396"/>
      <c r="U377" s="396"/>
      <c r="V377" s="396"/>
      <c r="W377" s="396"/>
      <c r="X377" s="396"/>
      <c r="Y377" s="396"/>
      <c r="Z377" s="396"/>
    </row>
    <row r="378" spans="1:26" ht="13.5" customHeight="1">
      <c r="B378" s="2813" t="s">
        <v>574</v>
      </c>
      <c r="C378" s="2911">
        <v>1</v>
      </c>
      <c r="D378" s="2898"/>
      <c r="E378" s="2898"/>
      <c r="F378" s="2885">
        <f t="shared" ref="F378:F385" si="111">SUM(C378:E378)</f>
        <v>1</v>
      </c>
      <c r="G378" s="2911">
        <v>21</v>
      </c>
      <c r="H378" s="2898"/>
      <c r="I378" s="2896"/>
      <c r="J378" s="2885">
        <f t="shared" ref="J378:J385" si="112">SUM(G378:I378)</f>
        <v>21</v>
      </c>
      <c r="K378" s="2911">
        <v>0</v>
      </c>
      <c r="L378" s="2898"/>
      <c r="M378" s="2896"/>
      <c r="N378" s="2885">
        <f t="shared" ref="N378:N385" si="113">SUM(K378:M378)</f>
        <v>0</v>
      </c>
      <c r="O378" s="396"/>
      <c r="P378" s="396"/>
      <c r="Q378" s="396"/>
      <c r="R378" s="396"/>
      <c r="S378" s="396"/>
      <c r="T378" s="396"/>
      <c r="U378" s="396"/>
      <c r="V378" s="396"/>
      <c r="W378" s="396"/>
      <c r="X378" s="396"/>
      <c r="Y378" s="396"/>
      <c r="Z378" s="396"/>
    </row>
    <row r="379" spans="1:26" ht="13.5" customHeight="1">
      <c r="B379" s="2813" t="s">
        <v>575</v>
      </c>
      <c r="C379" s="2911">
        <v>2</v>
      </c>
      <c r="D379" s="2898"/>
      <c r="E379" s="2898"/>
      <c r="F379" s="2885">
        <f t="shared" si="111"/>
        <v>2</v>
      </c>
      <c r="G379" s="2911">
        <v>37</v>
      </c>
      <c r="H379" s="2898"/>
      <c r="I379" s="2896"/>
      <c r="J379" s="2885">
        <f t="shared" si="112"/>
        <v>37</v>
      </c>
      <c r="K379" s="2911">
        <v>9</v>
      </c>
      <c r="L379" s="2898"/>
      <c r="M379" s="2896"/>
      <c r="N379" s="2885">
        <f t="shared" si="113"/>
        <v>9</v>
      </c>
      <c r="O379" s="396"/>
      <c r="P379" s="396"/>
      <c r="Q379" s="396"/>
      <c r="R379" s="396"/>
      <c r="S379" s="396"/>
      <c r="T379" s="396"/>
      <c r="U379" s="396"/>
      <c r="V379" s="396"/>
      <c r="W379" s="396"/>
      <c r="X379" s="396"/>
      <c r="Y379" s="396"/>
      <c r="Z379" s="396"/>
    </row>
    <row r="380" spans="1:26" ht="13.5" customHeight="1">
      <c r="B380" s="2813" t="s">
        <v>576</v>
      </c>
      <c r="C380" s="2911">
        <v>2</v>
      </c>
      <c r="D380" s="2898"/>
      <c r="E380" s="2898"/>
      <c r="F380" s="2885">
        <f t="shared" si="111"/>
        <v>2</v>
      </c>
      <c r="G380" s="2911">
        <v>35</v>
      </c>
      <c r="H380" s="2898"/>
      <c r="I380" s="2896"/>
      <c r="J380" s="2885">
        <f t="shared" si="112"/>
        <v>35</v>
      </c>
      <c r="K380" s="2911">
        <v>7</v>
      </c>
      <c r="L380" s="2898"/>
      <c r="M380" s="2896"/>
      <c r="N380" s="2885">
        <f t="shared" si="113"/>
        <v>7</v>
      </c>
      <c r="O380" s="396"/>
      <c r="P380" s="396"/>
      <c r="Q380" s="396"/>
      <c r="R380" s="396"/>
      <c r="S380" s="396"/>
      <c r="T380" s="396"/>
      <c r="U380" s="396"/>
      <c r="V380" s="396"/>
      <c r="W380" s="396"/>
      <c r="X380" s="396"/>
      <c r="Y380" s="396"/>
      <c r="Z380" s="396"/>
    </row>
    <row r="381" spans="1:26" ht="13.5" customHeight="1">
      <c r="B381" s="2813" t="s">
        <v>582</v>
      </c>
      <c r="C381" s="2911">
        <v>2</v>
      </c>
      <c r="D381" s="2898"/>
      <c r="E381" s="2898"/>
      <c r="F381" s="2885">
        <f t="shared" si="111"/>
        <v>2</v>
      </c>
      <c r="G381" s="2911">
        <v>27</v>
      </c>
      <c r="H381" s="2898"/>
      <c r="I381" s="2896"/>
      <c r="J381" s="2885">
        <f t="shared" si="112"/>
        <v>27</v>
      </c>
      <c r="K381" s="2911">
        <v>3</v>
      </c>
      <c r="L381" s="2898"/>
      <c r="M381" s="2896"/>
      <c r="N381" s="2885">
        <f t="shared" si="113"/>
        <v>3</v>
      </c>
      <c r="O381" s="396"/>
      <c r="P381" s="396"/>
      <c r="Q381" s="396"/>
      <c r="R381" s="396"/>
      <c r="S381" s="396"/>
      <c r="T381" s="396"/>
      <c r="U381" s="396"/>
      <c r="V381" s="396"/>
      <c r="W381" s="396"/>
      <c r="X381" s="396"/>
      <c r="Y381" s="396"/>
      <c r="Z381" s="396"/>
    </row>
    <row r="382" spans="1:26" ht="13.5" customHeight="1">
      <c r="B382" s="2813" t="s">
        <v>578</v>
      </c>
      <c r="C382" s="2911">
        <v>1</v>
      </c>
      <c r="D382" s="2898"/>
      <c r="E382" s="2898"/>
      <c r="F382" s="2885">
        <f t="shared" si="111"/>
        <v>1</v>
      </c>
      <c r="G382" s="2911">
        <v>32</v>
      </c>
      <c r="H382" s="2898"/>
      <c r="I382" s="2896"/>
      <c r="J382" s="2885">
        <f t="shared" si="112"/>
        <v>32</v>
      </c>
      <c r="K382" s="2911">
        <v>7</v>
      </c>
      <c r="L382" s="2898"/>
      <c r="M382" s="2896"/>
      <c r="N382" s="2885">
        <f t="shared" si="113"/>
        <v>7</v>
      </c>
      <c r="O382" s="396"/>
      <c r="P382" s="396"/>
      <c r="Q382" s="396"/>
      <c r="R382" s="396"/>
      <c r="S382" s="396"/>
      <c r="T382" s="396"/>
      <c r="U382" s="396"/>
      <c r="V382" s="396"/>
      <c r="W382" s="396"/>
      <c r="X382" s="396"/>
      <c r="Y382" s="396"/>
      <c r="Z382" s="396"/>
    </row>
    <row r="383" spans="1:26" ht="13.5" customHeight="1">
      <c r="B383" s="2813" t="s">
        <v>579</v>
      </c>
      <c r="C383" s="2911">
        <v>2</v>
      </c>
      <c r="D383" s="2898"/>
      <c r="E383" s="2898"/>
      <c r="F383" s="2885">
        <f t="shared" si="111"/>
        <v>2</v>
      </c>
      <c r="G383" s="2911">
        <v>50</v>
      </c>
      <c r="H383" s="2898"/>
      <c r="I383" s="2896"/>
      <c r="J383" s="2885">
        <f t="shared" si="112"/>
        <v>50</v>
      </c>
      <c r="K383" s="2911">
        <v>20</v>
      </c>
      <c r="L383" s="2898"/>
      <c r="M383" s="2896"/>
      <c r="N383" s="2885">
        <f t="shared" si="113"/>
        <v>20</v>
      </c>
      <c r="O383" s="396"/>
      <c r="P383" s="396"/>
      <c r="Q383" s="396"/>
      <c r="R383" s="396"/>
      <c r="S383" s="396"/>
      <c r="T383" s="396"/>
      <c r="U383" s="396"/>
      <c r="V383" s="396"/>
      <c r="W383" s="396"/>
      <c r="X383" s="396"/>
      <c r="Y383" s="396"/>
      <c r="Z383" s="396"/>
    </row>
    <row r="384" spans="1:26" ht="13.5" customHeight="1">
      <c r="B384" s="2813" t="s">
        <v>580</v>
      </c>
      <c r="C384" s="2911">
        <v>0</v>
      </c>
      <c r="D384" s="2898"/>
      <c r="E384" s="2898"/>
      <c r="F384" s="2885">
        <f t="shared" si="111"/>
        <v>0</v>
      </c>
      <c r="G384" s="2911">
        <v>18</v>
      </c>
      <c r="H384" s="2898"/>
      <c r="I384" s="2896"/>
      <c r="J384" s="2885">
        <f t="shared" si="112"/>
        <v>18</v>
      </c>
      <c r="K384" s="2911">
        <v>2</v>
      </c>
      <c r="L384" s="2898"/>
      <c r="M384" s="2896"/>
      <c r="N384" s="2885">
        <f t="shared" si="113"/>
        <v>2</v>
      </c>
      <c r="O384" s="396"/>
      <c r="P384" s="396"/>
      <c r="Q384" s="396"/>
      <c r="R384" s="396"/>
      <c r="S384" s="396"/>
      <c r="T384" s="396"/>
      <c r="U384" s="396"/>
      <c r="V384" s="396"/>
      <c r="W384" s="396"/>
      <c r="X384" s="396"/>
      <c r="Y384" s="396"/>
      <c r="Z384" s="396"/>
    </row>
    <row r="385" spans="2:26" ht="13.5" customHeight="1">
      <c r="B385" s="2813" t="s">
        <v>581</v>
      </c>
      <c r="C385" s="2911">
        <v>4</v>
      </c>
      <c r="D385" s="2898"/>
      <c r="E385" s="2898"/>
      <c r="F385" s="2885">
        <f t="shared" si="111"/>
        <v>4</v>
      </c>
      <c r="G385" s="2911">
        <v>352</v>
      </c>
      <c r="H385" s="2898"/>
      <c r="I385" s="2896"/>
      <c r="J385" s="2885">
        <f t="shared" si="112"/>
        <v>352</v>
      </c>
      <c r="K385" s="2911">
        <v>41</v>
      </c>
      <c r="L385" s="2898"/>
      <c r="M385" s="2896"/>
      <c r="N385" s="2885">
        <f t="shared" si="113"/>
        <v>41</v>
      </c>
      <c r="O385" s="396"/>
      <c r="P385" s="396"/>
      <c r="Q385" s="396"/>
      <c r="R385" s="396"/>
      <c r="S385" s="396"/>
      <c r="T385" s="396"/>
      <c r="U385" s="396"/>
      <c r="V385" s="396"/>
      <c r="W385" s="396"/>
      <c r="X385" s="396"/>
      <c r="Y385" s="396"/>
      <c r="Z385" s="396"/>
    </row>
    <row r="386" spans="2:26" ht="13.5" customHeight="1">
      <c r="B386" s="2895" t="s">
        <v>118</v>
      </c>
      <c r="C386" s="2891">
        <f>SUM(C377:C385)</f>
        <v>15</v>
      </c>
      <c r="D386" s="2891"/>
      <c r="E386" s="2891"/>
      <c r="F386" s="2891">
        <f t="shared" ref="F386:N386" si="114">SUM(F377:F385)</f>
        <v>15</v>
      </c>
      <c r="G386" s="2891">
        <f t="shared" si="114"/>
        <v>618</v>
      </c>
      <c r="H386" s="2891"/>
      <c r="I386" s="2891"/>
      <c r="J386" s="2891">
        <f t="shared" si="114"/>
        <v>618</v>
      </c>
      <c r="K386" s="2891">
        <f t="shared" si="114"/>
        <v>99</v>
      </c>
      <c r="L386" s="2891"/>
      <c r="M386" s="2891"/>
      <c r="N386" s="2891">
        <f t="shared" si="114"/>
        <v>99</v>
      </c>
      <c r="O386" s="396"/>
      <c r="P386" s="396"/>
      <c r="Q386" s="396"/>
      <c r="R386" s="396"/>
      <c r="S386" s="396"/>
      <c r="T386" s="396"/>
      <c r="U386" s="396"/>
      <c r="V386" s="396"/>
      <c r="W386" s="396"/>
      <c r="X386" s="396"/>
      <c r="Y386" s="396"/>
      <c r="Z386" s="396"/>
    </row>
    <row r="389" spans="2:26" ht="13.5" customHeight="1">
      <c r="B389" s="1909" t="s">
        <v>113</v>
      </c>
    </row>
    <row r="390" spans="2:26" ht="13.5" customHeight="1">
      <c r="B390" s="3760" t="s">
        <v>566</v>
      </c>
      <c r="C390" s="3763" t="s">
        <v>567</v>
      </c>
      <c r="D390" s="3764"/>
      <c r="E390" s="3764"/>
      <c r="F390" s="3764"/>
      <c r="G390" s="3736" t="s">
        <v>584</v>
      </c>
      <c r="H390" s="3736"/>
      <c r="I390" s="3736"/>
      <c r="J390" s="3736"/>
      <c r="K390" s="3765" t="s">
        <v>569</v>
      </c>
      <c r="L390" s="3766"/>
      <c r="M390" s="3766"/>
      <c r="N390" s="3767"/>
    </row>
    <row r="391" spans="2:26" ht="13.5" customHeight="1">
      <c r="B391" s="3761"/>
      <c r="C391" s="3763"/>
      <c r="D391" s="3764"/>
      <c r="E391" s="3764"/>
      <c r="F391" s="3764"/>
      <c r="G391" s="3736"/>
      <c r="H391" s="3736"/>
      <c r="I391" s="3736"/>
      <c r="J391" s="3736"/>
      <c r="K391" s="3768"/>
      <c r="L391" s="3769"/>
      <c r="M391" s="3769"/>
      <c r="N391" s="3770"/>
    </row>
    <row r="392" spans="2:26" ht="13.5" customHeight="1">
      <c r="B392" s="3762"/>
      <c r="C392" s="2874" t="s">
        <v>570</v>
      </c>
      <c r="D392" s="2875" t="s">
        <v>571</v>
      </c>
      <c r="E392" s="2875" t="s">
        <v>572</v>
      </c>
      <c r="F392" s="2892" t="s">
        <v>118</v>
      </c>
      <c r="G392" s="2875" t="s">
        <v>570</v>
      </c>
      <c r="H392" s="2875" t="s">
        <v>571</v>
      </c>
      <c r="I392" s="2875" t="s">
        <v>572</v>
      </c>
      <c r="J392" s="2892" t="s">
        <v>118</v>
      </c>
      <c r="K392" s="2875" t="s">
        <v>570</v>
      </c>
      <c r="L392" s="2875" t="s">
        <v>571</v>
      </c>
      <c r="M392" s="2875" t="s">
        <v>572</v>
      </c>
      <c r="N392" s="2892" t="s">
        <v>118</v>
      </c>
    </row>
    <row r="393" spans="2:26" ht="13.5" customHeight="1">
      <c r="B393" s="1911" t="s">
        <v>573</v>
      </c>
      <c r="C393" s="2894"/>
      <c r="D393" s="2915">
        <v>13</v>
      </c>
      <c r="E393" s="2898"/>
      <c r="F393" s="2885">
        <f>SUM(C393:E393)</f>
        <v>13</v>
      </c>
      <c r="G393" s="2896"/>
      <c r="H393" s="2911">
        <v>37</v>
      </c>
      <c r="I393" s="2896"/>
      <c r="J393" s="2885">
        <f>SUM(G393:I393)</f>
        <v>37</v>
      </c>
      <c r="K393" s="2896"/>
      <c r="L393" s="2911">
        <v>45</v>
      </c>
      <c r="M393" s="2896"/>
      <c r="N393" s="2885">
        <f>SUM(K393:M393)</f>
        <v>45</v>
      </c>
      <c r="O393" s="396"/>
      <c r="P393" s="396"/>
      <c r="Q393" s="396"/>
      <c r="R393" s="396"/>
      <c r="S393" s="396"/>
      <c r="T393" s="396"/>
      <c r="U393" s="396"/>
      <c r="V393" s="396"/>
      <c r="W393" s="396"/>
      <c r="X393" s="396"/>
      <c r="Y393" s="396"/>
      <c r="Z393" s="396"/>
    </row>
    <row r="394" spans="2:26" ht="13.5" customHeight="1">
      <c r="B394" s="2813" t="s">
        <v>574</v>
      </c>
      <c r="C394" s="2896"/>
      <c r="D394" s="2911">
        <v>2</v>
      </c>
      <c r="E394" s="2898"/>
      <c r="F394" s="2885">
        <f t="shared" ref="F394:F401" si="115">SUM(C394:E394)</f>
        <v>2</v>
      </c>
      <c r="G394" s="2896"/>
      <c r="H394" s="2911">
        <v>7</v>
      </c>
      <c r="I394" s="2896"/>
      <c r="J394" s="2885">
        <f t="shared" ref="J394:J401" si="116">SUM(G394:I394)</f>
        <v>7</v>
      </c>
      <c r="K394" s="2896"/>
      <c r="L394" s="2911">
        <v>0</v>
      </c>
      <c r="M394" s="2896"/>
      <c r="N394" s="2885">
        <f t="shared" ref="N394:N401" si="117">SUM(K394:M394)</f>
        <v>0</v>
      </c>
      <c r="O394" s="396"/>
      <c r="P394" s="396"/>
      <c r="Q394" s="396"/>
      <c r="R394" s="396"/>
      <c r="S394" s="396"/>
      <c r="T394" s="396"/>
      <c r="U394" s="396"/>
      <c r="V394" s="396"/>
      <c r="W394" s="396"/>
      <c r="X394" s="396"/>
      <c r="Y394" s="396"/>
      <c r="Z394" s="396"/>
    </row>
    <row r="395" spans="2:26" ht="13.5" customHeight="1">
      <c r="B395" s="2813" t="s">
        <v>575</v>
      </c>
      <c r="C395" s="2896"/>
      <c r="D395" s="2911">
        <v>8</v>
      </c>
      <c r="E395" s="2898"/>
      <c r="F395" s="2885">
        <f t="shared" si="115"/>
        <v>8</v>
      </c>
      <c r="G395" s="2896"/>
      <c r="H395" s="2911">
        <v>40</v>
      </c>
      <c r="I395" s="2896"/>
      <c r="J395" s="2885">
        <f t="shared" si="116"/>
        <v>40</v>
      </c>
      <c r="K395" s="2896"/>
      <c r="L395" s="2911">
        <v>48</v>
      </c>
      <c r="M395" s="2896"/>
      <c r="N395" s="2885">
        <f t="shared" si="117"/>
        <v>48</v>
      </c>
      <c r="O395" s="396"/>
      <c r="P395" s="396"/>
      <c r="Q395" s="396"/>
      <c r="R395" s="396"/>
      <c r="S395" s="396"/>
      <c r="T395" s="396"/>
      <c r="U395" s="396"/>
      <c r="V395" s="396"/>
      <c r="W395" s="396"/>
      <c r="X395" s="396"/>
      <c r="Y395" s="396"/>
      <c r="Z395" s="396"/>
    </row>
    <row r="396" spans="2:26" ht="13.5" customHeight="1">
      <c r="B396" s="2813" t="s">
        <v>576</v>
      </c>
      <c r="C396" s="2896"/>
      <c r="D396" s="2911">
        <v>14</v>
      </c>
      <c r="E396" s="2898"/>
      <c r="F396" s="2885">
        <f t="shared" si="115"/>
        <v>14</v>
      </c>
      <c r="G396" s="2896"/>
      <c r="H396" s="2911">
        <v>54</v>
      </c>
      <c r="I396" s="2896"/>
      <c r="J396" s="2885">
        <f t="shared" si="116"/>
        <v>54</v>
      </c>
      <c r="K396" s="2896"/>
      <c r="L396" s="2911">
        <v>188</v>
      </c>
      <c r="M396" s="2896"/>
      <c r="N396" s="2885">
        <f t="shared" si="117"/>
        <v>188</v>
      </c>
      <c r="O396" s="396"/>
      <c r="P396" s="396"/>
      <c r="Q396" s="396"/>
      <c r="R396" s="396"/>
      <c r="S396" s="396"/>
      <c r="T396" s="396"/>
      <c r="U396" s="396"/>
      <c r="V396" s="396"/>
      <c r="W396" s="396"/>
      <c r="X396" s="396"/>
      <c r="Y396" s="396"/>
      <c r="Z396" s="396"/>
    </row>
    <row r="397" spans="2:26" ht="13.5" customHeight="1">
      <c r="B397" s="2813" t="s">
        <v>582</v>
      </c>
      <c r="C397" s="2896"/>
      <c r="D397" s="2911">
        <v>2</v>
      </c>
      <c r="E397" s="2898"/>
      <c r="F397" s="2885">
        <f t="shared" si="115"/>
        <v>2</v>
      </c>
      <c r="G397" s="2896"/>
      <c r="H397" s="2911">
        <v>1</v>
      </c>
      <c r="I397" s="2896"/>
      <c r="J397" s="2885">
        <f t="shared" si="116"/>
        <v>1</v>
      </c>
      <c r="K397" s="2896"/>
      <c r="L397" s="2911">
        <v>3</v>
      </c>
      <c r="M397" s="2896"/>
      <c r="N397" s="2885">
        <f t="shared" si="117"/>
        <v>3</v>
      </c>
      <c r="O397" s="396"/>
      <c r="P397" s="396"/>
      <c r="Q397" s="396"/>
      <c r="R397" s="396"/>
      <c r="S397" s="396"/>
      <c r="T397" s="396"/>
      <c r="U397" s="396"/>
      <c r="V397" s="396"/>
      <c r="W397" s="396"/>
      <c r="X397" s="396"/>
      <c r="Y397" s="396"/>
      <c r="Z397" s="396"/>
    </row>
    <row r="398" spans="2:26" ht="13.5" customHeight="1">
      <c r="B398" s="2813" t="s">
        <v>578</v>
      </c>
      <c r="C398" s="2896"/>
      <c r="D398" s="2911">
        <v>9</v>
      </c>
      <c r="E398" s="2898"/>
      <c r="F398" s="2885">
        <f t="shared" si="115"/>
        <v>9</v>
      </c>
      <c r="G398" s="2896"/>
      <c r="H398" s="2911">
        <v>48</v>
      </c>
      <c r="I398" s="2896"/>
      <c r="J398" s="2885">
        <f t="shared" si="116"/>
        <v>48</v>
      </c>
      <c r="K398" s="2896"/>
      <c r="L398" s="2911">
        <v>95</v>
      </c>
      <c r="M398" s="2896"/>
      <c r="N398" s="2885">
        <f t="shared" si="117"/>
        <v>95</v>
      </c>
      <c r="O398" s="396"/>
      <c r="P398" s="396"/>
      <c r="Q398" s="396"/>
      <c r="R398" s="396"/>
      <c r="S398" s="396"/>
      <c r="T398" s="396"/>
      <c r="U398" s="396"/>
      <c r="V398" s="396"/>
      <c r="W398" s="396"/>
      <c r="X398" s="396"/>
      <c r="Y398" s="396"/>
      <c r="Z398" s="396"/>
    </row>
    <row r="399" spans="2:26" ht="13.5" customHeight="1">
      <c r="B399" s="2813" t="s">
        <v>579</v>
      </c>
      <c r="C399" s="2896"/>
      <c r="D399" s="2911">
        <v>14</v>
      </c>
      <c r="E399" s="2898"/>
      <c r="F399" s="2885">
        <f t="shared" si="115"/>
        <v>14</v>
      </c>
      <c r="G399" s="2896"/>
      <c r="H399" s="2911">
        <v>61</v>
      </c>
      <c r="I399" s="2896"/>
      <c r="J399" s="2885">
        <f t="shared" si="116"/>
        <v>61</v>
      </c>
      <c r="K399" s="2896"/>
      <c r="L399" s="2911">
        <v>159</v>
      </c>
      <c r="M399" s="2896"/>
      <c r="N399" s="2885">
        <f t="shared" si="117"/>
        <v>159</v>
      </c>
      <c r="O399" s="396"/>
      <c r="P399" s="396"/>
      <c r="Q399" s="396"/>
      <c r="R399" s="396"/>
      <c r="S399" s="396"/>
      <c r="T399" s="396"/>
      <c r="U399" s="396"/>
      <c r="V399" s="396"/>
      <c r="W399" s="396"/>
      <c r="X399" s="396"/>
      <c r="Y399" s="396"/>
      <c r="Z399" s="396"/>
    </row>
    <row r="400" spans="2:26" ht="13.5" customHeight="1">
      <c r="B400" s="2813" t="s">
        <v>580</v>
      </c>
      <c r="C400" s="2896"/>
      <c r="D400" s="2911">
        <v>2</v>
      </c>
      <c r="E400" s="2898"/>
      <c r="F400" s="2885">
        <f t="shared" si="115"/>
        <v>2</v>
      </c>
      <c r="G400" s="2896"/>
      <c r="H400" s="2911">
        <v>15</v>
      </c>
      <c r="I400" s="2896"/>
      <c r="J400" s="2885">
        <f t="shared" si="116"/>
        <v>15</v>
      </c>
      <c r="K400" s="2896"/>
      <c r="L400" s="2911">
        <v>17</v>
      </c>
      <c r="M400" s="2896"/>
      <c r="N400" s="2885">
        <f t="shared" si="117"/>
        <v>17</v>
      </c>
      <c r="O400" s="396"/>
      <c r="P400" s="396"/>
      <c r="Q400" s="396"/>
      <c r="R400" s="396"/>
      <c r="S400" s="396"/>
      <c r="T400" s="396"/>
      <c r="U400" s="396"/>
      <c r="V400" s="396"/>
      <c r="W400" s="396"/>
      <c r="X400" s="396"/>
      <c r="Y400" s="396"/>
      <c r="Z400" s="396"/>
    </row>
    <row r="401" spans="1:26" ht="13.5" customHeight="1">
      <c r="B401" s="2813" t="s">
        <v>581</v>
      </c>
      <c r="C401" s="2896"/>
      <c r="D401" s="2911">
        <v>15</v>
      </c>
      <c r="E401" s="2898"/>
      <c r="F401" s="2885">
        <f t="shared" si="115"/>
        <v>15</v>
      </c>
      <c r="G401" s="2896"/>
      <c r="H401" s="2911">
        <v>155</v>
      </c>
      <c r="I401" s="2896"/>
      <c r="J401" s="2885">
        <f t="shared" si="116"/>
        <v>155</v>
      </c>
      <c r="K401" s="2896"/>
      <c r="L401" s="2911">
        <v>124</v>
      </c>
      <c r="M401" s="2896"/>
      <c r="N401" s="2885">
        <f t="shared" si="117"/>
        <v>124</v>
      </c>
      <c r="O401" s="396"/>
      <c r="P401" s="396"/>
      <c r="Q401" s="396"/>
      <c r="R401" s="396"/>
      <c r="S401" s="396"/>
      <c r="T401" s="396"/>
      <c r="U401" s="396"/>
      <c r="V401" s="396"/>
      <c r="W401" s="396"/>
      <c r="X401" s="396"/>
      <c r="Y401" s="396"/>
      <c r="Z401" s="396"/>
    </row>
    <row r="402" spans="1:26" ht="13.5" customHeight="1">
      <c r="A402" s="295"/>
      <c r="B402" s="2895" t="s">
        <v>118</v>
      </c>
      <c r="C402" s="2891">
        <v>0</v>
      </c>
      <c r="D402" s="2891">
        <f>SUM(D393:D401)</f>
        <v>79</v>
      </c>
      <c r="E402" s="2891">
        <f t="shared" ref="E402:N402" si="118">SUM(E393:E401)</f>
        <v>0</v>
      </c>
      <c r="F402" s="2891">
        <f t="shared" si="118"/>
        <v>79</v>
      </c>
      <c r="G402" s="2891">
        <f t="shared" si="118"/>
        <v>0</v>
      </c>
      <c r="H402" s="2891">
        <f t="shared" si="118"/>
        <v>418</v>
      </c>
      <c r="I402" s="2891">
        <f t="shared" si="118"/>
        <v>0</v>
      </c>
      <c r="J402" s="2891">
        <f t="shared" si="118"/>
        <v>418</v>
      </c>
      <c r="K402" s="2891">
        <f t="shared" si="118"/>
        <v>0</v>
      </c>
      <c r="L402" s="2891">
        <f t="shared" si="118"/>
        <v>679</v>
      </c>
      <c r="M402" s="2891">
        <f t="shared" si="118"/>
        <v>0</v>
      </c>
      <c r="N402" s="2891">
        <f t="shared" si="118"/>
        <v>679</v>
      </c>
      <c r="O402" s="396"/>
      <c r="P402" s="396"/>
      <c r="Q402" s="396"/>
      <c r="R402" s="396"/>
      <c r="S402" s="396"/>
      <c r="T402" s="396"/>
      <c r="U402" s="396"/>
      <c r="V402" s="396"/>
      <c r="W402" s="396"/>
      <c r="X402" s="396"/>
      <c r="Y402" s="396"/>
      <c r="Z402" s="396"/>
    </row>
    <row r="403" spans="1:26" ht="13.5" customHeight="1">
      <c r="A403" s="295"/>
      <c r="B403" s="51"/>
      <c r="C403" s="553"/>
      <c r="D403" s="553"/>
      <c r="E403" s="553"/>
      <c r="F403" s="553"/>
      <c r="G403" s="553"/>
      <c r="H403" s="553"/>
      <c r="I403" s="553"/>
      <c r="J403" s="553"/>
      <c r="K403" s="553"/>
      <c r="L403" s="553"/>
      <c r="M403" s="553"/>
      <c r="N403" s="553"/>
    </row>
    <row r="404" spans="1:26" ht="13.5" customHeight="1">
      <c r="N404" s="292">
        <v>178</v>
      </c>
    </row>
    <row r="406" spans="1:26" ht="13.5" customHeight="1">
      <c r="B406" s="1909" t="s">
        <v>114</v>
      </c>
    </row>
    <row r="407" spans="1:26" ht="13.5" customHeight="1">
      <c r="B407" s="3760" t="s">
        <v>566</v>
      </c>
      <c r="C407" s="3763" t="s">
        <v>567</v>
      </c>
      <c r="D407" s="3764"/>
      <c r="E407" s="3764"/>
      <c r="F407" s="3764"/>
      <c r="G407" s="3736" t="s">
        <v>584</v>
      </c>
      <c r="H407" s="3736"/>
      <c r="I407" s="3736"/>
      <c r="J407" s="3736"/>
      <c r="K407" s="3765" t="s">
        <v>569</v>
      </c>
      <c r="L407" s="3766"/>
      <c r="M407" s="3766"/>
      <c r="N407" s="3767"/>
    </row>
    <row r="408" spans="1:26" ht="13.5" customHeight="1">
      <c r="B408" s="3761"/>
      <c r="C408" s="3763"/>
      <c r="D408" s="3764"/>
      <c r="E408" s="3764"/>
      <c r="F408" s="3764"/>
      <c r="G408" s="3736"/>
      <c r="H408" s="3736"/>
      <c r="I408" s="3736"/>
      <c r="J408" s="3736"/>
      <c r="K408" s="3768"/>
      <c r="L408" s="3769"/>
      <c r="M408" s="3769"/>
      <c r="N408" s="3770"/>
    </row>
    <row r="409" spans="1:26" ht="13.5" customHeight="1">
      <c r="B409" s="3762"/>
      <c r="C409" s="2916" t="s">
        <v>570</v>
      </c>
      <c r="D409" s="2917" t="s">
        <v>571</v>
      </c>
      <c r="E409" s="2917" t="s">
        <v>572</v>
      </c>
      <c r="F409" s="2892" t="s">
        <v>118</v>
      </c>
      <c r="G409" s="2917" t="s">
        <v>570</v>
      </c>
      <c r="H409" s="2917" t="s">
        <v>571</v>
      </c>
      <c r="I409" s="2917" t="s">
        <v>572</v>
      </c>
      <c r="J409" s="2892" t="s">
        <v>118</v>
      </c>
      <c r="K409" s="2917" t="s">
        <v>570</v>
      </c>
      <c r="L409" s="2917" t="s">
        <v>571</v>
      </c>
      <c r="M409" s="2917" t="s">
        <v>572</v>
      </c>
      <c r="N409" s="2892" t="s">
        <v>118</v>
      </c>
    </row>
    <row r="410" spans="1:26" ht="13.5" customHeight="1">
      <c r="B410" s="1911" t="s">
        <v>573</v>
      </c>
      <c r="C410" s="2915">
        <v>6</v>
      </c>
      <c r="D410" s="2898"/>
      <c r="E410" s="2898"/>
      <c r="F410" s="2885">
        <f>SUM(C410:E410)</f>
        <v>6</v>
      </c>
      <c r="G410" s="2918">
        <v>23</v>
      </c>
      <c r="H410" s="2898"/>
      <c r="I410" s="2896"/>
      <c r="J410" s="2885">
        <f>SUM(G410:I410)</f>
        <v>23</v>
      </c>
      <c r="K410" s="2918">
        <v>14</v>
      </c>
      <c r="L410" s="2898"/>
      <c r="M410" s="2896"/>
      <c r="N410" s="2885">
        <f>SUM(K410:M410)</f>
        <v>14</v>
      </c>
      <c r="O410" s="396"/>
      <c r="P410" s="396"/>
      <c r="Q410" s="396"/>
      <c r="R410" s="396"/>
      <c r="S410" s="396"/>
      <c r="T410" s="396"/>
      <c r="U410" s="396"/>
      <c r="V410" s="396"/>
      <c r="W410" s="396"/>
      <c r="X410" s="396"/>
      <c r="Y410" s="396"/>
      <c r="Z410" s="396"/>
    </row>
    <row r="411" spans="1:26" ht="13.5" customHeight="1">
      <c r="B411" s="2813" t="s">
        <v>574</v>
      </c>
      <c r="C411" s="2911">
        <v>4</v>
      </c>
      <c r="D411" s="2898"/>
      <c r="E411" s="2898"/>
      <c r="F411" s="2885">
        <f t="shared" ref="F411:F418" si="119">SUM(C411:E411)</f>
        <v>4</v>
      </c>
      <c r="G411" s="2918">
        <v>17</v>
      </c>
      <c r="H411" s="2898"/>
      <c r="I411" s="2896"/>
      <c r="J411" s="2885">
        <f t="shared" ref="J411:J418" si="120">SUM(G411:I411)</f>
        <v>17</v>
      </c>
      <c r="K411" s="2918">
        <v>4</v>
      </c>
      <c r="L411" s="2898"/>
      <c r="M411" s="2896"/>
      <c r="N411" s="2885">
        <f t="shared" ref="N411:N418" si="121">SUM(K411:M411)</f>
        <v>4</v>
      </c>
      <c r="O411" s="396"/>
      <c r="P411" s="396"/>
      <c r="Q411" s="396"/>
      <c r="R411" s="396"/>
      <c r="S411" s="396"/>
      <c r="T411" s="396"/>
      <c r="U411" s="396"/>
      <c r="V411" s="396"/>
      <c r="W411" s="396"/>
      <c r="X411" s="396"/>
      <c r="Y411" s="396"/>
      <c r="Z411" s="396"/>
    </row>
    <row r="412" spans="1:26" ht="13.5" customHeight="1">
      <c r="B412" s="2813" t="s">
        <v>575</v>
      </c>
      <c r="C412" s="2911">
        <v>5</v>
      </c>
      <c r="D412" s="2898"/>
      <c r="E412" s="2898"/>
      <c r="F412" s="2885">
        <f t="shared" si="119"/>
        <v>5</v>
      </c>
      <c r="G412" s="2918">
        <v>14</v>
      </c>
      <c r="H412" s="2898"/>
      <c r="I412" s="2896"/>
      <c r="J412" s="2885">
        <f t="shared" si="120"/>
        <v>14</v>
      </c>
      <c r="K412" s="2918">
        <v>8</v>
      </c>
      <c r="L412" s="2898"/>
      <c r="M412" s="2896"/>
      <c r="N412" s="2885">
        <f t="shared" si="121"/>
        <v>8</v>
      </c>
      <c r="O412" s="396"/>
      <c r="P412" s="396"/>
      <c r="Q412" s="396"/>
      <c r="R412" s="396"/>
      <c r="S412" s="396"/>
      <c r="T412" s="396"/>
      <c r="U412" s="396"/>
      <c r="V412" s="396"/>
      <c r="W412" s="396"/>
      <c r="X412" s="396"/>
      <c r="Y412" s="396"/>
      <c r="Z412" s="396"/>
    </row>
    <row r="413" spans="1:26" ht="13.5" customHeight="1">
      <c r="B413" s="2813" t="s">
        <v>576</v>
      </c>
      <c r="C413" s="2911">
        <v>8</v>
      </c>
      <c r="D413" s="2898"/>
      <c r="E413" s="2898"/>
      <c r="F413" s="2885">
        <f t="shared" si="119"/>
        <v>8</v>
      </c>
      <c r="G413" s="2918">
        <v>54</v>
      </c>
      <c r="H413" s="2898"/>
      <c r="I413" s="2896"/>
      <c r="J413" s="2885">
        <f t="shared" si="120"/>
        <v>54</v>
      </c>
      <c r="K413" s="2918">
        <v>78</v>
      </c>
      <c r="L413" s="2898"/>
      <c r="M413" s="2896"/>
      <c r="N413" s="2885">
        <f t="shared" si="121"/>
        <v>78</v>
      </c>
      <c r="O413" s="396"/>
      <c r="P413" s="396"/>
      <c r="Q413" s="396"/>
      <c r="R413" s="396"/>
      <c r="S413" s="396"/>
      <c r="T413" s="396"/>
      <c r="U413" s="396"/>
      <c r="V413" s="396"/>
      <c r="W413" s="396"/>
      <c r="X413" s="396"/>
      <c r="Y413" s="396"/>
      <c r="Z413" s="396"/>
    </row>
    <row r="414" spans="1:26" ht="13.5" customHeight="1">
      <c r="B414" s="2813" t="s">
        <v>582</v>
      </c>
      <c r="C414" s="2911">
        <v>4</v>
      </c>
      <c r="D414" s="2898"/>
      <c r="E414" s="2898"/>
      <c r="F414" s="2885">
        <f t="shared" si="119"/>
        <v>4</v>
      </c>
      <c r="G414" s="2918">
        <v>22</v>
      </c>
      <c r="H414" s="2898"/>
      <c r="I414" s="2896"/>
      <c r="J414" s="2885">
        <f t="shared" si="120"/>
        <v>22</v>
      </c>
      <c r="K414" s="2918">
        <v>1</v>
      </c>
      <c r="L414" s="2898"/>
      <c r="M414" s="2896"/>
      <c r="N414" s="2885">
        <f t="shared" si="121"/>
        <v>1</v>
      </c>
      <c r="O414" s="396"/>
      <c r="P414" s="396"/>
      <c r="Q414" s="396"/>
      <c r="R414" s="396"/>
      <c r="S414" s="396"/>
      <c r="T414" s="396"/>
      <c r="U414" s="396"/>
      <c r="V414" s="396"/>
      <c r="W414" s="396"/>
      <c r="X414" s="396"/>
      <c r="Y414" s="396"/>
      <c r="Z414" s="396"/>
    </row>
    <row r="415" spans="1:26" ht="13.5" customHeight="1">
      <c r="B415" s="2813" t="s">
        <v>578</v>
      </c>
      <c r="C415" s="2911">
        <v>5</v>
      </c>
      <c r="D415" s="2898"/>
      <c r="E415" s="2898"/>
      <c r="F415" s="2885">
        <f t="shared" si="119"/>
        <v>5</v>
      </c>
      <c r="G415" s="2918">
        <v>21</v>
      </c>
      <c r="H415" s="2898"/>
      <c r="I415" s="2896"/>
      <c r="J415" s="2885">
        <f t="shared" si="120"/>
        <v>21</v>
      </c>
      <c r="K415" s="2918">
        <v>27</v>
      </c>
      <c r="L415" s="2898"/>
      <c r="M415" s="2896"/>
      <c r="N415" s="2885">
        <f t="shared" si="121"/>
        <v>27</v>
      </c>
      <c r="O415" s="396"/>
      <c r="P415" s="396"/>
      <c r="Q415" s="396"/>
      <c r="R415" s="396"/>
      <c r="S415" s="396"/>
      <c r="T415" s="396"/>
      <c r="U415" s="396"/>
      <c r="V415" s="396"/>
      <c r="W415" s="396"/>
      <c r="X415" s="396"/>
      <c r="Y415" s="396"/>
      <c r="Z415" s="396"/>
    </row>
    <row r="416" spans="1:26" ht="13.5" customHeight="1">
      <c r="B416" s="2813" t="s">
        <v>579</v>
      </c>
      <c r="C416" s="2911">
        <v>9</v>
      </c>
      <c r="D416" s="2898"/>
      <c r="E416" s="2898"/>
      <c r="F416" s="2885">
        <f t="shared" si="119"/>
        <v>9</v>
      </c>
      <c r="G416" s="2918">
        <v>32</v>
      </c>
      <c r="H416" s="2898"/>
      <c r="I416" s="2896"/>
      <c r="J416" s="2885">
        <f t="shared" si="120"/>
        <v>32</v>
      </c>
      <c r="K416" s="2918">
        <v>50</v>
      </c>
      <c r="L416" s="2898"/>
      <c r="M416" s="2896"/>
      <c r="N416" s="2885">
        <f t="shared" si="121"/>
        <v>50</v>
      </c>
      <c r="O416" s="396"/>
      <c r="P416" s="396"/>
      <c r="Q416" s="396"/>
      <c r="R416" s="396"/>
      <c r="S416" s="396"/>
      <c r="T416" s="396"/>
      <c r="U416" s="396"/>
      <c r="V416" s="396"/>
      <c r="W416" s="396"/>
      <c r="X416" s="396"/>
      <c r="Y416" s="396"/>
      <c r="Z416" s="396"/>
    </row>
    <row r="417" spans="2:26" ht="13.5" customHeight="1">
      <c r="B417" s="2813" t="s">
        <v>580</v>
      </c>
      <c r="C417" s="2911">
        <v>2</v>
      </c>
      <c r="D417" s="2898"/>
      <c r="E417" s="2898"/>
      <c r="F417" s="2885">
        <f t="shared" si="119"/>
        <v>2</v>
      </c>
      <c r="G417" s="2918">
        <v>9</v>
      </c>
      <c r="H417" s="2898"/>
      <c r="I417" s="2896"/>
      <c r="J417" s="2885">
        <f t="shared" si="120"/>
        <v>9</v>
      </c>
      <c r="K417" s="2918">
        <v>12</v>
      </c>
      <c r="L417" s="2898"/>
      <c r="M417" s="2896"/>
      <c r="N417" s="2885">
        <f t="shared" si="121"/>
        <v>12</v>
      </c>
      <c r="O417" s="396"/>
      <c r="P417" s="396"/>
      <c r="Q417" s="396"/>
      <c r="R417" s="396"/>
      <c r="S417" s="396"/>
      <c r="T417" s="396"/>
      <c r="U417" s="396"/>
      <c r="V417" s="396"/>
      <c r="W417" s="396"/>
      <c r="X417" s="396"/>
      <c r="Y417" s="396"/>
      <c r="Z417" s="396"/>
    </row>
    <row r="418" spans="2:26" ht="13.5" customHeight="1">
      <c r="B418" s="2813" t="s">
        <v>581</v>
      </c>
      <c r="C418" s="2911">
        <v>11</v>
      </c>
      <c r="D418" s="2898"/>
      <c r="E418" s="2898"/>
      <c r="F418" s="2885">
        <f t="shared" si="119"/>
        <v>11</v>
      </c>
      <c r="G418" s="2918">
        <v>176</v>
      </c>
      <c r="H418" s="2898"/>
      <c r="I418" s="2896"/>
      <c r="J418" s="2885">
        <f t="shared" si="120"/>
        <v>176</v>
      </c>
      <c r="K418" s="2918">
        <v>58</v>
      </c>
      <c r="L418" s="2898"/>
      <c r="M418" s="2896"/>
      <c r="N418" s="2885">
        <f t="shared" si="121"/>
        <v>58</v>
      </c>
      <c r="O418" s="396"/>
      <c r="P418" s="396"/>
      <c r="Q418" s="396"/>
      <c r="R418" s="396"/>
      <c r="S418" s="396"/>
      <c r="T418" s="396"/>
      <c r="U418" s="396"/>
      <c r="V418" s="396"/>
      <c r="W418" s="396"/>
      <c r="X418" s="396"/>
      <c r="Y418" s="396"/>
      <c r="Z418" s="396"/>
    </row>
    <row r="419" spans="2:26" ht="13.5" customHeight="1">
      <c r="B419" s="2895" t="s">
        <v>118</v>
      </c>
      <c r="C419" s="2891">
        <f>SUM(C410:C418)</f>
        <v>54</v>
      </c>
      <c r="D419" s="2891"/>
      <c r="E419" s="2891">
        <f t="shared" ref="E419:N419" si="122">SUM(E410:E418)</f>
        <v>0</v>
      </c>
      <c r="F419" s="2891">
        <f t="shared" si="122"/>
        <v>54</v>
      </c>
      <c r="G419" s="2891">
        <f t="shared" si="122"/>
        <v>368</v>
      </c>
      <c r="H419" s="2891">
        <f t="shared" si="122"/>
        <v>0</v>
      </c>
      <c r="I419" s="2891">
        <f t="shared" si="122"/>
        <v>0</v>
      </c>
      <c r="J419" s="2891">
        <f t="shared" si="122"/>
        <v>368</v>
      </c>
      <c r="K419" s="2891">
        <f t="shared" si="122"/>
        <v>252</v>
      </c>
      <c r="L419" s="2891">
        <f t="shared" si="122"/>
        <v>0</v>
      </c>
      <c r="M419" s="2891">
        <f t="shared" si="122"/>
        <v>0</v>
      </c>
      <c r="N419" s="2891">
        <f t="shared" si="122"/>
        <v>252</v>
      </c>
      <c r="O419" s="396"/>
      <c r="P419" s="396"/>
      <c r="Q419" s="396"/>
      <c r="R419" s="396"/>
      <c r="S419" s="396"/>
      <c r="T419" s="396"/>
      <c r="U419" s="396"/>
      <c r="V419" s="396"/>
      <c r="W419" s="396"/>
      <c r="X419" s="396"/>
      <c r="Y419" s="396"/>
      <c r="Z419" s="396"/>
    </row>
    <row r="422" spans="2:26" ht="13.5" customHeight="1">
      <c r="B422" s="1909" t="s">
        <v>115</v>
      </c>
    </row>
    <row r="423" spans="2:26" ht="13.5" customHeight="1">
      <c r="B423" s="3760" t="s">
        <v>566</v>
      </c>
      <c r="C423" s="3763" t="s">
        <v>567</v>
      </c>
      <c r="D423" s="3764"/>
      <c r="E423" s="3764"/>
      <c r="F423" s="3764"/>
      <c r="G423" s="3736" t="s">
        <v>568</v>
      </c>
      <c r="H423" s="3736"/>
      <c r="I423" s="3736"/>
      <c r="J423" s="3736"/>
      <c r="K423" s="3765" t="s">
        <v>569</v>
      </c>
      <c r="L423" s="3766"/>
      <c r="M423" s="3766"/>
      <c r="N423" s="3767"/>
    </row>
    <row r="424" spans="2:26" ht="13.5" customHeight="1">
      <c r="B424" s="3761"/>
      <c r="C424" s="3763"/>
      <c r="D424" s="3764"/>
      <c r="E424" s="3764"/>
      <c r="F424" s="3764"/>
      <c r="G424" s="3736"/>
      <c r="H424" s="3736"/>
      <c r="I424" s="3736"/>
      <c r="J424" s="3736"/>
      <c r="K424" s="3768"/>
      <c r="L424" s="3769"/>
      <c r="M424" s="3769"/>
      <c r="N424" s="3770"/>
    </row>
    <row r="425" spans="2:26" ht="13.5" customHeight="1">
      <c r="B425" s="3762"/>
      <c r="C425" s="2874" t="s">
        <v>570</v>
      </c>
      <c r="D425" s="2875" t="s">
        <v>571</v>
      </c>
      <c r="E425" s="2875" t="s">
        <v>572</v>
      </c>
      <c r="F425" s="2892" t="s">
        <v>118</v>
      </c>
      <c r="G425" s="2875" t="s">
        <v>570</v>
      </c>
      <c r="H425" s="2875" t="s">
        <v>571</v>
      </c>
      <c r="I425" s="2875" t="s">
        <v>572</v>
      </c>
      <c r="J425" s="2892" t="s">
        <v>118</v>
      </c>
      <c r="K425" s="2875" t="s">
        <v>570</v>
      </c>
      <c r="L425" s="2875" t="s">
        <v>571</v>
      </c>
      <c r="M425" s="2875" t="s">
        <v>572</v>
      </c>
      <c r="N425" s="2892" t="s">
        <v>118</v>
      </c>
    </row>
    <row r="426" spans="2:26" ht="13.5" customHeight="1">
      <c r="B426" s="1911" t="s">
        <v>573</v>
      </c>
      <c r="C426" s="2894"/>
      <c r="D426" s="2894"/>
      <c r="E426" s="2919">
        <v>13</v>
      </c>
      <c r="F426" s="2885">
        <f>SUM(C426:E426)</f>
        <v>13</v>
      </c>
      <c r="G426" s="2896"/>
      <c r="H426" s="2894"/>
      <c r="I426" s="2911">
        <v>175</v>
      </c>
      <c r="J426" s="2885">
        <f>SUM(G426:I426)</f>
        <v>175</v>
      </c>
      <c r="K426" s="2896"/>
      <c r="L426" s="2894"/>
      <c r="M426" s="2911">
        <v>1208</v>
      </c>
      <c r="N426" s="2885">
        <f>SUM(K426:M426)</f>
        <v>1208</v>
      </c>
      <c r="O426" s="396"/>
      <c r="P426" s="396"/>
      <c r="Q426" s="396"/>
      <c r="R426" s="396"/>
      <c r="S426" s="396"/>
      <c r="T426" s="396"/>
      <c r="U426" s="396"/>
      <c r="V426" s="396"/>
      <c r="W426" s="396"/>
      <c r="X426" s="396"/>
      <c r="Y426" s="396"/>
      <c r="Z426" s="396"/>
    </row>
    <row r="427" spans="2:26" ht="13.5" customHeight="1">
      <c r="B427" s="2813" t="s">
        <v>574</v>
      </c>
      <c r="C427" s="2896"/>
      <c r="D427" s="2896"/>
      <c r="E427" s="2919">
        <v>7</v>
      </c>
      <c r="F427" s="2885">
        <f t="shared" ref="F427:F434" si="123">SUM(C427:E427)</f>
        <v>7</v>
      </c>
      <c r="G427" s="2896"/>
      <c r="H427" s="2896"/>
      <c r="I427" s="2911">
        <v>48</v>
      </c>
      <c r="J427" s="2885">
        <f t="shared" ref="J427:J434" si="124">SUM(G427:I427)</f>
        <v>48</v>
      </c>
      <c r="K427" s="2896"/>
      <c r="L427" s="2896"/>
      <c r="M427" s="2911">
        <v>435</v>
      </c>
      <c r="N427" s="2885">
        <f t="shared" ref="N427:N434" si="125">SUM(K427:M427)</f>
        <v>435</v>
      </c>
      <c r="O427" s="396"/>
      <c r="P427" s="396"/>
      <c r="Q427" s="396"/>
      <c r="R427" s="396"/>
      <c r="S427" s="396"/>
      <c r="T427" s="396"/>
      <c r="U427" s="396"/>
      <c r="V427" s="396"/>
      <c r="W427" s="396"/>
      <c r="X427" s="396"/>
      <c r="Y427" s="396"/>
      <c r="Z427" s="396"/>
    </row>
    <row r="428" spans="2:26" ht="13.5" customHeight="1">
      <c r="B428" s="2813" t="s">
        <v>575</v>
      </c>
      <c r="C428" s="2896"/>
      <c r="D428" s="2896"/>
      <c r="E428" s="2919">
        <v>10</v>
      </c>
      <c r="F428" s="2885">
        <f t="shared" si="123"/>
        <v>10</v>
      </c>
      <c r="G428" s="2896"/>
      <c r="H428" s="2896"/>
      <c r="I428" s="2911">
        <v>78</v>
      </c>
      <c r="J428" s="2885">
        <f t="shared" si="124"/>
        <v>78</v>
      </c>
      <c r="K428" s="2896"/>
      <c r="L428" s="2896"/>
      <c r="M428" s="2911">
        <v>597</v>
      </c>
      <c r="N428" s="2885">
        <f t="shared" si="125"/>
        <v>597</v>
      </c>
      <c r="O428" s="396"/>
      <c r="P428" s="396"/>
      <c r="Q428" s="396"/>
      <c r="R428" s="396"/>
      <c r="S428" s="396"/>
      <c r="T428" s="396"/>
      <c r="U428" s="396"/>
      <c r="V428" s="396"/>
      <c r="W428" s="396"/>
      <c r="X428" s="396"/>
      <c r="Y428" s="396"/>
      <c r="Z428" s="396"/>
    </row>
    <row r="429" spans="2:26" ht="13.5" customHeight="1">
      <c r="B429" s="2813" t="s">
        <v>576</v>
      </c>
      <c r="C429" s="2896"/>
      <c r="D429" s="2896"/>
      <c r="E429" s="2919">
        <v>16</v>
      </c>
      <c r="F429" s="2885">
        <f t="shared" si="123"/>
        <v>16</v>
      </c>
      <c r="G429" s="2896"/>
      <c r="H429" s="2896"/>
      <c r="I429" s="2911">
        <v>188</v>
      </c>
      <c r="J429" s="2885">
        <f t="shared" si="124"/>
        <v>188</v>
      </c>
      <c r="K429" s="2896"/>
      <c r="L429" s="2896"/>
      <c r="M429" s="2911">
        <v>1429</v>
      </c>
      <c r="N429" s="2885">
        <f t="shared" si="125"/>
        <v>1429</v>
      </c>
      <c r="O429" s="396"/>
      <c r="P429" s="396"/>
      <c r="Q429" s="396"/>
      <c r="R429" s="396"/>
      <c r="S429" s="396"/>
      <c r="T429" s="396"/>
      <c r="U429" s="396"/>
      <c r="V429" s="396"/>
      <c r="W429" s="396"/>
      <c r="X429" s="396"/>
      <c r="Y429" s="396"/>
      <c r="Z429" s="396"/>
    </row>
    <row r="430" spans="2:26" ht="13.5" customHeight="1">
      <c r="B430" s="2813" t="s">
        <v>582</v>
      </c>
      <c r="C430" s="2896"/>
      <c r="D430" s="2896"/>
      <c r="E430" s="2919">
        <v>8</v>
      </c>
      <c r="F430" s="2885">
        <f t="shared" si="123"/>
        <v>8</v>
      </c>
      <c r="G430" s="2896"/>
      <c r="H430" s="2896"/>
      <c r="I430" s="2911">
        <v>54</v>
      </c>
      <c r="J430" s="2885">
        <f t="shared" si="124"/>
        <v>54</v>
      </c>
      <c r="K430" s="2896"/>
      <c r="L430" s="2896"/>
      <c r="M430" s="2911">
        <v>644</v>
      </c>
      <c r="N430" s="2885">
        <f t="shared" si="125"/>
        <v>644</v>
      </c>
      <c r="O430" s="396"/>
      <c r="P430" s="396"/>
      <c r="Q430" s="396"/>
      <c r="R430" s="396"/>
      <c r="S430" s="396"/>
      <c r="T430" s="396"/>
      <c r="U430" s="396"/>
      <c r="V430" s="396"/>
      <c r="W430" s="396"/>
      <c r="X430" s="396"/>
      <c r="Y430" s="396"/>
      <c r="Z430" s="396"/>
    </row>
    <row r="431" spans="2:26" ht="13.5" customHeight="1">
      <c r="B431" s="2813" t="s">
        <v>578</v>
      </c>
      <c r="C431" s="2896"/>
      <c r="D431" s="2896"/>
      <c r="E431" s="2919">
        <v>12</v>
      </c>
      <c r="F431" s="2885">
        <f t="shared" si="123"/>
        <v>12</v>
      </c>
      <c r="G431" s="2896"/>
      <c r="H431" s="2896"/>
      <c r="I431" s="2911">
        <v>96</v>
      </c>
      <c r="J431" s="2885">
        <f t="shared" si="124"/>
        <v>96</v>
      </c>
      <c r="K431" s="2896"/>
      <c r="L431" s="2896"/>
      <c r="M431" s="2911">
        <v>1296</v>
      </c>
      <c r="N431" s="2885">
        <f t="shared" si="125"/>
        <v>1296</v>
      </c>
      <c r="O431" s="396"/>
      <c r="P431" s="396"/>
      <c r="Q431" s="396"/>
      <c r="R431" s="396"/>
      <c r="S431" s="396"/>
      <c r="T431" s="396"/>
      <c r="U431" s="396"/>
      <c r="V431" s="396"/>
      <c r="W431" s="396"/>
      <c r="X431" s="396"/>
      <c r="Y431" s="396"/>
      <c r="Z431" s="396"/>
    </row>
    <row r="432" spans="2:26" ht="13.5" customHeight="1">
      <c r="B432" s="2813" t="s">
        <v>579</v>
      </c>
      <c r="C432" s="2896"/>
      <c r="D432" s="2896"/>
      <c r="E432" s="2919">
        <v>18</v>
      </c>
      <c r="F432" s="2885">
        <f t="shared" si="123"/>
        <v>18</v>
      </c>
      <c r="G432" s="2896"/>
      <c r="H432" s="2896"/>
      <c r="I432" s="2911">
        <v>279</v>
      </c>
      <c r="J432" s="2885">
        <f t="shared" si="124"/>
        <v>279</v>
      </c>
      <c r="K432" s="2896"/>
      <c r="L432" s="2896"/>
      <c r="M432" s="2911">
        <v>1449</v>
      </c>
      <c r="N432" s="2885">
        <f t="shared" si="125"/>
        <v>1449</v>
      </c>
      <c r="O432" s="396"/>
      <c r="P432" s="396"/>
      <c r="Q432" s="396"/>
      <c r="R432" s="396"/>
      <c r="S432" s="396"/>
      <c r="T432" s="396"/>
      <c r="U432" s="396"/>
      <c r="V432" s="396"/>
      <c r="W432" s="396"/>
      <c r="X432" s="396"/>
      <c r="Y432" s="396"/>
      <c r="Z432" s="396"/>
    </row>
    <row r="433" spans="2:26" ht="13.5" customHeight="1">
      <c r="B433" s="2813" t="s">
        <v>580</v>
      </c>
      <c r="C433" s="2896"/>
      <c r="D433" s="2896"/>
      <c r="E433" s="2919">
        <v>7</v>
      </c>
      <c r="F433" s="2885">
        <f t="shared" si="123"/>
        <v>7</v>
      </c>
      <c r="G433" s="2896"/>
      <c r="H433" s="2896"/>
      <c r="I433" s="2911">
        <v>97</v>
      </c>
      <c r="J433" s="2885">
        <f t="shared" si="124"/>
        <v>97</v>
      </c>
      <c r="K433" s="2896"/>
      <c r="L433" s="2896"/>
      <c r="M433" s="2911">
        <v>532</v>
      </c>
      <c r="N433" s="2885">
        <f t="shared" si="125"/>
        <v>532</v>
      </c>
      <c r="O433" s="396"/>
      <c r="P433" s="396"/>
      <c r="Q433" s="396"/>
      <c r="R433" s="396"/>
      <c r="S433" s="396"/>
      <c r="T433" s="396"/>
      <c r="U433" s="396"/>
      <c r="V433" s="396"/>
      <c r="W433" s="396"/>
      <c r="X433" s="396"/>
      <c r="Y433" s="396"/>
      <c r="Z433" s="396"/>
    </row>
    <row r="434" spans="2:26" ht="13.5" customHeight="1">
      <c r="B434" s="2920" t="s">
        <v>581</v>
      </c>
      <c r="C434" s="2896"/>
      <c r="D434" s="2896"/>
      <c r="E434" s="2919">
        <v>51</v>
      </c>
      <c r="F434" s="2885">
        <f t="shared" si="123"/>
        <v>51</v>
      </c>
      <c r="G434" s="2896"/>
      <c r="H434" s="2896"/>
      <c r="I434" s="2911">
        <v>1735</v>
      </c>
      <c r="J434" s="2885">
        <f t="shared" si="124"/>
        <v>1735</v>
      </c>
      <c r="K434" s="2896"/>
      <c r="L434" s="2896"/>
      <c r="M434" s="2911">
        <v>5891</v>
      </c>
      <c r="N434" s="2885">
        <f t="shared" si="125"/>
        <v>5891</v>
      </c>
      <c r="O434" s="396"/>
      <c r="P434" s="396"/>
      <c r="Q434" s="396"/>
      <c r="R434" s="396"/>
      <c r="S434" s="396"/>
      <c r="T434" s="396"/>
      <c r="U434" s="396"/>
      <c r="V434" s="396"/>
      <c r="W434" s="396"/>
      <c r="X434" s="396"/>
      <c r="Y434" s="396"/>
      <c r="Z434" s="396"/>
    </row>
    <row r="435" spans="2:26" ht="13.5" customHeight="1">
      <c r="B435" s="2921" t="s">
        <v>118</v>
      </c>
      <c r="C435" s="2891">
        <v>0</v>
      </c>
      <c r="D435" s="2891">
        <v>0</v>
      </c>
      <c r="E435" s="2891">
        <f>SUM(E426:E434)</f>
        <v>142</v>
      </c>
      <c r="F435" s="2891">
        <f t="shared" ref="F435:N435" si="126">SUM(F426:F434)</f>
        <v>142</v>
      </c>
      <c r="G435" s="2891">
        <f t="shared" si="126"/>
        <v>0</v>
      </c>
      <c r="H435" s="2891">
        <f t="shared" si="126"/>
        <v>0</v>
      </c>
      <c r="I435" s="2891">
        <f t="shared" si="126"/>
        <v>2750</v>
      </c>
      <c r="J435" s="2891">
        <f t="shared" si="126"/>
        <v>2750</v>
      </c>
      <c r="K435" s="2891">
        <f t="shared" si="126"/>
        <v>0</v>
      </c>
      <c r="L435" s="2891">
        <f t="shared" si="126"/>
        <v>0</v>
      </c>
      <c r="M435" s="2891">
        <f t="shared" si="126"/>
        <v>13481</v>
      </c>
      <c r="N435" s="2891">
        <f t="shared" si="126"/>
        <v>13481</v>
      </c>
      <c r="O435" s="396"/>
      <c r="P435" s="396"/>
      <c r="Q435" s="396"/>
      <c r="R435" s="396"/>
      <c r="S435" s="396"/>
      <c r="T435" s="396"/>
      <c r="U435" s="396"/>
      <c r="V435" s="396"/>
      <c r="W435" s="396"/>
      <c r="X435" s="396"/>
      <c r="Y435" s="396"/>
      <c r="Z435" s="396"/>
    </row>
    <row r="438" spans="2:26" ht="13.5" customHeight="1">
      <c r="B438" s="1909" t="s">
        <v>117</v>
      </c>
    </row>
    <row r="439" spans="2:26" ht="13.5" customHeight="1">
      <c r="B439" s="3760" t="s">
        <v>566</v>
      </c>
      <c r="C439" s="3763" t="s">
        <v>567</v>
      </c>
      <c r="D439" s="3764"/>
      <c r="E439" s="3764"/>
      <c r="F439" s="3764"/>
      <c r="G439" s="3736" t="s">
        <v>568</v>
      </c>
      <c r="H439" s="3736"/>
      <c r="I439" s="3736"/>
      <c r="J439" s="3736"/>
      <c r="K439" s="3765" t="s">
        <v>569</v>
      </c>
      <c r="L439" s="3766"/>
      <c r="M439" s="3766"/>
      <c r="N439" s="3767"/>
    </row>
    <row r="440" spans="2:26" ht="13.5" customHeight="1">
      <c r="B440" s="3761"/>
      <c r="C440" s="3763"/>
      <c r="D440" s="3764"/>
      <c r="E440" s="3764"/>
      <c r="F440" s="3764"/>
      <c r="G440" s="3736"/>
      <c r="H440" s="3736"/>
      <c r="I440" s="3736"/>
      <c r="J440" s="3736"/>
      <c r="K440" s="3768"/>
      <c r="L440" s="3769"/>
      <c r="M440" s="3769"/>
      <c r="N440" s="3770"/>
    </row>
    <row r="441" spans="2:26" ht="13.5" customHeight="1">
      <c r="B441" s="3762"/>
      <c r="C441" s="2874" t="s">
        <v>570</v>
      </c>
      <c r="D441" s="2875" t="s">
        <v>571</v>
      </c>
      <c r="E441" s="2875" t="s">
        <v>572</v>
      </c>
      <c r="F441" s="2892" t="s">
        <v>118</v>
      </c>
      <c r="G441" s="2875" t="s">
        <v>570</v>
      </c>
      <c r="H441" s="2875" t="s">
        <v>571</v>
      </c>
      <c r="I441" s="2875" t="s">
        <v>572</v>
      </c>
      <c r="J441" s="2892" t="s">
        <v>118</v>
      </c>
      <c r="K441" s="2875" t="s">
        <v>570</v>
      </c>
      <c r="L441" s="2875" t="s">
        <v>571</v>
      </c>
      <c r="M441" s="2875" t="s">
        <v>572</v>
      </c>
      <c r="N441" s="2892" t="s">
        <v>118</v>
      </c>
    </row>
    <row r="442" spans="2:26" ht="13.5" customHeight="1">
      <c r="B442" s="1911" t="s">
        <v>573</v>
      </c>
      <c r="C442" s="2894"/>
      <c r="D442" s="2915">
        <v>6</v>
      </c>
      <c r="E442" s="2898"/>
      <c r="F442" s="2885">
        <f>SUM(C442:E442)</f>
        <v>6</v>
      </c>
      <c r="G442" s="2896"/>
      <c r="H442" s="2911">
        <v>57</v>
      </c>
      <c r="I442" s="2896"/>
      <c r="J442" s="2885">
        <f>SUM(G442:I442)</f>
        <v>57</v>
      </c>
      <c r="K442" s="2896"/>
      <c r="L442" s="2911">
        <v>217</v>
      </c>
      <c r="M442" s="2896"/>
      <c r="N442" s="2885">
        <f>SUM(K442:M442)</f>
        <v>217</v>
      </c>
      <c r="O442" s="396"/>
      <c r="P442" s="396"/>
      <c r="Q442" s="396"/>
      <c r="R442" s="396"/>
      <c r="S442" s="396"/>
      <c r="T442" s="396"/>
      <c r="U442" s="396"/>
      <c r="V442" s="396"/>
      <c r="W442" s="396"/>
      <c r="X442" s="396"/>
      <c r="Y442" s="396"/>
      <c r="Z442" s="396"/>
    </row>
    <row r="443" spans="2:26" ht="13.5" customHeight="1">
      <c r="B443" s="2813" t="s">
        <v>574</v>
      </c>
      <c r="C443" s="2896"/>
      <c r="D443" s="2911">
        <v>5</v>
      </c>
      <c r="E443" s="2898"/>
      <c r="F443" s="2885">
        <f t="shared" ref="F443:F450" si="127">SUM(C443:E443)</f>
        <v>5</v>
      </c>
      <c r="G443" s="2896"/>
      <c r="H443" s="2911">
        <v>28</v>
      </c>
      <c r="I443" s="2896"/>
      <c r="J443" s="2885">
        <f t="shared" ref="J443:J450" si="128">SUM(G443:I443)</f>
        <v>28</v>
      </c>
      <c r="K443" s="2896"/>
      <c r="L443" s="2911">
        <v>117</v>
      </c>
      <c r="M443" s="2896"/>
      <c r="N443" s="2885">
        <f t="shared" ref="N443:N450" si="129">SUM(K443:M443)</f>
        <v>117</v>
      </c>
      <c r="O443" s="396"/>
      <c r="P443" s="396"/>
      <c r="Q443" s="396"/>
      <c r="R443" s="396"/>
      <c r="S443" s="396"/>
      <c r="T443" s="396"/>
      <c r="U443" s="396"/>
      <c r="V443" s="396"/>
      <c r="W443" s="396"/>
      <c r="X443" s="396"/>
      <c r="Y443" s="396"/>
      <c r="Z443" s="396"/>
    </row>
    <row r="444" spans="2:26" ht="13.5" customHeight="1">
      <c r="B444" s="2813" t="s">
        <v>575</v>
      </c>
      <c r="C444" s="2896"/>
      <c r="D444" s="2911">
        <v>7</v>
      </c>
      <c r="E444" s="2898"/>
      <c r="F444" s="2885">
        <f t="shared" si="127"/>
        <v>7</v>
      </c>
      <c r="G444" s="2896"/>
      <c r="H444" s="2911">
        <v>32</v>
      </c>
      <c r="I444" s="2896"/>
      <c r="J444" s="2885">
        <f t="shared" si="128"/>
        <v>32</v>
      </c>
      <c r="K444" s="2896"/>
      <c r="L444" s="2911">
        <v>207</v>
      </c>
      <c r="M444" s="2896"/>
      <c r="N444" s="2885">
        <f t="shared" si="129"/>
        <v>207</v>
      </c>
      <c r="O444" s="396"/>
      <c r="P444" s="396"/>
      <c r="Q444" s="396"/>
      <c r="R444" s="396"/>
      <c r="S444" s="396"/>
      <c r="T444" s="396"/>
      <c r="U444" s="396"/>
      <c r="V444" s="396"/>
      <c r="W444" s="396"/>
      <c r="X444" s="396"/>
      <c r="Y444" s="396"/>
      <c r="Z444" s="396"/>
    </row>
    <row r="445" spans="2:26" ht="13.5" customHeight="1">
      <c r="B445" s="2813" t="s">
        <v>576</v>
      </c>
      <c r="C445" s="2896"/>
      <c r="D445" s="2911">
        <v>9</v>
      </c>
      <c r="E445" s="2898"/>
      <c r="F445" s="2885">
        <f t="shared" si="127"/>
        <v>9</v>
      </c>
      <c r="G445" s="2896"/>
      <c r="H445" s="2911">
        <v>54</v>
      </c>
      <c r="I445" s="2896"/>
      <c r="J445" s="2885">
        <f t="shared" si="128"/>
        <v>54</v>
      </c>
      <c r="K445" s="2896"/>
      <c r="L445" s="2911">
        <v>390</v>
      </c>
      <c r="M445" s="2896"/>
      <c r="N445" s="2885">
        <f t="shared" si="129"/>
        <v>390</v>
      </c>
      <c r="O445" s="396"/>
      <c r="P445" s="396"/>
      <c r="Q445" s="396"/>
      <c r="R445" s="396"/>
      <c r="S445" s="396"/>
      <c r="T445" s="396"/>
      <c r="U445" s="396"/>
      <c r="V445" s="396"/>
      <c r="W445" s="396"/>
      <c r="X445" s="396"/>
      <c r="Y445" s="396"/>
      <c r="Z445" s="396"/>
    </row>
    <row r="446" spans="2:26" ht="13.5" customHeight="1">
      <c r="B446" s="2813" t="s">
        <v>582</v>
      </c>
      <c r="C446" s="2896"/>
      <c r="D446" s="2911">
        <v>6</v>
      </c>
      <c r="E446" s="2898"/>
      <c r="F446" s="2885">
        <f t="shared" si="127"/>
        <v>6</v>
      </c>
      <c r="G446" s="2896"/>
      <c r="H446" s="2911">
        <v>34</v>
      </c>
      <c r="I446" s="2896"/>
      <c r="J446" s="2885">
        <f t="shared" si="128"/>
        <v>34</v>
      </c>
      <c r="K446" s="2896"/>
      <c r="L446" s="2911">
        <v>280</v>
      </c>
      <c r="M446" s="2896"/>
      <c r="N446" s="2885">
        <f t="shared" si="129"/>
        <v>280</v>
      </c>
      <c r="O446" s="396"/>
      <c r="P446" s="396"/>
      <c r="Q446" s="396"/>
      <c r="R446" s="396"/>
      <c r="S446" s="396"/>
      <c r="T446" s="396"/>
      <c r="U446" s="396"/>
      <c r="V446" s="396"/>
      <c r="W446" s="396"/>
      <c r="X446" s="396"/>
      <c r="Y446" s="396"/>
      <c r="Z446" s="396"/>
    </row>
    <row r="447" spans="2:26" ht="13.5" customHeight="1">
      <c r="B447" s="2813" t="s">
        <v>578</v>
      </c>
      <c r="C447" s="2896"/>
      <c r="D447" s="2911">
        <v>6</v>
      </c>
      <c r="E447" s="2898"/>
      <c r="F447" s="2885">
        <f t="shared" si="127"/>
        <v>6</v>
      </c>
      <c r="G447" s="2896"/>
      <c r="H447" s="2911">
        <v>31</v>
      </c>
      <c r="I447" s="2896"/>
      <c r="J447" s="2885">
        <f t="shared" si="128"/>
        <v>31</v>
      </c>
      <c r="K447" s="2896"/>
      <c r="L447" s="2911">
        <v>185</v>
      </c>
      <c r="M447" s="2896"/>
      <c r="N447" s="2885">
        <f t="shared" si="129"/>
        <v>185</v>
      </c>
      <c r="O447" s="396"/>
      <c r="P447" s="396"/>
      <c r="Q447" s="396"/>
      <c r="R447" s="396"/>
      <c r="S447" s="396"/>
      <c r="T447" s="396"/>
      <c r="U447" s="396"/>
      <c r="V447" s="396"/>
      <c r="W447" s="396"/>
      <c r="X447" s="396"/>
      <c r="Y447" s="396"/>
      <c r="Z447" s="396"/>
    </row>
    <row r="448" spans="2:26" ht="13.5" customHeight="1">
      <c r="B448" s="2813" t="s">
        <v>579</v>
      </c>
      <c r="C448" s="2896"/>
      <c r="D448" s="2911">
        <v>10</v>
      </c>
      <c r="E448" s="2898"/>
      <c r="F448" s="2885">
        <f t="shared" si="127"/>
        <v>10</v>
      </c>
      <c r="G448" s="2896"/>
      <c r="H448" s="2911">
        <v>70</v>
      </c>
      <c r="I448" s="2896"/>
      <c r="J448" s="2885">
        <f t="shared" si="128"/>
        <v>70</v>
      </c>
      <c r="K448" s="2896"/>
      <c r="L448" s="2911">
        <v>433</v>
      </c>
      <c r="M448" s="2896"/>
      <c r="N448" s="2885">
        <f t="shared" si="129"/>
        <v>433</v>
      </c>
      <c r="O448" s="396"/>
      <c r="P448" s="396"/>
      <c r="Q448" s="396"/>
      <c r="R448" s="396"/>
      <c r="S448" s="396"/>
      <c r="T448" s="396"/>
      <c r="U448" s="396"/>
      <c r="V448" s="396"/>
      <c r="W448" s="396"/>
      <c r="X448" s="396"/>
      <c r="Y448" s="396"/>
      <c r="Z448" s="396"/>
    </row>
    <row r="449" spans="2:26" ht="13.5" customHeight="1">
      <c r="B449" s="2813" t="s">
        <v>580</v>
      </c>
      <c r="C449" s="2896"/>
      <c r="D449" s="2911">
        <v>5</v>
      </c>
      <c r="E449" s="2898"/>
      <c r="F449" s="2885">
        <f t="shared" si="127"/>
        <v>5</v>
      </c>
      <c r="G449" s="2896"/>
      <c r="H449" s="2911">
        <v>21</v>
      </c>
      <c r="I449" s="2896"/>
      <c r="J449" s="2885">
        <f t="shared" si="128"/>
        <v>21</v>
      </c>
      <c r="K449" s="2896"/>
      <c r="L449" s="2911">
        <v>152</v>
      </c>
      <c r="M449" s="2896"/>
      <c r="N449" s="2885">
        <f t="shared" si="129"/>
        <v>152</v>
      </c>
      <c r="O449" s="396"/>
      <c r="P449" s="396"/>
      <c r="Q449" s="396"/>
      <c r="R449" s="396"/>
      <c r="S449" s="396"/>
      <c r="T449" s="396"/>
      <c r="U449" s="396"/>
      <c r="V449" s="396"/>
      <c r="W449" s="396"/>
      <c r="X449" s="396"/>
      <c r="Y449" s="396"/>
      <c r="Z449" s="396"/>
    </row>
    <row r="450" spans="2:26" ht="13.5" customHeight="1">
      <c r="B450" s="2813" t="s">
        <v>581</v>
      </c>
      <c r="C450" s="2896"/>
      <c r="D450" s="2911">
        <v>23</v>
      </c>
      <c r="E450" s="2898"/>
      <c r="F450" s="2885">
        <f t="shared" si="127"/>
        <v>23</v>
      </c>
      <c r="G450" s="2896"/>
      <c r="H450" s="2911">
        <v>443</v>
      </c>
      <c r="I450" s="2896"/>
      <c r="J450" s="2885">
        <f t="shared" si="128"/>
        <v>443</v>
      </c>
      <c r="K450" s="2896"/>
      <c r="L450" s="2911">
        <v>1221</v>
      </c>
      <c r="M450" s="2896"/>
      <c r="N450" s="2885">
        <f t="shared" si="129"/>
        <v>1221</v>
      </c>
      <c r="O450" s="396"/>
      <c r="P450" s="396"/>
      <c r="Q450" s="396"/>
      <c r="R450" s="396"/>
      <c r="S450" s="396"/>
      <c r="T450" s="396"/>
      <c r="U450" s="396"/>
      <c r="V450" s="396"/>
      <c r="W450" s="396"/>
      <c r="X450" s="396"/>
      <c r="Y450" s="396"/>
      <c r="Z450" s="396"/>
    </row>
    <row r="451" spans="2:26" ht="13.5" customHeight="1">
      <c r="B451" s="2895" t="s">
        <v>118</v>
      </c>
      <c r="C451" s="2891"/>
      <c r="D451" s="2891">
        <f>SUM(D442:D450)</f>
        <v>77</v>
      </c>
      <c r="E451" s="2891">
        <f t="shared" ref="E451:N451" si="130">SUM(E442:E450)</f>
        <v>0</v>
      </c>
      <c r="F451" s="2891">
        <f t="shared" si="130"/>
        <v>77</v>
      </c>
      <c r="G451" s="2891">
        <f t="shared" si="130"/>
        <v>0</v>
      </c>
      <c r="H451" s="2891">
        <f t="shared" si="130"/>
        <v>770</v>
      </c>
      <c r="I451" s="2891">
        <f t="shared" si="130"/>
        <v>0</v>
      </c>
      <c r="J451" s="2891">
        <f t="shared" si="130"/>
        <v>770</v>
      </c>
      <c r="K451" s="2891">
        <f t="shared" si="130"/>
        <v>0</v>
      </c>
      <c r="L451" s="2891">
        <f t="shared" si="130"/>
        <v>3202</v>
      </c>
      <c r="M451" s="2891">
        <f t="shared" si="130"/>
        <v>0</v>
      </c>
      <c r="N451" s="2891">
        <f t="shared" si="130"/>
        <v>3202</v>
      </c>
      <c r="O451" s="396"/>
      <c r="P451" s="396"/>
      <c r="Q451" s="396"/>
      <c r="R451" s="396"/>
      <c r="S451" s="396"/>
      <c r="T451" s="396"/>
      <c r="U451" s="396"/>
      <c r="V451" s="396"/>
      <c r="W451" s="396"/>
      <c r="X451" s="396"/>
      <c r="Y451" s="396"/>
      <c r="Z451" s="396"/>
    </row>
    <row r="452" spans="2:26" ht="13.5" customHeight="1">
      <c r="B452" s="51"/>
      <c r="C452" s="894"/>
      <c r="D452" s="894"/>
      <c r="E452" s="894"/>
      <c r="F452" s="894"/>
      <c r="G452" s="894"/>
      <c r="H452" s="894"/>
      <c r="I452" s="894"/>
      <c r="J452" s="894"/>
      <c r="K452" s="894"/>
      <c r="L452" s="894"/>
      <c r="M452" s="894"/>
      <c r="N452" s="894"/>
      <c r="O452" s="396"/>
      <c r="P452" s="396"/>
      <c r="Q452" s="396"/>
      <c r="R452" s="396"/>
      <c r="S452" s="396"/>
      <c r="T452" s="396"/>
      <c r="U452" s="396"/>
      <c r="V452" s="396"/>
      <c r="W452" s="396"/>
      <c r="X452" s="396"/>
      <c r="Y452" s="396"/>
      <c r="Z452" s="396"/>
    </row>
    <row r="453" spans="2:26" ht="13.5" customHeight="1">
      <c r="B453" s="3759" t="s">
        <v>585</v>
      </c>
      <c r="C453" s="3759"/>
      <c r="D453" s="3759"/>
      <c r="E453" s="3759"/>
      <c r="F453" s="3759"/>
      <c r="G453" s="3759"/>
      <c r="H453" s="3759"/>
      <c r="I453" s="3759"/>
      <c r="J453" s="3759"/>
      <c r="K453" s="3759"/>
      <c r="L453" s="3759"/>
      <c r="M453" s="3759"/>
      <c r="N453" s="3759"/>
      <c r="O453" s="396"/>
      <c r="P453" s="396"/>
      <c r="Q453" s="396"/>
      <c r="R453" s="396"/>
      <c r="S453" s="396"/>
      <c r="T453" s="396"/>
      <c r="U453" s="396"/>
      <c r="V453" s="396"/>
      <c r="W453" s="396"/>
      <c r="X453" s="396"/>
      <c r="Y453" s="396"/>
      <c r="Z453" s="396"/>
    </row>
    <row r="454" spans="2:26" ht="13.5" customHeight="1">
      <c r="B454" s="3759"/>
      <c r="C454" s="3759"/>
      <c r="D454" s="3759"/>
      <c r="E454" s="3759"/>
      <c r="F454" s="3759"/>
      <c r="G454" s="3759"/>
      <c r="H454" s="3759"/>
      <c r="I454" s="3759"/>
      <c r="J454" s="3759"/>
      <c r="K454" s="3759"/>
      <c r="L454" s="3759"/>
      <c r="M454" s="3759"/>
      <c r="N454" s="3759"/>
    </row>
    <row r="455" spans="2:26" ht="13.5" customHeight="1">
      <c r="B455" s="370"/>
      <c r="C455" s="370"/>
      <c r="N455" s="292">
        <v>179</v>
      </c>
    </row>
    <row r="456" spans="2:26" ht="13.5" customHeight="1">
      <c r="B456" s="370"/>
      <c r="C456" s="370"/>
    </row>
    <row r="457" spans="2:26" ht="13.5" customHeight="1">
      <c r="B457" s="370"/>
      <c r="C457" s="370"/>
    </row>
    <row r="458" spans="2:26" ht="13.5" customHeight="1">
      <c r="B458" s="370"/>
      <c r="C458" s="370"/>
    </row>
    <row r="459" spans="2:26" ht="13.5" customHeight="1">
      <c r="B459" s="292"/>
      <c r="C459" s="370"/>
    </row>
    <row r="460" spans="2:26" ht="13.5" customHeight="1">
      <c r="B460" s="292"/>
      <c r="C460" s="370"/>
    </row>
  </sheetData>
  <mergeCells count="113">
    <mergeCell ref="B36:B37"/>
    <mergeCell ref="C36:F36"/>
    <mergeCell ref="G36:J36"/>
    <mergeCell ref="K36:N36"/>
    <mergeCell ref="B51:B52"/>
    <mergeCell ref="C51:F51"/>
    <mergeCell ref="G51:J51"/>
    <mergeCell ref="K51:N51"/>
    <mergeCell ref="B5:B6"/>
    <mergeCell ref="C5:F5"/>
    <mergeCell ref="G5:J5"/>
    <mergeCell ref="K5:N5"/>
    <mergeCell ref="B20:B21"/>
    <mergeCell ref="C20:F20"/>
    <mergeCell ref="G20:J20"/>
    <mergeCell ref="K20:N20"/>
    <mergeCell ref="B97:B98"/>
    <mergeCell ref="C97:F97"/>
    <mergeCell ref="G97:J97"/>
    <mergeCell ref="K97:N97"/>
    <mergeCell ref="B112:B113"/>
    <mergeCell ref="C112:F112"/>
    <mergeCell ref="G112:J112"/>
    <mergeCell ref="K112:N112"/>
    <mergeCell ref="B66:B67"/>
    <mergeCell ref="C66:F66"/>
    <mergeCell ref="G66:J66"/>
    <mergeCell ref="K66:N66"/>
    <mergeCell ref="B82:B83"/>
    <mergeCell ref="C82:F82"/>
    <mergeCell ref="G82:J82"/>
    <mergeCell ref="K82:N82"/>
    <mergeCell ref="B160:B162"/>
    <mergeCell ref="C160:F161"/>
    <mergeCell ref="G160:J161"/>
    <mergeCell ref="K160:N161"/>
    <mergeCell ref="B177:B179"/>
    <mergeCell ref="C177:F178"/>
    <mergeCell ref="G177:J178"/>
    <mergeCell ref="K177:N178"/>
    <mergeCell ref="B128:B130"/>
    <mergeCell ref="C128:F129"/>
    <mergeCell ref="G128:J129"/>
    <mergeCell ref="K128:N129"/>
    <mergeCell ref="B144:B146"/>
    <mergeCell ref="C144:F145"/>
    <mergeCell ref="G144:J145"/>
    <mergeCell ref="K144:N145"/>
    <mergeCell ref="B226:B228"/>
    <mergeCell ref="C226:F227"/>
    <mergeCell ref="G226:J227"/>
    <mergeCell ref="K226:N227"/>
    <mergeCell ref="B242:B244"/>
    <mergeCell ref="C242:F243"/>
    <mergeCell ref="G242:J243"/>
    <mergeCell ref="K242:N243"/>
    <mergeCell ref="B193:B195"/>
    <mergeCell ref="C193:F194"/>
    <mergeCell ref="G193:J194"/>
    <mergeCell ref="K193:N194"/>
    <mergeCell ref="B209:B211"/>
    <mergeCell ref="C209:F210"/>
    <mergeCell ref="G209:J210"/>
    <mergeCell ref="K209:N210"/>
    <mergeCell ref="B292:B294"/>
    <mergeCell ref="C292:F293"/>
    <mergeCell ref="G292:J293"/>
    <mergeCell ref="K292:N293"/>
    <mergeCell ref="B309:B311"/>
    <mergeCell ref="C309:F310"/>
    <mergeCell ref="G309:J310"/>
    <mergeCell ref="K309:N310"/>
    <mergeCell ref="B258:B260"/>
    <mergeCell ref="C258:F259"/>
    <mergeCell ref="G258:J259"/>
    <mergeCell ref="K258:N259"/>
    <mergeCell ref="B276:B278"/>
    <mergeCell ref="C276:F277"/>
    <mergeCell ref="G276:J277"/>
    <mergeCell ref="K276:N277"/>
    <mergeCell ref="B358:B360"/>
    <mergeCell ref="C358:F359"/>
    <mergeCell ref="G358:J359"/>
    <mergeCell ref="K358:N359"/>
    <mergeCell ref="B374:B376"/>
    <mergeCell ref="C374:F375"/>
    <mergeCell ref="G374:J375"/>
    <mergeCell ref="K374:N375"/>
    <mergeCell ref="B325:B327"/>
    <mergeCell ref="C325:F326"/>
    <mergeCell ref="G325:J326"/>
    <mergeCell ref="K325:N326"/>
    <mergeCell ref="B341:B343"/>
    <mergeCell ref="C341:F342"/>
    <mergeCell ref="G341:J342"/>
    <mergeCell ref="K341:N342"/>
    <mergeCell ref="B453:N454"/>
    <mergeCell ref="B439:B441"/>
    <mergeCell ref="C439:F440"/>
    <mergeCell ref="G439:J440"/>
    <mergeCell ref="K439:N440"/>
    <mergeCell ref="B390:B392"/>
    <mergeCell ref="C390:F391"/>
    <mergeCell ref="G390:J391"/>
    <mergeCell ref="K390:N391"/>
    <mergeCell ref="B423:B425"/>
    <mergeCell ref="C423:F424"/>
    <mergeCell ref="G423:J424"/>
    <mergeCell ref="K423:N424"/>
    <mergeCell ref="B407:B409"/>
    <mergeCell ref="C407:F408"/>
    <mergeCell ref="G407:J408"/>
    <mergeCell ref="K407:N408"/>
  </mergeCells>
  <pageMargins left="0.7" right="0.7" top="0.75" bottom="0.75" header="0.3" footer="0.3"/>
  <pageSetup scale="66" orientation="landscape" r:id="rId1"/>
  <rowBreaks count="9" manualBreakCount="9">
    <brk id="33" max="13" man="1"/>
    <brk id="79" max="13" man="1"/>
    <brk id="125" max="13" man="1"/>
    <brk id="174" max="13" man="1"/>
    <brk id="223" max="13" man="1"/>
    <brk id="272" max="13" man="1"/>
    <brk id="306" max="13" man="1"/>
    <brk id="355" max="13" man="1"/>
    <brk id="404" max="13" man="1"/>
  </rowBreaks>
  <ignoredErrors>
    <ignoredError sqref="F7:F15 J7:J15" formula="1"/>
  </ignoredErrors>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9">
    <tabColor rgb="FF00B050"/>
  </sheetPr>
  <dimension ref="A1:T328"/>
  <sheetViews>
    <sheetView workbookViewId="0">
      <pane xSplit="2" ySplit="7" topLeftCell="F44" activePane="bottomRight" state="frozen"/>
      <selection pane="topRight" activeCell="C1" sqref="C1"/>
      <selection pane="bottomLeft" activeCell="A8" sqref="A8"/>
      <selection pane="bottomRight" activeCell="A13" sqref="A13"/>
    </sheetView>
  </sheetViews>
  <sheetFormatPr defaultColWidth="9.140625" defaultRowHeight="15"/>
  <cols>
    <col min="1" max="1" width="4.42578125" style="193" customWidth="1"/>
    <col min="2" max="16384" width="9.140625" style="193"/>
  </cols>
  <sheetData>
    <row r="1" spans="1:20">
      <c r="B1"/>
      <c r="C1" s="150"/>
      <c r="D1"/>
      <c r="E1"/>
      <c r="F1"/>
      <c r="G1"/>
      <c r="H1"/>
      <c r="I1"/>
      <c r="J1"/>
      <c r="K1"/>
      <c r="L1"/>
      <c r="M1"/>
      <c r="N1"/>
      <c r="O1"/>
      <c r="P1"/>
      <c r="Q1"/>
      <c r="R1"/>
      <c r="S1"/>
      <c r="T1"/>
    </row>
    <row r="2" spans="1:20">
      <c r="A2" s="252"/>
      <c r="B2" s="76"/>
      <c r="C2" s="192" t="s">
        <v>586</v>
      </c>
      <c r="D2" s="69"/>
      <c r="E2" s="69"/>
      <c r="F2" s="69"/>
      <c r="G2" s="69"/>
      <c r="H2" s="69"/>
      <c r="I2" s="69"/>
      <c r="J2" s="69"/>
      <c r="K2" s="69"/>
      <c r="L2" s="69"/>
      <c r="M2" s="69"/>
      <c r="N2" s="69"/>
      <c r="O2" s="69"/>
      <c r="P2"/>
      <c r="Q2"/>
      <c r="R2"/>
      <c r="S2"/>
      <c r="T2"/>
    </row>
    <row r="3" spans="1:20">
      <c r="A3" s="252"/>
      <c r="B3" s="398"/>
      <c r="C3" s="83"/>
      <c r="D3" s="398"/>
      <c r="E3" s="398"/>
      <c r="F3" s="398"/>
      <c r="G3" s="398"/>
      <c r="H3" s="398"/>
      <c r="I3" s="398"/>
      <c r="J3" s="398"/>
      <c r="K3" s="398"/>
      <c r="L3" s="398"/>
      <c r="M3" s="398"/>
      <c r="N3" s="398"/>
      <c r="O3" s="398"/>
      <c r="P3"/>
      <c r="Q3"/>
      <c r="R3"/>
      <c r="S3"/>
      <c r="T3"/>
    </row>
    <row r="4" spans="1:20" ht="90">
      <c r="A4" s="252"/>
      <c r="B4" s="398"/>
      <c r="C4" s="2922" t="s">
        <v>566</v>
      </c>
      <c r="D4" s="2923" t="s">
        <v>567</v>
      </c>
      <c r="E4" s="2924"/>
      <c r="F4" s="2924"/>
      <c r="G4" s="2925"/>
      <c r="H4" s="1326" t="s">
        <v>568</v>
      </c>
      <c r="I4" s="1319"/>
      <c r="J4" s="1319"/>
      <c r="K4" s="1319"/>
      <c r="L4" s="777"/>
      <c r="M4" s="1326" t="s">
        <v>569</v>
      </c>
      <c r="N4" s="1319"/>
      <c r="O4" s="1319"/>
      <c r="P4" s="777"/>
      <c r="Q4"/>
      <c r="R4" s="2926" t="s">
        <v>587</v>
      </c>
      <c r="S4" s="2926" t="s">
        <v>588</v>
      </c>
      <c r="T4" s="2927" t="s">
        <v>157</v>
      </c>
    </row>
    <row r="5" spans="1:20">
      <c r="A5" s="253"/>
      <c r="B5" s="398"/>
      <c r="C5" s="2922"/>
      <c r="D5" s="2922" t="s">
        <v>570</v>
      </c>
      <c r="E5" s="2922" t="s">
        <v>571</v>
      </c>
      <c r="F5" s="2922" t="s">
        <v>572</v>
      </c>
      <c r="G5" s="2922" t="s">
        <v>118</v>
      </c>
      <c r="H5" s="2922" t="s">
        <v>570</v>
      </c>
      <c r="I5" s="2922" t="s">
        <v>571</v>
      </c>
      <c r="J5" s="2922" t="s">
        <v>572</v>
      </c>
      <c r="K5" s="2922"/>
      <c r="L5" s="2922" t="s">
        <v>118</v>
      </c>
      <c r="M5" s="2922" t="s">
        <v>570</v>
      </c>
      <c r="N5" s="2922" t="s">
        <v>571</v>
      </c>
      <c r="O5" s="2922" t="s">
        <v>572</v>
      </c>
      <c r="P5" s="2922" t="s">
        <v>118</v>
      </c>
      <c r="Q5"/>
      <c r="R5" s="2928" t="s">
        <v>115</v>
      </c>
      <c r="S5" s="2929">
        <f>+P247</f>
        <v>13051</v>
      </c>
      <c r="T5" s="2930" t="e">
        <f t="shared" ref="T5:T10" si="0">(S5/$R$11)*100</f>
        <v>#VALUE!</v>
      </c>
    </row>
    <row r="6" spans="1:20" ht="34.5" customHeight="1">
      <c r="A6" s="253"/>
      <c r="B6" s="399"/>
      <c r="C6" s="2931" t="s">
        <v>573</v>
      </c>
      <c r="D6" s="2932">
        <f>+D29+D43+D56+D69+D82+D95+D108+D121+D134+D147+D160+D173+D186+D199+D212+D225+D238+D251+D264+D277+D290+D303</f>
        <v>40</v>
      </c>
      <c r="E6" s="2932">
        <f>+E29+E43+E56+E69+E82+E95+E108+E121+E134+E147+E160+E173+E186+E199+E212+E225+E238+E251+E264+E277+E290+E303</f>
        <v>58</v>
      </c>
      <c r="F6" s="2932">
        <f>+F29+F43+F56+F69+F82+F95+F108+F121+F134+F147+F160+F173+F186+F199+F212+F225+F238+F251+F264+F277+F290+F303</f>
        <v>61</v>
      </c>
      <c r="G6" s="2932">
        <f>+D6+E6+F6</f>
        <v>159</v>
      </c>
      <c r="H6" s="2932">
        <f>+H29+H43+H56+H69+H82+H95+H108+H121+H134+H147+H160+H173+H186+H199+H212+H225+H238+H251+H264+H277+H290+H303</f>
        <v>302</v>
      </c>
      <c r="I6" s="2932">
        <f>+I29+I43+I56+I69+I82+I95+I108+I121+I134+I147+I160+I173+I186+I199+I212+I225+I238+I251+I264+I277+I290+I303</f>
        <v>206</v>
      </c>
      <c r="J6" s="2932">
        <f>+J29+J43+J56+J69+J82+J95+J108+J121+J134+J147+J160+J173+J186+J199+J212+J225+J238+J251+J264+J277+J290+J303+K199</f>
        <v>433</v>
      </c>
      <c r="K6" s="2932"/>
      <c r="L6" s="2932">
        <f t="shared" ref="L6:L15" si="1">+H6+I6+J6</f>
        <v>941</v>
      </c>
      <c r="M6" s="2932">
        <f t="shared" ref="M6:O14" si="2">+M29+M43+M56+M69+M82+M95+M108+M121+M134+M147+M160+M173+M186+M199+M212+M225+M238+M251+M264+M277+M290+M303</f>
        <v>448</v>
      </c>
      <c r="N6" s="2932">
        <f t="shared" si="2"/>
        <v>2760</v>
      </c>
      <c r="O6" s="2932">
        <f t="shared" si="2"/>
        <v>1162</v>
      </c>
      <c r="P6" s="2932">
        <f>+M6+N6+O6</f>
        <v>4370</v>
      </c>
      <c r="Q6"/>
      <c r="R6" s="2928" t="s">
        <v>125</v>
      </c>
      <c r="S6" s="2929">
        <f>+P78</f>
        <v>5814</v>
      </c>
      <c r="T6" s="2930" t="e">
        <f t="shared" si="0"/>
        <v>#VALUE!</v>
      </c>
    </row>
    <row r="7" spans="1:20">
      <c r="A7" s="253"/>
      <c r="B7" s="399"/>
      <c r="C7" s="2887" t="s">
        <v>574</v>
      </c>
      <c r="D7" s="2932">
        <f t="shared" ref="D7:F14" si="3">+D30+D44+D57+D70+D83+D96+D109+D122+D135+D148+D161+D174+D187+D200+D213+D226+D239+D252+D265+D278+D291+D304</f>
        <v>24</v>
      </c>
      <c r="E7" s="2932">
        <f t="shared" si="3"/>
        <v>33</v>
      </c>
      <c r="F7" s="2932">
        <f t="shared" si="3"/>
        <v>47</v>
      </c>
      <c r="G7" s="2932">
        <f t="shared" ref="G7:G14" si="4">+D7+E7+F7</f>
        <v>104</v>
      </c>
      <c r="H7" s="2932">
        <f t="shared" ref="H7:I14" si="5">+H30+H44+H57+H70+H83+H96+H109+H122+H135+H148+H161+H174+H187+H200+H213+H226+H239+H252+H265+H278+H291+H304</f>
        <v>142</v>
      </c>
      <c r="I7" s="2932">
        <f t="shared" si="5"/>
        <v>148</v>
      </c>
      <c r="J7" s="2932">
        <f t="shared" ref="J7:J14" si="6">+J30+J44+J57+J70+J83+J96+J109+J122+J135+J148+J161+J174+J187+J200+J213+J226+J239+J252+J265+J278+J291+J304+K200</f>
        <v>216</v>
      </c>
      <c r="K7" s="2932"/>
      <c r="L7" s="2932">
        <f t="shared" si="1"/>
        <v>506</v>
      </c>
      <c r="M7" s="2932">
        <f t="shared" si="2"/>
        <v>209</v>
      </c>
      <c r="N7" s="2932">
        <f t="shared" si="2"/>
        <v>1694</v>
      </c>
      <c r="O7" s="2932">
        <f t="shared" si="2"/>
        <v>407</v>
      </c>
      <c r="P7" s="2932">
        <f t="shared" ref="P7:P14" si="7">+M7+N7+O7</f>
        <v>2310</v>
      </c>
      <c r="Q7"/>
      <c r="R7" s="2928" t="s">
        <v>135</v>
      </c>
      <c r="S7" s="2929">
        <f>+P273</f>
        <v>5503</v>
      </c>
      <c r="T7" s="2930" t="e">
        <f t="shared" si="0"/>
        <v>#VALUE!</v>
      </c>
    </row>
    <row r="8" spans="1:20" ht="20.100000000000001" customHeight="1">
      <c r="A8" s="254"/>
      <c r="B8" s="399"/>
      <c r="C8" s="2887" t="s">
        <v>575</v>
      </c>
      <c r="D8" s="2932">
        <f t="shared" si="3"/>
        <v>24</v>
      </c>
      <c r="E8" s="2932">
        <f t="shared" si="3"/>
        <v>33</v>
      </c>
      <c r="F8" s="2932">
        <f t="shared" si="3"/>
        <v>52</v>
      </c>
      <c r="G8" s="2932">
        <f t="shared" si="4"/>
        <v>109</v>
      </c>
      <c r="H8" s="2932">
        <f t="shared" si="5"/>
        <v>239</v>
      </c>
      <c r="I8" s="2932">
        <f t="shared" si="5"/>
        <v>121</v>
      </c>
      <c r="J8" s="2932">
        <f t="shared" si="6"/>
        <v>319</v>
      </c>
      <c r="K8" s="2932"/>
      <c r="L8" s="2932">
        <f t="shared" si="1"/>
        <v>679</v>
      </c>
      <c r="M8" s="2932">
        <f t="shared" si="2"/>
        <v>359</v>
      </c>
      <c r="N8" s="2932">
        <f t="shared" si="2"/>
        <v>1818</v>
      </c>
      <c r="O8" s="2932">
        <f t="shared" si="2"/>
        <v>575</v>
      </c>
      <c r="P8" s="2932">
        <f t="shared" si="7"/>
        <v>2752</v>
      </c>
      <c r="Q8"/>
      <c r="R8" s="2928" t="s">
        <v>128</v>
      </c>
      <c r="S8" s="2929">
        <f>+P130</f>
        <v>4612</v>
      </c>
      <c r="T8" s="2930" t="e">
        <f t="shared" si="0"/>
        <v>#VALUE!</v>
      </c>
    </row>
    <row r="9" spans="1:20" ht="20.100000000000001" customHeight="1">
      <c r="A9" s="254"/>
      <c r="B9" s="399"/>
      <c r="C9" s="2887" t="s">
        <v>576</v>
      </c>
      <c r="D9" s="2932">
        <f t="shared" si="3"/>
        <v>32</v>
      </c>
      <c r="E9" s="2932">
        <f t="shared" si="3"/>
        <v>49</v>
      </c>
      <c r="F9" s="2932">
        <f t="shared" si="3"/>
        <v>52</v>
      </c>
      <c r="G9" s="2932">
        <f t="shared" si="4"/>
        <v>133</v>
      </c>
      <c r="H9" s="2932">
        <f t="shared" si="5"/>
        <v>264</v>
      </c>
      <c r="I9" s="2932">
        <f t="shared" si="5"/>
        <v>175</v>
      </c>
      <c r="J9" s="2932">
        <f t="shared" si="6"/>
        <v>286</v>
      </c>
      <c r="K9" s="2932"/>
      <c r="L9" s="2932">
        <f t="shared" si="1"/>
        <v>725</v>
      </c>
      <c r="M9" s="2932">
        <f t="shared" si="2"/>
        <v>347</v>
      </c>
      <c r="N9" s="2932">
        <f t="shared" si="2"/>
        <v>1992</v>
      </c>
      <c r="O9" s="2932">
        <f t="shared" si="2"/>
        <v>1559</v>
      </c>
      <c r="P9" s="2932">
        <f t="shared" si="7"/>
        <v>3898</v>
      </c>
      <c r="Q9"/>
      <c r="R9" s="2928" t="s">
        <v>187</v>
      </c>
      <c r="S9" s="2929">
        <f>+P182</f>
        <v>2809</v>
      </c>
      <c r="T9" s="2930" t="e">
        <f t="shared" si="0"/>
        <v>#VALUE!</v>
      </c>
    </row>
    <row r="10" spans="1:20" ht="20.100000000000001" customHeight="1">
      <c r="A10" s="254"/>
      <c r="B10" s="399"/>
      <c r="C10" s="2887" t="s">
        <v>577</v>
      </c>
      <c r="D10" s="2932">
        <f t="shared" si="3"/>
        <v>28</v>
      </c>
      <c r="E10" s="2932">
        <f t="shared" si="3"/>
        <v>51</v>
      </c>
      <c r="F10" s="2932">
        <f t="shared" si="3"/>
        <v>32</v>
      </c>
      <c r="G10" s="2932">
        <f t="shared" si="4"/>
        <v>111</v>
      </c>
      <c r="H10" s="2932">
        <f t="shared" si="5"/>
        <v>107</v>
      </c>
      <c r="I10" s="2932">
        <f t="shared" si="5"/>
        <v>181</v>
      </c>
      <c r="J10" s="2932">
        <f t="shared" si="6"/>
        <v>112</v>
      </c>
      <c r="K10" s="2932"/>
      <c r="L10" s="2932">
        <f t="shared" si="1"/>
        <v>400</v>
      </c>
      <c r="M10" s="2932">
        <f t="shared" si="2"/>
        <v>118</v>
      </c>
      <c r="N10" s="2932">
        <f t="shared" si="2"/>
        <v>2582</v>
      </c>
      <c r="O10" s="2932">
        <f t="shared" si="2"/>
        <v>669</v>
      </c>
      <c r="P10" s="2932">
        <f t="shared" si="7"/>
        <v>3369</v>
      </c>
      <c r="Q10"/>
      <c r="R10" s="2928" t="s">
        <v>589</v>
      </c>
      <c r="S10" s="2929">
        <f>+P38+P52+P65+P91+P104+P117+P143+P156+P169+P195+P208+P221+P234+P260+P286+P299+P312</f>
        <v>11169</v>
      </c>
      <c r="T10" s="2930" t="e">
        <f t="shared" si="0"/>
        <v>#VALUE!</v>
      </c>
    </row>
    <row r="11" spans="1:20" ht="20.100000000000001" customHeight="1">
      <c r="A11" s="254"/>
      <c r="B11" s="399"/>
      <c r="C11" s="2887" t="s">
        <v>578</v>
      </c>
      <c r="D11" s="2932">
        <f t="shared" si="3"/>
        <v>31</v>
      </c>
      <c r="E11" s="2932">
        <f t="shared" si="3"/>
        <v>31</v>
      </c>
      <c r="F11" s="2932">
        <f t="shared" si="3"/>
        <v>30</v>
      </c>
      <c r="G11" s="2932">
        <f t="shared" si="4"/>
        <v>92</v>
      </c>
      <c r="H11" s="2932">
        <f t="shared" si="5"/>
        <v>273</v>
      </c>
      <c r="I11" s="2932">
        <f t="shared" si="5"/>
        <v>117</v>
      </c>
      <c r="J11" s="2932">
        <f t="shared" si="6"/>
        <v>171</v>
      </c>
      <c r="K11" s="2932"/>
      <c r="L11" s="2932">
        <f t="shared" si="1"/>
        <v>561</v>
      </c>
      <c r="M11" s="2932">
        <f t="shared" si="2"/>
        <v>162</v>
      </c>
      <c r="N11" s="2932">
        <f t="shared" si="2"/>
        <v>1143</v>
      </c>
      <c r="O11" s="2932">
        <f t="shared" si="2"/>
        <v>904</v>
      </c>
      <c r="P11" s="2932">
        <f t="shared" si="7"/>
        <v>2209</v>
      </c>
      <c r="Q11"/>
      <c r="R11" s="2928" t="s">
        <v>118</v>
      </c>
      <c r="S11" s="2929">
        <f>SUM(S5:S10)</f>
        <v>42958</v>
      </c>
      <c r="T11" s="2930" t="e">
        <f>SUM(T5:T10)</f>
        <v>#VALUE!</v>
      </c>
    </row>
    <row r="12" spans="1:20" ht="20.100000000000001" customHeight="1">
      <c r="A12" s="254"/>
      <c r="B12" s="399"/>
      <c r="C12" s="2887" t="s">
        <v>579</v>
      </c>
      <c r="D12" s="2932">
        <f t="shared" si="3"/>
        <v>47</v>
      </c>
      <c r="E12" s="2932">
        <f t="shared" si="3"/>
        <v>63</v>
      </c>
      <c r="F12" s="2932">
        <f t="shared" si="3"/>
        <v>81</v>
      </c>
      <c r="G12" s="2932">
        <f t="shared" si="4"/>
        <v>191</v>
      </c>
      <c r="H12" s="2932">
        <f t="shared" si="5"/>
        <v>349</v>
      </c>
      <c r="I12" s="2932">
        <f t="shared" si="5"/>
        <v>234</v>
      </c>
      <c r="J12" s="2932">
        <f t="shared" si="6"/>
        <v>554</v>
      </c>
      <c r="K12" s="2932"/>
      <c r="L12" s="2932">
        <f t="shared" si="1"/>
        <v>1137</v>
      </c>
      <c r="M12" s="2932">
        <f t="shared" si="2"/>
        <v>672</v>
      </c>
      <c r="N12" s="2932">
        <f t="shared" si="2"/>
        <v>2996</v>
      </c>
      <c r="O12" s="2932">
        <f t="shared" si="2"/>
        <v>1607</v>
      </c>
      <c r="P12" s="2932">
        <f t="shared" si="7"/>
        <v>5275</v>
      </c>
      <c r="Q12"/>
      <c r="R12" s="14"/>
      <c r="S12" s="9"/>
      <c r="T12"/>
    </row>
    <row r="13" spans="1:20" ht="20.100000000000001" customHeight="1">
      <c r="A13" s="254"/>
      <c r="B13" s="399"/>
      <c r="C13" s="2887" t="s">
        <v>580</v>
      </c>
      <c r="D13" s="2932">
        <f t="shared" si="3"/>
        <v>22</v>
      </c>
      <c r="E13" s="2932">
        <f t="shared" si="3"/>
        <v>26</v>
      </c>
      <c r="F13" s="2932">
        <f t="shared" si="3"/>
        <v>28</v>
      </c>
      <c r="G13" s="2932">
        <f t="shared" si="4"/>
        <v>76</v>
      </c>
      <c r="H13" s="2932">
        <f t="shared" si="5"/>
        <v>188</v>
      </c>
      <c r="I13" s="2932">
        <f t="shared" si="5"/>
        <v>121</v>
      </c>
      <c r="J13" s="2932">
        <f t="shared" si="6"/>
        <v>96</v>
      </c>
      <c r="K13" s="2932"/>
      <c r="L13" s="2932">
        <f t="shared" si="1"/>
        <v>405</v>
      </c>
      <c r="M13" s="2932">
        <f t="shared" si="2"/>
        <v>131</v>
      </c>
      <c r="N13" s="2932">
        <f t="shared" si="2"/>
        <v>1364</v>
      </c>
      <c r="O13" s="2932">
        <f t="shared" si="2"/>
        <v>702</v>
      </c>
      <c r="P13" s="2932">
        <f t="shared" si="7"/>
        <v>2197</v>
      </c>
      <c r="Q13"/>
      <c r="R13" s="14"/>
      <c r="S13" s="9">
        <f>+S11-P15</f>
        <v>0</v>
      </c>
      <c r="T13"/>
    </row>
    <row r="14" spans="1:20" ht="20.100000000000001" customHeight="1">
      <c r="A14" s="254"/>
      <c r="B14" s="399"/>
      <c r="C14" s="2887" t="s">
        <v>581</v>
      </c>
      <c r="D14" s="2932">
        <f t="shared" si="3"/>
        <v>159</v>
      </c>
      <c r="E14" s="2932">
        <f t="shared" si="3"/>
        <v>172</v>
      </c>
      <c r="F14" s="2932">
        <f t="shared" si="3"/>
        <v>156</v>
      </c>
      <c r="G14" s="2932">
        <f t="shared" si="4"/>
        <v>487</v>
      </c>
      <c r="H14" s="2932">
        <f t="shared" si="5"/>
        <v>3932</v>
      </c>
      <c r="I14" s="2932">
        <f t="shared" si="5"/>
        <v>1978</v>
      </c>
      <c r="J14" s="2932">
        <f t="shared" si="6"/>
        <v>4870</v>
      </c>
      <c r="K14" s="2932"/>
      <c r="L14" s="2932">
        <f t="shared" si="1"/>
        <v>10780</v>
      </c>
      <c r="M14" s="2932">
        <f t="shared" si="2"/>
        <v>1784</v>
      </c>
      <c r="N14" s="2932">
        <f t="shared" si="2"/>
        <v>7938</v>
      </c>
      <c r="O14" s="2932">
        <f t="shared" si="2"/>
        <v>6856</v>
      </c>
      <c r="P14" s="2932">
        <f t="shared" si="7"/>
        <v>16578</v>
      </c>
      <c r="Q14"/>
      <c r="R14" s="14"/>
      <c r="S14" s="9"/>
      <c r="T14"/>
    </row>
    <row r="15" spans="1:20" ht="20.100000000000001" customHeight="1">
      <c r="A15" s="254"/>
      <c r="B15" s="400"/>
      <c r="C15" s="2922" t="s">
        <v>118</v>
      </c>
      <c r="D15" s="2933">
        <f>SUM(D6:D14)</f>
        <v>407</v>
      </c>
      <c r="E15" s="2933">
        <f>SUM(E6:E14)</f>
        <v>516</v>
      </c>
      <c r="F15" s="2933">
        <f>SUM(F6:F14)</f>
        <v>539</v>
      </c>
      <c r="G15" s="2933">
        <f>+D15+E15+F15</f>
        <v>1462</v>
      </c>
      <c r="H15" s="2933">
        <f>SUM(H6:H14)</f>
        <v>5796</v>
      </c>
      <c r="I15" s="2933">
        <f>SUM(I6:I14)</f>
        <v>3281</v>
      </c>
      <c r="J15" s="2933">
        <f>SUM(J6:J14)</f>
        <v>7057</v>
      </c>
      <c r="K15" s="2933"/>
      <c r="L15" s="2933">
        <f t="shared" si="1"/>
        <v>16134</v>
      </c>
      <c r="M15" s="2933">
        <f>SUM(M6:M14)</f>
        <v>4230</v>
      </c>
      <c r="N15" s="2933">
        <f>SUM(N6:N14)</f>
        <v>24287</v>
      </c>
      <c r="O15" s="2933">
        <f>SUM(O6:O14)</f>
        <v>14441</v>
      </c>
      <c r="P15" s="2933">
        <f>+M15+N15+O15</f>
        <v>42958</v>
      </c>
      <c r="Q15" s="393"/>
      <c r="R15" s="15"/>
      <c r="S15" s="15"/>
      <c r="T15" s="15"/>
    </row>
    <row r="16" spans="1:20" ht="25.5" customHeight="1">
      <c r="A16" s="254"/>
      <c r="B16"/>
      <c r="C16"/>
      <c r="D16" s="14"/>
      <c r="E16" s="14"/>
      <c r="F16" s="14"/>
      <c r="G16" s="1320"/>
      <c r="H16"/>
      <c r="I16"/>
      <c r="J16"/>
      <c r="K16"/>
      <c r="L16"/>
      <c r="M16"/>
      <c r="N16"/>
      <c r="O16"/>
      <c r="P16"/>
      <c r="Q16"/>
      <c r="R16"/>
      <c r="S16"/>
      <c r="T16"/>
    </row>
    <row r="17" spans="1:20" s="256" customFormat="1">
      <c r="A17" s="255"/>
      <c r="B17"/>
      <c r="C17"/>
      <c r="D17"/>
      <c r="E17"/>
      <c r="F17"/>
      <c r="G17"/>
      <c r="H17"/>
      <c r="I17"/>
      <c r="J17"/>
      <c r="K17"/>
      <c r="L17"/>
      <c r="M17"/>
      <c r="N17"/>
      <c r="O17"/>
      <c r="P17"/>
      <c r="Q17"/>
      <c r="R17"/>
      <c r="S17"/>
      <c r="T17"/>
    </row>
    <row r="18" spans="1:20">
      <c r="B18"/>
      <c r="C18"/>
      <c r="D18"/>
      <c r="E18"/>
      <c r="F18"/>
      <c r="G18"/>
      <c r="H18"/>
      <c r="I18"/>
      <c r="J18"/>
      <c r="K18"/>
      <c r="L18" s="14"/>
      <c r="M18"/>
      <c r="N18"/>
      <c r="O18"/>
      <c r="P18" s="14"/>
      <c r="Q18"/>
      <c r="R18"/>
      <c r="S18"/>
      <c r="T18"/>
    </row>
    <row r="19" spans="1:20">
      <c r="B19"/>
      <c r="C19"/>
      <c r="D19"/>
      <c r="E19"/>
      <c r="F19"/>
      <c r="G19"/>
      <c r="H19"/>
      <c r="I19"/>
      <c r="J19"/>
      <c r="K19"/>
      <c r="L19"/>
      <c r="M19"/>
      <c r="N19"/>
      <c r="O19"/>
      <c r="P19"/>
      <c r="Q19"/>
      <c r="R19"/>
      <c r="S19"/>
      <c r="T19"/>
    </row>
    <row r="20" spans="1:20">
      <c r="A20" s="193">
        <v>1</v>
      </c>
      <c r="B20"/>
      <c r="C20"/>
      <c r="D20"/>
      <c r="E20"/>
      <c r="F20"/>
      <c r="G20"/>
      <c r="H20"/>
      <c r="I20"/>
      <c r="J20"/>
      <c r="K20"/>
      <c r="L20"/>
      <c r="M20"/>
      <c r="N20"/>
      <c r="O20"/>
      <c r="P20"/>
      <c r="Q20"/>
      <c r="R20"/>
      <c r="S20"/>
      <c r="T20"/>
    </row>
    <row r="21" spans="1:20">
      <c r="B21"/>
      <c r="C21"/>
      <c r="D21"/>
      <c r="E21"/>
      <c r="F21"/>
      <c r="G21"/>
      <c r="H21"/>
      <c r="I21"/>
      <c r="J21"/>
      <c r="K21"/>
      <c r="L21"/>
      <c r="M21"/>
      <c r="N21"/>
      <c r="O21"/>
      <c r="P21" s="14"/>
      <c r="Q21"/>
      <c r="R21"/>
      <c r="S21"/>
      <c r="T21"/>
    </row>
    <row r="22" spans="1:20">
      <c r="B22"/>
      <c r="C22"/>
      <c r="D22"/>
      <c r="E22"/>
      <c r="F22"/>
      <c r="G22"/>
      <c r="H22"/>
      <c r="I22"/>
      <c r="J22"/>
      <c r="K22"/>
      <c r="L22"/>
      <c r="M22"/>
      <c r="N22"/>
      <c r="O22"/>
      <c r="P22"/>
      <c r="Q22"/>
      <c r="R22"/>
      <c r="S22"/>
      <c r="T22"/>
    </row>
    <row r="23" spans="1:20">
      <c r="B23"/>
      <c r="C23"/>
      <c r="D23"/>
      <c r="E23"/>
      <c r="F23"/>
      <c r="G23"/>
      <c r="H23"/>
      <c r="I23"/>
      <c r="J23"/>
      <c r="K23"/>
      <c r="L23"/>
      <c r="M23"/>
      <c r="N23"/>
      <c r="O23"/>
      <c r="P23"/>
      <c r="Q23"/>
      <c r="R23"/>
      <c r="S23"/>
      <c r="T23"/>
    </row>
    <row r="24" spans="1:20">
      <c r="B24"/>
      <c r="C24"/>
      <c r="D24"/>
      <c r="E24"/>
      <c r="F24"/>
      <c r="G24"/>
      <c r="H24"/>
      <c r="I24"/>
      <c r="J24"/>
      <c r="K24"/>
      <c r="L24"/>
      <c r="M24"/>
      <c r="N24"/>
      <c r="O24"/>
      <c r="P24"/>
      <c r="Q24"/>
      <c r="R24"/>
      <c r="S24"/>
      <c r="T24"/>
    </row>
    <row r="25" spans="1:20">
      <c r="B25"/>
      <c r="C25"/>
      <c r="D25"/>
      <c r="E25"/>
      <c r="F25"/>
      <c r="G25"/>
      <c r="H25"/>
      <c r="I25"/>
      <c r="J25"/>
      <c r="K25"/>
      <c r="L25"/>
      <c r="M25"/>
      <c r="N25"/>
      <c r="O25"/>
      <c r="P25"/>
      <c r="Q25"/>
      <c r="R25"/>
      <c r="S25"/>
      <c r="T25"/>
    </row>
    <row r="26" spans="1:20">
      <c r="B26">
        <v>1</v>
      </c>
      <c r="C26" s="2934" t="s">
        <v>175</v>
      </c>
      <c r="D26"/>
      <c r="E26"/>
      <c r="F26"/>
      <c r="G26"/>
      <c r="H26"/>
      <c r="I26"/>
      <c r="J26"/>
      <c r="K26"/>
      <c r="L26"/>
      <c r="M26"/>
      <c r="N26"/>
      <c r="O26"/>
      <c r="P26"/>
      <c r="Q26"/>
      <c r="R26"/>
      <c r="S26"/>
      <c r="T26"/>
    </row>
    <row r="27" spans="1:20">
      <c r="B27"/>
      <c r="C27" s="2922" t="s">
        <v>566</v>
      </c>
      <c r="D27" s="2922" t="s">
        <v>567</v>
      </c>
      <c r="E27" s="2922"/>
      <c r="F27" s="2922"/>
      <c r="G27" s="2922"/>
      <c r="H27" s="2922" t="s">
        <v>590</v>
      </c>
      <c r="I27" s="2922"/>
      <c r="J27" s="2922"/>
      <c r="K27" s="2922"/>
      <c r="L27" s="2922"/>
      <c r="M27" s="2922" t="s">
        <v>591</v>
      </c>
      <c r="N27" s="2922"/>
      <c r="O27" s="2922"/>
      <c r="P27" s="2922"/>
      <c r="Q27"/>
      <c r="R27"/>
      <c r="S27"/>
      <c r="T27"/>
    </row>
    <row r="28" spans="1:20">
      <c r="B28"/>
      <c r="C28" s="2922"/>
      <c r="D28" s="2922" t="s">
        <v>570</v>
      </c>
      <c r="E28" s="2922" t="s">
        <v>571</v>
      </c>
      <c r="F28" s="2922" t="s">
        <v>572</v>
      </c>
      <c r="G28" s="2922" t="s">
        <v>118</v>
      </c>
      <c r="H28" s="2922" t="s">
        <v>570</v>
      </c>
      <c r="I28" s="2922" t="s">
        <v>571</v>
      </c>
      <c r="J28" s="2922" t="s">
        <v>572</v>
      </c>
      <c r="K28" s="2922"/>
      <c r="L28" s="2922" t="s">
        <v>118</v>
      </c>
      <c r="M28" s="2922" t="s">
        <v>570</v>
      </c>
      <c r="N28" s="2922" t="s">
        <v>571</v>
      </c>
      <c r="O28" s="2922" t="s">
        <v>572</v>
      </c>
      <c r="P28" s="2922" t="s">
        <v>118</v>
      </c>
      <c r="Q28"/>
      <c r="R28"/>
      <c r="S28"/>
      <c r="T28"/>
    </row>
    <row r="29" spans="1:20">
      <c r="B29"/>
      <c r="C29" s="2935" t="s">
        <v>573</v>
      </c>
      <c r="D29" s="2915">
        <v>1</v>
      </c>
      <c r="E29" s="2915">
        <v>4</v>
      </c>
      <c r="F29" s="2887">
        <v>2</v>
      </c>
      <c r="G29" s="2936">
        <f>+D29+E29+F29</f>
        <v>7</v>
      </c>
      <c r="H29" s="2911">
        <v>18</v>
      </c>
      <c r="I29" s="2911">
        <v>19</v>
      </c>
      <c r="J29" s="2911"/>
      <c r="K29" s="2911"/>
      <c r="L29" s="2936">
        <f>+H29+I29+J29</f>
        <v>37</v>
      </c>
      <c r="M29" s="2911">
        <v>4</v>
      </c>
      <c r="N29" s="2911">
        <v>111</v>
      </c>
      <c r="O29" s="2911"/>
      <c r="P29" s="2936">
        <f>+M29+N29+O29</f>
        <v>115</v>
      </c>
      <c r="Q29"/>
      <c r="R29"/>
      <c r="S29"/>
      <c r="T29"/>
    </row>
    <row r="30" spans="1:20">
      <c r="B30"/>
      <c r="C30" s="2887" t="s">
        <v>574</v>
      </c>
      <c r="D30" s="2911">
        <v>0</v>
      </c>
      <c r="E30" s="2911">
        <v>2</v>
      </c>
      <c r="F30" s="2887">
        <v>2</v>
      </c>
      <c r="G30" s="2936">
        <f t="shared" ref="G30:G37" si="8">+D30+E30+F30</f>
        <v>4</v>
      </c>
      <c r="H30" s="2911">
        <v>6</v>
      </c>
      <c r="I30" s="2911">
        <v>9</v>
      </c>
      <c r="J30" s="2911"/>
      <c r="K30" s="2911"/>
      <c r="L30" s="2936">
        <f t="shared" ref="L30:L37" si="9">+H30+I30+J30</f>
        <v>15</v>
      </c>
      <c r="M30" s="2911"/>
      <c r="N30" s="2911">
        <v>61</v>
      </c>
      <c r="O30" s="2911"/>
      <c r="P30" s="2936">
        <f t="shared" ref="P30:P37" si="10">+M30+N30+O30</f>
        <v>61</v>
      </c>
      <c r="Q30"/>
      <c r="R30"/>
      <c r="S30"/>
      <c r="T30"/>
    </row>
    <row r="31" spans="1:20">
      <c r="B31"/>
      <c r="C31" s="2887" t="s">
        <v>575</v>
      </c>
      <c r="D31" s="2911">
        <v>3</v>
      </c>
      <c r="E31" s="2911">
        <v>2</v>
      </c>
      <c r="F31" s="2887">
        <v>0</v>
      </c>
      <c r="G31" s="2936">
        <f t="shared" si="8"/>
        <v>5</v>
      </c>
      <c r="H31" s="2911">
        <v>11</v>
      </c>
      <c r="I31" s="2911">
        <v>1</v>
      </c>
      <c r="J31" s="2911"/>
      <c r="K31" s="2911"/>
      <c r="L31" s="2936">
        <f t="shared" si="9"/>
        <v>12</v>
      </c>
      <c r="M31" s="2911">
        <v>4</v>
      </c>
      <c r="N31" s="2911">
        <v>33</v>
      </c>
      <c r="O31" s="2911"/>
      <c r="P31" s="2936">
        <f t="shared" si="10"/>
        <v>37</v>
      </c>
      <c r="Q31"/>
      <c r="R31"/>
      <c r="S31"/>
      <c r="T31"/>
    </row>
    <row r="32" spans="1:20">
      <c r="B32"/>
      <c r="C32" s="2887" t="s">
        <v>576</v>
      </c>
      <c r="D32" s="2911">
        <v>0</v>
      </c>
      <c r="E32" s="2911">
        <v>4</v>
      </c>
      <c r="F32" s="2887">
        <v>1</v>
      </c>
      <c r="G32" s="2936">
        <f t="shared" si="8"/>
        <v>5</v>
      </c>
      <c r="H32" s="2911">
        <v>6</v>
      </c>
      <c r="I32" s="2911">
        <v>20</v>
      </c>
      <c r="J32" s="2911"/>
      <c r="K32" s="2911"/>
      <c r="L32" s="2936">
        <f t="shared" si="9"/>
        <v>26</v>
      </c>
      <c r="M32" s="2911">
        <v>2</v>
      </c>
      <c r="N32" s="2911">
        <v>88</v>
      </c>
      <c r="O32" s="2911"/>
      <c r="P32" s="2936">
        <f t="shared" si="10"/>
        <v>90</v>
      </c>
      <c r="Q32"/>
      <c r="R32"/>
      <c r="S32"/>
      <c r="T32"/>
    </row>
    <row r="33" spans="1:20">
      <c r="B33"/>
      <c r="C33" s="2887" t="s">
        <v>577</v>
      </c>
      <c r="D33" s="2911">
        <v>0</v>
      </c>
      <c r="E33" s="2911">
        <v>4</v>
      </c>
      <c r="F33" s="2887">
        <v>0</v>
      </c>
      <c r="G33" s="2936">
        <f t="shared" si="8"/>
        <v>4</v>
      </c>
      <c r="H33" s="2911">
        <v>1</v>
      </c>
      <c r="I33" s="2911">
        <v>15</v>
      </c>
      <c r="J33" s="2911"/>
      <c r="K33" s="2911"/>
      <c r="L33" s="2936">
        <f t="shared" si="9"/>
        <v>16</v>
      </c>
      <c r="M33" s="2911"/>
      <c r="N33" s="2911">
        <v>77</v>
      </c>
      <c r="O33" s="2911"/>
      <c r="P33" s="2936">
        <f t="shared" si="10"/>
        <v>77</v>
      </c>
      <c r="Q33"/>
      <c r="R33"/>
      <c r="S33"/>
      <c r="T33"/>
    </row>
    <row r="34" spans="1:20">
      <c r="B34"/>
      <c r="C34" s="2887" t="s">
        <v>578</v>
      </c>
      <c r="D34" s="2911">
        <v>1</v>
      </c>
      <c r="E34" s="2911">
        <v>2</v>
      </c>
      <c r="F34" s="2887">
        <v>1</v>
      </c>
      <c r="G34" s="2936">
        <f t="shared" si="8"/>
        <v>4</v>
      </c>
      <c r="H34" s="2911">
        <v>9</v>
      </c>
      <c r="I34" s="2911">
        <v>8</v>
      </c>
      <c r="J34" s="2911"/>
      <c r="K34" s="2911"/>
      <c r="L34" s="2936">
        <f t="shared" si="9"/>
        <v>17</v>
      </c>
      <c r="M34" s="2911">
        <v>2</v>
      </c>
      <c r="N34" s="2911">
        <v>63</v>
      </c>
      <c r="O34" s="2911"/>
      <c r="P34" s="2936">
        <f t="shared" si="10"/>
        <v>65</v>
      </c>
      <c r="Q34"/>
      <c r="R34"/>
      <c r="S34"/>
      <c r="T34"/>
    </row>
    <row r="35" spans="1:20">
      <c r="A35" s="193">
        <v>2</v>
      </c>
      <c r="B35"/>
      <c r="C35" s="2887" t="s">
        <v>579</v>
      </c>
      <c r="D35" s="2911">
        <v>1</v>
      </c>
      <c r="E35" s="2911">
        <v>1</v>
      </c>
      <c r="F35" s="2887">
        <v>3</v>
      </c>
      <c r="G35" s="2936">
        <f t="shared" si="8"/>
        <v>5</v>
      </c>
      <c r="H35" s="2911">
        <v>13</v>
      </c>
      <c r="I35" s="2911">
        <v>21</v>
      </c>
      <c r="J35" s="2911"/>
      <c r="K35" s="2911"/>
      <c r="L35" s="2936">
        <f t="shared" si="9"/>
        <v>34</v>
      </c>
      <c r="M35" s="2911">
        <v>7</v>
      </c>
      <c r="N35" s="2911">
        <v>98</v>
      </c>
      <c r="O35" s="2911"/>
      <c r="P35" s="2936">
        <f t="shared" si="10"/>
        <v>105</v>
      </c>
      <c r="Q35"/>
      <c r="R35"/>
      <c r="S35"/>
      <c r="T35"/>
    </row>
    <row r="36" spans="1:20">
      <c r="B36"/>
      <c r="C36" s="2887" t="s">
        <v>580</v>
      </c>
      <c r="D36" s="2911">
        <v>3</v>
      </c>
      <c r="E36" s="2911">
        <v>3</v>
      </c>
      <c r="F36" s="2887">
        <v>0</v>
      </c>
      <c r="G36" s="2936">
        <f t="shared" si="8"/>
        <v>6</v>
      </c>
      <c r="H36" s="2911">
        <v>6</v>
      </c>
      <c r="I36" s="2911">
        <v>12</v>
      </c>
      <c r="J36" s="2911"/>
      <c r="K36" s="2911"/>
      <c r="L36" s="2936">
        <f t="shared" si="9"/>
        <v>18</v>
      </c>
      <c r="M36" s="2911">
        <v>1</v>
      </c>
      <c r="N36" s="2911">
        <v>55</v>
      </c>
      <c r="O36" s="2911"/>
      <c r="P36" s="2936">
        <f t="shared" si="10"/>
        <v>56</v>
      </c>
      <c r="Q36"/>
      <c r="R36"/>
      <c r="S36"/>
      <c r="T36"/>
    </row>
    <row r="37" spans="1:20">
      <c r="B37"/>
      <c r="C37" s="2887" t="s">
        <v>581</v>
      </c>
      <c r="D37" s="2911">
        <v>3</v>
      </c>
      <c r="E37" s="2911">
        <v>13</v>
      </c>
      <c r="F37" s="2887">
        <v>13</v>
      </c>
      <c r="G37" s="2936">
        <f t="shared" si="8"/>
        <v>29</v>
      </c>
      <c r="H37" s="2911">
        <v>223</v>
      </c>
      <c r="I37" s="2911">
        <v>252</v>
      </c>
      <c r="J37" s="2911">
        <v>80</v>
      </c>
      <c r="K37" s="2911"/>
      <c r="L37" s="2936">
        <f t="shared" si="9"/>
        <v>555</v>
      </c>
      <c r="M37" s="2911">
        <v>33</v>
      </c>
      <c r="N37" s="2911">
        <v>506</v>
      </c>
      <c r="O37" s="2911"/>
      <c r="P37" s="2936">
        <f t="shared" si="10"/>
        <v>539</v>
      </c>
      <c r="Q37"/>
      <c r="R37"/>
      <c r="S37"/>
      <c r="T37"/>
    </row>
    <row r="38" spans="1:20">
      <c r="B38"/>
      <c r="C38" s="2922" t="s">
        <v>118</v>
      </c>
      <c r="D38" s="2937">
        <f>SUM(D29:D37)</f>
        <v>12</v>
      </c>
      <c r="E38" s="2937">
        <f t="shared" ref="E38:P38" si="11">SUM(E29:E37)</f>
        <v>35</v>
      </c>
      <c r="F38" s="2937">
        <f>SUM(F29:F37)</f>
        <v>22</v>
      </c>
      <c r="G38" s="2937">
        <f>SUM(G29:G37)</f>
        <v>69</v>
      </c>
      <c r="H38" s="2937">
        <f t="shared" si="11"/>
        <v>293</v>
      </c>
      <c r="I38" s="2937">
        <f t="shared" si="11"/>
        <v>357</v>
      </c>
      <c r="J38" s="2937">
        <f t="shared" si="11"/>
        <v>80</v>
      </c>
      <c r="K38" s="2937"/>
      <c r="L38" s="2937">
        <f t="shared" si="11"/>
        <v>730</v>
      </c>
      <c r="M38" s="2937">
        <f t="shared" si="11"/>
        <v>53</v>
      </c>
      <c r="N38" s="2937">
        <f t="shared" si="11"/>
        <v>1092</v>
      </c>
      <c r="O38" s="2937">
        <f t="shared" si="11"/>
        <v>0</v>
      </c>
      <c r="P38" s="2937">
        <f t="shared" si="11"/>
        <v>1145</v>
      </c>
      <c r="Q38"/>
      <c r="R38"/>
      <c r="S38"/>
      <c r="T38"/>
    </row>
    <row r="39" spans="1:20">
      <c r="B39"/>
      <c r="C39" s="2938"/>
      <c r="D39"/>
      <c r="E39"/>
      <c r="F39"/>
      <c r="G39"/>
      <c r="H39"/>
      <c r="I39"/>
      <c r="J39"/>
      <c r="K39"/>
      <c r="L39"/>
      <c r="M39"/>
      <c r="N39"/>
      <c r="O39"/>
      <c r="P39"/>
      <c r="Q39"/>
      <c r="R39"/>
      <c r="S39"/>
      <c r="T39"/>
    </row>
    <row r="40" spans="1:20">
      <c r="B40">
        <v>2</v>
      </c>
      <c r="C40" s="2939" t="s">
        <v>177</v>
      </c>
      <c r="D40"/>
      <c r="E40"/>
      <c r="F40"/>
      <c r="G40"/>
      <c r="H40"/>
      <c r="I40"/>
      <c r="J40"/>
      <c r="K40"/>
      <c r="L40"/>
      <c r="M40"/>
      <c r="N40"/>
      <c r="O40"/>
      <c r="P40"/>
      <c r="Q40"/>
      <c r="R40"/>
      <c r="S40"/>
      <c r="T40"/>
    </row>
    <row r="41" spans="1:20">
      <c r="B41"/>
      <c r="C41" s="2922" t="s">
        <v>566</v>
      </c>
      <c r="D41" s="2922" t="s">
        <v>567</v>
      </c>
      <c r="E41" s="2922"/>
      <c r="F41" s="2922"/>
      <c r="G41" s="2922"/>
      <c r="H41" s="2922" t="s">
        <v>590</v>
      </c>
      <c r="I41" s="2922"/>
      <c r="J41" s="2922"/>
      <c r="K41" s="2922"/>
      <c r="L41" s="2922"/>
      <c r="M41" s="2922" t="s">
        <v>591</v>
      </c>
      <c r="N41" s="2922"/>
      <c r="O41" s="2922"/>
      <c r="P41" s="2922"/>
      <c r="Q41"/>
      <c r="R41"/>
      <c r="S41"/>
      <c r="T41"/>
    </row>
    <row r="42" spans="1:20">
      <c r="B42"/>
      <c r="C42" s="2922"/>
      <c r="D42" s="2922" t="s">
        <v>570</v>
      </c>
      <c r="E42" s="2922" t="s">
        <v>571</v>
      </c>
      <c r="F42" s="2922" t="s">
        <v>572</v>
      </c>
      <c r="G42" s="2922" t="s">
        <v>118</v>
      </c>
      <c r="H42" s="2922" t="s">
        <v>570</v>
      </c>
      <c r="I42" s="2922" t="s">
        <v>571</v>
      </c>
      <c r="J42" s="2922" t="s">
        <v>572</v>
      </c>
      <c r="K42" s="2922"/>
      <c r="L42" s="2922" t="s">
        <v>118</v>
      </c>
      <c r="M42" s="2922" t="s">
        <v>570</v>
      </c>
      <c r="N42" s="2922" t="s">
        <v>571</v>
      </c>
      <c r="O42" s="2922" t="s">
        <v>572</v>
      </c>
      <c r="P42" s="2922" t="s">
        <v>118</v>
      </c>
      <c r="Q42"/>
      <c r="R42"/>
      <c r="S42"/>
      <c r="T42"/>
    </row>
    <row r="43" spans="1:20">
      <c r="B43"/>
      <c r="C43" s="2935" t="s">
        <v>573</v>
      </c>
      <c r="D43" s="2915">
        <v>11</v>
      </c>
      <c r="E43" s="2940"/>
      <c r="F43" s="2107"/>
      <c r="G43" s="2936">
        <f>+D43+E43+F43</f>
        <v>11</v>
      </c>
      <c r="H43" s="2911">
        <v>19</v>
      </c>
      <c r="I43" s="2483"/>
      <c r="J43" s="2483"/>
      <c r="K43" s="2483"/>
      <c r="L43" s="2936">
        <f>+H43+I43+J43</f>
        <v>19</v>
      </c>
      <c r="M43" s="2911"/>
      <c r="N43" s="2483"/>
      <c r="O43" s="2483"/>
      <c r="P43" s="2936">
        <f>+M43+N43+O43</f>
        <v>0</v>
      </c>
      <c r="Q43"/>
      <c r="R43"/>
      <c r="S43"/>
      <c r="T43"/>
    </row>
    <row r="44" spans="1:20">
      <c r="B44"/>
      <c r="C44" s="2887" t="s">
        <v>574</v>
      </c>
      <c r="D44" s="2911">
        <v>6</v>
      </c>
      <c r="E44" s="2483"/>
      <c r="F44" s="2107"/>
      <c r="G44" s="2936">
        <f t="shared" ref="G44:G51" si="12">+D44+E44+F44</f>
        <v>6</v>
      </c>
      <c r="H44" s="2911">
        <v>16</v>
      </c>
      <c r="I44" s="2483"/>
      <c r="J44" s="2483"/>
      <c r="K44" s="2483"/>
      <c r="L44" s="2936">
        <f t="shared" ref="L44:L51" si="13">+H44+I44+J44</f>
        <v>16</v>
      </c>
      <c r="M44" s="2911"/>
      <c r="N44" s="2483"/>
      <c r="O44" s="2483"/>
      <c r="P44" s="2936">
        <f t="shared" ref="P44:P51" si="14">+M44+N44+O44</f>
        <v>0</v>
      </c>
      <c r="Q44"/>
      <c r="R44"/>
      <c r="S44"/>
      <c r="T44"/>
    </row>
    <row r="45" spans="1:20">
      <c r="B45"/>
      <c r="C45" s="2887" t="s">
        <v>575</v>
      </c>
      <c r="D45" s="2911">
        <v>1</v>
      </c>
      <c r="E45" s="2483"/>
      <c r="F45" s="2107"/>
      <c r="G45" s="2936">
        <f t="shared" si="12"/>
        <v>1</v>
      </c>
      <c r="H45" s="2911">
        <v>9</v>
      </c>
      <c r="I45" s="2483"/>
      <c r="J45" s="2483"/>
      <c r="K45" s="2483"/>
      <c r="L45" s="2936">
        <f t="shared" si="13"/>
        <v>9</v>
      </c>
      <c r="M45" s="2911"/>
      <c r="N45" s="2483"/>
      <c r="O45" s="2483"/>
      <c r="P45" s="2936">
        <f t="shared" si="14"/>
        <v>0</v>
      </c>
      <c r="Q45"/>
      <c r="R45"/>
      <c r="S45"/>
      <c r="T45"/>
    </row>
    <row r="46" spans="1:20">
      <c r="B46"/>
      <c r="C46" s="2887" t="s">
        <v>576</v>
      </c>
      <c r="D46" s="2911">
        <v>4</v>
      </c>
      <c r="E46" s="2483"/>
      <c r="F46" s="2107"/>
      <c r="G46" s="2936">
        <f t="shared" si="12"/>
        <v>4</v>
      </c>
      <c r="H46" s="2911">
        <v>22</v>
      </c>
      <c r="I46" s="2483"/>
      <c r="J46" s="2483"/>
      <c r="K46" s="2483"/>
      <c r="L46" s="2936">
        <f t="shared" si="13"/>
        <v>22</v>
      </c>
      <c r="M46" s="2911"/>
      <c r="N46" s="2483"/>
      <c r="O46" s="2483"/>
      <c r="P46" s="2936">
        <f t="shared" si="14"/>
        <v>0</v>
      </c>
      <c r="Q46"/>
      <c r="R46"/>
      <c r="S46"/>
      <c r="T46"/>
    </row>
    <row r="47" spans="1:20">
      <c r="B47"/>
      <c r="C47" s="2887" t="s">
        <v>577</v>
      </c>
      <c r="D47" s="2911">
        <v>6</v>
      </c>
      <c r="E47" s="2483"/>
      <c r="F47" s="2107"/>
      <c r="G47" s="2936">
        <f t="shared" si="12"/>
        <v>6</v>
      </c>
      <c r="H47" s="2911">
        <v>4</v>
      </c>
      <c r="I47" s="2483"/>
      <c r="J47" s="2483"/>
      <c r="K47" s="2483"/>
      <c r="L47" s="2936">
        <f t="shared" si="13"/>
        <v>4</v>
      </c>
      <c r="M47" s="2911"/>
      <c r="N47" s="2483"/>
      <c r="O47" s="2483"/>
      <c r="P47" s="2936">
        <f t="shared" si="14"/>
        <v>0</v>
      </c>
      <c r="Q47"/>
      <c r="R47"/>
      <c r="S47"/>
      <c r="T47"/>
    </row>
    <row r="48" spans="1:20">
      <c r="B48"/>
      <c r="C48" s="2887" t="s">
        <v>578</v>
      </c>
      <c r="D48" s="2911">
        <v>4</v>
      </c>
      <c r="E48" s="2483"/>
      <c r="F48" s="2107"/>
      <c r="G48" s="2936">
        <f t="shared" si="12"/>
        <v>4</v>
      </c>
      <c r="H48" s="2911">
        <v>55</v>
      </c>
      <c r="I48" s="2483"/>
      <c r="J48" s="2483"/>
      <c r="K48" s="2483"/>
      <c r="L48" s="2936">
        <f t="shared" si="13"/>
        <v>55</v>
      </c>
      <c r="M48" s="2911"/>
      <c r="N48" s="2483"/>
      <c r="O48" s="2483"/>
      <c r="P48" s="2936">
        <f t="shared" si="14"/>
        <v>0</v>
      </c>
      <c r="Q48"/>
      <c r="R48"/>
      <c r="S48"/>
      <c r="T48"/>
    </row>
    <row r="49" spans="1:20">
      <c r="B49"/>
      <c r="C49" s="2887" t="s">
        <v>579</v>
      </c>
      <c r="D49" s="2911">
        <v>6</v>
      </c>
      <c r="E49" s="2483"/>
      <c r="F49" s="2107"/>
      <c r="G49" s="2936">
        <f t="shared" si="12"/>
        <v>6</v>
      </c>
      <c r="H49" s="2911">
        <v>23</v>
      </c>
      <c r="I49" s="2483"/>
      <c r="J49" s="2483"/>
      <c r="K49" s="2483"/>
      <c r="L49" s="2936">
        <f t="shared" si="13"/>
        <v>23</v>
      </c>
      <c r="M49" s="2911"/>
      <c r="N49" s="2483"/>
      <c r="O49" s="2483"/>
      <c r="P49" s="2936">
        <f t="shared" si="14"/>
        <v>0</v>
      </c>
      <c r="Q49"/>
      <c r="R49"/>
      <c r="S49"/>
      <c r="T49"/>
    </row>
    <row r="50" spans="1:20">
      <c r="B50"/>
      <c r="C50" s="2887" t="s">
        <v>580</v>
      </c>
      <c r="D50" s="2911">
        <v>5</v>
      </c>
      <c r="E50" s="2483"/>
      <c r="F50" s="2107"/>
      <c r="G50" s="2936">
        <f t="shared" si="12"/>
        <v>5</v>
      </c>
      <c r="H50" s="2911">
        <v>13</v>
      </c>
      <c r="I50" s="2483"/>
      <c r="J50" s="2483"/>
      <c r="K50" s="2483"/>
      <c r="L50" s="2936">
        <f t="shared" si="13"/>
        <v>13</v>
      </c>
      <c r="M50" s="2911"/>
      <c r="N50" s="2483"/>
      <c r="O50" s="2483"/>
      <c r="P50" s="2936">
        <f t="shared" si="14"/>
        <v>0</v>
      </c>
      <c r="Q50"/>
      <c r="R50"/>
      <c r="S50"/>
      <c r="T50"/>
    </row>
    <row r="51" spans="1:20">
      <c r="A51" s="193">
        <v>3</v>
      </c>
      <c r="B51"/>
      <c r="C51" s="2887" t="s">
        <v>581</v>
      </c>
      <c r="D51" s="2911">
        <v>18</v>
      </c>
      <c r="E51" s="2483"/>
      <c r="F51" s="2107"/>
      <c r="G51" s="2936">
        <f t="shared" si="12"/>
        <v>18</v>
      </c>
      <c r="H51" s="2911">
        <v>252</v>
      </c>
      <c r="I51" s="2483"/>
      <c r="J51" s="2483"/>
      <c r="K51" s="2483"/>
      <c r="L51" s="2936">
        <f t="shared" si="13"/>
        <v>252</v>
      </c>
      <c r="M51" s="2911">
        <v>5</v>
      </c>
      <c r="N51" s="2483"/>
      <c r="O51" s="2483"/>
      <c r="P51" s="2936">
        <f t="shared" si="14"/>
        <v>5</v>
      </c>
      <c r="Q51"/>
      <c r="R51"/>
      <c r="S51"/>
      <c r="T51"/>
    </row>
    <row r="52" spans="1:20">
      <c r="B52"/>
      <c r="C52" s="2922" t="s">
        <v>118</v>
      </c>
      <c r="D52" s="2937">
        <f t="shared" ref="D52:J52" si="15">SUM(D43:D51)</f>
        <v>61</v>
      </c>
      <c r="E52" s="2937">
        <f t="shared" si="15"/>
        <v>0</v>
      </c>
      <c r="F52" s="2937">
        <f t="shared" si="15"/>
        <v>0</v>
      </c>
      <c r="G52" s="2937">
        <f t="shared" si="15"/>
        <v>61</v>
      </c>
      <c r="H52" s="2937">
        <f t="shared" si="15"/>
        <v>413</v>
      </c>
      <c r="I52" s="2937">
        <f t="shared" si="15"/>
        <v>0</v>
      </c>
      <c r="J52" s="2937">
        <f t="shared" si="15"/>
        <v>0</v>
      </c>
      <c r="K52" s="2937"/>
      <c r="L52" s="2937">
        <f>SUM(L43:L51)</f>
        <v>413</v>
      </c>
      <c r="M52" s="2937">
        <f>SUM(M43:M51)</f>
        <v>5</v>
      </c>
      <c r="N52" s="2937">
        <f>SUM(N43:N51)</f>
        <v>0</v>
      </c>
      <c r="O52" s="2937">
        <f>SUM(O43:O51)</f>
        <v>0</v>
      </c>
      <c r="P52" s="2937">
        <f>SUM(P43:P51)</f>
        <v>5</v>
      </c>
      <c r="Q52"/>
      <c r="R52"/>
      <c r="S52"/>
      <c r="T52"/>
    </row>
    <row r="53" spans="1:20">
      <c r="B53">
        <v>3</v>
      </c>
      <c r="C53" s="2941" t="s">
        <v>178</v>
      </c>
      <c r="D53"/>
      <c r="E53"/>
      <c r="F53"/>
      <c r="G53"/>
      <c r="H53"/>
      <c r="I53"/>
      <c r="J53"/>
      <c r="K53"/>
      <c r="L53"/>
      <c r="M53"/>
      <c r="N53"/>
      <c r="O53"/>
      <c r="P53"/>
      <c r="Q53"/>
      <c r="R53"/>
      <c r="S53"/>
      <c r="T53"/>
    </row>
    <row r="54" spans="1:20">
      <c r="B54"/>
      <c r="C54" s="2922" t="s">
        <v>566</v>
      </c>
      <c r="D54" s="2922" t="s">
        <v>567</v>
      </c>
      <c r="E54" s="2922"/>
      <c r="F54" s="2922"/>
      <c r="G54" s="2922"/>
      <c r="H54" s="2922" t="s">
        <v>590</v>
      </c>
      <c r="I54" s="2922"/>
      <c r="J54" s="2922"/>
      <c r="K54" s="2922"/>
      <c r="L54" s="2922"/>
      <c r="M54" s="2922" t="s">
        <v>591</v>
      </c>
      <c r="N54" s="2922"/>
      <c r="O54" s="2922"/>
      <c r="P54" s="2922"/>
      <c r="Q54"/>
      <c r="R54"/>
      <c r="S54"/>
      <c r="T54"/>
    </row>
    <row r="55" spans="1:20">
      <c r="B55"/>
      <c r="C55" s="2922"/>
      <c r="D55" s="2922" t="s">
        <v>570</v>
      </c>
      <c r="E55" s="2922" t="s">
        <v>571</v>
      </c>
      <c r="F55" s="2922" t="s">
        <v>572</v>
      </c>
      <c r="G55" s="2922" t="s">
        <v>118</v>
      </c>
      <c r="H55" s="2922" t="s">
        <v>570</v>
      </c>
      <c r="I55" s="2922" t="s">
        <v>571</v>
      </c>
      <c r="J55" s="2922" t="s">
        <v>572</v>
      </c>
      <c r="K55" s="2922"/>
      <c r="L55" s="2922" t="s">
        <v>118</v>
      </c>
      <c r="M55" s="2922" t="s">
        <v>570</v>
      </c>
      <c r="N55" s="2922" t="s">
        <v>571</v>
      </c>
      <c r="O55" s="2922" t="s">
        <v>572</v>
      </c>
      <c r="P55" s="2922" t="s">
        <v>118</v>
      </c>
      <c r="Q55"/>
      <c r="R55"/>
      <c r="S55"/>
      <c r="T55"/>
    </row>
    <row r="56" spans="1:20">
      <c r="B56"/>
      <c r="C56" s="2935" t="s">
        <v>573</v>
      </c>
      <c r="D56" s="2940"/>
      <c r="E56" s="2915">
        <v>5</v>
      </c>
      <c r="F56" s="2107"/>
      <c r="G56" s="2936">
        <v>5</v>
      </c>
      <c r="H56" s="2483"/>
      <c r="I56" s="2942">
        <v>5</v>
      </c>
      <c r="J56" s="2483"/>
      <c r="K56" s="2483"/>
      <c r="L56" s="2936">
        <f>+H56+I56+J56</f>
        <v>5</v>
      </c>
      <c r="M56" s="2483"/>
      <c r="N56" s="2911">
        <v>66</v>
      </c>
      <c r="O56" s="2483"/>
      <c r="P56" s="2936">
        <f>+M56+N56+O56</f>
        <v>66</v>
      </c>
      <c r="Q56"/>
      <c r="R56"/>
      <c r="S56"/>
      <c r="T56"/>
    </row>
    <row r="57" spans="1:20">
      <c r="B57"/>
      <c r="C57" s="2887" t="s">
        <v>574</v>
      </c>
      <c r="D57" s="2483"/>
      <c r="E57" s="2911">
        <v>2</v>
      </c>
      <c r="F57" s="2107"/>
      <c r="G57" s="2936">
        <v>2</v>
      </c>
      <c r="H57" s="2483"/>
      <c r="I57" s="2942">
        <v>3</v>
      </c>
      <c r="J57" s="2483"/>
      <c r="K57" s="2483"/>
      <c r="L57" s="2936">
        <f t="shared" ref="L57:L64" si="16">+H57+I57+J57</f>
        <v>3</v>
      </c>
      <c r="M57" s="2483"/>
      <c r="N57" s="2911">
        <v>35</v>
      </c>
      <c r="O57" s="2483"/>
      <c r="P57" s="2936">
        <f t="shared" ref="P57:P64" si="17">+M57+N57+O57</f>
        <v>35</v>
      </c>
      <c r="Q57"/>
      <c r="R57"/>
      <c r="S57"/>
      <c r="T57"/>
    </row>
    <row r="58" spans="1:20">
      <c r="B58"/>
      <c r="C58" s="2887" t="s">
        <v>575</v>
      </c>
      <c r="D58" s="2483"/>
      <c r="E58" s="2911">
        <v>2</v>
      </c>
      <c r="F58" s="2107"/>
      <c r="G58" s="2936">
        <v>2</v>
      </c>
      <c r="H58" s="2483"/>
      <c r="I58" s="2942">
        <v>3</v>
      </c>
      <c r="J58" s="2483"/>
      <c r="K58" s="2483"/>
      <c r="L58" s="2936">
        <f t="shared" si="16"/>
        <v>3</v>
      </c>
      <c r="M58" s="2483"/>
      <c r="N58" s="2911">
        <v>14</v>
      </c>
      <c r="O58" s="2483"/>
      <c r="P58" s="2936">
        <f t="shared" si="17"/>
        <v>14</v>
      </c>
      <c r="Q58"/>
      <c r="R58"/>
      <c r="S58"/>
      <c r="T58"/>
    </row>
    <row r="59" spans="1:20">
      <c r="B59"/>
      <c r="C59" s="2887" t="s">
        <v>576</v>
      </c>
      <c r="D59" s="2483"/>
      <c r="E59" s="2911">
        <v>5</v>
      </c>
      <c r="F59" s="2107"/>
      <c r="G59" s="2936">
        <v>5</v>
      </c>
      <c r="H59" s="2483"/>
      <c r="I59" s="2942">
        <v>9</v>
      </c>
      <c r="J59" s="2483"/>
      <c r="K59" s="2483"/>
      <c r="L59" s="2936">
        <f t="shared" si="16"/>
        <v>9</v>
      </c>
      <c r="M59" s="2483"/>
      <c r="N59" s="2911">
        <v>92</v>
      </c>
      <c r="O59" s="2483"/>
      <c r="P59" s="2936">
        <f t="shared" si="17"/>
        <v>92</v>
      </c>
      <c r="Q59"/>
      <c r="R59"/>
      <c r="S59"/>
      <c r="T59"/>
    </row>
    <row r="60" spans="1:20">
      <c r="B60"/>
      <c r="C60" s="2887" t="s">
        <v>577</v>
      </c>
      <c r="D60" s="2483"/>
      <c r="E60" s="2911">
        <v>10</v>
      </c>
      <c r="F60" s="2107"/>
      <c r="G60" s="2936">
        <v>10</v>
      </c>
      <c r="H60" s="2483"/>
      <c r="I60" s="2942">
        <v>12</v>
      </c>
      <c r="J60" s="2483"/>
      <c r="K60" s="2483"/>
      <c r="L60" s="2936">
        <f t="shared" si="16"/>
        <v>12</v>
      </c>
      <c r="M60" s="2483"/>
      <c r="N60" s="2911">
        <v>123</v>
      </c>
      <c r="O60" s="2483"/>
      <c r="P60" s="2936">
        <f t="shared" si="17"/>
        <v>123</v>
      </c>
      <c r="Q60"/>
      <c r="R60"/>
      <c r="S60"/>
      <c r="T60"/>
    </row>
    <row r="61" spans="1:20">
      <c r="B61"/>
      <c r="C61" s="2887" t="s">
        <v>578</v>
      </c>
      <c r="D61" s="2483"/>
      <c r="E61" s="2911">
        <v>4</v>
      </c>
      <c r="F61" s="2107"/>
      <c r="G61" s="2936">
        <v>4</v>
      </c>
      <c r="H61" s="2483"/>
      <c r="I61" s="2942">
        <v>2</v>
      </c>
      <c r="J61" s="2483"/>
      <c r="K61" s="2483"/>
      <c r="L61" s="2936">
        <f t="shared" si="16"/>
        <v>2</v>
      </c>
      <c r="M61" s="2483"/>
      <c r="N61" s="2911">
        <v>73</v>
      </c>
      <c r="O61" s="2483"/>
      <c r="P61" s="2936">
        <f t="shared" si="17"/>
        <v>73</v>
      </c>
      <c r="Q61"/>
      <c r="R61"/>
      <c r="S61"/>
      <c r="T61"/>
    </row>
    <row r="62" spans="1:20">
      <c r="B62"/>
      <c r="C62" s="2887" t="s">
        <v>579</v>
      </c>
      <c r="D62" s="2483"/>
      <c r="E62" s="2911">
        <v>13</v>
      </c>
      <c r="F62" s="2107"/>
      <c r="G62" s="2936">
        <v>13</v>
      </c>
      <c r="H62" s="2483"/>
      <c r="I62" s="2942">
        <v>10</v>
      </c>
      <c r="J62" s="2483"/>
      <c r="K62" s="2483"/>
      <c r="L62" s="2936">
        <f t="shared" si="16"/>
        <v>10</v>
      </c>
      <c r="M62" s="2483"/>
      <c r="N62" s="2911">
        <v>168</v>
      </c>
      <c r="O62" s="2483"/>
      <c r="P62" s="2936">
        <f t="shared" si="17"/>
        <v>168</v>
      </c>
      <c r="Q62"/>
      <c r="R62"/>
      <c r="S62"/>
      <c r="T62"/>
    </row>
    <row r="63" spans="1:20">
      <c r="B63"/>
      <c r="C63" s="2887" t="s">
        <v>580</v>
      </c>
      <c r="D63" s="2483"/>
      <c r="E63" s="2911">
        <v>6</v>
      </c>
      <c r="F63" s="2107"/>
      <c r="G63" s="2936">
        <v>6</v>
      </c>
      <c r="H63" s="2483"/>
      <c r="I63" s="2942">
        <v>5</v>
      </c>
      <c r="J63" s="2483"/>
      <c r="K63" s="2483"/>
      <c r="L63" s="2936">
        <f t="shared" si="16"/>
        <v>5</v>
      </c>
      <c r="M63" s="2483"/>
      <c r="N63" s="2911">
        <v>77</v>
      </c>
      <c r="O63" s="2483"/>
      <c r="P63" s="2936">
        <f t="shared" si="17"/>
        <v>77</v>
      </c>
      <c r="Q63"/>
      <c r="R63"/>
      <c r="S63"/>
      <c r="T63"/>
    </row>
    <row r="64" spans="1:20">
      <c r="B64"/>
      <c r="C64" s="2887" t="s">
        <v>581</v>
      </c>
      <c r="D64" s="2483"/>
      <c r="E64" s="2911">
        <v>22</v>
      </c>
      <c r="F64" s="2107"/>
      <c r="G64" s="2936">
        <v>22</v>
      </c>
      <c r="H64" s="2483"/>
      <c r="I64" s="2942">
        <v>42</v>
      </c>
      <c r="J64" s="2483"/>
      <c r="K64" s="2483"/>
      <c r="L64" s="2936">
        <f t="shared" si="16"/>
        <v>42</v>
      </c>
      <c r="M64" s="2483"/>
      <c r="N64" s="2911">
        <v>242</v>
      </c>
      <c r="O64" s="2483"/>
      <c r="P64" s="2936">
        <f t="shared" si="17"/>
        <v>242</v>
      </c>
      <c r="Q64"/>
      <c r="R64"/>
      <c r="S64"/>
      <c r="T64"/>
    </row>
    <row r="65" spans="1:20">
      <c r="B65"/>
      <c r="C65" s="2922" t="s">
        <v>118</v>
      </c>
      <c r="D65" s="2937">
        <v>0</v>
      </c>
      <c r="E65" s="2937">
        <v>69</v>
      </c>
      <c r="F65" s="2937">
        <v>0</v>
      </c>
      <c r="G65" s="2937">
        <v>69</v>
      </c>
      <c r="H65" s="2937">
        <v>0</v>
      </c>
      <c r="I65" s="2937">
        <v>91</v>
      </c>
      <c r="J65" s="2937">
        <f>SUM(J56:J64)</f>
        <v>0</v>
      </c>
      <c r="K65" s="2937"/>
      <c r="L65" s="2937">
        <f>SUM(L56:L64)</f>
        <v>91</v>
      </c>
      <c r="M65" s="2937">
        <f>SUM(M56:M64)</f>
        <v>0</v>
      </c>
      <c r="N65" s="2937">
        <f>SUM(N56:N64)</f>
        <v>890</v>
      </c>
      <c r="O65" s="2937">
        <f>SUM(O56:O64)</f>
        <v>0</v>
      </c>
      <c r="P65" s="2937">
        <f>SUM(P56:P64)</f>
        <v>890</v>
      </c>
      <c r="Q65"/>
      <c r="R65"/>
      <c r="S65"/>
      <c r="T65"/>
    </row>
    <row r="66" spans="1:20">
      <c r="A66" s="193">
        <v>4</v>
      </c>
      <c r="B66">
        <v>4</v>
      </c>
      <c r="C66" s="2938" t="s">
        <v>179</v>
      </c>
      <c r="D66"/>
      <c r="E66"/>
      <c r="F66"/>
      <c r="G66"/>
      <c r="H66"/>
      <c r="I66"/>
      <c r="J66"/>
      <c r="K66"/>
      <c r="L66"/>
      <c r="M66"/>
      <c r="N66"/>
      <c r="O66"/>
      <c r="P66"/>
      <c r="Q66"/>
      <c r="R66"/>
      <c r="S66"/>
      <c r="T66"/>
    </row>
    <row r="67" spans="1:20">
      <c r="B67"/>
      <c r="C67" s="2922" t="s">
        <v>566</v>
      </c>
      <c r="D67" s="2922" t="s">
        <v>567</v>
      </c>
      <c r="E67" s="2922"/>
      <c r="F67" s="2922"/>
      <c r="G67" s="2922"/>
      <c r="H67" s="2922" t="s">
        <v>590</v>
      </c>
      <c r="I67" s="2922"/>
      <c r="J67" s="2922"/>
      <c r="K67" s="2922"/>
      <c r="L67" s="2922"/>
      <c r="M67" s="2922" t="s">
        <v>591</v>
      </c>
      <c r="N67" s="2922"/>
      <c r="O67" s="2922"/>
      <c r="P67" s="2922"/>
      <c r="Q67"/>
      <c r="R67"/>
      <c r="S67"/>
      <c r="T67"/>
    </row>
    <row r="68" spans="1:20">
      <c r="B68"/>
      <c r="C68" s="2922"/>
      <c r="D68" s="2922" t="s">
        <v>570</v>
      </c>
      <c r="E68" s="2922" t="s">
        <v>571</v>
      </c>
      <c r="F68" s="2922" t="s">
        <v>572</v>
      </c>
      <c r="G68" s="2922" t="s">
        <v>118</v>
      </c>
      <c r="H68" s="2922" t="s">
        <v>570</v>
      </c>
      <c r="I68" s="2922" t="s">
        <v>571</v>
      </c>
      <c r="J68" s="2922" t="s">
        <v>572</v>
      </c>
      <c r="K68" s="2922"/>
      <c r="L68" s="2922" t="s">
        <v>118</v>
      </c>
      <c r="M68" s="2922" t="s">
        <v>570</v>
      </c>
      <c r="N68" s="2922" t="s">
        <v>571</v>
      </c>
      <c r="O68" s="2922" t="s">
        <v>572</v>
      </c>
      <c r="P68" s="2922" t="s">
        <v>118</v>
      </c>
      <c r="Q68"/>
      <c r="R68"/>
      <c r="S68"/>
      <c r="T68"/>
    </row>
    <row r="69" spans="1:20">
      <c r="B69"/>
      <c r="C69" s="2935" t="s">
        <v>573</v>
      </c>
      <c r="D69" s="2940">
        <v>0</v>
      </c>
      <c r="E69" s="2915">
        <v>6</v>
      </c>
      <c r="F69" s="3350">
        <v>3</v>
      </c>
      <c r="G69" s="2936">
        <f>+D69+E69+F69</f>
        <v>9</v>
      </c>
      <c r="H69" s="2911">
        <v>7</v>
      </c>
      <c r="I69" s="2911">
        <v>29</v>
      </c>
      <c r="J69" s="2911">
        <v>0</v>
      </c>
      <c r="K69" s="2911"/>
      <c r="L69" s="2936">
        <f>+H69+I69+J69</f>
        <v>36</v>
      </c>
      <c r="M69" s="2943">
        <v>19</v>
      </c>
      <c r="N69" s="2944">
        <v>376</v>
      </c>
      <c r="O69" s="2944">
        <v>6</v>
      </c>
      <c r="P69" s="2936">
        <f>+M69+N69+O69</f>
        <v>401</v>
      </c>
      <c r="Q69"/>
      <c r="R69"/>
      <c r="S69"/>
      <c r="T69"/>
    </row>
    <row r="70" spans="1:20">
      <c r="B70"/>
      <c r="C70" s="2887" t="s">
        <v>574</v>
      </c>
      <c r="D70" s="2483">
        <v>0</v>
      </c>
      <c r="E70" s="2911">
        <v>6</v>
      </c>
      <c r="F70" s="3351">
        <v>2</v>
      </c>
      <c r="G70" s="2936">
        <f t="shared" ref="G70:G77" si="18">+D70+E70+F70</f>
        <v>8</v>
      </c>
      <c r="H70" s="2911">
        <v>5</v>
      </c>
      <c r="I70" s="2911">
        <v>25</v>
      </c>
      <c r="J70" s="2911">
        <v>0</v>
      </c>
      <c r="K70" s="2911"/>
      <c r="L70" s="2936">
        <f t="shared" ref="L70:L77" si="19">+H70+I70+J70</f>
        <v>30</v>
      </c>
      <c r="M70" s="2943">
        <v>10</v>
      </c>
      <c r="N70" s="2944">
        <v>289</v>
      </c>
      <c r="O70" s="2944">
        <v>8</v>
      </c>
      <c r="P70" s="2936">
        <f t="shared" ref="P70:P77" si="20">+M70+N70+O70</f>
        <v>307</v>
      </c>
      <c r="Q70"/>
      <c r="R70"/>
      <c r="S70"/>
      <c r="T70"/>
    </row>
    <row r="71" spans="1:20">
      <c r="B71"/>
      <c r="C71" s="2887" t="s">
        <v>575</v>
      </c>
      <c r="D71" s="2483">
        <v>0</v>
      </c>
      <c r="E71" s="2911">
        <v>2</v>
      </c>
      <c r="F71" s="3351">
        <v>2</v>
      </c>
      <c r="G71" s="2936">
        <f t="shared" si="18"/>
        <v>4</v>
      </c>
      <c r="H71" s="2911">
        <v>4</v>
      </c>
      <c r="I71" s="2911">
        <v>19</v>
      </c>
      <c r="J71" s="2911">
        <v>0</v>
      </c>
      <c r="K71" s="2911"/>
      <c r="L71" s="2936">
        <f t="shared" si="19"/>
        <v>23</v>
      </c>
      <c r="M71" s="2943">
        <v>15</v>
      </c>
      <c r="N71" s="2944">
        <v>288</v>
      </c>
      <c r="O71" s="2944">
        <v>2</v>
      </c>
      <c r="P71" s="2936">
        <f t="shared" si="20"/>
        <v>305</v>
      </c>
      <c r="Q71"/>
      <c r="R71"/>
      <c r="S71"/>
      <c r="T71"/>
    </row>
    <row r="72" spans="1:20">
      <c r="B72"/>
      <c r="C72" s="2887" t="s">
        <v>576</v>
      </c>
      <c r="D72" s="2483">
        <v>0</v>
      </c>
      <c r="E72" s="2911">
        <v>11</v>
      </c>
      <c r="F72" s="3351">
        <v>3</v>
      </c>
      <c r="G72" s="2936">
        <f t="shared" si="18"/>
        <v>14</v>
      </c>
      <c r="H72" s="2911">
        <v>8</v>
      </c>
      <c r="I72" s="2911">
        <v>47</v>
      </c>
      <c r="J72" s="2911">
        <v>0</v>
      </c>
      <c r="K72" s="2911"/>
      <c r="L72" s="2936">
        <f t="shared" si="19"/>
        <v>55</v>
      </c>
      <c r="M72" s="2943">
        <v>9</v>
      </c>
      <c r="N72" s="2944">
        <v>178</v>
      </c>
      <c r="O72" s="2944">
        <v>3</v>
      </c>
      <c r="P72" s="2936">
        <f t="shared" si="20"/>
        <v>190</v>
      </c>
      <c r="Q72"/>
      <c r="R72"/>
      <c r="S72"/>
      <c r="T72"/>
    </row>
    <row r="73" spans="1:20">
      <c r="B73"/>
      <c r="C73" s="2887" t="s">
        <v>577</v>
      </c>
      <c r="D73" s="2483">
        <v>0</v>
      </c>
      <c r="E73" s="2911">
        <v>2</v>
      </c>
      <c r="F73" s="3351">
        <v>3</v>
      </c>
      <c r="G73" s="2936">
        <f t="shared" si="18"/>
        <v>5</v>
      </c>
      <c r="H73" s="2911">
        <v>5</v>
      </c>
      <c r="I73" s="2911">
        <v>15</v>
      </c>
      <c r="J73" s="2911">
        <v>0</v>
      </c>
      <c r="K73" s="2911"/>
      <c r="L73" s="2936">
        <f t="shared" si="19"/>
        <v>20</v>
      </c>
      <c r="M73" s="2943">
        <v>24</v>
      </c>
      <c r="N73" s="2944">
        <v>468</v>
      </c>
      <c r="O73" s="2944">
        <v>10</v>
      </c>
      <c r="P73" s="2936">
        <f t="shared" si="20"/>
        <v>502</v>
      </c>
      <c r="Q73"/>
      <c r="R73"/>
      <c r="S73"/>
      <c r="T73"/>
    </row>
    <row r="74" spans="1:20">
      <c r="B74"/>
      <c r="C74" s="2887" t="s">
        <v>578</v>
      </c>
      <c r="D74" s="2483">
        <v>0</v>
      </c>
      <c r="E74" s="2911">
        <v>2</v>
      </c>
      <c r="F74" s="3351">
        <v>3</v>
      </c>
      <c r="G74" s="2936">
        <f t="shared" si="18"/>
        <v>5</v>
      </c>
      <c r="H74" s="2911">
        <v>5</v>
      </c>
      <c r="I74" s="2911">
        <v>16</v>
      </c>
      <c r="J74" s="2911">
        <v>0</v>
      </c>
      <c r="K74" s="2911"/>
      <c r="L74" s="2936">
        <f t="shared" si="19"/>
        <v>21</v>
      </c>
      <c r="M74" s="2943">
        <v>21</v>
      </c>
      <c r="N74" s="2944">
        <v>215</v>
      </c>
      <c r="O74" s="2944">
        <v>8</v>
      </c>
      <c r="P74" s="2936">
        <f t="shared" si="20"/>
        <v>244</v>
      </c>
      <c r="Q74"/>
      <c r="R74"/>
      <c r="S74"/>
      <c r="T74"/>
    </row>
    <row r="75" spans="1:20">
      <c r="B75"/>
      <c r="C75" s="2887" t="s">
        <v>579</v>
      </c>
      <c r="D75" s="2483">
        <v>0</v>
      </c>
      <c r="E75" s="2911">
        <v>19</v>
      </c>
      <c r="F75" s="3351">
        <v>3</v>
      </c>
      <c r="G75" s="2936">
        <f t="shared" si="18"/>
        <v>22</v>
      </c>
      <c r="H75" s="2911">
        <v>8</v>
      </c>
      <c r="I75" s="2911">
        <v>61</v>
      </c>
      <c r="J75" s="2911">
        <v>0</v>
      </c>
      <c r="K75" s="2911"/>
      <c r="L75" s="2936">
        <f t="shared" si="19"/>
        <v>69</v>
      </c>
      <c r="M75" s="2943">
        <v>23</v>
      </c>
      <c r="N75" s="2944">
        <v>680</v>
      </c>
      <c r="O75" s="2944">
        <v>10</v>
      </c>
      <c r="P75" s="2936">
        <f t="shared" si="20"/>
        <v>713</v>
      </c>
      <c r="Q75"/>
      <c r="R75"/>
      <c r="S75"/>
      <c r="T75"/>
    </row>
    <row r="76" spans="1:20">
      <c r="B76"/>
      <c r="C76" s="2887" t="s">
        <v>580</v>
      </c>
      <c r="D76" s="2483">
        <v>0</v>
      </c>
      <c r="E76" s="2911">
        <v>4</v>
      </c>
      <c r="F76" s="3351">
        <v>3</v>
      </c>
      <c r="G76" s="2936">
        <f t="shared" si="18"/>
        <v>7</v>
      </c>
      <c r="H76" s="2911">
        <v>6</v>
      </c>
      <c r="I76" s="2911">
        <v>25</v>
      </c>
      <c r="J76" s="2911">
        <v>0</v>
      </c>
      <c r="K76" s="2911"/>
      <c r="L76" s="2936">
        <f t="shared" si="19"/>
        <v>31</v>
      </c>
      <c r="M76" s="2943">
        <v>14</v>
      </c>
      <c r="N76" s="2944">
        <v>352</v>
      </c>
      <c r="O76" s="2944">
        <v>6</v>
      </c>
      <c r="P76" s="2936">
        <f t="shared" si="20"/>
        <v>372</v>
      </c>
      <c r="Q76"/>
      <c r="R76"/>
      <c r="S76"/>
      <c r="T76"/>
    </row>
    <row r="77" spans="1:20">
      <c r="B77"/>
      <c r="C77" s="2887" t="s">
        <v>581</v>
      </c>
      <c r="D77" s="2483">
        <v>0</v>
      </c>
      <c r="E77" s="2911">
        <v>27</v>
      </c>
      <c r="F77" s="3351">
        <v>12</v>
      </c>
      <c r="G77" s="2936">
        <f t="shared" si="18"/>
        <v>39</v>
      </c>
      <c r="H77" s="2911">
        <v>267</v>
      </c>
      <c r="I77" s="2911">
        <v>420</v>
      </c>
      <c r="J77" s="2911">
        <v>128</v>
      </c>
      <c r="K77" s="2911"/>
      <c r="L77" s="2936">
        <f t="shared" si="19"/>
        <v>815</v>
      </c>
      <c r="M77" s="2943">
        <v>165</v>
      </c>
      <c r="N77" s="2944">
        <v>2461</v>
      </c>
      <c r="O77" s="2944">
        <v>154</v>
      </c>
      <c r="P77" s="2936">
        <f t="shared" si="20"/>
        <v>2780</v>
      </c>
      <c r="Q77"/>
      <c r="R77"/>
      <c r="S77"/>
      <c r="T77"/>
    </row>
    <row r="78" spans="1:20">
      <c r="B78"/>
      <c r="C78" s="2922" t="s">
        <v>118</v>
      </c>
      <c r="D78" s="2937">
        <f t="shared" ref="D78:J78" si="21">SUM(D69:D77)</f>
        <v>0</v>
      </c>
      <c r="E78" s="2937">
        <f t="shared" si="21"/>
        <v>79</v>
      </c>
      <c r="F78" s="2937">
        <f t="shared" si="21"/>
        <v>34</v>
      </c>
      <c r="G78" s="2937">
        <f t="shared" si="21"/>
        <v>113</v>
      </c>
      <c r="H78" s="2937">
        <f t="shared" si="21"/>
        <v>315</v>
      </c>
      <c r="I78" s="2937">
        <f t="shared" si="21"/>
        <v>657</v>
      </c>
      <c r="J78" s="2937">
        <f t="shared" si="21"/>
        <v>128</v>
      </c>
      <c r="K78" s="2937"/>
      <c r="L78" s="2937">
        <f>SUM(L69:L77)</f>
        <v>1100</v>
      </c>
      <c r="M78" s="2937">
        <f>SUM(M69:M77)</f>
        <v>300</v>
      </c>
      <c r="N78" s="2937">
        <f>SUM(N69:N77)</f>
        <v>5307</v>
      </c>
      <c r="O78" s="2937">
        <f>SUM(O69:O77)</f>
        <v>207</v>
      </c>
      <c r="P78" s="2937">
        <f>SUM(P69:P77)</f>
        <v>5814</v>
      </c>
      <c r="Q78" s="14"/>
      <c r="R78"/>
      <c r="S78"/>
      <c r="T78"/>
    </row>
    <row r="79" spans="1:20">
      <c r="B79">
        <v>5</v>
      </c>
      <c r="C79" s="2938" t="s">
        <v>180</v>
      </c>
      <c r="D79"/>
      <c r="E79"/>
      <c r="F79"/>
      <c r="G79"/>
      <c r="H79"/>
      <c r="I79"/>
      <c r="J79"/>
      <c r="K79"/>
      <c r="L79"/>
      <c r="M79"/>
      <c r="N79" s="14"/>
      <c r="O79"/>
      <c r="P79"/>
      <c r="Q79"/>
      <c r="R79"/>
      <c r="S79"/>
      <c r="T79"/>
    </row>
    <row r="80" spans="1:20">
      <c r="B80"/>
      <c r="C80" s="2922" t="s">
        <v>566</v>
      </c>
      <c r="D80" s="2922" t="s">
        <v>567</v>
      </c>
      <c r="E80" s="2922"/>
      <c r="F80" s="2922"/>
      <c r="G80" s="2922"/>
      <c r="H80" s="2922" t="s">
        <v>590</v>
      </c>
      <c r="I80" s="2922"/>
      <c r="J80" s="2922"/>
      <c r="K80" s="2922"/>
      <c r="L80" s="2922"/>
      <c r="M80" s="2922" t="s">
        <v>591</v>
      </c>
      <c r="N80" s="2922"/>
      <c r="O80" s="2922"/>
      <c r="P80" s="2922"/>
      <c r="Q80"/>
      <c r="R80"/>
      <c r="S80"/>
      <c r="T80"/>
    </row>
    <row r="81" spans="1:20">
      <c r="A81" s="193">
        <v>5</v>
      </c>
      <c r="B81"/>
      <c r="C81" s="2922"/>
      <c r="D81" s="2922" t="s">
        <v>570</v>
      </c>
      <c r="E81" s="2922" t="s">
        <v>571</v>
      </c>
      <c r="F81" s="2922" t="s">
        <v>572</v>
      </c>
      <c r="G81" s="2922" t="s">
        <v>118</v>
      </c>
      <c r="H81" s="2922" t="s">
        <v>570</v>
      </c>
      <c r="I81" s="2922" t="s">
        <v>571</v>
      </c>
      <c r="J81" s="2922" t="s">
        <v>572</v>
      </c>
      <c r="K81" s="2922"/>
      <c r="L81" s="2922" t="s">
        <v>118</v>
      </c>
      <c r="M81" s="2922" t="s">
        <v>570</v>
      </c>
      <c r="N81" s="2922" t="s">
        <v>571</v>
      </c>
      <c r="O81" s="2922" t="s">
        <v>572</v>
      </c>
      <c r="P81" s="2922" t="s">
        <v>118</v>
      </c>
      <c r="Q81"/>
      <c r="R81"/>
      <c r="S81"/>
      <c r="T81"/>
    </row>
    <row r="82" spans="1:20">
      <c r="B82"/>
      <c r="C82" s="2935" t="s">
        <v>573</v>
      </c>
      <c r="D82" s="2915">
        <v>0</v>
      </c>
      <c r="E82" s="2915">
        <v>0</v>
      </c>
      <c r="F82" s="2906">
        <v>4</v>
      </c>
      <c r="G82" s="2936">
        <f>+D82+E82+F82</f>
        <v>4</v>
      </c>
      <c r="H82" s="2911">
        <v>22</v>
      </c>
      <c r="I82" s="2911">
        <v>13</v>
      </c>
      <c r="J82" s="2911">
        <v>0</v>
      </c>
      <c r="K82" s="2911"/>
      <c r="L82" s="2936">
        <f>+H82+I82+J82</f>
        <v>35</v>
      </c>
      <c r="M82" s="2911"/>
      <c r="N82" s="2911">
        <v>14</v>
      </c>
      <c r="O82" s="2911"/>
      <c r="P82" s="2936">
        <f>+M82+N82+O82</f>
        <v>14</v>
      </c>
      <c r="Q82"/>
      <c r="R82"/>
      <c r="S82"/>
      <c r="T82"/>
    </row>
    <row r="83" spans="1:20">
      <c r="B83"/>
      <c r="C83" s="2887" t="s">
        <v>574</v>
      </c>
      <c r="D83" s="2911">
        <v>0</v>
      </c>
      <c r="E83" s="2911">
        <v>0</v>
      </c>
      <c r="F83" s="2906">
        <v>6</v>
      </c>
      <c r="G83" s="2936">
        <f t="shared" ref="G83:G90" si="22">+D83+E83+F83</f>
        <v>6</v>
      </c>
      <c r="H83" s="2911">
        <v>21</v>
      </c>
      <c r="I83" s="2911">
        <v>11</v>
      </c>
      <c r="J83" s="2911">
        <v>0</v>
      </c>
      <c r="K83" s="2911"/>
      <c r="L83" s="2936">
        <f t="shared" ref="L83:L90" si="23">+H83+I83+J83</f>
        <v>32</v>
      </c>
      <c r="M83" s="2911"/>
      <c r="N83" s="2911">
        <v>62</v>
      </c>
      <c r="O83" s="2911"/>
      <c r="P83" s="2936">
        <f>+M83+N83+O83</f>
        <v>62</v>
      </c>
      <c r="Q83"/>
      <c r="R83"/>
      <c r="S83"/>
      <c r="T83"/>
    </row>
    <row r="84" spans="1:20">
      <c r="B84"/>
      <c r="C84" s="2887" t="s">
        <v>575</v>
      </c>
      <c r="D84" s="2911">
        <v>0</v>
      </c>
      <c r="E84" s="2911">
        <v>0</v>
      </c>
      <c r="F84" s="2906">
        <v>2</v>
      </c>
      <c r="G84" s="2936">
        <f t="shared" si="22"/>
        <v>2</v>
      </c>
      <c r="H84" s="2911">
        <v>4</v>
      </c>
      <c r="I84" s="2911">
        <v>3</v>
      </c>
      <c r="J84" s="2911">
        <v>0</v>
      </c>
      <c r="K84" s="2911"/>
      <c r="L84" s="2936">
        <f t="shared" si="23"/>
        <v>7</v>
      </c>
      <c r="M84" s="2911"/>
      <c r="N84" s="2911">
        <v>5</v>
      </c>
      <c r="O84" s="2911"/>
      <c r="P84" s="2936">
        <f t="shared" ref="P84:P90" si="24">+M84+N84+O84</f>
        <v>5</v>
      </c>
      <c r="Q84"/>
      <c r="R84"/>
      <c r="S84"/>
      <c r="T84"/>
    </row>
    <row r="85" spans="1:20">
      <c r="B85"/>
      <c r="C85" s="2887" t="s">
        <v>576</v>
      </c>
      <c r="D85" s="2911">
        <v>0</v>
      </c>
      <c r="E85" s="2911">
        <v>0</v>
      </c>
      <c r="F85" s="2906">
        <v>2</v>
      </c>
      <c r="G85" s="2936">
        <f t="shared" si="22"/>
        <v>2</v>
      </c>
      <c r="H85" s="2911">
        <v>24</v>
      </c>
      <c r="I85" s="2911">
        <v>5</v>
      </c>
      <c r="J85" s="2911">
        <v>0</v>
      </c>
      <c r="K85" s="2911"/>
      <c r="L85" s="2936">
        <f t="shared" si="23"/>
        <v>29</v>
      </c>
      <c r="M85" s="2911"/>
      <c r="N85" s="2911">
        <v>22</v>
      </c>
      <c r="O85" s="2911"/>
      <c r="P85" s="2936">
        <f t="shared" si="24"/>
        <v>22</v>
      </c>
      <c r="Q85"/>
      <c r="R85"/>
      <c r="S85"/>
      <c r="T85"/>
    </row>
    <row r="86" spans="1:20">
      <c r="B86"/>
      <c r="C86" s="2887" t="s">
        <v>577</v>
      </c>
      <c r="D86" s="2911">
        <v>0</v>
      </c>
      <c r="E86" s="2911">
        <v>0</v>
      </c>
      <c r="F86" s="2906">
        <v>2</v>
      </c>
      <c r="G86" s="2936">
        <f t="shared" si="22"/>
        <v>2</v>
      </c>
      <c r="H86" s="2911">
        <v>3</v>
      </c>
      <c r="I86" s="2911">
        <v>1</v>
      </c>
      <c r="J86" s="2911">
        <v>0</v>
      </c>
      <c r="K86" s="2911"/>
      <c r="L86" s="2936">
        <f t="shared" si="23"/>
        <v>4</v>
      </c>
      <c r="M86" s="2911"/>
      <c r="N86" s="2911">
        <v>2</v>
      </c>
      <c r="O86" s="2911"/>
      <c r="P86" s="2936">
        <f t="shared" si="24"/>
        <v>2</v>
      </c>
      <c r="Q86"/>
      <c r="R86"/>
      <c r="S86"/>
      <c r="T86"/>
    </row>
    <row r="87" spans="1:20">
      <c r="B87"/>
      <c r="C87" s="2887" t="s">
        <v>578</v>
      </c>
      <c r="D87" s="2911">
        <v>0</v>
      </c>
      <c r="E87" s="2911">
        <v>0</v>
      </c>
      <c r="F87" s="2906">
        <v>2</v>
      </c>
      <c r="G87" s="2936">
        <f t="shared" si="22"/>
        <v>2</v>
      </c>
      <c r="H87" s="2911">
        <v>6</v>
      </c>
      <c r="I87" s="2911">
        <v>4</v>
      </c>
      <c r="J87" s="2911">
        <v>0</v>
      </c>
      <c r="K87" s="2911"/>
      <c r="L87" s="2936">
        <f t="shared" si="23"/>
        <v>10</v>
      </c>
      <c r="M87" s="2911"/>
      <c r="N87" s="2911">
        <v>12</v>
      </c>
      <c r="O87" s="2911"/>
      <c r="P87" s="2936">
        <f t="shared" si="24"/>
        <v>12</v>
      </c>
      <c r="Q87"/>
      <c r="R87"/>
      <c r="S87"/>
      <c r="T87"/>
    </row>
    <row r="88" spans="1:20">
      <c r="B88"/>
      <c r="C88" s="2887" t="s">
        <v>579</v>
      </c>
      <c r="D88" s="2911">
        <v>0</v>
      </c>
      <c r="E88" s="2911">
        <v>0</v>
      </c>
      <c r="F88" s="2906">
        <v>3</v>
      </c>
      <c r="G88" s="2936">
        <f t="shared" si="22"/>
        <v>3</v>
      </c>
      <c r="H88" s="2911">
        <v>17</v>
      </c>
      <c r="I88" s="2911">
        <v>1</v>
      </c>
      <c r="J88" s="2911">
        <v>0</v>
      </c>
      <c r="K88" s="2911"/>
      <c r="L88" s="2936">
        <f t="shared" si="23"/>
        <v>18</v>
      </c>
      <c r="M88" s="2911"/>
      <c r="N88" s="2911">
        <v>9</v>
      </c>
      <c r="O88" s="2911"/>
      <c r="P88" s="2936">
        <f t="shared" si="24"/>
        <v>9</v>
      </c>
      <c r="Q88"/>
      <c r="R88"/>
      <c r="S88"/>
      <c r="T88"/>
    </row>
    <row r="89" spans="1:20">
      <c r="B89"/>
      <c r="C89" s="2887" t="s">
        <v>580</v>
      </c>
      <c r="D89" s="2911">
        <v>0</v>
      </c>
      <c r="E89" s="2911">
        <v>0</v>
      </c>
      <c r="F89" s="2906"/>
      <c r="G89" s="2936">
        <f t="shared" si="22"/>
        <v>0</v>
      </c>
      <c r="H89" s="2911">
        <v>0</v>
      </c>
      <c r="I89" s="2911">
        <v>0</v>
      </c>
      <c r="J89" s="2911">
        <v>0</v>
      </c>
      <c r="K89" s="2911"/>
      <c r="L89" s="2936">
        <f t="shared" si="23"/>
        <v>0</v>
      </c>
      <c r="M89" s="2911"/>
      <c r="N89" s="2911">
        <v>0</v>
      </c>
      <c r="O89" s="2911"/>
      <c r="P89" s="2936">
        <f t="shared" si="24"/>
        <v>0</v>
      </c>
      <c r="Q89"/>
      <c r="R89"/>
      <c r="S89"/>
      <c r="T89"/>
    </row>
    <row r="90" spans="1:20">
      <c r="B90"/>
      <c r="C90" s="2887" t="s">
        <v>581</v>
      </c>
      <c r="D90" s="2911">
        <v>0</v>
      </c>
      <c r="E90" s="2911">
        <v>0</v>
      </c>
      <c r="F90" s="2906">
        <v>5</v>
      </c>
      <c r="G90" s="2936">
        <f t="shared" si="22"/>
        <v>5</v>
      </c>
      <c r="H90" s="2911">
        <f>166+11-46</f>
        <v>131</v>
      </c>
      <c r="I90" s="2911">
        <v>43</v>
      </c>
      <c r="J90" s="2911">
        <v>46</v>
      </c>
      <c r="K90" s="2911"/>
      <c r="L90" s="2936">
        <f t="shared" si="23"/>
        <v>220</v>
      </c>
      <c r="M90" s="2911"/>
      <c r="N90" s="2911">
        <v>48</v>
      </c>
      <c r="O90" s="2911"/>
      <c r="P90" s="2936">
        <f t="shared" si="24"/>
        <v>48</v>
      </c>
      <c r="Q90"/>
      <c r="R90"/>
      <c r="S90"/>
      <c r="T90"/>
    </row>
    <row r="91" spans="1:20">
      <c r="B91"/>
      <c r="C91" s="2922" t="s">
        <v>118</v>
      </c>
      <c r="D91" s="2937">
        <f t="shared" ref="D91:J91" si="25">SUM(D82:D90)</f>
        <v>0</v>
      </c>
      <c r="E91" s="2937">
        <f t="shared" si="25"/>
        <v>0</v>
      </c>
      <c r="F91" s="2937">
        <f t="shared" si="25"/>
        <v>26</v>
      </c>
      <c r="G91" s="2937">
        <f t="shared" si="25"/>
        <v>26</v>
      </c>
      <c r="H91" s="2937">
        <f t="shared" si="25"/>
        <v>228</v>
      </c>
      <c r="I91" s="2937">
        <f t="shared" si="25"/>
        <v>81</v>
      </c>
      <c r="J91" s="2937">
        <f t="shared" si="25"/>
        <v>46</v>
      </c>
      <c r="K91" s="2937"/>
      <c r="L91" s="2937">
        <f>SUM(L82:L90)</f>
        <v>355</v>
      </c>
      <c r="M91" s="2937">
        <f>SUM(M82:M90)</f>
        <v>0</v>
      </c>
      <c r="N91" s="2937">
        <f>SUM(N82:N90)</f>
        <v>174</v>
      </c>
      <c r="O91" s="2937">
        <f>SUM(O82:O90)</f>
        <v>0</v>
      </c>
      <c r="P91" s="2937">
        <f>SUM(P82:P90)</f>
        <v>174</v>
      </c>
      <c r="Q91">
        <v>149</v>
      </c>
      <c r="R91"/>
      <c r="S91"/>
      <c r="T91"/>
    </row>
    <row r="92" spans="1:20">
      <c r="B92">
        <v>6</v>
      </c>
      <c r="C92" s="2939" t="s">
        <v>181</v>
      </c>
      <c r="D92"/>
      <c r="E92"/>
      <c r="F92"/>
      <c r="G92"/>
      <c r="H92"/>
      <c r="I92"/>
      <c r="J92"/>
      <c r="K92"/>
      <c r="L92"/>
      <c r="M92"/>
      <c r="N92"/>
      <c r="O92"/>
      <c r="P92"/>
      <c r="Q92" s="14">
        <f>+P91-Q91</f>
        <v>25</v>
      </c>
      <c r="R92"/>
      <c r="S92"/>
      <c r="T92"/>
    </row>
    <row r="93" spans="1:20">
      <c r="B93"/>
      <c r="C93" s="2922" t="s">
        <v>566</v>
      </c>
      <c r="D93" s="2922" t="s">
        <v>567</v>
      </c>
      <c r="E93" s="2922"/>
      <c r="F93" s="2922"/>
      <c r="G93" s="2922"/>
      <c r="H93" s="2922" t="s">
        <v>590</v>
      </c>
      <c r="I93" s="2922"/>
      <c r="J93" s="2922"/>
      <c r="K93" s="2922"/>
      <c r="L93" s="2922"/>
      <c r="M93" s="2922" t="s">
        <v>591</v>
      </c>
      <c r="N93" s="2922"/>
      <c r="O93" s="2922"/>
      <c r="P93" s="2922"/>
      <c r="Q93"/>
      <c r="R93"/>
      <c r="S93"/>
      <c r="T93"/>
    </row>
    <row r="94" spans="1:20">
      <c r="B94"/>
      <c r="C94" s="2922"/>
      <c r="D94" s="2922" t="s">
        <v>570</v>
      </c>
      <c r="E94" s="2922" t="s">
        <v>571</v>
      </c>
      <c r="F94" s="2922" t="s">
        <v>572</v>
      </c>
      <c r="G94" s="2922" t="s">
        <v>118</v>
      </c>
      <c r="H94" s="2922" t="s">
        <v>570</v>
      </c>
      <c r="I94" s="2922" t="s">
        <v>571</v>
      </c>
      <c r="J94" s="2922" t="s">
        <v>572</v>
      </c>
      <c r="K94" s="2922"/>
      <c r="L94" s="2922" t="s">
        <v>118</v>
      </c>
      <c r="M94" s="2922" t="s">
        <v>570</v>
      </c>
      <c r="N94" s="2922" t="s">
        <v>571</v>
      </c>
      <c r="O94" s="2922" t="s">
        <v>572</v>
      </c>
      <c r="P94" s="2922" t="s">
        <v>118</v>
      </c>
      <c r="Q94"/>
      <c r="R94"/>
      <c r="S94"/>
      <c r="T94"/>
    </row>
    <row r="95" spans="1:20">
      <c r="B95"/>
      <c r="C95" s="2935" t="s">
        <v>573</v>
      </c>
      <c r="D95" s="2915"/>
      <c r="E95" s="2940"/>
      <c r="F95" s="2107"/>
      <c r="G95" s="2936">
        <f>+D95+E95+F95</f>
        <v>0</v>
      </c>
      <c r="H95" s="2911"/>
      <c r="I95" s="2483"/>
      <c r="J95" s="2483"/>
      <c r="K95" s="2483"/>
      <c r="L95" s="2936">
        <f>+H95+I95+J95</f>
        <v>0</v>
      </c>
      <c r="M95" s="2911"/>
      <c r="N95" s="2483"/>
      <c r="O95" s="2483"/>
      <c r="P95" s="2936">
        <f>+M95+N95+O95</f>
        <v>0</v>
      </c>
      <c r="Q95"/>
      <c r="R95"/>
      <c r="S95"/>
      <c r="T95"/>
    </row>
    <row r="96" spans="1:20">
      <c r="A96" s="193">
        <v>6</v>
      </c>
      <c r="B96"/>
      <c r="C96" s="2887" t="s">
        <v>574</v>
      </c>
      <c r="D96" s="2911"/>
      <c r="E96" s="2483"/>
      <c r="F96" s="2107"/>
      <c r="G96" s="2936">
        <f t="shared" ref="G96:G103" si="26">+D96+E96+F96</f>
        <v>0</v>
      </c>
      <c r="H96" s="2911"/>
      <c r="I96" s="2483"/>
      <c r="J96" s="2483"/>
      <c r="K96" s="2483"/>
      <c r="L96" s="2936">
        <f t="shared" ref="L96:L103" si="27">+H96+I96+J96</f>
        <v>0</v>
      </c>
      <c r="M96" s="2911"/>
      <c r="N96" s="2483"/>
      <c r="O96" s="2483"/>
      <c r="P96" s="2936">
        <f t="shared" ref="P96:P103" si="28">+M96+N96+O96</f>
        <v>0</v>
      </c>
      <c r="Q96"/>
      <c r="R96"/>
      <c r="S96"/>
      <c r="T96"/>
    </row>
    <row r="97" spans="1:20">
      <c r="B97"/>
      <c r="C97" s="2887" t="s">
        <v>575</v>
      </c>
      <c r="D97" s="2911"/>
      <c r="E97" s="2483"/>
      <c r="F97" s="2107"/>
      <c r="G97" s="2936">
        <f t="shared" si="26"/>
        <v>0</v>
      </c>
      <c r="H97" s="2911"/>
      <c r="I97" s="2483"/>
      <c r="J97" s="2483"/>
      <c r="K97" s="2483"/>
      <c r="L97" s="2936">
        <f t="shared" si="27"/>
        <v>0</v>
      </c>
      <c r="M97" s="2911"/>
      <c r="N97" s="2483"/>
      <c r="O97" s="2483"/>
      <c r="P97" s="2936">
        <f t="shared" si="28"/>
        <v>0</v>
      </c>
      <c r="Q97"/>
      <c r="R97"/>
      <c r="S97"/>
      <c r="T97"/>
    </row>
    <row r="98" spans="1:20">
      <c r="B98"/>
      <c r="C98" s="2887" t="s">
        <v>576</v>
      </c>
      <c r="D98" s="2911"/>
      <c r="E98" s="2483"/>
      <c r="F98" s="2107"/>
      <c r="G98" s="2936">
        <f t="shared" si="26"/>
        <v>0</v>
      </c>
      <c r="H98" s="2911"/>
      <c r="I98" s="2483"/>
      <c r="J98" s="2483"/>
      <c r="K98" s="2483"/>
      <c r="L98" s="2936">
        <f t="shared" si="27"/>
        <v>0</v>
      </c>
      <c r="M98" s="2911"/>
      <c r="N98" s="2483"/>
      <c r="O98" s="2483"/>
      <c r="P98" s="2936">
        <f t="shared" si="28"/>
        <v>0</v>
      </c>
      <c r="Q98"/>
      <c r="R98"/>
      <c r="S98"/>
      <c r="T98"/>
    </row>
    <row r="99" spans="1:20">
      <c r="B99"/>
      <c r="C99" s="2887" t="s">
        <v>577</v>
      </c>
      <c r="D99" s="2911"/>
      <c r="E99" s="2483"/>
      <c r="F99" s="2107"/>
      <c r="G99" s="2936">
        <f t="shared" si="26"/>
        <v>0</v>
      </c>
      <c r="H99" s="2911"/>
      <c r="I99" s="2483"/>
      <c r="J99" s="2483"/>
      <c r="K99" s="2483"/>
      <c r="L99" s="2936">
        <f t="shared" si="27"/>
        <v>0</v>
      </c>
      <c r="M99" s="2483"/>
      <c r="N99" s="2483"/>
      <c r="O99" s="2483"/>
      <c r="P99" s="2936">
        <f t="shared" si="28"/>
        <v>0</v>
      </c>
      <c r="Q99"/>
      <c r="R99"/>
      <c r="S99"/>
      <c r="T99"/>
    </row>
    <row r="100" spans="1:20">
      <c r="B100"/>
      <c r="C100" s="2887" t="s">
        <v>578</v>
      </c>
      <c r="D100" s="2911"/>
      <c r="E100" s="2483"/>
      <c r="F100" s="2107"/>
      <c r="G100" s="2936">
        <f t="shared" si="26"/>
        <v>0</v>
      </c>
      <c r="H100" s="2911"/>
      <c r="I100" s="2483"/>
      <c r="J100" s="2483"/>
      <c r="K100" s="2483"/>
      <c r="L100" s="2936">
        <f t="shared" si="27"/>
        <v>0</v>
      </c>
      <c r="M100" s="2483"/>
      <c r="N100" s="2483"/>
      <c r="O100" s="2483"/>
      <c r="P100" s="2936">
        <f t="shared" si="28"/>
        <v>0</v>
      </c>
      <c r="Q100"/>
      <c r="R100"/>
      <c r="S100"/>
      <c r="T100"/>
    </row>
    <row r="101" spans="1:20">
      <c r="B101"/>
      <c r="C101" s="2887" t="s">
        <v>579</v>
      </c>
      <c r="D101" s="2911"/>
      <c r="E101" s="2483"/>
      <c r="F101" s="2107"/>
      <c r="G101" s="2936">
        <f t="shared" si="26"/>
        <v>0</v>
      </c>
      <c r="H101" s="2911"/>
      <c r="I101" s="2483"/>
      <c r="J101" s="2483"/>
      <c r="K101" s="2483"/>
      <c r="L101" s="2936">
        <f t="shared" si="27"/>
        <v>0</v>
      </c>
      <c r="M101" s="2483"/>
      <c r="N101" s="2483"/>
      <c r="O101" s="2483"/>
      <c r="P101" s="2936">
        <f t="shared" si="28"/>
        <v>0</v>
      </c>
      <c r="Q101"/>
      <c r="R101"/>
      <c r="S101"/>
      <c r="T101"/>
    </row>
    <row r="102" spans="1:20">
      <c r="B102"/>
      <c r="C102" s="2887" t="s">
        <v>580</v>
      </c>
      <c r="D102" s="2911"/>
      <c r="E102" s="2483"/>
      <c r="F102" s="2107"/>
      <c r="G102" s="2936">
        <f t="shared" si="26"/>
        <v>0</v>
      </c>
      <c r="H102" s="2911"/>
      <c r="I102" s="2483"/>
      <c r="J102" s="2483"/>
      <c r="K102" s="2483"/>
      <c r="L102" s="2936">
        <f t="shared" si="27"/>
        <v>0</v>
      </c>
      <c r="M102" s="2483"/>
      <c r="N102" s="2483"/>
      <c r="O102" s="2483"/>
      <c r="P102" s="2936">
        <f t="shared" si="28"/>
        <v>0</v>
      </c>
      <c r="Q102"/>
      <c r="R102"/>
      <c r="S102"/>
      <c r="T102"/>
    </row>
    <row r="103" spans="1:20">
      <c r="B103"/>
      <c r="C103" s="2887" t="s">
        <v>581</v>
      </c>
      <c r="D103" s="2911"/>
      <c r="E103" s="2483"/>
      <c r="F103" s="2107"/>
      <c r="G103" s="2936">
        <f t="shared" si="26"/>
        <v>0</v>
      </c>
      <c r="H103" s="2911"/>
      <c r="I103" s="2483"/>
      <c r="J103" s="2483"/>
      <c r="K103" s="2483"/>
      <c r="L103" s="2936">
        <f t="shared" si="27"/>
        <v>0</v>
      </c>
      <c r="M103" s="2483"/>
      <c r="N103" s="2483"/>
      <c r="O103" s="2483"/>
      <c r="P103" s="2936">
        <f t="shared" si="28"/>
        <v>0</v>
      </c>
      <c r="Q103"/>
      <c r="R103"/>
      <c r="S103"/>
      <c r="T103"/>
    </row>
    <row r="104" spans="1:20">
      <c r="B104"/>
      <c r="C104" s="2922" t="s">
        <v>118</v>
      </c>
      <c r="D104" s="2937">
        <f t="shared" ref="D104:J104" si="29">SUM(D95:D103)</f>
        <v>0</v>
      </c>
      <c r="E104" s="2937">
        <f t="shared" si="29"/>
        <v>0</v>
      </c>
      <c r="F104" s="2937">
        <f t="shared" si="29"/>
        <v>0</v>
      </c>
      <c r="G104" s="2937">
        <f t="shared" si="29"/>
        <v>0</v>
      </c>
      <c r="H104" s="2937">
        <f t="shared" si="29"/>
        <v>0</v>
      </c>
      <c r="I104" s="2937">
        <f t="shared" si="29"/>
        <v>0</v>
      </c>
      <c r="J104" s="2937">
        <f t="shared" si="29"/>
        <v>0</v>
      </c>
      <c r="K104" s="2937"/>
      <c r="L104" s="2937">
        <f>SUM(L95:L103)</f>
        <v>0</v>
      </c>
      <c r="M104" s="2937">
        <f>SUM(M95:M103)</f>
        <v>0</v>
      </c>
      <c r="N104" s="2937">
        <f>SUM(N95:N103)</f>
        <v>0</v>
      </c>
      <c r="O104" s="2937">
        <f>SUM(O95:O103)</f>
        <v>0</v>
      </c>
      <c r="P104" s="2937">
        <f>SUM(P95:P103)</f>
        <v>0</v>
      </c>
      <c r="Q104"/>
      <c r="R104"/>
      <c r="S104"/>
      <c r="T104"/>
    </row>
    <row r="105" spans="1:20">
      <c r="B105">
        <v>7</v>
      </c>
      <c r="C105" s="2939" t="s">
        <v>182</v>
      </c>
      <c r="D105"/>
      <c r="E105"/>
      <c r="F105"/>
      <c r="G105"/>
      <c r="H105"/>
      <c r="I105"/>
      <c r="J105"/>
      <c r="K105"/>
      <c r="L105"/>
      <c r="M105"/>
      <c r="N105"/>
      <c r="O105"/>
      <c r="P105"/>
      <c r="Q105"/>
      <c r="R105"/>
      <c r="S105"/>
      <c r="T105"/>
    </row>
    <row r="106" spans="1:20">
      <c r="B106"/>
      <c r="C106" s="2922" t="s">
        <v>566</v>
      </c>
      <c r="D106" s="2922" t="s">
        <v>567</v>
      </c>
      <c r="E106" s="2922"/>
      <c r="F106" s="2922"/>
      <c r="G106" s="2922"/>
      <c r="H106" s="2922" t="s">
        <v>590</v>
      </c>
      <c r="I106" s="2922"/>
      <c r="J106" s="2922"/>
      <c r="K106" s="2922"/>
      <c r="L106" s="2922"/>
      <c r="M106" s="2922" t="s">
        <v>591</v>
      </c>
      <c r="N106" s="2922"/>
      <c r="O106" s="2922"/>
      <c r="P106" s="2922"/>
      <c r="Q106"/>
      <c r="R106"/>
      <c r="S106"/>
      <c r="T106"/>
    </row>
    <row r="107" spans="1:20">
      <c r="B107"/>
      <c r="C107" s="2922"/>
      <c r="D107" s="2922" t="s">
        <v>570</v>
      </c>
      <c r="E107" s="2922" t="s">
        <v>571</v>
      </c>
      <c r="F107" s="2922" t="s">
        <v>572</v>
      </c>
      <c r="G107" s="2922" t="s">
        <v>118</v>
      </c>
      <c r="H107" s="2922" t="s">
        <v>570</v>
      </c>
      <c r="I107" s="2922" t="s">
        <v>571</v>
      </c>
      <c r="J107" s="2922" t="s">
        <v>572</v>
      </c>
      <c r="K107" s="2922"/>
      <c r="L107" s="2922" t="s">
        <v>118</v>
      </c>
      <c r="M107" s="2922" t="s">
        <v>570</v>
      </c>
      <c r="N107" s="2922" t="s">
        <v>571</v>
      </c>
      <c r="O107" s="2922" t="s">
        <v>572</v>
      </c>
      <c r="P107" s="2922" t="s">
        <v>118</v>
      </c>
      <c r="Q107"/>
      <c r="R107"/>
      <c r="S107"/>
      <c r="T107"/>
    </row>
    <row r="108" spans="1:20">
      <c r="B108"/>
      <c r="C108" s="2935" t="s">
        <v>573</v>
      </c>
      <c r="D108" s="2945">
        <v>2</v>
      </c>
      <c r="E108" s="2940"/>
      <c r="F108" s="2107"/>
      <c r="G108" s="2936">
        <f>+D108+E108+F108</f>
        <v>2</v>
      </c>
      <c r="H108" s="2945">
        <v>15</v>
      </c>
      <c r="I108" s="2483"/>
      <c r="J108" s="2483"/>
      <c r="K108" s="2483"/>
      <c r="L108" s="2936">
        <f>+H108+I108+J108</f>
        <v>15</v>
      </c>
      <c r="M108" s="2945"/>
      <c r="N108" s="2483"/>
      <c r="O108" s="2483"/>
      <c r="P108" s="2936">
        <f>+M108+N108+O108</f>
        <v>0</v>
      </c>
      <c r="Q108"/>
      <c r="R108"/>
      <c r="S108"/>
      <c r="T108"/>
    </row>
    <row r="109" spans="1:20">
      <c r="B109"/>
      <c r="C109" s="2887" t="s">
        <v>574</v>
      </c>
      <c r="D109" s="2945">
        <v>3</v>
      </c>
      <c r="E109" s="2483"/>
      <c r="F109" s="2107"/>
      <c r="G109" s="2936">
        <f t="shared" ref="G109:G116" si="30">+D109+E109+F109</f>
        <v>3</v>
      </c>
      <c r="H109" s="2945">
        <v>11</v>
      </c>
      <c r="I109" s="2483"/>
      <c r="J109" s="2483"/>
      <c r="K109" s="2483"/>
      <c r="L109" s="2936">
        <f t="shared" ref="L109:L116" si="31">+H109+I109+J109</f>
        <v>11</v>
      </c>
      <c r="M109" s="2945"/>
      <c r="N109" s="2483"/>
      <c r="O109" s="2483"/>
      <c r="P109" s="2936">
        <f t="shared" ref="P109:P116" si="32">+M109+N109+O109</f>
        <v>0</v>
      </c>
      <c r="Q109"/>
      <c r="R109"/>
      <c r="S109"/>
      <c r="T109"/>
    </row>
    <row r="110" spans="1:20">
      <c r="B110"/>
      <c r="C110" s="2887" t="s">
        <v>575</v>
      </c>
      <c r="D110" s="2945">
        <v>2</v>
      </c>
      <c r="E110" s="2483"/>
      <c r="F110" s="2107"/>
      <c r="G110" s="2936">
        <f t="shared" si="30"/>
        <v>2</v>
      </c>
      <c r="H110" s="2945">
        <v>10</v>
      </c>
      <c r="I110" s="2483"/>
      <c r="J110" s="2483"/>
      <c r="K110" s="2483"/>
      <c r="L110" s="2936">
        <f t="shared" si="31"/>
        <v>10</v>
      </c>
      <c r="M110" s="2945">
        <v>2</v>
      </c>
      <c r="N110" s="2483"/>
      <c r="O110" s="2483"/>
      <c r="P110" s="2936">
        <f t="shared" si="32"/>
        <v>2</v>
      </c>
      <c r="Q110"/>
      <c r="R110"/>
      <c r="S110"/>
      <c r="T110"/>
    </row>
    <row r="111" spans="1:20">
      <c r="A111" s="193">
        <v>7</v>
      </c>
      <c r="B111"/>
      <c r="C111" s="2887" t="s">
        <v>576</v>
      </c>
      <c r="D111" s="2945">
        <v>4</v>
      </c>
      <c r="E111" s="2483"/>
      <c r="F111" s="2107"/>
      <c r="G111" s="2936">
        <f t="shared" si="30"/>
        <v>4</v>
      </c>
      <c r="H111" s="2945">
        <v>19</v>
      </c>
      <c r="I111" s="2483"/>
      <c r="J111" s="2483"/>
      <c r="K111" s="2483"/>
      <c r="L111" s="2936">
        <f t="shared" si="31"/>
        <v>19</v>
      </c>
      <c r="M111" s="2945">
        <v>1</v>
      </c>
      <c r="N111" s="2483"/>
      <c r="O111" s="2483"/>
      <c r="P111" s="2936">
        <f t="shared" si="32"/>
        <v>1</v>
      </c>
      <c r="Q111"/>
      <c r="R111"/>
      <c r="S111"/>
      <c r="T111"/>
    </row>
    <row r="112" spans="1:20" ht="42" customHeight="1">
      <c r="B112"/>
      <c r="C112" s="2887" t="s">
        <v>577</v>
      </c>
      <c r="D112" s="2945">
        <v>2</v>
      </c>
      <c r="E112" s="2483"/>
      <c r="F112" s="2107"/>
      <c r="G112" s="2936">
        <f t="shared" si="30"/>
        <v>2</v>
      </c>
      <c r="H112" s="2945">
        <v>5</v>
      </c>
      <c r="I112" s="2483"/>
      <c r="J112" s="2483"/>
      <c r="K112" s="2483"/>
      <c r="L112" s="2936">
        <f t="shared" si="31"/>
        <v>5</v>
      </c>
      <c r="M112" s="2945"/>
      <c r="N112" s="2483"/>
      <c r="O112" s="2483"/>
      <c r="P112" s="2936">
        <f t="shared" si="32"/>
        <v>0</v>
      </c>
      <c r="Q112"/>
      <c r="R112"/>
      <c r="S112"/>
      <c r="T112"/>
    </row>
    <row r="113" spans="1:20">
      <c r="B113"/>
      <c r="C113" s="2887" t="s">
        <v>578</v>
      </c>
      <c r="D113" s="2945">
        <v>2</v>
      </c>
      <c r="E113" s="2483"/>
      <c r="F113" s="2107"/>
      <c r="G113" s="2936">
        <f t="shared" si="30"/>
        <v>2</v>
      </c>
      <c r="H113" s="2945">
        <v>6</v>
      </c>
      <c r="I113" s="2483"/>
      <c r="J113" s="2483"/>
      <c r="K113" s="2483"/>
      <c r="L113" s="2936">
        <f t="shared" si="31"/>
        <v>6</v>
      </c>
      <c r="M113" s="2945"/>
      <c r="N113" s="2483"/>
      <c r="O113" s="2483"/>
      <c r="P113" s="2936">
        <f t="shared" si="32"/>
        <v>0</v>
      </c>
      <c r="Q113"/>
      <c r="R113"/>
      <c r="S113"/>
      <c r="T113"/>
    </row>
    <row r="114" spans="1:20">
      <c r="B114"/>
      <c r="C114" s="2887" t="s">
        <v>579</v>
      </c>
      <c r="D114" s="2945">
        <v>6</v>
      </c>
      <c r="E114" s="2483"/>
      <c r="F114" s="2107"/>
      <c r="G114" s="2936">
        <f t="shared" si="30"/>
        <v>6</v>
      </c>
      <c r="H114" s="2945">
        <v>23</v>
      </c>
      <c r="I114" s="2483"/>
      <c r="J114" s="2483"/>
      <c r="K114" s="2483"/>
      <c r="L114" s="2936">
        <f t="shared" si="31"/>
        <v>23</v>
      </c>
      <c r="M114" s="2945">
        <v>3</v>
      </c>
      <c r="N114" s="2483"/>
      <c r="O114" s="2483"/>
      <c r="P114" s="2936">
        <f t="shared" si="32"/>
        <v>3</v>
      </c>
      <c r="Q114"/>
      <c r="R114"/>
      <c r="S114"/>
      <c r="T114"/>
    </row>
    <row r="115" spans="1:20">
      <c r="B115"/>
      <c r="C115" s="2887" t="s">
        <v>580</v>
      </c>
      <c r="D115" s="2945">
        <v>2</v>
      </c>
      <c r="E115" s="2483"/>
      <c r="F115" s="2107"/>
      <c r="G115" s="2936">
        <f t="shared" si="30"/>
        <v>2</v>
      </c>
      <c r="H115" s="2945">
        <v>9</v>
      </c>
      <c r="I115" s="2483"/>
      <c r="J115" s="2483"/>
      <c r="K115" s="2483"/>
      <c r="L115" s="2936">
        <f t="shared" si="31"/>
        <v>9</v>
      </c>
      <c r="M115" s="2945"/>
      <c r="N115" s="2483"/>
      <c r="O115" s="2483"/>
      <c r="P115" s="2936">
        <f t="shared" si="32"/>
        <v>0</v>
      </c>
      <c r="Q115"/>
      <c r="R115"/>
      <c r="S115"/>
      <c r="T115"/>
    </row>
    <row r="116" spans="1:20">
      <c r="B116"/>
      <c r="C116" s="2887" t="s">
        <v>581</v>
      </c>
      <c r="D116" s="2945">
        <v>9</v>
      </c>
      <c r="E116" s="2483"/>
      <c r="F116" s="2107"/>
      <c r="G116" s="2936">
        <f t="shared" si="30"/>
        <v>9</v>
      </c>
      <c r="H116" s="2945">
        <v>213</v>
      </c>
      <c r="I116" s="2483"/>
      <c r="J116" s="2483"/>
      <c r="K116" s="2483"/>
      <c r="L116" s="2936">
        <f t="shared" si="31"/>
        <v>213</v>
      </c>
      <c r="M116" s="2945">
        <v>1</v>
      </c>
      <c r="N116" s="2483"/>
      <c r="O116" s="2483"/>
      <c r="P116" s="2936">
        <f t="shared" si="32"/>
        <v>1</v>
      </c>
      <c r="Q116"/>
      <c r="R116"/>
      <c r="S116"/>
      <c r="T116"/>
    </row>
    <row r="117" spans="1:20">
      <c r="B117"/>
      <c r="C117" s="2922" t="s">
        <v>118</v>
      </c>
      <c r="D117" s="2937">
        <f t="shared" ref="D117:J117" si="33">SUM(D108:D116)</f>
        <v>32</v>
      </c>
      <c r="E117" s="2937">
        <f t="shared" si="33"/>
        <v>0</v>
      </c>
      <c r="F117" s="2937">
        <f t="shared" si="33"/>
        <v>0</v>
      </c>
      <c r="G117" s="2937">
        <f t="shared" si="33"/>
        <v>32</v>
      </c>
      <c r="H117" s="2937">
        <f t="shared" si="33"/>
        <v>311</v>
      </c>
      <c r="I117" s="2937">
        <f t="shared" si="33"/>
        <v>0</v>
      </c>
      <c r="J117" s="2937">
        <f t="shared" si="33"/>
        <v>0</v>
      </c>
      <c r="K117" s="2937"/>
      <c r="L117" s="2937">
        <f>SUM(L108:L116)</f>
        <v>311</v>
      </c>
      <c r="M117" s="2937">
        <f>SUM(M108:M116)</f>
        <v>7</v>
      </c>
      <c r="N117" s="2937">
        <f>SUM(N108:N116)</f>
        <v>0</v>
      </c>
      <c r="O117" s="2937">
        <f>SUM(O108:O116)</f>
        <v>0</v>
      </c>
      <c r="P117" s="2937">
        <f>SUM(P108:P116)</f>
        <v>7</v>
      </c>
      <c r="Q117"/>
      <c r="R117"/>
      <c r="S117"/>
      <c r="T117"/>
    </row>
    <row r="118" spans="1:20">
      <c r="B118">
        <v>8</v>
      </c>
      <c r="C118" s="2938" t="s">
        <v>183</v>
      </c>
      <c r="D118"/>
      <c r="E118"/>
      <c r="F118"/>
      <c r="G118"/>
      <c r="H118"/>
      <c r="I118"/>
      <c r="J118"/>
      <c r="K118"/>
      <c r="L118"/>
      <c r="M118"/>
      <c r="N118"/>
      <c r="O118"/>
      <c r="P118"/>
      <c r="Q118"/>
      <c r="R118"/>
      <c r="S118"/>
      <c r="T118"/>
    </row>
    <row r="119" spans="1:20">
      <c r="B119"/>
      <c r="C119" s="2922" t="s">
        <v>566</v>
      </c>
      <c r="D119" s="2922" t="s">
        <v>567</v>
      </c>
      <c r="E119" s="2922"/>
      <c r="F119" s="2922"/>
      <c r="G119" s="2922"/>
      <c r="H119" s="2922" t="s">
        <v>590</v>
      </c>
      <c r="I119" s="2922"/>
      <c r="J119" s="2922"/>
      <c r="K119" s="2922"/>
      <c r="L119" s="2922"/>
      <c r="M119" s="2922" t="s">
        <v>591</v>
      </c>
      <c r="N119" s="2922"/>
      <c r="O119" s="2922"/>
      <c r="P119" s="2922"/>
      <c r="Q119"/>
      <c r="R119"/>
      <c r="S119"/>
      <c r="T119"/>
    </row>
    <row r="120" spans="1:20">
      <c r="B120"/>
      <c r="C120" s="2922"/>
      <c r="D120" s="2922" t="s">
        <v>570</v>
      </c>
      <c r="E120" s="2922" t="s">
        <v>571</v>
      </c>
      <c r="F120" s="2922" t="s">
        <v>572</v>
      </c>
      <c r="G120" s="2922" t="s">
        <v>118</v>
      </c>
      <c r="H120" s="2922" t="s">
        <v>570</v>
      </c>
      <c r="I120" s="2922" t="s">
        <v>571</v>
      </c>
      <c r="J120" s="2922" t="s">
        <v>572</v>
      </c>
      <c r="K120" s="2922"/>
      <c r="L120" s="2922" t="s">
        <v>118</v>
      </c>
      <c r="M120" s="2922" t="s">
        <v>570</v>
      </c>
      <c r="N120" s="2922" t="s">
        <v>571</v>
      </c>
      <c r="O120" s="2922" t="s">
        <v>572</v>
      </c>
      <c r="P120" s="2922" t="s">
        <v>118</v>
      </c>
      <c r="Q120"/>
      <c r="R120"/>
      <c r="S120"/>
      <c r="T120"/>
    </row>
    <row r="121" spans="1:20">
      <c r="B121"/>
      <c r="C121" s="2935" t="s">
        <v>573</v>
      </c>
      <c r="D121" s="2915">
        <v>18</v>
      </c>
      <c r="E121" s="2915">
        <v>14</v>
      </c>
      <c r="F121" s="2107"/>
      <c r="G121" s="2936">
        <f>+D121+E121+F121</f>
        <v>32</v>
      </c>
      <c r="H121" s="2911">
        <v>112</v>
      </c>
      <c r="I121" s="2911">
        <v>57</v>
      </c>
      <c r="J121" s="2483"/>
      <c r="K121" s="2483"/>
      <c r="L121" s="2936">
        <f>+H121+I121+J121</f>
        <v>169</v>
      </c>
      <c r="M121" s="2911">
        <v>90</v>
      </c>
      <c r="N121" s="2911">
        <v>244</v>
      </c>
      <c r="O121" s="2483"/>
      <c r="P121" s="2936">
        <f>+M121+N121+O121</f>
        <v>334</v>
      </c>
      <c r="Q121"/>
      <c r="R121"/>
      <c r="S121"/>
      <c r="T121"/>
    </row>
    <row r="122" spans="1:20">
      <c r="B122"/>
      <c r="C122" s="2887" t="s">
        <v>574</v>
      </c>
      <c r="D122" s="2911">
        <v>11</v>
      </c>
      <c r="E122" s="2911">
        <v>8</v>
      </c>
      <c r="F122" s="2107"/>
      <c r="G122" s="2936">
        <f t="shared" ref="G122:G129" si="34">+D122+E122+F122</f>
        <v>19</v>
      </c>
      <c r="H122" s="2911">
        <v>52</v>
      </c>
      <c r="I122" s="2911">
        <v>37</v>
      </c>
      <c r="J122" s="2483"/>
      <c r="K122" s="2483"/>
      <c r="L122" s="2936">
        <f t="shared" ref="L122:L129" si="35">+H122+I122+J122</f>
        <v>89</v>
      </c>
      <c r="M122" s="2911">
        <v>9</v>
      </c>
      <c r="N122" s="2911">
        <v>302</v>
      </c>
      <c r="O122" s="2483"/>
      <c r="P122" s="2936">
        <f t="shared" ref="P122:P129" si="36">+M122+N122+O122</f>
        <v>311</v>
      </c>
      <c r="Q122"/>
      <c r="R122"/>
      <c r="S122"/>
      <c r="T122"/>
    </row>
    <row r="123" spans="1:20">
      <c r="B123"/>
      <c r="C123" s="2887" t="s">
        <v>575</v>
      </c>
      <c r="D123" s="2911">
        <v>15</v>
      </c>
      <c r="E123" s="2911">
        <v>8</v>
      </c>
      <c r="F123" s="2107"/>
      <c r="G123" s="2936">
        <f t="shared" si="34"/>
        <v>23</v>
      </c>
      <c r="H123" s="2911">
        <v>125</v>
      </c>
      <c r="I123" s="2911">
        <v>36</v>
      </c>
      <c r="J123" s="2483"/>
      <c r="K123" s="2483"/>
      <c r="L123" s="2936">
        <f t="shared" si="35"/>
        <v>161</v>
      </c>
      <c r="M123" s="2911">
        <v>57</v>
      </c>
      <c r="N123" s="2911">
        <v>319</v>
      </c>
      <c r="O123" s="2483"/>
      <c r="P123" s="2936">
        <f t="shared" si="36"/>
        <v>376</v>
      </c>
      <c r="Q123"/>
      <c r="R123"/>
      <c r="S123"/>
      <c r="T123"/>
    </row>
    <row r="124" spans="1:20">
      <c r="B124"/>
      <c r="C124" s="2887" t="s">
        <v>576</v>
      </c>
      <c r="D124" s="2911">
        <v>17</v>
      </c>
      <c r="E124" s="2911">
        <v>20</v>
      </c>
      <c r="F124" s="2107"/>
      <c r="G124" s="2936">
        <f t="shared" si="34"/>
        <v>37</v>
      </c>
      <c r="H124" s="2911">
        <v>145</v>
      </c>
      <c r="I124" s="2911">
        <v>40</v>
      </c>
      <c r="J124" s="2483"/>
      <c r="K124" s="2483"/>
      <c r="L124" s="2936">
        <f t="shared" si="35"/>
        <v>185</v>
      </c>
      <c r="M124" s="2911">
        <v>48</v>
      </c>
      <c r="N124" s="2911">
        <v>481</v>
      </c>
      <c r="O124" s="2483"/>
      <c r="P124" s="2936">
        <f t="shared" si="36"/>
        <v>529</v>
      </c>
      <c r="Q124"/>
      <c r="R124"/>
      <c r="S124"/>
      <c r="T124"/>
    </row>
    <row r="125" spans="1:20">
      <c r="B125"/>
      <c r="C125" s="2887" t="s">
        <v>577</v>
      </c>
      <c r="D125" s="2911">
        <v>14</v>
      </c>
      <c r="E125" s="2911">
        <v>11</v>
      </c>
      <c r="F125" s="2107"/>
      <c r="G125" s="2936">
        <f t="shared" si="34"/>
        <v>25</v>
      </c>
      <c r="H125" s="2911">
        <v>57</v>
      </c>
      <c r="I125" s="2911">
        <v>71</v>
      </c>
      <c r="J125" s="2483"/>
      <c r="K125" s="2483"/>
      <c r="L125" s="2936">
        <f t="shared" si="35"/>
        <v>128</v>
      </c>
      <c r="M125" s="2911">
        <v>18</v>
      </c>
      <c r="N125" s="2911">
        <v>270</v>
      </c>
      <c r="O125" s="2483"/>
      <c r="P125" s="2936">
        <f t="shared" si="36"/>
        <v>288</v>
      </c>
      <c r="Q125"/>
      <c r="R125"/>
      <c r="S125"/>
      <c r="T125"/>
    </row>
    <row r="126" spans="1:20">
      <c r="A126" s="193">
        <v>8</v>
      </c>
      <c r="B126"/>
      <c r="C126" s="2887" t="s">
        <v>578</v>
      </c>
      <c r="D126" s="2911">
        <v>20</v>
      </c>
      <c r="E126" s="2911">
        <v>11</v>
      </c>
      <c r="F126" s="2107"/>
      <c r="G126" s="2936">
        <f t="shared" si="34"/>
        <v>31</v>
      </c>
      <c r="H126" s="2911">
        <v>147</v>
      </c>
      <c r="I126" s="2911">
        <v>38</v>
      </c>
      <c r="J126" s="2483"/>
      <c r="K126" s="2483"/>
      <c r="L126" s="2936">
        <f t="shared" si="35"/>
        <v>185</v>
      </c>
      <c r="M126" s="2911">
        <v>68</v>
      </c>
      <c r="N126" s="2911">
        <v>285</v>
      </c>
      <c r="O126" s="2483"/>
      <c r="P126" s="2936">
        <f t="shared" si="36"/>
        <v>353</v>
      </c>
      <c r="Q126"/>
      <c r="R126"/>
      <c r="S126"/>
      <c r="T126"/>
    </row>
    <row r="127" spans="1:20">
      <c r="B127"/>
      <c r="C127" s="2887" t="s">
        <v>579</v>
      </c>
      <c r="D127" s="2911">
        <v>25</v>
      </c>
      <c r="E127" s="2911">
        <v>13</v>
      </c>
      <c r="F127" s="2107"/>
      <c r="G127" s="2936">
        <f t="shared" si="34"/>
        <v>38</v>
      </c>
      <c r="H127" s="2911">
        <v>170</v>
      </c>
      <c r="I127" s="2911">
        <v>59</v>
      </c>
      <c r="J127" s="2483"/>
      <c r="K127" s="2483"/>
      <c r="L127" s="2936">
        <f t="shared" si="35"/>
        <v>229</v>
      </c>
      <c r="M127" s="2911">
        <v>72</v>
      </c>
      <c r="N127" s="2911">
        <v>367</v>
      </c>
      <c r="O127" s="2483"/>
      <c r="P127" s="2936">
        <f t="shared" si="36"/>
        <v>439</v>
      </c>
      <c r="Q127"/>
      <c r="R127"/>
      <c r="S127"/>
      <c r="T127"/>
    </row>
    <row r="128" spans="1:20">
      <c r="B128"/>
      <c r="C128" s="2887" t="s">
        <v>580</v>
      </c>
      <c r="D128" s="2911">
        <v>8</v>
      </c>
      <c r="E128" s="2911">
        <v>6</v>
      </c>
      <c r="F128" s="2107"/>
      <c r="G128" s="2936">
        <f t="shared" si="34"/>
        <v>14</v>
      </c>
      <c r="H128" s="2911">
        <v>93</v>
      </c>
      <c r="I128" s="2911">
        <v>35</v>
      </c>
      <c r="J128" s="2483"/>
      <c r="K128" s="2483"/>
      <c r="L128" s="2936">
        <f t="shared" si="35"/>
        <v>128</v>
      </c>
      <c r="M128" s="2911">
        <v>24</v>
      </c>
      <c r="N128" s="2911">
        <v>251</v>
      </c>
      <c r="O128" s="2483"/>
      <c r="P128" s="2936">
        <f t="shared" si="36"/>
        <v>275</v>
      </c>
      <c r="Q128"/>
      <c r="R128"/>
      <c r="S128"/>
      <c r="T128"/>
    </row>
    <row r="129" spans="1:20">
      <c r="B129"/>
      <c r="C129" s="2887" t="s">
        <v>581</v>
      </c>
      <c r="D129" s="2911">
        <v>104</v>
      </c>
      <c r="E129" s="2911">
        <v>51</v>
      </c>
      <c r="F129" s="2107"/>
      <c r="G129" s="2936">
        <f t="shared" si="34"/>
        <v>155</v>
      </c>
      <c r="H129" s="2911">
        <v>1731</v>
      </c>
      <c r="I129" s="2911">
        <v>555</v>
      </c>
      <c r="J129" s="2483"/>
      <c r="K129" s="2483"/>
      <c r="L129" s="2936">
        <f t="shared" si="35"/>
        <v>2286</v>
      </c>
      <c r="M129" s="2911">
        <v>404</v>
      </c>
      <c r="N129" s="2911">
        <v>1303</v>
      </c>
      <c r="O129" s="2483"/>
      <c r="P129" s="2936">
        <f t="shared" si="36"/>
        <v>1707</v>
      </c>
      <c r="Q129"/>
      <c r="R129"/>
      <c r="S129"/>
      <c r="T129"/>
    </row>
    <row r="130" spans="1:20">
      <c r="B130"/>
      <c r="C130" s="2922" t="s">
        <v>118</v>
      </c>
      <c r="D130" s="2937">
        <f t="shared" ref="D130:J130" si="37">SUM(D121:D129)</f>
        <v>232</v>
      </c>
      <c r="E130" s="2937">
        <f t="shared" si="37"/>
        <v>142</v>
      </c>
      <c r="F130" s="2937">
        <f t="shared" si="37"/>
        <v>0</v>
      </c>
      <c r="G130" s="2937">
        <f t="shared" si="37"/>
        <v>374</v>
      </c>
      <c r="H130" s="2937">
        <f t="shared" si="37"/>
        <v>2632</v>
      </c>
      <c r="I130" s="2937">
        <f t="shared" si="37"/>
        <v>928</v>
      </c>
      <c r="J130" s="2937">
        <f t="shared" si="37"/>
        <v>0</v>
      </c>
      <c r="K130" s="2937"/>
      <c r="L130" s="2937">
        <f>SUM(L121:L129)</f>
        <v>3560</v>
      </c>
      <c r="M130" s="2937">
        <f>SUM(M121:M129)</f>
        <v>790</v>
      </c>
      <c r="N130" s="2937">
        <f>SUM(N121:N129)</f>
        <v>3822</v>
      </c>
      <c r="O130" s="2937">
        <f>SUM(O121:O129)</f>
        <v>0</v>
      </c>
      <c r="P130" s="2937">
        <f>SUM(P121:P129)</f>
        <v>4612</v>
      </c>
      <c r="Q130"/>
      <c r="R130"/>
      <c r="S130"/>
      <c r="T130"/>
    </row>
    <row r="131" spans="1:20">
      <c r="B131">
        <v>9</v>
      </c>
      <c r="C131" s="2938" t="s">
        <v>184</v>
      </c>
      <c r="D131"/>
      <c r="E131"/>
      <c r="F131"/>
      <c r="G131"/>
      <c r="H131"/>
      <c r="I131"/>
      <c r="J131"/>
      <c r="K131"/>
      <c r="L131"/>
      <c r="M131"/>
      <c r="N131"/>
      <c r="O131"/>
      <c r="P131"/>
      <c r="Q131"/>
      <c r="R131"/>
      <c r="S131"/>
      <c r="T131"/>
    </row>
    <row r="132" spans="1:20">
      <c r="B132"/>
      <c r="C132" s="2922" t="s">
        <v>566</v>
      </c>
      <c r="D132" s="2922" t="s">
        <v>567</v>
      </c>
      <c r="E132" s="2922"/>
      <c r="F132" s="2922"/>
      <c r="G132" s="2922"/>
      <c r="H132" s="2922" t="s">
        <v>590</v>
      </c>
      <c r="I132" s="2922"/>
      <c r="J132" s="2922"/>
      <c r="K132" s="2922"/>
      <c r="L132" s="2922"/>
      <c r="M132" s="2922" t="s">
        <v>591</v>
      </c>
      <c r="N132" s="2922"/>
      <c r="O132" s="2922"/>
      <c r="P132" s="2922"/>
      <c r="Q132"/>
      <c r="R132"/>
      <c r="S132"/>
      <c r="T132"/>
    </row>
    <row r="133" spans="1:20">
      <c r="B133"/>
      <c r="C133" s="2922"/>
      <c r="D133" s="2922" t="s">
        <v>570</v>
      </c>
      <c r="E133" s="2922" t="s">
        <v>571</v>
      </c>
      <c r="F133" s="2922" t="s">
        <v>572</v>
      </c>
      <c r="G133" s="2922" t="s">
        <v>118</v>
      </c>
      <c r="H133" s="2922" t="s">
        <v>570</v>
      </c>
      <c r="I133" s="2922" t="s">
        <v>571</v>
      </c>
      <c r="J133" s="2922" t="s">
        <v>572</v>
      </c>
      <c r="K133" s="2922"/>
      <c r="L133" s="2922" t="s">
        <v>118</v>
      </c>
      <c r="M133" s="2922" t="s">
        <v>570</v>
      </c>
      <c r="N133" s="2922" t="s">
        <v>571</v>
      </c>
      <c r="O133" s="2922" t="s">
        <v>572</v>
      </c>
      <c r="P133" s="2922" t="s">
        <v>118</v>
      </c>
      <c r="Q133"/>
      <c r="R133"/>
      <c r="S133"/>
      <c r="T133"/>
    </row>
    <row r="134" spans="1:20">
      <c r="B134"/>
      <c r="C134" s="2935" t="s">
        <v>573</v>
      </c>
      <c r="D134" s="2940"/>
      <c r="E134" s="2940"/>
      <c r="F134" s="2946">
        <v>3</v>
      </c>
      <c r="G134" s="2936">
        <f>+D134+E134+F134</f>
        <v>3</v>
      </c>
      <c r="H134" s="2911"/>
      <c r="I134" s="2911"/>
      <c r="J134" s="2911">
        <v>39</v>
      </c>
      <c r="K134" s="2911"/>
      <c r="L134" s="2936">
        <f>+H134+I134+J134</f>
        <v>39</v>
      </c>
      <c r="M134" s="2911">
        <v>48</v>
      </c>
      <c r="N134" s="2911">
        <v>150</v>
      </c>
      <c r="O134" s="2911"/>
      <c r="P134" s="2936">
        <f>+M134+N134+O134</f>
        <v>198</v>
      </c>
      <c r="Q134"/>
      <c r="R134"/>
      <c r="S134"/>
      <c r="T134"/>
    </row>
    <row r="135" spans="1:20">
      <c r="B135"/>
      <c r="C135" s="2887" t="s">
        <v>574</v>
      </c>
      <c r="D135" s="2483"/>
      <c r="E135" s="2483"/>
      <c r="F135" s="2946">
        <v>4</v>
      </c>
      <c r="G135" s="2936">
        <f t="shared" ref="G135:G142" si="38">+D135+E135+F135</f>
        <v>4</v>
      </c>
      <c r="H135" s="2911"/>
      <c r="I135" s="2911"/>
      <c r="J135" s="2911">
        <v>23</v>
      </c>
      <c r="K135" s="2911"/>
      <c r="L135" s="2936">
        <f t="shared" ref="L135:L142" si="39">+H135+I135+J135</f>
        <v>23</v>
      </c>
      <c r="M135" s="2911">
        <v>31</v>
      </c>
      <c r="N135" s="2911">
        <v>89</v>
      </c>
      <c r="O135" s="2911"/>
      <c r="P135" s="2936">
        <f t="shared" ref="P135:P142" si="40">+M135+N135+O135</f>
        <v>120</v>
      </c>
      <c r="Q135"/>
      <c r="R135"/>
      <c r="S135"/>
      <c r="T135"/>
    </row>
    <row r="136" spans="1:20">
      <c r="B136"/>
      <c r="C136" s="2887" t="s">
        <v>575</v>
      </c>
      <c r="D136" s="2483"/>
      <c r="E136" s="2483"/>
      <c r="F136" s="2946">
        <v>3</v>
      </c>
      <c r="G136" s="2936">
        <f t="shared" si="38"/>
        <v>3</v>
      </c>
      <c r="H136" s="2911"/>
      <c r="I136" s="2911"/>
      <c r="J136" s="2911">
        <v>39</v>
      </c>
      <c r="K136" s="2911"/>
      <c r="L136" s="2936">
        <f t="shared" si="39"/>
        <v>39</v>
      </c>
      <c r="M136" s="2911">
        <v>47</v>
      </c>
      <c r="N136" s="2911">
        <v>139</v>
      </c>
      <c r="O136" s="2911"/>
      <c r="P136" s="2936">
        <f t="shared" si="40"/>
        <v>186</v>
      </c>
      <c r="Q136"/>
      <c r="R136"/>
      <c r="S136"/>
      <c r="T136"/>
    </row>
    <row r="137" spans="1:20">
      <c r="B137"/>
      <c r="C137" s="2887" t="s">
        <v>576</v>
      </c>
      <c r="D137" s="2483"/>
      <c r="E137" s="2483"/>
      <c r="F137" s="2946">
        <v>3</v>
      </c>
      <c r="G137" s="2936">
        <f t="shared" si="38"/>
        <v>3</v>
      </c>
      <c r="H137" s="2911"/>
      <c r="I137" s="2911"/>
      <c r="J137" s="2911">
        <v>100</v>
      </c>
      <c r="K137" s="2911"/>
      <c r="L137" s="2936">
        <f t="shared" si="39"/>
        <v>100</v>
      </c>
      <c r="M137" s="2911">
        <v>123</v>
      </c>
      <c r="N137" s="2911">
        <v>473</v>
      </c>
      <c r="O137" s="2911"/>
      <c r="P137" s="2936">
        <f t="shared" si="40"/>
        <v>596</v>
      </c>
      <c r="Q137"/>
      <c r="R137"/>
      <c r="S137"/>
      <c r="T137"/>
    </row>
    <row r="138" spans="1:20">
      <c r="B138"/>
      <c r="C138" s="2887" t="s">
        <v>577</v>
      </c>
      <c r="D138" s="2483"/>
      <c r="E138" s="2483"/>
      <c r="F138" s="2946">
        <v>5</v>
      </c>
      <c r="G138" s="2936">
        <f t="shared" si="38"/>
        <v>5</v>
      </c>
      <c r="H138" s="2911"/>
      <c r="I138" s="2911"/>
      <c r="J138" s="2911">
        <v>36</v>
      </c>
      <c r="K138" s="2911"/>
      <c r="L138" s="2936">
        <f t="shared" si="39"/>
        <v>36</v>
      </c>
      <c r="M138" s="2911">
        <v>28</v>
      </c>
      <c r="N138" s="2911">
        <v>173</v>
      </c>
      <c r="O138" s="2911"/>
      <c r="P138" s="2936">
        <f t="shared" si="40"/>
        <v>201</v>
      </c>
      <c r="Q138"/>
      <c r="R138"/>
      <c r="S138"/>
      <c r="T138"/>
    </row>
    <row r="139" spans="1:20">
      <c r="B139"/>
      <c r="C139" s="2887" t="s">
        <v>578</v>
      </c>
      <c r="D139" s="2483"/>
      <c r="E139" s="2483"/>
      <c r="F139" s="2946">
        <v>4</v>
      </c>
      <c r="G139" s="2936">
        <f t="shared" si="38"/>
        <v>4</v>
      </c>
      <c r="H139" s="2911"/>
      <c r="I139" s="2911"/>
      <c r="J139" s="2911">
        <v>53</v>
      </c>
      <c r="K139" s="2911"/>
      <c r="L139" s="2936">
        <f t="shared" si="39"/>
        <v>53</v>
      </c>
      <c r="M139" s="2911">
        <v>38</v>
      </c>
      <c r="N139" s="2911">
        <v>153</v>
      </c>
      <c r="O139" s="2911"/>
      <c r="P139" s="2936">
        <f t="shared" si="40"/>
        <v>191</v>
      </c>
      <c r="Q139"/>
      <c r="R139"/>
      <c r="S139"/>
      <c r="T139"/>
    </row>
    <row r="140" spans="1:20">
      <c r="B140"/>
      <c r="C140" s="2887" t="s">
        <v>579</v>
      </c>
      <c r="D140" s="2483"/>
      <c r="E140" s="2483"/>
      <c r="F140" s="2946">
        <v>5</v>
      </c>
      <c r="G140" s="2936">
        <f t="shared" si="38"/>
        <v>5</v>
      </c>
      <c r="H140" s="2911"/>
      <c r="I140" s="2911"/>
      <c r="J140" s="2911">
        <v>85</v>
      </c>
      <c r="K140" s="2911"/>
      <c r="L140" s="2936">
        <f t="shared" si="39"/>
        <v>85</v>
      </c>
      <c r="M140" s="2911">
        <v>94</v>
      </c>
      <c r="N140" s="2911">
        <v>208</v>
      </c>
      <c r="O140" s="2911"/>
      <c r="P140" s="2936">
        <f t="shared" si="40"/>
        <v>302</v>
      </c>
      <c r="Q140"/>
      <c r="R140"/>
      <c r="S140"/>
      <c r="T140"/>
    </row>
    <row r="141" spans="1:20">
      <c r="A141" s="193">
        <v>9</v>
      </c>
      <c r="B141"/>
      <c r="C141" s="2887" t="s">
        <v>580</v>
      </c>
      <c r="D141" s="2483"/>
      <c r="E141" s="2483"/>
      <c r="F141" s="2946">
        <v>2</v>
      </c>
      <c r="G141" s="2936">
        <f t="shared" si="38"/>
        <v>2</v>
      </c>
      <c r="H141" s="2911"/>
      <c r="I141" s="2911"/>
      <c r="J141" s="2911">
        <v>20</v>
      </c>
      <c r="K141" s="2911"/>
      <c r="L141" s="2936">
        <f t="shared" si="39"/>
        <v>20</v>
      </c>
      <c r="M141" s="2911">
        <v>14</v>
      </c>
      <c r="N141" s="2911">
        <v>42</v>
      </c>
      <c r="O141" s="2911"/>
      <c r="P141" s="2936">
        <f t="shared" si="40"/>
        <v>56</v>
      </c>
      <c r="Q141"/>
      <c r="R141"/>
      <c r="S141"/>
      <c r="T141"/>
    </row>
    <row r="142" spans="1:20">
      <c r="B142"/>
      <c r="C142" s="2887" t="s">
        <v>581</v>
      </c>
      <c r="D142" s="2483"/>
      <c r="E142" s="2483"/>
      <c r="F142" s="2946">
        <v>12</v>
      </c>
      <c r="G142" s="2936">
        <f t="shared" si="38"/>
        <v>12</v>
      </c>
      <c r="H142" s="2911"/>
      <c r="I142" s="2911"/>
      <c r="J142" s="2911">
        <v>347</v>
      </c>
      <c r="K142" s="2911"/>
      <c r="L142" s="2936">
        <f t="shared" si="39"/>
        <v>347</v>
      </c>
      <c r="M142" s="2911">
        <v>173</v>
      </c>
      <c r="N142" s="2911">
        <v>353</v>
      </c>
      <c r="O142" s="2911"/>
      <c r="P142" s="2936">
        <f t="shared" si="40"/>
        <v>526</v>
      </c>
      <c r="Q142"/>
      <c r="R142"/>
      <c r="S142"/>
      <c r="T142"/>
    </row>
    <row r="143" spans="1:20">
      <c r="B143"/>
      <c r="C143" s="2922" t="s">
        <v>118</v>
      </c>
      <c r="D143" s="2937">
        <f t="shared" ref="D143:J143" si="41">SUM(D134:D142)</f>
        <v>0</v>
      </c>
      <c r="E143" s="2937">
        <f t="shared" si="41"/>
        <v>0</v>
      </c>
      <c r="F143" s="2937">
        <f t="shared" si="41"/>
        <v>41</v>
      </c>
      <c r="G143" s="2937">
        <f t="shared" si="41"/>
        <v>41</v>
      </c>
      <c r="H143" s="2937">
        <f t="shared" si="41"/>
        <v>0</v>
      </c>
      <c r="I143" s="2937">
        <f t="shared" si="41"/>
        <v>0</v>
      </c>
      <c r="J143" s="2937">
        <f t="shared" si="41"/>
        <v>742</v>
      </c>
      <c r="K143" s="2937"/>
      <c r="L143" s="2937">
        <f>SUM(L134:L142)</f>
        <v>742</v>
      </c>
      <c r="M143" s="2937">
        <f>SUM(M134:M142)</f>
        <v>596</v>
      </c>
      <c r="N143" s="2937">
        <f>SUM(N134:N142)</f>
        <v>1780</v>
      </c>
      <c r="O143" s="2937">
        <f>SUM(O134:O142)</f>
        <v>0</v>
      </c>
      <c r="P143" s="2937">
        <f>SUM(P134:P142)</f>
        <v>2376</v>
      </c>
      <c r="Q143"/>
      <c r="R143"/>
      <c r="S143"/>
      <c r="T143"/>
    </row>
    <row r="144" spans="1:20">
      <c r="B144">
        <v>10</v>
      </c>
      <c r="C144" s="2939" t="s">
        <v>185</v>
      </c>
      <c r="D144"/>
      <c r="E144"/>
      <c r="F144"/>
      <c r="G144"/>
      <c r="H144"/>
      <c r="I144"/>
      <c r="J144"/>
      <c r="K144"/>
      <c r="L144"/>
      <c r="M144"/>
      <c r="N144"/>
      <c r="O144"/>
      <c r="P144"/>
      <c r="Q144"/>
      <c r="R144"/>
      <c r="S144"/>
      <c r="T144"/>
    </row>
    <row r="145" spans="1:20">
      <c r="B145"/>
      <c r="C145" s="2922" t="s">
        <v>566</v>
      </c>
      <c r="D145" s="2922" t="s">
        <v>567</v>
      </c>
      <c r="E145" s="2922"/>
      <c r="F145" s="2922"/>
      <c r="G145" s="2922"/>
      <c r="H145" s="2922" t="s">
        <v>590</v>
      </c>
      <c r="I145" s="2922"/>
      <c r="J145" s="2922"/>
      <c r="K145" s="2922"/>
      <c r="L145" s="2922"/>
      <c r="M145" s="2922" t="s">
        <v>591</v>
      </c>
      <c r="N145" s="2922"/>
      <c r="O145" s="2922"/>
      <c r="P145" s="2922"/>
      <c r="Q145"/>
      <c r="R145"/>
      <c r="S145"/>
      <c r="T145"/>
    </row>
    <row r="146" spans="1:20">
      <c r="B146"/>
      <c r="C146" s="2922"/>
      <c r="D146" s="2922" t="s">
        <v>570</v>
      </c>
      <c r="E146" s="2922" t="s">
        <v>571</v>
      </c>
      <c r="F146" s="2922" t="s">
        <v>572</v>
      </c>
      <c r="G146" s="2922" t="s">
        <v>118</v>
      </c>
      <c r="H146" s="2922" t="s">
        <v>570</v>
      </c>
      <c r="I146" s="2922" t="s">
        <v>571</v>
      </c>
      <c r="J146" s="2922" t="s">
        <v>572</v>
      </c>
      <c r="K146" s="2922"/>
      <c r="L146" s="2922" t="s">
        <v>118</v>
      </c>
      <c r="M146" s="2922" t="s">
        <v>570</v>
      </c>
      <c r="N146" s="2922" t="s">
        <v>571</v>
      </c>
      <c r="O146" s="2922" t="s">
        <v>572</v>
      </c>
      <c r="P146" s="2922" t="s">
        <v>118</v>
      </c>
      <c r="Q146"/>
      <c r="R146"/>
      <c r="S146"/>
      <c r="T146"/>
    </row>
    <row r="147" spans="1:20">
      <c r="B147"/>
      <c r="C147" s="2935" t="s">
        <v>573</v>
      </c>
      <c r="D147" s="2940"/>
      <c r="E147" s="2940"/>
      <c r="F147" s="2107"/>
      <c r="G147" s="2936">
        <f>+D147+E147+F147</f>
        <v>0</v>
      </c>
      <c r="H147" s="2483"/>
      <c r="I147" s="2483"/>
      <c r="J147" s="2483"/>
      <c r="K147" s="2483"/>
      <c r="L147" s="2936">
        <f>+H147+I147+J147</f>
        <v>0</v>
      </c>
      <c r="M147" s="2483"/>
      <c r="N147" s="2483"/>
      <c r="O147" s="2483"/>
      <c r="P147" s="2936">
        <f>+M147+N147+O147</f>
        <v>0</v>
      </c>
      <c r="Q147"/>
      <c r="R147"/>
      <c r="S147"/>
      <c r="T147"/>
    </row>
    <row r="148" spans="1:20">
      <c r="B148"/>
      <c r="C148" s="2887" t="s">
        <v>574</v>
      </c>
      <c r="D148" s="2483"/>
      <c r="E148" s="2483"/>
      <c r="F148" s="2107"/>
      <c r="G148" s="2936">
        <f t="shared" ref="G148:G155" si="42">+D148+E148+F148</f>
        <v>0</v>
      </c>
      <c r="H148" s="2483"/>
      <c r="I148" s="2483"/>
      <c r="J148" s="2483"/>
      <c r="K148" s="2483"/>
      <c r="L148" s="2936">
        <f t="shared" ref="L148:L155" si="43">+H148+I148+J148</f>
        <v>0</v>
      </c>
      <c r="M148" s="2483"/>
      <c r="N148" s="2483"/>
      <c r="O148" s="2483"/>
      <c r="P148" s="2936">
        <f t="shared" ref="P148:P155" si="44">+M148+N148+O148</f>
        <v>0</v>
      </c>
      <c r="Q148"/>
      <c r="R148"/>
      <c r="S148"/>
      <c r="T148"/>
    </row>
    <row r="149" spans="1:20">
      <c r="B149"/>
      <c r="C149" s="2887" t="s">
        <v>575</v>
      </c>
      <c r="D149" s="2483"/>
      <c r="E149" s="2483"/>
      <c r="F149" s="2107"/>
      <c r="G149" s="2936">
        <f t="shared" si="42"/>
        <v>0</v>
      </c>
      <c r="H149" s="2483"/>
      <c r="I149" s="2483"/>
      <c r="J149" s="2483"/>
      <c r="K149" s="2483"/>
      <c r="L149" s="2936">
        <f t="shared" si="43"/>
        <v>0</v>
      </c>
      <c r="M149" s="2483"/>
      <c r="N149" s="2483"/>
      <c r="O149" s="2483"/>
      <c r="P149" s="2936">
        <f t="shared" si="44"/>
        <v>0</v>
      </c>
      <c r="Q149"/>
      <c r="R149"/>
      <c r="S149"/>
      <c r="T149"/>
    </row>
    <row r="150" spans="1:20">
      <c r="B150"/>
      <c r="C150" s="2887" t="s">
        <v>576</v>
      </c>
      <c r="D150" s="2483"/>
      <c r="E150" s="2483"/>
      <c r="F150" s="2107"/>
      <c r="G150" s="2936">
        <f t="shared" si="42"/>
        <v>0</v>
      </c>
      <c r="H150" s="2483"/>
      <c r="I150" s="2483"/>
      <c r="J150" s="2483"/>
      <c r="K150" s="2483"/>
      <c r="L150" s="2936">
        <f t="shared" si="43"/>
        <v>0</v>
      </c>
      <c r="M150" s="2483"/>
      <c r="N150" s="2483"/>
      <c r="O150" s="2483"/>
      <c r="P150" s="2936">
        <f t="shared" si="44"/>
        <v>0</v>
      </c>
      <c r="Q150"/>
      <c r="R150"/>
      <c r="S150"/>
      <c r="T150"/>
    </row>
    <row r="151" spans="1:20">
      <c r="B151"/>
      <c r="C151" s="2887" t="s">
        <v>577</v>
      </c>
      <c r="D151" s="2483"/>
      <c r="E151" s="2483"/>
      <c r="F151" s="2107"/>
      <c r="G151" s="2936">
        <f t="shared" si="42"/>
        <v>0</v>
      </c>
      <c r="H151" s="2483"/>
      <c r="I151" s="2483"/>
      <c r="J151" s="2483"/>
      <c r="K151" s="2483"/>
      <c r="L151" s="2936">
        <f t="shared" si="43"/>
        <v>0</v>
      </c>
      <c r="M151" s="2483"/>
      <c r="N151" s="2483"/>
      <c r="O151" s="2483"/>
      <c r="P151" s="2936">
        <f t="shared" si="44"/>
        <v>0</v>
      </c>
      <c r="Q151"/>
      <c r="R151"/>
      <c r="S151"/>
      <c r="T151"/>
    </row>
    <row r="152" spans="1:20">
      <c r="B152"/>
      <c r="C152" s="2887" t="s">
        <v>578</v>
      </c>
      <c r="D152" s="2483"/>
      <c r="E152" s="2483"/>
      <c r="F152" s="2107"/>
      <c r="G152" s="2936">
        <f t="shared" si="42"/>
        <v>0</v>
      </c>
      <c r="H152" s="2483"/>
      <c r="I152" s="2483"/>
      <c r="J152" s="2483"/>
      <c r="K152" s="2483"/>
      <c r="L152" s="2936">
        <f t="shared" si="43"/>
        <v>0</v>
      </c>
      <c r="M152" s="2483"/>
      <c r="N152" s="2483"/>
      <c r="O152" s="2483"/>
      <c r="P152" s="2936">
        <f t="shared" si="44"/>
        <v>0</v>
      </c>
      <c r="Q152"/>
      <c r="R152"/>
      <c r="S152"/>
      <c r="T152"/>
    </row>
    <row r="153" spans="1:20">
      <c r="B153"/>
      <c r="C153" s="2887" t="s">
        <v>579</v>
      </c>
      <c r="D153" s="2483"/>
      <c r="E153" s="2483"/>
      <c r="F153" s="2107"/>
      <c r="G153" s="2936">
        <f t="shared" si="42"/>
        <v>0</v>
      </c>
      <c r="H153" s="2483"/>
      <c r="I153" s="2483"/>
      <c r="J153" s="2483"/>
      <c r="K153" s="2483"/>
      <c r="L153" s="2936">
        <f t="shared" si="43"/>
        <v>0</v>
      </c>
      <c r="M153" s="2483"/>
      <c r="N153" s="2483"/>
      <c r="O153" s="2483"/>
      <c r="P153" s="2936">
        <f t="shared" si="44"/>
        <v>0</v>
      </c>
      <c r="Q153"/>
      <c r="R153"/>
      <c r="S153"/>
      <c r="T153"/>
    </row>
    <row r="154" spans="1:20">
      <c r="B154"/>
      <c r="C154" s="2887" t="s">
        <v>580</v>
      </c>
      <c r="D154" s="2483"/>
      <c r="E154" s="2483"/>
      <c r="F154" s="2107"/>
      <c r="G154" s="2936">
        <f t="shared" si="42"/>
        <v>0</v>
      </c>
      <c r="H154" s="2483"/>
      <c r="I154" s="2483"/>
      <c r="J154" s="2483"/>
      <c r="K154" s="2483"/>
      <c r="L154" s="2936">
        <f t="shared" si="43"/>
        <v>0</v>
      </c>
      <c r="M154" s="2483"/>
      <c r="N154" s="2483"/>
      <c r="O154" s="2483"/>
      <c r="P154" s="2936">
        <f t="shared" si="44"/>
        <v>0</v>
      </c>
      <c r="Q154"/>
      <c r="R154"/>
      <c r="S154"/>
      <c r="T154"/>
    </row>
    <row r="155" spans="1:20">
      <c r="B155"/>
      <c r="C155" s="2887" t="s">
        <v>581</v>
      </c>
      <c r="D155" s="2483"/>
      <c r="E155" s="2483"/>
      <c r="F155" s="2107"/>
      <c r="G155" s="2936">
        <f t="shared" si="42"/>
        <v>0</v>
      </c>
      <c r="H155" s="2483"/>
      <c r="I155" s="2483"/>
      <c r="J155" s="2483"/>
      <c r="K155" s="2483"/>
      <c r="L155" s="2936">
        <f t="shared" si="43"/>
        <v>0</v>
      </c>
      <c r="M155" s="2483"/>
      <c r="N155" s="2483"/>
      <c r="O155" s="2483"/>
      <c r="P155" s="2936">
        <f t="shared" si="44"/>
        <v>0</v>
      </c>
      <c r="Q155"/>
      <c r="R155"/>
      <c r="S155"/>
      <c r="T155"/>
    </row>
    <row r="156" spans="1:20">
      <c r="A156" s="193">
        <v>10</v>
      </c>
      <c r="B156"/>
      <c r="C156" s="2922" t="s">
        <v>118</v>
      </c>
      <c r="D156" s="2937">
        <f t="shared" ref="D156:J156" si="45">SUM(D147:D155)</f>
        <v>0</v>
      </c>
      <c r="E156" s="2937">
        <f t="shared" si="45"/>
        <v>0</v>
      </c>
      <c r="F156" s="2937">
        <f t="shared" si="45"/>
        <v>0</v>
      </c>
      <c r="G156" s="2937">
        <f t="shared" si="45"/>
        <v>0</v>
      </c>
      <c r="H156" s="2937">
        <f t="shared" si="45"/>
        <v>0</v>
      </c>
      <c r="I156" s="2937">
        <f t="shared" si="45"/>
        <v>0</v>
      </c>
      <c r="J156" s="2937">
        <f t="shared" si="45"/>
        <v>0</v>
      </c>
      <c r="K156" s="2937"/>
      <c r="L156" s="2937">
        <f>SUM(L147:L155)</f>
        <v>0</v>
      </c>
      <c r="M156" s="2937">
        <f>SUM(M147:M155)</f>
        <v>0</v>
      </c>
      <c r="N156" s="2937">
        <f>SUM(N147:N155)</f>
        <v>0</v>
      </c>
      <c r="O156" s="2937">
        <f>SUM(O147:O155)</f>
        <v>0</v>
      </c>
      <c r="P156" s="2937">
        <f>SUM(P147:P155)</f>
        <v>0</v>
      </c>
      <c r="Q156"/>
      <c r="R156"/>
      <c r="S156"/>
      <c r="T156"/>
    </row>
    <row r="157" spans="1:20">
      <c r="B157">
        <v>11</v>
      </c>
      <c r="C157" s="2938" t="s">
        <v>186</v>
      </c>
      <c r="D157"/>
      <c r="E157"/>
      <c r="F157"/>
      <c r="G157"/>
      <c r="H157"/>
      <c r="I157"/>
      <c r="J157"/>
      <c r="K157"/>
      <c r="L157"/>
      <c r="M157"/>
      <c r="N157"/>
      <c r="O157"/>
      <c r="P157"/>
      <c r="Q157"/>
      <c r="R157"/>
      <c r="S157"/>
      <c r="T157"/>
    </row>
    <row r="158" spans="1:20">
      <c r="B158"/>
      <c r="C158" s="2922" t="s">
        <v>566</v>
      </c>
      <c r="D158" s="2922" t="s">
        <v>567</v>
      </c>
      <c r="E158" s="2922"/>
      <c r="F158" s="2922"/>
      <c r="G158" s="2922"/>
      <c r="H158" s="2922" t="s">
        <v>590</v>
      </c>
      <c r="I158" s="2922"/>
      <c r="J158" s="2922"/>
      <c r="K158" s="2922"/>
      <c r="L158" s="2922"/>
      <c r="M158" s="2922" t="s">
        <v>591</v>
      </c>
      <c r="N158" s="2922"/>
      <c r="O158" s="2922"/>
      <c r="P158" s="2922"/>
      <c r="Q158"/>
      <c r="R158"/>
      <c r="S158"/>
      <c r="T158"/>
    </row>
    <row r="159" spans="1:20">
      <c r="B159"/>
      <c r="C159" s="2922"/>
      <c r="D159" s="2922" t="s">
        <v>570</v>
      </c>
      <c r="E159" s="2922" t="s">
        <v>571</v>
      </c>
      <c r="F159" s="2922" t="s">
        <v>572</v>
      </c>
      <c r="G159" s="2922" t="s">
        <v>118</v>
      </c>
      <c r="H159" s="2922" t="s">
        <v>570</v>
      </c>
      <c r="I159" s="2922" t="s">
        <v>571</v>
      </c>
      <c r="J159" s="2922" t="s">
        <v>572</v>
      </c>
      <c r="K159" s="2922"/>
      <c r="L159" s="2922" t="s">
        <v>118</v>
      </c>
      <c r="M159" s="2922" t="s">
        <v>570</v>
      </c>
      <c r="N159" s="2922" t="s">
        <v>571</v>
      </c>
      <c r="O159" s="2922" t="s">
        <v>572</v>
      </c>
      <c r="P159" s="2922" t="s">
        <v>118</v>
      </c>
      <c r="Q159"/>
      <c r="R159"/>
      <c r="S159"/>
      <c r="T159"/>
    </row>
    <row r="160" spans="1:20">
      <c r="B160"/>
      <c r="C160" s="2935" t="s">
        <v>573</v>
      </c>
      <c r="D160" s="2947">
        <v>6</v>
      </c>
      <c r="E160" s="2947">
        <v>6</v>
      </c>
      <c r="F160" s="2887"/>
      <c r="G160" s="2936">
        <v>12</v>
      </c>
      <c r="H160" s="2911">
        <v>26</v>
      </c>
      <c r="I160" s="2911">
        <v>35</v>
      </c>
      <c r="J160" s="2911"/>
      <c r="K160" s="2911"/>
      <c r="L160" s="2936">
        <f>+H160+I160+J160</f>
        <v>61</v>
      </c>
      <c r="M160" s="2911">
        <v>15</v>
      </c>
      <c r="N160" s="2911">
        <v>124</v>
      </c>
      <c r="O160" s="2911"/>
      <c r="P160" s="2936">
        <f>+M160+N160+O160</f>
        <v>139</v>
      </c>
      <c r="Q160"/>
      <c r="R160"/>
      <c r="S160"/>
      <c r="T160"/>
    </row>
    <row r="161" spans="1:20">
      <c r="B161"/>
      <c r="C161" s="2887" t="s">
        <v>574</v>
      </c>
      <c r="D161" s="2948">
        <v>4</v>
      </c>
      <c r="E161" s="2948">
        <v>4</v>
      </c>
      <c r="F161" s="2887"/>
      <c r="G161" s="2936">
        <v>8</v>
      </c>
      <c r="H161" s="2911">
        <v>13</v>
      </c>
      <c r="I161" s="2911">
        <v>28</v>
      </c>
      <c r="J161" s="2911"/>
      <c r="K161" s="2911"/>
      <c r="L161" s="2936">
        <f t="shared" ref="L161:L168" si="46">+H161+I161+J161</f>
        <v>41</v>
      </c>
      <c r="M161" s="2911">
        <v>25</v>
      </c>
      <c r="N161" s="2911">
        <v>121</v>
      </c>
      <c r="O161" s="2911"/>
      <c r="P161" s="2936">
        <f t="shared" ref="P161:P168" si="47">+M161+N161+O161</f>
        <v>146</v>
      </c>
      <c r="Q161"/>
      <c r="R161"/>
      <c r="S161"/>
      <c r="T161"/>
    </row>
    <row r="162" spans="1:20">
      <c r="B162"/>
      <c r="C162" s="2887" t="s">
        <v>575</v>
      </c>
      <c r="D162" s="2948">
        <v>3</v>
      </c>
      <c r="E162" s="2948">
        <v>2</v>
      </c>
      <c r="F162" s="2887"/>
      <c r="G162" s="2936">
        <v>5</v>
      </c>
      <c r="H162" s="2911">
        <v>13</v>
      </c>
      <c r="I162" s="2911">
        <v>13</v>
      </c>
      <c r="J162" s="2911"/>
      <c r="K162" s="2911"/>
      <c r="L162" s="2936">
        <f t="shared" si="46"/>
        <v>26</v>
      </c>
      <c r="M162" s="2911">
        <v>20</v>
      </c>
      <c r="N162" s="2911">
        <v>33</v>
      </c>
      <c r="O162" s="2911"/>
      <c r="P162" s="2936">
        <f t="shared" si="47"/>
        <v>53</v>
      </c>
      <c r="Q162"/>
      <c r="R162"/>
      <c r="S162"/>
      <c r="T162"/>
    </row>
    <row r="163" spans="1:20">
      <c r="B163"/>
      <c r="C163" s="2887" t="s">
        <v>576</v>
      </c>
      <c r="D163" s="2948">
        <v>4</v>
      </c>
      <c r="E163" s="2948">
        <v>4</v>
      </c>
      <c r="F163" s="2887"/>
      <c r="G163" s="2936">
        <v>8</v>
      </c>
      <c r="H163" s="2911">
        <v>11</v>
      </c>
      <c r="I163" s="2911">
        <v>25</v>
      </c>
      <c r="J163" s="2911"/>
      <c r="K163" s="2911"/>
      <c r="L163" s="2936">
        <f t="shared" si="46"/>
        <v>36</v>
      </c>
      <c r="M163" s="2911">
        <v>12</v>
      </c>
      <c r="N163" s="2911">
        <v>117</v>
      </c>
      <c r="O163" s="2911"/>
      <c r="P163" s="2936">
        <f t="shared" si="47"/>
        <v>129</v>
      </c>
      <c r="Q163"/>
      <c r="R163"/>
      <c r="S163"/>
      <c r="T163"/>
    </row>
    <row r="164" spans="1:20">
      <c r="B164"/>
      <c r="C164" s="2887" t="s">
        <v>577</v>
      </c>
      <c r="D164" s="2948">
        <v>6</v>
      </c>
      <c r="E164" s="2948">
        <v>6</v>
      </c>
      <c r="F164" s="2887"/>
      <c r="G164" s="2936">
        <v>12</v>
      </c>
      <c r="H164" s="2911">
        <v>17</v>
      </c>
      <c r="I164" s="2911">
        <v>30</v>
      </c>
      <c r="J164" s="2911"/>
      <c r="K164" s="2911"/>
      <c r="L164" s="2936">
        <f t="shared" si="46"/>
        <v>47</v>
      </c>
      <c r="M164" s="2911">
        <v>22</v>
      </c>
      <c r="N164" s="2911">
        <v>180</v>
      </c>
      <c r="O164" s="2911"/>
      <c r="P164" s="2936">
        <f t="shared" si="47"/>
        <v>202</v>
      </c>
      <c r="Q164"/>
      <c r="R164"/>
      <c r="S164"/>
      <c r="T164"/>
    </row>
    <row r="165" spans="1:20">
      <c r="B165"/>
      <c r="C165" s="2887" t="s">
        <v>578</v>
      </c>
      <c r="D165" s="2948">
        <v>4</v>
      </c>
      <c r="E165" s="2948">
        <v>4</v>
      </c>
      <c r="F165" s="2887"/>
      <c r="G165" s="2936">
        <v>8</v>
      </c>
      <c r="H165" s="2911">
        <v>19</v>
      </c>
      <c r="I165" s="2911">
        <v>19</v>
      </c>
      <c r="J165" s="2911"/>
      <c r="K165" s="2911"/>
      <c r="L165" s="2936">
        <f t="shared" si="46"/>
        <v>38</v>
      </c>
      <c r="M165" s="2911">
        <v>26</v>
      </c>
      <c r="N165" s="2911">
        <v>78</v>
      </c>
      <c r="O165" s="2911"/>
      <c r="P165" s="2936">
        <f t="shared" si="47"/>
        <v>104</v>
      </c>
      <c r="Q165"/>
      <c r="R165"/>
      <c r="S165"/>
      <c r="T165"/>
    </row>
    <row r="166" spans="1:20">
      <c r="B166"/>
      <c r="C166" s="2887" t="s">
        <v>579</v>
      </c>
      <c r="D166" s="2948">
        <v>6</v>
      </c>
      <c r="E166" s="2948">
        <v>5</v>
      </c>
      <c r="F166" s="2887"/>
      <c r="G166" s="2936">
        <v>11</v>
      </c>
      <c r="H166" s="2911">
        <v>30</v>
      </c>
      <c r="I166" s="2911">
        <v>31</v>
      </c>
      <c r="J166" s="2911"/>
      <c r="K166" s="2911"/>
      <c r="L166" s="2936">
        <f t="shared" si="46"/>
        <v>61</v>
      </c>
      <c r="M166" s="2911">
        <v>65</v>
      </c>
      <c r="N166" s="2911">
        <v>97</v>
      </c>
      <c r="O166" s="2911"/>
      <c r="P166" s="2936">
        <f t="shared" si="47"/>
        <v>162</v>
      </c>
      <c r="Q166"/>
      <c r="R166"/>
      <c r="S166"/>
      <c r="T166"/>
    </row>
    <row r="167" spans="1:20">
      <c r="B167"/>
      <c r="C167" s="2887" t="s">
        <v>580</v>
      </c>
      <c r="D167" s="2948">
        <v>4</v>
      </c>
      <c r="E167" s="2948">
        <v>4</v>
      </c>
      <c r="F167" s="2887"/>
      <c r="G167" s="2936">
        <v>8</v>
      </c>
      <c r="H167" s="2911">
        <v>13</v>
      </c>
      <c r="I167" s="2911">
        <v>19</v>
      </c>
      <c r="J167" s="2911"/>
      <c r="K167" s="2911"/>
      <c r="L167" s="2936">
        <f t="shared" si="46"/>
        <v>32</v>
      </c>
      <c r="M167" s="2911">
        <v>17</v>
      </c>
      <c r="N167" s="2911">
        <v>77</v>
      </c>
      <c r="O167" s="2911"/>
      <c r="P167" s="2936">
        <f t="shared" si="47"/>
        <v>94</v>
      </c>
      <c r="Q167"/>
      <c r="R167"/>
      <c r="S167"/>
      <c r="T167"/>
    </row>
    <row r="168" spans="1:20">
      <c r="B168"/>
      <c r="C168" s="2887" t="s">
        <v>581</v>
      </c>
      <c r="D168" s="2948">
        <v>14</v>
      </c>
      <c r="E168" s="2948">
        <v>14</v>
      </c>
      <c r="F168" s="2887"/>
      <c r="G168" s="2936">
        <v>28</v>
      </c>
      <c r="H168" s="2911">
        <v>200</v>
      </c>
      <c r="I168" s="2911">
        <v>191</v>
      </c>
      <c r="J168" s="2911"/>
      <c r="K168" s="2911"/>
      <c r="L168" s="2936">
        <f t="shared" si="46"/>
        <v>391</v>
      </c>
      <c r="M168" s="2911">
        <v>93</v>
      </c>
      <c r="N168" s="2911">
        <v>409</v>
      </c>
      <c r="O168" s="2911"/>
      <c r="P168" s="2936">
        <f t="shared" si="47"/>
        <v>502</v>
      </c>
      <c r="Q168"/>
      <c r="R168"/>
      <c r="S168"/>
      <c r="T168"/>
    </row>
    <row r="169" spans="1:20">
      <c r="B169"/>
      <c r="C169" s="2922" t="s">
        <v>118</v>
      </c>
      <c r="D169" s="2937">
        <f t="shared" ref="D169:J169" si="48">SUM(D160:D168)</f>
        <v>51</v>
      </c>
      <c r="E169" s="2937">
        <f t="shared" si="48"/>
        <v>49</v>
      </c>
      <c r="F169" s="2937">
        <f t="shared" si="48"/>
        <v>0</v>
      </c>
      <c r="G169" s="2937">
        <f t="shared" si="48"/>
        <v>100</v>
      </c>
      <c r="H169" s="2937">
        <f t="shared" si="48"/>
        <v>342</v>
      </c>
      <c r="I169" s="2937">
        <f t="shared" si="48"/>
        <v>391</v>
      </c>
      <c r="J169" s="2937">
        <f t="shared" si="48"/>
        <v>0</v>
      </c>
      <c r="K169" s="2937"/>
      <c r="L169" s="2937">
        <f>SUM(L160:L168)</f>
        <v>733</v>
      </c>
      <c r="M169" s="2937">
        <f>SUM(M160:M168)</f>
        <v>295</v>
      </c>
      <c r="N169" s="2937">
        <f>SUM(N160:N168)</f>
        <v>1236</v>
      </c>
      <c r="O169" s="2937">
        <f>SUM(O160:O168)</f>
        <v>0</v>
      </c>
      <c r="P169" s="2937">
        <f>SUM(P160:P168)</f>
        <v>1531</v>
      </c>
      <c r="Q169"/>
      <c r="R169"/>
      <c r="S169"/>
      <c r="T169"/>
    </row>
    <row r="170" spans="1:20">
      <c r="B170">
        <v>12</v>
      </c>
      <c r="C170" s="2938" t="s">
        <v>187</v>
      </c>
      <c r="D170"/>
      <c r="E170"/>
      <c r="F170"/>
      <c r="G170"/>
      <c r="H170"/>
      <c r="I170"/>
      <c r="J170"/>
      <c r="K170"/>
      <c r="L170"/>
      <c r="M170"/>
      <c r="N170"/>
      <c r="O170"/>
      <c r="P170"/>
      <c r="Q170"/>
      <c r="R170"/>
      <c r="S170"/>
      <c r="T170"/>
    </row>
    <row r="171" spans="1:20">
      <c r="A171" s="193">
        <v>11</v>
      </c>
      <c r="B171"/>
      <c r="C171" s="2922" t="s">
        <v>566</v>
      </c>
      <c r="D171" s="2922" t="s">
        <v>567</v>
      </c>
      <c r="E171" s="2922"/>
      <c r="F171" s="2922"/>
      <c r="G171" s="2922"/>
      <c r="H171" s="2922" t="s">
        <v>590</v>
      </c>
      <c r="I171" s="2922"/>
      <c r="J171" s="2922"/>
      <c r="K171" s="2922"/>
      <c r="L171" s="2922"/>
      <c r="M171" s="2922" t="s">
        <v>591</v>
      </c>
      <c r="N171" s="2922"/>
      <c r="O171" s="2922"/>
      <c r="P171" s="2922"/>
      <c r="Q171"/>
      <c r="R171"/>
      <c r="S171"/>
      <c r="T171"/>
    </row>
    <row r="172" spans="1:20">
      <c r="B172"/>
      <c r="C172" s="2922"/>
      <c r="D172" s="2922" t="s">
        <v>570</v>
      </c>
      <c r="E172" s="2922" t="s">
        <v>571</v>
      </c>
      <c r="F172" s="2922" t="s">
        <v>572</v>
      </c>
      <c r="G172" s="2922" t="s">
        <v>118</v>
      </c>
      <c r="H172" s="2922" t="s">
        <v>570</v>
      </c>
      <c r="I172" s="2922" t="s">
        <v>571</v>
      </c>
      <c r="J172" s="2922" t="s">
        <v>572</v>
      </c>
      <c r="K172" s="2922"/>
      <c r="L172" s="2922" t="s">
        <v>118</v>
      </c>
      <c r="M172" s="2922" t="s">
        <v>570</v>
      </c>
      <c r="N172" s="2922" t="s">
        <v>571</v>
      </c>
      <c r="O172" s="2922" t="s">
        <v>572</v>
      </c>
      <c r="P172" s="2922" t="s">
        <v>118</v>
      </c>
      <c r="Q172"/>
      <c r="R172"/>
      <c r="S172"/>
      <c r="T172"/>
    </row>
    <row r="173" spans="1:20">
      <c r="B173"/>
      <c r="C173" s="2935" t="s">
        <v>573</v>
      </c>
      <c r="D173" s="2940"/>
      <c r="E173" s="2940"/>
      <c r="F173" s="2949">
        <v>17</v>
      </c>
      <c r="G173" s="2932">
        <f>+D173+E173+F173</f>
        <v>17</v>
      </c>
      <c r="H173" s="2483"/>
      <c r="I173" s="2483"/>
      <c r="J173" s="2483">
        <v>195</v>
      </c>
      <c r="K173" s="2483"/>
      <c r="L173" s="2932">
        <f>+H173+I173+J173</f>
        <v>195</v>
      </c>
      <c r="M173" s="2483">
        <v>143</v>
      </c>
      <c r="N173" s="2483">
        <v>404</v>
      </c>
      <c r="O173" s="2483"/>
      <c r="P173" s="2932">
        <f>+M173+N173+O173</f>
        <v>547</v>
      </c>
      <c r="Q173"/>
      <c r="R173"/>
      <c r="S173"/>
      <c r="T173"/>
    </row>
    <row r="174" spans="1:20">
      <c r="B174"/>
      <c r="C174" s="2887" t="s">
        <v>574</v>
      </c>
      <c r="D174" s="2483"/>
      <c r="E174" s="2483"/>
      <c r="F174" s="2949">
        <v>16</v>
      </c>
      <c r="G174" s="2932">
        <f t="shared" ref="G174:G181" si="49">+D174+E174+F174</f>
        <v>16</v>
      </c>
      <c r="H174" s="2483"/>
      <c r="I174" s="2483"/>
      <c r="J174" s="2483">
        <v>123</v>
      </c>
      <c r="K174" s="2483"/>
      <c r="L174" s="2932">
        <f t="shared" ref="L174:L180" si="50">+H174+I174+J174</f>
        <v>123</v>
      </c>
      <c r="M174" s="2483">
        <v>129</v>
      </c>
      <c r="N174" s="2483">
        <v>223</v>
      </c>
      <c r="O174" s="2483"/>
      <c r="P174" s="2932">
        <f t="shared" ref="P174:P181" si="51">+M174+N174+O174</f>
        <v>352</v>
      </c>
      <c r="Q174"/>
      <c r="R174"/>
      <c r="S174"/>
      <c r="T174"/>
    </row>
    <row r="175" spans="1:20">
      <c r="B175"/>
      <c r="C175" s="2887" t="s">
        <v>575</v>
      </c>
      <c r="D175" s="2483"/>
      <c r="E175" s="2483"/>
      <c r="F175" s="2949">
        <v>18</v>
      </c>
      <c r="G175" s="2932">
        <f t="shared" si="49"/>
        <v>18</v>
      </c>
      <c r="H175" s="2483"/>
      <c r="I175" s="2483"/>
      <c r="J175" s="2483">
        <v>152</v>
      </c>
      <c r="K175" s="2483"/>
      <c r="L175" s="2932">
        <f t="shared" si="50"/>
        <v>152</v>
      </c>
      <c r="M175" s="2483">
        <v>114</v>
      </c>
      <c r="N175" s="2483">
        <v>220</v>
      </c>
      <c r="O175" s="2483"/>
      <c r="P175" s="2932">
        <f t="shared" si="51"/>
        <v>334</v>
      </c>
      <c r="Q175"/>
      <c r="R175"/>
      <c r="S175"/>
      <c r="T175"/>
    </row>
    <row r="176" spans="1:20">
      <c r="B176"/>
      <c r="C176" s="2887" t="s">
        <v>576</v>
      </c>
      <c r="D176" s="2483"/>
      <c r="E176" s="2483"/>
      <c r="F176" s="2949"/>
      <c r="G176" s="2932">
        <f t="shared" si="49"/>
        <v>0</v>
      </c>
      <c r="H176" s="2483"/>
      <c r="I176" s="2483"/>
      <c r="J176" s="2483"/>
      <c r="K176" s="2483"/>
      <c r="L176" s="2932">
        <f t="shared" si="50"/>
        <v>0</v>
      </c>
      <c r="M176" s="2483"/>
      <c r="N176" s="2483">
        <v>41</v>
      </c>
      <c r="O176" s="2483"/>
      <c r="P176" s="2932">
        <f t="shared" si="51"/>
        <v>41</v>
      </c>
      <c r="Q176"/>
      <c r="R176"/>
      <c r="S176"/>
      <c r="T176"/>
    </row>
    <row r="177" spans="1:20">
      <c r="B177"/>
      <c r="C177" s="2887" t="s">
        <v>577</v>
      </c>
      <c r="D177" s="2483"/>
      <c r="E177" s="2483"/>
      <c r="F177" s="2949"/>
      <c r="G177" s="2932">
        <f t="shared" si="49"/>
        <v>0</v>
      </c>
      <c r="H177" s="2483"/>
      <c r="I177" s="2483"/>
      <c r="J177" s="2483"/>
      <c r="K177" s="2483"/>
      <c r="L177" s="2932">
        <f t="shared" si="50"/>
        <v>0</v>
      </c>
      <c r="M177" s="2483"/>
      <c r="N177" s="2483"/>
      <c r="O177" s="2483"/>
      <c r="P177" s="2932">
        <f t="shared" si="51"/>
        <v>0</v>
      </c>
      <c r="Q177"/>
      <c r="R177"/>
      <c r="S177"/>
      <c r="T177"/>
    </row>
    <row r="178" spans="1:20">
      <c r="B178"/>
      <c r="C178" s="2887" t="s">
        <v>578</v>
      </c>
      <c r="D178" s="2483"/>
      <c r="E178" s="2483"/>
      <c r="F178" s="2949"/>
      <c r="G178" s="2932">
        <f t="shared" si="49"/>
        <v>0</v>
      </c>
      <c r="H178" s="2483"/>
      <c r="I178" s="2483"/>
      <c r="J178" s="2483"/>
      <c r="K178" s="2483"/>
      <c r="L178" s="2932">
        <f t="shared" si="50"/>
        <v>0</v>
      </c>
      <c r="M178" s="2483"/>
      <c r="N178" s="2483"/>
      <c r="O178" s="2483"/>
      <c r="P178" s="2932">
        <f t="shared" si="51"/>
        <v>0</v>
      </c>
      <c r="Q178"/>
      <c r="R178"/>
      <c r="S178"/>
      <c r="T178"/>
    </row>
    <row r="179" spans="1:20">
      <c r="B179"/>
      <c r="C179" s="2887" t="s">
        <v>579</v>
      </c>
      <c r="D179" s="2483"/>
      <c r="E179" s="2483"/>
      <c r="F179" s="2949">
        <v>21</v>
      </c>
      <c r="G179" s="2932">
        <f t="shared" si="49"/>
        <v>21</v>
      </c>
      <c r="H179" s="2483"/>
      <c r="I179" s="2483"/>
      <c r="J179" s="2483">
        <v>223</v>
      </c>
      <c r="K179" s="2483"/>
      <c r="L179" s="2932">
        <f t="shared" si="50"/>
        <v>223</v>
      </c>
      <c r="M179" s="2483">
        <v>186</v>
      </c>
      <c r="N179" s="2483">
        <v>281</v>
      </c>
      <c r="O179" s="2483"/>
      <c r="P179" s="2932">
        <f t="shared" si="51"/>
        <v>467</v>
      </c>
      <c r="Q179"/>
      <c r="R179"/>
      <c r="S179"/>
      <c r="T179"/>
    </row>
    <row r="180" spans="1:20">
      <c r="B180"/>
      <c r="C180" s="2887" t="s">
        <v>580</v>
      </c>
      <c r="D180" s="2483"/>
      <c r="E180" s="2483"/>
      <c r="F180" s="2949"/>
      <c r="G180" s="2932">
        <f t="shared" si="49"/>
        <v>0</v>
      </c>
      <c r="H180" s="2483"/>
      <c r="I180" s="2483"/>
      <c r="J180" s="2483"/>
      <c r="K180" s="2483"/>
      <c r="L180" s="2932">
        <f t="shared" si="50"/>
        <v>0</v>
      </c>
      <c r="M180" s="2483"/>
      <c r="N180" s="2483"/>
      <c r="O180" s="2483"/>
      <c r="P180" s="2932">
        <f t="shared" si="51"/>
        <v>0</v>
      </c>
      <c r="Q180"/>
      <c r="R180"/>
      <c r="S180"/>
      <c r="T180"/>
    </row>
    <row r="181" spans="1:20">
      <c r="B181"/>
      <c r="C181" s="2887" t="s">
        <v>581</v>
      </c>
      <c r="D181" s="2483"/>
      <c r="E181" s="2483"/>
      <c r="F181" s="2949">
        <v>37</v>
      </c>
      <c r="G181" s="2932">
        <f t="shared" si="49"/>
        <v>37</v>
      </c>
      <c r="H181" s="2483"/>
      <c r="I181" s="2483"/>
      <c r="J181" s="2483">
        <v>1547</v>
      </c>
      <c r="K181" s="2483"/>
      <c r="L181" s="2932">
        <f>+H181+I181+J181</f>
        <v>1547</v>
      </c>
      <c r="M181" s="2483">
        <v>533</v>
      </c>
      <c r="N181" s="2483">
        <v>535</v>
      </c>
      <c r="O181" s="2483"/>
      <c r="P181" s="2932">
        <f t="shared" si="51"/>
        <v>1068</v>
      </c>
      <c r="Q181"/>
      <c r="R181"/>
      <c r="S181"/>
      <c r="T181"/>
    </row>
    <row r="182" spans="1:20">
      <c r="B182"/>
      <c r="C182" s="2922" t="s">
        <v>118</v>
      </c>
      <c r="D182" s="2937">
        <f t="shared" ref="D182:J182" si="52">SUM(D173:D181)</f>
        <v>0</v>
      </c>
      <c r="E182" s="2937">
        <f t="shared" si="52"/>
        <v>0</v>
      </c>
      <c r="F182" s="2937">
        <f t="shared" si="52"/>
        <v>109</v>
      </c>
      <c r="G182" s="2937">
        <f t="shared" si="52"/>
        <v>109</v>
      </c>
      <c r="H182" s="2937">
        <f t="shared" si="52"/>
        <v>0</v>
      </c>
      <c r="I182" s="2937">
        <f t="shared" si="52"/>
        <v>0</v>
      </c>
      <c r="J182" s="2937">
        <f t="shared" si="52"/>
        <v>2240</v>
      </c>
      <c r="K182" s="2937"/>
      <c r="L182" s="2937">
        <f>SUM(L173:L181)</f>
        <v>2240</v>
      </c>
      <c r="M182" s="2937">
        <f>SUM(M173:M181)</f>
        <v>1105</v>
      </c>
      <c r="N182" s="2937">
        <f>SUM(N173:N181)</f>
        <v>1704</v>
      </c>
      <c r="O182" s="2937">
        <f>SUM(O173:O181)</f>
        <v>0</v>
      </c>
      <c r="P182" s="2937">
        <f>SUM(P173:P181)</f>
        <v>2809</v>
      </c>
      <c r="Q182"/>
      <c r="R182" s="14"/>
      <c r="S182"/>
      <c r="T182"/>
    </row>
    <row r="183" spans="1:20">
      <c r="B183">
        <v>13</v>
      </c>
      <c r="C183" s="2941" t="s">
        <v>188</v>
      </c>
      <c r="D183"/>
      <c r="E183"/>
      <c r="F183" s="2942"/>
      <c r="G183" s="401"/>
      <c r="H183" s="401"/>
      <c r="I183" s="401"/>
      <c r="J183"/>
      <c r="K183"/>
      <c r="L183"/>
      <c r="M183" s="401"/>
      <c r="N183" s="401"/>
      <c r="O183"/>
      <c r="P183"/>
      <c r="Q183"/>
      <c r="R183"/>
      <c r="S183"/>
      <c r="T183"/>
    </row>
    <row r="184" spans="1:20">
      <c r="B184"/>
      <c r="C184" s="2922" t="s">
        <v>566</v>
      </c>
      <c r="D184" s="2922" t="s">
        <v>567</v>
      </c>
      <c r="E184" s="2922"/>
      <c r="F184" s="2922"/>
      <c r="G184" s="2922"/>
      <c r="H184" s="2922" t="s">
        <v>590</v>
      </c>
      <c r="I184" s="2922"/>
      <c r="J184" s="2922"/>
      <c r="K184" s="2922"/>
      <c r="L184" s="2922"/>
      <c r="M184" s="2922" t="s">
        <v>591</v>
      </c>
      <c r="N184" s="2922"/>
      <c r="O184" s="2922"/>
      <c r="P184" s="2922"/>
      <c r="Q184"/>
      <c r="R184"/>
      <c r="S184"/>
      <c r="T184"/>
    </row>
    <row r="185" spans="1:20">
      <c r="B185"/>
      <c r="C185" s="2922"/>
      <c r="D185" s="2922" t="s">
        <v>570</v>
      </c>
      <c r="E185" s="2922" t="s">
        <v>571</v>
      </c>
      <c r="F185" s="2922" t="s">
        <v>572</v>
      </c>
      <c r="G185" s="2922" t="s">
        <v>118</v>
      </c>
      <c r="H185" s="2922" t="s">
        <v>570</v>
      </c>
      <c r="I185" s="2922" t="s">
        <v>571</v>
      </c>
      <c r="J185" s="2922" t="s">
        <v>572</v>
      </c>
      <c r="K185" s="2922"/>
      <c r="L185" s="2922" t="s">
        <v>118</v>
      </c>
      <c r="M185" s="2922" t="s">
        <v>570</v>
      </c>
      <c r="N185" s="2922" t="s">
        <v>571</v>
      </c>
      <c r="O185" s="2922" t="s">
        <v>572</v>
      </c>
      <c r="P185" s="2922" t="s">
        <v>118</v>
      </c>
      <c r="Q185"/>
      <c r="R185"/>
      <c r="S185"/>
      <c r="T185"/>
    </row>
    <row r="186" spans="1:20">
      <c r="A186" s="193">
        <v>12</v>
      </c>
      <c r="B186"/>
      <c r="C186" s="2935" t="s">
        <v>573</v>
      </c>
      <c r="D186" s="2940"/>
      <c r="E186" s="2915">
        <v>2</v>
      </c>
      <c r="F186" s="2107"/>
      <c r="G186" s="2936">
        <f>+D186+E186+F186</f>
        <v>2</v>
      </c>
      <c r="H186" s="2483"/>
      <c r="I186" s="2911">
        <v>8</v>
      </c>
      <c r="J186" s="2483"/>
      <c r="K186" s="2483"/>
      <c r="L186" s="2936">
        <f>+H186+I186+J186</f>
        <v>8</v>
      </c>
      <c r="M186" s="2483"/>
      <c r="N186" s="2911">
        <v>129</v>
      </c>
      <c r="O186" s="2483"/>
      <c r="P186" s="2936">
        <f>+M186+N186+O186</f>
        <v>129</v>
      </c>
      <c r="Q186"/>
      <c r="R186"/>
      <c r="S186"/>
      <c r="T186"/>
    </row>
    <row r="187" spans="1:20">
      <c r="B187"/>
      <c r="C187" s="2887" t="s">
        <v>574</v>
      </c>
      <c r="D187" s="2483"/>
      <c r="E187" s="2911">
        <v>3</v>
      </c>
      <c r="F187" s="2107"/>
      <c r="G187" s="2936">
        <f t="shared" ref="G187:G194" si="53">+D187+E187+F187</f>
        <v>3</v>
      </c>
      <c r="H187" s="2483"/>
      <c r="I187" s="2911">
        <v>10</v>
      </c>
      <c r="J187" s="2483"/>
      <c r="K187" s="2483"/>
      <c r="L187" s="2936">
        <f t="shared" ref="L187:L194" si="54">+H187+I187+J187</f>
        <v>10</v>
      </c>
      <c r="M187" s="2483"/>
      <c r="N187" s="2911">
        <v>171</v>
      </c>
      <c r="O187" s="2483"/>
      <c r="P187" s="2936">
        <f t="shared" ref="P187:P194" si="55">+M187+N187+O187</f>
        <v>171</v>
      </c>
      <c r="Q187"/>
      <c r="R187"/>
      <c r="S187"/>
      <c r="T187"/>
    </row>
    <row r="188" spans="1:20">
      <c r="B188"/>
      <c r="C188" s="2887" t="s">
        <v>575</v>
      </c>
      <c r="D188" s="2483"/>
      <c r="E188" s="2911">
        <v>2</v>
      </c>
      <c r="F188" s="2107"/>
      <c r="G188" s="2936">
        <f t="shared" si="53"/>
        <v>2</v>
      </c>
      <c r="H188" s="2483"/>
      <c r="I188" s="2911">
        <v>6</v>
      </c>
      <c r="J188" s="2483"/>
      <c r="K188" s="2483"/>
      <c r="L188" s="2936">
        <f t="shared" si="54"/>
        <v>6</v>
      </c>
      <c r="M188" s="2483"/>
      <c r="N188" s="2911">
        <v>44</v>
      </c>
      <c r="O188" s="2483"/>
      <c r="P188" s="2936">
        <f t="shared" si="55"/>
        <v>44</v>
      </c>
      <c r="Q188"/>
      <c r="R188"/>
      <c r="S188"/>
      <c r="T188"/>
    </row>
    <row r="189" spans="1:20">
      <c r="B189"/>
      <c r="C189" s="2887" t="s">
        <v>576</v>
      </c>
      <c r="D189" s="2483"/>
      <c r="E189" s="2911">
        <v>3</v>
      </c>
      <c r="F189" s="2107"/>
      <c r="G189" s="2936">
        <f t="shared" si="53"/>
        <v>3</v>
      </c>
      <c r="H189" s="2483"/>
      <c r="I189" s="2911">
        <v>6</v>
      </c>
      <c r="J189" s="2483"/>
      <c r="K189" s="2483"/>
      <c r="L189" s="2936">
        <f t="shared" si="54"/>
        <v>6</v>
      </c>
      <c r="M189" s="2483"/>
      <c r="N189" s="2911">
        <v>51</v>
      </c>
      <c r="O189" s="2483"/>
      <c r="P189" s="2936">
        <f t="shared" si="55"/>
        <v>51</v>
      </c>
      <c r="Q189"/>
      <c r="R189"/>
      <c r="S189"/>
      <c r="T189"/>
    </row>
    <row r="190" spans="1:20">
      <c r="B190"/>
      <c r="C190" s="2887" t="s">
        <v>577</v>
      </c>
      <c r="D190" s="2483"/>
      <c r="E190" s="2911">
        <v>8</v>
      </c>
      <c r="F190" s="2107"/>
      <c r="G190" s="2936">
        <f t="shared" si="53"/>
        <v>8</v>
      </c>
      <c r="H190" s="2483"/>
      <c r="I190" s="2911">
        <v>15</v>
      </c>
      <c r="J190" s="2483"/>
      <c r="K190" s="2483"/>
      <c r="L190" s="2936">
        <f t="shared" si="54"/>
        <v>15</v>
      </c>
      <c r="M190" s="2483"/>
      <c r="N190" s="2911">
        <v>642</v>
      </c>
      <c r="O190" s="2483"/>
      <c r="P190" s="2936">
        <f t="shared" si="55"/>
        <v>642</v>
      </c>
      <c r="Q190"/>
      <c r="R190"/>
      <c r="S190"/>
      <c r="T190"/>
    </row>
    <row r="191" spans="1:20">
      <c r="B191"/>
      <c r="C191" s="2887" t="s">
        <v>578</v>
      </c>
      <c r="D191" s="2483"/>
      <c r="E191" s="2911">
        <v>2</v>
      </c>
      <c r="F191" s="2107"/>
      <c r="G191" s="2936">
        <f t="shared" si="53"/>
        <v>2</v>
      </c>
      <c r="H191" s="2483"/>
      <c r="I191" s="2911">
        <v>3</v>
      </c>
      <c r="J191" s="2483"/>
      <c r="K191" s="2483"/>
      <c r="L191" s="2936">
        <f t="shared" si="54"/>
        <v>3</v>
      </c>
      <c r="M191" s="2483"/>
      <c r="N191" s="2911">
        <v>46</v>
      </c>
      <c r="O191" s="2483"/>
      <c r="P191" s="2936">
        <f t="shared" si="55"/>
        <v>46</v>
      </c>
      <c r="Q191"/>
      <c r="R191"/>
      <c r="S191"/>
      <c r="T191"/>
    </row>
    <row r="192" spans="1:20">
      <c r="B192"/>
      <c r="C192" s="2887" t="s">
        <v>579</v>
      </c>
      <c r="D192" s="2483"/>
      <c r="E192" s="2911">
        <v>1</v>
      </c>
      <c r="F192" s="2107"/>
      <c r="G192" s="2936">
        <f t="shared" si="53"/>
        <v>1</v>
      </c>
      <c r="H192" s="2483"/>
      <c r="I192" s="2911">
        <v>3</v>
      </c>
      <c r="J192" s="2483"/>
      <c r="K192" s="2483"/>
      <c r="L192" s="2936">
        <f t="shared" si="54"/>
        <v>3</v>
      </c>
      <c r="M192" s="2483"/>
      <c r="N192" s="2911">
        <v>106</v>
      </c>
      <c r="O192" s="2483"/>
      <c r="P192" s="2936">
        <f t="shared" si="55"/>
        <v>106</v>
      </c>
      <c r="Q192"/>
      <c r="R192"/>
      <c r="S192"/>
      <c r="T192"/>
    </row>
    <row r="193" spans="1:20">
      <c r="B193"/>
      <c r="C193" s="2887" t="s">
        <v>580</v>
      </c>
      <c r="D193" s="2483"/>
      <c r="E193" s="2911">
        <v>2</v>
      </c>
      <c r="F193" s="2107"/>
      <c r="G193" s="2936">
        <f t="shared" si="53"/>
        <v>2</v>
      </c>
      <c r="H193" s="2483"/>
      <c r="I193" s="2911">
        <v>3</v>
      </c>
      <c r="J193" s="2483"/>
      <c r="K193" s="2483"/>
      <c r="L193" s="2936">
        <f t="shared" si="54"/>
        <v>3</v>
      </c>
      <c r="M193" s="2483"/>
      <c r="N193" s="2911">
        <v>48</v>
      </c>
      <c r="O193" s="2483"/>
      <c r="P193" s="2936">
        <f t="shared" si="55"/>
        <v>48</v>
      </c>
      <c r="Q193"/>
      <c r="R193"/>
      <c r="S193"/>
      <c r="T193"/>
    </row>
    <row r="194" spans="1:20">
      <c r="B194"/>
      <c r="C194" s="2887" t="s">
        <v>581</v>
      </c>
      <c r="D194" s="2483"/>
      <c r="E194" s="2911">
        <v>6</v>
      </c>
      <c r="F194" s="2107"/>
      <c r="G194" s="2936">
        <f t="shared" si="53"/>
        <v>6</v>
      </c>
      <c r="H194" s="2483"/>
      <c r="I194" s="2911">
        <v>31</v>
      </c>
      <c r="J194" s="2483"/>
      <c r="K194" s="2483"/>
      <c r="L194" s="2936">
        <f t="shared" si="54"/>
        <v>31</v>
      </c>
      <c r="M194" s="2483"/>
      <c r="N194" s="2911">
        <v>174</v>
      </c>
      <c r="O194" s="2483"/>
      <c r="P194" s="2936">
        <f t="shared" si="55"/>
        <v>174</v>
      </c>
      <c r="Q194"/>
      <c r="R194"/>
      <c r="S194"/>
      <c r="T194"/>
    </row>
    <row r="195" spans="1:20">
      <c r="B195"/>
      <c r="C195" s="2922" t="s">
        <v>118</v>
      </c>
      <c r="D195" s="2937">
        <f t="shared" ref="D195:J195" si="56">SUM(D186:D194)</f>
        <v>0</v>
      </c>
      <c r="E195" s="2937">
        <f t="shared" si="56"/>
        <v>29</v>
      </c>
      <c r="F195" s="2937">
        <f t="shared" si="56"/>
        <v>0</v>
      </c>
      <c r="G195" s="2937">
        <f t="shared" si="56"/>
        <v>29</v>
      </c>
      <c r="H195" s="2937">
        <f t="shared" si="56"/>
        <v>0</v>
      </c>
      <c r="I195" s="2937">
        <f t="shared" si="56"/>
        <v>85</v>
      </c>
      <c r="J195" s="2937">
        <f t="shared" si="56"/>
        <v>0</v>
      </c>
      <c r="K195" s="2937"/>
      <c r="L195" s="2937">
        <f>SUM(L186:L194)</f>
        <v>85</v>
      </c>
      <c r="M195" s="2937">
        <f>SUM(M186:M194)</f>
        <v>0</v>
      </c>
      <c r="N195" s="2937">
        <f>SUM(N186:N194)</f>
        <v>1411</v>
      </c>
      <c r="O195" s="2937">
        <f>SUM(O186:O194)</f>
        <v>0</v>
      </c>
      <c r="P195" s="2937">
        <f>SUM(P186:P194)</f>
        <v>1411</v>
      </c>
      <c r="Q195"/>
      <c r="R195"/>
      <c r="S195"/>
      <c r="T195"/>
    </row>
    <row r="196" spans="1:20">
      <c r="B196">
        <v>14</v>
      </c>
      <c r="C196" s="2938" t="s">
        <v>189</v>
      </c>
      <c r="D196"/>
      <c r="E196"/>
      <c r="F196"/>
      <c r="G196"/>
      <c r="H196"/>
      <c r="I196"/>
      <c r="J196"/>
      <c r="K196"/>
      <c r="L196"/>
      <c r="M196"/>
      <c r="N196"/>
      <c r="O196"/>
      <c r="P196"/>
      <c r="Q196"/>
      <c r="R196"/>
      <c r="S196"/>
      <c r="T196"/>
    </row>
    <row r="197" spans="1:20">
      <c r="B197"/>
      <c r="C197" s="2922" t="s">
        <v>566</v>
      </c>
      <c r="D197" s="2922" t="s">
        <v>567</v>
      </c>
      <c r="E197" s="2922"/>
      <c r="F197" s="2922"/>
      <c r="G197" s="2922"/>
      <c r="H197" s="2950" t="s">
        <v>590</v>
      </c>
      <c r="I197" s="3352"/>
      <c r="J197" s="3352"/>
      <c r="K197" s="3352"/>
      <c r="L197" s="2951"/>
      <c r="M197" s="2950" t="s">
        <v>591</v>
      </c>
      <c r="N197" s="3352"/>
      <c r="O197" s="3352"/>
      <c r="P197" s="2951"/>
      <c r="Q197"/>
      <c r="R197"/>
      <c r="S197"/>
      <c r="T197"/>
    </row>
    <row r="198" spans="1:20">
      <c r="B198"/>
      <c r="C198" s="2922"/>
      <c r="D198" s="2922" t="s">
        <v>570</v>
      </c>
      <c r="E198" s="2922" t="s">
        <v>571</v>
      </c>
      <c r="F198" s="2922" t="s">
        <v>572</v>
      </c>
      <c r="G198" s="2922" t="s">
        <v>118</v>
      </c>
      <c r="H198" s="397" t="s">
        <v>570</v>
      </c>
      <c r="I198" s="397" t="s">
        <v>571</v>
      </c>
      <c r="J198" s="397" t="s">
        <v>572</v>
      </c>
      <c r="K198" s="397" t="s">
        <v>592</v>
      </c>
      <c r="L198" s="2922" t="s">
        <v>118</v>
      </c>
      <c r="M198" s="2922" t="s">
        <v>570</v>
      </c>
      <c r="N198" s="2922" t="s">
        <v>571</v>
      </c>
      <c r="O198" s="2922" t="s">
        <v>572</v>
      </c>
      <c r="P198" s="2922" t="s">
        <v>118</v>
      </c>
      <c r="Q198"/>
      <c r="R198"/>
      <c r="S198"/>
      <c r="T198"/>
    </row>
    <row r="199" spans="1:20">
      <c r="B199"/>
      <c r="C199" s="2935" t="s">
        <v>573</v>
      </c>
      <c r="D199" s="2940">
        <v>0</v>
      </c>
      <c r="E199" s="2940">
        <v>2</v>
      </c>
      <c r="F199" s="2016">
        <v>7</v>
      </c>
      <c r="G199" s="2936">
        <f>+D199+E199+F199</f>
        <v>9</v>
      </c>
      <c r="H199" s="2911">
        <v>1</v>
      </c>
      <c r="I199" s="2911">
        <v>7</v>
      </c>
      <c r="J199" s="2911">
        <v>10</v>
      </c>
      <c r="K199" s="2911">
        <v>4</v>
      </c>
      <c r="L199" s="2936">
        <f>+H199+I199+J199+K199</f>
        <v>22</v>
      </c>
      <c r="M199" s="2911">
        <v>0</v>
      </c>
      <c r="N199" s="2911">
        <v>98</v>
      </c>
      <c r="O199" s="2911">
        <v>0</v>
      </c>
      <c r="P199" s="2936">
        <f>+M199+N199+O199</f>
        <v>98</v>
      </c>
      <c r="Q199"/>
      <c r="R199"/>
      <c r="S199"/>
      <c r="T199"/>
    </row>
    <row r="200" spans="1:20">
      <c r="B200"/>
      <c r="C200" s="2887" t="s">
        <v>574</v>
      </c>
      <c r="D200" s="2483">
        <v>0</v>
      </c>
      <c r="E200" s="2483">
        <v>1</v>
      </c>
      <c r="F200" s="2016">
        <v>3</v>
      </c>
      <c r="G200" s="2936">
        <f t="shared" ref="G200:G207" si="57">+D200+E200+F200</f>
        <v>4</v>
      </c>
      <c r="H200" s="2911">
        <v>0</v>
      </c>
      <c r="I200" s="2911">
        <v>5</v>
      </c>
      <c r="J200" s="2911">
        <v>3</v>
      </c>
      <c r="K200" s="2911">
        <v>2</v>
      </c>
      <c r="L200" s="2936">
        <f t="shared" ref="L200:L208" si="58">+H200+I200+J200+K200</f>
        <v>10</v>
      </c>
      <c r="M200" s="2911">
        <v>0</v>
      </c>
      <c r="N200" s="2911">
        <v>98</v>
      </c>
      <c r="O200" s="2911">
        <v>0</v>
      </c>
      <c r="P200" s="2936">
        <f t="shared" ref="P200:P207" si="59">+M200+N200+O200</f>
        <v>98</v>
      </c>
      <c r="Q200"/>
      <c r="R200"/>
      <c r="S200"/>
      <c r="T200"/>
    </row>
    <row r="201" spans="1:20">
      <c r="A201" s="193">
        <v>13</v>
      </c>
      <c r="B201"/>
      <c r="C201" s="2887" t="s">
        <v>575</v>
      </c>
      <c r="D201" s="2483">
        <v>0</v>
      </c>
      <c r="E201" s="2483">
        <v>3</v>
      </c>
      <c r="F201" s="2016">
        <v>3</v>
      </c>
      <c r="G201" s="2936">
        <f t="shared" si="57"/>
        <v>6</v>
      </c>
      <c r="H201" s="2911">
        <v>1</v>
      </c>
      <c r="I201" s="2911">
        <v>5</v>
      </c>
      <c r="J201" s="2911">
        <v>5</v>
      </c>
      <c r="K201" s="2911">
        <v>1</v>
      </c>
      <c r="L201" s="2936">
        <f t="shared" si="58"/>
        <v>12</v>
      </c>
      <c r="M201" s="2911">
        <v>0</v>
      </c>
      <c r="N201" s="2911">
        <v>118</v>
      </c>
      <c r="O201" s="2911">
        <v>2</v>
      </c>
      <c r="P201" s="2936">
        <f t="shared" si="59"/>
        <v>120</v>
      </c>
      <c r="Q201"/>
      <c r="R201"/>
      <c r="S201"/>
      <c r="T201"/>
    </row>
    <row r="202" spans="1:20">
      <c r="B202"/>
      <c r="C202" s="2887" t="s">
        <v>576</v>
      </c>
      <c r="D202" s="2483">
        <v>0</v>
      </c>
      <c r="E202" s="2483">
        <v>0</v>
      </c>
      <c r="F202" s="2016">
        <v>6</v>
      </c>
      <c r="G202" s="2936">
        <f t="shared" si="57"/>
        <v>6</v>
      </c>
      <c r="H202" s="2911">
        <v>1</v>
      </c>
      <c r="I202" s="2911">
        <v>3</v>
      </c>
      <c r="J202" s="2911">
        <v>7</v>
      </c>
      <c r="K202" s="2911">
        <v>4</v>
      </c>
      <c r="L202" s="2936">
        <f t="shared" si="58"/>
        <v>15</v>
      </c>
      <c r="M202" s="2911">
        <v>0</v>
      </c>
      <c r="N202" s="2911">
        <v>121</v>
      </c>
      <c r="O202" s="2911">
        <v>0</v>
      </c>
      <c r="P202" s="2936">
        <f t="shared" si="59"/>
        <v>121</v>
      </c>
      <c r="Q202"/>
      <c r="R202"/>
      <c r="S202"/>
      <c r="T202"/>
    </row>
    <row r="203" spans="1:20">
      <c r="B203"/>
      <c r="C203" s="2887" t="s">
        <v>577</v>
      </c>
      <c r="D203" s="2483">
        <v>0</v>
      </c>
      <c r="E203" s="2483">
        <v>0</v>
      </c>
      <c r="F203" s="2016">
        <v>7</v>
      </c>
      <c r="G203" s="2936">
        <f t="shared" si="57"/>
        <v>7</v>
      </c>
      <c r="H203" s="2911">
        <v>0</v>
      </c>
      <c r="I203" s="2911">
        <v>6</v>
      </c>
      <c r="J203" s="2911">
        <v>7</v>
      </c>
      <c r="K203" s="2911">
        <v>2</v>
      </c>
      <c r="L203" s="2936">
        <f t="shared" si="58"/>
        <v>15</v>
      </c>
      <c r="M203" s="2911">
        <v>0</v>
      </c>
      <c r="N203" s="2911">
        <v>189</v>
      </c>
      <c r="O203" s="2911">
        <v>0</v>
      </c>
      <c r="P203" s="2936">
        <f t="shared" si="59"/>
        <v>189</v>
      </c>
      <c r="Q203"/>
      <c r="R203"/>
      <c r="S203"/>
      <c r="T203"/>
    </row>
    <row r="204" spans="1:20">
      <c r="B204"/>
      <c r="C204" s="2887" t="s">
        <v>578</v>
      </c>
      <c r="D204" s="2483">
        <v>0</v>
      </c>
      <c r="E204" s="2483">
        <v>0</v>
      </c>
      <c r="F204" s="2016">
        <v>4</v>
      </c>
      <c r="G204" s="2936">
        <f t="shared" si="57"/>
        <v>4</v>
      </c>
      <c r="H204" s="2911">
        <v>0</v>
      </c>
      <c r="I204" s="2911">
        <v>5</v>
      </c>
      <c r="J204" s="2911">
        <v>8</v>
      </c>
      <c r="K204" s="2911">
        <v>5</v>
      </c>
      <c r="L204" s="2936">
        <f t="shared" si="58"/>
        <v>18</v>
      </c>
      <c r="M204" s="2911">
        <v>0</v>
      </c>
      <c r="N204" s="2911">
        <v>48</v>
      </c>
      <c r="O204" s="2911">
        <v>0</v>
      </c>
      <c r="P204" s="2936">
        <f t="shared" si="59"/>
        <v>48</v>
      </c>
      <c r="Q204"/>
      <c r="R204"/>
      <c r="S204"/>
      <c r="T204"/>
    </row>
    <row r="205" spans="1:20">
      <c r="B205"/>
      <c r="C205" s="2887" t="s">
        <v>579</v>
      </c>
      <c r="D205" s="2483">
        <v>0</v>
      </c>
      <c r="E205" s="2483">
        <v>1</v>
      </c>
      <c r="F205" s="2016">
        <v>7</v>
      </c>
      <c r="G205" s="2936">
        <f t="shared" si="57"/>
        <v>8</v>
      </c>
      <c r="H205" s="2911">
        <v>1</v>
      </c>
      <c r="I205" s="2911">
        <v>6</v>
      </c>
      <c r="J205" s="2911">
        <v>10</v>
      </c>
      <c r="K205" s="2911">
        <v>1</v>
      </c>
      <c r="L205" s="2936">
        <f t="shared" si="58"/>
        <v>18</v>
      </c>
      <c r="M205" s="2911">
        <v>0</v>
      </c>
      <c r="N205" s="2911">
        <v>319</v>
      </c>
      <c r="O205" s="2911">
        <v>0</v>
      </c>
      <c r="P205" s="2936">
        <f t="shared" si="59"/>
        <v>319</v>
      </c>
      <c r="Q205"/>
      <c r="R205"/>
      <c r="S205"/>
      <c r="T205"/>
    </row>
    <row r="206" spans="1:20">
      <c r="B206"/>
      <c r="C206" s="2887" t="s">
        <v>580</v>
      </c>
      <c r="D206" s="2483">
        <v>0</v>
      </c>
      <c r="E206" s="2483">
        <v>0</v>
      </c>
      <c r="F206" s="2016">
        <v>2</v>
      </c>
      <c r="G206" s="2936">
        <f t="shared" si="57"/>
        <v>2</v>
      </c>
      <c r="H206" s="2911">
        <v>0</v>
      </c>
      <c r="I206" s="2911">
        <v>3</v>
      </c>
      <c r="J206" s="2911">
        <v>3</v>
      </c>
      <c r="K206" s="2911"/>
      <c r="L206" s="2936">
        <f t="shared" si="58"/>
        <v>6</v>
      </c>
      <c r="M206" s="2911">
        <v>0</v>
      </c>
      <c r="N206" s="2911">
        <v>81</v>
      </c>
      <c r="O206" s="2911">
        <v>0</v>
      </c>
      <c r="P206" s="2936">
        <f t="shared" si="59"/>
        <v>81</v>
      </c>
      <c r="Q206"/>
      <c r="R206"/>
      <c r="S206"/>
      <c r="T206"/>
    </row>
    <row r="207" spans="1:20">
      <c r="B207"/>
      <c r="C207" s="2887" t="s">
        <v>581</v>
      </c>
      <c r="D207" s="2483">
        <v>0</v>
      </c>
      <c r="E207" s="2483">
        <v>0</v>
      </c>
      <c r="F207" s="2016">
        <v>18</v>
      </c>
      <c r="G207" s="2936">
        <f t="shared" si="57"/>
        <v>18</v>
      </c>
      <c r="H207" s="2911">
        <v>100</v>
      </c>
      <c r="I207" s="2911">
        <v>32</v>
      </c>
      <c r="J207" s="2911">
        <v>52</v>
      </c>
      <c r="K207" s="2911">
        <v>34</v>
      </c>
      <c r="L207" s="2936">
        <f t="shared" si="58"/>
        <v>218</v>
      </c>
      <c r="M207" s="2911">
        <v>0</v>
      </c>
      <c r="N207" s="2911">
        <v>401</v>
      </c>
      <c r="O207" s="2911">
        <v>8</v>
      </c>
      <c r="P207" s="2936">
        <f t="shared" si="59"/>
        <v>409</v>
      </c>
      <c r="Q207"/>
      <c r="R207"/>
      <c r="S207"/>
      <c r="T207"/>
    </row>
    <row r="208" spans="1:20">
      <c r="B208"/>
      <c r="C208" s="2922" t="s">
        <v>118</v>
      </c>
      <c r="D208" s="2937">
        <f t="shared" ref="D208:K208" si="60">SUM(D199:D207)</f>
        <v>0</v>
      </c>
      <c r="E208" s="2937">
        <f t="shared" si="60"/>
        <v>7</v>
      </c>
      <c r="F208" s="2937">
        <f t="shared" si="60"/>
        <v>57</v>
      </c>
      <c r="G208" s="2937">
        <f t="shared" si="60"/>
        <v>64</v>
      </c>
      <c r="H208" s="2937">
        <f t="shared" si="60"/>
        <v>104</v>
      </c>
      <c r="I208" s="2937">
        <f t="shared" si="60"/>
        <v>72</v>
      </c>
      <c r="J208" s="2937">
        <f t="shared" si="60"/>
        <v>105</v>
      </c>
      <c r="K208" s="2937">
        <f t="shared" si="60"/>
        <v>53</v>
      </c>
      <c r="L208" s="2936">
        <f t="shared" si="58"/>
        <v>334</v>
      </c>
      <c r="M208" s="2937">
        <f>SUM(M199:M207)</f>
        <v>0</v>
      </c>
      <c r="N208" s="2937">
        <f>SUM(N199:N207)</f>
        <v>1473</v>
      </c>
      <c r="O208" s="2937">
        <f>SUM(O199:O207)</f>
        <v>10</v>
      </c>
      <c r="P208" s="2937">
        <f>SUM(P199:P207)</f>
        <v>1483</v>
      </c>
      <c r="Q208"/>
      <c r="R208" s="14"/>
      <c r="S208"/>
      <c r="T208"/>
    </row>
    <row r="209" spans="1:20">
      <c r="B209">
        <v>15</v>
      </c>
      <c r="C209" s="2938" t="s">
        <v>190</v>
      </c>
      <c r="D209"/>
      <c r="E209"/>
      <c r="F209"/>
      <c r="G209"/>
      <c r="H209"/>
      <c r="I209"/>
      <c r="J209"/>
      <c r="K209"/>
      <c r="L209"/>
      <c r="M209"/>
      <c r="N209"/>
      <c r="O209"/>
      <c r="P209"/>
      <c r="Q209"/>
      <c r="R209"/>
      <c r="S209"/>
      <c r="T209"/>
    </row>
    <row r="210" spans="1:20">
      <c r="B210"/>
      <c r="C210" s="2922" t="s">
        <v>566</v>
      </c>
      <c r="D210" s="2922" t="s">
        <v>567</v>
      </c>
      <c r="E210" s="2922"/>
      <c r="F210" s="2922"/>
      <c r="G210" s="2922"/>
      <c r="H210" s="2922" t="s">
        <v>590</v>
      </c>
      <c r="I210" s="2922"/>
      <c r="J210" s="2922"/>
      <c r="K210" s="2922"/>
      <c r="L210" s="2922"/>
      <c r="M210" s="2922" t="s">
        <v>591</v>
      </c>
      <c r="N210" s="2922"/>
      <c r="O210" s="2922"/>
      <c r="P210" s="2922"/>
      <c r="Q210"/>
      <c r="R210"/>
      <c r="S210"/>
      <c r="T210"/>
    </row>
    <row r="211" spans="1:20">
      <c r="B211"/>
      <c r="C211" s="2922"/>
      <c r="D211" s="2922" t="s">
        <v>570</v>
      </c>
      <c r="E211" s="2922" t="s">
        <v>571</v>
      </c>
      <c r="F211" s="2922" t="s">
        <v>572</v>
      </c>
      <c r="G211" s="2922" t="s">
        <v>118</v>
      </c>
      <c r="H211" s="2922" t="s">
        <v>570</v>
      </c>
      <c r="I211" s="2922" t="s">
        <v>571</v>
      </c>
      <c r="J211" s="2922" t="s">
        <v>572</v>
      </c>
      <c r="K211" s="2922"/>
      <c r="L211" s="2922" t="s">
        <v>118</v>
      </c>
      <c r="M211" s="2922" t="s">
        <v>570</v>
      </c>
      <c r="N211" s="2922" t="s">
        <v>571</v>
      </c>
      <c r="O211" s="2922" t="s">
        <v>572</v>
      </c>
      <c r="P211" s="2922" t="s">
        <v>118</v>
      </c>
      <c r="Q211"/>
      <c r="R211"/>
      <c r="S211"/>
      <c r="T211"/>
    </row>
    <row r="212" spans="1:20">
      <c r="B212"/>
      <c r="C212" s="2935" t="s">
        <v>573</v>
      </c>
      <c r="D212" s="2915"/>
      <c r="E212" s="2915"/>
      <c r="F212" s="2107">
        <v>5</v>
      </c>
      <c r="G212" s="2936">
        <v>5</v>
      </c>
      <c r="H212" s="2911">
        <v>15</v>
      </c>
      <c r="I212" s="2911">
        <v>2</v>
      </c>
      <c r="J212" s="2911">
        <v>23</v>
      </c>
      <c r="K212"/>
      <c r="L212" s="2911">
        <v>40</v>
      </c>
      <c r="M212" s="2936">
        <v>14</v>
      </c>
      <c r="N212" s="2911">
        <v>33</v>
      </c>
      <c r="O212" s="2911"/>
      <c r="P212" s="2936">
        <f>+N212+M212+O212</f>
        <v>47</v>
      </c>
      <c r="Q212"/>
      <c r="R212"/>
      <c r="S212"/>
      <c r="T212"/>
    </row>
    <row r="213" spans="1:20">
      <c r="B213"/>
      <c r="C213" s="2887" t="s">
        <v>574</v>
      </c>
      <c r="D213" s="2911"/>
      <c r="E213" s="2911"/>
      <c r="F213" s="2107">
        <v>5</v>
      </c>
      <c r="G213" s="2936">
        <v>5</v>
      </c>
      <c r="H213" s="2911">
        <v>7</v>
      </c>
      <c r="I213" s="2911">
        <v>0</v>
      </c>
      <c r="J213" s="2911">
        <v>9</v>
      </c>
      <c r="K213"/>
      <c r="L213" s="2911">
        <v>16</v>
      </c>
      <c r="M213" s="2936">
        <v>5</v>
      </c>
      <c r="N213" s="2911">
        <v>45</v>
      </c>
      <c r="O213" s="2911"/>
      <c r="P213" s="2936">
        <f t="shared" ref="P213:P220" si="61">+N213+M213+O213</f>
        <v>50</v>
      </c>
      <c r="Q213"/>
      <c r="R213"/>
      <c r="S213"/>
      <c r="T213"/>
    </row>
    <row r="214" spans="1:20">
      <c r="B214"/>
      <c r="C214" s="2887" t="s">
        <v>575</v>
      </c>
      <c r="D214" s="2911"/>
      <c r="E214" s="2911"/>
      <c r="F214" s="2107">
        <v>5</v>
      </c>
      <c r="G214" s="2936">
        <v>5</v>
      </c>
      <c r="H214" s="2911">
        <v>8</v>
      </c>
      <c r="I214" s="2911">
        <v>0</v>
      </c>
      <c r="J214" s="2911">
        <v>9</v>
      </c>
      <c r="K214"/>
      <c r="L214" s="2911">
        <v>17</v>
      </c>
      <c r="M214" s="2936">
        <v>13</v>
      </c>
      <c r="N214" s="2911">
        <v>79</v>
      </c>
      <c r="O214" s="2911"/>
      <c r="P214" s="2936">
        <f t="shared" si="61"/>
        <v>92</v>
      </c>
      <c r="Q214"/>
      <c r="R214"/>
      <c r="S214"/>
      <c r="T214"/>
    </row>
    <row r="215" spans="1:20">
      <c r="B215"/>
      <c r="C215" s="2887" t="s">
        <v>576</v>
      </c>
      <c r="D215" s="2911"/>
      <c r="E215" s="2911"/>
      <c r="F215" s="2107">
        <v>6</v>
      </c>
      <c r="G215" s="2936">
        <v>6</v>
      </c>
      <c r="H215" s="2911">
        <v>14</v>
      </c>
      <c r="I215" s="2911">
        <v>3</v>
      </c>
      <c r="J215" s="2911">
        <v>26</v>
      </c>
      <c r="K215"/>
      <c r="L215" s="2911">
        <v>43</v>
      </c>
      <c r="M215" s="2936">
        <v>27</v>
      </c>
      <c r="N215" s="2911">
        <v>23</v>
      </c>
      <c r="O215" s="2911"/>
      <c r="P215" s="2936">
        <f t="shared" si="61"/>
        <v>50</v>
      </c>
      <c r="Q215"/>
      <c r="R215"/>
      <c r="S215"/>
      <c r="T215"/>
    </row>
    <row r="216" spans="1:20">
      <c r="A216" s="193">
        <v>14</v>
      </c>
      <c r="B216"/>
      <c r="C216" s="2887" t="s">
        <v>577</v>
      </c>
      <c r="D216" s="2911"/>
      <c r="E216" s="2911"/>
      <c r="F216" s="2107">
        <v>5</v>
      </c>
      <c r="G216" s="2936">
        <v>5</v>
      </c>
      <c r="H216" s="2911">
        <v>5</v>
      </c>
      <c r="I216" s="2911">
        <v>4</v>
      </c>
      <c r="J216" s="2911">
        <v>16</v>
      </c>
      <c r="K216"/>
      <c r="L216" s="2911">
        <v>25</v>
      </c>
      <c r="M216" s="2936">
        <v>14</v>
      </c>
      <c r="N216" s="2911">
        <v>51</v>
      </c>
      <c r="O216" s="2911"/>
      <c r="P216" s="2936">
        <f t="shared" si="61"/>
        <v>65</v>
      </c>
      <c r="Q216"/>
      <c r="R216"/>
      <c r="S216"/>
      <c r="T216"/>
    </row>
    <row r="217" spans="1:20">
      <c r="B217"/>
      <c r="C217" s="2887" t="s">
        <v>578</v>
      </c>
      <c r="D217" s="2911"/>
      <c r="E217" s="2911"/>
      <c r="F217" s="2107">
        <v>3</v>
      </c>
      <c r="G217" s="2936">
        <v>3</v>
      </c>
      <c r="H217" s="2911">
        <v>5</v>
      </c>
      <c r="I217" s="2911">
        <v>1</v>
      </c>
      <c r="J217" s="2911">
        <v>13</v>
      </c>
      <c r="K217"/>
      <c r="L217" s="2911">
        <v>19</v>
      </c>
      <c r="M217" s="2936">
        <v>7</v>
      </c>
      <c r="N217" s="2911">
        <v>16</v>
      </c>
      <c r="O217" s="2911"/>
      <c r="P217" s="2936">
        <f t="shared" si="61"/>
        <v>23</v>
      </c>
      <c r="Q217"/>
      <c r="R217"/>
      <c r="S217"/>
      <c r="T217"/>
    </row>
    <row r="218" spans="1:20">
      <c r="B218"/>
      <c r="C218" s="2887" t="s">
        <v>579</v>
      </c>
      <c r="D218" s="2911"/>
      <c r="E218" s="2911"/>
      <c r="F218" s="2107">
        <v>6</v>
      </c>
      <c r="G218" s="2936">
        <v>6</v>
      </c>
      <c r="H218" s="2911">
        <v>15</v>
      </c>
      <c r="I218" s="2911">
        <v>1</v>
      </c>
      <c r="J218" s="2911">
        <v>23</v>
      </c>
      <c r="K218"/>
      <c r="L218" s="2911">
        <v>39</v>
      </c>
      <c r="M218" s="2936">
        <v>37</v>
      </c>
      <c r="N218" s="2911">
        <v>55</v>
      </c>
      <c r="O218" s="2911"/>
      <c r="P218" s="2936">
        <f t="shared" si="61"/>
        <v>92</v>
      </c>
      <c r="Q218"/>
      <c r="R218"/>
      <c r="S218"/>
      <c r="T218"/>
    </row>
    <row r="219" spans="1:20">
      <c r="B219"/>
      <c r="C219" s="2887" t="s">
        <v>580</v>
      </c>
      <c r="D219" s="2911"/>
      <c r="E219" s="2911"/>
      <c r="F219" s="2107">
        <v>5</v>
      </c>
      <c r="G219" s="2936">
        <v>5</v>
      </c>
      <c r="H219" s="2911">
        <v>9</v>
      </c>
      <c r="I219" s="2911">
        <v>0</v>
      </c>
      <c r="J219" s="2911">
        <v>13</v>
      </c>
      <c r="K219"/>
      <c r="L219" s="2911">
        <v>22</v>
      </c>
      <c r="M219" s="2936">
        <v>15</v>
      </c>
      <c r="N219" s="2911">
        <v>52</v>
      </c>
      <c r="O219" s="2911"/>
      <c r="P219" s="2936">
        <f t="shared" si="61"/>
        <v>67</v>
      </c>
      <c r="Q219"/>
      <c r="R219"/>
      <c r="S219"/>
      <c r="T219"/>
    </row>
    <row r="220" spans="1:20">
      <c r="B220"/>
      <c r="C220" s="2887" t="s">
        <v>581</v>
      </c>
      <c r="D220" s="2911"/>
      <c r="E220" s="2911"/>
      <c r="F220" s="2107">
        <v>15</v>
      </c>
      <c r="G220" s="2936">
        <v>15</v>
      </c>
      <c r="H220" s="2911">
        <v>63</v>
      </c>
      <c r="I220" s="2911">
        <v>24</v>
      </c>
      <c r="J220" s="2911">
        <v>208</v>
      </c>
      <c r="K220"/>
      <c r="L220" s="2911">
        <v>295</v>
      </c>
      <c r="M220" s="2936">
        <v>86</v>
      </c>
      <c r="N220" s="2911">
        <v>110</v>
      </c>
      <c r="O220" s="2911"/>
      <c r="P220" s="2936">
        <f t="shared" si="61"/>
        <v>196</v>
      </c>
      <c r="Q220"/>
      <c r="R220"/>
      <c r="S220"/>
      <c r="T220"/>
    </row>
    <row r="221" spans="1:20">
      <c r="B221"/>
      <c r="C221" s="2922" t="s">
        <v>118</v>
      </c>
      <c r="D221" s="2937">
        <f t="shared" ref="D221:J221" si="62">SUM(D212:D220)</f>
        <v>0</v>
      </c>
      <c r="E221" s="2937">
        <f t="shared" si="62"/>
        <v>0</v>
      </c>
      <c r="F221" s="2937">
        <f t="shared" si="62"/>
        <v>55</v>
      </c>
      <c r="G221" s="2937">
        <f t="shared" si="62"/>
        <v>55</v>
      </c>
      <c r="H221" s="2937">
        <f t="shared" si="62"/>
        <v>141</v>
      </c>
      <c r="I221" s="2937">
        <f t="shared" si="62"/>
        <v>35</v>
      </c>
      <c r="J221" s="2937">
        <f t="shared" si="62"/>
        <v>340</v>
      </c>
      <c r="K221" s="2937"/>
      <c r="L221" s="2937">
        <f>SUM(L212:L220)</f>
        <v>516</v>
      </c>
      <c r="M221" s="2937">
        <f>SUM(M212:M220)</f>
        <v>218</v>
      </c>
      <c r="N221" s="2937">
        <f>SUM(N212:N220)</f>
        <v>464</v>
      </c>
      <c r="O221" s="2937">
        <f>SUM(O212:O220)</f>
        <v>0</v>
      </c>
      <c r="P221" s="2937">
        <f>SUM(P212:P220)</f>
        <v>682</v>
      </c>
      <c r="Q221"/>
      <c r="R221"/>
      <c r="S221"/>
      <c r="T221"/>
    </row>
    <row r="222" spans="1:20">
      <c r="B222">
        <v>16</v>
      </c>
      <c r="C222" s="2939" t="s">
        <v>192</v>
      </c>
      <c r="D222"/>
      <c r="E222"/>
      <c r="F222"/>
      <c r="G222"/>
      <c r="H222"/>
      <c r="I222"/>
      <c r="J222"/>
      <c r="K222"/>
      <c r="L222"/>
      <c r="M222"/>
      <c r="N222"/>
      <c r="O222"/>
      <c r="P222"/>
      <c r="Q222"/>
      <c r="R222"/>
      <c r="S222"/>
      <c r="T222"/>
    </row>
    <row r="223" spans="1:20">
      <c r="B223"/>
      <c r="C223" s="2922" t="s">
        <v>566</v>
      </c>
      <c r="D223" s="2922" t="s">
        <v>567</v>
      </c>
      <c r="E223" s="2922"/>
      <c r="F223" s="2922"/>
      <c r="G223" s="2922"/>
      <c r="H223" s="2922" t="s">
        <v>590</v>
      </c>
      <c r="I223" s="2922"/>
      <c r="J223" s="2922"/>
      <c r="K223" s="2922"/>
      <c r="L223" s="2922"/>
      <c r="M223" s="2922" t="s">
        <v>591</v>
      </c>
      <c r="N223" s="2922"/>
      <c r="O223" s="2922"/>
      <c r="P223" s="2922"/>
      <c r="Q223"/>
      <c r="R223"/>
      <c r="S223"/>
      <c r="T223"/>
    </row>
    <row r="224" spans="1:20">
      <c r="B224"/>
      <c r="C224" s="2922"/>
      <c r="D224" s="2922" t="s">
        <v>570</v>
      </c>
      <c r="E224" s="2922" t="s">
        <v>571</v>
      </c>
      <c r="F224" s="2922" t="s">
        <v>572</v>
      </c>
      <c r="G224" s="2922" t="s">
        <v>118</v>
      </c>
      <c r="H224" s="2922" t="s">
        <v>570</v>
      </c>
      <c r="I224" s="2922" t="s">
        <v>571</v>
      </c>
      <c r="J224" s="2922" t="s">
        <v>572</v>
      </c>
      <c r="K224" s="2922"/>
      <c r="L224" s="2922" t="s">
        <v>118</v>
      </c>
      <c r="M224" s="2922" t="s">
        <v>570</v>
      </c>
      <c r="N224" s="2922" t="s">
        <v>571</v>
      </c>
      <c r="O224" s="2922" t="s">
        <v>572</v>
      </c>
      <c r="P224" s="2922" t="s">
        <v>118</v>
      </c>
      <c r="Q224"/>
      <c r="R224"/>
      <c r="S224"/>
      <c r="T224"/>
    </row>
    <row r="225" spans="1:20">
      <c r="B225"/>
      <c r="C225" s="2935" t="s">
        <v>573</v>
      </c>
      <c r="D225" s="2940">
        <v>0</v>
      </c>
      <c r="E225" s="2940">
        <v>0</v>
      </c>
      <c r="F225" s="2107">
        <v>0</v>
      </c>
      <c r="G225" s="2936">
        <v>0</v>
      </c>
      <c r="H225" s="2911">
        <v>12</v>
      </c>
      <c r="I225" s="2483">
        <v>0</v>
      </c>
      <c r="J225" s="2483">
        <v>0</v>
      </c>
      <c r="K225" s="2483"/>
      <c r="L225" s="2936">
        <f>+H225+I225+J225</f>
        <v>12</v>
      </c>
      <c r="M225" s="2483">
        <v>0</v>
      </c>
      <c r="N225" s="2483">
        <v>0</v>
      </c>
      <c r="O225" s="2483">
        <v>0</v>
      </c>
      <c r="P225" s="2936">
        <v>0</v>
      </c>
      <c r="Q225"/>
      <c r="R225"/>
      <c r="S225"/>
      <c r="T225"/>
    </row>
    <row r="226" spans="1:20">
      <c r="B226"/>
      <c r="C226" s="2887" t="s">
        <v>574</v>
      </c>
      <c r="D226" s="2483">
        <v>0</v>
      </c>
      <c r="E226" s="2483">
        <v>0</v>
      </c>
      <c r="F226" s="2107">
        <v>0</v>
      </c>
      <c r="G226" s="2936">
        <v>0</v>
      </c>
      <c r="H226" s="2911">
        <v>8</v>
      </c>
      <c r="I226" s="2483">
        <v>0</v>
      </c>
      <c r="J226" s="2483">
        <v>0</v>
      </c>
      <c r="K226" s="2483"/>
      <c r="L226" s="2936">
        <f t="shared" ref="L226:L233" si="63">+H226+I226+J226</f>
        <v>8</v>
      </c>
      <c r="M226" s="2483">
        <v>0</v>
      </c>
      <c r="N226" s="2483">
        <v>0</v>
      </c>
      <c r="O226" s="2483">
        <v>0</v>
      </c>
      <c r="P226" s="2936">
        <v>0</v>
      </c>
      <c r="Q226"/>
      <c r="R226"/>
      <c r="S226"/>
      <c r="T226"/>
    </row>
    <row r="227" spans="1:20">
      <c r="B227"/>
      <c r="C227" s="2887" t="s">
        <v>575</v>
      </c>
      <c r="D227" s="2483">
        <v>0</v>
      </c>
      <c r="E227" s="2483">
        <v>0</v>
      </c>
      <c r="F227" s="2107">
        <v>0</v>
      </c>
      <c r="G227" s="2936">
        <v>0</v>
      </c>
      <c r="H227" s="2911">
        <v>7</v>
      </c>
      <c r="I227" s="2483">
        <v>0</v>
      </c>
      <c r="J227" s="2483">
        <v>0</v>
      </c>
      <c r="K227" s="2483"/>
      <c r="L227" s="2936">
        <f t="shared" si="63"/>
        <v>7</v>
      </c>
      <c r="M227" s="2483">
        <v>0</v>
      </c>
      <c r="N227" s="2483">
        <v>0</v>
      </c>
      <c r="O227" s="2483">
        <v>0</v>
      </c>
      <c r="P227" s="2936">
        <v>0</v>
      </c>
      <c r="Q227"/>
      <c r="R227"/>
      <c r="S227"/>
      <c r="T227"/>
    </row>
    <row r="228" spans="1:20">
      <c r="B228"/>
      <c r="C228" s="2887" t="s">
        <v>576</v>
      </c>
      <c r="D228" s="2483"/>
      <c r="E228" s="2483">
        <v>0</v>
      </c>
      <c r="F228" s="2107">
        <v>0</v>
      </c>
      <c r="G228" s="2936">
        <v>0</v>
      </c>
      <c r="H228" s="2911">
        <v>9</v>
      </c>
      <c r="I228" s="2483">
        <v>0</v>
      </c>
      <c r="J228" s="2483">
        <v>0</v>
      </c>
      <c r="K228" s="2483"/>
      <c r="L228" s="2936">
        <f t="shared" si="63"/>
        <v>9</v>
      </c>
      <c r="M228" s="2483">
        <v>0</v>
      </c>
      <c r="N228" s="2483">
        <v>0</v>
      </c>
      <c r="O228" s="2483">
        <v>0</v>
      </c>
      <c r="P228" s="2936">
        <v>0</v>
      </c>
      <c r="Q228"/>
      <c r="R228"/>
      <c r="S228"/>
      <c r="T228"/>
    </row>
    <row r="229" spans="1:20">
      <c r="B229"/>
      <c r="C229" s="2887" t="s">
        <v>577</v>
      </c>
      <c r="D229" s="2483">
        <v>0</v>
      </c>
      <c r="E229" s="2483">
        <v>0</v>
      </c>
      <c r="F229" s="2107">
        <v>0</v>
      </c>
      <c r="G229" s="2936">
        <v>0</v>
      </c>
      <c r="H229" s="2911">
        <v>6</v>
      </c>
      <c r="I229" s="2483">
        <v>0</v>
      </c>
      <c r="J229" s="2483">
        <v>0</v>
      </c>
      <c r="K229" s="2483"/>
      <c r="L229" s="2936">
        <f t="shared" si="63"/>
        <v>6</v>
      </c>
      <c r="M229" s="2483">
        <v>0</v>
      </c>
      <c r="N229" s="2483">
        <v>0</v>
      </c>
      <c r="O229" s="2483">
        <v>0</v>
      </c>
      <c r="P229" s="2936">
        <v>0</v>
      </c>
      <c r="Q229"/>
      <c r="R229"/>
      <c r="S229"/>
      <c r="T229"/>
    </row>
    <row r="230" spans="1:20">
      <c r="B230"/>
      <c r="C230" s="2887" t="s">
        <v>578</v>
      </c>
      <c r="D230" s="2483">
        <v>0</v>
      </c>
      <c r="E230" s="2483">
        <v>0</v>
      </c>
      <c r="F230" s="2107">
        <v>0</v>
      </c>
      <c r="G230" s="2936">
        <v>0</v>
      </c>
      <c r="H230" s="2911">
        <v>7</v>
      </c>
      <c r="I230" s="2483">
        <v>0</v>
      </c>
      <c r="J230" s="2483">
        <v>0</v>
      </c>
      <c r="K230" s="2483"/>
      <c r="L230" s="2936">
        <f t="shared" si="63"/>
        <v>7</v>
      </c>
      <c r="M230" s="2483">
        <v>0</v>
      </c>
      <c r="N230" s="2483">
        <v>0</v>
      </c>
      <c r="O230" s="2483">
        <v>0</v>
      </c>
      <c r="P230" s="2936">
        <v>0</v>
      </c>
      <c r="Q230"/>
      <c r="R230"/>
      <c r="S230"/>
      <c r="T230"/>
    </row>
    <row r="231" spans="1:20">
      <c r="A231" s="193">
        <v>15</v>
      </c>
      <c r="B231"/>
      <c r="C231" s="2887" t="s">
        <v>579</v>
      </c>
      <c r="D231" s="2483">
        <v>1</v>
      </c>
      <c r="E231" s="2483">
        <v>0</v>
      </c>
      <c r="F231" s="2107">
        <v>0</v>
      </c>
      <c r="G231" s="2936">
        <v>1</v>
      </c>
      <c r="H231" s="2911">
        <v>10</v>
      </c>
      <c r="I231" s="2483">
        <v>0</v>
      </c>
      <c r="J231" s="2483">
        <v>0</v>
      </c>
      <c r="K231" s="2483"/>
      <c r="L231" s="2936">
        <f t="shared" si="63"/>
        <v>10</v>
      </c>
      <c r="M231" s="2483">
        <v>12</v>
      </c>
      <c r="N231" s="2483">
        <v>0</v>
      </c>
      <c r="O231" s="2483">
        <v>0</v>
      </c>
      <c r="P231" s="2936">
        <v>12</v>
      </c>
      <c r="Q231"/>
      <c r="R231"/>
      <c r="S231"/>
      <c r="T231"/>
    </row>
    <row r="232" spans="1:20">
      <c r="B232"/>
      <c r="C232" s="2887" t="s">
        <v>580</v>
      </c>
      <c r="D232" s="2483">
        <v>0</v>
      </c>
      <c r="E232" s="2483">
        <v>0</v>
      </c>
      <c r="F232" s="2107">
        <v>0</v>
      </c>
      <c r="G232" s="2936">
        <v>0</v>
      </c>
      <c r="H232" s="2911">
        <v>8</v>
      </c>
      <c r="I232" s="2483">
        <v>0</v>
      </c>
      <c r="J232" s="2483">
        <v>0</v>
      </c>
      <c r="K232" s="2483"/>
      <c r="L232" s="2936">
        <f t="shared" si="63"/>
        <v>8</v>
      </c>
      <c r="M232" s="2483">
        <v>0</v>
      </c>
      <c r="N232" s="2483">
        <v>0</v>
      </c>
      <c r="O232" s="2483">
        <v>0</v>
      </c>
      <c r="P232" s="2936">
        <v>0</v>
      </c>
      <c r="Q232"/>
      <c r="R232"/>
      <c r="S232"/>
      <c r="T232"/>
    </row>
    <row r="233" spans="1:20">
      <c r="B233"/>
      <c r="C233" s="2887" t="s">
        <v>581</v>
      </c>
      <c r="D233" s="2483">
        <v>1</v>
      </c>
      <c r="E233" s="2483">
        <v>0</v>
      </c>
      <c r="F233" s="2107">
        <v>0</v>
      </c>
      <c r="G233" s="2936">
        <v>1</v>
      </c>
      <c r="H233" s="2911">
        <v>183</v>
      </c>
      <c r="I233" s="2483">
        <v>0</v>
      </c>
      <c r="J233" s="2483">
        <v>0</v>
      </c>
      <c r="K233" s="2483"/>
      <c r="L233" s="2936">
        <f t="shared" si="63"/>
        <v>183</v>
      </c>
      <c r="M233" s="2483">
        <v>0</v>
      </c>
      <c r="N233" s="2483">
        <v>0</v>
      </c>
      <c r="O233" s="2483">
        <v>0</v>
      </c>
      <c r="P233" s="2936">
        <v>0</v>
      </c>
      <c r="Q233"/>
      <c r="R233"/>
      <c r="S233"/>
      <c r="T233"/>
    </row>
    <row r="234" spans="1:20">
      <c r="B234"/>
      <c r="C234" s="2922" t="s">
        <v>118</v>
      </c>
      <c r="D234" s="2937">
        <v>2</v>
      </c>
      <c r="E234" s="2937">
        <v>0</v>
      </c>
      <c r="F234" s="2937">
        <v>0</v>
      </c>
      <c r="G234" s="2937">
        <v>2</v>
      </c>
      <c r="H234" s="2937">
        <v>250</v>
      </c>
      <c r="I234" s="2937">
        <v>0</v>
      </c>
      <c r="J234" s="2937">
        <v>0</v>
      </c>
      <c r="K234" s="2937"/>
      <c r="L234" s="2937">
        <f>SUM(L225:L233)</f>
        <v>250</v>
      </c>
      <c r="M234" s="2937">
        <v>12</v>
      </c>
      <c r="N234" s="2937">
        <v>0</v>
      </c>
      <c r="O234" s="2937">
        <v>0</v>
      </c>
      <c r="P234" s="2937">
        <v>12</v>
      </c>
      <c r="Q234"/>
      <c r="R234"/>
      <c r="S234"/>
      <c r="T234"/>
    </row>
    <row r="235" spans="1:20">
      <c r="B235">
        <v>17</v>
      </c>
      <c r="C235" s="2938" t="s">
        <v>193</v>
      </c>
      <c r="D235"/>
      <c r="E235"/>
      <c r="F235"/>
      <c r="G235"/>
      <c r="H235"/>
      <c r="I235"/>
      <c r="J235"/>
      <c r="K235"/>
      <c r="L235"/>
      <c r="M235"/>
      <c r="N235"/>
      <c r="O235"/>
      <c r="P235"/>
      <c r="Q235"/>
      <c r="R235"/>
      <c r="S235"/>
      <c r="T235"/>
    </row>
    <row r="236" spans="1:20">
      <c r="B236"/>
      <c r="C236" s="2922" t="s">
        <v>566</v>
      </c>
      <c r="D236" s="2922" t="s">
        <v>567</v>
      </c>
      <c r="E236" s="2922"/>
      <c r="F236" s="2922"/>
      <c r="G236" s="2922"/>
      <c r="H236" s="2922" t="s">
        <v>590</v>
      </c>
      <c r="I236" s="2922"/>
      <c r="J236" s="2922"/>
      <c r="K236" s="2922"/>
      <c r="L236" s="2922"/>
      <c r="M236" s="2922" t="s">
        <v>591</v>
      </c>
      <c r="N236" s="2922"/>
      <c r="O236" s="2922"/>
      <c r="P236" s="2922"/>
      <c r="Q236"/>
      <c r="R236"/>
      <c r="S236"/>
      <c r="T236"/>
    </row>
    <row r="237" spans="1:20">
      <c r="B237"/>
      <c r="C237" s="2922"/>
      <c r="D237" s="2922" t="s">
        <v>570</v>
      </c>
      <c r="E237" s="2922" t="s">
        <v>571</v>
      </c>
      <c r="F237" s="2922" t="s">
        <v>572</v>
      </c>
      <c r="G237" s="2922" t="s">
        <v>118</v>
      </c>
      <c r="H237" s="2922" t="s">
        <v>570</v>
      </c>
      <c r="I237" s="2922" t="s">
        <v>571</v>
      </c>
      <c r="J237" s="2922" t="s">
        <v>572</v>
      </c>
      <c r="K237" s="2922"/>
      <c r="L237" s="2922" t="s">
        <v>118</v>
      </c>
      <c r="M237" s="2922" t="s">
        <v>570</v>
      </c>
      <c r="N237" s="2922" t="s">
        <v>571</v>
      </c>
      <c r="O237" s="2922" t="s">
        <v>572</v>
      </c>
      <c r="P237" s="2922" t="s">
        <v>118</v>
      </c>
      <c r="Q237"/>
      <c r="R237"/>
      <c r="S237"/>
      <c r="T237"/>
    </row>
    <row r="238" spans="1:20">
      <c r="B238"/>
      <c r="C238" s="2935" t="s">
        <v>573</v>
      </c>
      <c r="D238" s="2940"/>
      <c r="E238" s="2940"/>
      <c r="F238" s="2952">
        <v>12</v>
      </c>
      <c r="G238" s="2936">
        <v>12</v>
      </c>
      <c r="H238" s="2483"/>
      <c r="I238" s="2483"/>
      <c r="J238" s="2952">
        <v>139</v>
      </c>
      <c r="K238" s="2952"/>
      <c r="L238" s="2936">
        <v>139</v>
      </c>
      <c r="M238" s="2483"/>
      <c r="N238" s="2483"/>
      <c r="O238" s="2953">
        <v>1007</v>
      </c>
      <c r="P238" s="2936">
        <v>1007</v>
      </c>
      <c r="Q238"/>
      <c r="R238"/>
      <c r="S238"/>
      <c r="T238"/>
    </row>
    <row r="239" spans="1:20">
      <c r="B239"/>
      <c r="C239" s="2887" t="s">
        <v>574</v>
      </c>
      <c r="D239" s="2483"/>
      <c r="E239" s="2483"/>
      <c r="F239" s="2952">
        <v>7</v>
      </c>
      <c r="G239" s="2936">
        <v>7</v>
      </c>
      <c r="H239" s="2483"/>
      <c r="I239" s="2483"/>
      <c r="J239" s="2952">
        <v>47</v>
      </c>
      <c r="K239" s="2952"/>
      <c r="L239" s="2936">
        <v>47</v>
      </c>
      <c r="M239" s="2483"/>
      <c r="N239" s="2483"/>
      <c r="O239" s="2953">
        <v>371</v>
      </c>
      <c r="P239" s="2936">
        <v>371</v>
      </c>
      <c r="Q239"/>
      <c r="R239"/>
      <c r="S239"/>
      <c r="T239"/>
    </row>
    <row r="240" spans="1:20">
      <c r="B240"/>
      <c r="C240" s="2887" t="s">
        <v>575</v>
      </c>
      <c r="D240" s="2483"/>
      <c r="E240" s="2483"/>
      <c r="F240" s="2952">
        <v>10</v>
      </c>
      <c r="G240" s="2936">
        <v>10</v>
      </c>
      <c r="H240" s="2483"/>
      <c r="I240" s="2483"/>
      <c r="J240" s="2952">
        <v>95</v>
      </c>
      <c r="K240" s="2952"/>
      <c r="L240" s="2936">
        <v>95</v>
      </c>
      <c r="M240" s="2483"/>
      <c r="N240" s="2483"/>
      <c r="O240" s="2953">
        <v>465</v>
      </c>
      <c r="P240" s="2936">
        <v>465</v>
      </c>
      <c r="Q240"/>
      <c r="R240"/>
      <c r="S240"/>
      <c r="T240"/>
    </row>
    <row r="241" spans="1:20">
      <c r="B241"/>
      <c r="C241" s="2887" t="s">
        <v>576</v>
      </c>
      <c r="D241" s="2483"/>
      <c r="E241" s="2483"/>
      <c r="F241" s="2952">
        <v>15</v>
      </c>
      <c r="G241" s="2936">
        <v>15</v>
      </c>
      <c r="H241" s="2483"/>
      <c r="I241" s="2483"/>
      <c r="J241" s="2952">
        <v>114</v>
      </c>
      <c r="K241" s="2952"/>
      <c r="L241" s="2936">
        <v>114</v>
      </c>
      <c r="M241" s="2483"/>
      <c r="N241" s="2483"/>
      <c r="O241" s="2953">
        <v>1346</v>
      </c>
      <c r="P241" s="2936">
        <v>1346</v>
      </c>
      <c r="Q241"/>
      <c r="R241"/>
      <c r="S241"/>
      <c r="T241"/>
    </row>
    <row r="242" spans="1:20">
      <c r="B242"/>
      <c r="C242" s="2887" t="s">
        <v>577</v>
      </c>
      <c r="D242" s="2483"/>
      <c r="E242" s="2483"/>
      <c r="F242" s="2952">
        <v>7</v>
      </c>
      <c r="G242" s="2936">
        <v>7</v>
      </c>
      <c r="H242" s="2483"/>
      <c r="I242" s="2483"/>
      <c r="J242" s="2952">
        <v>42</v>
      </c>
      <c r="K242" s="2952"/>
      <c r="L242" s="2936">
        <v>42</v>
      </c>
      <c r="M242" s="2483"/>
      <c r="N242" s="2483"/>
      <c r="O242" s="2953">
        <v>659</v>
      </c>
      <c r="P242" s="2936">
        <v>659</v>
      </c>
      <c r="Q242"/>
      <c r="R242"/>
      <c r="S242"/>
      <c r="T242"/>
    </row>
    <row r="243" spans="1:20">
      <c r="B243"/>
      <c r="C243" s="2887" t="s">
        <v>578</v>
      </c>
      <c r="D243" s="2483"/>
      <c r="E243" s="2483"/>
      <c r="F243" s="2952">
        <v>7</v>
      </c>
      <c r="G243" s="2936">
        <v>6</v>
      </c>
      <c r="H243" s="2483"/>
      <c r="I243" s="2483"/>
      <c r="J243" s="2952">
        <v>65</v>
      </c>
      <c r="K243" s="2952"/>
      <c r="L243" s="2936">
        <v>65</v>
      </c>
      <c r="M243" s="2483"/>
      <c r="N243" s="2483"/>
      <c r="O243" s="2953">
        <v>738</v>
      </c>
      <c r="P243" s="2936">
        <v>738</v>
      </c>
      <c r="Q243"/>
      <c r="R243"/>
      <c r="S243"/>
      <c r="T243"/>
    </row>
    <row r="244" spans="1:20">
      <c r="B244"/>
      <c r="C244" s="2887" t="s">
        <v>579</v>
      </c>
      <c r="D244" s="2483"/>
      <c r="E244" s="2483"/>
      <c r="F244" s="2952">
        <v>17</v>
      </c>
      <c r="G244" s="2936">
        <v>18</v>
      </c>
      <c r="H244" s="2483"/>
      <c r="I244" s="2483"/>
      <c r="J244" s="2952">
        <v>172</v>
      </c>
      <c r="K244" s="2952"/>
      <c r="L244" s="2936">
        <v>172</v>
      </c>
      <c r="M244" s="2483"/>
      <c r="N244" s="2483"/>
      <c r="O244" s="2953">
        <v>1326</v>
      </c>
      <c r="P244" s="2936">
        <v>1326</v>
      </c>
      <c r="Q244"/>
      <c r="R244"/>
      <c r="S244"/>
      <c r="T244"/>
    </row>
    <row r="245" spans="1:20">
      <c r="B245"/>
      <c r="C245" s="2887" t="s">
        <v>580</v>
      </c>
      <c r="D245" s="2483"/>
      <c r="E245" s="2483"/>
      <c r="F245" s="2952">
        <v>7</v>
      </c>
      <c r="G245" s="2936">
        <v>7</v>
      </c>
      <c r="H245" s="2483"/>
      <c r="I245" s="2483"/>
      <c r="J245" s="2952">
        <v>52</v>
      </c>
      <c r="K245" s="2952"/>
      <c r="L245" s="2936">
        <v>52</v>
      </c>
      <c r="M245" s="2483"/>
      <c r="N245" s="2483"/>
      <c r="O245" s="2953">
        <v>661</v>
      </c>
      <c r="P245" s="2936">
        <v>661</v>
      </c>
      <c r="Q245"/>
      <c r="R245"/>
      <c r="S245"/>
      <c r="T245"/>
    </row>
    <row r="246" spans="1:20">
      <c r="A246" s="193">
        <v>16</v>
      </c>
      <c r="B246"/>
      <c r="C246" s="2887" t="s">
        <v>581</v>
      </c>
      <c r="D246" s="2483"/>
      <c r="E246" s="2483"/>
      <c r="F246" s="2953">
        <v>33</v>
      </c>
      <c r="G246" s="2936">
        <v>33</v>
      </c>
      <c r="H246" s="2483"/>
      <c r="I246" s="2483"/>
      <c r="J246" s="2952">
        <v>1623</v>
      </c>
      <c r="K246" s="2952"/>
      <c r="L246" s="2936">
        <v>1623</v>
      </c>
      <c r="M246" s="2483"/>
      <c r="N246" s="2483"/>
      <c r="O246" s="2953">
        <v>6478</v>
      </c>
      <c r="P246" s="2936">
        <v>6478</v>
      </c>
      <c r="Q246"/>
      <c r="R246"/>
      <c r="S246"/>
      <c r="T246"/>
    </row>
    <row r="247" spans="1:20">
      <c r="B247"/>
      <c r="C247" s="2922" t="s">
        <v>118</v>
      </c>
      <c r="D247" s="2937">
        <f t="shared" ref="D247:J247" si="64">SUM(D238:D246)</f>
        <v>0</v>
      </c>
      <c r="E247" s="2937">
        <f t="shared" si="64"/>
        <v>0</v>
      </c>
      <c r="F247" s="2937">
        <f t="shared" si="64"/>
        <v>115</v>
      </c>
      <c r="G247" s="2937">
        <f t="shared" si="64"/>
        <v>115</v>
      </c>
      <c r="H247" s="2937">
        <f t="shared" si="64"/>
        <v>0</v>
      </c>
      <c r="I247" s="2937">
        <f t="shared" si="64"/>
        <v>0</v>
      </c>
      <c r="J247" s="2937">
        <f t="shared" si="64"/>
        <v>2349</v>
      </c>
      <c r="K247" s="2937"/>
      <c r="L247" s="2937">
        <f>SUM(L238:L246)</f>
        <v>2349</v>
      </c>
      <c r="M247" s="2937">
        <f>SUM(M238:M246)</f>
        <v>0</v>
      </c>
      <c r="N247" s="2937">
        <f>SUM(N238:N246)</f>
        <v>0</v>
      </c>
      <c r="O247" s="2937">
        <f>SUM(O238:O246)</f>
        <v>13051</v>
      </c>
      <c r="P247" s="2937">
        <f>SUM(P238:P246)</f>
        <v>13051</v>
      </c>
      <c r="Q247"/>
      <c r="R247"/>
      <c r="S247"/>
      <c r="T247"/>
    </row>
    <row r="248" spans="1:20">
      <c r="B248">
        <v>18</v>
      </c>
      <c r="C248" s="2938" t="s">
        <v>194</v>
      </c>
      <c r="D248"/>
      <c r="E248"/>
      <c r="F248"/>
      <c r="G248"/>
      <c r="H248"/>
      <c r="I248"/>
      <c r="J248"/>
      <c r="K248"/>
      <c r="L248"/>
      <c r="M248"/>
      <c r="N248"/>
      <c r="O248"/>
      <c r="P248"/>
      <c r="Q248"/>
      <c r="R248"/>
      <c r="S248"/>
      <c r="T248"/>
    </row>
    <row r="249" spans="1:20">
      <c r="B249"/>
      <c r="C249" s="2922" t="s">
        <v>566</v>
      </c>
      <c r="D249" s="2922" t="s">
        <v>567</v>
      </c>
      <c r="E249" s="2922"/>
      <c r="F249" s="2922"/>
      <c r="G249" s="2922"/>
      <c r="H249" s="2922" t="s">
        <v>590</v>
      </c>
      <c r="I249" s="2922"/>
      <c r="J249" s="2922"/>
      <c r="K249" s="2922"/>
      <c r="L249" s="2922"/>
      <c r="M249" s="2922" t="s">
        <v>591</v>
      </c>
      <c r="N249" s="2922"/>
      <c r="O249" s="2922"/>
      <c r="P249" s="2922"/>
      <c r="Q249"/>
      <c r="R249"/>
      <c r="S249"/>
      <c r="T249"/>
    </row>
    <row r="250" spans="1:20">
      <c r="B250"/>
      <c r="C250" s="2922"/>
      <c r="D250" s="2922" t="s">
        <v>570</v>
      </c>
      <c r="E250" s="2922" t="s">
        <v>571</v>
      </c>
      <c r="F250" s="2922" t="s">
        <v>572</v>
      </c>
      <c r="G250" s="2922" t="s">
        <v>118</v>
      </c>
      <c r="H250" s="2922" t="s">
        <v>570</v>
      </c>
      <c r="I250" s="2922" t="s">
        <v>571</v>
      </c>
      <c r="J250" s="2922" t="s">
        <v>572</v>
      </c>
      <c r="K250" s="2922"/>
      <c r="L250" s="2922" t="s">
        <v>118</v>
      </c>
      <c r="M250" s="2922" t="s">
        <v>570</v>
      </c>
      <c r="N250" s="2922" t="s">
        <v>571</v>
      </c>
      <c r="O250" s="2922" t="s">
        <v>572</v>
      </c>
      <c r="P250" s="2922" t="s">
        <v>118</v>
      </c>
      <c r="Q250"/>
      <c r="R250"/>
      <c r="S250"/>
      <c r="T250"/>
    </row>
    <row r="251" spans="1:20">
      <c r="B251"/>
      <c r="C251" s="2935" t="s">
        <v>573</v>
      </c>
      <c r="D251" s="2940"/>
      <c r="E251" s="2940"/>
      <c r="F251" s="2887">
        <v>3</v>
      </c>
      <c r="G251" s="2936">
        <f>+D251+E251+F251</f>
        <v>3</v>
      </c>
      <c r="H251" s="2483"/>
      <c r="I251" s="2483"/>
      <c r="J251" s="2949">
        <v>23</v>
      </c>
      <c r="K251" s="2911"/>
      <c r="L251" s="2936">
        <f>+H251+I251+J251</f>
        <v>23</v>
      </c>
      <c r="M251" s="2483"/>
      <c r="N251" s="2483"/>
      <c r="O251" s="2911">
        <v>149</v>
      </c>
      <c r="P251" s="2936">
        <f>+M251+N251+O251</f>
        <v>149</v>
      </c>
      <c r="Q251"/>
      <c r="R251"/>
      <c r="S251"/>
      <c r="T251"/>
    </row>
    <row r="252" spans="1:20">
      <c r="B252"/>
      <c r="C252" s="2887" t="s">
        <v>574</v>
      </c>
      <c r="D252" s="2483"/>
      <c r="E252" s="2483"/>
      <c r="F252" s="2887">
        <v>2</v>
      </c>
      <c r="G252" s="2936">
        <f t="shared" ref="G252:G259" si="65">+D252+E252+F252</f>
        <v>2</v>
      </c>
      <c r="H252" s="2483"/>
      <c r="I252" s="2483"/>
      <c r="J252" s="2949">
        <v>9</v>
      </c>
      <c r="K252" s="2911"/>
      <c r="L252" s="2936">
        <f t="shared" ref="L252:L259" si="66">+H252+I252+J252</f>
        <v>9</v>
      </c>
      <c r="M252" s="2483"/>
      <c r="N252" s="2483"/>
      <c r="O252" s="2911">
        <v>28</v>
      </c>
      <c r="P252" s="2936">
        <f t="shared" ref="P252:P259" si="67">+M252+N252+O252</f>
        <v>28</v>
      </c>
      <c r="Q252"/>
      <c r="R252"/>
      <c r="S252"/>
      <c r="T252"/>
    </row>
    <row r="253" spans="1:20">
      <c r="B253"/>
      <c r="C253" s="2887" t="s">
        <v>575</v>
      </c>
      <c r="D253" s="2483"/>
      <c r="E253" s="2483"/>
      <c r="F253" s="2887">
        <v>2</v>
      </c>
      <c r="G253" s="2936">
        <f t="shared" si="65"/>
        <v>2</v>
      </c>
      <c r="H253" s="2483"/>
      <c r="I253" s="2483"/>
      <c r="J253" s="2949">
        <v>18</v>
      </c>
      <c r="K253" s="2911"/>
      <c r="L253" s="2936">
        <f t="shared" si="66"/>
        <v>18</v>
      </c>
      <c r="M253" s="2483"/>
      <c r="N253" s="2483"/>
      <c r="O253" s="2911">
        <v>106</v>
      </c>
      <c r="P253" s="2936">
        <f t="shared" si="67"/>
        <v>106</v>
      </c>
      <c r="Q253"/>
      <c r="R253"/>
      <c r="S253"/>
      <c r="T253"/>
    </row>
    <row r="254" spans="1:20">
      <c r="B254"/>
      <c r="C254" s="2887" t="s">
        <v>576</v>
      </c>
      <c r="D254" s="2483"/>
      <c r="E254" s="2483"/>
      <c r="F254" s="2887">
        <v>8</v>
      </c>
      <c r="G254" s="2936">
        <f t="shared" si="65"/>
        <v>8</v>
      </c>
      <c r="H254" s="2483"/>
      <c r="I254" s="2483"/>
      <c r="J254" s="2949">
        <v>35</v>
      </c>
      <c r="K254" s="2911"/>
      <c r="L254" s="2936">
        <f t="shared" si="66"/>
        <v>35</v>
      </c>
      <c r="M254" s="2483"/>
      <c r="N254" s="2483"/>
      <c r="O254" s="2911">
        <v>210</v>
      </c>
      <c r="P254" s="2936">
        <f t="shared" si="67"/>
        <v>210</v>
      </c>
      <c r="Q254"/>
      <c r="R254"/>
      <c r="S254"/>
      <c r="T254"/>
    </row>
    <row r="255" spans="1:20">
      <c r="B255"/>
      <c r="C255" s="2887" t="s">
        <v>577</v>
      </c>
      <c r="D255" s="2483"/>
      <c r="E255" s="2483"/>
      <c r="F255" s="2887">
        <v>2</v>
      </c>
      <c r="G255" s="2936">
        <f t="shared" si="65"/>
        <v>2</v>
      </c>
      <c r="H255" s="2483"/>
      <c r="I255" s="2483"/>
      <c r="J255" s="2949">
        <v>9</v>
      </c>
      <c r="K255" s="2911"/>
      <c r="L255" s="2936">
        <f t="shared" si="66"/>
        <v>9</v>
      </c>
      <c r="M255" s="2483"/>
      <c r="N255" s="2483"/>
      <c r="O255" s="2911"/>
      <c r="P255" s="2936">
        <f t="shared" si="67"/>
        <v>0</v>
      </c>
      <c r="Q255"/>
      <c r="R255"/>
      <c r="S255"/>
      <c r="T255"/>
    </row>
    <row r="256" spans="1:20">
      <c r="B256"/>
      <c r="C256" s="2887" t="s">
        <v>578</v>
      </c>
      <c r="D256" s="2483"/>
      <c r="E256" s="2483"/>
      <c r="F256" s="2887">
        <v>6</v>
      </c>
      <c r="G256" s="2936">
        <f t="shared" si="65"/>
        <v>6</v>
      </c>
      <c r="H256" s="2483"/>
      <c r="I256" s="2483"/>
      <c r="J256" s="2949">
        <v>27</v>
      </c>
      <c r="K256" s="2911"/>
      <c r="L256" s="2936">
        <f t="shared" si="66"/>
        <v>27</v>
      </c>
      <c r="M256" s="2483"/>
      <c r="N256" s="2483"/>
      <c r="O256" s="2911">
        <v>158</v>
      </c>
      <c r="P256" s="2936">
        <f t="shared" si="67"/>
        <v>158</v>
      </c>
      <c r="Q256"/>
      <c r="R256"/>
      <c r="S256"/>
      <c r="T256"/>
    </row>
    <row r="257" spans="1:20">
      <c r="B257"/>
      <c r="C257" s="2887" t="s">
        <v>579</v>
      </c>
      <c r="D257" s="2483"/>
      <c r="E257" s="2483"/>
      <c r="F257" s="2887">
        <v>7</v>
      </c>
      <c r="G257" s="2936">
        <f t="shared" si="65"/>
        <v>7</v>
      </c>
      <c r="H257" s="2483"/>
      <c r="I257" s="2483"/>
      <c r="J257" s="2949">
        <v>40</v>
      </c>
      <c r="K257" s="2911"/>
      <c r="L257" s="2936">
        <f t="shared" si="66"/>
        <v>40</v>
      </c>
      <c r="M257" s="2483"/>
      <c r="N257" s="2483"/>
      <c r="O257" s="2911">
        <v>271</v>
      </c>
      <c r="P257" s="2936">
        <f t="shared" si="67"/>
        <v>271</v>
      </c>
      <c r="Q257"/>
      <c r="R257"/>
      <c r="S257"/>
      <c r="T257"/>
    </row>
    <row r="258" spans="1:20">
      <c r="B258"/>
      <c r="C258" s="2887" t="s">
        <v>580</v>
      </c>
      <c r="D258" s="2483"/>
      <c r="E258" s="2483"/>
      <c r="F258" s="2887">
        <v>2</v>
      </c>
      <c r="G258" s="2936">
        <f t="shared" si="65"/>
        <v>2</v>
      </c>
      <c r="H258" s="2483"/>
      <c r="I258" s="2483"/>
      <c r="J258" s="2949">
        <v>8</v>
      </c>
      <c r="K258" s="2911"/>
      <c r="L258" s="2936">
        <f t="shared" si="66"/>
        <v>8</v>
      </c>
      <c r="M258" s="2483"/>
      <c r="N258" s="2483"/>
      <c r="O258" s="2911">
        <v>35</v>
      </c>
      <c r="P258" s="2936">
        <f t="shared" si="67"/>
        <v>35</v>
      </c>
      <c r="Q258"/>
      <c r="R258"/>
      <c r="S258"/>
      <c r="T258"/>
    </row>
    <row r="259" spans="1:20">
      <c r="B259"/>
      <c r="C259" s="2887" t="s">
        <v>581</v>
      </c>
      <c r="D259" s="2483"/>
      <c r="E259" s="2483"/>
      <c r="F259" s="2887">
        <v>8</v>
      </c>
      <c r="G259" s="2936">
        <f t="shared" si="65"/>
        <v>8</v>
      </c>
      <c r="H259" s="2483"/>
      <c r="I259" s="2483"/>
      <c r="J259" s="2949">
        <v>160</v>
      </c>
      <c r="K259" s="2911"/>
      <c r="L259" s="2936">
        <f t="shared" si="66"/>
        <v>160</v>
      </c>
      <c r="M259" s="2483"/>
      <c r="N259" s="2483"/>
      <c r="O259" s="2911">
        <v>216</v>
      </c>
      <c r="P259" s="2936">
        <f t="shared" si="67"/>
        <v>216</v>
      </c>
      <c r="Q259"/>
      <c r="R259"/>
      <c r="S259"/>
      <c r="T259"/>
    </row>
    <row r="260" spans="1:20">
      <c r="B260"/>
      <c r="C260" s="2922" t="s">
        <v>118</v>
      </c>
      <c r="D260" s="2937">
        <f t="shared" ref="D260:J260" si="68">SUM(D251:D259)</f>
        <v>0</v>
      </c>
      <c r="E260" s="2937">
        <f t="shared" si="68"/>
        <v>0</v>
      </c>
      <c r="F260" s="2937">
        <f t="shared" si="68"/>
        <v>40</v>
      </c>
      <c r="G260" s="2937">
        <f t="shared" si="68"/>
        <v>40</v>
      </c>
      <c r="H260" s="2937">
        <f t="shared" si="68"/>
        <v>0</v>
      </c>
      <c r="I260" s="2937">
        <f t="shared" si="68"/>
        <v>0</v>
      </c>
      <c r="J260" s="2937">
        <f t="shared" si="68"/>
        <v>329</v>
      </c>
      <c r="K260" s="2937"/>
      <c r="L260" s="2937">
        <f>SUM(L251:L259)</f>
        <v>329</v>
      </c>
      <c r="M260" s="2937">
        <f>SUM(M251:M259)</f>
        <v>0</v>
      </c>
      <c r="N260" s="2937">
        <f>SUM(N251:N259)</f>
        <v>0</v>
      </c>
      <c r="O260" s="2937">
        <f>SUM(O251:O259)</f>
        <v>1173</v>
      </c>
      <c r="P260" s="2937">
        <f>SUM(P251:P259)</f>
        <v>1173</v>
      </c>
      <c r="Q260"/>
      <c r="R260"/>
      <c r="S260"/>
      <c r="T260"/>
    </row>
    <row r="261" spans="1:20">
      <c r="A261" s="193">
        <v>17</v>
      </c>
      <c r="B261">
        <v>19</v>
      </c>
      <c r="C261" s="2934" t="s">
        <v>195</v>
      </c>
      <c r="D261" s="58"/>
      <c r="E261" s="58"/>
      <c r="F261" s="58"/>
      <c r="G261" s="58"/>
      <c r="H261" s="58"/>
      <c r="I261" s="58"/>
      <c r="J261" s="58"/>
      <c r="K261" s="58"/>
      <c r="L261" s="58"/>
      <c r="M261" s="58"/>
      <c r="N261" s="58"/>
      <c r="O261" s="58"/>
      <c r="P261"/>
      <c r="Q261"/>
      <c r="R261"/>
      <c r="S261"/>
      <c r="T261"/>
    </row>
    <row r="262" spans="1:20">
      <c r="B262"/>
      <c r="C262" s="2922" t="s">
        <v>566</v>
      </c>
      <c r="D262" s="2922" t="s">
        <v>567</v>
      </c>
      <c r="E262" s="2922"/>
      <c r="F262" s="2922"/>
      <c r="G262" s="2922"/>
      <c r="H262" s="2922" t="s">
        <v>590</v>
      </c>
      <c r="I262" s="2922"/>
      <c r="J262" s="2922"/>
      <c r="K262" s="2922"/>
      <c r="L262" s="2922"/>
      <c r="M262" s="2922" t="s">
        <v>591</v>
      </c>
      <c r="N262" s="2922"/>
      <c r="O262" s="2922"/>
      <c r="P262" s="2922"/>
      <c r="Q262"/>
      <c r="R262"/>
      <c r="S262"/>
      <c r="T262"/>
    </row>
    <row r="263" spans="1:20">
      <c r="B263"/>
      <c r="C263" s="2922"/>
      <c r="D263" s="2922" t="s">
        <v>570</v>
      </c>
      <c r="E263" s="2922" t="s">
        <v>571</v>
      </c>
      <c r="F263" s="2922" t="s">
        <v>572</v>
      </c>
      <c r="G263" s="2922" t="s">
        <v>118</v>
      </c>
      <c r="H263" s="2922" t="s">
        <v>570</v>
      </c>
      <c r="I263" s="2922" t="s">
        <v>571</v>
      </c>
      <c r="J263" s="2922" t="s">
        <v>572</v>
      </c>
      <c r="K263" s="2922"/>
      <c r="L263" s="2922" t="s">
        <v>118</v>
      </c>
      <c r="M263" s="2922" t="s">
        <v>570</v>
      </c>
      <c r="N263" s="2922" t="s">
        <v>571</v>
      </c>
      <c r="O263" s="2922" t="s">
        <v>572</v>
      </c>
      <c r="P263" s="2922" t="s">
        <v>118</v>
      </c>
      <c r="Q263"/>
      <c r="R263"/>
      <c r="S263"/>
      <c r="T263"/>
    </row>
    <row r="264" spans="1:20">
      <c r="B264"/>
      <c r="C264" s="2935" t="s">
        <v>573</v>
      </c>
      <c r="D264" s="2915">
        <v>1</v>
      </c>
      <c r="E264" s="2915">
        <v>19</v>
      </c>
      <c r="F264" s="2887">
        <v>5</v>
      </c>
      <c r="G264" s="2936">
        <f>+D264+E264+F264</f>
        <v>25</v>
      </c>
      <c r="H264" s="2911">
        <v>50</v>
      </c>
      <c r="I264" s="2911">
        <v>31</v>
      </c>
      <c r="J264" s="2911">
        <v>0</v>
      </c>
      <c r="K264" s="2911"/>
      <c r="L264" s="2936">
        <f>+H264+I264+J264</f>
        <v>81</v>
      </c>
      <c r="M264" s="2911">
        <v>115</v>
      </c>
      <c r="N264" s="2911">
        <v>1011</v>
      </c>
      <c r="O264" s="2911">
        <v>0</v>
      </c>
      <c r="P264" s="2936">
        <f>+M264+N264+O264</f>
        <v>1126</v>
      </c>
      <c r="Q264"/>
      <c r="R264"/>
      <c r="S264"/>
      <c r="T264"/>
    </row>
    <row r="265" spans="1:20">
      <c r="B265"/>
      <c r="C265" s="2887" t="s">
        <v>574</v>
      </c>
      <c r="D265" s="2911">
        <v>0</v>
      </c>
      <c r="E265" s="2911">
        <v>5</v>
      </c>
      <c r="F265" s="2887">
        <v>0</v>
      </c>
      <c r="G265" s="2936">
        <f t="shared" ref="G265:G272" si="69">+D265+E265+F265</f>
        <v>5</v>
      </c>
      <c r="H265" s="2911">
        <v>3</v>
      </c>
      <c r="I265" s="2911">
        <v>11</v>
      </c>
      <c r="J265" s="2911">
        <v>0</v>
      </c>
      <c r="K265" s="2911"/>
      <c r="L265" s="2936">
        <f t="shared" ref="L265:L272" si="70">+H265+I265+J265</f>
        <v>14</v>
      </c>
      <c r="M265" s="2911"/>
      <c r="N265" s="2911">
        <v>180</v>
      </c>
      <c r="O265" s="2911">
        <v>0</v>
      </c>
      <c r="P265" s="2936">
        <f t="shared" ref="P265:P272" si="71">+M265+N265+O265</f>
        <v>180</v>
      </c>
      <c r="Q265"/>
      <c r="R265"/>
      <c r="S265"/>
      <c r="T265"/>
    </row>
    <row r="266" spans="1:20">
      <c r="B266"/>
      <c r="C266" s="2887" t="s">
        <v>575</v>
      </c>
      <c r="D266" s="2911">
        <v>0</v>
      </c>
      <c r="E266" s="2911">
        <v>10</v>
      </c>
      <c r="F266" s="2887">
        <v>7</v>
      </c>
      <c r="G266" s="2936">
        <f t="shared" si="69"/>
        <v>17</v>
      </c>
      <c r="H266" s="2911">
        <v>40</v>
      </c>
      <c r="I266" s="2911">
        <v>25</v>
      </c>
      <c r="J266" s="2911">
        <v>0</v>
      </c>
      <c r="K266" s="2911"/>
      <c r="L266" s="2936">
        <f t="shared" si="70"/>
        <v>65</v>
      </c>
      <c r="M266" s="2911">
        <v>87</v>
      </c>
      <c r="N266" s="2911">
        <v>507</v>
      </c>
      <c r="O266" s="2911">
        <v>0</v>
      </c>
      <c r="P266" s="2936">
        <f t="shared" si="71"/>
        <v>594</v>
      </c>
      <c r="Q266"/>
      <c r="R266"/>
      <c r="S266"/>
      <c r="T266"/>
    </row>
    <row r="267" spans="1:20">
      <c r="B267"/>
      <c r="C267" s="2887" t="s">
        <v>576</v>
      </c>
      <c r="D267" s="2911">
        <v>0</v>
      </c>
      <c r="E267" s="2911">
        <v>0</v>
      </c>
      <c r="F267" s="2887">
        <v>8</v>
      </c>
      <c r="G267" s="2936">
        <f t="shared" si="69"/>
        <v>8</v>
      </c>
      <c r="H267" s="2911">
        <v>5</v>
      </c>
      <c r="I267" s="2911">
        <v>10</v>
      </c>
      <c r="J267" s="2911">
        <v>0</v>
      </c>
      <c r="K267" s="2911"/>
      <c r="L267" s="2936">
        <f t="shared" si="70"/>
        <v>15</v>
      </c>
      <c r="M267" s="2911">
        <v>125</v>
      </c>
      <c r="N267" s="2911">
        <v>276</v>
      </c>
      <c r="O267" s="2911">
        <v>0</v>
      </c>
      <c r="P267" s="2936">
        <f t="shared" si="71"/>
        <v>401</v>
      </c>
      <c r="Q267"/>
      <c r="R267"/>
      <c r="S267"/>
      <c r="T267"/>
    </row>
    <row r="268" spans="1:20">
      <c r="B268"/>
      <c r="C268" s="2887" t="s">
        <v>577</v>
      </c>
      <c r="D268" s="2911">
        <v>0</v>
      </c>
      <c r="E268" s="2911">
        <v>10</v>
      </c>
      <c r="F268" s="2887">
        <v>1</v>
      </c>
      <c r="G268" s="2936">
        <f t="shared" si="69"/>
        <v>11</v>
      </c>
      <c r="H268" s="2911">
        <v>4</v>
      </c>
      <c r="I268" s="2911">
        <v>12</v>
      </c>
      <c r="J268" s="2911">
        <v>0</v>
      </c>
      <c r="K268" s="2911"/>
      <c r="L268" s="2936">
        <f t="shared" si="70"/>
        <v>16</v>
      </c>
      <c r="M268" s="2911">
        <v>12</v>
      </c>
      <c r="N268" s="2911">
        <v>407</v>
      </c>
      <c r="O268" s="2911">
        <v>0</v>
      </c>
      <c r="P268" s="2936">
        <f t="shared" si="71"/>
        <v>419</v>
      </c>
      <c r="Q268"/>
      <c r="R268"/>
      <c r="S268"/>
      <c r="T268"/>
    </row>
    <row r="269" spans="1:20">
      <c r="B269"/>
      <c r="C269" s="2887" t="s">
        <v>578</v>
      </c>
      <c r="D269" s="2911">
        <v>0</v>
      </c>
      <c r="E269" s="2911">
        <v>3</v>
      </c>
      <c r="F269" s="2887">
        <v>0</v>
      </c>
      <c r="G269" s="2936">
        <f t="shared" si="69"/>
        <v>3</v>
      </c>
      <c r="H269" s="2911">
        <v>9</v>
      </c>
      <c r="I269" s="2911">
        <v>5</v>
      </c>
      <c r="J269" s="2911">
        <v>0</v>
      </c>
      <c r="K269" s="2911"/>
      <c r="L269" s="2936">
        <f t="shared" si="70"/>
        <v>14</v>
      </c>
      <c r="M269" s="2911"/>
      <c r="N269" s="2911">
        <v>92</v>
      </c>
      <c r="O269" s="2911">
        <v>0</v>
      </c>
      <c r="P269" s="2936">
        <f t="shared" si="71"/>
        <v>92</v>
      </c>
      <c r="Q269"/>
      <c r="R269"/>
      <c r="S269"/>
      <c r="T269"/>
    </row>
    <row r="270" spans="1:20">
      <c r="B270"/>
      <c r="C270" s="2887" t="s">
        <v>579</v>
      </c>
      <c r="D270" s="2911">
        <v>0</v>
      </c>
      <c r="E270" s="2911">
        <v>8</v>
      </c>
      <c r="F270" s="2887">
        <v>9</v>
      </c>
      <c r="G270" s="2936">
        <f t="shared" si="69"/>
        <v>17</v>
      </c>
      <c r="H270" s="2911">
        <v>39</v>
      </c>
      <c r="I270" s="2911">
        <v>27</v>
      </c>
      <c r="J270" s="2911">
        <v>0</v>
      </c>
      <c r="K270" s="2911"/>
      <c r="L270" s="2936">
        <f t="shared" si="70"/>
        <v>66</v>
      </c>
      <c r="M270" s="2911">
        <v>173</v>
      </c>
      <c r="N270" s="2911">
        <v>599</v>
      </c>
      <c r="O270" s="2911">
        <v>0</v>
      </c>
      <c r="P270" s="2936">
        <f t="shared" si="71"/>
        <v>772</v>
      </c>
      <c r="Q270"/>
      <c r="R270"/>
      <c r="S270"/>
      <c r="T270"/>
    </row>
    <row r="271" spans="1:20">
      <c r="B271"/>
      <c r="C271" s="2887" t="s">
        <v>580</v>
      </c>
      <c r="D271" s="2911">
        <v>0</v>
      </c>
      <c r="E271" s="2911">
        <v>0</v>
      </c>
      <c r="F271" s="2887">
        <v>7</v>
      </c>
      <c r="G271" s="2936">
        <f t="shared" si="69"/>
        <v>7</v>
      </c>
      <c r="H271" s="2911">
        <v>31</v>
      </c>
      <c r="I271" s="2911">
        <v>17</v>
      </c>
      <c r="J271" s="2911">
        <v>0</v>
      </c>
      <c r="K271" s="2911"/>
      <c r="L271" s="2936">
        <f t="shared" si="70"/>
        <v>48</v>
      </c>
      <c r="M271" s="2911">
        <v>46</v>
      </c>
      <c r="N271" s="2911">
        <v>310</v>
      </c>
      <c r="O271" s="2911">
        <v>0</v>
      </c>
      <c r="P271" s="2936">
        <f t="shared" si="71"/>
        <v>356</v>
      </c>
      <c r="Q271"/>
      <c r="R271"/>
      <c r="S271"/>
      <c r="T271"/>
    </row>
    <row r="272" spans="1:20">
      <c r="B272"/>
      <c r="C272" s="2887" t="s">
        <v>581</v>
      </c>
      <c r="D272" s="2911">
        <v>5</v>
      </c>
      <c r="E272" s="2911">
        <v>31</v>
      </c>
      <c r="F272" s="2887">
        <v>3</v>
      </c>
      <c r="G272" s="2936">
        <f t="shared" si="69"/>
        <v>39</v>
      </c>
      <c r="H272" s="2911">
        <v>481</v>
      </c>
      <c r="I272" s="2911">
        <v>334</v>
      </c>
      <c r="J272" s="2911">
        <v>645</v>
      </c>
      <c r="K272" s="2911"/>
      <c r="L272" s="2936">
        <f t="shared" si="70"/>
        <v>1460</v>
      </c>
      <c r="M272" s="2911">
        <v>291</v>
      </c>
      <c r="N272" s="2911">
        <v>1272</v>
      </c>
      <c r="O272" s="2911">
        <v>0</v>
      </c>
      <c r="P272" s="2936">
        <f t="shared" si="71"/>
        <v>1563</v>
      </c>
      <c r="Q272"/>
      <c r="R272"/>
      <c r="S272"/>
      <c r="T272"/>
    </row>
    <row r="273" spans="1:20">
      <c r="B273"/>
      <c r="C273" s="2922" t="s">
        <v>118</v>
      </c>
      <c r="D273" s="2937">
        <f t="shared" ref="D273:J273" si="72">SUM(D264:D272)</f>
        <v>6</v>
      </c>
      <c r="E273" s="2937">
        <f t="shared" si="72"/>
        <v>86</v>
      </c>
      <c r="F273" s="2937">
        <f t="shared" si="72"/>
        <v>40</v>
      </c>
      <c r="G273" s="2937">
        <f t="shared" si="72"/>
        <v>132</v>
      </c>
      <c r="H273" s="2937">
        <f t="shared" si="72"/>
        <v>662</v>
      </c>
      <c r="I273" s="2937">
        <f t="shared" si="72"/>
        <v>472</v>
      </c>
      <c r="J273" s="2937">
        <f t="shared" si="72"/>
        <v>645</v>
      </c>
      <c r="K273" s="2937"/>
      <c r="L273" s="2937">
        <f>SUM(L264:L272)</f>
        <v>1779</v>
      </c>
      <c r="M273" s="2937">
        <f>SUM(M264:M272)</f>
        <v>849</v>
      </c>
      <c r="N273" s="2937">
        <f>SUM(N264:N272)</f>
        <v>4654</v>
      </c>
      <c r="O273" s="2937">
        <f>SUM(O264:O272)</f>
        <v>0</v>
      </c>
      <c r="P273" s="2937">
        <f>SUM(P264:P272)</f>
        <v>5503</v>
      </c>
      <c r="Q273"/>
      <c r="R273"/>
      <c r="S273"/>
      <c r="T273"/>
    </row>
    <row r="274" spans="1:20">
      <c r="B274">
        <v>20</v>
      </c>
      <c r="C274" s="2939" t="s">
        <v>191</v>
      </c>
      <c r="D274"/>
      <c r="E274"/>
      <c r="F274"/>
      <c r="G274"/>
      <c r="H274"/>
      <c r="I274"/>
      <c r="J274"/>
      <c r="K274"/>
      <c r="L274"/>
      <c r="M274"/>
      <c r="N274"/>
      <c r="O274"/>
      <c r="P274"/>
      <c r="Q274"/>
      <c r="R274"/>
      <c r="S274"/>
      <c r="T274"/>
    </row>
    <row r="275" spans="1:20">
      <c r="B275"/>
      <c r="C275" s="2922" t="s">
        <v>566</v>
      </c>
      <c r="D275" s="2922" t="s">
        <v>567</v>
      </c>
      <c r="E275" s="2922"/>
      <c r="F275" s="2922"/>
      <c r="G275" s="2922"/>
      <c r="H275" s="2922" t="s">
        <v>590</v>
      </c>
      <c r="I275" s="2922"/>
      <c r="J275" s="2922"/>
      <c r="K275" s="2922"/>
      <c r="L275" s="2922"/>
      <c r="M275" s="2922" t="s">
        <v>591</v>
      </c>
      <c r="N275" s="2922"/>
      <c r="O275" s="2922"/>
      <c r="P275" s="2922"/>
      <c r="Q275"/>
      <c r="R275"/>
      <c r="S275"/>
      <c r="T275"/>
    </row>
    <row r="276" spans="1:20">
      <c r="A276" s="193">
        <v>18</v>
      </c>
      <c r="B276"/>
      <c r="C276" s="2922"/>
      <c r="D276" s="2922" t="s">
        <v>570</v>
      </c>
      <c r="E276" s="2922" t="s">
        <v>571</v>
      </c>
      <c r="F276" s="2922" t="s">
        <v>572</v>
      </c>
      <c r="G276" s="2922" t="s">
        <v>118</v>
      </c>
      <c r="H276" s="2922" t="s">
        <v>570</v>
      </c>
      <c r="I276" s="2922" t="s">
        <v>571</v>
      </c>
      <c r="J276" s="2922" t="s">
        <v>572</v>
      </c>
      <c r="K276" s="2922"/>
      <c r="L276" s="2922" t="s">
        <v>118</v>
      </c>
      <c r="M276" s="2922" t="s">
        <v>570</v>
      </c>
      <c r="N276" s="2922" t="s">
        <v>571</v>
      </c>
      <c r="O276" s="2922" t="s">
        <v>572</v>
      </c>
      <c r="P276" s="2922" t="s">
        <v>118</v>
      </c>
      <c r="Q276"/>
      <c r="R276"/>
      <c r="S276"/>
      <c r="T276"/>
    </row>
    <row r="277" spans="1:20">
      <c r="B277"/>
      <c r="C277" s="2935" t="s">
        <v>573</v>
      </c>
      <c r="D277" s="2915">
        <v>1</v>
      </c>
      <c r="E277" s="2940"/>
      <c r="F277" s="2107"/>
      <c r="G277" s="2936">
        <f>+D277+E277+F277</f>
        <v>1</v>
      </c>
      <c r="H277" s="2911">
        <v>5</v>
      </c>
      <c r="I277" s="2483"/>
      <c r="J277" s="2483"/>
      <c r="K277" s="2483"/>
      <c r="L277" s="2936">
        <f>+H277+I277+J277</f>
        <v>5</v>
      </c>
      <c r="M277" s="2483">
        <v>0</v>
      </c>
      <c r="N277" s="2483"/>
      <c r="O277" s="2483"/>
      <c r="P277" s="2936">
        <f>+M277+N277+O277</f>
        <v>0</v>
      </c>
      <c r="Q277"/>
      <c r="R277"/>
      <c r="S277"/>
      <c r="T277"/>
    </row>
    <row r="278" spans="1:20">
      <c r="B278"/>
      <c r="C278" s="2887" t="s">
        <v>574</v>
      </c>
      <c r="D278" s="2911">
        <v>0</v>
      </c>
      <c r="E278" s="2483"/>
      <c r="F278" s="2107"/>
      <c r="G278" s="2936">
        <f t="shared" ref="G278:G285" si="73">+D278+E278+F278</f>
        <v>0</v>
      </c>
      <c r="H278" s="2911">
        <v>0</v>
      </c>
      <c r="I278" s="2483"/>
      <c r="J278" s="2483"/>
      <c r="K278" s="2483"/>
      <c r="L278" s="2936">
        <f t="shared" ref="L278:L285" si="74">+H278+I278+J278</f>
        <v>0</v>
      </c>
      <c r="M278" s="2483">
        <v>0</v>
      </c>
      <c r="N278" s="2483"/>
      <c r="O278" s="2483"/>
      <c r="P278" s="2936">
        <f t="shared" ref="P278:P285" si="75">+M278+N278+O278</f>
        <v>0</v>
      </c>
      <c r="Q278"/>
      <c r="R278"/>
      <c r="S278"/>
      <c r="T278"/>
    </row>
    <row r="279" spans="1:20">
      <c r="B279"/>
      <c r="C279" s="2887" t="s">
        <v>575</v>
      </c>
      <c r="D279" s="2911">
        <v>0</v>
      </c>
      <c r="E279" s="2483"/>
      <c r="F279" s="2107"/>
      <c r="G279" s="2936">
        <f t="shared" si="73"/>
        <v>0</v>
      </c>
      <c r="H279" s="2911">
        <v>7</v>
      </c>
      <c r="I279" s="2483"/>
      <c r="J279" s="2483"/>
      <c r="K279" s="2483"/>
      <c r="L279" s="2936">
        <f t="shared" si="74"/>
        <v>7</v>
      </c>
      <c r="M279" s="2483">
        <v>0</v>
      </c>
      <c r="N279" s="2483"/>
      <c r="O279" s="2483"/>
      <c r="P279" s="2936">
        <f t="shared" si="75"/>
        <v>0</v>
      </c>
      <c r="Q279"/>
      <c r="R279"/>
      <c r="S279"/>
      <c r="T279"/>
    </row>
    <row r="280" spans="1:20">
      <c r="B280"/>
      <c r="C280" s="2887" t="s">
        <v>576</v>
      </c>
      <c r="D280" s="2911">
        <v>3</v>
      </c>
      <c r="E280" s="2483"/>
      <c r="F280" s="2107"/>
      <c r="G280" s="2936">
        <f t="shared" si="73"/>
        <v>3</v>
      </c>
      <c r="H280" s="2911">
        <v>0</v>
      </c>
      <c r="I280" s="2483"/>
      <c r="J280" s="2483"/>
      <c r="K280" s="2483"/>
      <c r="L280" s="2936">
        <f t="shared" si="74"/>
        <v>0</v>
      </c>
      <c r="M280" s="2483"/>
      <c r="N280" s="2483"/>
      <c r="O280" s="2483"/>
      <c r="P280" s="2936">
        <f t="shared" si="75"/>
        <v>0</v>
      </c>
      <c r="Q280"/>
      <c r="R280"/>
      <c r="S280"/>
      <c r="T280"/>
    </row>
    <row r="281" spans="1:20">
      <c r="B281"/>
      <c r="C281" s="2887" t="s">
        <v>577</v>
      </c>
      <c r="D281" s="2911">
        <v>0</v>
      </c>
      <c r="E281" s="2483"/>
      <c r="F281" s="2107"/>
      <c r="G281" s="2936">
        <f t="shared" si="73"/>
        <v>0</v>
      </c>
      <c r="H281" s="2911">
        <v>0</v>
      </c>
      <c r="I281" s="2483"/>
      <c r="J281" s="2483"/>
      <c r="K281" s="2483"/>
      <c r="L281" s="2936">
        <f t="shared" si="74"/>
        <v>0</v>
      </c>
      <c r="M281" s="2483">
        <v>0</v>
      </c>
      <c r="N281" s="2483"/>
      <c r="O281" s="2483"/>
      <c r="P281" s="2936">
        <f t="shared" si="75"/>
        <v>0</v>
      </c>
      <c r="Q281"/>
      <c r="R281"/>
      <c r="S281"/>
      <c r="T281"/>
    </row>
    <row r="282" spans="1:20">
      <c r="B282"/>
      <c r="C282" s="2887" t="s">
        <v>578</v>
      </c>
      <c r="D282" s="2911">
        <v>0</v>
      </c>
      <c r="E282" s="2483"/>
      <c r="F282" s="2107"/>
      <c r="G282" s="2936">
        <f t="shared" si="73"/>
        <v>0</v>
      </c>
      <c r="H282" s="2911">
        <v>5</v>
      </c>
      <c r="I282" s="2483"/>
      <c r="J282" s="2483"/>
      <c r="K282" s="2483"/>
      <c r="L282" s="2936">
        <f t="shared" si="74"/>
        <v>5</v>
      </c>
      <c r="M282" s="2483">
        <v>0</v>
      </c>
      <c r="N282" s="2483"/>
      <c r="O282" s="2483"/>
      <c r="P282" s="2936">
        <f t="shared" si="75"/>
        <v>0</v>
      </c>
      <c r="Q282"/>
      <c r="R282"/>
      <c r="S282"/>
      <c r="T282"/>
    </row>
    <row r="283" spans="1:20">
      <c r="B283"/>
      <c r="C283" s="2887" t="s">
        <v>579</v>
      </c>
      <c r="D283" s="2911">
        <v>2</v>
      </c>
      <c r="E283" s="2483"/>
      <c r="F283" s="2107"/>
      <c r="G283" s="2936">
        <f t="shared" si="73"/>
        <v>2</v>
      </c>
      <c r="H283" s="2911">
        <v>0</v>
      </c>
      <c r="I283" s="2483"/>
      <c r="J283" s="2483"/>
      <c r="K283" s="2483"/>
      <c r="L283" s="2936">
        <f t="shared" si="74"/>
        <v>0</v>
      </c>
      <c r="M283" s="2483">
        <v>0</v>
      </c>
      <c r="N283" s="2483"/>
      <c r="O283" s="2483"/>
      <c r="P283" s="2936">
        <f t="shared" si="75"/>
        <v>0</v>
      </c>
      <c r="Q283"/>
      <c r="R283"/>
      <c r="S283"/>
      <c r="T283"/>
    </row>
    <row r="284" spans="1:20">
      <c r="B284"/>
      <c r="C284" s="2887" t="s">
        <v>580</v>
      </c>
      <c r="D284" s="2911">
        <v>0</v>
      </c>
      <c r="E284" s="2483"/>
      <c r="F284" s="2107"/>
      <c r="G284" s="2936">
        <f t="shared" si="73"/>
        <v>0</v>
      </c>
      <c r="H284" s="2911">
        <v>0</v>
      </c>
      <c r="I284" s="2483"/>
      <c r="J284" s="2483"/>
      <c r="K284" s="2483"/>
      <c r="L284" s="2936">
        <f t="shared" si="74"/>
        <v>0</v>
      </c>
      <c r="M284" s="2483"/>
      <c r="N284" s="2483"/>
      <c r="O284" s="2483"/>
      <c r="P284" s="2936">
        <f t="shared" si="75"/>
        <v>0</v>
      </c>
      <c r="Q284"/>
      <c r="R284"/>
      <c r="S284"/>
      <c r="T284"/>
    </row>
    <row r="285" spans="1:20">
      <c r="B285"/>
      <c r="C285" s="2887" t="s">
        <v>581</v>
      </c>
      <c r="D285" s="2911">
        <v>5</v>
      </c>
      <c r="E285" s="2483"/>
      <c r="F285" s="2107"/>
      <c r="G285" s="2936">
        <f t="shared" si="73"/>
        <v>5</v>
      </c>
      <c r="H285" s="2911">
        <v>88</v>
      </c>
      <c r="I285" s="2483"/>
      <c r="J285" s="2483"/>
      <c r="K285" s="2483"/>
      <c r="L285" s="2936">
        <f t="shared" si="74"/>
        <v>88</v>
      </c>
      <c r="M285" s="2483">
        <v>0</v>
      </c>
      <c r="N285" s="2483"/>
      <c r="O285" s="2483"/>
      <c r="P285" s="2936">
        <f t="shared" si="75"/>
        <v>0</v>
      </c>
      <c r="Q285"/>
      <c r="R285"/>
      <c r="S285"/>
      <c r="T285"/>
    </row>
    <row r="286" spans="1:20">
      <c r="B286"/>
      <c r="C286" s="2922" t="s">
        <v>118</v>
      </c>
      <c r="D286" s="2937">
        <f t="shared" ref="D286:J286" si="76">SUM(D277:D285)</f>
        <v>11</v>
      </c>
      <c r="E286" s="2937">
        <f t="shared" si="76"/>
        <v>0</v>
      </c>
      <c r="F286" s="2937">
        <f t="shared" si="76"/>
        <v>0</v>
      </c>
      <c r="G286" s="2937">
        <f t="shared" si="76"/>
        <v>11</v>
      </c>
      <c r="H286" s="2937">
        <f t="shared" si="76"/>
        <v>105</v>
      </c>
      <c r="I286" s="2937">
        <f t="shared" si="76"/>
        <v>0</v>
      </c>
      <c r="J286" s="2937">
        <f t="shared" si="76"/>
        <v>0</v>
      </c>
      <c r="K286" s="2937"/>
      <c r="L286" s="2937">
        <f>SUM(L277:L285)</f>
        <v>105</v>
      </c>
      <c r="M286" s="2937">
        <f>SUM(M277:M285)</f>
        <v>0</v>
      </c>
      <c r="N286" s="2937">
        <f>SUM(N277:N285)</f>
        <v>0</v>
      </c>
      <c r="O286" s="2937">
        <f>SUM(O277:O285)</f>
        <v>0</v>
      </c>
      <c r="P286" s="2937">
        <f>SUM(P277:P285)</f>
        <v>0</v>
      </c>
      <c r="Q286"/>
      <c r="R286"/>
      <c r="S286"/>
      <c r="T286"/>
    </row>
    <row r="287" spans="1:20">
      <c r="B287">
        <v>21</v>
      </c>
      <c r="C287" s="2941" t="s">
        <v>176</v>
      </c>
      <c r="D287"/>
      <c r="E287"/>
      <c r="F287"/>
      <c r="G287"/>
      <c r="H287"/>
      <c r="I287"/>
      <c r="J287"/>
      <c r="K287"/>
      <c r="L287"/>
      <c r="M287"/>
      <c r="N287"/>
      <c r="O287"/>
      <c r="P287"/>
      <c r="Q287"/>
      <c r="R287"/>
      <c r="S287"/>
      <c r="T287"/>
    </row>
    <row r="288" spans="1:20">
      <c r="B288"/>
      <c r="C288" s="2922" t="s">
        <v>566</v>
      </c>
      <c r="D288" s="2922" t="s">
        <v>567</v>
      </c>
      <c r="E288" s="2922"/>
      <c r="F288" s="2922"/>
      <c r="G288" s="2922"/>
      <c r="H288" s="2922" t="s">
        <v>590</v>
      </c>
      <c r="I288" s="2922"/>
      <c r="J288" s="2922"/>
      <c r="K288" s="2922"/>
      <c r="L288" s="2922"/>
      <c r="M288" s="2922" t="s">
        <v>591</v>
      </c>
      <c r="N288" s="2922"/>
      <c r="O288" s="2922"/>
      <c r="P288" s="2922"/>
      <c r="Q288"/>
      <c r="R288"/>
      <c r="S288"/>
      <c r="T288"/>
    </row>
    <row r="289" spans="1:20">
      <c r="B289"/>
      <c r="C289" s="2922"/>
      <c r="D289" s="2922" t="s">
        <v>570</v>
      </c>
      <c r="E289" s="2922" t="s">
        <v>571</v>
      </c>
      <c r="F289" s="2922" t="s">
        <v>572</v>
      </c>
      <c r="G289" s="2922" t="s">
        <v>118</v>
      </c>
      <c r="H289" s="2922" t="s">
        <v>570</v>
      </c>
      <c r="I289" s="2922" t="s">
        <v>571</v>
      </c>
      <c r="J289" s="2922" t="s">
        <v>572</v>
      </c>
      <c r="K289" s="2922"/>
      <c r="L289" s="2922" t="s">
        <v>118</v>
      </c>
      <c r="M289" s="2922" t="s">
        <v>570</v>
      </c>
      <c r="N289" s="2922" t="s">
        <v>571</v>
      </c>
      <c r="O289" s="2922" t="s">
        <v>572</v>
      </c>
      <c r="P289" s="2922" t="s">
        <v>118</v>
      </c>
      <c r="Q289"/>
      <c r="R289"/>
      <c r="S289"/>
      <c r="T289"/>
    </row>
    <row r="290" spans="1:20">
      <c r="B290"/>
      <c r="C290" s="2935" t="s">
        <v>573</v>
      </c>
      <c r="D290" s="2940"/>
      <c r="E290" s="2915"/>
      <c r="F290" s="2107"/>
      <c r="G290" s="2936">
        <f>+D290+E290+F290</f>
        <v>0</v>
      </c>
      <c r="H290" s="2483"/>
      <c r="I290" s="2911"/>
      <c r="J290" s="2483"/>
      <c r="K290" s="2483"/>
      <c r="L290" s="2936">
        <f>+H290+I290+J290</f>
        <v>0</v>
      </c>
      <c r="M290" s="2483"/>
      <c r="N290" s="2911">
        <v>0</v>
      </c>
      <c r="O290" s="2483"/>
      <c r="P290" s="2936">
        <f>+M290+N290+O290</f>
        <v>0</v>
      </c>
      <c r="Q290"/>
      <c r="R290"/>
      <c r="S290"/>
      <c r="T290"/>
    </row>
    <row r="291" spans="1:20">
      <c r="A291" s="193">
        <v>19</v>
      </c>
      <c r="B291"/>
      <c r="C291" s="2887" t="s">
        <v>574</v>
      </c>
      <c r="D291" s="2483"/>
      <c r="E291" s="2911">
        <v>2</v>
      </c>
      <c r="F291" s="2107"/>
      <c r="G291" s="2936">
        <f t="shared" ref="G291:G298" si="77">+D291+E291+F291</f>
        <v>2</v>
      </c>
      <c r="H291" s="2483"/>
      <c r="I291" s="2911">
        <v>9</v>
      </c>
      <c r="J291" s="2483"/>
      <c r="K291" s="2483"/>
      <c r="L291" s="2936">
        <f t="shared" ref="L291:L298" si="78">+H291+I291+J291</f>
        <v>9</v>
      </c>
      <c r="M291" s="2483"/>
      <c r="N291" s="2911">
        <v>18</v>
      </c>
      <c r="O291" s="2483"/>
      <c r="P291" s="2936">
        <f t="shared" ref="P291:P298" si="79">+M291+N291+O291</f>
        <v>18</v>
      </c>
      <c r="Q291"/>
      <c r="R291"/>
      <c r="S291"/>
      <c r="T291"/>
    </row>
    <row r="292" spans="1:20">
      <c r="B292"/>
      <c r="C292" s="2887" t="s">
        <v>575</v>
      </c>
      <c r="D292" s="2483"/>
      <c r="E292" s="2911">
        <v>2</v>
      </c>
      <c r="F292" s="2107"/>
      <c r="G292" s="2936">
        <f t="shared" si="77"/>
        <v>2</v>
      </c>
      <c r="H292" s="2483"/>
      <c r="I292" s="2911">
        <v>10</v>
      </c>
      <c r="J292" s="2483"/>
      <c r="K292" s="2483"/>
      <c r="L292" s="2936">
        <f t="shared" si="78"/>
        <v>10</v>
      </c>
      <c r="M292" s="2483"/>
      <c r="N292" s="2911">
        <v>19</v>
      </c>
      <c r="O292" s="2483"/>
      <c r="P292" s="2936">
        <f t="shared" si="79"/>
        <v>19</v>
      </c>
      <c r="Q292"/>
      <c r="R292"/>
      <c r="S292"/>
      <c r="T292"/>
    </row>
    <row r="293" spans="1:20">
      <c r="B293"/>
      <c r="C293" s="2887" t="s">
        <v>576</v>
      </c>
      <c r="D293" s="2483"/>
      <c r="E293" s="2911">
        <v>2</v>
      </c>
      <c r="F293" s="2107"/>
      <c r="G293" s="2936">
        <f t="shared" si="77"/>
        <v>2</v>
      </c>
      <c r="H293" s="2483"/>
      <c r="I293" s="2911">
        <v>7</v>
      </c>
      <c r="J293" s="2483"/>
      <c r="K293" s="2483"/>
      <c r="L293" s="2936">
        <f t="shared" si="78"/>
        <v>7</v>
      </c>
      <c r="M293" s="2483"/>
      <c r="N293" s="2911">
        <v>29</v>
      </c>
      <c r="O293" s="2483"/>
      <c r="P293" s="2936">
        <f t="shared" si="79"/>
        <v>29</v>
      </c>
      <c r="Q293"/>
      <c r="R293"/>
      <c r="S293"/>
      <c r="T293"/>
    </row>
    <row r="294" spans="1:20">
      <c r="B294"/>
      <c r="C294" s="2887" t="s">
        <v>577</v>
      </c>
      <c r="D294" s="2483"/>
      <c r="E294" s="2911"/>
      <c r="F294" s="2107"/>
      <c r="G294" s="2936">
        <f t="shared" si="77"/>
        <v>0</v>
      </c>
      <c r="H294" s="2483"/>
      <c r="I294" s="2911"/>
      <c r="J294" s="2483"/>
      <c r="K294" s="2483"/>
      <c r="L294" s="2936">
        <f t="shared" si="78"/>
        <v>0</v>
      </c>
      <c r="M294" s="2483"/>
      <c r="N294" s="2911"/>
      <c r="O294" s="2483"/>
      <c r="P294" s="2936">
        <f t="shared" si="79"/>
        <v>0</v>
      </c>
      <c r="Q294"/>
      <c r="R294"/>
      <c r="S294"/>
      <c r="T294"/>
    </row>
    <row r="295" spans="1:20">
      <c r="B295"/>
      <c r="C295" s="2887" t="s">
        <v>578</v>
      </c>
      <c r="D295" s="2483"/>
      <c r="E295" s="2911">
        <v>3</v>
      </c>
      <c r="F295" s="2107"/>
      <c r="G295" s="2936">
        <f t="shared" si="77"/>
        <v>3</v>
      </c>
      <c r="H295" s="2483"/>
      <c r="I295" s="2911">
        <v>16</v>
      </c>
      <c r="J295" s="2483"/>
      <c r="K295" s="2483"/>
      <c r="L295" s="2936">
        <f t="shared" si="78"/>
        <v>16</v>
      </c>
      <c r="M295" s="2483"/>
      <c r="N295" s="2911">
        <v>62</v>
      </c>
      <c r="O295" s="2483"/>
      <c r="P295" s="2936">
        <f t="shared" si="79"/>
        <v>62</v>
      </c>
      <c r="Q295"/>
      <c r="R295"/>
      <c r="S295"/>
      <c r="T295"/>
    </row>
    <row r="296" spans="1:20">
      <c r="B296"/>
      <c r="C296" s="2887" t="s">
        <v>579</v>
      </c>
      <c r="D296" s="2483"/>
      <c r="E296" s="2911">
        <v>2</v>
      </c>
      <c r="F296" s="2107"/>
      <c r="G296" s="2936">
        <f t="shared" si="77"/>
        <v>2</v>
      </c>
      <c r="H296" s="2483"/>
      <c r="I296" s="2911">
        <v>14</v>
      </c>
      <c r="J296" s="2483"/>
      <c r="K296" s="2483"/>
      <c r="L296" s="2936">
        <f t="shared" si="78"/>
        <v>14</v>
      </c>
      <c r="M296" s="2483"/>
      <c r="N296" s="2911">
        <v>9</v>
      </c>
      <c r="O296" s="2483"/>
      <c r="P296" s="2936">
        <f t="shared" si="79"/>
        <v>9</v>
      </c>
      <c r="Q296"/>
      <c r="R296"/>
      <c r="S296"/>
      <c r="T296"/>
    </row>
    <row r="297" spans="1:20">
      <c r="B297"/>
      <c r="C297" s="2887" t="s">
        <v>580</v>
      </c>
      <c r="D297" s="2483"/>
      <c r="E297" s="2911">
        <v>1</v>
      </c>
      <c r="F297" s="2107"/>
      <c r="G297" s="2936">
        <f t="shared" si="77"/>
        <v>1</v>
      </c>
      <c r="H297" s="2483"/>
      <c r="I297" s="2911">
        <v>2</v>
      </c>
      <c r="J297" s="2483"/>
      <c r="K297" s="2483"/>
      <c r="L297" s="2936">
        <f t="shared" si="78"/>
        <v>2</v>
      </c>
      <c r="M297" s="2483"/>
      <c r="N297" s="2911">
        <v>19</v>
      </c>
      <c r="O297" s="2483"/>
      <c r="P297" s="2936">
        <f t="shared" si="79"/>
        <v>19</v>
      </c>
      <c r="Q297"/>
      <c r="R297"/>
      <c r="S297"/>
      <c r="T297"/>
    </row>
    <row r="298" spans="1:20">
      <c r="B298"/>
      <c r="C298" s="2887" t="s">
        <v>581</v>
      </c>
      <c r="D298" s="2483"/>
      <c r="E298" s="2911">
        <v>8</v>
      </c>
      <c r="F298" s="2107"/>
      <c r="G298" s="2936">
        <f t="shared" si="77"/>
        <v>8</v>
      </c>
      <c r="H298" s="2483"/>
      <c r="I298" s="2911">
        <v>54</v>
      </c>
      <c r="J298" s="2483"/>
      <c r="K298" s="2483"/>
      <c r="L298" s="2936">
        <f t="shared" si="78"/>
        <v>54</v>
      </c>
      <c r="M298" s="2483"/>
      <c r="N298" s="2911">
        <v>124</v>
      </c>
      <c r="O298" s="2483"/>
      <c r="P298" s="2936">
        <f t="shared" si="79"/>
        <v>124</v>
      </c>
      <c r="Q298"/>
      <c r="R298"/>
      <c r="S298"/>
      <c r="T298"/>
    </row>
    <row r="299" spans="1:20">
      <c r="B299"/>
      <c r="C299" s="2922" t="s">
        <v>118</v>
      </c>
      <c r="D299" s="2937">
        <f t="shared" ref="D299:J299" si="80">SUM(D290:D298)</f>
        <v>0</v>
      </c>
      <c r="E299" s="2937">
        <f t="shared" si="80"/>
        <v>20</v>
      </c>
      <c r="F299" s="2937">
        <f t="shared" si="80"/>
        <v>0</v>
      </c>
      <c r="G299" s="2937">
        <f t="shared" si="80"/>
        <v>20</v>
      </c>
      <c r="H299" s="2937">
        <f t="shared" si="80"/>
        <v>0</v>
      </c>
      <c r="I299" s="2937">
        <f t="shared" si="80"/>
        <v>112</v>
      </c>
      <c r="J299" s="2937">
        <f t="shared" si="80"/>
        <v>0</v>
      </c>
      <c r="K299" s="2937"/>
      <c r="L299" s="2937">
        <f>SUM(L290:L298)</f>
        <v>112</v>
      </c>
      <c r="M299" s="2937">
        <f>SUM(M290:M298)</f>
        <v>0</v>
      </c>
      <c r="N299" s="2937">
        <f>SUM(N290:N298)</f>
        <v>280</v>
      </c>
      <c r="O299" s="2937">
        <f>SUM(O290:O298)</f>
        <v>0</v>
      </c>
      <c r="P299" s="2937">
        <f>SUM(P290:P298)</f>
        <v>280</v>
      </c>
      <c r="Q299"/>
      <c r="R299"/>
      <c r="S299"/>
      <c r="T299"/>
    </row>
    <row r="300" spans="1:20">
      <c r="B300">
        <v>22</v>
      </c>
      <c r="C300" s="2939" t="s">
        <v>110</v>
      </c>
      <c r="D300"/>
      <c r="E300"/>
      <c r="F300"/>
      <c r="G300"/>
      <c r="H300"/>
      <c r="I300"/>
      <c r="J300"/>
      <c r="K300"/>
      <c r="L300"/>
      <c r="M300"/>
      <c r="N300"/>
      <c r="O300"/>
      <c r="P300"/>
      <c r="Q300"/>
      <c r="R300"/>
      <c r="S300"/>
      <c r="T300"/>
    </row>
    <row r="301" spans="1:20">
      <c r="B301"/>
      <c r="C301" s="2922" t="s">
        <v>566</v>
      </c>
      <c r="D301" s="2922" t="s">
        <v>567</v>
      </c>
      <c r="E301" s="2922"/>
      <c r="F301" s="2922"/>
      <c r="G301" s="2922"/>
      <c r="H301" s="2922" t="s">
        <v>590</v>
      </c>
      <c r="I301" s="2922"/>
      <c r="J301" s="2922"/>
      <c r="K301" s="2922"/>
      <c r="L301" s="2922"/>
      <c r="M301" s="2922" t="s">
        <v>591</v>
      </c>
      <c r="N301" s="2922"/>
      <c r="O301" s="2922"/>
      <c r="P301" s="2922"/>
      <c r="Q301"/>
      <c r="R301"/>
      <c r="S301"/>
      <c r="T301"/>
    </row>
    <row r="302" spans="1:20">
      <c r="B302"/>
      <c r="C302" s="2922"/>
      <c r="D302" s="2922" t="s">
        <v>570</v>
      </c>
      <c r="E302" s="2922" t="s">
        <v>571</v>
      </c>
      <c r="F302" s="2922" t="s">
        <v>572</v>
      </c>
      <c r="G302" s="2922" t="s">
        <v>118</v>
      </c>
      <c r="H302" s="2922" t="s">
        <v>570</v>
      </c>
      <c r="I302" s="2922" t="s">
        <v>571</v>
      </c>
      <c r="J302" s="2922" t="s">
        <v>572</v>
      </c>
      <c r="K302" s="2922"/>
      <c r="L302" s="2922" t="s">
        <v>118</v>
      </c>
      <c r="M302" s="2922" t="s">
        <v>570</v>
      </c>
      <c r="N302" s="2922" t="s">
        <v>571</v>
      </c>
      <c r="O302" s="2922" t="s">
        <v>572</v>
      </c>
      <c r="P302" s="2922" t="s">
        <v>118</v>
      </c>
      <c r="Q302"/>
      <c r="R302"/>
      <c r="S302"/>
      <c r="T302"/>
    </row>
    <row r="303" spans="1:20">
      <c r="B303"/>
      <c r="C303" s="2935" t="s">
        <v>573</v>
      </c>
      <c r="D303" s="2940"/>
      <c r="E303" s="2940"/>
      <c r="F303" s="2107"/>
      <c r="G303" s="2936">
        <f>+D303+E303+F303</f>
        <v>0</v>
      </c>
      <c r="H303" s="2483"/>
      <c r="I303" s="2483"/>
      <c r="J303" s="2483"/>
      <c r="K303" s="2483"/>
      <c r="L303" s="2936">
        <f>+H303+I303+J303</f>
        <v>0</v>
      </c>
      <c r="M303" s="2483"/>
      <c r="N303" s="2483"/>
      <c r="O303" s="2483"/>
      <c r="P303" s="2936">
        <f>+M303+N303+O303</f>
        <v>0</v>
      </c>
      <c r="Q303"/>
      <c r="R303"/>
      <c r="S303"/>
      <c r="T303"/>
    </row>
    <row r="304" spans="1:20">
      <c r="B304"/>
      <c r="C304" s="2887" t="s">
        <v>574</v>
      </c>
      <c r="D304" s="2483"/>
      <c r="E304" s="2483"/>
      <c r="F304" s="2107"/>
      <c r="G304" s="2936">
        <f t="shared" ref="G304:G311" si="81">+D304+E304+F304</f>
        <v>0</v>
      </c>
      <c r="H304" s="2483"/>
      <c r="I304" s="2483"/>
      <c r="J304" s="2483"/>
      <c r="K304" s="2483"/>
      <c r="L304" s="2936">
        <f t="shared" ref="L304:L311" si="82">+H304+I304+J304</f>
        <v>0</v>
      </c>
      <c r="M304" s="2483"/>
      <c r="N304" s="2483"/>
      <c r="O304" s="2483"/>
      <c r="P304" s="2936">
        <f t="shared" ref="P304:P311" si="83">+M304+N304+O304</f>
        <v>0</v>
      </c>
      <c r="Q304"/>
      <c r="R304"/>
      <c r="S304"/>
      <c r="T304"/>
    </row>
    <row r="305" spans="1:20">
      <c r="B305"/>
      <c r="C305" s="2887" t="s">
        <v>575</v>
      </c>
      <c r="D305" s="2483"/>
      <c r="E305" s="2483"/>
      <c r="F305" s="2107"/>
      <c r="G305" s="2936">
        <f t="shared" si="81"/>
        <v>0</v>
      </c>
      <c r="H305" s="2483"/>
      <c r="I305" s="2483"/>
      <c r="J305" s="2483"/>
      <c r="K305" s="2483"/>
      <c r="L305" s="2936">
        <f t="shared" si="82"/>
        <v>0</v>
      </c>
      <c r="M305" s="2483"/>
      <c r="N305" s="2483"/>
      <c r="O305" s="2483"/>
      <c r="P305" s="2936">
        <f t="shared" si="83"/>
        <v>0</v>
      </c>
      <c r="Q305"/>
      <c r="R305"/>
      <c r="S305"/>
      <c r="T305"/>
    </row>
    <row r="306" spans="1:20">
      <c r="A306" s="193">
        <v>20</v>
      </c>
      <c r="B306"/>
      <c r="C306" s="2887" t="s">
        <v>576</v>
      </c>
      <c r="D306" s="2483"/>
      <c r="E306" s="2483"/>
      <c r="F306" s="2107"/>
      <c r="G306" s="2936">
        <f t="shared" si="81"/>
        <v>0</v>
      </c>
      <c r="H306" s="2483"/>
      <c r="I306" s="2483"/>
      <c r="J306" s="2483"/>
      <c r="K306" s="2483"/>
      <c r="L306" s="2936">
        <f t="shared" si="82"/>
        <v>0</v>
      </c>
      <c r="M306" s="2483"/>
      <c r="N306" s="2483"/>
      <c r="O306" s="2483"/>
      <c r="P306" s="2936">
        <f t="shared" si="83"/>
        <v>0</v>
      </c>
      <c r="Q306"/>
      <c r="R306"/>
      <c r="S306"/>
      <c r="T306"/>
    </row>
    <row r="307" spans="1:20">
      <c r="B307"/>
      <c r="C307" s="2887" t="s">
        <v>577</v>
      </c>
      <c r="D307" s="2483"/>
      <c r="E307" s="2483"/>
      <c r="F307" s="2107"/>
      <c r="G307" s="2936">
        <f t="shared" si="81"/>
        <v>0</v>
      </c>
      <c r="H307" s="2483"/>
      <c r="I307" s="2483"/>
      <c r="J307" s="2483"/>
      <c r="K307" s="2483"/>
      <c r="L307" s="2936">
        <f t="shared" si="82"/>
        <v>0</v>
      </c>
      <c r="M307" s="2483"/>
      <c r="N307" s="2483"/>
      <c r="O307" s="2483"/>
      <c r="P307" s="2936">
        <f t="shared" si="83"/>
        <v>0</v>
      </c>
      <c r="Q307"/>
      <c r="R307"/>
      <c r="S307"/>
      <c r="T307"/>
    </row>
    <row r="308" spans="1:20">
      <c r="B308"/>
      <c r="C308" s="2887" t="s">
        <v>578</v>
      </c>
      <c r="D308" s="2483"/>
      <c r="E308" s="2483"/>
      <c r="F308" s="2107"/>
      <c r="G308" s="2936">
        <f t="shared" si="81"/>
        <v>0</v>
      </c>
      <c r="H308" s="2483"/>
      <c r="I308" s="2483"/>
      <c r="J308" s="2483"/>
      <c r="K308" s="2483"/>
      <c r="L308" s="2936">
        <f t="shared" si="82"/>
        <v>0</v>
      </c>
      <c r="M308" s="2483"/>
      <c r="N308" s="2483"/>
      <c r="O308" s="2483"/>
      <c r="P308" s="2936">
        <f t="shared" si="83"/>
        <v>0</v>
      </c>
      <c r="Q308"/>
      <c r="R308"/>
      <c r="S308"/>
      <c r="T308"/>
    </row>
    <row r="309" spans="1:20">
      <c r="B309"/>
      <c r="C309" s="2887" t="s">
        <v>579</v>
      </c>
      <c r="D309" s="2483"/>
      <c r="E309" s="2483"/>
      <c r="F309" s="2107"/>
      <c r="G309" s="2936">
        <f t="shared" si="81"/>
        <v>0</v>
      </c>
      <c r="H309" s="2483"/>
      <c r="I309" s="2483"/>
      <c r="J309" s="2483"/>
      <c r="K309" s="2483"/>
      <c r="L309" s="2936">
        <f t="shared" si="82"/>
        <v>0</v>
      </c>
      <c r="M309" s="2483"/>
      <c r="N309" s="2483"/>
      <c r="O309" s="2483"/>
      <c r="P309" s="2936">
        <f t="shared" si="83"/>
        <v>0</v>
      </c>
      <c r="Q309"/>
      <c r="R309"/>
      <c r="S309"/>
      <c r="T309"/>
    </row>
    <row r="310" spans="1:20">
      <c r="B310"/>
      <c r="C310" s="2887" t="s">
        <v>580</v>
      </c>
      <c r="D310" s="2483"/>
      <c r="E310" s="2483"/>
      <c r="F310" s="2107"/>
      <c r="G310" s="2936">
        <f t="shared" si="81"/>
        <v>0</v>
      </c>
      <c r="H310" s="2483"/>
      <c r="I310" s="2483"/>
      <c r="J310" s="2483"/>
      <c r="K310" s="2483"/>
      <c r="L310" s="2936">
        <f t="shared" si="82"/>
        <v>0</v>
      </c>
      <c r="M310" s="2483"/>
      <c r="N310" s="2483"/>
      <c r="O310" s="2483"/>
      <c r="P310" s="2936">
        <f t="shared" si="83"/>
        <v>0</v>
      </c>
      <c r="Q310"/>
      <c r="R310"/>
      <c r="S310"/>
      <c r="T310"/>
    </row>
    <row r="311" spans="1:20">
      <c r="B311"/>
      <c r="C311" s="2887" t="s">
        <v>581</v>
      </c>
      <c r="D311" s="2483"/>
      <c r="E311" s="2483"/>
      <c r="F311" s="2107"/>
      <c r="G311" s="2936">
        <f t="shared" si="81"/>
        <v>0</v>
      </c>
      <c r="H311" s="2483"/>
      <c r="I311" s="2483"/>
      <c r="J311" s="2483"/>
      <c r="K311" s="2483"/>
      <c r="L311" s="2936">
        <f t="shared" si="82"/>
        <v>0</v>
      </c>
      <c r="M311" s="2483"/>
      <c r="N311" s="2483"/>
      <c r="O311" s="2483"/>
      <c r="P311" s="2936">
        <f t="shared" si="83"/>
        <v>0</v>
      </c>
      <c r="Q311"/>
      <c r="R311"/>
      <c r="S311"/>
      <c r="T311"/>
    </row>
    <row r="312" spans="1:20">
      <c r="B312"/>
      <c r="C312" s="2922" t="s">
        <v>118</v>
      </c>
      <c r="D312" s="2937">
        <f t="shared" ref="D312:J312" si="84">SUM(D303:D311)</f>
        <v>0</v>
      </c>
      <c r="E312" s="2937">
        <f t="shared" si="84"/>
        <v>0</v>
      </c>
      <c r="F312" s="2937">
        <f t="shared" si="84"/>
        <v>0</v>
      </c>
      <c r="G312" s="2937">
        <f t="shared" si="84"/>
        <v>0</v>
      </c>
      <c r="H312" s="2937">
        <f t="shared" si="84"/>
        <v>0</v>
      </c>
      <c r="I312" s="2937">
        <f t="shared" si="84"/>
        <v>0</v>
      </c>
      <c r="J312" s="2937">
        <f t="shared" si="84"/>
        <v>0</v>
      </c>
      <c r="K312" s="2937"/>
      <c r="L312" s="2937">
        <f>SUM(L303:L311)</f>
        <v>0</v>
      </c>
      <c r="M312" s="2937">
        <f>SUM(M303:M311)</f>
        <v>0</v>
      </c>
      <c r="N312" s="2937">
        <f>SUM(N303:N311)</f>
        <v>0</v>
      </c>
      <c r="O312" s="2937">
        <f>SUM(O303:O311)</f>
        <v>0</v>
      </c>
      <c r="P312" s="2937">
        <f>SUM(P303:P311)</f>
        <v>0</v>
      </c>
      <c r="Q312"/>
      <c r="R312"/>
      <c r="S312"/>
      <c r="T312"/>
    </row>
    <row r="313" spans="1:20">
      <c r="B313"/>
      <c r="C313"/>
      <c r="D313"/>
      <c r="E313"/>
      <c r="F313"/>
      <c r="G313"/>
      <c r="H313"/>
      <c r="I313"/>
      <c r="J313"/>
      <c r="K313"/>
      <c r="L313"/>
      <c r="M313"/>
      <c r="N313"/>
      <c r="O313"/>
      <c r="P313"/>
      <c r="Q313"/>
      <c r="R313"/>
      <c r="S313"/>
      <c r="T313"/>
    </row>
    <row r="314" spans="1:20">
      <c r="B314"/>
      <c r="C314"/>
      <c r="D314"/>
      <c r="E314"/>
      <c r="F314"/>
      <c r="G314"/>
      <c r="H314"/>
      <c r="I314"/>
      <c r="J314"/>
      <c r="K314"/>
      <c r="L314"/>
      <c r="M314"/>
      <c r="N314"/>
      <c r="O314"/>
      <c r="P314"/>
      <c r="Q314"/>
      <c r="R314"/>
      <c r="S314"/>
      <c r="T314"/>
    </row>
    <row r="315" spans="1:20">
      <c r="B315"/>
      <c r="C315"/>
      <c r="D315"/>
      <c r="E315"/>
      <c r="F315"/>
      <c r="G315"/>
      <c r="H315"/>
      <c r="I315"/>
      <c r="J315"/>
      <c r="K315"/>
      <c r="L315"/>
      <c r="M315"/>
      <c r="N315"/>
      <c r="O315"/>
      <c r="P315"/>
      <c r="Q315"/>
      <c r="R315"/>
      <c r="S315"/>
      <c r="T315"/>
    </row>
    <row r="316" spans="1:20">
      <c r="B316"/>
      <c r="C316"/>
      <c r="D316"/>
      <c r="E316"/>
      <c r="F316"/>
      <c r="G316"/>
      <c r="H316"/>
      <c r="I316"/>
      <c r="J316"/>
      <c r="K316"/>
      <c r="L316"/>
      <c r="M316"/>
      <c r="N316"/>
      <c r="O316"/>
      <c r="P316"/>
      <c r="Q316"/>
      <c r="R316"/>
      <c r="S316"/>
      <c r="T316"/>
    </row>
    <row r="317" spans="1:20">
      <c r="B317"/>
      <c r="C317"/>
      <c r="D317"/>
      <c r="E317"/>
      <c r="F317"/>
      <c r="G317"/>
      <c r="H317"/>
      <c r="I317"/>
      <c r="J317"/>
      <c r="K317"/>
      <c r="L317"/>
      <c r="M317"/>
      <c r="N317"/>
      <c r="O317"/>
      <c r="P317"/>
      <c r="Q317"/>
      <c r="R317"/>
      <c r="S317"/>
      <c r="T317"/>
    </row>
    <row r="318" spans="1:20">
      <c r="B318"/>
      <c r="C318"/>
      <c r="D318"/>
      <c r="E318"/>
      <c r="F318"/>
      <c r="G318"/>
      <c r="H318"/>
      <c r="I318"/>
      <c r="J318"/>
      <c r="K318"/>
      <c r="L318"/>
      <c r="M318"/>
      <c r="N318"/>
      <c r="O318"/>
      <c r="P318"/>
      <c r="Q318"/>
      <c r="R318"/>
      <c r="S318"/>
      <c r="T318"/>
    </row>
    <row r="319" spans="1:20">
      <c r="B319"/>
      <c r="C319"/>
      <c r="D319"/>
      <c r="E319"/>
      <c r="F319"/>
      <c r="G319"/>
      <c r="H319"/>
      <c r="I319"/>
      <c r="J319"/>
      <c r="K319"/>
      <c r="L319"/>
      <c r="M319"/>
      <c r="N319"/>
      <c r="O319"/>
      <c r="P319"/>
      <c r="Q319"/>
      <c r="R319"/>
      <c r="S319"/>
      <c r="T319"/>
    </row>
    <row r="320" spans="1:20">
      <c r="B320"/>
      <c r="C320"/>
      <c r="D320"/>
      <c r="E320"/>
      <c r="F320"/>
      <c r="G320"/>
      <c r="H320"/>
      <c r="I320"/>
      <c r="J320"/>
      <c r="K320"/>
      <c r="L320"/>
      <c r="M320"/>
      <c r="N320"/>
      <c r="O320"/>
      <c r="P320"/>
      <c r="Q320"/>
      <c r="R320"/>
      <c r="S320"/>
      <c r="T320"/>
    </row>
    <row r="321" spans="2:20">
      <c r="B321"/>
      <c r="C321"/>
      <c r="D321"/>
      <c r="E321"/>
      <c r="F321"/>
      <c r="G321"/>
      <c r="H321"/>
      <c r="I321"/>
      <c r="J321"/>
      <c r="K321"/>
      <c r="L321"/>
      <c r="M321"/>
      <c r="N321"/>
      <c r="O321"/>
      <c r="P321"/>
      <c r="Q321"/>
      <c r="R321"/>
      <c r="S321"/>
      <c r="T321"/>
    </row>
    <row r="322" spans="2:20">
      <c r="B322"/>
      <c r="C322"/>
      <c r="D322"/>
      <c r="E322"/>
      <c r="F322"/>
      <c r="G322"/>
      <c r="H322"/>
      <c r="I322"/>
      <c r="J322"/>
      <c r="K322"/>
      <c r="L322"/>
      <c r="M322"/>
      <c r="N322"/>
      <c r="O322"/>
      <c r="P322"/>
      <c r="Q322"/>
      <c r="R322"/>
      <c r="S322"/>
      <c r="T322"/>
    </row>
    <row r="323" spans="2:20">
      <c r="B323"/>
      <c r="C323"/>
      <c r="D323"/>
      <c r="E323"/>
      <c r="F323"/>
      <c r="G323"/>
      <c r="H323"/>
      <c r="I323"/>
      <c r="J323"/>
      <c r="K323"/>
      <c r="L323"/>
      <c r="M323"/>
      <c r="N323"/>
      <c r="O323"/>
      <c r="P323"/>
      <c r="Q323"/>
      <c r="R323"/>
      <c r="S323"/>
      <c r="T323"/>
    </row>
    <row r="324" spans="2:20">
      <c r="B324"/>
      <c r="C324"/>
      <c r="D324"/>
      <c r="E324"/>
      <c r="F324"/>
      <c r="G324"/>
      <c r="H324"/>
      <c r="I324"/>
      <c r="J324"/>
      <c r="K324"/>
      <c r="L324"/>
      <c r="M324"/>
      <c r="N324"/>
      <c r="O324"/>
      <c r="P324"/>
      <c r="Q324"/>
      <c r="R324"/>
      <c r="S324"/>
      <c r="T324"/>
    </row>
    <row r="325" spans="2:20">
      <c r="B325"/>
      <c r="C325"/>
      <c r="D325"/>
      <c r="E325"/>
      <c r="F325"/>
      <c r="G325"/>
      <c r="H325"/>
      <c r="I325"/>
      <c r="J325"/>
      <c r="K325"/>
      <c r="L325"/>
      <c r="M325"/>
      <c r="N325"/>
      <c r="O325"/>
      <c r="P325"/>
      <c r="Q325"/>
      <c r="R325"/>
      <c r="S325"/>
      <c r="T325"/>
    </row>
    <row r="326" spans="2:20">
      <c r="B326"/>
      <c r="C326"/>
      <c r="D326"/>
      <c r="E326"/>
      <c r="F326"/>
      <c r="G326"/>
      <c r="H326"/>
      <c r="I326"/>
      <c r="J326"/>
      <c r="K326"/>
      <c r="L326"/>
      <c r="M326"/>
      <c r="N326"/>
      <c r="O326"/>
      <c r="P326"/>
      <c r="Q326"/>
      <c r="R326"/>
      <c r="S326"/>
      <c r="T326"/>
    </row>
    <row r="327" spans="2:20">
      <c r="B327"/>
      <c r="C327"/>
      <c r="D327"/>
      <c r="E327"/>
      <c r="F327"/>
      <c r="G327"/>
      <c r="H327"/>
      <c r="I327"/>
      <c r="J327"/>
      <c r="K327"/>
      <c r="L327"/>
      <c r="M327"/>
      <c r="N327"/>
      <c r="O327"/>
      <c r="P327"/>
      <c r="Q327"/>
      <c r="R327"/>
      <c r="S327"/>
      <c r="T327"/>
    </row>
    <row r="328" spans="2:20">
      <c r="B328"/>
      <c r="C328"/>
      <c r="D328"/>
      <c r="E328"/>
      <c r="F328"/>
      <c r="G328"/>
      <c r="H328"/>
      <c r="I328"/>
      <c r="J328"/>
      <c r="K328"/>
      <c r="L328"/>
      <c r="M328"/>
      <c r="N328"/>
      <c r="O328"/>
      <c r="P328"/>
      <c r="Q328"/>
      <c r="R328"/>
      <c r="S328"/>
      <c r="T328"/>
    </row>
  </sheetData>
  <customSheetViews>
    <customSheetView guid="{5E394B0B-7867-4722-9497-A93AB2A9A773}" showPageBreaks="1" state="hidden">
      <pane xSplit="2" ySplit="7" topLeftCell="F44" activePane="bottomRight" state="frozen"/>
      <selection pane="bottomRight" activeCell="A13" sqref="A13"/>
      <rowBreaks count="10" manualBreakCount="10">
        <brk id="17" max="16383" man="1"/>
        <brk id="47" max="16383" man="1"/>
        <brk id="78" max="16383" man="1"/>
        <brk id="108" max="16383" man="1"/>
        <brk id="138" max="16383" man="1"/>
        <brk id="168" max="16383" man="1"/>
        <brk id="198" max="16383" man="1"/>
        <brk id="228" max="16383" man="1"/>
        <brk id="258" max="16383" man="1"/>
        <brk id="288" max="16383" man="1"/>
      </rowBreaks>
      <pageMargins left="0" right="0" top="0" bottom="0" header="0" footer="0"/>
      <pageSetup scale="88" orientation="landscape" r:id="rId1"/>
    </customSheetView>
    <customSheetView guid="{B1E1B596-A9A1-411D-A882-A48CB025B978}" showPageBreaks="1" state="hidden">
      <pane xSplit="2" ySplit="7" topLeftCell="F44" activePane="bottomRight" state="frozen"/>
      <selection pane="bottomRight" activeCell="A13" sqref="A13"/>
      <rowBreaks count="10" manualBreakCount="10">
        <brk id="17" max="16383" man="1"/>
        <brk id="47" max="16383" man="1"/>
        <brk id="78" max="16383" man="1"/>
        <brk id="108" max="16383" man="1"/>
        <brk id="138" max="16383" man="1"/>
        <brk id="168" max="16383" man="1"/>
        <brk id="198" max="16383" man="1"/>
        <brk id="228" max="16383" man="1"/>
        <brk id="258" max="16383" man="1"/>
        <brk id="288" max="16383" man="1"/>
      </rowBreaks>
      <pageMargins left="0" right="0" top="0" bottom="0" header="0" footer="0"/>
      <pageSetup scale="88" orientation="landscape" r:id="rId2"/>
    </customSheetView>
    <customSheetView guid="{E82B35BE-4719-4C53-A9EF-1CC6F153A6F3}" showPageBreaks="1">
      <pane xSplit="2" ySplit="7" topLeftCell="C147" activePane="bottomRight" state="frozen"/>
      <selection pane="bottomRight" activeCell="F197" sqref="F197"/>
      <rowBreaks count="10" manualBreakCount="10">
        <brk id="17" max="16383" man="1"/>
        <brk id="47" max="16383" man="1"/>
        <brk id="78" max="16383" man="1"/>
        <brk id="108" max="16383" man="1"/>
        <brk id="138" max="16383" man="1"/>
        <brk id="168" max="16383" man="1"/>
        <brk id="198" max="16383" man="1"/>
        <brk id="228" max="16383" man="1"/>
        <brk id="258" max="16383" man="1"/>
        <brk id="288" max="16383" man="1"/>
      </rowBreaks>
      <pageMargins left="0" right="0" top="0" bottom="0" header="0" footer="0"/>
      <pageSetup scale="88" orientation="landscape" r:id="rId3"/>
    </customSheetView>
    <customSheetView guid="{46F31544-8E6F-41C5-8628-1D6EE074AF15}" state="hidden">
      <pane xSplit="2" ySplit="7" topLeftCell="F44" activePane="bottomRight" state="frozen"/>
      <selection pane="bottomRight" activeCell="A13" sqref="A13"/>
      <rowBreaks count="10" manualBreakCount="10">
        <brk id="17" max="16383" man="1"/>
        <brk id="47" max="16383" man="1"/>
        <brk id="78" max="16383" man="1"/>
        <brk id="108" max="16383" man="1"/>
        <brk id="138" max="16383" man="1"/>
        <brk id="168" max="16383" man="1"/>
        <brk id="198" max="16383" man="1"/>
        <brk id="228" max="16383" man="1"/>
        <brk id="258" max="16383" man="1"/>
        <brk id="288" max="16383" man="1"/>
      </rowBreaks>
      <pageMargins left="0" right="0" top="0" bottom="0" header="0" footer="0"/>
      <pageSetup scale="88" orientation="landscape" r:id="rId4"/>
    </customSheetView>
    <customSheetView guid="{B2E1A0C6-5BA1-4CF1-B412-16D81FCDF11F}" showPageBreaks="1" state="hidden">
      <pane xSplit="2" ySplit="7" topLeftCell="F44" activePane="bottomRight" state="frozen"/>
      <selection pane="bottomRight" activeCell="A13" sqref="A13"/>
      <rowBreaks count="10" manualBreakCount="10">
        <brk id="17" max="16383" man="1"/>
        <brk id="47" max="16383" man="1"/>
        <brk id="78" max="16383" man="1"/>
        <brk id="108" max="16383" man="1"/>
        <brk id="138" max="16383" man="1"/>
        <brk id="168" max="16383" man="1"/>
        <brk id="198" max="16383" man="1"/>
        <brk id="228" max="16383" man="1"/>
        <brk id="258" max="16383" man="1"/>
        <brk id="288" max="16383" man="1"/>
      </rowBreaks>
      <pageMargins left="0" right="0" top="0" bottom="0" header="0" footer="0"/>
      <pageSetup scale="88" orientation="landscape" r:id="rId5"/>
    </customSheetView>
    <customSheetView guid="{967E0446-E234-427F-8E57-7FE287052E2E}" showPageBreaks="1" state="hidden">
      <pane xSplit="2" ySplit="7" topLeftCell="F44" activePane="bottomRight" state="frozen"/>
      <selection pane="bottomRight" activeCell="A13" sqref="A13"/>
      <rowBreaks count="10" manualBreakCount="10">
        <brk id="17" max="16383" man="1"/>
        <brk id="47" max="16383" man="1"/>
        <brk id="78" max="16383" man="1"/>
        <brk id="108" max="16383" man="1"/>
        <brk id="138" max="16383" man="1"/>
        <brk id="168" max="16383" man="1"/>
        <brk id="198" max="16383" man="1"/>
        <brk id="228" max="16383" man="1"/>
        <brk id="258" max="16383" man="1"/>
        <brk id="288" max="16383" man="1"/>
      </rowBreaks>
      <pageMargins left="0" right="0" top="0" bottom="0" header="0" footer="0"/>
      <pageSetup scale="88" orientation="landscape" r:id="rId6"/>
    </customSheetView>
    <customSheetView guid="{2ACFE167-4169-43A6-9AB2-59D5A2DA2DB4}" showPageBreaks="1" state="hidden">
      <pane xSplit="2" ySplit="7" topLeftCell="F44" activePane="bottomRight" state="frozen"/>
      <selection pane="bottomRight" activeCell="A13" sqref="A13"/>
      <rowBreaks count="10" manualBreakCount="10">
        <brk id="17" max="16383" man="1"/>
        <brk id="47" max="16383" man="1"/>
        <brk id="78" max="16383" man="1"/>
        <brk id="108" max="16383" man="1"/>
        <brk id="138" max="16383" man="1"/>
        <brk id="168" max="16383" man="1"/>
        <brk id="198" max="16383" man="1"/>
        <brk id="228" max="16383" man="1"/>
        <brk id="258" max="16383" man="1"/>
        <brk id="288" max="16383" man="1"/>
      </rowBreaks>
      <pageMargins left="0" right="0" top="0" bottom="0" header="0" footer="0"/>
      <pageSetup scale="88" orientation="landscape" r:id="rId7"/>
    </customSheetView>
  </customSheetViews>
  <pageMargins left="0.3" right="0.22" top="0.75" bottom="0.75" header="0.3" footer="0.3"/>
  <pageSetup scale="88" orientation="landscape" r:id="rId8"/>
  <rowBreaks count="10" manualBreakCount="10">
    <brk id="17" max="16383" man="1"/>
    <brk id="47" max="16383" man="1"/>
    <brk id="78" max="16383" man="1"/>
    <brk id="108" max="16383" man="1"/>
    <brk id="138" max="16383" man="1"/>
    <brk id="168" max="16383" man="1"/>
    <brk id="198" max="16383" man="1"/>
    <brk id="228" max="16383" man="1"/>
    <brk id="258" max="16383" man="1"/>
    <brk id="288" max="16383" man="1"/>
  </rowBreaks>
  <legacy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autoPageBreaks="0"/>
  </sheetPr>
  <dimension ref="B2:K67"/>
  <sheetViews>
    <sheetView showGridLines="0" view="pageBreakPreview" topLeftCell="B1" zoomScale="70" zoomScaleNormal="85" zoomScaleSheetLayoutView="70" workbookViewId="0">
      <pane ySplit="5" topLeftCell="A24" activePane="bottomLeft" state="frozen"/>
      <selection pane="bottomLeft" activeCell="L20" sqref="L20"/>
    </sheetView>
  </sheetViews>
  <sheetFormatPr defaultColWidth="9.140625" defaultRowHeight="12.75"/>
  <cols>
    <col min="1" max="1" width="3.7109375" style="292" customWidth="1"/>
    <col min="2" max="8" width="18.85546875" style="292" customWidth="1"/>
    <col min="9" max="9" width="10.5703125" style="292" bestFit="1" customWidth="1"/>
    <col min="10" max="10" width="15.5703125" style="292" customWidth="1"/>
    <col min="11" max="11" width="16.42578125" style="292" bestFit="1" customWidth="1"/>
    <col min="12" max="16384" width="9.140625" style="292"/>
  </cols>
  <sheetData>
    <row r="2" spans="2:11">
      <c r="B2" s="3419" t="s">
        <v>82</v>
      </c>
      <c r="C2" s="3419"/>
      <c r="D2" s="3419"/>
      <c r="E2" s="3419"/>
      <c r="F2" s="3419"/>
      <c r="G2" s="3419"/>
      <c r="H2" s="3419"/>
    </row>
    <row r="4" spans="2:11">
      <c r="B4" s="3420" t="s">
        <v>83</v>
      </c>
      <c r="C4" s="3422" t="s">
        <v>84</v>
      </c>
      <c r="D4" s="3422"/>
      <c r="E4" s="3422"/>
      <c r="F4" s="3422"/>
      <c r="G4" s="3422"/>
      <c r="H4" s="3423"/>
    </row>
    <row r="5" spans="2:11" ht="66.75" customHeight="1">
      <c r="B5" s="3421"/>
      <c r="C5" s="1889" t="s">
        <v>85</v>
      </c>
      <c r="D5" s="1331" t="s">
        <v>86</v>
      </c>
      <c r="E5" s="1327" t="s">
        <v>87</v>
      </c>
      <c r="F5" s="1331" t="s">
        <v>88</v>
      </c>
      <c r="G5" s="1331" t="s">
        <v>89</v>
      </c>
      <c r="H5" s="1331" t="s">
        <v>90</v>
      </c>
    </row>
    <row r="6" spans="2:11" ht="16.5" customHeight="1">
      <c r="B6" s="1891" t="s">
        <v>91</v>
      </c>
      <c r="C6" s="556">
        <v>16517328</v>
      </c>
      <c r="D6" s="1980"/>
      <c r="E6" s="1981">
        <f>+C6+D6</f>
        <v>16517328</v>
      </c>
      <c r="F6" s="1982">
        <f>(C6/$C$33)*100</f>
        <v>13.240130395019545</v>
      </c>
      <c r="G6" s="1983"/>
      <c r="H6" s="1982">
        <f>+(E6/$E$33)*100</f>
        <v>7.0734267498745851</v>
      </c>
      <c r="I6" s="396"/>
      <c r="J6" s="630"/>
      <c r="K6" s="437"/>
    </row>
    <row r="7" spans="2:11" ht="16.5" customHeight="1">
      <c r="B7" s="1984" t="s">
        <v>92</v>
      </c>
      <c r="C7" s="1980"/>
      <c r="D7" s="1985">
        <v>12490133</v>
      </c>
      <c r="E7" s="1981">
        <f t="shared" ref="E7:E32" si="0">+C7+D7</f>
        <v>12490133</v>
      </c>
      <c r="F7" s="1983"/>
      <c r="G7" s="1986">
        <v>11.48</v>
      </c>
      <c r="H7" s="1982">
        <f>+(E7/$E$33)*100</f>
        <v>5.3488094970137601</v>
      </c>
      <c r="I7" s="482"/>
      <c r="J7" s="630"/>
      <c r="K7" s="437"/>
    </row>
    <row r="8" spans="2:11" ht="16.5" customHeight="1">
      <c r="B8" s="1987" t="s">
        <v>93</v>
      </c>
      <c r="C8" s="1988">
        <v>1886703</v>
      </c>
      <c r="D8" s="1989"/>
      <c r="E8" s="1981">
        <f t="shared" si="0"/>
        <v>1886703</v>
      </c>
      <c r="F8" s="1982">
        <f>(C8/$C$33)*100</f>
        <v>1.5123628795574298</v>
      </c>
      <c r="G8" s="1983"/>
      <c r="H8" s="1982">
        <f t="shared" ref="H8:H32" si="1">+(E8/$E$33)*100</f>
        <v>0.80796697076359003</v>
      </c>
      <c r="I8" s="396"/>
      <c r="J8" s="630"/>
      <c r="K8" s="437"/>
    </row>
    <row r="9" spans="2:11" ht="16.5" customHeight="1">
      <c r="B9" s="1987" t="s">
        <v>94</v>
      </c>
      <c r="C9" s="1981">
        <v>929830</v>
      </c>
      <c r="D9" s="1989"/>
      <c r="E9" s="1981">
        <f t="shared" si="0"/>
        <v>929830</v>
      </c>
      <c r="F9" s="1982">
        <f>(C9/$C$33)*100</f>
        <v>0.74534273613752933</v>
      </c>
      <c r="G9" s="1983"/>
      <c r="H9" s="1982">
        <f>+(E9/$E$33)*100</f>
        <v>0.39819300039545658</v>
      </c>
      <c r="I9" s="396"/>
      <c r="J9" s="630"/>
      <c r="K9" s="437"/>
    </row>
    <row r="10" spans="2:11" ht="16.5" customHeight="1">
      <c r="B10" s="1987" t="s">
        <v>95</v>
      </c>
      <c r="C10" s="1980"/>
      <c r="D10" s="1985">
        <v>2173073</v>
      </c>
      <c r="E10" s="1981">
        <f t="shared" si="0"/>
        <v>2173073</v>
      </c>
      <c r="F10" s="1983"/>
      <c r="G10" s="1986">
        <v>2</v>
      </c>
      <c r="H10" s="1982">
        <f>+(E10/$E$33)*100</f>
        <v>0.9306028606824428</v>
      </c>
      <c r="I10" s="482"/>
      <c r="J10" s="630"/>
      <c r="K10" s="437"/>
    </row>
    <row r="11" spans="2:11" ht="16.5" customHeight="1">
      <c r="B11" s="1987" t="s">
        <v>96</v>
      </c>
      <c r="C11" s="1981">
        <v>2311633</v>
      </c>
      <c r="D11" s="1989">
        <v>0</v>
      </c>
      <c r="E11" s="1981">
        <f t="shared" si="0"/>
        <v>2311633</v>
      </c>
      <c r="F11" s="1982">
        <f>(C11/$C$33)*100</f>
        <v>1.8529826582986193</v>
      </c>
      <c r="G11" s="1983"/>
      <c r="H11" s="1982">
        <f t="shared" si="1"/>
        <v>0.98994018270345163</v>
      </c>
      <c r="I11" s="396"/>
      <c r="J11" s="630"/>
      <c r="K11" s="437"/>
    </row>
    <row r="12" spans="2:11" ht="16.5" customHeight="1">
      <c r="B12" s="1987" t="s">
        <v>97</v>
      </c>
      <c r="C12" s="1981">
        <v>25565050</v>
      </c>
      <c r="D12" s="1989"/>
      <c r="E12" s="1981">
        <f t="shared" si="0"/>
        <v>25565050</v>
      </c>
      <c r="F12" s="1982">
        <f>(C12/$C$33)*100</f>
        <v>20.492696854793611</v>
      </c>
      <c r="G12" s="1983"/>
      <c r="H12" s="1982">
        <f t="shared" si="1"/>
        <v>10.948048530118266</v>
      </c>
      <c r="I12" s="396"/>
      <c r="J12" s="630"/>
      <c r="K12" s="437"/>
    </row>
    <row r="13" spans="2:11" ht="16.5" customHeight="1">
      <c r="B13" s="1987" t="s">
        <v>98</v>
      </c>
      <c r="C13" s="1980"/>
      <c r="D13" s="1985">
        <v>18498751</v>
      </c>
      <c r="E13" s="1981">
        <f t="shared" si="0"/>
        <v>18498751</v>
      </c>
      <c r="F13" s="1983"/>
      <c r="G13" s="1990">
        <v>17.010000000000002</v>
      </c>
      <c r="H13" s="1982">
        <f t="shared" si="1"/>
        <v>7.9219568784169709</v>
      </c>
      <c r="I13" s="482"/>
      <c r="J13" s="630"/>
      <c r="K13" s="437"/>
    </row>
    <row r="14" spans="2:11" ht="16.5" customHeight="1">
      <c r="B14" s="1984" t="s">
        <v>99</v>
      </c>
      <c r="C14" s="1980"/>
      <c r="D14" s="1985">
        <v>4888930</v>
      </c>
      <c r="E14" s="1981">
        <f t="shared" si="0"/>
        <v>4888930</v>
      </c>
      <c r="F14" s="1983"/>
      <c r="G14" s="1986">
        <v>4.5</v>
      </c>
      <c r="H14" s="1982">
        <f t="shared" si="1"/>
        <v>2.0936490599608093</v>
      </c>
      <c r="I14" s="482"/>
      <c r="J14" s="630"/>
      <c r="K14" s="437"/>
    </row>
    <row r="15" spans="2:11" ht="16.5" customHeight="1">
      <c r="B15" s="1987" t="s">
        <v>100</v>
      </c>
      <c r="C15" s="1981">
        <v>840604</v>
      </c>
      <c r="D15" s="1991"/>
      <c r="E15" s="1981">
        <f t="shared" si="0"/>
        <v>840604</v>
      </c>
      <c r="F15" s="1982">
        <f>(C15/$C$33)*100</f>
        <v>0.67382003739194452</v>
      </c>
      <c r="G15" s="1983"/>
      <c r="H15" s="1982">
        <f t="shared" si="1"/>
        <v>0.35998260854610231</v>
      </c>
      <c r="I15" s="396"/>
      <c r="J15" s="630"/>
      <c r="K15" s="437"/>
    </row>
    <row r="16" spans="2:11" ht="16.5" customHeight="1">
      <c r="B16" s="1987" t="s">
        <v>101</v>
      </c>
      <c r="C16" s="1989"/>
      <c r="D16" s="1985">
        <v>4374591</v>
      </c>
      <c r="E16" s="1981">
        <f t="shared" si="0"/>
        <v>4374591</v>
      </c>
      <c r="F16" s="1983"/>
      <c r="G16" s="1986">
        <v>4.0199999999999996</v>
      </c>
      <c r="H16" s="1982">
        <f t="shared" si="1"/>
        <v>1.8733870877396519</v>
      </c>
      <c r="I16" s="482"/>
      <c r="J16" s="630"/>
      <c r="K16" s="437"/>
    </row>
    <row r="17" spans="2:11" ht="16.5" customHeight="1">
      <c r="B17" s="1987" t="s">
        <v>102</v>
      </c>
      <c r="C17" s="1989"/>
      <c r="D17" s="1985">
        <v>11914064</v>
      </c>
      <c r="E17" s="1981">
        <f t="shared" si="0"/>
        <v>11914064</v>
      </c>
      <c r="F17" s="1983"/>
      <c r="G17" s="1986">
        <v>10.95</v>
      </c>
      <c r="H17" s="1982">
        <f t="shared" si="1"/>
        <v>5.1021120969031912</v>
      </c>
      <c r="I17" s="482"/>
      <c r="J17" s="630"/>
      <c r="K17" s="437"/>
    </row>
    <row r="18" spans="2:11" ht="16.5" customHeight="1">
      <c r="B18" s="1987" t="s">
        <v>103</v>
      </c>
      <c r="C18" s="1981">
        <v>7091470</v>
      </c>
      <c r="D18" s="1989"/>
      <c r="E18" s="1981">
        <f t="shared" si="0"/>
        <v>7091470</v>
      </c>
      <c r="F18" s="1982">
        <f>(C18/$C$33)*100</f>
        <v>5.6844537743858607</v>
      </c>
      <c r="G18" s="1983"/>
      <c r="H18" s="1982">
        <f t="shared" si="1"/>
        <v>3.0368709511570589</v>
      </c>
      <c r="I18" s="396"/>
      <c r="J18" s="630"/>
      <c r="K18" s="437"/>
    </row>
    <row r="19" spans="2:11" ht="16.5" customHeight="1">
      <c r="B19" s="1987" t="s">
        <v>104</v>
      </c>
      <c r="C19" s="1989"/>
      <c r="D19" s="1985">
        <v>5166812</v>
      </c>
      <c r="E19" s="1981">
        <f t="shared" si="0"/>
        <v>5166812</v>
      </c>
      <c r="F19" s="1983"/>
      <c r="G19" s="1986">
        <v>4.75</v>
      </c>
      <c r="H19" s="1982">
        <f t="shared" si="1"/>
        <v>2.2126500250145185</v>
      </c>
      <c r="I19" s="482"/>
      <c r="J19" s="630"/>
      <c r="K19" s="437"/>
    </row>
    <row r="20" spans="2:11" ht="16.5" customHeight="1">
      <c r="B20" s="1987" t="s">
        <v>105</v>
      </c>
      <c r="C20" s="1981">
        <f>5459707+1222</f>
        <v>5460929</v>
      </c>
      <c r="D20" s="1989"/>
      <c r="E20" s="1981">
        <f t="shared" si="0"/>
        <v>5460929</v>
      </c>
      <c r="F20" s="1982">
        <f>(C20/$C$33)*100</f>
        <v>4.3774278768299384</v>
      </c>
      <c r="G20" s="1983"/>
      <c r="H20" s="1982">
        <f t="shared" si="1"/>
        <v>2.3386035118855708</v>
      </c>
      <c r="I20" s="396"/>
      <c r="J20" s="630"/>
      <c r="K20" s="437"/>
    </row>
    <row r="21" spans="2:11" ht="16.5" customHeight="1">
      <c r="B21" s="1987" t="s">
        <v>106</v>
      </c>
      <c r="C21" s="1981">
        <v>1004700</v>
      </c>
      <c r="D21" s="1989"/>
      <c r="E21" s="1981">
        <f t="shared" si="0"/>
        <v>1004700</v>
      </c>
      <c r="F21" s="1982">
        <f>(C21/$C$33)*100</f>
        <v>0.80535780411190827</v>
      </c>
      <c r="G21" s="1983"/>
      <c r="H21" s="1982">
        <f t="shared" si="1"/>
        <v>0.43025553864396193</v>
      </c>
      <c r="I21" s="396"/>
      <c r="J21" s="630"/>
      <c r="K21" s="437"/>
    </row>
    <row r="22" spans="2:11" ht="16.5" customHeight="1">
      <c r="B22" s="1987" t="s">
        <v>107</v>
      </c>
      <c r="C22" s="1981">
        <v>4420081</v>
      </c>
      <c r="D22" s="1989"/>
      <c r="E22" s="1981">
        <f t="shared" si="0"/>
        <v>4420081</v>
      </c>
      <c r="F22" s="1982">
        <f>(C22/$C$33)*100</f>
        <v>3.5430941854849887</v>
      </c>
      <c r="G22" s="1983"/>
      <c r="H22" s="1982">
        <f t="shared" si="1"/>
        <v>1.8928678525977329</v>
      </c>
      <c r="I22" s="396"/>
      <c r="J22" s="630"/>
      <c r="K22" s="437"/>
    </row>
    <row r="23" spans="2:11" ht="16.5" customHeight="1">
      <c r="B23" s="1987" t="s">
        <v>108</v>
      </c>
      <c r="C23" s="1989"/>
      <c r="D23" s="1992">
        <v>6562651</v>
      </c>
      <c r="E23" s="1981">
        <f t="shared" si="0"/>
        <v>6562651</v>
      </c>
      <c r="F23" s="1983"/>
      <c r="G23" s="1986">
        <v>6.03</v>
      </c>
      <c r="H23" s="1982">
        <f t="shared" si="1"/>
        <v>2.8104080232281636</v>
      </c>
      <c r="I23" s="482"/>
      <c r="J23" s="630"/>
      <c r="K23" s="437"/>
    </row>
    <row r="24" spans="2:11" ht="16.5" customHeight="1">
      <c r="B24" s="1987" t="s">
        <v>109</v>
      </c>
      <c r="C24" s="1981">
        <v>40370</v>
      </c>
      <c r="D24" s="1992">
        <v>413070</v>
      </c>
      <c r="E24" s="1981">
        <f t="shared" si="0"/>
        <v>453440</v>
      </c>
      <c r="F24" s="1982">
        <f>(C24/$C$33)*100</f>
        <v>3.2360201604456788E-2</v>
      </c>
      <c r="G24" s="1986">
        <v>0.38</v>
      </c>
      <c r="H24" s="1982">
        <f t="shared" si="1"/>
        <v>0.19418241409646475</v>
      </c>
      <c r="I24" s="396"/>
      <c r="J24" s="630"/>
      <c r="K24" s="437"/>
    </row>
    <row r="25" spans="2:11" ht="16.5" customHeight="1">
      <c r="B25" s="1987" t="s">
        <v>110</v>
      </c>
      <c r="C25" s="1988"/>
      <c r="D25" s="1992">
        <v>13365348</v>
      </c>
      <c r="E25" s="1981">
        <f t="shared" si="0"/>
        <v>13365348</v>
      </c>
      <c r="F25" s="1982">
        <f>(C25/$C$33)*100</f>
        <v>0</v>
      </c>
      <c r="G25" s="1986">
        <v>12.29</v>
      </c>
      <c r="H25" s="1982">
        <f>+(E25/$E$33)*100</f>
        <v>5.723614017023988</v>
      </c>
      <c r="I25" s="482"/>
      <c r="J25" s="630"/>
      <c r="K25" s="437"/>
    </row>
    <row r="26" spans="2:11" ht="16.5" customHeight="1">
      <c r="B26" s="1984" t="s">
        <v>111</v>
      </c>
      <c r="C26" s="1989"/>
      <c r="D26" s="1992">
        <v>2027885</v>
      </c>
      <c r="E26" s="1981">
        <f t="shared" si="0"/>
        <v>2027885</v>
      </c>
      <c r="F26" s="1983"/>
      <c r="G26" s="1986">
        <v>1.86</v>
      </c>
      <c r="H26" s="1982">
        <f t="shared" si="1"/>
        <v>0.86842714539963251</v>
      </c>
      <c r="I26" s="482"/>
      <c r="J26" s="630"/>
      <c r="K26" s="437"/>
    </row>
    <row r="27" spans="2:11" ht="16.149999999999999" customHeight="1">
      <c r="B27" s="1984" t="s">
        <v>112</v>
      </c>
      <c r="C27" s="1989"/>
      <c r="D27" s="1992">
        <v>5634586</v>
      </c>
      <c r="E27" s="1981">
        <f t="shared" si="0"/>
        <v>5634586</v>
      </c>
      <c r="F27" s="1983"/>
      <c r="G27" s="1986">
        <v>5.18</v>
      </c>
      <c r="H27" s="1982">
        <f t="shared" si="1"/>
        <v>2.4129708713702867</v>
      </c>
      <c r="I27" s="482"/>
      <c r="J27" s="630"/>
      <c r="K27" s="437"/>
    </row>
    <row r="28" spans="2:11" ht="16.5" customHeight="1">
      <c r="B28" s="1984" t="s">
        <v>113</v>
      </c>
      <c r="C28" s="1981">
        <v>1247855</v>
      </c>
      <c r="D28" s="1993"/>
      <c r="E28" s="1981">
        <f t="shared" si="0"/>
        <v>1247855</v>
      </c>
      <c r="F28" s="1982">
        <f>(C28/$C$33)*100</f>
        <v>1.0002685006967904</v>
      </c>
      <c r="G28" s="1983"/>
      <c r="H28" s="1982">
        <f t="shared" si="1"/>
        <v>0.53438491606903671</v>
      </c>
      <c r="I28" s="396"/>
      <c r="J28" s="630"/>
      <c r="K28" s="437"/>
    </row>
    <row r="29" spans="2:11" ht="16.5" customHeight="1">
      <c r="B29" s="1987" t="s">
        <v>114</v>
      </c>
      <c r="C29" s="1989"/>
      <c r="D29" s="1992">
        <v>868306</v>
      </c>
      <c r="E29" s="1981">
        <f t="shared" si="0"/>
        <v>868306</v>
      </c>
      <c r="F29" s="1983"/>
      <c r="G29" s="1986">
        <v>0.8</v>
      </c>
      <c r="H29" s="1982">
        <f t="shared" si="1"/>
        <v>0.37184579052232908</v>
      </c>
      <c r="I29" s="482"/>
      <c r="J29" s="630"/>
      <c r="K29" s="437"/>
    </row>
    <row r="30" spans="2:11" ht="16.5" customHeight="1">
      <c r="B30" s="1987" t="s">
        <v>115</v>
      </c>
      <c r="C30" s="1981">
        <v>21975988</v>
      </c>
      <c r="D30" s="1992">
        <v>20382188</v>
      </c>
      <c r="E30" s="1981">
        <f t="shared" si="0"/>
        <v>42358176</v>
      </c>
      <c r="F30" s="1982">
        <f>(C30/$C$33)*100</f>
        <v>17.615739463391705</v>
      </c>
      <c r="G30" s="1986">
        <v>18.739999999999998</v>
      </c>
      <c r="H30" s="1982">
        <f t="shared" si="1"/>
        <v>18.139583787056576</v>
      </c>
      <c r="I30" s="396"/>
      <c r="J30" s="630"/>
      <c r="K30" s="437"/>
    </row>
    <row r="31" spans="2:11" ht="16.5" customHeight="1">
      <c r="B31" s="1987" t="s">
        <v>116</v>
      </c>
      <c r="C31" s="1981">
        <v>20053302</v>
      </c>
      <c r="D31" s="1989"/>
      <c r="E31" s="1981">
        <f t="shared" si="0"/>
        <v>20053302</v>
      </c>
      <c r="F31" s="1982">
        <f>(C31/$C$33)*100</f>
        <v>16.074532959005612</v>
      </c>
      <c r="G31" s="1983"/>
      <c r="H31" s="1982">
        <f t="shared" si="1"/>
        <v>8.587682147506758</v>
      </c>
      <c r="I31" s="396"/>
      <c r="J31" s="630"/>
      <c r="K31" s="437"/>
    </row>
    <row r="32" spans="2:11" ht="16.5" customHeight="1">
      <c r="B32" s="1987" t="s">
        <v>117</v>
      </c>
      <c r="C32" s="1981">
        <v>15406161</v>
      </c>
      <c r="D32" s="1989"/>
      <c r="E32" s="1981">
        <f t="shared" si="0"/>
        <v>15406161</v>
      </c>
      <c r="F32" s="1982">
        <f>(C32/$C$33)*100</f>
        <v>12.349429673290057</v>
      </c>
      <c r="G32" s="1983"/>
      <c r="H32" s="1982">
        <f t="shared" si="1"/>
        <v>6.5975774853096443</v>
      </c>
      <c r="I32" s="396"/>
      <c r="J32" s="630"/>
      <c r="K32" s="437"/>
    </row>
    <row r="33" spans="2:11" s="295" customFormat="1" ht="16.5" customHeight="1">
      <c r="B33" s="1994" t="s">
        <v>118</v>
      </c>
      <c r="C33" s="1995">
        <f>SUM(C6:C32)</f>
        <v>124752004</v>
      </c>
      <c r="D33" s="1995">
        <f>SUM(D6:D32)</f>
        <v>108760388</v>
      </c>
      <c r="E33" s="1996">
        <f>+C33+D33</f>
        <v>233512392</v>
      </c>
      <c r="F33" s="1995">
        <f>SUM(F6:F32)</f>
        <v>99.999999999999986</v>
      </c>
      <c r="G33" s="1995">
        <f t="shared" ref="G33" si="2">SUM(G6:G32)</f>
        <v>99.990000000000009</v>
      </c>
      <c r="H33" s="1996">
        <f>SUM(H6:H32)</f>
        <v>100</v>
      </c>
      <c r="I33" s="553"/>
      <c r="J33" s="630"/>
      <c r="K33" s="437"/>
    </row>
    <row r="34" spans="2:11">
      <c r="E34" s="396"/>
    </row>
    <row r="35" spans="2:11">
      <c r="B35" s="626"/>
      <c r="E35" s="293"/>
      <c r="F35" s="444"/>
      <c r="H35" s="292">
        <v>1</v>
      </c>
    </row>
    <row r="36" spans="2:11">
      <c r="B36" s="626"/>
      <c r="C36" s="396"/>
      <c r="D36" s="396"/>
      <c r="E36" s="627"/>
    </row>
    <row r="38" spans="2:11">
      <c r="B38" s="37"/>
    </row>
    <row r="39" spans="2:11">
      <c r="G39" s="292" t="s">
        <v>119</v>
      </c>
    </row>
    <row r="41" spans="2:11">
      <c r="E41" s="396"/>
      <c r="F41" s="396"/>
      <c r="G41" s="396"/>
      <c r="H41" s="396"/>
    </row>
    <row r="42" spans="2:11">
      <c r="E42" s="593"/>
      <c r="I42" s="471"/>
    </row>
    <row r="67" spans="3:4">
      <c r="C67" s="437"/>
      <c r="D67" s="437"/>
    </row>
  </sheetData>
  <mergeCells count="3">
    <mergeCell ref="B2:H2"/>
    <mergeCell ref="B4:B5"/>
    <mergeCell ref="C4:H4"/>
  </mergeCells>
  <pageMargins left="0.7" right="0.7" top="0.31" bottom="0.75" header="0.3" footer="0.3"/>
  <pageSetup paperSize="9" scale="85"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autoPageBreaks="0"/>
  </sheetPr>
  <dimension ref="A1:AP134"/>
  <sheetViews>
    <sheetView zoomScaleNormal="100" zoomScaleSheetLayoutView="82" workbookViewId="0">
      <pane xSplit="5" ySplit="6" topLeftCell="F7" activePane="bottomRight" state="frozen"/>
      <selection pane="topRight" activeCell="F1" sqref="F1"/>
      <selection pane="bottomLeft" activeCell="A7" sqref="A7"/>
      <selection pane="bottomRight" activeCell="Q7" sqref="Q7:Q21"/>
    </sheetView>
  </sheetViews>
  <sheetFormatPr defaultColWidth="9.140625" defaultRowHeight="15"/>
  <cols>
    <col min="1" max="1" width="2.7109375" customWidth="1"/>
    <col min="2" max="2" width="14.42578125" customWidth="1"/>
    <col min="3" max="3" width="14.42578125" hidden="1" customWidth="1"/>
    <col min="4" max="4" width="12.42578125" hidden="1" customWidth="1"/>
    <col min="5" max="5" width="11" hidden="1" customWidth="1"/>
    <col min="6" max="6" width="13.5703125" customWidth="1"/>
    <col min="7" max="7" width="11.28515625" hidden="1" customWidth="1"/>
    <col min="8" max="8" width="11" hidden="1" customWidth="1"/>
    <col min="9" max="9" width="11.28515625" bestFit="1" customWidth="1"/>
    <col min="10" max="10" width="12.7109375" customWidth="1"/>
    <col min="11" max="11" width="12.28515625" customWidth="1"/>
    <col min="12" max="12" width="11.7109375" customWidth="1"/>
    <col min="13" max="13" width="11.140625" customWidth="1"/>
    <col min="14" max="14" width="7.140625" customWidth="1"/>
    <col min="15" max="15" width="11.42578125" customWidth="1"/>
    <col min="16" max="16" width="7.5703125" customWidth="1"/>
    <col min="17" max="17" width="11.140625" customWidth="1"/>
    <col min="18" max="18" width="7.5703125" customWidth="1"/>
    <col min="20" max="20" width="4.28515625" customWidth="1"/>
    <col min="21" max="21" width="14.28515625" customWidth="1"/>
    <col min="22" max="22" width="11.140625" hidden="1" customWidth="1"/>
    <col min="23" max="23" width="11.140625" customWidth="1"/>
    <col min="24" max="24" width="12.85546875" customWidth="1"/>
    <col min="25" max="31" width="12.28515625" customWidth="1"/>
    <col min="32" max="32" width="10.5703125" customWidth="1"/>
    <col min="33" max="34" width="9.140625" hidden="1" customWidth="1"/>
    <col min="35" max="35" width="11" customWidth="1"/>
  </cols>
  <sheetData>
    <row r="1" spans="1:42">
      <c r="B1" s="201" t="s">
        <v>593</v>
      </c>
      <c r="C1" s="42"/>
    </row>
    <row r="2" spans="1:42" ht="15.75" thickBot="1">
      <c r="B2" s="202" t="s">
        <v>594</v>
      </c>
      <c r="K2" s="3"/>
      <c r="L2" s="3"/>
      <c r="M2" s="3"/>
      <c r="N2" s="3"/>
      <c r="O2" s="3"/>
      <c r="P2" s="3"/>
      <c r="Q2" s="3"/>
      <c r="R2" s="3"/>
    </row>
    <row r="3" spans="1:42" s="39" customFormat="1" ht="31.5" customHeight="1" thickBot="1">
      <c r="B3" s="203" t="s">
        <v>595</v>
      </c>
      <c r="C3" s="203"/>
      <c r="D3" s="203"/>
      <c r="E3" s="203"/>
      <c r="F3" s="3787" t="s">
        <v>595</v>
      </c>
      <c r="G3" s="3787"/>
      <c r="H3" s="3787"/>
      <c r="I3" s="3787"/>
      <c r="J3" s="3787"/>
      <c r="K3" s="3787"/>
      <c r="L3" s="3787"/>
      <c r="M3" s="3787"/>
      <c r="N3" s="3787"/>
      <c r="O3" s="3787"/>
      <c r="P3" s="3787"/>
      <c r="Q3" s="218"/>
      <c r="R3" s="218"/>
      <c r="U3" s="3788" t="s">
        <v>596</v>
      </c>
      <c r="V3" s="3789"/>
      <c r="W3" s="3789"/>
      <c r="X3" s="3789"/>
      <c r="Y3" s="3789"/>
      <c r="Z3" s="3789"/>
      <c r="AA3" s="3789"/>
      <c r="AB3" s="3789"/>
      <c r="AC3" s="3789"/>
      <c r="AD3" s="3789"/>
      <c r="AE3" s="351"/>
      <c r="AG3" s="3790" t="s">
        <v>597</v>
      </c>
      <c r="AH3" s="3791"/>
      <c r="AI3" s="3791"/>
      <c r="AJ3" s="3791"/>
      <c r="AK3" s="3791"/>
      <c r="AL3" s="3791"/>
      <c r="AM3" s="3791"/>
      <c r="AN3" s="3792"/>
    </row>
    <row r="4" spans="1:42">
      <c r="B4" s="2954" t="s">
        <v>83</v>
      </c>
      <c r="C4" s="2954">
        <v>2006</v>
      </c>
      <c r="D4" s="3793">
        <v>2007</v>
      </c>
      <c r="E4" s="3794"/>
      <c r="F4" s="2954" t="s">
        <v>83</v>
      </c>
      <c r="G4" s="3795">
        <v>2008</v>
      </c>
      <c r="H4" s="3796"/>
      <c r="I4" s="3795">
        <v>2009</v>
      </c>
      <c r="J4" s="3796"/>
      <c r="K4" s="3797">
        <v>2010</v>
      </c>
      <c r="L4" s="3797"/>
      <c r="M4" s="3798">
        <v>2011</v>
      </c>
      <c r="N4" s="3798"/>
      <c r="O4" s="3798" t="s">
        <v>206</v>
      </c>
      <c r="P4" s="3798"/>
      <c r="Q4" s="3798" t="s">
        <v>207</v>
      </c>
      <c r="R4" s="3798"/>
      <c r="U4" s="352" t="s">
        <v>83</v>
      </c>
      <c r="V4" s="91">
        <v>2006</v>
      </c>
      <c r="W4" s="352" t="s">
        <v>83</v>
      </c>
      <c r="X4" s="167">
        <v>2007</v>
      </c>
      <c r="Y4" s="167">
        <v>2008</v>
      </c>
      <c r="Z4" s="167"/>
      <c r="AA4" s="167">
        <v>2009</v>
      </c>
      <c r="AB4" s="167">
        <v>2010</v>
      </c>
      <c r="AC4" s="168">
        <v>2011</v>
      </c>
      <c r="AD4" s="168" t="s">
        <v>206</v>
      </c>
      <c r="AE4" s="93" t="s">
        <v>207</v>
      </c>
      <c r="AG4" s="348" t="s">
        <v>83</v>
      </c>
      <c r="AH4" s="353">
        <v>2006</v>
      </c>
      <c r="AI4" s="353"/>
      <c r="AJ4" s="167">
        <v>2007</v>
      </c>
      <c r="AK4" s="167">
        <v>2008</v>
      </c>
      <c r="AL4" s="167">
        <v>2009</v>
      </c>
      <c r="AM4" s="167">
        <v>2010</v>
      </c>
      <c r="AN4" s="168">
        <v>2011</v>
      </c>
      <c r="AO4" s="168" t="s">
        <v>206</v>
      </c>
      <c r="AP4" s="168" t="s">
        <v>207</v>
      </c>
    </row>
    <row r="5" spans="1:42" ht="24.75" customHeight="1">
      <c r="B5" s="2955"/>
      <c r="C5" s="2955"/>
      <c r="D5" s="2956" t="s">
        <v>138</v>
      </c>
      <c r="E5" s="2957" t="s">
        <v>139</v>
      </c>
      <c r="F5" s="2957"/>
      <c r="G5" s="2956" t="s">
        <v>138</v>
      </c>
      <c r="H5" s="2957" t="s">
        <v>139</v>
      </c>
      <c r="I5" s="2956" t="s">
        <v>138</v>
      </c>
      <c r="J5" s="2957" t="s">
        <v>139</v>
      </c>
      <c r="K5" s="2956" t="s">
        <v>138</v>
      </c>
      <c r="L5" s="2957" t="s">
        <v>139</v>
      </c>
      <c r="M5" s="2957" t="s">
        <v>138</v>
      </c>
      <c r="N5" s="2957" t="s">
        <v>139</v>
      </c>
      <c r="O5" s="2957" t="s">
        <v>138</v>
      </c>
      <c r="P5" s="2957" t="s">
        <v>139</v>
      </c>
      <c r="Q5" s="2957" t="s">
        <v>138</v>
      </c>
      <c r="R5" s="2957" t="s">
        <v>139</v>
      </c>
      <c r="S5" s="2957" t="s">
        <v>598</v>
      </c>
      <c r="U5" s="24"/>
      <c r="V5" s="24"/>
      <c r="W5" s="24"/>
      <c r="X5" s="2958" t="s">
        <v>138</v>
      </c>
      <c r="Y5" s="2958" t="s">
        <v>138</v>
      </c>
      <c r="Z5" s="2958"/>
      <c r="AA5" s="2958" t="s">
        <v>138</v>
      </c>
      <c r="AB5" s="2958" t="s">
        <v>138</v>
      </c>
      <c r="AC5" s="2958" t="s">
        <v>138</v>
      </c>
      <c r="AD5" s="2958" t="s">
        <v>138</v>
      </c>
      <c r="AE5" s="2958" t="s">
        <v>138</v>
      </c>
      <c r="AG5" s="169"/>
      <c r="AH5" s="169"/>
      <c r="AI5" s="169"/>
      <c r="AJ5" s="2959" t="s">
        <v>138</v>
      </c>
      <c r="AK5" s="2959" t="s">
        <v>138</v>
      </c>
      <c r="AL5" s="2959" t="s">
        <v>138</v>
      </c>
      <c r="AM5" s="2959" t="s">
        <v>138</v>
      </c>
      <c r="AN5" s="2959" t="s">
        <v>138</v>
      </c>
      <c r="AO5" s="2959" t="s">
        <v>138</v>
      </c>
      <c r="AP5" s="2959" t="s">
        <v>138</v>
      </c>
    </row>
    <row r="6" spans="1:42">
      <c r="B6" s="2955"/>
      <c r="C6" s="2955"/>
      <c r="D6" s="2954" t="s">
        <v>140</v>
      </c>
      <c r="E6" s="2954" t="s">
        <v>157</v>
      </c>
      <c r="F6" s="2954"/>
      <c r="G6" s="2954" t="s">
        <v>140</v>
      </c>
      <c r="H6" s="2954" t="s">
        <v>141</v>
      </c>
      <c r="I6" s="2954" t="s">
        <v>140</v>
      </c>
      <c r="J6" s="2954" t="s">
        <v>141</v>
      </c>
      <c r="K6" s="2954" t="s">
        <v>140</v>
      </c>
      <c r="L6" s="2954" t="s">
        <v>141</v>
      </c>
      <c r="M6" s="2954" t="s">
        <v>140</v>
      </c>
      <c r="N6" s="2954" t="s">
        <v>141</v>
      </c>
      <c r="O6" s="2954" t="s">
        <v>140</v>
      </c>
      <c r="P6" s="2954" t="s">
        <v>141</v>
      </c>
      <c r="Q6" s="2954" t="s">
        <v>140</v>
      </c>
      <c r="R6" s="2954" t="s">
        <v>141</v>
      </c>
      <c r="U6" s="25"/>
      <c r="V6" s="25"/>
      <c r="W6" s="25"/>
      <c r="X6" s="26" t="s">
        <v>140</v>
      </c>
      <c r="Y6" s="26" t="s">
        <v>140</v>
      </c>
      <c r="Z6" s="26" t="s">
        <v>599</v>
      </c>
      <c r="AA6" s="26" t="s">
        <v>140</v>
      </c>
      <c r="AB6" s="26" t="s">
        <v>140</v>
      </c>
      <c r="AC6" s="26" t="s">
        <v>140</v>
      </c>
      <c r="AD6" s="26" t="s">
        <v>140</v>
      </c>
      <c r="AE6" s="26" t="s">
        <v>140</v>
      </c>
      <c r="AF6" s="352" t="s">
        <v>600</v>
      </c>
      <c r="AG6" s="170"/>
      <c r="AH6" s="170"/>
      <c r="AI6" s="170"/>
      <c r="AJ6" s="171" t="s">
        <v>140</v>
      </c>
      <c r="AK6" s="171" t="s">
        <v>140</v>
      </c>
      <c r="AL6" s="171" t="s">
        <v>140</v>
      </c>
      <c r="AM6" s="171" t="s">
        <v>140</v>
      </c>
      <c r="AN6" s="171" t="s">
        <v>140</v>
      </c>
      <c r="AO6" s="171" t="s">
        <v>140</v>
      </c>
      <c r="AP6" s="171" t="s">
        <v>140</v>
      </c>
    </row>
    <row r="7" spans="1:42">
      <c r="A7">
        <v>1</v>
      </c>
      <c r="B7" s="2960" t="s">
        <v>179</v>
      </c>
      <c r="C7" s="2960"/>
      <c r="D7" s="2961">
        <v>3788103</v>
      </c>
      <c r="E7" s="2962">
        <f t="shared" ref="E7:E21" si="0">(D7/D$22)*100</f>
        <v>18.294912408464963</v>
      </c>
      <c r="F7" s="2963" t="s">
        <v>125</v>
      </c>
      <c r="G7" s="2961">
        <v>4342218</v>
      </c>
      <c r="H7" s="2962">
        <f>(G7/G$22)*100</f>
        <v>18.389289463382525</v>
      </c>
      <c r="I7" s="2964">
        <v>4632490</v>
      </c>
      <c r="J7" s="2965">
        <f t="shared" ref="J7:J17" si="1">(I7/I$22)*100</f>
        <v>19.298005165339198</v>
      </c>
      <c r="K7" s="2964">
        <v>7783925</v>
      </c>
      <c r="L7" s="2965">
        <f>(K7/K$22)*100</f>
        <v>24.986850325428559</v>
      </c>
      <c r="M7" s="2961">
        <v>7846447</v>
      </c>
      <c r="N7" s="2965">
        <f>(M7/M$22)*100</f>
        <v>22.315226302988211</v>
      </c>
      <c r="O7" s="2961">
        <f>+'[1]P &amp; L LI 2013 &amp; 12'!H144</f>
        <v>6495863</v>
      </c>
      <c r="P7" s="2965">
        <f t="shared" ref="P7:P17" si="2">(O7/O$22)*100</f>
        <v>17.333066860338516</v>
      </c>
      <c r="Q7" s="2961">
        <f>+'[1]P &amp; L LI 2013 &amp; 12'!E144</f>
        <v>6863047</v>
      </c>
      <c r="R7" s="2965">
        <f>(Q7/Q$22)*100</f>
        <v>16.615226841919561</v>
      </c>
      <c r="S7" s="2966">
        <f>+(Q7-O7)/O7*100</f>
        <v>5.6525822665902901</v>
      </c>
      <c r="T7">
        <v>1</v>
      </c>
      <c r="U7" s="2967" t="s">
        <v>183</v>
      </c>
      <c r="V7" s="2967"/>
      <c r="W7" s="2968" t="s">
        <v>128</v>
      </c>
      <c r="X7" s="2969">
        <f t="shared" ref="X7:X12" si="3">VLOOKUP(U7,$B$7:$D$21,3,0)</f>
        <v>6847185</v>
      </c>
      <c r="Y7" s="2969">
        <f t="shared" ref="Y7:Y12" si="4">VLOOKUP(W7,$F$7:$G$21,2,0)</f>
        <v>8257279</v>
      </c>
      <c r="Z7" s="2969">
        <f>VLOOKUP(W7,F72:M86,8,0)</f>
        <v>0</v>
      </c>
      <c r="AA7" s="2969">
        <f t="shared" ref="AA7:AA12" si="5">VLOOKUP(W7,$F$7:$I$21,4,0)</f>
        <v>7522328</v>
      </c>
      <c r="AB7" s="2969">
        <f t="shared" ref="AB7:AB12" si="6">VLOOKUP(W7,$F$7:$K$21,6,0)</f>
        <v>8786120</v>
      </c>
      <c r="AC7" s="2969">
        <f t="shared" ref="AC7:AC12" si="7">VLOOKUP(W7,$F$7:$M$21,8,0)</f>
        <v>9815942.7451399993</v>
      </c>
      <c r="AD7" s="2969">
        <f t="shared" ref="AD7:AD12" si="8">VLOOKUP(W7,$F$7:$O$21,10,0)</f>
        <v>10829470</v>
      </c>
      <c r="AE7" s="2969">
        <f t="shared" ref="AE7:AE12" si="9">VLOOKUP(W7,$F$7:$Q$21,12,0)</f>
        <v>11122906.218729999</v>
      </c>
      <c r="AF7">
        <f>VLOOKUP(W7,F72:R86,12,0)</f>
        <v>1</v>
      </c>
      <c r="AG7" s="2089" t="s">
        <v>183</v>
      </c>
      <c r="AI7" s="354" t="s">
        <v>128</v>
      </c>
      <c r="AJ7" s="355">
        <f>+X7/$D$22*100</f>
        <v>33.068966134119151</v>
      </c>
      <c r="AK7" s="355">
        <f>+Y7/$G$22*100</f>
        <v>34.969569402298504</v>
      </c>
      <c r="AL7" s="355">
        <f>+AA7/$I$22*100</f>
        <v>31.3364787834136</v>
      </c>
      <c r="AM7" s="355">
        <f>+AB7/$K$22*100+0.01</f>
        <v>28.213954352239309</v>
      </c>
      <c r="AN7" s="355">
        <f>+AC7/$M$22*100-0.01</f>
        <v>27.906454891618385</v>
      </c>
      <c r="AO7" s="356">
        <f>+AD7/$O$22*100</f>
        <v>28.896534236025325</v>
      </c>
      <c r="AP7" s="356">
        <f>+AE7/$Q$22*100</f>
        <v>26.928215698595199</v>
      </c>
    </row>
    <row r="8" spans="1:42">
      <c r="A8">
        <v>2</v>
      </c>
      <c r="B8" s="2960" t="s">
        <v>178</v>
      </c>
      <c r="C8" s="2960"/>
      <c r="D8" s="2961">
        <v>0</v>
      </c>
      <c r="E8" s="2962">
        <f t="shared" si="0"/>
        <v>0</v>
      </c>
      <c r="F8" s="2963" t="s">
        <v>93</v>
      </c>
      <c r="G8" s="2961">
        <v>4013</v>
      </c>
      <c r="H8" s="2962">
        <f>(G8/G$22)*100</f>
        <v>1.6995051518959681E-2</v>
      </c>
      <c r="I8" s="2964">
        <v>101816</v>
      </c>
      <c r="J8" s="2965">
        <f t="shared" si="1"/>
        <v>0.42414461637568046</v>
      </c>
      <c r="K8" s="2964">
        <v>204813.75133999999</v>
      </c>
      <c r="L8" s="2965">
        <f>(K8/K$22)*100</f>
        <v>0.65746401067869009</v>
      </c>
      <c r="M8" s="2961">
        <v>351299.33501599997</v>
      </c>
      <c r="N8" s="2965">
        <f>(M8/M$22)*100</f>
        <v>0.9990922210997295</v>
      </c>
      <c r="O8" s="2961">
        <f>+'[1]P &amp; L LI 2013 &amp; 12'!H110</f>
        <v>532141.81854000001</v>
      </c>
      <c r="P8" s="2965">
        <f t="shared" si="2"/>
        <v>1.4199267626081318</v>
      </c>
      <c r="Q8" s="2961">
        <f>+'[1]P &amp; L LI 2013 &amp; 12'!E110</f>
        <v>828789.90813200013</v>
      </c>
      <c r="R8" s="2965">
        <f t="shared" ref="R8:R17" si="10">(Q8/Q$22)*100</f>
        <v>2.006475014364153</v>
      </c>
      <c r="S8" s="2966">
        <f>+(Q8-O8)/O8*100</f>
        <v>55.746058523626765</v>
      </c>
      <c r="T8">
        <v>2</v>
      </c>
      <c r="U8" s="2967" t="s">
        <v>179</v>
      </c>
      <c r="V8" s="2967"/>
      <c r="W8" s="2968" t="s">
        <v>125</v>
      </c>
      <c r="X8" s="2969">
        <f t="shared" si="3"/>
        <v>3788103</v>
      </c>
      <c r="Y8" s="2969">
        <f t="shared" si="4"/>
        <v>4342218</v>
      </c>
      <c r="Z8" s="2969">
        <f>VLOOKUP(W8,F73:M87,8,0)</f>
        <v>0</v>
      </c>
      <c r="AA8" s="2969">
        <f t="shared" si="5"/>
        <v>4632490</v>
      </c>
      <c r="AB8" s="2969">
        <f t="shared" si="6"/>
        <v>7783925</v>
      </c>
      <c r="AC8" s="2969">
        <f t="shared" si="7"/>
        <v>7846447</v>
      </c>
      <c r="AD8" s="2969">
        <f t="shared" si="8"/>
        <v>6495863</v>
      </c>
      <c r="AE8" s="2969">
        <f t="shared" si="9"/>
        <v>6863047</v>
      </c>
      <c r="AF8">
        <f>VLOOKUP(W9,F74:S88,12,0)</f>
        <v>2</v>
      </c>
      <c r="AG8" s="2089" t="s">
        <v>193</v>
      </c>
      <c r="AI8" s="354" t="s">
        <v>115</v>
      </c>
      <c r="AJ8" s="355">
        <f>+X9/$D$22*100</f>
        <v>21.625041673190985</v>
      </c>
      <c r="AK8" s="355">
        <f>+Y9/$G$22*100</f>
        <v>19.048683063321111</v>
      </c>
      <c r="AL8" s="355">
        <f>+AA9/$I$22*100</f>
        <v>20.07854919055319</v>
      </c>
      <c r="AM8" s="355">
        <f>+AB9/$K$22*100</f>
        <v>19.29199565899334</v>
      </c>
      <c r="AN8" s="355">
        <f>+AC9/$M$22*100</f>
        <v>19.177240244143764</v>
      </c>
      <c r="AO8" s="356">
        <f>+AD9/$O$22*100</f>
        <v>19.662962850370686</v>
      </c>
      <c r="AP8" s="356">
        <f>+AE9/Q22*100</f>
        <v>19.537136580879157</v>
      </c>
    </row>
    <row r="9" spans="1:42">
      <c r="A9">
        <v>3</v>
      </c>
      <c r="B9" s="2960" t="s">
        <v>180</v>
      </c>
      <c r="C9" s="2960"/>
      <c r="D9" s="2961">
        <v>130986</v>
      </c>
      <c r="E9" s="2962">
        <f t="shared" si="0"/>
        <v>0.63260618751263942</v>
      </c>
      <c r="F9" s="2963" t="s">
        <v>126</v>
      </c>
      <c r="G9" s="2961">
        <v>188676</v>
      </c>
      <c r="H9" s="2962">
        <f>(G9/G$22)*100</f>
        <v>0.79904269633472147</v>
      </c>
      <c r="I9" s="2964">
        <v>207097</v>
      </c>
      <c r="J9" s="2965">
        <f t="shared" si="1"/>
        <v>0.86272371353769839</v>
      </c>
      <c r="K9" s="2964">
        <v>240155.78</v>
      </c>
      <c r="L9" s="2965">
        <f>(K9/K$22)*100</f>
        <v>0.77091397073411538</v>
      </c>
      <c r="M9" s="2961">
        <v>303786.40899999999</v>
      </c>
      <c r="N9" s="2965">
        <f>(M9/M$22)*100</f>
        <v>0.86396587711701034</v>
      </c>
      <c r="O9" s="2961">
        <f>+'[1]P &amp; L LI 2013 &amp; 12'!H178</f>
        <v>364758.88936999999</v>
      </c>
      <c r="P9" s="2965">
        <f t="shared" si="2"/>
        <v>0.97329488281280419</v>
      </c>
      <c r="Q9" s="2961">
        <f>+'[1]P &amp; L LI 2013 &amp; 12'!E178</f>
        <v>542986.16200000001</v>
      </c>
      <c r="R9" s="2965">
        <f t="shared" si="10"/>
        <v>1.3145528879014354</v>
      </c>
      <c r="S9" s="2966">
        <f>+(Q9-O9)/O9*100</f>
        <v>48.861666658166584</v>
      </c>
      <c r="T9">
        <v>3</v>
      </c>
      <c r="U9" s="2967" t="s">
        <v>193</v>
      </c>
      <c r="V9" s="2967"/>
      <c r="W9" s="2968" t="s">
        <v>115</v>
      </c>
      <c r="X9" s="2969">
        <f t="shared" si="3"/>
        <v>4477632</v>
      </c>
      <c r="Y9" s="2969">
        <f t="shared" si="4"/>
        <v>4497919</v>
      </c>
      <c r="Z9" s="2969">
        <f>VLOOKUP(W9,F74:M88,8,0)</f>
        <v>0</v>
      </c>
      <c r="AA9" s="2969">
        <f t="shared" si="5"/>
        <v>4819859.7493799999</v>
      </c>
      <c r="AB9" s="2969">
        <f t="shared" si="6"/>
        <v>6009859</v>
      </c>
      <c r="AC9" s="2969">
        <f t="shared" si="7"/>
        <v>6743072.964569998</v>
      </c>
      <c r="AD9" s="2969">
        <f t="shared" si="8"/>
        <v>7369031.3364199949</v>
      </c>
      <c r="AE9" s="2969">
        <f t="shared" si="9"/>
        <v>8069964.2487999983</v>
      </c>
      <c r="AF9">
        <f>VLOOKUP(W8,F73:S87,12,0)</f>
        <v>3</v>
      </c>
      <c r="AG9" s="2089" t="s">
        <v>179</v>
      </c>
      <c r="AI9" s="354" t="s">
        <v>125</v>
      </c>
      <c r="AJ9" s="355">
        <f>+X8/$D$22*100</f>
        <v>18.294912408464963</v>
      </c>
      <c r="AK9" s="355">
        <f>+Y8/$G$22*100</f>
        <v>18.389289463382525</v>
      </c>
      <c r="AL9" s="355">
        <f>+AA8/$I$22*100</f>
        <v>19.298005165339198</v>
      </c>
      <c r="AM9" s="355">
        <f>+AB8/$K$22*100</f>
        <v>24.986850325428559</v>
      </c>
      <c r="AN9" s="355">
        <f>+AC8/$M$22*100</f>
        <v>22.315226302988211</v>
      </c>
      <c r="AO9" s="356">
        <f>+AD8/$O$22*100</f>
        <v>17.333066860338516</v>
      </c>
      <c r="AP9" s="356">
        <f>+AE8/Q22*100</f>
        <v>16.615226841919561</v>
      </c>
    </row>
    <row r="10" spans="1:42">
      <c r="A10">
        <v>4</v>
      </c>
      <c r="B10" s="2960" t="s">
        <v>176</v>
      </c>
      <c r="C10" s="2960"/>
      <c r="D10" s="2961"/>
      <c r="E10" s="2970">
        <f t="shared" si="0"/>
        <v>0</v>
      </c>
      <c r="F10" s="2963" t="s">
        <v>96</v>
      </c>
      <c r="G10" s="2970"/>
      <c r="H10" s="2970">
        <v>0</v>
      </c>
      <c r="I10" s="2970"/>
      <c r="J10" s="2970">
        <f t="shared" si="1"/>
        <v>0</v>
      </c>
      <c r="K10" s="2970"/>
      <c r="L10" s="2970">
        <f>(K10/K$22)*100</f>
        <v>0</v>
      </c>
      <c r="M10" s="2961">
        <v>0</v>
      </c>
      <c r="N10" s="2965">
        <f>(M10/M$22)*100</f>
        <v>0</v>
      </c>
      <c r="O10" s="2961">
        <f>+'[1]P &amp; L LI 2013 &amp; 12'!H76</f>
        <v>101900.14992770001</v>
      </c>
      <c r="P10" s="2965">
        <f t="shared" si="2"/>
        <v>0.27190261121198883</v>
      </c>
      <c r="Q10" s="2961">
        <f>+'[1]P &amp; L LI 2013 &amp; 12'!E76</f>
        <v>206494.24839999998</v>
      </c>
      <c r="R10" s="2965">
        <f t="shared" si="10"/>
        <v>0.49991625858276723</v>
      </c>
      <c r="S10" s="2966">
        <f>+(Q10-O10)/O10*100</f>
        <v>102.64371401466177</v>
      </c>
      <c r="T10">
        <v>4</v>
      </c>
      <c r="U10" s="2967" t="s">
        <v>195</v>
      </c>
      <c r="V10" s="2971"/>
      <c r="W10" s="2968" t="s">
        <v>135</v>
      </c>
      <c r="X10" s="2969">
        <f t="shared" si="3"/>
        <v>2163480</v>
      </c>
      <c r="Y10" s="2969">
        <f t="shared" si="4"/>
        <v>2503887</v>
      </c>
      <c r="Z10" s="2969">
        <f>VLOOKUP(W10,F75:M89,8,0)</f>
        <v>0</v>
      </c>
      <c r="AA10" s="2969">
        <f t="shared" si="5"/>
        <v>2778184</v>
      </c>
      <c r="AB10" s="2969">
        <f t="shared" si="6"/>
        <v>3465505</v>
      </c>
      <c r="AC10" s="2969">
        <f t="shared" si="7"/>
        <v>4471627</v>
      </c>
      <c r="AD10" s="2969">
        <f t="shared" si="8"/>
        <v>5106323</v>
      </c>
      <c r="AE10" s="2969">
        <f t="shared" si="9"/>
        <v>5515063</v>
      </c>
      <c r="AF10">
        <f>VLOOKUP(W10,F75:S89,12,0)</f>
        <v>4</v>
      </c>
      <c r="AG10" s="2089" t="s">
        <v>195</v>
      </c>
      <c r="AI10" s="354" t="s">
        <v>135</v>
      </c>
      <c r="AJ10" s="355">
        <f>+X10/$D$22*100</f>
        <v>10.448680275448103</v>
      </c>
      <c r="AK10" s="355">
        <f>+Y10/$G$22*100</f>
        <v>10.603959273026016</v>
      </c>
      <c r="AL10" s="355">
        <f>+AA10/$I$22*100</f>
        <v>11.57334590733336</v>
      </c>
      <c r="AM10" s="355">
        <f>+AB10/$K$22*100</f>
        <v>11.124471874667895</v>
      </c>
      <c r="AN10" s="355">
        <f>+AC10/$M$22*100</f>
        <v>12.717267885394786</v>
      </c>
      <c r="AO10" s="356">
        <f>+AD10/$O$22*100</f>
        <v>13.625323989973982</v>
      </c>
      <c r="AP10" s="356">
        <f>+AE10/$Q$22*100</f>
        <v>13.351798813628616</v>
      </c>
    </row>
    <row r="11" spans="1:42">
      <c r="A11">
        <v>5</v>
      </c>
      <c r="B11" s="2960" t="s">
        <v>175</v>
      </c>
      <c r="C11" s="2960"/>
      <c r="D11" s="2961">
        <v>890793</v>
      </c>
      <c r="E11" s="2962">
        <f t="shared" si="0"/>
        <v>4.3021480432484891</v>
      </c>
      <c r="F11" s="2963" t="s">
        <v>124</v>
      </c>
      <c r="G11" s="2961">
        <v>970077</v>
      </c>
      <c r="H11" s="2962">
        <f>(G11/G$22)*100</f>
        <v>4.1082752535155374</v>
      </c>
      <c r="I11" s="2964">
        <v>1009031</v>
      </c>
      <c r="J11" s="2965">
        <f t="shared" si="1"/>
        <v>4.2034166182738391</v>
      </c>
      <c r="K11" s="2964">
        <v>1242608.3961700001</v>
      </c>
      <c r="L11" s="2965">
        <f>(K11/K$22)*100</f>
        <v>3.9888449603793239</v>
      </c>
      <c r="M11" s="2961">
        <v>1579190.622</v>
      </c>
      <c r="N11" s="2965">
        <f>(M11/M$22)*100</f>
        <v>4.4912042489405346</v>
      </c>
      <c r="O11" s="2961">
        <f>+'[1]P &amp; L LI 2013 &amp; 12'!H42</f>
        <v>2034084</v>
      </c>
      <c r="P11" s="2965">
        <f t="shared" si="2"/>
        <v>5.4275950665130734</v>
      </c>
      <c r="Q11" s="2961">
        <f>+'[1]P &amp; L LI 2013 &amp; 12'!E42</f>
        <v>2520283</v>
      </c>
      <c r="R11" s="2965">
        <f t="shared" si="10"/>
        <v>6.1015280459005394</v>
      </c>
      <c r="S11" s="2966">
        <f t="shared" ref="S11:S21" si="11">+(Q11-O11)/O11*100</f>
        <v>23.902601859116928</v>
      </c>
      <c r="T11">
        <v>5</v>
      </c>
      <c r="U11" s="357" t="s">
        <v>175</v>
      </c>
      <c r="W11" s="354" t="s">
        <v>124</v>
      </c>
      <c r="X11" s="2969">
        <f t="shared" si="3"/>
        <v>890793</v>
      </c>
      <c r="Y11" s="2969">
        <f t="shared" si="4"/>
        <v>970077</v>
      </c>
      <c r="Z11" s="2969"/>
      <c r="AA11" s="2969">
        <f t="shared" si="5"/>
        <v>1009031</v>
      </c>
      <c r="AB11" s="2969">
        <f t="shared" si="6"/>
        <v>1242608.3961700001</v>
      </c>
      <c r="AC11" s="2969">
        <f t="shared" si="7"/>
        <v>1579190.622</v>
      </c>
      <c r="AD11" s="2969">
        <f t="shared" si="8"/>
        <v>2034084</v>
      </c>
      <c r="AE11" s="2969">
        <f t="shared" si="9"/>
        <v>2520283</v>
      </c>
      <c r="AF11">
        <v>5</v>
      </c>
      <c r="AG11" s="357" t="s">
        <v>175</v>
      </c>
      <c r="AI11" s="354" t="s">
        <v>124</v>
      </c>
      <c r="AK11" s="9">
        <f>+Y11/G22*100</f>
        <v>4.1082752535155374</v>
      </c>
      <c r="AL11" s="9">
        <f>+AA11/I22*100</f>
        <v>4.2034166182738391</v>
      </c>
      <c r="AM11" s="9">
        <f>+AB11/K22*100</f>
        <v>3.9888449603793239</v>
      </c>
      <c r="AN11" s="9">
        <f>+AC11/M22*100</f>
        <v>4.4912042489405346</v>
      </c>
      <c r="AO11" s="9">
        <f>+AD11/O22*100</f>
        <v>5.4275950665130734</v>
      </c>
      <c r="AP11" s="356">
        <f>+AE11/$Q$22*100</f>
        <v>6.1015280459005394</v>
      </c>
    </row>
    <row r="12" spans="1:42">
      <c r="A12">
        <v>6</v>
      </c>
      <c r="B12" s="2960" t="s">
        <v>183</v>
      </c>
      <c r="C12" s="2960"/>
      <c r="D12" s="2961">
        <v>6847185</v>
      </c>
      <c r="E12" s="2962">
        <f t="shared" si="0"/>
        <v>33.068966134119151</v>
      </c>
      <c r="F12" s="2963" t="s">
        <v>128</v>
      </c>
      <c r="G12" s="2961">
        <v>8257279</v>
      </c>
      <c r="H12" s="2962">
        <f>(G12/G$22)*100</f>
        <v>34.969569402298504</v>
      </c>
      <c r="I12" s="2964">
        <v>7522328</v>
      </c>
      <c r="J12" s="2965">
        <f t="shared" si="1"/>
        <v>31.3364787834136</v>
      </c>
      <c r="K12" s="2964">
        <v>8786120</v>
      </c>
      <c r="L12" s="2965">
        <f>(K12/K$22)*100+0.01</f>
        <v>28.213954352239309</v>
      </c>
      <c r="M12" s="2961">
        <v>9815942.7451399993</v>
      </c>
      <c r="N12" s="2965">
        <f>(M12/M$22)*100-0.01</f>
        <v>27.906454891618385</v>
      </c>
      <c r="O12" s="2961">
        <f>+'[1]P &amp; L LI 2013 &amp; 12'!H212</f>
        <v>10829470</v>
      </c>
      <c r="P12" s="2965">
        <f t="shared" si="2"/>
        <v>28.896534236025325</v>
      </c>
      <c r="Q12" s="2961">
        <f>+'[1]P &amp; L LI 2013 &amp; 12'!E212</f>
        <v>11122906.218729999</v>
      </c>
      <c r="R12" s="2965">
        <f t="shared" si="10"/>
        <v>26.928215698595199</v>
      </c>
      <c r="S12" s="2966">
        <f t="shared" si="11"/>
        <v>2.709608307054721</v>
      </c>
      <c r="T12">
        <v>6</v>
      </c>
      <c r="U12" s="2967" t="s">
        <v>187</v>
      </c>
      <c r="V12" s="2967"/>
      <c r="W12" s="2968" t="s">
        <v>132</v>
      </c>
      <c r="X12" s="2969">
        <f t="shared" si="3"/>
        <v>1206033</v>
      </c>
      <c r="Y12" s="2969">
        <f t="shared" si="4"/>
        <v>1426160</v>
      </c>
      <c r="Z12" s="2969">
        <f>VLOOKUP(W12,F76:M90,8,0)</f>
        <v>0</v>
      </c>
      <c r="AA12" s="2969">
        <f t="shared" si="5"/>
        <v>1431628</v>
      </c>
      <c r="AB12" s="2969">
        <f t="shared" si="6"/>
        <v>1685409</v>
      </c>
      <c r="AC12" s="2969">
        <f t="shared" si="7"/>
        <v>1871986.46325</v>
      </c>
      <c r="AD12" s="2969">
        <f t="shared" si="8"/>
        <v>2025075.1086100002</v>
      </c>
      <c r="AE12" s="2969">
        <f t="shared" si="9"/>
        <v>2150506.5177199999</v>
      </c>
      <c r="AF12">
        <f>VLOOKUP(W12,F76:S90,12,0)</f>
        <v>6</v>
      </c>
      <c r="AG12" s="2089" t="s">
        <v>187</v>
      </c>
      <c r="AI12" s="354" t="s">
        <v>366</v>
      </c>
      <c r="AL12" s="9">
        <f>100-(AL7+AL8+AL9+AL10+AL11)</f>
        <v>13.510204335086812</v>
      </c>
      <c r="AM12" s="9">
        <f>100-(AM7+AM8+AM9+AM10+AM11)</f>
        <v>12.393882828291581</v>
      </c>
      <c r="AN12" s="9">
        <f>100-(AN7+AN8+AN9+AN10+AN11)</f>
        <v>13.392606426914313</v>
      </c>
      <c r="AO12" s="9">
        <f>100-(AO7+AO8+AO9+AO10+AO11)</f>
        <v>15.054516996778418</v>
      </c>
      <c r="AP12" s="9">
        <f>100-(AP7+AP8+AP9+AP10+AP11)</f>
        <v>17.46609401907692</v>
      </c>
    </row>
    <row r="13" spans="1:42">
      <c r="A13">
        <v>7</v>
      </c>
      <c r="B13" s="2960" t="s">
        <v>184</v>
      </c>
      <c r="C13" s="2960"/>
      <c r="D13" s="2961">
        <v>100392.815</v>
      </c>
      <c r="E13" s="2962">
        <f t="shared" si="0"/>
        <v>0.48485422832067332</v>
      </c>
      <c r="F13" s="2963" t="s">
        <v>129</v>
      </c>
      <c r="G13" s="2961">
        <v>131003.72199999999</v>
      </c>
      <c r="H13" s="2962">
        <f>(G13/G$22)*100</f>
        <v>0.55480064903201387</v>
      </c>
      <c r="I13" s="2961">
        <v>149401.253</v>
      </c>
      <c r="J13" s="2965">
        <f t="shared" si="1"/>
        <v>0.62237504065894333</v>
      </c>
      <c r="K13" s="2961">
        <v>233539.66399999999</v>
      </c>
      <c r="L13" s="2965">
        <f>(K13/K$22)*100</f>
        <v>0.74967585497276457</v>
      </c>
      <c r="M13" s="2961">
        <v>269578.71580000001</v>
      </c>
      <c r="N13" s="2965">
        <f t="shared" ref="N13:N21" si="12">(M13/M$22)*100</f>
        <v>0.76667949831891347</v>
      </c>
      <c r="O13" s="2961">
        <f>+'[1]P &amp; L LI 2013 &amp; 12'!H246</f>
        <v>312055.98389999999</v>
      </c>
      <c r="P13" s="2965">
        <f t="shared" si="2"/>
        <v>0.83266645757575553</v>
      </c>
      <c r="Q13" s="2961">
        <f>+'[1]P &amp; L LI 2013 &amp; 12'!E246</f>
        <v>337975.97847999999</v>
      </c>
      <c r="R13" s="2965">
        <f t="shared" si="10"/>
        <v>0.81822950499463643</v>
      </c>
      <c r="S13" s="2966">
        <f t="shared" si="11"/>
        <v>8.3062001426981773</v>
      </c>
      <c r="U13" s="2972" t="s">
        <v>118</v>
      </c>
      <c r="V13" s="2973">
        <v>17104186</v>
      </c>
      <c r="W13" s="2974" t="s">
        <v>118</v>
      </c>
      <c r="X13" s="2975"/>
      <c r="Y13" s="2975"/>
      <c r="Z13" s="2975"/>
      <c r="AA13" s="2975"/>
      <c r="AB13" s="2975"/>
      <c r="AC13" s="2975"/>
      <c r="AD13" s="2975"/>
      <c r="AE13" s="2975"/>
      <c r="AG13" s="2094" t="s">
        <v>118</v>
      </c>
    </row>
    <row r="14" spans="1:42">
      <c r="A14">
        <v>8</v>
      </c>
      <c r="B14" s="2960" t="s">
        <v>186</v>
      </c>
      <c r="C14" s="2960"/>
      <c r="D14" s="2961">
        <v>767576</v>
      </c>
      <c r="E14" s="2962">
        <f t="shared" si="0"/>
        <v>3.7070627928648991</v>
      </c>
      <c r="F14" s="2963" t="s">
        <v>131</v>
      </c>
      <c r="G14" s="2961">
        <v>914170</v>
      </c>
      <c r="H14" s="2962">
        <f>(G14/G$22)*100</f>
        <v>3.8715091570115554</v>
      </c>
      <c r="I14" s="2961">
        <v>984866</v>
      </c>
      <c r="J14" s="2965">
        <f t="shared" si="1"/>
        <v>4.1027501743483432</v>
      </c>
      <c r="K14" s="2961">
        <v>1084480</v>
      </c>
      <c r="L14" s="2965">
        <f>(K14/K$22)*100</f>
        <v>3.4812436451945215</v>
      </c>
      <c r="M14" s="2961">
        <v>1290367.39479</v>
      </c>
      <c r="N14" s="2965">
        <f t="shared" si="12"/>
        <v>3.6697935293179427</v>
      </c>
      <c r="O14" s="2961">
        <f>+'[1]P &amp; L LI 2013 &amp; 12'!H280</f>
        <v>1500027.7209900001</v>
      </c>
      <c r="P14" s="2965">
        <f t="shared" si="2"/>
        <v>4.002559903169276</v>
      </c>
      <c r="Q14" s="2961">
        <f>+'[1]P &amp; L LI 2013 &amp; 12'!E280</f>
        <v>2014547</v>
      </c>
      <c r="R14" s="2965">
        <f t="shared" si="10"/>
        <v>4.8771566606943724</v>
      </c>
      <c r="S14" s="2966">
        <f t="shared" si="11"/>
        <v>34.300651368657604</v>
      </c>
      <c r="U14" s="2976" t="s">
        <v>601</v>
      </c>
      <c r="V14" s="3353"/>
      <c r="W14" s="3354" t="s">
        <v>601</v>
      </c>
      <c r="X14" s="3355">
        <f>+D23</f>
        <v>21.056756603325045</v>
      </c>
      <c r="Y14" s="3356">
        <f>+G23</f>
        <v>14.039480356386793</v>
      </c>
      <c r="Z14" s="3356"/>
      <c r="AA14" s="3356">
        <f>+I23</f>
        <v>1.6612388871432187</v>
      </c>
      <c r="AB14" s="3356">
        <f>+K23</f>
        <v>29.773212388164644</v>
      </c>
      <c r="AC14" s="3356">
        <f>+M23</f>
        <v>12.871584749204711</v>
      </c>
      <c r="AD14" s="3356">
        <f>+O23</f>
        <v>6.5834305410152814</v>
      </c>
      <c r="AE14" s="2977">
        <f>+Q23</f>
        <v>10.217169456511401</v>
      </c>
      <c r="AG14" s="3357" t="s">
        <v>601</v>
      </c>
      <c r="AI14" s="354" t="s">
        <v>132</v>
      </c>
      <c r="AJ14" s="355">
        <f>+X12/$D$22*100</f>
        <v>5.8246220065078029</v>
      </c>
      <c r="AK14" s="355">
        <f>+Y12/$G$22*100</f>
        <v>6.0397863628904913</v>
      </c>
      <c r="AL14" s="355">
        <f>+AA12/$I$22*100</f>
        <v>5.9638692234293496</v>
      </c>
      <c r="AM14" s="355">
        <f>+AB12/$K$22*100</f>
        <v>5.410260558796522</v>
      </c>
      <c r="AN14" s="355">
        <f>+AC12/$M$22*100</f>
        <v>5.323913047976272</v>
      </c>
      <c r="AO14" s="356">
        <f>+AD12/$O$22*100</f>
        <v>5.403556425796606</v>
      </c>
      <c r="AP14" s="356">
        <f>+AE12/$Q$22*100</f>
        <v>5.2063104940042386</v>
      </c>
    </row>
    <row r="15" spans="1:42">
      <c r="A15">
        <v>9</v>
      </c>
      <c r="B15" s="2960" t="s">
        <v>187</v>
      </c>
      <c r="C15" s="2960"/>
      <c r="D15" s="2961">
        <v>1206033</v>
      </c>
      <c r="E15" s="2962">
        <f t="shared" si="0"/>
        <v>5.8246220065078029</v>
      </c>
      <c r="F15" s="2963" t="s">
        <v>132</v>
      </c>
      <c r="G15" s="2961">
        <v>1426160</v>
      </c>
      <c r="H15" s="2962">
        <f>(G15/G$22)*100+0.01</f>
        <v>6.0497863628904911</v>
      </c>
      <c r="I15" s="2961">
        <v>1431628</v>
      </c>
      <c r="J15" s="2965">
        <f t="shared" si="1"/>
        <v>5.9638692234293496</v>
      </c>
      <c r="K15" s="2961">
        <v>1685409</v>
      </c>
      <c r="L15" s="2965">
        <f>(K15/K$22)*100+0.01</f>
        <v>5.4202605587965218</v>
      </c>
      <c r="M15" s="2961">
        <v>1871986.46325</v>
      </c>
      <c r="N15" s="2965">
        <f t="shared" si="12"/>
        <v>5.323913047976272</v>
      </c>
      <c r="O15" s="2961">
        <f>+'[1]P &amp; L LI 2013 &amp; 12'!H314</f>
        <v>2025075.1086100002</v>
      </c>
      <c r="P15" s="2965">
        <f t="shared" si="2"/>
        <v>5.403556425796606</v>
      </c>
      <c r="Q15" s="2961">
        <f>+'[1]P &amp; L LI 2013 &amp; 12'!E314</f>
        <v>2150506.5177199999</v>
      </c>
      <c r="R15" s="2965">
        <f t="shared" si="10"/>
        <v>5.2063104940042386</v>
      </c>
      <c r="S15" s="2966">
        <f t="shared" si="11"/>
        <v>6.1939139233257894</v>
      </c>
      <c r="U15" s="350"/>
      <c r="V15" s="27"/>
      <c r="W15" s="358"/>
      <c r="X15" s="359"/>
      <c r="Y15" s="100"/>
      <c r="Z15" s="100"/>
      <c r="AA15" s="100"/>
      <c r="AB15" s="100"/>
      <c r="AC15" s="100"/>
      <c r="AD15" s="100"/>
      <c r="AE15" s="2978"/>
      <c r="AI15" s="38" t="s">
        <v>602</v>
      </c>
      <c r="AJ15" s="38"/>
      <c r="AK15" s="360">
        <f>+(Y7-X7)/X7*100</f>
        <v>20.593776858665276</v>
      </c>
      <c r="AL15" s="360">
        <f>+(AA7-Y7)/Y7*100</f>
        <v>-8.9006439046082857</v>
      </c>
      <c r="AM15" s="360">
        <f t="shared" ref="AM15:AP18" si="13">+(AB7-AA7)/AA7*100</f>
        <v>16.80054366148352</v>
      </c>
      <c r="AN15" s="360">
        <f t="shared" si="13"/>
        <v>11.721018437490033</v>
      </c>
      <c r="AO15" s="360">
        <f t="shared" si="13"/>
        <v>10.325317508211947</v>
      </c>
      <c r="AP15" s="361">
        <f t="shared" si="13"/>
        <v>2.709608307054721</v>
      </c>
    </row>
    <row r="16" spans="1:42">
      <c r="A16">
        <v>10</v>
      </c>
      <c r="B16" s="2960" t="s">
        <v>188</v>
      </c>
      <c r="C16" s="2960"/>
      <c r="D16" s="2961">
        <v>254238</v>
      </c>
      <c r="E16" s="2962">
        <f t="shared" si="0"/>
        <v>1.2278604728813645</v>
      </c>
      <c r="F16" s="2963" t="s">
        <v>106</v>
      </c>
      <c r="G16" s="2961">
        <v>255099</v>
      </c>
      <c r="H16" s="2962">
        <f t="shared" ref="H16:H21" si="14">(G16/G$22)*100</f>
        <v>1.0803440437166947</v>
      </c>
      <c r="I16" s="2961">
        <v>251150</v>
      </c>
      <c r="J16" s="2965">
        <f t="shared" si="1"/>
        <v>1.0462394948019185</v>
      </c>
      <c r="K16" s="2961">
        <v>252656</v>
      </c>
      <c r="L16" s="2965">
        <f>(K16/K$22)*100</f>
        <v>0.81104040131700617</v>
      </c>
      <c r="M16" s="2961">
        <v>295859</v>
      </c>
      <c r="N16" s="2965">
        <f t="shared" si="12"/>
        <v>0.84142039559762394</v>
      </c>
      <c r="O16" s="2961">
        <f>+'[1]P &amp; L LI 2013 &amp; 12'!H348</f>
        <v>303344</v>
      </c>
      <c r="P16" s="2965">
        <f t="shared" si="2"/>
        <v>0.8094200622276867</v>
      </c>
      <c r="Q16" s="2961">
        <f>+'[1]P &amp; L LI 2013 &amp; 12'!E348</f>
        <v>322712</v>
      </c>
      <c r="R16" s="2965">
        <f t="shared" si="10"/>
        <v>0.78127588002960568</v>
      </c>
      <c r="S16" s="2966">
        <f t="shared" si="11"/>
        <v>6.3848304235455453</v>
      </c>
      <c r="AI16" s="38" t="s">
        <v>603</v>
      </c>
      <c r="AJ16" s="38"/>
      <c r="AK16" s="360">
        <f>+(Y8-X8)/X8*100</f>
        <v>14.627770153029102</v>
      </c>
      <c r="AL16" s="360">
        <f>+(AA8-Y8)/Y8*100</f>
        <v>6.6848785574561198</v>
      </c>
      <c r="AM16" s="360">
        <f t="shared" si="13"/>
        <v>68.028964984274126</v>
      </c>
      <c r="AN16" s="360">
        <f t="shared" si="13"/>
        <v>0.803219455480365</v>
      </c>
      <c r="AO16" s="360">
        <f t="shared" si="13"/>
        <v>-17.212682377131969</v>
      </c>
      <c r="AP16" s="361">
        <f t="shared" si="13"/>
        <v>5.6525822665902901</v>
      </c>
    </row>
    <row r="17" spans="1:42">
      <c r="A17">
        <v>11</v>
      </c>
      <c r="B17" s="2960" t="s">
        <v>189</v>
      </c>
      <c r="C17" s="2960"/>
      <c r="D17" s="2970">
        <v>0</v>
      </c>
      <c r="E17" s="2970">
        <f t="shared" si="0"/>
        <v>0</v>
      </c>
      <c r="F17" s="2963" t="s">
        <v>133</v>
      </c>
      <c r="G17" s="2970">
        <v>0</v>
      </c>
      <c r="H17" s="2970">
        <f t="shared" si="14"/>
        <v>0</v>
      </c>
      <c r="I17" s="2970">
        <v>0</v>
      </c>
      <c r="J17" s="2970">
        <f t="shared" si="1"/>
        <v>0</v>
      </c>
      <c r="K17" s="2961">
        <v>0</v>
      </c>
      <c r="L17" s="2965">
        <f>(K17/K$22)*100</f>
        <v>0</v>
      </c>
      <c r="M17" s="2961">
        <v>51426.839</v>
      </c>
      <c r="N17" s="2965">
        <f t="shared" si="12"/>
        <v>0.14625747810854262</v>
      </c>
      <c r="O17" s="2961">
        <f>+'[1]P &amp; L LI 2013 &amp; 12'!H382</f>
        <v>106237.90670000001</v>
      </c>
      <c r="P17" s="2965">
        <f t="shared" si="2"/>
        <v>0.28347715152451725</v>
      </c>
      <c r="Q17" s="2961">
        <f>+'[1]P &amp; L LI 2013 &amp; 12'!E382</f>
        <v>274797.61674999999</v>
      </c>
      <c r="R17" s="2965">
        <f t="shared" si="10"/>
        <v>0.66527662391356546</v>
      </c>
      <c r="S17" s="2966">
        <f>+(Q17-O17)/O17*100</f>
        <v>158.66249184105959</v>
      </c>
      <c r="AI17" s="38" t="s">
        <v>604</v>
      </c>
      <c r="AJ17" s="38"/>
      <c r="AK17" s="360">
        <f>+(Y9-X9)/X9*100</f>
        <v>0.45307430356045336</v>
      </c>
      <c r="AL17" s="360">
        <f>+(AA9-Y9)/Y9*100</f>
        <v>7.157548843809769</v>
      </c>
      <c r="AM17" s="360">
        <f t="shared" si="13"/>
        <v>24.689499539339813</v>
      </c>
      <c r="AN17" s="360">
        <f t="shared" si="13"/>
        <v>12.20018580419271</v>
      </c>
      <c r="AO17" s="360">
        <f t="shared" si="13"/>
        <v>9.2829838137442433</v>
      </c>
      <c r="AP17" s="361">
        <f t="shared" si="13"/>
        <v>9.5118731401748793</v>
      </c>
    </row>
    <row r="18" spans="1:42">
      <c r="A18">
        <v>12</v>
      </c>
      <c r="B18" s="2960" t="s">
        <v>190</v>
      </c>
      <c r="C18" s="2960"/>
      <c r="D18" s="2961">
        <v>23813</v>
      </c>
      <c r="E18" s="2962">
        <f t="shared" si="0"/>
        <v>0.11500657431510607</v>
      </c>
      <c r="F18" s="2963" t="s">
        <v>109</v>
      </c>
      <c r="G18" s="2961">
        <v>52637</v>
      </c>
      <c r="H18" s="2962">
        <f t="shared" si="14"/>
        <v>0.2229176493405135</v>
      </c>
      <c r="I18" s="2961">
        <v>55606</v>
      </c>
      <c r="J18" s="2965">
        <f>(I18/I$22)*100+0.01</f>
        <v>0.24164321460464061</v>
      </c>
      <c r="K18" s="2961">
        <v>89984</v>
      </c>
      <c r="L18" s="2965">
        <f>(K18/K$22)*100-0.01</f>
        <v>0.27885385453782807</v>
      </c>
      <c r="M18" s="2961">
        <v>143156</v>
      </c>
      <c r="N18" s="2965">
        <f t="shared" si="12"/>
        <v>0.40713440575467852</v>
      </c>
      <c r="O18" s="2961">
        <f>+'[1]P &amp; L LI 2013 &amp; 12'!H416</f>
        <v>192780</v>
      </c>
      <c r="P18" s="2965">
        <f>(O18/O$22)*100</f>
        <v>0.51439949231319371</v>
      </c>
      <c r="Q18" s="2961">
        <f>+'[1]P &amp; L LI 2013 &amp; 12'!E416</f>
        <v>251719.53922999999</v>
      </c>
      <c r="R18" s="2965">
        <f>(Q18/Q$22)*100</f>
        <v>0.60940530421107708</v>
      </c>
      <c r="S18" s="2966">
        <f t="shared" si="11"/>
        <v>30.573471952484692</v>
      </c>
      <c r="U18" s="15" t="s">
        <v>605</v>
      </c>
      <c r="AI18" s="38" t="s">
        <v>606</v>
      </c>
      <c r="AJ18" s="38"/>
      <c r="AK18" s="360">
        <f>+(Y10-X10)/X10*100</f>
        <v>15.734233734538799</v>
      </c>
      <c r="AL18" s="360">
        <f>+(AA10-Y10)/Y10*100</f>
        <v>10.954847403257416</v>
      </c>
      <c r="AM18" s="360">
        <f t="shared" si="13"/>
        <v>24.73993803146228</v>
      </c>
      <c r="AN18" s="360">
        <f t="shared" si="13"/>
        <v>29.032478671939586</v>
      </c>
      <c r="AO18" s="360">
        <f t="shared" si="13"/>
        <v>14.193849352819454</v>
      </c>
      <c r="AP18" s="361">
        <f t="shared" si="13"/>
        <v>8.0045856871960499</v>
      </c>
    </row>
    <row r="19" spans="1:42">
      <c r="A19">
        <v>13</v>
      </c>
      <c r="B19" s="2960" t="s">
        <v>194</v>
      </c>
      <c r="C19" s="2960"/>
      <c r="D19" s="2961">
        <v>55541</v>
      </c>
      <c r="E19" s="2962">
        <f t="shared" si="0"/>
        <v>0.26823920312582644</v>
      </c>
      <c r="F19" s="2963" t="s">
        <v>134</v>
      </c>
      <c r="G19" s="2961">
        <v>69617</v>
      </c>
      <c r="H19" s="2962">
        <f t="shared" si="14"/>
        <v>0.29482793461136708</v>
      </c>
      <c r="I19" s="2964">
        <v>61563</v>
      </c>
      <c r="J19" s="2965">
        <f>(I19/I$22)*100</f>
        <v>0.25645885733024293</v>
      </c>
      <c r="K19" s="2964">
        <v>73030</v>
      </c>
      <c r="L19" s="2965">
        <f>(K19/K$22)*100</f>
        <v>0.23443053206011721</v>
      </c>
      <c r="M19" s="2961">
        <v>128113.201</v>
      </c>
      <c r="N19" s="2965">
        <f t="shared" si="12"/>
        <v>0.36435281761480265</v>
      </c>
      <c r="O19" s="2961">
        <f>+'[1]P &amp; L LI 2013 &amp; 12'!H484</f>
        <v>203615.92386000001</v>
      </c>
      <c r="P19" s="2965">
        <f>(O19/O$22)*100</f>
        <v>0.54331324753846821</v>
      </c>
      <c r="Q19" s="2961">
        <f>+'[1]P &amp; L LI 2013 &amp; 12'!E484</f>
        <v>283975.24881000002</v>
      </c>
      <c r="R19" s="2965">
        <f>(Q19/Q$22)*100</f>
        <v>0.68749539038107976</v>
      </c>
      <c r="S19" s="2966">
        <f>+(Q19-O19)/O19*100</f>
        <v>39.466129871675747</v>
      </c>
      <c r="U19" s="2979"/>
      <c r="V19" s="2979"/>
      <c r="W19" s="2980">
        <v>2009</v>
      </c>
      <c r="X19" s="2980">
        <v>2013</v>
      </c>
      <c r="Y19" s="2980" t="s">
        <v>607</v>
      </c>
      <c r="Z19" s="195"/>
      <c r="AI19" s="38" t="s">
        <v>608</v>
      </c>
      <c r="AJ19" s="38"/>
      <c r="AK19" s="360">
        <f>+(Y12-X12)/X12*100</f>
        <v>18.252153962619598</v>
      </c>
      <c r="AL19" s="360">
        <f>+(AA12-Y12)/Y12*100</f>
        <v>0.38340719133898016</v>
      </c>
      <c r="AM19" s="360">
        <f>+(AB12-AA12)/AA12*100</f>
        <v>17.726741863109691</v>
      </c>
      <c r="AN19" s="360">
        <f>+(AC12-AB12)/AB12*100</f>
        <v>11.07015942421098</v>
      </c>
      <c r="AO19" s="360">
        <f>+(AD12-AC12)/AC12*100</f>
        <v>8.1778713877139566</v>
      </c>
      <c r="AP19" s="361">
        <f>+(AE12-AD12)/AD12*100</f>
        <v>6.1939139233257894</v>
      </c>
    </row>
    <row r="20" spans="1:42">
      <c r="A20">
        <v>14</v>
      </c>
      <c r="B20" s="2960" t="s">
        <v>193</v>
      </c>
      <c r="C20" s="2960"/>
      <c r="D20" s="2961">
        <v>4477632</v>
      </c>
      <c r="E20" s="2962">
        <f t="shared" si="0"/>
        <v>21.625041673190985</v>
      </c>
      <c r="F20" s="2963" t="s">
        <v>115</v>
      </c>
      <c r="G20" s="2961">
        <v>4497919</v>
      </c>
      <c r="H20" s="2962">
        <f t="shared" si="14"/>
        <v>19.048683063321111</v>
      </c>
      <c r="I20" s="2964">
        <v>4819859.7493799999</v>
      </c>
      <c r="J20" s="2965">
        <f>(I20/I$22)*100</f>
        <v>20.07854919055319</v>
      </c>
      <c r="K20" s="2964">
        <v>6009859</v>
      </c>
      <c r="L20" s="2965">
        <f>(K20/K$22)*100</f>
        <v>19.29199565899334</v>
      </c>
      <c r="M20" s="2961">
        <v>6743072.964569998</v>
      </c>
      <c r="N20" s="2965">
        <f t="shared" si="12"/>
        <v>19.177240244143764</v>
      </c>
      <c r="O20" s="2961">
        <f>+'[1]P &amp; L LI 2013 &amp; 12'!H450</f>
        <v>7369031.3364199949</v>
      </c>
      <c r="P20" s="2965">
        <f>(O20/O$22)*100</f>
        <v>19.662962850370686</v>
      </c>
      <c r="Q20" s="2961">
        <f>+'[1]P &amp; L LI 2013 &amp; 12'!E450</f>
        <v>8069964.2487999983</v>
      </c>
      <c r="R20" s="2965">
        <f>(Q20/Q$22)*100</f>
        <v>19.537136580879157</v>
      </c>
      <c r="S20" s="2966">
        <f>+(Q20-O20)/O20*100</f>
        <v>9.5118731401748793</v>
      </c>
      <c r="U20" s="2979" t="s">
        <v>609</v>
      </c>
      <c r="V20" s="2979"/>
      <c r="W20" s="2981">
        <f>+AL7+AL8+AL9+AL10+AL14</f>
        <v>88.25024827006871</v>
      </c>
      <c r="X20" s="2982">
        <f>+AP7+AP8+AP9+AP10+AP11</f>
        <v>82.53390598092308</v>
      </c>
      <c r="Y20" s="2983">
        <f>+X20-W20</f>
        <v>-5.7163422891456293</v>
      </c>
    </row>
    <row r="21" spans="1:42">
      <c r="A21">
        <v>15</v>
      </c>
      <c r="B21" s="2960" t="s">
        <v>195</v>
      </c>
      <c r="C21" s="2960"/>
      <c r="D21" s="2961">
        <v>2163480</v>
      </c>
      <c r="E21" s="2962">
        <f t="shared" si="0"/>
        <v>10.448680275448103</v>
      </c>
      <c r="F21" s="2963" t="s">
        <v>135</v>
      </c>
      <c r="G21" s="2961">
        <v>2503887</v>
      </c>
      <c r="H21" s="2962">
        <f t="shared" si="14"/>
        <v>10.603959273026016</v>
      </c>
      <c r="I21" s="2964">
        <v>2778184</v>
      </c>
      <c r="J21" s="2965">
        <f>(I21/I$22)*100</f>
        <v>11.57334590733336</v>
      </c>
      <c r="K21" s="2964">
        <v>3465505</v>
      </c>
      <c r="L21" s="2965">
        <f>(K21/K$22)*100</f>
        <v>11.124471874667895</v>
      </c>
      <c r="M21" s="2961">
        <v>4471627</v>
      </c>
      <c r="N21" s="2965">
        <f t="shared" si="12"/>
        <v>12.717267885394786</v>
      </c>
      <c r="O21" s="2961">
        <f>+'[1]P &amp; L LI 2013 &amp; 12'!H518</f>
        <v>5106323</v>
      </c>
      <c r="P21" s="2965">
        <f>(O21/O$22)*100</f>
        <v>13.625323989973982</v>
      </c>
      <c r="Q21" s="2961">
        <f>+'[1]P &amp; L LI 2013 &amp; 12'!E518</f>
        <v>5515063</v>
      </c>
      <c r="R21" s="2965">
        <f>(Q21/Q$22)*100</f>
        <v>13.351798813628616</v>
      </c>
      <c r="S21" s="2966">
        <f t="shared" si="11"/>
        <v>8.0045856871960499</v>
      </c>
      <c r="U21" s="2979" t="s">
        <v>366</v>
      </c>
      <c r="V21" s="2979"/>
      <c r="W21" s="2984">
        <f>100-W20</f>
        <v>11.74975172993129</v>
      </c>
      <c r="X21" s="2982">
        <f>100-X20</f>
        <v>17.46609401907692</v>
      </c>
      <c r="Y21" s="2983">
        <f>+X21-W21</f>
        <v>5.7163422891456293</v>
      </c>
    </row>
    <row r="22" spans="1:42">
      <c r="B22" s="2955" t="s">
        <v>118</v>
      </c>
      <c r="C22" s="2985">
        <v>17104186</v>
      </c>
      <c r="D22" s="2986">
        <f t="shared" ref="D22:N22" si="15">SUM(D7:D21)</f>
        <v>20705772.814999998</v>
      </c>
      <c r="E22" s="2986">
        <f t="shared" si="15"/>
        <v>99.999999999999986</v>
      </c>
      <c r="F22" s="2987"/>
      <c r="G22" s="2986">
        <f t="shared" si="15"/>
        <v>23612755.721999999</v>
      </c>
      <c r="H22" s="2986">
        <f t="shared" si="15"/>
        <v>100.01</v>
      </c>
      <c r="I22" s="2986">
        <f t="shared" si="15"/>
        <v>24005020.002379999</v>
      </c>
      <c r="J22" s="2986">
        <f t="shared" si="15"/>
        <v>100.01</v>
      </c>
      <c r="K22" s="2986">
        <f t="shared" si="15"/>
        <v>31152085.591510002</v>
      </c>
      <c r="L22" s="2986">
        <f t="shared" si="15"/>
        <v>100.00999999999999</v>
      </c>
      <c r="M22" s="2986">
        <f>SUM(M7:M21)-1</f>
        <v>35161852.689566001</v>
      </c>
      <c r="N22" s="2986">
        <f t="shared" si="15"/>
        <v>99.990002843991192</v>
      </c>
      <c r="O22" s="2986">
        <f>SUM(O7:O21)</f>
        <v>37476708.838317692</v>
      </c>
      <c r="P22" s="2986">
        <f>SUM(P7:P21)</f>
        <v>100</v>
      </c>
      <c r="Q22" s="2986">
        <f>SUM(Q7:Q21)</f>
        <v>41305767.687051997</v>
      </c>
      <c r="R22" s="2986">
        <f>SUM(R7:R21)</f>
        <v>100</v>
      </c>
      <c r="AK22" s="166" t="s">
        <v>610</v>
      </c>
    </row>
    <row r="23" spans="1:42">
      <c r="B23" s="3806" t="s">
        <v>601</v>
      </c>
      <c r="C23" s="2955"/>
      <c r="D23" s="3801">
        <f>+((D22-C22)/C22)*100</f>
        <v>21.056756603325045</v>
      </c>
      <c r="E23" s="3801"/>
      <c r="F23" s="3808" t="s">
        <v>611</v>
      </c>
      <c r="G23" s="3801">
        <f>((G22-D22)/D22)*100</f>
        <v>14.039480356386793</v>
      </c>
      <c r="H23" s="3801"/>
      <c r="I23" s="3801">
        <f>((I22-G22)/G22)*100</f>
        <v>1.6612388871432187</v>
      </c>
      <c r="J23" s="3801"/>
      <c r="K23" s="3801">
        <f>((K22-I22)/I22)*100</f>
        <v>29.773212388164644</v>
      </c>
      <c r="L23" s="3801"/>
      <c r="M23" s="3801">
        <f>((M22-K22)/K22)*100</f>
        <v>12.871584749204711</v>
      </c>
      <c r="N23" s="3801"/>
      <c r="O23" s="3801">
        <f>((O22-M22)/M22)*100</f>
        <v>6.5834305410152814</v>
      </c>
      <c r="P23" s="3801"/>
      <c r="Q23" s="3801">
        <f>((Q22-O22)/O22)*100</f>
        <v>10.217169456511401</v>
      </c>
      <c r="R23" s="3801"/>
    </row>
    <row r="24" spans="1:42">
      <c r="B24" s="3807"/>
      <c r="C24" s="2955"/>
      <c r="D24" s="3801"/>
      <c r="E24" s="3801"/>
      <c r="F24" s="3809"/>
      <c r="G24" s="3801"/>
      <c r="H24" s="3801"/>
      <c r="I24" s="3801"/>
      <c r="J24" s="3801"/>
      <c r="K24" s="3801"/>
      <c r="L24" s="3801"/>
      <c r="M24" s="3801"/>
      <c r="N24" s="3801"/>
      <c r="O24" s="3801"/>
      <c r="P24" s="3801"/>
      <c r="Q24" s="3801"/>
      <c r="R24" s="3801"/>
    </row>
    <row r="26" spans="1:42">
      <c r="B26" s="204" t="s">
        <v>612</v>
      </c>
      <c r="C26" s="42"/>
      <c r="F26" s="204" t="s">
        <v>612</v>
      </c>
    </row>
    <row r="27" spans="1:42">
      <c r="B27" s="204" t="s">
        <v>613</v>
      </c>
      <c r="F27" s="204" t="s">
        <v>613</v>
      </c>
    </row>
    <row r="28" spans="1:42">
      <c r="B28" s="42"/>
      <c r="C28" s="42"/>
    </row>
    <row r="29" spans="1:42">
      <c r="G29" s="156">
        <f>+G10+G12+G15+G19+G21</f>
        <v>12256943</v>
      </c>
      <c r="K29" s="157">
        <f>+K10+K12+K15+K19+K21</f>
        <v>14010064</v>
      </c>
    </row>
    <row r="30" spans="1:42">
      <c r="G30" s="9">
        <f>+G29/G22*100</f>
        <v>51.908142972826376</v>
      </c>
      <c r="K30" s="157">
        <f>+K29/K22*100</f>
        <v>44.973117317763844</v>
      </c>
    </row>
    <row r="31" spans="1:42">
      <c r="G31" s="9">
        <f>100-G30</f>
        <v>48.091857027173624</v>
      </c>
      <c r="K31" s="99">
        <f>100-K30</f>
        <v>55.026882682236156</v>
      </c>
    </row>
    <row r="36" spans="4:39">
      <c r="D36" s="166" t="s">
        <v>614</v>
      </c>
    </row>
    <row r="48" spans="4:39">
      <c r="AM48" s="204" t="s">
        <v>612</v>
      </c>
    </row>
    <row r="49" spans="20:39">
      <c r="AM49" s="204" t="s">
        <v>613</v>
      </c>
    </row>
    <row r="57" spans="20:39">
      <c r="T57" s="39"/>
      <c r="U57" s="39"/>
      <c r="V57" s="39"/>
      <c r="W57" s="39"/>
      <c r="X57" s="39"/>
      <c r="Y57" s="39"/>
      <c r="Z57" s="39"/>
      <c r="AA57" s="39"/>
      <c r="AB57" s="39"/>
      <c r="AC57" s="39"/>
      <c r="AD57" s="39"/>
      <c r="AE57" s="39"/>
      <c r="AF57" s="39"/>
    </row>
    <row r="68" spans="1:32" s="39" customFormat="1" ht="36" customHeight="1">
      <c r="B68" s="189" t="s">
        <v>596</v>
      </c>
      <c r="C68" s="190"/>
      <c r="D68" s="190"/>
      <c r="E68" s="190"/>
      <c r="F68" s="3802" t="s">
        <v>596</v>
      </c>
      <c r="G68" s="3802"/>
      <c r="H68" s="3802"/>
      <c r="I68" s="3802"/>
      <c r="J68" s="3802"/>
      <c r="K68" s="3802"/>
      <c r="L68" s="214"/>
      <c r="M68" s="214"/>
      <c r="N68" s="214" t="s">
        <v>615</v>
      </c>
      <c r="O68" s="214" t="s">
        <v>616</v>
      </c>
      <c r="P68" s="214" t="s">
        <v>617</v>
      </c>
      <c r="Q68" s="214" t="s">
        <v>618</v>
      </c>
      <c r="R68" s="214" t="s">
        <v>619</v>
      </c>
      <c r="T68"/>
      <c r="AB68"/>
      <c r="AC68"/>
      <c r="AD68"/>
      <c r="AE68"/>
      <c r="AF68"/>
    </row>
    <row r="69" spans="1:32">
      <c r="B69" s="3803" t="s">
        <v>83</v>
      </c>
      <c r="C69" s="91"/>
      <c r="D69" s="167">
        <v>2007</v>
      </c>
      <c r="F69" s="3805" t="s">
        <v>83</v>
      </c>
      <c r="G69" s="167">
        <v>2008</v>
      </c>
      <c r="H69" s="167">
        <v>2009</v>
      </c>
      <c r="I69" s="2125">
        <v>2010</v>
      </c>
      <c r="J69" s="2988">
        <v>2011</v>
      </c>
      <c r="K69" s="2988" t="s">
        <v>206</v>
      </c>
      <c r="L69" s="2988" t="s">
        <v>207</v>
      </c>
    </row>
    <row r="70" spans="1:32">
      <c r="B70" s="3803"/>
      <c r="C70" s="24"/>
      <c r="D70" s="2958" t="s">
        <v>138</v>
      </c>
      <c r="F70" s="3805"/>
      <c r="G70" s="2958" t="s">
        <v>138</v>
      </c>
      <c r="H70" s="2958" t="s">
        <v>138</v>
      </c>
      <c r="I70" s="2989" t="s">
        <v>138</v>
      </c>
      <c r="J70" s="2989" t="s">
        <v>138</v>
      </c>
      <c r="K70" s="2989" t="s">
        <v>138</v>
      </c>
      <c r="L70" s="2989" t="s">
        <v>138</v>
      </c>
    </row>
    <row r="71" spans="1:32">
      <c r="B71" s="3804"/>
      <c r="C71" s="25"/>
      <c r="D71" s="26" t="s">
        <v>140</v>
      </c>
      <c r="F71" s="3805"/>
      <c r="G71" s="26" t="s">
        <v>140</v>
      </c>
      <c r="H71" s="26" t="s">
        <v>140</v>
      </c>
      <c r="I71" s="2989" t="s">
        <v>140</v>
      </c>
      <c r="J71" s="2989" t="s">
        <v>140</v>
      </c>
      <c r="K71" s="2989" t="s">
        <v>140</v>
      </c>
      <c r="L71" s="2989" t="s">
        <v>140</v>
      </c>
    </row>
    <row r="72" spans="1:32">
      <c r="A72">
        <v>1</v>
      </c>
      <c r="B72" s="2967" t="s">
        <v>175</v>
      </c>
      <c r="C72" s="2967"/>
      <c r="D72" s="2969">
        <f>VLOOKUP(B72,$B$7:$D$21,3,0)</f>
        <v>890793</v>
      </c>
      <c r="F72" s="2990" t="s">
        <v>124</v>
      </c>
      <c r="G72" s="2969">
        <f>VLOOKUP(F72,$F$7:$G$21,2,0)</f>
        <v>970077</v>
      </c>
      <c r="H72" s="2969">
        <f>VLOOKUP(F72,$F$7:$I$21,4,0)</f>
        <v>1009031</v>
      </c>
      <c r="I72" s="2969">
        <f>VLOOKUP(F72,$F$7:$K$21,6,0)</f>
        <v>1242608.3961700001</v>
      </c>
      <c r="J72" s="2969">
        <f>VLOOKUP(F72,$F$7:$M$21,8,0)</f>
        <v>1579190.622</v>
      </c>
      <c r="K72" s="2969">
        <f>VLOOKUP(F72,$F$7:$O$21,10,0)</f>
        <v>2034084</v>
      </c>
      <c r="L72" s="362">
        <f>VLOOKUP(F72,$F$7:$Q$21,12,0)</f>
        <v>2520283</v>
      </c>
      <c r="M72" s="43"/>
      <c r="N72" s="43">
        <f t="shared" ref="N72:N86" si="16">RANK(H72,$H$72:$H$86,0)</f>
        <v>6</v>
      </c>
      <c r="O72" s="43">
        <f t="shared" ref="O72:O86" si="17">RANK(I72,$I$72:$I$86,0)</f>
        <v>6</v>
      </c>
      <c r="P72" s="43">
        <f t="shared" ref="P72:P86" si="18">RANK(J72,$J$72:$J$86,0)</f>
        <v>6</v>
      </c>
      <c r="Q72" s="43">
        <f t="shared" ref="Q72:Q86" si="19">RANK(K72,$K$72:$K$86,0)</f>
        <v>5</v>
      </c>
      <c r="R72" s="43">
        <f>RANK(L72,$L$72:$L$86)</f>
        <v>5</v>
      </c>
    </row>
    <row r="73" spans="1:32">
      <c r="A73">
        <v>2</v>
      </c>
      <c r="B73" s="2967" t="s">
        <v>176</v>
      </c>
      <c r="C73" s="2967"/>
      <c r="D73" s="2969">
        <f t="shared" ref="D73:D86" si="20">VLOOKUP(B73,$B$7:$D$21,3,0)</f>
        <v>0</v>
      </c>
      <c r="F73" s="2990" t="s">
        <v>96</v>
      </c>
      <c r="G73" s="2969">
        <f t="shared" ref="G73:G86" si="21">VLOOKUP(F73,$F$7:$G$21,2,0)</f>
        <v>0</v>
      </c>
      <c r="H73" s="2969">
        <f t="shared" ref="H73:H86" si="22">VLOOKUP(F73,$F$7:$I$21,4,0)</f>
        <v>0</v>
      </c>
      <c r="I73" s="2969">
        <f t="shared" ref="I73:I86" si="23">VLOOKUP(F73,$F$7:$K$21,6,0)</f>
        <v>0</v>
      </c>
      <c r="J73" s="2969">
        <f t="shared" ref="J73:J86" si="24">VLOOKUP(F73,$F$7:$M$21,8,0)</f>
        <v>0</v>
      </c>
      <c r="K73" s="2969">
        <f t="shared" ref="K73:K86" si="25">VLOOKUP(F73,$F$7:$O$21,10,0)</f>
        <v>101900.14992770001</v>
      </c>
      <c r="L73" s="362">
        <f t="shared" ref="L73:L86" si="26">VLOOKUP(F73,$F$7:$Q$21,12,0)</f>
        <v>206494.24839999998</v>
      </c>
      <c r="M73" s="43"/>
      <c r="N73" s="43">
        <f t="shared" si="16"/>
        <v>14</v>
      </c>
      <c r="O73" s="43">
        <f t="shared" si="17"/>
        <v>14</v>
      </c>
      <c r="P73" s="43">
        <f t="shared" si="18"/>
        <v>15</v>
      </c>
      <c r="Q73" s="43">
        <f t="shared" si="19"/>
        <v>15</v>
      </c>
      <c r="R73" s="43">
        <f t="shared" ref="R73:R86" si="27">RANK(L73,$L$72:$L$86)</f>
        <v>15</v>
      </c>
    </row>
    <row r="74" spans="1:32">
      <c r="A74">
        <v>3</v>
      </c>
      <c r="B74" s="2967" t="s">
        <v>178</v>
      </c>
      <c r="C74" s="2967"/>
      <c r="D74" s="2969">
        <f t="shared" si="20"/>
        <v>0</v>
      </c>
      <c r="F74" s="2990" t="s">
        <v>93</v>
      </c>
      <c r="G74" s="2969">
        <f t="shared" si="21"/>
        <v>4013</v>
      </c>
      <c r="H74" s="2969">
        <f t="shared" si="22"/>
        <v>101816</v>
      </c>
      <c r="I74" s="2969">
        <f t="shared" si="23"/>
        <v>204813.75133999999</v>
      </c>
      <c r="J74" s="2969">
        <f t="shared" si="24"/>
        <v>351299.33501599997</v>
      </c>
      <c r="K74" s="2969">
        <f t="shared" si="25"/>
        <v>532141.81854000001</v>
      </c>
      <c r="L74" s="362">
        <f t="shared" si="26"/>
        <v>828789.90813200013</v>
      </c>
      <c r="M74" s="43"/>
      <c r="N74" s="43">
        <f t="shared" si="16"/>
        <v>11</v>
      </c>
      <c r="O74" s="43">
        <f t="shared" si="17"/>
        <v>11</v>
      </c>
      <c r="P74" s="43">
        <f t="shared" si="18"/>
        <v>8</v>
      </c>
      <c r="Q74" s="43">
        <f t="shared" si="19"/>
        <v>8</v>
      </c>
      <c r="R74" s="43">
        <f t="shared" si="27"/>
        <v>8</v>
      </c>
    </row>
    <row r="75" spans="1:32">
      <c r="A75">
        <v>4</v>
      </c>
      <c r="B75" s="2967" t="s">
        <v>179</v>
      </c>
      <c r="C75" s="2967"/>
      <c r="D75" s="2969">
        <f t="shared" si="20"/>
        <v>3788103</v>
      </c>
      <c r="F75" s="2990" t="s">
        <v>125</v>
      </c>
      <c r="G75" s="2969">
        <f t="shared" si="21"/>
        <v>4342218</v>
      </c>
      <c r="H75" s="2969">
        <f t="shared" si="22"/>
        <v>4632490</v>
      </c>
      <c r="I75" s="2969">
        <f t="shared" si="23"/>
        <v>7783925</v>
      </c>
      <c r="J75" s="2969">
        <f t="shared" si="24"/>
        <v>7846447</v>
      </c>
      <c r="K75" s="2969">
        <f t="shared" si="25"/>
        <v>6495863</v>
      </c>
      <c r="L75" s="362">
        <f t="shared" si="26"/>
        <v>6863047</v>
      </c>
      <c r="M75" s="43"/>
      <c r="N75" s="43">
        <f t="shared" si="16"/>
        <v>3</v>
      </c>
      <c r="O75" s="43">
        <f t="shared" si="17"/>
        <v>2</v>
      </c>
      <c r="P75" s="148">
        <f t="shared" si="18"/>
        <v>2</v>
      </c>
      <c r="Q75" s="43">
        <f t="shared" si="19"/>
        <v>3</v>
      </c>
      <c r="R75" s="43">
        <f t="shared" si="27"/>
        <v>3</v>
      </c>
    </row>
    <row r="76" spans="1:32">
      <c r="A76">
        <v>5</v>
      </c>
      <c r="B76" s="2967" t="s">
        <v>180</v>
      </c>
      <c r="C76" s="2967"/>
      <c r="D76" s="2969">
        <f t="shared" si="20"/>
        <v>130986</v>
      </c>
      <c r="F76" s="2990" t="s">
        <v>126</v>
      </c>
      <c r="G76" s="2969">
        <f t="shared" si="21"/>
        <v>188676</v>
      </c>
      <c r="H76" s="2969">
        <f t="shared" si="22"/>
        <v>207097</v>
      </c>
      <c r="I76" s="2969">
        <f t="shared" si="23"/>
        <v>240155.78</v>
      </c>
      <c r="J76" s="2969">
        <f t="shared" si="24"/>
        <v>303786.40899999999</v>
      </c>
      <c r="K76" s="2969">
        <f t="shared" si="25"/>
        <v>364758.88936999999</v>
      </c>
      <c r="L76" s="362">
        <f t="shared" si="26"/>
        <v>542986.16200000001</v>
      </c>
      <c r="M76" s="43"/>
      <c r="N76" s="43">
        <f t="shared" si="16"/>
        <v>9</v>
      </c>
      <c r="O76" s="43">
        <f t="shared" si="17"/>
        <v>9</v>
      </c>
      <c r="P76" s="43">
        <f t="shared" si="18"/>
        <v>9</v>
      </c>
      <c r="Q76" s="43">
        <f t="shared" si="19"/>
        <v>9</v>
      </c>
      <c r="R76" s="43">
        <f t="shared" si="27"/>
        <v>9</v>
      </c>
    </row>
    <row r="77" spans="1:32">
      <c r="A77">
        <v>6</v>
      </c>
      <c r="B77" s="2967" t="s">
        <v>183</v>
      </c>
      <c r="C77" s="2967"/>
      <c r="D77" s="2969">
        <f t="shared" si="20"/>
        <v>6847185</v>
      </c>
      <c r="F77" s="2990" t="s">
        <v>128</v>
      </c>
      <c r="G77" s="2969">
        <f t="shared" si="21"/>
        <v>8257279</v>
      </c>
      <c r="H77" s="2969">
        <f t="shared" si="22"/>
        <v>7522328</v>
      </c>
      <c r="I77" s="2969">
        <f t="shared" si="23"/>
        <v>8786120</v>
      </c>
      <c r="J77" s="2969">
        <f t="shared" si="24"/>
        <v>9815942.7451399993</v>
      </c>
      <c r="K77" s="2969">
        <f t="shared" si="25"/>
        <v>10829470</v>
      </c>
      <c r="L77" s="362">
        <f t="shared" si="26"/>
        <v>11122906.218729999</v>
      </c>
      <c r="M77" s="43"/>
      <c r="N77" s="43">
        <f t="shared" si="16"/>
        <v>1</v>
      </c>
      <c r="O77" s="43">
        <f t="shared" si="17"/>
        <v>1</v>
      </c>
      <c r="P77" s="148">
        <f t="shared" si="18"/>
        <v>1</v>
      </c>
      <c r="Q77" s="43">
        <f t="shared" si="19"/>
        <v>1</v>
      </c>
      <c r="R77" s="43">
        <f t="shared" si="27"/>
        <v>1</v>
      </c>
    </row>
    <row r="78" spans="1:32">
      <c r="A78">
        <v>7</v>
      </c>
      <c r="B78" s="2967" t="s">
        <v>184</v>
      </c>
      <c r="C78" s="2967"/>
      <c r="D78" s="2969">
        <f t="shared" si="20"/>
        <v>100392.815</v>
      </c>
      <c r="F78" s="2990" t="s">
        <v>129</v>
      </c>
      <c r="G78" s="2969">
        <f t="shared" si="21"/>
        <v>131003.72199999999</v>
      </c>
      <c r="H78" s="2969">
        <f t="shared" si="22"/>
        <v>149401.253</v>
      </c>
      <c r="I78" s="2969">
        <f t="shared" si="23"/>
        <v>233539.66399999999</v>
      </c>
      <c r="J78" s="2969">
        <f t="shared" si="24"/>
        <v>269578.71580000001</v>
      </c>
      <c r="K78" s="2969">
        <f t="shared" si="25"/>
        <v>312055.98389999999</v>
      </c>
      <c r="L78" s="362">
        <f t="shared" si="26"/>
        <v>337975.97847999999</v>
      </c>
      <c r="M78" s="43"/>
      <c r="N78" s="43">
        <f t="shared" si="16"/>
        <v>10</v>
      </c>
      <c r="O78" s="43">
        <f t="shared" si="17"/>
        <v>10</v>
      </c>
      <c r="P78" s="43">
        <f t="shared" si="18"/>
        <v>11</v>
      </c>
      <c r="Q78" s="43">
        <f t="shared" si="19"/>
        <v>10</v>
      </c>
      <c r="R78" s="43">
        <f t="shared" si="27"/>
        <v>10</v>
      </c>
    </row>
    <row r="79" spans="1:32">
      <c r="A79">
        <v>8</v>
      </c>
      <c r="B79" s="2967" t="s">
        <v>186</v>
      </c>
      <c r="C79" s="2967"/>
      <c r="D79" s="2969">
        <f t="shared" si="20"/>
        <v>767576</v>
      </c>
      <c r="F79" s="2990" t="s">
        <v>131</v>
      </c>
      <c r="G79" s="2969">
        <f t="shared" si="21"/>
        <v>914170</v>
      </c>
      <c r="H79" s="2969">
        <f t="shared" si="22"/>
        <v>984866</v>
      </c>
      <c r="I79" s="2969">
        <f t="shared" si="23"/>
        <v>1084480</v>
      </c>
      <c r="J79" s="2969">
        <f t="shared" si="24"/>
        <v>1290367.39479</v>
      </c>
      <c r="K79" s="2969">
        <f t="shared" si="25"/>
        <v>1500027.7209900001</v>
      </c>
      <c r="L79" s="362">
        <f t="shared" si="26"/>
        <v>2014547</v>
      </c>
      <c r="M79" s="43"/>
      <c r="N79" s="43">
        <f t="shared" si="16"/>
        <v>7</v>
      </c>
      <c r="O79" s="43">
        <f t="shared" si="17"/>
        <v>7</v>
      </c>
      <c r="P79" s="43">
        <f t="shared" si="18"/>
        <v>7</v>
      </c>
      <c r="Q79" s="43">
        <f t="shared" si="19"/>
        <v>7</v>
      </c>
      <c r="R79" s="43">
        <f t="shared" si="27"/>
        <v>7</v>
      </c>
    </row>
    <row r="80" spans="1:32">
      <c r="A80">
        <v>9</v>
      </c>
      <c r="B80" s="2967" t="s">
        <v>187</v>
      </c>
      <c r="C80" s="2967"/>
      <c r="D80" s="2969">
        <f t="shared" si="20"/>
        <v>1206033</v>
      </c>
      <c r="F80" s="2990" t="s">
        <v>132</v>
      </c>
      <c r="G80" s="2969">
        <f t="shared" si="21"/>
        <v>1426160</v>
      </c>
      <c r="H80" s="2969">
        <f t="shared" si="22"/>
        <v>1431628</v>
      </c>
      <c r="I80" s="2969">
        <f t="shared" si="23"/>
        <v>1685409</v>
      </c>
      <c r="J80" s="2969">
        <f t="shared" si="24"/>
        <v>1871986.46325</v>
      </c>
      <c r="K80" s="2969">
        <f t="shared" si="25"/>
        <v>2025075.1086100002</v>
      </c>
      <c r="L80" s="362">
        <f t="shared" si="26"/>
        <v>2150506.5177199999</v>
      </c>
      <c r="M80" s="43"/>
      <c r="N80" s="43">
        <f t="shared" si="16"/>
        <v>5</v>
      </c>
      <c r="O80" s="43">
        <f t="shared" si="17"/>
        <v>5</v>
      </c>
      <c r="P80" s="148">
        <f t="shared" si="18"/>
        <v>5</v>
      </c>
      <c r="Q80" s="43">
        <f t="shared" si="19"/>
        <v>6</v>
      </c>
      <c r="R80" s="43">
        <f t="shared" si="27"/>
        <v>6</v>
      </c>
    </row>
    <row r="81" spans="1:18">
      <c r="A81">
        <v>10</v>
      </c>
      <c r="B81" s="2967" t="s">
        <v>188</v>
      </c>
      <c r="C81" s="2967"/>
      <c r="D81" s="2969">
        <f t="shared" si="20"/>
        <v>254238</v>
      </c>
      <c r="F81" s="2990" t="s">
        <v>106</v>
      </c>
      <c r="G81" s="2969">
        <f t="shared" si="21"/>
        <v>255099</v>
      </c>
      <c r="H81" s="2969">
        <f t="shared" si="22"/>
        <v>251150</v>
      </c>
      <c r="I81" s="2969">
        <f t="shared" si="23"/>
        <v>252656</v>
      </c>
      <c r="J81" s="2969">
        <f t="shared" si="24"/>
        <v>295859</v>
      </c>
      <c r="K81" s="2969">
        <f t="shared" si="25"/>
        <v>303344</v>
      </c>
      <c r="L81" s="362">
        <f t="shared" si="26"/>
        <v>322712</v>
      </c>
      <c r="M81" s="43"/>
      <c r="N81" s="43">
        <f t="shared" si="16"/>
        <v>8</v>
      </c>
      <c r="O81" s="43">
        <f t="shared" si="17"/>
        <v>8</v>
      </c>
      <c r="P81" s="43">
        <f t="shared" si="18"/>
        <v>10</v>
      </c>
      <c r="Q81" s="43">
        <f t="shared" si="19"/>
        <v>11</v>
      </c>
      <c r="R81" s="43">
        <f t="shared" si="27"/>
        <v>11</v>
      </c>
    </row>
    <row r="82" spans="1:18">
      <c r="A82">
        <v>11</v>
      </c>
      <c r="B82" s="2967" t="s">
        <v>189</v>
      </c>
      <c r="C82" s="2967"/>
      <c r="D82" s="2969">
        <f t="shared" si="20"/>
        <v>0</v>
      </c>
      <c r="F82" s="2990" t="s">
        <v>133</v>
      </c>
      <c r="G82" s="2969">
        <f t="shared" si="21"/>
        <v>0</v>
      </c>
      <c r="H82" s="2969">
        <f t="shared" si="22"/>
        <v>0</v>
      </c>
      <c r="I82" s="2969">
        <f t="shared" si="23"/>
        <v>0</v>
      </c>
      <c r="J82" s="2969">
        <f t="shared" si="24"/>
        <v>51426.839</v>
      </c>
      <c r="K82" s="2969">
        <f t="shared" si="25"/>
        <v>106237.90670000001</v>
      </c>
      <c r="L82" s="362">
        <f t="shared" si="26"/>
        <v>274797.61674999999</v>
      </c>
      <c r="M82" s="43"/>
      <c r="N82" s="43">
        <f t="shared" si="16"/>
        <v>14</v>
      </c>
      <c r="O82" s="43">
        <f t="shared" si="17"/>
        <v>14</v>
      </c>
      <c r="P82" s="43">
        <f t="shared" si="18"/>
        <v>14</v>
      </c>
      <c r="Q82" s="43">
        <f t="shared" si="19"/>
        <v>14</v>
      </c>
      <c r="R82" s="43">
        <f t="shared" si="27"/>
        <v>13</v>
      </c>
    </row>
    <row r="83" spans="1:18">
      <c r="A83">
        <v>12</v>
      </c>
      <c r="B83" s="2967" t="s">
        <v>190</v>
      </c>
      <c r="C83" s="2967"/>
      <c r="D83" s="2969">
        <f t="shared" si="20"/>
        <v>23813</v>
      </c>
      <c r="F83" s="2990" t="s">
        <v>109</v>
      </c>
      <c r="G83" s="2969">
        <f t="shared" si="21"/>
        <v>52637</v>
      </c>
      <c r="H83" s="2969">
        <f t="shared" si="22"/>
        <v>55606</v>
      </c>
      <c r="I83" s="2969">
        <f t="shared" si="23"/>
        <v>89984</v>
      </c>
      <c r="J83" s="2969">
        <f t="shared" si="24"/>
        <v>143156</v>
      </c>
      <c r="K83" s="2969">
        <f t="shared" si="25"/>
        <v>192780</v>
      </c>
      <c r="L83" s="362">
        <f t="shared" si="26"/>
        <v>251719.53922999999</v>
      </c>
      <c r="M83" s="43"/>
      <c r="N83" s="43">
        <f t="shared" si="16"/>
        <v>13</v>
      </c>
      <c r="O83" s="43">
        <f t="shared" si="17"/>
        <v>12</v>
      </c>
      <c r="P83" s="43">
        <f t="shared" si="18"/>
        <v>12</v>
      </c>
      <c r="Q83" s="43">
        <f t="shared" si="19"/>
        <v>13</v>
      </c>
      <c r="R83" s="43">
        <f t="shared" si="27"/>
        <v>14</v>
      </c>
    </row>
    <row r="84" spans="1:18">
      <c r="A84">
        <v>13</v>
      </c>
      <c r="B84" s="2967" t="s">
        <v>193</v>
      </c>
      <c r="C84" s="2967"/>
      <c r="D84" s="2969">
        <f t="shared" si="20"/>
        <v>4477632</v>
      </c>
      <c r="F84" s="2990" t="s">
        <v>115</v>
      </c>
      <c r="G84" s="2969">
        <f t="shared" si="21"/>
        <v>4497919</v>
      </c>
      <c r="H84" s="2969">
        <f t="shared" si="22"/>
        <v>4819859.7493799999</v>
      </c>
      <c r="I84" s="2969">
        <f t="shared" si="23"/>
        <v>6009859</v>
      </c>
      <c r="J84" s="2969">
        <f t="shared" si="24"/>
        <v>6743072.964569998</v>
      </c>
      <c r="K84" s="2969">
        <f t="shared" si="25"/>
        <v>7369031.3364199949</v>
      </c>
      <c r="L84" s="362">
        <f t="shared" si="26"/>
        <v>8069964.2487999983</v>
      </c>
      <c r="M84" s="43"/>
      <c r="N84" s="43">
        <f t="shared" si="16"/>
        <v>2</v>
      </c>
      <c r="O84" s="43">
        <f t="shared" si="17"/>
        <v>3</v>
      </c>
      <c r="P84" s="148">
        <f t="shared" si="18"/>
        <v>3</v>
      </c>
      <c r="Q84" s="43">
        <f t="shared" si="19"/>
        <v>2</v>
      </c>
      <c r="R84" s="43">
        <f t="shared" si="27"/>
        <v>2</v>
      </c>
    </row>
    <row r="85" spans="1:18">
      <c r="A85">
        <v>14</v>
      </c>
      <c r="B85" s="2967" t="s">
        <v>194</v>
      </c>
      <c r="C85" s="2967"/>
      <c r="D85" s="2969">
        <f t="shared" si="20"/>
        <v>55541</v>
      </c>
      <c r="F85" s="2990" t="s">
        <v>134</v>
      </c>
      <c r="G85" s="2969">
        <f t="shared" si="21"/>
        <v>69617</v>
      </c>
      <c r="H85" s="2969">
        <f t="shared" si="22"/>
        <v>61563</v>
      </c>
      <c r="I85" s="2969">
        <f t="shared" si="23"/>
        <v>73030</v>
      </c>
      <c r="J85" s="2969">
        <f t="shared" si="24"/>
        <v>128113.201</v>
      </c>
      <c r="K85" s="2969">
        <f t="shared" si="25"/>
        <v>203615.92386000001</v>
      </c>
      <c r="L85" s="362">
        <f t="shared" si="26"/>
        <v>283975.24881000002</v>
      </c>
      <c r="M85" s="43"/>
      <c r="N85" s="43">
        <f t="shared" si="16"/>
        <v>12</v>
      </c>
      <c r="O85" s="43">
        <f t="shared" si="17"/>
        <v>13</v>
      </c>
      <c r="P85" s="43">
        <f t="shared" si="18"/>
        <v>13</v>
      </c>
      <c r="Q85" s="43">
        <f t="shared" si="19"/>
        <v>12</v>
      </c>
      <c r="R85" s="43">
        <f t="shared" si="27"/>
        <v>12</v>
      </c>
    </row>
    <row r="86" spans="1:18">
      <c r="A86">
        <v>15</v>
      </c>
      <c r="B86" s="2967" t="s">
        <v>195</v>
      </c>
      <c r="C86" s="2967"/>
      <c r="D86" s="2969">
        <f t="shared" si="20"/>
        <v>2163480</v>
      </c>
      <c r="F86" s="2990" t="s">
        <v>135</v>
      </c>
      <c r="G86" s="2969">
        <f t="shared" si="21"/>
        <v>2503887</v>
      </c>
      <c r="H86" s="2969">
        <f t="shared" si="22"/>
        <v>2778184</v>
      </c>
      <c r="I86" s="2969">
        <f t="shared" si="23"/>
        <v>3465505</v>
      </c>
      <c r="J86" s="2969">
        <f t="shared" si="24"/>
        <v>4471627</v>
      </c>
      <c r="K86" s="2969">
        <f t="shared" si="25"/>
        <v>5106323</v>
      </c>
      <c r="L86" s="362">
        <f t="shared" si="26"/>
        <v>5515063</v>
      </c>
      <c r="M86" s="43"/>
      <c r="N86" s="43">
        <f t="shared" si="16"/>
        <v>4</v>
      </c>
      <c r="O86" s="43">
        <f t="shared" si="17"/>
        <v>4</v>
      </c>
      <c r="P86" s="148">
        <f t="shared" si="18"/>
        <v>4</v>
      </c>
      <c r="Q86" s="43">
        <f t="shared" si="19"/>
        <v>4</v>
      </c>
      <c r="R86" s="43">
        <f t="shared" si="27"/>
        <v>4</v>
      </c>
    </row>
    <row r="87" spans="1:18">
      <c r="B87" s="2972" t="s">
        <v>118</v>
      </c>
      <c r="C87" s="3358">
        <f>+C22</f>
        <v>17104186</v>
      </c>
      <c r="D87" s="2991">
        <f>+D22</f>
        <v>20705772.814999998</v>
      </c>
      <c r="F87" s="2972" t="s">
        <v>118</v>
      </c>
      <c r="G87" s="3359">
        <f>SUM(G72:G86)</f>
        <v>23612755.721999999</v>
      </c>
      <c r="H87" s="3359">
        <f>SUM(H72:H86)</f>
        <v>24005020.002379999</v>
      </c>
      <c r="I87" s="3359">
        <f>SUM(I72:I86)</f>
        <v>31152085.591510002</v>
      </c>
      <c r="J87" s="2992">
        <f>SUM(J72:J86)-1</f>
        <v>35161852.689566001</v>
      </c>
      <c r="K87" s="2992">
        <f>SUM(K72:K86)</f>
        <v>37476708.838317692</v>
      </c>
      <c r="L87" s="2992">
        <f>SUM(L72:L86)</f>
        <v>41305767.687051997</v>
      </c>
    </row>
    <row r="88" spans="1:18">
      <c r="B88" s="3353"/>
      <c r="C88" s="3353"/>
      <c r="D88" s="3360"/>
      <c r="F88" s="2928"/>
      <c r="G88" s="3360"/>
      <c r="H88" s="3360"/>
      <c r="I88" s="3360"/>
      <c r="J88" s="2975"/>
      <c r="K88" s="2975"/>
    </row>
    <row r="89" spans="1:18">
      <c r="B89" s="3799" t="s">
        <v>601</v>
      </c>
      <c r="C89" s="3353"/>
      <c r="D89" s="3361">
        <f>+((D87-C87)/C87)*100</f>
        <v>21.056756603325045</v>
      </c>
      <c r="F89" s="3799" t="s">
        <v>601</v>
      </c>
      <c r="G89" s="3362">
        <f>((G87-D87)/D87)*100</f>
        <v>14.039480356386793</v>
      </c>
      <c r="H89" s="3362">
        <f>((H87-G87)/G87)*100</f>
        <v>1.6612388871432187</v>
      </c>
      <c r="I89" s="3362">
        <f>((I87-H87)/H87)*100</f>
        <v>29.773212388164644</v>
      </c>
      <c r="J89" s="3356">
        <f>((J87-I87)/I87)*100</f>
        <v>12.871584749204711</v>
      </c>
      <c r="K89" s="3356">
        <f>((K87-J87)/J87)*100</f>
        <v>6.5834305410152814</v>
      </c>
      <c r="L89" s="3356">
        <f>((L87-K87)/K87)*100</f>
        <v>10.217169456511401</v>
      </c>
    </row>
    <row r="90" spans="1:18">
      <c r="B90" s="3800"/>
      <c r="C90" s="27"/>
      <c r="D90" s="79"/>
      <c r="F90" s="3800"/>
      <c r="G90" s="80"/>
      <c r="H90" s="80"/>
      <c r="I90" s="80"/>
      <c r="J90" s="100"/>
      <c r="K90" s="100"/>
    </row>
    <row r="125" spans="12:12">
      <c r="L125" s="14" t="e">
        <f>+M22+#REF!</f>
        <v>#REF!</v>
      </c>
    </row>
    <row r="129" spans="10:13" ht="15.75" thickBot="1">
      <c r="J129" s="363">
        <v>41305768</v>
      </c>
      <c r="K129" s="363">
        <v>37476709</v>
      </c>
      <c r="L129" s="363">
        <v>53177349</v>
      </c>
      <c r="M129" s="363">
        <v>49694449</v>
      </c>
    </row>
    <row r="131" spans="10:13">
      <c r="J131" s="10">
        <f>+J129+L129</f>
        <v>94483117</v>
      </c>
      <c r="K131" s="10">
        <f>+K129+M129</f>
        <v>87171158</v>
      </c>
    </row>
    <row r="133" spans="10:13">
      <c r="J133" s="10">
        <f>+J131-K131</f>
        <v>7311959</v>
      </c>
      <c r="K133" s="14" t="e">
        <f>+K131-L125</f>
        <v>#REF!</v>
      </c>
    </row>
    <row r="134" spans="10:13">
      <c r="J134">
        <f>+J133/K131*100</f>
        <v>8.3880484873219192</v>
      </c>
      <c r="K134" s="9" t="e">
        <f>+K133/L125*100</f>
        <v>#REF!</v>
      </c>
    </row>
  </sheetData>
  <customSheetViews>
    <customSheetView guid="{5E394B0B-7867-4722-9497-A93AB2A9A773}" hiddenColumns="1" state="hidden">
      <pane xSplit="4" ySplit="6" topLeftCell="F7" activePane="bottomRight" state="frozen"/>
      <selection pane="bottomRight" activeCell="Q7" sqref="Q7:Q21"/>
      <rowBreaks count="1" manualBreakCount="1">
        <brk id="49" max="16383" man="1"/>
      </rowBreaks>
      <colBreaks count="1" manualBreakCount="1">
        <brk id="18" max="1048575" man="1"/>
      </colBreaks>
      <pageMargins left="0" right="0" top="0" bottom="0" header="0" footer="0"/>
      <pageSetup scale="69" orientation="landscape" r:id="rId1"/>
    </customSheetView>
    <customSheetView guid="{B1E1B596-A9A1-411D-A882-A48CB025B978}" hiddenColumns="1" state="hidden">
      <pane xSplit="4" ySplit="6" topLeftCell="F7" activePane="bottomRight" state="frozen"/>
      <selection pane="bottomRight" activeCell="Q7" sqref="Q7:Q21"/>
      <rowBreaks count="1" manualBreakCount="1">
        <brk id="49" max="16383" man="1"/>
      </rowBreaks>
      <colBreaks count="1" manualBreakCount="1">
        <brk id="18" max="1048575" man="1"/>
      </colBreaks>
      <pageMargins left="0" right="0" top="0" bottom="0" header="0" footer="0"/>
      <pageSetup scale="69" orientation="landscape" r:id="rId2"/>
    </customSheetView>
    <customSheetView guid="{46F31544-8E6F-41C5-8628-1D6EE074AF15}" hiddenColumns="1" state="hidden">
      <pane xSplit="4" ySplit="6" topLeftCell="F7" activePane="bottomRight" state="frozen"/>
      <selection pane="bottomRight" activeCell="Q7" sqref="Q7:Q21"/>
      <rowBreaks count="1" manualBreakCount="1">
        <brk id="49" max="16383" man="1"/>
      </rowBreaks>
      <colBreaks count="1" manualBreakCount="1">
        <brk id="18" max="1048575" man="1"/>
      </colBreaks>
      <pageMargins left="0" right="0" top="0" bottom="0" header="0" footer="0"/>
      <pageSetup scale="69" orientation="landscape" r:id="rId3"/>
    </customSheetView>
    <customSheetView guid="{B2E1A0C6-5BA1-4CF1-B412-16D81FCDF11F}" hiddenColumns="1" state="hidden">
      <pane xSplit="4" ySplit="6" topLeftCell="F7" activePane="bottomRight" state="frozen"/>
      <selection pane="bottomRight" activeCell="Q7" sqref="Q7:Q21"/>
      <rowBreaks count="1" manualBreakCount="1">
        <brk id="49" max="16383" man="1"/>
      </rowBreaks>
      <colBreaks count="1" manualBreakCount="1">
        <brk id="18" max="1048575" man="1"/>
      </colBreaks>
      <pageMargins left="0" right="0" top="0" bottom="0" header="0" footer="0"/>
      <pageSetup scale="69" orientation="landscape" r:id="rId4"/>
    </customSheetView>
    <customSheetView guid="{967E0446-E234-427F-8E57-7FE287052E2E}" hiddenColumns="1" state="hidden">
      <pane xSplit="4" ySplit="6" topLeftCell="F7" activePane="bottomRight" state="frozen"/>
      <selection pane="bottomRight" activeCell="Q7" sqref="Q7:Q21"/>
      <rowBreaks count="1" manualBreakCount="1">
        <brk id="49" max="16383" man="1"/>
      </rowBreaks>
      <colBreaks count="1" manualBreakCount="1">
        <brk id="18" max="1048575" man="1"/>
      </colBreaks>
      <pageMargins left="0" right="0" top="0" bottom="0" header="0" footer="0"/>
      <pageSetup scale="69" orientation="landscape" r:id="rId5"/>
    </customSheetView>
    <customSheetView guid="{2ACFE167-4169-43A6-9AB2-59D5A2DA2DB4}" hiddenColumns="1" state="hidden">
      <pane xSplit="4" ySplit="6" topLeftCell="F7" activePane="bottomRight" state="frozen"/>
      <selection pane="bottomRight" activeCell="Q7" sqref="Q7:Q21"/>
      <rowBreaks count="1" manualBreakCount="1">
        <brk id="49" max="16383" man="1"/>
      </rowBreaks>
      <colBreaks count="1" manualBreakCount="1">
        <brk id="18" max="1048575" man="1"/>
      </colBreaks>
      <pageMargins left="0" right="0" top="0" bottom="0" header="0" footer="0"/>
      <pageSetup scale="69" orientation="landscape" r:id="rId6"/>
    </customSheetView>
  </customSheetViews>
  <mergeCells count="24">
    <mergeCell ref="B89:B90"/>
    <mergeCell ref="F89:F90"/>
    <mergeCell ref="M23:N24"/>
    <mergeCell ref="O23:P24"/>
    <mergeCell ref="Q23:R24"/>
    <mergeCell ref="F68:K68"/>
    <mergeCell ref="B69:B71"/>
    <mergeCell ref="F69:F71"/>
    <mergeCell ref="B23:B24"/>
    <mergeCell ref="D23:E24"/>
    <mergeCell ref="F23:F24"/>
    <mergeCell ref="G23:H24"/>
    <mergeCell ref="I23:J24"/>
    <mergeCell ref="K23:L24"/>
    <mergeCell ref="F3:P3"/>
    <mergeCell ref="U3:AD3"/>
    <mergeCell ref="AG3:AN3"/>
    <mergeCell ref="D4:E4"/>
    <mergeCell ref="G4:H4"/>
    <mergeCell ref="I4:J4"/>
    <mergeCell ref="K4:L4"/>
    <mergeCell ref="M4:N4"/>
    <mergeCell ref="O4:P4"/>
    <mergeCell ref="Q4:R4"/>
  </mergeCells>
  <hyperlinks>
    <hyperlink ref="B2" location="'List of tables'!A1" display="'List of tables'!A1"/>
  </hyperlinks>
  <pageMargins left="0.22" right="0.2" top="0.75" bottom="0.75" header="0.3" footer="0.3"/>
  <pageSetup scale="69" orientation="landscape" r:id="rId7"/>
  <rowBreaks count="1" manualBreakCount="1">
    <brk id="49" max="16383" man="1"/>
  </rowBreaks>
  <colBreaks count="1" manualBreakCount="1">
    <brk id="18" max="1048575" man="1"/>
  </colBreaks>
  <drawing r:id="rId8"/>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autoPageBreaks="0"/>
  </sheetPr>
  <dimension ref="B2:P38"/>
  <sheetViews>
    <sheetView showGridLines="0" view="pageBreakPreview" zoomScale="80" zoomScaleNormal="80" zoomScaleSheetLayoutView="80" workbookViewId="0">
      <pane xSplit="2" topLeftCell="C1" activePane="topRight" state="frozen"/>
      <selection pane="topRight" activeCell="M28" sqref="M28"/>
    </sheetView>
  </sheetViews>
  <sheetFormatPr defaultColWidth="9.140625" defaultRowHeight="12.75"/>
  <cols>
    <col min="1" max="1" width="6.28515625" style="2" customWidth="1"/>
    <col min="2" max="2" width="16.7109375" style="2" customWidth="1"/>
    <col min="3" max="8" width="18.28515625" style="2" customWidth="1"/>
    <col min="9" max="9" width="10.28515625" style="2" customWidth="1"/>
    <col min="10" max="10" width="9.42578125" style="2" bestFit="1" customWidth="1"/>
    <col min="11" max="11" width="9.5703125" style="2" bestFit="1" customWidth="1"/>
    <col min="12" max="12" width="10.5703125" style="2" bestFit="1" customWidth="1"/>
    <col min="13" max="13" width="27.7109375" style="2" customWidth="1"/>
    <col min="14" max="14" width="10.7109375" style="2" bestFit="1" customWidth="1"/>
    <col min="15" max="15" width="10.7109375" style="2" customWidth="1"/>
    <col min="16" max="16" width="12.42578125" style="2" bestFit="1" customWidth="1"/>
    <col min="17" max="17" width="11.5703125" style="2" bestFit="1" customWidth="1"/>
    <col min="18" max="18" width="9.28515625" style="2" bestFit="1" customWidth="1"/>
    <col min="19" max="16384" width="9.140625" style="2"/>
  </cols>
  <sheetData>
    <row r="2" spans="2:16">
      <c r="B2" s="295" t="s">
        <v>620</v>
      </c>
      <c r="C2" s="295"/>
      <c r="D2" s="295"/>
      <c r="E2" s="295"/>
      <c r="F2" s="381"/>
      <c r="G2" s="381"/>
      <c r="H2" s="381"/>
      <c r="I2" s="381"/>
      <c r="J2" s="381"/>
      <c r="K2" s="381"/>
      <c r="L2" s="291"/>
      <c r="M2" s="291"/>
      <c r="N2" s="291"/>
      <c r="O2" s="237"/>
      <c r="P2" s="381"/>
    </row>
    <row r="3" spans="2:16">
      <c r="C3" s="381"/>
      <c r="D3" s="381"/>
      <c r="E3" s="381"/>
      <c r="F3" s="381"/>
      <c r="G3" s="381"/>
      <c r="H3" s="381"/>
      <c r="I3" s="381"/>
      <c r="J3" s="381"/>
      <c r="K3" s="381"/>
      <c r="L3" s="291"/>
      <c r="M3" s="291"/>
      <c r="N3" s="291"/>
      <c r="O3" s="237"/>
      <c r="P3" s="381"/>
    </row>
    <row r="4" spans="2:16" ht="15">
      <c r="B4" s="2993" t="s">
        <v>83</v>
      </c>
      <c r="C4" s="1918">
        <v>2017</v>
      </c>
      <c r="D4" s="1919">
        <v>2017</v>
      </c>
      <c r="E4" s="1918">
        <v>2018</v>
      </c>
      <c r="F4" s="1919">
        <v>2019</v>
      </c>
      <c r="G4" s="1918" t="s">
        <v>137</v>
      </c>
      <c r="H4" s="1920" t="s">
        <v>84</v>
      </c>
      <c r="I4" s="11"/>
      <c r="J4" s="11"/>
      <c r="K4"/>
      <c r="N4"/>
      <c r="O4"/>
    </row>
    <row r="5" spans="2:16" s="292" customFormat="1" ht="15">
      <c r="B5" s="1987" t="s">
        <v>91</v>
      </c>
      <c r="C5" s="1845">
        <v>68236</v>
      </c>
      <c r="D5" s="892">
        <v>68236</v>
      </c>
      <c r="E5" s="1845">
        <v>53654</v>
      </c>
      <c r="F5" s="1917">
        <v>50848</v>
      </c>
      <c r="G5" s="1921">
        <v>49873</v>
      </c>
      <c r="H5" s="1922">
        <v>56481</v>
      </c>
      <c r="I5"/>
      <c r="J5"/>
      <c r="K5" s="257"/>
      <c r="L5" s="157"/>
      <c r="M5" s="157"/>
      <c r="N5"/>
      <c r="O5"/>
    </row>
    <row r="6" spans="2:16" s="292" customFormat="1" ht="15">
      <c r="B6" s="1987" t="s">
        <v>93</v>
      </c>
      <c r="C6" s="2022">
        <v>9462</v>
      </c>
      <c r="D6" s="2796">
        <v>9462</v>
      </c>
      <c r="E6" s="2022">
        <v>11331</v>
      </c>
      <c r="F6" s="2022">
        <v>12345</v>
      </c>
      <c r="G6" s="2056">
        <v>9107</v>
      </c>
      <c r="H6" s="2020">
        <v>10936</v>
      </c>
      <c r="I6"/>
      <c r="J6"/>
      <c r="K6" s="257"/>
      <c r="L6" s="157"/>
      <c r="M6" s="157"/>
      <c r="N6"/>
      <c r="O6"/>
    </row>
    <row r="7" spans="2:16" s="292" customFormat="1" ht="15">
      <c r="B7" s="1987" t="s">
        <v>94</v>
      </c>
      <c r="C7" s="2022">
        <v>5283</v>
      </c>
      <c r="D7" s="2796">
        <v>5283</v>
      </c>
      <c r="E7" s="2022">
        <v>4847</v>
      </c>
      <c r="F7" s="2022">
        <v>4838</v>
      </c>
      <c r="G7" s="2056">
        <v>4279</v>
      </c>
      <c r="H7" s="2020">
        <v>4969</v>
      </c>
      <c r="I7"/>
      <c r="J7"/>
      <c r="K7" s="257"/>
      <c r="L7" s="157"/>
      <c r="M7" s="157"/>
      <c r="N7"/>
      <c r="O7"/>
    </row>
    <row r="8" spans="2:16" s="292" customFormat="1" ht="15">
      <c r="B8" s="1987" t="s">
        <v>96</v>
      </c>
      <c r="C8" s="2022">
        <v>17672</v>
      </c>
      <c r="D8" s="2796">
        <v>17672</v>
      </c>
      <c r="E8" s="2022">
        <v>20565</v>
      </c>
      <c r="F8" s="2022">
        <v>20988</v>
      </c>
      <c r="G8" s="2056">
        <v>19232</v>
      </c>
      <c r="H8" s="2020">
        <v>22186</v>
      </c>
      <c r="I8"/>
      <c r="J8"/>
      <c r="K8" s="257"/>
      <c r="L8" s="157"/>
      <c r="M8" s="157"/>
      <c r="N8"/>
      <c r="O8"/>
    </row>
    <row r="9" spans="2:16" s="292" customFormat="1" ht="15">
      <c r="B9" s="1987" t="s">
        <v>97</v>
      </c>
      <c r="C9" s="2022">
        <v>126904</v>
      </c>
      <c r="D9" s="2796">
        <v>126904</v>
      </c>
      <c r="E9" s="2022">
        <v>110089</v>
      </c>
      <c r="F9" s="2022">
        <v>109901</v>
      </c>
      <c r="G9" s="2056">
        <v>108866</v>
      </c>
      <c r="H9" s="2020">
        <v>115868</v>
      </c>
      <c r="I9"/>
      <c r="J9"/>
      <c r="K9" s="257"/>
      <c r="L9" s="157"/>
      <c r="M9" s="157"/>
      <c r="N9"/>
      <c r="O9"/>
    </row>
    <row r="10" spans="2:16" s="292" customFormat="1" ht="15">
      <c r="B10" s="1987" t="s">
        <v>233</v>
      </c>
      <c r="C10" s="2022">
        <v>13859</v>
      </c>
      <c r="D10" s="2796">
        <v>13859</v>
      </c>
      <c r="E10" s="2022">
        <v>11394</v>
      </c>
      <c r="F10" s="2022">
        <v>7626</v>
      </c>
      <c r="G10" s="2056">
        <v>6179</v>
      </c>
      <c r="H10" s="2020">
        <v>5392</v>
      </c>
      <c r="I10"/>
      <c r="J10"/>
      <c r="K10" s="257"/>
      <c r="L10" s="157"/>
      <c r="M10" s="157"/>
      <c r="N10"/>
      <c r="O10"/>
    </row>
    <row r="11" spans="2:16" s="292" customFormat="1" ht="15">
      <c r="B11" s="1987" t="s">
        <v>103</v>
      </c>
      <c r="C11" s="2022">
        <v>32005</v>
      </c>
      <c r="D11" s="2796">
        <v>32005</v>
      </c>
      <c r="E11" s="2022">
        <v>29530</v>
      </c>
      <c r="F11" s="2022">
        <v>28211</v>
      </c>
      <c r="G11" s="2056">
        <v>24635</v>
      </c>
      <c r="H11" s="2020">
        <v>34371</v>
      </c>
      <c r="I11"/>
      <c r="J11"/>
      <c r="K11" s="257"/>
      <c r="L11" s="157"/>
      <c r="M11" s="157"/>
      <c r="N11"/>
      <c r="O11"/>
    </row>
    <row r="12" spans="2:16" s="292" customFormat="1" ht="15">
      <c r="B12" s="1987" t="s">
        <v>105</v>
      </c>
      <c r="C12" s="2022">
        <v>20558</v>
      </c>
      <c r="D12" s="2796">
        <v>20558</v>
      </c>
      <c r="E12" s="2022">
        <v>24885</v>
      </c>
      <c r="F12" s="2022">
        <v>17526</v>
      </c>
      <c r="G12" s="2056">
        <v>16092</v>
      </c>
      <c r="H12" s="2020">
        <v>30096</v>
      </c>
      <c r="I12"/>
      <c r="J12"/>
      <c r="K12" s="257"/>
      <c r="L12" s="157"/>
      <c r="M12" s="157"/>
      <c r="N12"/>
      <c r="O12"/>
    </row>
    <row r="13" spans="2:16" s="292" customFormat="1" ht="15">
      <c r="B13" s="1987" t="s">
        <v>106</v>
      </c>
      <c r="C13" s="2022">
        <v>4183</v>
      </c>
      <c r="D13" s="2796">
        <v>4183</v>
      </c>
      <c r="E13" s="2022">
        <v>4059</v>
      </c>
      <c r="F13" s="2022">
        <v>5897</v>
      </c>
      <c r="G13" s="2056">
        <v>5582</v>
      </c>
      <c r="H13" s="2020">
        <v>6249</v>
      </c>
      <c r="I13"/>
      <c r="J13"/>
      <c r="K13" s="257"/>
      <c r="L13" s="157"/>
      <c r="M13" s="157"/>
      <c r="N13"/>
      <c r="O13"/>
    </row>
    <row r="14" spans="2:16" s="292" customFormat="1" ht="15">
      <c r="B14" s="1987" t="s">
        <v>107</v>
      </c>
      <c r="C14" s="2022">
        <v>85562</v>
      </c>
      <c r="D14" s="2796">
        <v>85562</v>
      </c>
      <c r="E14" s="2022">
        <v>86838</v>
      </c>
      <c r="F14" s="2022">
        <v>79348</v>
      </c>
      <c r="G14" s="2056">
        <v>94528</v>
      </c>
      <c r="H14" s="2020">
        <v>88783</v>
      </c>
      <c r="I14"/>
      <c r="J14"/>
      <c r="K14" s="257"/>
      <c r="L14" s="157"/>
      <c r="M14" s="157"/>
      <c r="N14"/>
      <c r="O14"/>
    </row>
    <row r="15" spans="2:16" s="292" customFormat="1" ht="15">
      <c r="B15" s="1987" t="s">
        <v>109</v>
      </c>
      <c r="C15" s="2022">
        <v>590</v>
      </c>
      <c r="D15" s="2804">
        <v>590</v>
      </c>
      <c r="E15" s="2994"/>
      <c r="F15" s="2022">
        <v>197</v>
      </c>
      <c r="G15" s="2056">
        <v>38</v>
      </c>
      <c r="H15" s="1991"/>
      <c r="I15"/>
      <c r="J15"/>
      <c r="K15" s="257"/>
      <c r="L15" s="157"/>
      <c r="M15" s="157"/>
      <c r="N15"/>
      <c r="O15"/>
    </row>
    <row r="16" spans="2:16" s="292" customFormat="1" ht="15">
      <c r="B16" s="1987" t="s">
        <v>113</v>
      </c>
      <c r="C16" s="2022">
        <v>34503</v>
      </c>
      <c r="D16" s="2796">
        <v>34503</v>
      </c>
      <c r="E16" s="2022">
        <v>30016</v>
      </c>
      <c r="F16" s="2022">
        <v>27206</v>
      </c>
      <c r="G16" s="2056">
        <v>35577</v>
      </c>
      <c r="H16" s="2020">
        <v>25971</v>
      </c>
      <c r="I16"/>
      <c r="J16"/>
      <c r="K16" s="257"/>
      <c r="L16" s="157"/>
      <c r="M16" s="157"/>
      <c r="N16"/>
      <c r="O16"/>
    </row>
    <row r="17" spans="2:16" s="292" customFormat="1" ht="15">
      <c r="B17" s="1987" t="s">
        <v>115</v>
      </c>
      <c r="C17" s="2022">
        <v>80811</v>
      </c>
      <c r="D17" s="2796">
        <v>80811</v>
      </c>
      <c r="E17" s="2022">
        <v>72788</v>
      </c>
      <c r="F17" s="2022">
        <v>65392</v>
      </c>
      <c r="G17" s="2056">
        <v>213603</v>
      </c>
      <c r="H17" s="2020">
        <v>170624</v>
      </c>
      <c r="I17"/>
      <c r="J17"/>
      <c r="K17" s="257"/>
      <c r="L17" s="157"/>
      <c r="M17" s="157"/>
      <c r="N17"/>
      <c r="O17"/>
    </row>
    <row r="18" spans="2:16" s="292" customFormat="1" ht="15">
      <c r="B18" s="1987" t="s">
        <v>116</v>
      </c>
      <c r="C18" s="2022">
        <v>75966</v>
      </c>
      <c r="D18" s="2796">
        <v>75966</v>
      </c>
      <c r="E18" s="2022">
        <v>202583</v>
      </c>
      <c r="F18" s="2022">
        <v>250407</v>
      </c>
      <c r="G18" s="2056">
        <v>262605</v>
      </c>
      <c r="H18" s="2020">
        <v>237453</v>
      </c>
      <c r="I18"/>
      <c r="J18"/>
      <c r="K18" s="257"/>
      <c r="L18" s="157"/>
      <c r="M18" s="157"/>
      <c r="N18"/>
      <c r="O18"/>
    </row>
    <row r="19" spans="2:16" s="292" customFormat="1" ht="15">
      <c r="B19" s="1987" t="s">
        <v>117</v>
      </c>
      <c r="C19" s="2022">
        <v>67889</v>
      </c>
      <c r="D19" s="2796">
        <v>67889</v>
      </c>
      <c r="E19" s="2022">
        <v>48547</v>
      </c>
      <c r="F19" s="2022">
        <v>54166</v>
      </c>
      <c r="G19" s="2056">
        <v>54028</v>
      </c>
      <c r="H19" s="2020">
        <v>64383</v>
      </c>
      <c r="I19"/>
      <c r="J19"/>
      <c r="K19" s="257"/>
      <c r="L19" s="157"/>
      <c r="M19" s="157"/>
      <c r="N19"/>
      <c r="O19"/>
    </row>
    <row r="20" spans="2:16" s="292" customFormat="1" ht="15">
      <c r="B20" s="2995" t="s">
        <v>118</v>
      </c>
      <c r="C20" s="2996">
        <v>643483</v>
      </c>
      <c r="D20" s="2997">
        <v>643483</v>
      </c>
      <c r="E20" s="2996">
        <f>SUM(E5:E19)</f>
        <v>711126</v>
      </c>
      <c r="F20" s="2996">
        <f>SUM(F5:F19)</f>
        <v>734896</v>
      </c>
      <c r="G20" s="2996">
        <f>SUM(G5:G19)</f>
        <v>904224</v>
      </c>
      <c r="H20" s="2996">
        <f>SUM(H5:H19)</f>
        <v>873762</v>
      </c>
      <c r="I20"/>
      <c r="J20"/>
      <c r="K20" s="257"/>
      <c r="L20" s="157"/>
      <c r="M20" s="157"/>
      <c r="N20"/>
      <c r="O20"/>
    </row>
    <row r="21" spans="2:16" s="292" customFormat="1" ht="15">
      <c r="B21" s="423"/>
      <c r="C21" s="424"/>
      <c r="D21" s="424"/>
      <c r="E21" s="424"/>
      <c r="J21"/>
      <c r="K21"/>
      <c r="L21" s="257"/>
      <c r="M21" s="157"/>
      <c r="N21" s="157"/>
      <c r="O21"/>
      <c r="P21"/>
    </row>
    <row r="22" spans="2:16" s="292" customFormat="1" ht="15">
      <c r="B22" s="423"/>
      <c r="C22" s="424"/>
      <c r="D22" s="424"/>
      <c r="E22" s="469"/>
      <c r="H22" s="292">
        <v>180</v>
      </c>
      <c r="J22"/>
      <c r="K22"/>
      <c r="L22" s="257"/>
      <c r="M22" s="157"/>
      <c r="N22" s="157"/>
      <c r="O22"/>
      <c r="P22"/>
    </row>
    <row r="23" spans="2:16" ht="15">
      <c r="B23" s="233"/>
      <c r="J23"/>
      <c r="K23"/>
      <c r="L23"/>
      <c r="M23"/>
      <c r="N23"/>
      <c r="O23"/>
      <c r="P23"/>
    </row>
    <row r="25" spans="2:16">
      <c r="E25" s="408"/>
    </row>
    <row r="26" spans="2:16">
      <c r="B26" s="490"/>
    </row>
    <row r="36" spans="2:2">
      <c r="B36" s="233"/>
    </row>
    <row r="37" spans="2:2">
      <c r="B37" s="233"/>
    </row>
    <row r="38" spans="2:2">
      <c r="B38" s="233"/>
    </row>
  </sheetData>
  <pageMargins left="0.72" right="0.2" top="0.75" bottom="0.75" header="0.3" footer="0.3"/>
  <pageSetup paperSize="9" scale="7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H44"/>
  <sheetViews>
    <sheetView topLeftCell="A10" zoomScaleNormal="100" workbookViewId="0">
      <selection activeCell="H16" sqref="H16"/>
    </sheetView>
  </sheetViews>
  <sheetFormatPr defaultColWidth="9.140625" defaultRowHeight="12.75"/>
  <cols>
    <col min="1" max="1" width="21.42578125" style="2" customWidth="1"/>
    <col min="2" max="2" width="13.5703125" style="2" customWidth="1"/>
    <col min="3" max="3" width="18.28515625" style="2" customWidth="1"/>
    <col min="4" max="4" width="17.5703125" style="2" customWidth="1"/>
    <col min="5" max="5" width="13.7109375" style="2" customWidth="1"/>
    <col min="6" max="6" width="14" style="2" customWidth="1"/>
    <col min="7" max="7" width="12.85546875" style="2" customWidth="1"/>
    <col min="8" max="8" width="14.28515625" style="2" bestFit="1" customWidth="1"/>
    <col min="9" max="16384" width="9.140625" style="2"/>
  </cols>
  <sheetData>
    <row r="2" spans="1:7">
      <c r="A2" s="1" t="s">
        <v>621</v>
      </c>
    </row>
    <row r="4" spans="1:7">
      <c r="A4" s="3810" t="s">
        <v>622</v>
      </c>
      <c r="B4" s="3811" t="s">
        <v>206</v>
      </c>
      <c r="C4" s="3811"/>
      <c r="D4" s="3811"/>
      <c r="E4" s="3812" t="s">
        <v>207</v>
      </c>
      <c r="F4" s="3813"/>
      <c r="G4" s="3814"/>
    </row>
    <row r="5" spans="1:7" ht="62.25" customHeight="1">
      <c r="A5" s="3810"/>
      <c r="B5" s="2998" t="s">
        <v>623</v>
      </c>
      <c r="C5" s="2998" t="s">
        <v>624</v>
      </c>
      <c r="D5" s="2998" t="s">
        <v>625</v>
      </c>
      <c r="E5" s="2998" t="s">
        <v>626</v>
      </c>
      <c r="F5" s="2998" t="s">
        <v>627</v>
      </c>
      <c r="G5" s="2998" t="s">
        <v>625</v>
      </c>
    </row>
    <row r="6" spans="1:7" ht="25.5">
      <c r="A6" s="2999" t="s">
        <v>222</v>
      </c>
      <c r="B6" s="2994">
        <f>+B7+B8+B9</f>
        <v>10932807.229024513</v>
      </c>
      <c r="C6" s="2994">
        <f>+E35</f>
        <v>91445229.242670387</v>
      </c>
      <c r="D6" s="3000">
        <f>+B6/C6*100</f>
        <v>11.95557966180156</v>
      </c>
      <c r="E6" s="2994">
        <f>+E7+E8+E9</f>
        <v>11880429.152922077</v>
      </c>
      <c r="F6" s="2994">
        <f>+F35</f>
        <v>96085489.538927764</v>
      </c>
      <c r="G6" s="3001">
        <f>+E6/F6*100</f>
        <v>12.364436305555667</v>
      </c>
    </row>
    <row r="7" spans="1:7">
      <c r="A7" s="2107" t="s">
        <v>628</v>
      </c>
      <c r="B7" s="2022">
        <f>VLOOKUP(A7,'[2]InV Income  - Life'!B7:F27,5,0)+VLOOKUP('Investment Income LI  (Final)'!A7,'[2]InV Income  - Life'!B7:J27,9,0)</f>
        <v>9137669.0239545126</v>
      </c>
      <c r="C7" s="2022"/>
      <c r="D7" s="2052"/>
      <c r="E7" s="2022">
        <f>VLOOKUP(A7,'[2]InV Income  - Life'!B7:C27,2,0)+VLOOKUP('Investment Income LI  (Final)'!A7,'[2]InV Income  - Life'!B7:I27,8,0)</f>
        <v>9612859.4406555854</v>
      </c>
      <c r="F7" s="2022"/>
      <c r="G7" s="2032"/>
    </row>
    <row r="8" spans="1:7">
      <c r="A8" s="2107" t="s">
        <v>629</v>
      </c>
      <c r="B8" s="2022">
        <f>VLOOKUP(A8,'[2]InV Income  - Life'!B8:F28,5,0)+VLOOKUP('Investment Income LI  (Final)'!A8,'[2]InV Income  - Life'!B8:J28,9,0)</f>
        <v>186641.66677000001</v>
      </c>
      <c r="C8" s="2022"/>
      <c r="D8" s="2052"/>
      <c r="E8" s="2022">
        <f>VLOOKUP(A8,'[2]InV Income  - Life'!B8:C28,2,0)+VLOOKUP('Investment Income LI  (Final)'!A8,'[2]InV Income  - Life'!B8:I28,8,0)</f>
        <v>249376.68720708851</v>
      </c>
      <c r="F8" s="2022"/>
      <c r="G8" s="2032"/>
    </row>
    <row r="9" spans="1:7">
      <c r="A9" s="2107" t="s">
        <v>630</v>
      </c>
      <c r="B9" s="2022">
        <f>VLOOKUP(A9,'[2]InV Income  - Life'!B9:F29,5,0)+VLOOKUP('Investment Income LI  (Final)'!A9,'[2]InV Income  - Life'!B9:J29,9,0)</f>
        <v>1608496.5382999999</v>
      </c>
      <c r="C9" s="2022"/>
      <c r="D9" s="2052"/>
      <c r="E9" s="2022">
        <f>VLOOKUP(A9,'[2]InV Income  - Life'!B9:C29,2,0)+VLOOKUP('Investment Income LI  (Final)'!A9,'[2]InV Income  - Life'!B9:I29,8,0)</f>
        <v>2018193.0250594034</v>
      </c>
      <c r="F9" s="2022"/>
      <c r="G9" s="2032"/>
    </row>
    <row r="10" spans="1:7">
      <c r="A10" s="3002" t="s">
        <v>631</v>
      </c>
      <c r="B10" s="2994">
        <f>+B11+B12</f>
        <v>-69948.105779999867</v>
      </c>
      <c r="C10" s="2994">
        <f>+E36</f>
        <v>24759141.967679288</v>
      </c>
      <c r="D10" s="3000">
        <f>+B10/C10*100</f>
        <v>-0.28251425623436582</v>
      </c>
      <c r="E10" s="2994">
        <f>+E11+E12</f>
        <v>914352.7882699999</v>
      </c>
      <c r="F10" s="2994">
        <f>+F36</f>
        <v>25733073.914437652</v>
      </c>
      <c r="G10" s="3001">
        <f>+E10/F10*100</f>
        <v>3.5532202305492868</v>
      </c>
    </row>
    <row r="11" spans="1:7">
      <c r="A11" s="2107" t="s">
        <v>632</v>
      </c>
      <c r="B11" s="2022">
        <f>VLOOKUP(A11,'[2]InV Income  - Life'!B11:F31,5,0)+VLOOKUP('Investment Income LI  (Final)'!A11,'[2]InV Income  - Life'!B11:J31,9,0)</f>
        <v>-855776.82077999995</v>
      </c>
      <c r="C11" s="2022"/>
      <c r="D11" s="2052"/>
      <c r="E11" s="2022">
        <f>VLOOKUP(A11,'[2]InV Income  - Life'!B11:C31,2,0)+VLOOKUP('Investment Income LI  (Final)'!A11,'[2]InV Income  - Life'!B11:I31,8,0)</f>
        <v>-92781.190640000073</v>
      </c>
      <c r="F11" s="2022"/>
      <c r="G11" s="2032"/>
    </row>
    <row r="12" spans="1:7">
      <c r="A12" s="2107" t="s">
        <v>633</v>
      </c>
      <c r="B12" s="2022">
        <f>VLOOKUP(A12,'[2]InV Income  - Life'!B12:F32,5,0)+VLOOKUP('Investment Income LI  (Final)'!A12,'[2]InV Income  - Life'!B12:J32,9,0)</f>
        <v>785828.71500000008</v>
      </c>
      <c r="C12" s="2022"/>
      <c r="D12" s="2052"/>
      <c r="E12" s="2022">
        <f>VLOOKUP(A12,'[2]InV Income  - Life'!B12:C32,2,0)+VLOOKUP('Investment Income LI  (Final)'!A12,'[2]InV Income  - Life'!B12:I32,8,0)</f>
        <v>1007133.9789099999</v>
      </c>
      <c r="F12" s="2022"/>
      <c r="G12" s="2032"/>
    </row>
    <row r="13" spans="1:7">
      <c r="A13" s="3002" t="s">
        <v>634</v>
      </c>
      <c r="B13" s="2994">
        <f>+B14+B15+B16+B17</f>
        <v>1636238.8744821211</v>
      </c>
      <c r="C13" s="2994">
        <f>+E37</f>
        <v>11986395.403613916</v>
      </c>
      <c r="D13" s="3000">
        <f>+B13/C13*100</f>
        <v>13.650800089481386</v>
      </c>
      <c r="E13" s="2994">
        <f>+E14+E15+E16+E17</f>
        <v>2558858.3499542433</v>
      </c>
      <c r="F13" s="2994">
        <f>+F37</f>
        <v>23110025.30414727</v>
      </c>
      <c r="G13" s="3001">
        <f>+E13/F13*100</f>
        <v>11.072503453706894</v>
      </c>
    </row>
    <row r="14" spans="1:7">
      <c r="A14" s="2111" t="s">
        <v>635</v>
      </c>
      <c r="B14" s="2022">
        <f>VLOOKUP(A14,'[2]InV Income  - Life'!B14:F34,5,0)+VLOOKUP('Investment Income LI  (Final)'!A14,'[2]InV Income  - Life'!B14:J34,9,0)</f>
        <v>1504614.9553747794</v>
      </c>
      <c r="C14" s="2022"/>
      <c r="D14" s="2052"/>
      <c r="E14" s="2022">
        <f>VLOOKUP(A14,'[2]InV Income  - Life'!B14:C34,2,0)+VLOOKUP('Investment Income LI  (Final)'!A14,'[2]InV Income  - Life'!B14:I34,8,0)</f>
        <v>2419956.8851926178</v>
      </c>
      <c r="F14" s="2022"/>
      <c r="G14" s="2032"/>
    </row>
    <row r="15" spans="1:7">
      <c r="A15" s="2111" t="s">
        <v>636</v>
      </c>
      <c r="B15" s="2022">
        <f>VLOOKUP(A15,'[2]InV Income  - Life'!B15:F35,5,0)+VLOOKUP('Investment Income LI  (Final)'!A15,'[2]InV Income  - Life'!B15:J35,9,0)</f>
        <v>125876.37511196753</v>
      </c>
      <c r="C15" s="2022"/>
      <c r="D15" s="2052"/>
      <c r="E15" s="2022">
        <f>VLOOKUP(A15,'[2]InV Income  - Life'!B15:C35,2,0)+VLOOKUP('Investment Income LI  (Final)'!A15,'[2]InV Income  - Life'!B15:I35,8,0)</f>
        <v>119306.13954316938</v>
      </c>
      <c r="F15" s="2022"/>
      <c r="G15" s="2032"/>
    </row>
    <row r="16" spans="1:7" ht="30" customHeight="1">
      <c r="A16" s="2111" t="s">
        <v>637</v>
      </c>
      <c r="B16" s="2022">
        <f>VLOOKUP(A16,'[2]InV Income  - Life'!B16:F36,5,0)+VLOOKUP('Investment Income LI  (Final)'!A16,'[2]InV Income  - Life'!B16:J36,9,0)</f>
        <v>5747.543995374127</v>
      </c>
      <c r="C16" s="2022"/>
      <c r="D16" s="2052"/>
      <c r="E16" s="2022">
        <f>VLOOKUP(A16,'[2]InV Income  - Life'!B16:C36,2,0)+VLOOKUP('Investment Income LI  (Final)'!A16,'[2]InV Income  - Life'!B16:I36,8,0)</f>
        <v>19595.325218456117</v>
      </c>
      <c r="F16" s="2022"/>
      <c r="G16" s="2032"/>
    </row>
    <row r="17" spans="1:8" ht="25.5">
      <c r="A17" s="2111" t="s">
        <v>638</v>
      </c>
      <c r="B17" s="2022">
        <f>VLOOKUP(A17,'[2]InV Income  - Life'!B17:F37,5,0)+VLOOKUP('Investment Income LI  (Final)'!A17,'[2]InV Income  - Life'!B17:J37,9,0)</f>
        <v>0</v>
      </c>
      <c r="C17" s="2022"/>
      <c r="D17" s="2052"/>
      <c r="E17" s="2022">
        <f>VLOOKUP(A17,'[2]InV Income  - Life'!B17:C37,2,0)+VLOOKUP('Investment Income LI  (Final)'!A17,'[2]InV Income  - Life'!B17:I37,8,0)</f>
        <v>0</v>
      </c>
      <c r="F17" s="2022"/>
      <c r="G17" s="2032"/>
    </row>
    <row r="18" spans="1:8">
      <c r="A18" s="3002" t="s">
        <v>639</v>
      </c>
      <c r="B18" s="2994">
        <f>+'[2]InV Income  - Life'!N18</f>
        <v>56208.679359999995</v>
      </c>
      <c r="C18" s="2994">
        <f>+E38</f>
        <v>5915963.0320727769</v>
      </c>
      <c r="D18" s="3000">
        <f>+B18/C18*100</f>
        <v>0.95011884041990291</v>
      </c>
      <c r="E18" s="2994">
        <f>VLOOKUP(A18,'[2]InV Income  - Life'!B18:C38,2,0)+VLOOKUP('Investment Income LI  (Final)'!A18,'[2]InV Income  - Life'!B18:I38,8,0)</f>
        <v>65635.83</v>
      </c>
      <c r="F18" s="2994">
        <f>+F38</f>
        <v>6040643.7781865541</v>
      </c>
      <c r="G18" s="3001">
        <f>+E18/F18*100</f>
        <v>1.0865701142156137</v>
      </c>
    </row>
    <row r="19" spans="1:8">
      <c r="A19" s="3002" t="s">
        <v>640</v>
      </c>
      <c r="B19" s="2994">
        <f>+B20+B21</f>
        <v>3778231.9995539719</v>
      </c>
      <c r="C19" s="2994">
        <f>+E39</f>
        <v>28815685.132265575</v>
      </c>
      <c r="D19" s="3000">
        <f>+B19/C19*100</f>
        <v>13.111720169802243</v>
      </c>
      <c r="E19" s="2994">
        <f>+E20+E21</f>
        <v>5813633.5945394058</v>
      </c>
      <c r="F19" s="2994">
        <f>+F39</f>
        <v>36314036.846678108</v>
      </c>
      <c r="G19" s="3001">
        <f>+E19/F19*100</f>
        <v>16.009328896936498</v>
      </c>
    </row>
    <row r="20" spans="1:8">
      <c r="A20" s="3003" t="s">
        <v>641</v>
      </c>
      <c r="B20" s="2022">
        <f>VLOOKUP(A20,'[2]InV Income  - Life'!B20:F40,5,0)+VLOOKUP('Investment Income LI  (Final)'!A20,'[2]InV Income  - Life'!B20:J40,9,0)</f>
        <v>3656310.0990701825</v>
      </c>
      <c r="C20" s="2022"/>
      <c r="D20" s="2052"/>
      <c r="E20" s="2022">
        <f>VLOOKUP(A20,'[2]InV Income  - Life'!B20:C40,2,0)+VLOOKUP('Investment Income LI  (Final)'!A20,'[2]InV Income  - Life'!B20:I40,8,0)</f>
        <v>5649639.4438144295</v>
      </c>
      <c r="F20" s="2022"/>
      <c r="G20" s="2032"/>
      <c r="H20" s="240">
        <f>+E20-B20</f>
        <v>1993329.3447442469</v>
      </c>
    </row>
    <row r="21" spans="1:8">
      <c r="A21" s="2107" t="s">
        <v>642</v>
      </c>
      <c r="B21" s="2022">
        <f>VLOOKUP(A21,'[2]InV Income  - Life'!B21:F41,5,0)+VLOOKUP('Investment Income LI  (Final)'!A21,'[2]InV Income  - Life'!B21:J41,9,0)</f>
        <v>121921.90048378942</v>
      </c>
      <c r="C21" s="2022"/>
      <c r="D21" s="2052"/>
      <c r="E21" s="2022">
        <f>VLOOKUP(A21,'[2]InV Income  - Life'!B21:C41,2,0)+VLOOKUP('Investment Income LI  (Final)'!A21,'[2]InV Income  - Life'!B21:I41,8,0)</f>
        <v>163994.15072497641</v>
      </c>
      <c r="F21" s="2022"/>
      <c r="G21" s="2022"/>
    </row>
    <row r="22" spans="1:8">
      <c r="A22" s="3002" t="s">
        <v>643</v>
      </c>
      <c r="B22" s="2994">
        <f>+'[2]InV Income  - Life'!N22</f>
        <v>123616.50711999999</v>
      </c>
      <c r="C22" s="2994">
        <f>+E40</f>
        <v>1441082.0082959128</v>
      </c>
      <c r="D22" s="3000">
        <f>+B22/C22*100</f>
        <v>8.5780341721271771</v>
      </c>
      <c r="E22" s="2994">
        <f>VLOOKUP(A22,'[2]InV Income  - Life'!B22:C42,2,0)+VLOOKUP('Investment Income LI  (Final)'!A22,'[2]InV Income  - Life'!B22:I42,8,0)</f>
        <v>106619.3315</v>
      </c>
      <c r="F22" s="2994">
        <f>+F40</f>
        <v>1945956.3887018778</v>
      </c>
      <c r="G22" s="3001">
        <f>+E22/F22*100</f>
        <v>5.4790195771614574</v>
      </c>
    </row>
    <row r="23" spans="1:8">
      <c r="A23" s="3002" t="s">
        <v>644</v>
      </c>
      <c r="B23" s="2994">
        <f>+'[2]InV Income  - Life'!F23+'[2]InV Income  - Life'!I23</f>
        <v>25886.913</v>
      </c>
      <c r="C23" s="2994">
        <f>+E41</f>
        <v>71374.043999999994</v>
      </c>
      <c r="D23" s="3000">
        <f>+B23/C23*100</f>
        <v>36.269365653429979</v>
      </c>
      <c r="E23" s="2994">
        <f>VLOOKUP(A23,'[2]InV Income  - Life'!B23:C43,2,0)+VLOOKUP('Investment Income LI  (Final)'!A23,'[2]InV Income  - Life'!B23:I43,8,0)</f>
        <v>-10968</v>
      </c>
      <c r="F23" s="2994">
        <f>+F41</f>
        <v>30563.5</v>
      </c>
      <c r="G23" s="3001">
        <f>+E23/F23*100</f>
        <v>-35.885942382253347</v>
      </c>
    </row>
    <row r="24" spans="1:8">
      <c r="A24" s="3002" t="s">
        <v>228</v>
      </c>
      <c r="B24" s="2994">
        <f>+'[2]InV Income  - Life'!N24</f>
        <v>56895.01468</v>
      </c>
      <c r="C24" s="2994">
        <f>+E42</f>
        <v>4463050.0663699992</v>
      </c>
      <c r="D24" s="3000">
        <f>+B24/C24*100</f>
        <v>1.2748011748448811</v>
      </c>
      <c r="E24" s="2994">
        <f>VLOOKUP(A24,'[2]InV Income  - Life'!B24:C44,2,0)+VLOOKUP('Investment Income LI  (Final)'!A24,'[2]InV Income  - Life'!B24:I44,8,0)</f>
        <v>25895.240530000003</v>
      </c>
      <c r="F24" s="2994">
        <f>+F42</f>
        <v>4930651.4600959588</v>
      </c>
      <c r="G24" s="3001">
        <f>+E24/F24*100</f>
        <v>0.525189029067896</v>
      </c>
    </row>
    <row r="25" spans="1:8">
      <c r="A25" s="3002" t="s">
        <v>645</v>
      </c>
      <c r="B25" s="2994">
        <f>+'[2]InV Income  - Life'!N25</f>
        <v>632488.06532000005</v>
      </c>
      <c r="C25" s="2994">
        <f>+E43</f>
        <v>867219.08823154087</v>
      </c>
      <c r="D25" s="3000">
        <f>+B25/C25*100</f>
        <v>72.932904026569418</v>
      </c>
      <c r="E25" s="2994">
        <f>+'[2]InV Income  - Life'!M25</f>
        <v>124374.35172000002</v>
      </c>
      <c r="F25" s="2994">
        <f>+F43</f>
        <v>943538.79234764061</v>
      </c>
      <c r="G25" s="3001">
        <f>+E25/F25*100</f>
        <v>13.181689266907759</v>
      </c>
    </row>
    <row r="26" spans="1:8" ht="30" customHeight="1">
      <c r="A26" s="3004" t="s">
        <v>158</v>
      </c>
      <c r="B26" s="2855">
        <f>+B6+B10+B13+B18+B19+B22+B23+B24+B25</f>
        <v>17172425.176760606</v>
      </c>
      <c r="C26" s="2855">
        <f>SUM(C6:C25)</f>
        <v>169765139.98519942</v>
      </c>
      <c r="D26" s="3005">
        <f>+B26/C26*100</f>
        <v>10.115401299853282</v>
      </c>
      <c r="E26" s="2855">
        <f>+E6+E10+E13+E18+E19+E22+E23+E24+E25</f>
        <v>21478830.639435727</v>
      </c>
      <c r="F26" s="2855">
        <f>SUM(F6:F25)</f>
        <v>195133979.52352285</v>
      </c>
      <c r="G26" s="3005">
        <f>+E26/F26*100</f>
        <v>11.007222161861623</v>
      </c>
    </row>
    <row r="27" spans="1:8" s="238" customFormat="1">
      <c r="B27" s="239">
        <f>+'[2]InV Income  - Life'!M26</f>
        <v>21478830.639435727</v>
      </c>
      <c r="C27" s="239"/>
      <c r="D27" s="239"/>
      <c r="E27" s="239">
        <f>+'[2]InV Income  - Life'!N27</f>
        <v>17172425.176760606</v>
      </c>
      <c r="F27" s="239"/>
      <c r="G27" s="239"/>
      <c r="H27" s="239"/>
    </row>
    <row r="28" spans="1:8" s="238" customFormat="1">
      <c r="A28" s="204" t="s">
        <v>612</v>
      </c>
      <c r="B28" s="239"/>
      <c r="C28" s="239"/>
      <c r="D28" s="239"/>
      <c r="E28" s="239"/>
      <c r="F28" s="239"/>
      <c r="G28" s="239"/>
      <c r="H28" s="239"/>
    </row>
    <row r="29" spans="1:8" s="238" customFormat="1">
      <c r="A29" s="204" t="s">
        <v>613</v>
      </c>
      <c r="B29" s="239"/>
      <c r="C29" s="239"/>
      <c r="D29" s="342"/>
      <c r="E29" s="342"/>
      <c r="F29" s="239"/>
      <c r="G29" s="239"/>
      <c r="H29" s="239"/>
    </row>
    <row r="30" spans="1:8">
      <c r="B30" s="240">
        <f>+E26-B27</f>
        <v>0</v>
      </c>
      <c r="C30" s="237"/>
      <c r="D30" s="237"/>
      <c r="E30" s="240"/>
      <c r="F30" s="240"/>
      <c r="G30" s="240"/>
      <c r="H30" s="240"/>
    </row>
    <row r="31" spans="1:8">
      <c r="A31" s="3815"/>
      <c r="B31" s="3815"/>
      <c r="C31" s="3815"/>
      <c r="D31" s="3815"/>
      <c r="E31" s="3815"/>
      <c r="F31" s="3815"/>
      <c r="G31" s="3815"/>
      <c r="H31" s="3815"/>
    </row>
    <row r="32" spans="1:8">
      <c r="A32" s="204"/>
      <c r="B32" s="240"/>
      <c r="C32" s="237"/>
      <c r="D32" s="237"/>
    </row>
    <row r="33" spans="1:7">
      <c r="A33" s="204"/>
    </row>
    <row r="34" spans="1:7">
      <c r="B34" s="45">
        <v>2011</v>
      </c>
      <c r="C34" s="45">
        <v>2012</v>
      </c>
      <c r="D34" s="45">
        <v>2013</v>
      </c>
      <c r="E34" s="343" t="s">
        <v>646</v>
      </c>
      <c r="F34" s="343" t="s">
        <v>647</v>
      </c>
    </row>
    <row r="35" spans="1:7">
      <c r="A35" s="3006" t="s">
        <v>222</v>
      </c>
      <c r="B35" s="237">
        <v>84743648.012294337</v>
      </c>
      <c r="C35" s="237">
        <f>+'[2]BS 2012'!Q13</f>
        <v>98146810.473046437</v>
      </c>
      <c r="D35" s="237">
        <f>+'[2]BS 2013'!Q13</f>
        <v>94024168.604809076</v>
      </c>
      <c r="E35" s="344">
        <f>+(B35+C35)/2</f>
        <v>91445229.242670387</v>
      </c>
      <c r="F35" s="344">
        <f>+(C35+D35)/2</f>
        <v>96085489.538927764</v>
      </c>
      <c r="G35" s="237"/>
    </row>
    <row r="36" spans="1:7">
      <c r="A36" s="3002" t="s">
        <v>631</v>
      </c>
      <c r="B36" s="237">
        <v>23113399.953623276</v>
      </c>
      <c r="C36" s="237">
        <f>+'[2]BS 2012'!Q14+'[2]BS 2012'!Q15+'[2]BS 2012'!Q16</f>
        <v>26404883.9817353</v>
      </c>
      <c r="D36" s="237">
        <f>+'[2]BS 2013'!Q14+'[2]BS 2013'!Q15+'[2]BS 2013'!Q16</f>
        <v>25061263.847140007</v>
      </c>
      <c r="E36" s="344">
        <f t="shared" ref="E36:F42" si="0">+(B36+C36)/2</f>
        <v>24759141.967679288</v>
      </c>
      <c r="F36" s="344">
        <f t="shared" si="0"/>
        <v>25733073.914437652</v>
      </c>
      <c r="G36" s="237"/>
    </row>
    <row r="37" spans="1:7">
      <c r="A37" s="3002" t="s">
        <v>634</v>
      </c>
      <c r="B37" s="237">
        <v>10687124.225099912</v>
      </c>
      <c r="C37" s="237">
        <f>+'[2]BS 2012'!Q17</f>
        <v>13285666.582127919</v>
      </c>
      <c r="D37" s="237">
        <f>+'[2]BS 2013'!Q17</f>
        <v>32934384.026166622</v>
      </c>
      <c r="E37" s="344">
        <f t="shared" si="0"/>
        <v>11986395.403613916</v>
      </c>
      <c r="F37" s="344">
        <f t="shared" si="0"/>
        <v>23110025.30414727</v>
      </c>
      <c r="G37" s="237"/>
    </row>
    <row r="38" spans="1:7">
      <c r="A38" s="3002" t="s">
        <v>639</v>
      </c>
      <c r="B38" s="237">
        <v>5880475.6915324442</v>
      </c>
      <c r="C38" s="237">
        <f>+'[2]BS 2012'!Q18</f>
        <v>5951450.3726131096</v>
      </c>
      <c r="D38" s="237">
        <f>+'[2]BS 2013'!Q18</f>
        <v>6129837.1837599995</v>
      </c>
      <c r="E38" s="344">
        <f t="shared" si="0"/>
        <v>5915963.0320727769</v>
      </c>
      <c r="F38" s="344">
        <f t="shared" si="0"/>
        <v>6040643.7781865541</v>
      </c>
      <c r="G38" s="237"/>
    </row>
    <row r="39" spans="1:7">
      <c r="A39" s="3002" t="s">
        <v>640</v>
      </c>
      <c r="B39" s="237">
        <v>25841259.365232278</v>
      </c>
      <c r="C39" s="237">
        <f>+'[2]BS 2012'!Q19</f>
        <v>31790110.899298877</v>
      </c>
      <c r="D39" s="237">
        <f>+'[2]BS 2013'!Q19</f>
        <v>40837962.794057339</v>
      </c>
      <c r="E39" s="344">
        <f>+(B39+C39)/2</f>
        <v>28815685.132265575</v>
      </c>
      <c r="F39" s="344">
        <f>+(C39+D39)/2</f>
        <v>36314036.846678108</v>
      </c>
      <c r="G39" s="237"/>
    </row>
    <row r="40" spans="1:7">
      <c r="A40" s="3002" t="s">
        <v>643</v>
      </c>
      <c r="B40" s="237">
        <v>1292290.5370259902</v>
      </c>
      <c r="C40" s="237">
        <f>+'[2]BS 2012'!Q20</f>
        <v>1589873.4795658356</v>
      </c>
      <c r="D40" s="237">
        <f>+'[2]BS 2013'!Q20</f>
        <v>2302039.29783792</v>
      </c>
      <c r="E40" s="344">
        <f t="shared" si="0"/>
        <v>1441082.0082959128</v>
      </c>
      <c r="F40" s="344">
        <f t="shared" si="0"/>
        <v>1945956.3887018778</v>
      </c>
      <c r="G40" s="237"/>
    </row>
    <row r="41" spans="1:7">
      <c r="A41" s="3002" t="s">
        <v>644</v>
      </c>
      <c r="B41" s="237">
        <v>110916.08799999999</v>
      </c>
      <c r="C41" s="237">
        <f>+'[2]BS 2012'!Q21</f>
        <v>31832</v>
      </c>
      <c r="D41" s="237">
        <f>+'[2]BS 2013'!Q21</f>
        <v>29295</v>
      </c>
      <c r="E41" s="344">
        <f t="shared" si="0"/>
        <v>71374.043999999994</v>
      </c>
      <c r="F41" s="344">
        <f t="shared" si="0"/>
        <v>30563.5</v>
      </c>
      <c r="G41" s="237"/>
    </row>
    <row r="42" spans="1:7">
      <c r="A42" s="3002" t="s">
        <v>228</v>
      </c>
      <c r="B42" s="237">
        <v>4247196.1324299993</v>
      </c>
      <c r="C42" s="237">
        <f>+'[2]BS 2012'!Q23</f>
        <v>4678904.00031</v>
      </c>
      <c r="D42" s="237">
        <f>+'[2]BS 2013'!Q23</f>
        <v>5182398.9198819185</v>
      </c>
      <c r="E42" s="344">
        <f t="shared" si="0"/>
        <v>4463050.0663699992</v>
      </c>
      <c r="F42" s="344">
        <f t="shared" si="0"/>
        <v>4930651.4600959588</v>
      </c>
      <c r="G42" s="237"/>
    </row>
    <row r="43" spans="1:7">
      <c r="A43" s="3002" t="s">
        <v>645</v>
      </c>
      <c r="B43" s="237">
        <v>816883.1418468405</v>
      </c>
      <c r="C43" s="237">
        <f>+'[2]BS 2012'!Q28</f>
        <v>917555.03461624123</v>
      </c>
      <c r="D43" s="237">
        <f>+'[2]BS 2013'!Q28</f>
        <v>969522.55007904</v>
      </c>
      <c r="E43" s="344">
        <f>+(B43+C43)/2</f>
        <v>867219.08823154087</v>
      </c>
      <c r="F43" s="344">
        <f>+(C43+D43)/2</f>
        <v>943538.79234764061</v>
      </c>
      <c r="G43" s="237"/>
    </row>
    <row r="44" spans="1:7">
      <c r="B44" s="237">
        <f>SUM(B35:B43)</f>
        <v>156733193.14708507</v>
      </c>
      <c r="C44" s="237">
        <f>SUM(C35:C43)</f>
        <v>182797086.82331371</v>
      </c>
      <c r="D44" s="237">
        <f>SUM(D35:D43)</f>
        <v>207470872.22373191</v>
      </c>
      <c r="E44" s="344">
        <f>SUM(E35:E43)</f>
        <v>169765139.98519942</v>
      </c>
      <c r="F44" s="344">
        <f>SUM(F35:F43)</f>
        <v>195133979.52352285</v>
      </c>
      <c r="G44" s="237"/>
    </row>
  </sheetData>
  <customSheetViews>
    <customSheetView guid="{5E394B0B-7867-4722-9497-A93AB2A9A773}" showPageBreaks="1" printArea="1" state="hidden" topLeftCell="A10">
      <selection activeCell="H16" sqref="H16"/>
      <pageMargins left="0" right="0" top="0" bottom="0" header="0" footer="0"/>
      <pageSetup scale="86" orientation="landscape" r:id="rId1"/>
    </customSheetView>
    <customSheetView guid="{B1E1B596-A9A1-411D-A882-A48CB025B978}" showPageBreaks="1" printArea="1" state="hidden" topLeftCell="A10">
      <selection activeCell="H16" sqref="H16"/>
      <pageMargins left="0" right="0" top="0" bottom="0" header="0" footer="0"/>
      <pageSetup scale="86" orientation="landscape" r:id="rId2"/>
    </customSheetView>
    <customSheetView guid="{46F31544-8E6F-41C5-8628-1D6EE074AF15}" state="hidden" topLeftCell="A10">
      <selection activeCell="H16" sqref="H16"/>
      <pageMargins left="0" right="0" top="0" bottom="0" header="0" footer="0"/>
      <pageSetup scale="86" orientation="landscape" r:id="rId3"/>
    </customSheetView>
    <customSheetView guid="{B2E1A0C6-5BA1-4CF1-B412-16D81FCDF11F}" showPageBreaks="1" printArea="1" state="hidden" topLeftCell="A10">
      <selection activeCell="H16" sqref="H16"/>
      <pageMargins left="0" right="0" top="0" bottom="0" header="0" footer="0"/>
      <pageSetup scale="86" orientation="landscape" r:id="rId4"/>
    </customSheetView>
    <customSheetView guid="{967E0446-E234-427F-8E57-7FE287052E2E}" showPageBreaks="1" printArea="1" state="hidden" topLeftCell="A10">
      <selection activeCell="H16" sqref="H16"/>
      <pageMargins left="0" right="0" top="0" bottom="0" header="0" footer="0"/>
      <pageSetup scale="86" orientation="landscape" r:id="rId5"/>
    </customSheetView>
    <customSheetView guid="{2ACFE167-4169-43A6-9AB2-59D5A2DA2DB4}" showPageBreaks="1" printArea="1" state="hidden" topLeftCell="A10">
      <selection activeCell="H16" sqref="H16"/>
      <pageMargins left="0" right="0" top="0" bottom="0" header="0" footer="0"/>
      <pageSetup scale="86" orientation="landscape" r:id="rId6"/>
    </customSheetView>
  </customSheetViews>
  <mergeCells count="4">
    <mergeCell ref="A4:A5"/>
    <mergeCell ref="B4:D4"/>
    <mergeCell ref="E4:G4"/>
    <mergeCell ref="A31:H31"/>
  </mergeCells>
  <pageMargins left="0.7" right="0.7" top="0.75" bottom="0.75" header="0.3" footer="0.3"/>
  <pageSetup scale="86" orientation="landscape" r:id="rId7"/>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tabColor rgb="FF00B050"/>
  </sheetPr>
  <dimension ref="A2:H44"/>
  <sheetViews>
    <sheetView topLeftCell="A16" workbookViewId="0">
      <selection activeCell="C47" sqref="C47"/>
    </sheetView>
  </sheetViews>
  <sheetFormatPr defaultColWidth="9.140625" defaultRowHeight="12.75"/>
  <cols>
    <col min="1" max="1" width="21.42578125" style="2" customWidth="1"/>
    <col min="2" max="2" width="13.5703125" style="2" customWidth="1"/>
    <col min="3" max="3" width="13.85546875" style="2" customWidth="1"/>
    <col min="4" max="5" width="13.7109375" style="2" customWidth="1"/>
    <col min="6" max="6" width="14" style="2" customWidth="1"/>
    <col min="7" max="7" width="11.85546875" style="2" customWidth="1"/>
    <col min="8" max="8" width="14.28515625" style="2" bestFit="1" customWidth="1"/>
    <col min="9" max="16384" width="9.140625" style="2"/>
  </cols>
  <sheetData>
    <row r="2" spans="1:7">
      <c r="A2" s="1" t="s">
        <v>648</v>
      </c>
    </row>
    <row r="3" spans="1:7" ht="13.5" thickBot="1"/>
    <row r="4" spans="1:7" ht="23.25" customHeight="1">
      <c r="A4" s="3816" t="s">
        <v>622</v>
      </c>
      <c r="B4" s="3820" t="s">
        <v>206</v>
      </c>
      <c r="C4" s="3821"/>
      <c r="D4" s="3822"/>
      <c r="E4" s="3817" t="s">
        <v>207</v>
      </c>
      <c r="F4" s="3818"/>
      <c r="G4" s="3819"/>
    </row>
    <row r="5" spans="1:7" ht="62.25" customHeight="1">
      <c r="A5" s="3816"/>
      <c r="B5" s="3007" t="s">
        <v>623</v>
      </c>
      <c r="C5" s="2998" t="s">
        <v>649</v>
      </c>
      <c r="D5" s="3008" t="s">
        <v>625</v>
      </c>
      <c r="E5" s="3007" t="s">
        <v>626</v>
      </c>
      <c r="F5" s="2998" t="s">
        <v>650</v>
      </c>
      <c r="G5" s="3008" t="s">
        <v>625</v>
      </c>
    </row>
    <row r="6" spans="1:7" ht="25.5">
      <c r="A6" s="3009" t="s">
        <v>222</v>
      </c>
      <c r="B6" s="3010">
        <f>SUM(B7:B9)</f>
        <v>10932807.229024513</v>
      </c>
      <c r="C6" s="2994">
        <v>91445229.242670387</v>
      </c>
      <c r="D6" s="3011">
        <f>B6/C6*100</f>
        <v>11.95557966180156</v>
      </c>
      <c r="E6" s="3010">
        <f>SUM(E7:E9)</f>
        <v>11880429.152922077</v>
      </c>
      <c r="F6" s="2994">
        <v>96085489.538927764</v>
      </c>
      <c r="G6" s="3012">
        <f>E6/F6*100</f>
        <v>12.364436305555667</v>
      </c>
    </row>
    <row r="7" spans="1:7">
      <c r="A7" s="3013" t="s">
        <v>628</v>
      </c>
      <c r="B7" s="2022">
        <f>VLOOKUP(A7,'[2]InV Income  - Life'!B7:F27,5,0)+VLOOKUP('[2]Investment Income LI '!A7,'[2]InV Income  - Life'!B7:J27,9,0)</f>
        <v>9137669.0239545126</v>
      </c>
      <c r="C7" s="2022"/>
      <c r="D7" s="2022"/>
      <c r="E7" s="3014">
        <v>9612859.4406555854</v>
      </c>
      <c r="F7" s="2022"/>
      <c r="G7" s="3012"/>
    </row>
    <row r="8" spans="1:7">
      <c r="A8" s="3013" t="s">
        <v>629</v>
      </c>
      <c r="B8" s="2022">
        <f>VLOOKUP(A8,'[2]InV Income  - Life'!B8:F28,5,0)+VLOOKUP('[2]Investment Income LI '!A8,'[2]InV Income  - Life'!B8:J28,9,0)</f>
        <v>186641.66677000001</v>
      </c>
      <c r="C8" s="2022"/>
      <c r="D8" s="2022"/>
      <c r="E8" s="3014">
        <v>249376.68720708851</v>
      </c>
      <c r="F8" s="2022"/>
      <c r="G8" s="3012"/>
    </row>
    <row r="9" spans="1:7">
      <c r="A9" s="3013" t="s">
        <v>630</v>
      </c>
      <c r="B9" s="2022">
        <f>VLOOKUP(A9,'[2]InV Income  - Life'!B9:F29,5,0)+VLOOKUP('[2]Investment Income LI '!A9,'[2]InV Income  - Life'!B9:J29,9,0)</f>
        <v>1608496.5382999999</v>
      </c>
      <c r="C9" s="2022"/>
      <c r="D9" s="2022"/>
      <c r="E9" s="3014">
        <v>2018193.0250594034</v>
      </c>
      <c r="F9" s="2022"/>
      <c r="G9" s="3012"/>
    </row>
    <row r="10" spans="1:7">
      <c r="A10" s="3015" t="s">
        <v>631</v>
      </c>
      <c r="B10" s="2994">
        <f>SUM(B11:B12)</f>
        <v>-69948.105779999867</v>
      </c>
      <c r="C10" s="2994">
        <v>24759141.967679288</v>
      </c>
      <c r="D10" s="3011">
        <f>B10/C10*100</f>
        <v>-0.28251425623436582</v>
      </c>
      <c r="E10" s="3010">
        <f>SUM(E11:E12)</f>
        <v>914352.7882699999</v>
      </c>
      <c r="F10" s="2994">
        <v>25733073.914437652</v>
      </c>
      <c r="G10" s="3012">
        <f>E10/F10*100</f>
        <v>3.5532202305492868</v>
      </c>
    </row>
    <row r="11" spans="1:7">
      <c r="A11" s="3013" t="s">
        <v>632</v>
      </c>
      <c r="B11" s="3014">
        <v>-855776.82077999995</v>
      </c>
      <c r="C11" s="2022"/>
      <c r="D11" s="3016"/>
      <c r="E11" s="3014">
        <v>-92781.190640000073</v>
      </c>
      <c r="F11" s="2022"/>
      <c r="G11" s="3017"/>
    </row>
    <row r="12" spans="1:7">
      <c r="A12" s="3013" t="s">
        <v>633</v>
      </c>
      <c r="B12" s="3014">
        <v>785828.71500000008</v>
      </c>
      <c r="C12" s="2022"/>
      <c r="D12" s="3016"/>
      <c r="E12" s="3014">
        <v>1007133.9789099999</v>
      </c>
      <c r="F12" s="2022"/>
      <c r="G12" s="3017"/>
    </row>
    <row r="13" spans="1:7">
      <c r="A13" s="3015" t="s">
        <v>634</v>
      </c>
      <c r="B13" s="3010">
        <f>SUM(B14:B17)</f>
        <v>1636238.8744821211</v>
      </c>
      <c r="C13" s="2994">
        <v>11986395.403613916</v>
      </c>
      <c r="D13" s="3011">
        <f>B13/C13*100</f>
        <v>13.650800089481386</v>
      </c>
      <c r="E13" s="3010">
        <f>SUM(E14:E17)</f>
        <v>2558858.3499542433</v>
      </c>
      <c r="F13" s="2994">
        <v>23110025.30414727</v>
      </c>
      <c r="G13" s="3012">
        <f>E13/F13*100</f>
        <v>11.072503453706894</v>
      </c>
    </row>
    <row r="14" spans="1:7">
      <c r="A14" s="3018" t="s">
        <v>635</v>
      </c>
      <c r="B14" s="2022">
        <f>VLOOKUP(A14,'[2]InV Income  - Life'!B14:F34,5,0)+VLOOKUP('[2]Investment Income LI '!A14,'[2]InV Income  - Life'!B14:J34,9,0)</f>
        <v>1504614.9553747794</v>
      </c>
      <c r="C14" s="2022"/>
      <c r="D14" s="3016"/>
      <c r="E14" s="3014">
        <v>2419956.8851926178</v>
      </c>
      <c r="F14" s="2022"/>
      <c r="G14" s="3017"/>
    </row>
    <row r="15" spans="1:7">
      <c r="A15" s="3018" t="s">
        <v>636</v>
      </c>
      <c r="B15" s="2022">
        <f>VLOOKUP(A15,'[2]InV Income  - Life'!B15:F35,5,0)+VLOOKUP('[2]Investment Income LI '!A15,'[2]InV Income  - Life'!B15:J35,9,0)</f>
        <v>125876.37511196753</v>
      </c>
      <c r="C15" s="2022"/>
      <c r="D15" s="3016"/>
      <c r="E15" s="3014">
        <v>119306.13954316938</v>
      </c>
      <c r="F15" s="2022"/>
      <c r="G15" s="3017"/>
    </row>
    <row r="16" spans="1:7" ht="30" customHeight="1">
      <c r="A16" s="3018" t="s">
        <v>651</v>
      </c>
      <c r="B16" s="2022">
        <f>VLOOKUP(A16,'[2]InV Income  - Life'!B16:F36,5,0)+VLOOKUP('[2]Investment Income LI '!A16,'[2]InV Income  - Life'!B16:J36,9,0)</f>
        <v>5747.543995374127</v>
      </c>
      <c r="C16" s="2022"/>
      <c r="D16" s="3016"/>
      <c r="E16" s="3014">
        <v>19595.325218456117</v>
      </c>
      <c r="F16" s="2022"/>
      <c r="G16" s="3017"/>
    </row>
    <row r="17" spans="1:8" ht="25.5">
      <c r="A17" s="3018" t="s">
        <v>652</v>
      </c>
      <c r="B17" s="2022">
        <f>VLOOKUP(A17,'[2]InV Income  - Life'!B17:F37,5,0)+VLOOKUP('[2]Investment Income LI '!A17,'[2]InV Income  - Life'!B17:J37,9,0)</f>
        <v>0</v>
      </c>
      <c r="C17" s="2022"/>
      <c r="D17" s="3016"/>
      <c r="E17" s="3014">
        <v>0</v>
      </c>
      <c r="F17" s="2022"/>
      <c r="G17" s="3017"/>
    </row>
    <row r="18" spans="1:8">
      <c r="A18" s="3015" t="s">
        <v>639</v>
      </c>
      <c r="B18" s="2994">
        <f>+'[2]InV Income  - Life'!N18</f>
        <v>56208.679359999995</v>
      </c>
      <c r="C18" s="2994">
        <v>5915963.0320727769</v>
      </c>
      <c r="D18" s="3011">
        <f>B18/C18*100</f>
        <v>0.95011884041990291</v>
      </c>
      <c r="E18" s="3010">
        <v>65635.83</v>
      </c>
      <c r="F18" s="2994">
        <v>6040643.7781865541</v>
      </c>
      <c r="G18" s="3012">
        <f>E18/F18*100</f>
        <v>1.0865701142156137</v>
      </c>
    </row>
    <row r="19" spans="1:8">
      <c r="A19" s="3015" t="s">
        <v>640</v>
      </c>
      <c r="B19" s="3010">
        <f>SUM(B20:B21)</f>
        <v>3778231.9995539719</v>
      </c>
      <c r="C19" s="2994">
        <v>28815685.132265575</v>
      </c>
      <c r="D19" s="3011">
        <f>B19/C19*100</f>
        <v>13.111720169802243</v>
      </c>
      <c r="E19" s="3010">
        <f>SUM(E20:E21)</f>
        <v>5813633.5945394058</v>
      </c>
      <c r="F19" s="2994">
        <v>36314036.846678108</v>
      </c>
      <c r="G19" s="3012">
        <f>E19/F19*100</f>
        <v>16.009328896936498</v>
      </c>
    </row>
    <row r="20" spans="1:8">
      <c r="A20" s="3019" t="s">
        <v>641</v>
      </c>
      <c r="B20" s="3014">
        <v>3656310.0990701825</v>
      </c>
      <c r="C20" s="2022"/>
      <c r="D20" s="3016"/>
      <c r="E20" s="3014">
        <v>5649639.4438144295</v>
      </c>
      <c r="F20" s="2022"/>
      <c r="G20" s="3017"/>
    </row>
    <row r="21" spans="1:8">
      <c r="A21" s="3013" t="s">
        <v>642</v>
      </c>
      <c r="B21" s="3014">
        <v>121921.90048378942</v>
      </c>
      <c r="C21" s="2022"/>
      <c r="D21" s="3016"/>
      <c r="E21" s="3014">
        <v>163994.15072497641</v>
      </c>
      <c r="F21" s="2022"/>
      <c r="G21" s="3020"/>
    </row>
    <row r="22" spans="1:8">
      <c r="A22" s="3015" t="s">
        <v>643</v>
      </c>
      <c r="B22" s="3010">
        <v>123616.50711999999</v>
      </c>
      <c r="C22" s="2994">
        <v>1441082.0082959128</v>
      </c>
      <c r="D22" s="3011">
        <f>B22/C22*100</f>
        <v>8.5780341721271771</v>
      </c>
      <c r="E22" s="3010">
        <v>106619.3315</v>
      </c>
      <c r="F22" s="2994">
        <v>1945956.3887018778</v>
      </c>
      <c r="G22" s="3012">
        <f>E22/F22*100</f>
        <v>5.4790195771614574</v>
      </c>
    </row>
    <row r="23" spans="1:8">
      <c r="A23" s="3015" t="s">
        <v>644</v>
      </c>
      <c r="B23" s="3010">
        <v>25886.913</v>
      </c>
      <c r="C23" s="2994">
        <v>71374.043999999994</v>
      </c>
      <c r="D23" s="3011">
        <f>B23/C23*100</f>
        <v>36.269365653429979</v>
      </c>
      <c r="E23" s="3010">
        <v>-10968</v>
      </c>
      <c r="F23" s="2994">
        <v>30563.5</v>
      </c>
      <c r="G23" s="3012">
        <f>E23/F23*100</f>
        <v>-35.885942382253347</v>
      </c>
    </row>
    <row r="24" spans="1:8">
      <c r="A24" s="3015" t="s">
        <v>228</v>
      </c>
      <c r="B24" s="3010">
        <v>56895.01468</v>
      </c>
      <c r="C24" s="2994">
        <v>4463050.0663699992</v>
      </c>
      <c r="D24" s="3011">
        <f>B24/C24*100</f>
        <v>1.2748011748448811</v>
      </c>
      <c r="E24" s="3010">
        <v>25895.240530000003</v>
      </c>
      <c r="F24" s="2994">
        <v>4930651.4600959588</v>
      </c>
      <c r="G24" s="3012">
        <f>E24/F24*100</f>
        <v>0.525189029067896</v>
      </c>
    </row>
    <row r="25" spans="1:8">
      <c r="A25" s="3015" t="s">
        <v>645</v>
      </c>
      <c r="B25" s="3010">
        <v>632488.06532000005</v>
      </c>
      <c r="C25" s="2994">
        <v>867219.08823154087</v>
      </c>
      <c r="D25" s="3011">
        <f>B25/C25*100</f>
        <v>72.932904026569418</v>
      </c>
      <c r="E25" s="3010">
        <v>124374.35172000002</v>
      </c>
      <c r="F25" s="2994">
        <v>943538.79234764061</v>
      </c>
      <c r="G25" s="3012">
        <f>E25/F25*100</f>
        <v>13.181689266907759</v>
      </c>
    </row>
    <row r="26" spans="1:8" ht="30" customHeight="1" thickBot="1">
      <c r="A26" s="3021" t="s">
        <v>158</v>
      </c>
      <c r="B26" s="275">
        <f>+B6+B10+B13+B18+B19+B22+B23+B24+B25</f>
        <v>17172425.176760606</v>
      </c>
      <c r="C26" s="276">
        <f>SUM(C6:C25)</f>
        <v>169765139.98519942</v>
      </c>
      <c r="D26" s="277">
        <f>+B26/C26*100</f>
        <v>10.115401299853282</v>
      </c>
      <c r="E26" s="275">
        <f>+E6+E10+E13+E18+E19+E22+E23+E24+E25</f>
        <v>21478830.639435727</v>
      </c>
      <c r="F26" s="276">
        <f>SUM(F6:F25)</f>
        <v>195133979.52352285</v>
      </c>
      <c r="G26" s="3022">
        <f>E26/F26*100</f>
        <v>11.007222161861623</v>
      </c>
    </row>
    <row r="27" spans="1:8" s="238" customFormat="1">
      <c r="B27" s="239" t="e">
        <f>+#REF!</f>
        <v>#REF!</v>
      </c>
      <c r="C27" s="239"/>
      <c r="D27" s="239"/>
      <c r="E27" s="239" t="e">
        <f>+#REF!</f>
        <v>#REF!</v>
      </c>
      <c r="F27" s="239"/>
      <c r="G27" s="239"/>
      <c r="H27" s="239"/>
    </row>
    <row r="28" spans="1:8">
      <c r="B28" s="240"/>
      <c r="C28" s="237"/>
      <c r="D28" s="237"/>
      <c r="E28" s="240"/>
      <c r="F28" s="240"/>
      <c r="G28" s="240"/>
      <c r="H28" s="240"/>
    </row>
    <row r="29" spans="1:8">
      <c r="A29" s="3815" t="s">
        <v>653</v>
      </c>
      <c r="B29" s="3815"/>
      <c r="C29" s="3815"/>
      <c r="D29" s="3815"/>
      <c r="E29" s="3815"/>
      <c r="F29" s="3815"/>
      <c r="G29" s="3815"/>
      <c r="H29" s="3815"/>
    </row>
    <row r="30" spans="1:8">
      <c r="A30" s="233"/>
      <c r="B30" s="240"/>
      <c r="C30" s="237"/>
      <c r="D30" s="237"/>
    </row>
    <row r="32" spans="1:8" hidden="1">
      <c r="B32" s="2">
        <v>2010</v>
      </c>
      <c r="C32" s="2">
        <v>2011</v>
      </c>
      <c r="D32" s="2">
        <v>2012</v>
      </c>
      <c r="E32" s="2" t="s">
        <v>654</v>
      </c>
      <c r="F32" s="2" t="s">
        <v>646</v>
      </c>
    </row>
    <row r="33" spans="1:7" hidden="1">
      <c r="A33" s="3023" t="s">
        <v>222</v>
      </c>
      <c r="B33" s="237">
        <f>+'[3]BS 2010'!$Q$13</f>
        <v>70038347.676369995</v>
      </c>
      <c r="C33" s="237" t="e">
        <f>+#REF!</f>
        <v>#REF!</v>
      </c>
      <c r="D33" s="237" t="e">
        <f>+#REF!</f>
        <v>#REF!</v>
      </c>
      <c r="E33" s="237" t="e">
        <f>+(B33+C33)/2</f>
        <v>#REF!</v>
      </c>
      <c r="F33" s="237" t="e">
        <f>+(C33+D33)/2</f>
        <v>#REF!</v>
      </c>
      <c r="G33" s="237"/>
    </row>
    <row r="34" spans="1:7" hidden="1">
      <c r="A34" s="3024" t="s">
        <v>631</v>
      </c>
      <c r="B34" s="237">
        <f>+'[3]BS 2010'!$Q$14+'[3]BS 2010'!$Q$15+'[3]BS 2010'!$Q$16</f>
        <v>21771069.44447</v>
      </c>
      <c r="C34" s="237" t="e">
        <f>+#REF!+#REF!+#REF!</f>
        <v>#REF!</v>
      </c>
      <c r="D34" s="237" t="e">
        <f>+#REF!+#REF!+#REF!</f>
        <v>#REF!</v>
      </c>
      <c r="E34" s="237" t="e">
        <f t="shared" ref="E34:E41" si="0">+(B34+C34)/2</f>
        <v>#REF!</v>
      </c>
      <c r="F34" s="237" t="e">
        <f t="shared" ref="F34:F41" si="1">+(C34+D34)/2</f>
        <v>#REF!</v>
      </c>
      <c r="G34" s="237"/>
    </row>
    <row r="35" spans="1:7" hidden="1">
      <c r="A35" s="3024" t="s">
        <v>634</v>
      </c>
      <c r="B35" s="237">
        <f>+'[3]BS 2010'!$Q$17</f>
        <v>8606697.7198600005</v>
      </c>
      <c r="C35" s="237" t="e">
        <f>+#REF!</f>
        <v>#REF!</v>
      </c>
      <c r="D35" s="237" t="e">
        <f>+#REF!</f>
        <v>#REF!</v>
      </c>
      <c r="E35" s="237" t="e">
        <f t="shared" si="0"/>
        <v>#REF!</v>
      </c>
      <c r="F35" s="237" t="e">
        <f t="shared" si="1"/>
        <v>#REF!</v>
      </c>
      <c r="G35" s="237"/>
    </row>
    <row r="36" spans="1:7" hidden="1">
      <c r="A36" s="3024" t="s">
        <v>639</v>
      </c>
      <c r="B36" s="237">
        <f>+'[3]BS 2010'!$Q$18</f>
        <v>482049</v>
      </c>
      <c r="C36" s="237" t="e">
        <f>+#REF!</f>
        <v>#REF!</v>
      </c>
      <c r="D36" s="237" t="e">
        <f>+#REF!</f>
        <v>#REF!</v>
      </c>
      <c r="E36" s="237" t="e">
        <f t="shared" si="0"/>
        <v>#REF!</v>
      </c>
      <c r="F36" s="237" t="e">
        <f t="shared" si="1"/>
        <v>#REF!</v>
      </c>
      <c r="G36" s="237"/>
    </row>
    <row r="37" spans="1:7" hidden="1">
      <c r="A37" s="3024" t="s">
        <v>640</v>
      </c>
      <c r="B37" s="237">
        <f>+'[3]BS 2010'!$Q$19</f>
        <v>19151994.766230002</v>
      </c>
      <c r="C37" s="237" t="e">
        <f>+#REF!</f>
        <v>#REF!</v>
      </c>
      <c r="D37" s="237" t="e">
        <f>+#REF!</f>
        <v>#REF!</v>
      </c>
      <c r="E37" s="237" t="e">
        <f t="shared" si="0"/>
        <v>#REF!</v>
      </c>
      <c r="F37" s="237" t="e">
        <f t="shared" si="1"/>
        <v>#REF!</v>
      </c>
      <c r="G37" s="237"/>
    </row>
    <row r="38" spans="1:7" hidden="1">
      <c r="A38" s="3024" t="s">
        <v>643</v>
      </c>
      <c r="B38" s="237">
        <f>+'[3]BS 2010'!$Q$20</f>
        <v>1246496</v>
      </c>
      <c r="C38" s="237" t="e">
        <f>+#REF!</f>
        <v>#REF!</v>
      </c>
      <c r="D38" s="237" t="e">
        <f>+#REF!</f>
        <v>#REF!</v>
      </c>
      <c r="E38" s="237" t="e">
        <f t="shared" si="0"/>
        <v>#REF!</v>
      </c>
      <c r="F38" s="237" t="e">
        <f t="shared" si="1"/>
        <v>#REF!</v>
      </c>
      <c r="G38" s="237"/>
    </row>
    <row r="39" spans="1:7" hidden="1">
      <c r="A39" s="3024" t="s">
        <v>644</v>
      </c>
      <c r="B39" s="237">
        <f>+'[3]BS 2010'!$Q$21</f>
        <v>0</v>
      </c>
      <c r="C39" s="237" t="e">
        <f>+#REF!</f>
        <v>#REF!</v>
      </c>
      <c r="D39" s="237" t="e">
        <f>+#REF!</f>
        <v>#REF!</v>
      </c>
      <c r="E39" s="237" t="e">
        <f t="shared" si="0"/>
        <v>#REF!</v>
      </c>
      <c r="F39" s="237" t="e">
        <f t="shared" si="1"/>
        <v>#REF!</v>
      </c>
      <c r="G39" s="237"/>
    </row>
    <row r="40" spans="1:7" hidden="1">
      <c r="A40" s="3024" t="s">
        <v>228</v>
      </c>
      <c r="B40" s="237">
        <f>+'[3]BS 2010'!$Q$23</f>
        <v>4190810.7754799998</v>
      </c>
      <c r="C40" s="237" t="e">
        <f>+#REF!</f>
        <v>#REF!</v>
      </c>
      <c r="D40" s="237" t="e">
        <f>+#REF!</f>
        <v>#REF!</v>
      </c>
      <c r="E40" s="237" t="e">
        <f t="shared" si="0"/>
        <v>#REF!</v>
      </c>
      <c r="F40" s="237" t="e">
        <f t="shared" si="1"/>
        <v>#REF!</v>
      </c>
      <c r="G40" s="237"/>
    </row>
    <row r="41" spans="1:7" hidden="1">
      <c r="A41" s="3024" t="s">
        <v>645</v>
      </c>
      <c r="B41" s="237">
        <f>+'[3]BS 2010'!$Q$28+'[3]BS 2010'!$Q$24</f>
        <v>218622</v>
      </c>
      <c r="C41" s="237" t="e">
        <f>+#REF!</f>
        <v>#REF!</v>
      </c>
      <c r="D41" s="237" t="e">
        <f>+#REF!</f>
        <v>#REF!</v>
      </c>
      <c r="E41" s="237" t="e">
        <f t="shared" si="0"/>
        <v>#REF!</v>
      </c>
      <c r="F41" s="237" t="e">
        <f t="shared" si="1"/>
        <v>#REF!</v>
      </c>
      <c r="G41" s="237"/>
    </row>
    <row r="42" spans="1:7" hidden="1">
      <c r="B42" s="237">
        <f>SUM(B33:B41)</f>
        <v>125706087.38241</v>
      </c>
      <c r="C42" s="237" t="e">
        <f>SUM(C33:C41)</f>
        <v>#REF!</v>
      </c>
      <c r="D42" s="237" t="e">
        <f>SUM(D33:D41)</f>
        <v>#REF!</v>
      </c>
      <c r="E42" s="237" t="e">
        <f>SUM(E33:E41)</f>
        <v>#REF!</v>
      </c>
      <c r="F42" s="237" t="e">
        <f>SUM(F33:F41)</f>
        <v>#REF!</v>
      </c>
      <c r="G42" s="237"/>
    </row>
    <row r="43" spans="1:7" hidden="1"/>
    <row r="44" spans="1:7" hidden="1"/>
  </sheetData>
  <customSheetViews>
    <customSheetView guid="{5E394B0B-7867-4722-9497-A93AB2A9A773}" showPageBreaks="1" printArea="1" hiddenRows="1" state="hidden" topLeftCell="A16">
      <selection activeCell="C47" sqref="C47"/>
      <pageMargins left="0" right="0" top="0" bottom="0" header="0" footer="0"/>
      <pageSetup scale="86" orientation="landscape" r:id="rId1"/>
    </customSheetView>
    <customSheetView guid="{B1E1B596-A9A1-411D-A882-A48CB025B978}" showPageBreaks="1" printArea="1" hiddenRows="1" state="hidden" topLeftCell="A16">
      <selection activeCell="C47" sqref="C47"/>
      <pageMargins left="0" right="0" top="0" bottom="0" header="0" footer="0"/>
      <pageSetup scale="86" orientation="landscape" r:id="rId2"/>
    </customSheetView>
    <customSheetView guid="{E82B35BE-4719-4C53-A9EF-1CC6F153A6F3}" showPageBreaks="1" printArea="1" hiddenRows="1">
      <selection activeCell="E5" sqref="E5"/>
      <pageMargins left="0" right="0" top="0" bottom="0" header="0" footer="0"/>
      <pageSetup scale="86" orientation="landscape" r:id="rId3"/>
    </customSheetView>
    <customSheetView guid="{46F31544-8E6F-41C5-8628-1D6EE074AF15}" hiddenRows="1" state="hidden" topLeftCell="A16">
      <selection activeCell="C47" sqref="C47"/>
      <pageMargins left="0" right="0" top="0" bottom="0" header="0" footer="0"/>
      <pageSetup scale="86" orientation="landscape" r:id="rId4"/>
    </customSheetView>
    <customSheetView guid="{B2E1A0C6-5BA1-4CF1-B412-16D81FCDF11F}" showPageBreaks="1" printArea="1" hiddenRows="1" state="hidden" topLeftCell="A16">
      <selection activeCell="C47" sqref="C47"/>
      <pageMargins left="0" right="0" top="0" bottom="0" header="0" footer="0"/>
      <pageSetup scale="86" orientation="landscape" r:id="rId5"/>
    </customSheetView>
    <customSheetView guid="{967E0446-E234-427F-8E57-7FE287052E2E}" showPageBreaks="1" printArea="1" hiddenRows="1" state="hidden" topLeftCell="A16">
      <selection activeCell="C47" sqref="C47"/>
      <pageMargins left="0" right="0" top="0" bottom="0" header="0" footer="0"/>
      <pageSetup scale="86" orientation="landscape" r:id="rId6"/>
    </customSheetView>
    <customSheetView guid="{2ACFE167-4169-43A6-9AB2-59D5A2DA2DB4}" showPageBreaks="1" printArea="1" hiddenRows="1" state="hidden" topLeftCell="A16">
      <selection activeCell="C47" sqref="C47"/>
      <pageMargins left="0" right="0" top="0" bottom="0" header="0" footer="0"/>
      <pageSetup scale="86" orientation="landscape" r:id="rId7"/>
    </customSheetView>
  </customSheetViews>
  <mergeCells count="4">
    <mergeCell ref="A4:A5"/>
    <mergeCell ref="E4:G4"/>
    <mergeCell ref="B4:D4"/>
    <mergeCell ref="A29:H29"/>
  </mergeCells>
  <pageMargins left="0.7" right="0.7" top="0.75" bottom="0.75" header="0.3" footer="0.3"/>
  <pageSetup scale="86" orientation="landscape"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L188"/>
  <sheetViews>
    <sheetView workbookViewId="0">
      <selection activeCell="H83" sqref="H83"/>
    </sheetView>
  </sheetViews>
  <sheetFormatPr defaultRowHeight="15"/>
  <cols>
    <col min="1" max="1" width="5.140625" customWidth="1"/>
    <col min="2" max="2" width="42.5703125" bestFit="1" customWidth="1"/>
    <col min="3" max="3" width="13.7109375" customWidth="1"/>
    <col min="4" max="4" width="14.5703125" customWidth="1"/>
    <col min="5" max="5" width="14.28515625" bestFit="1" customWidth="1"/>
    <col min="6" max="6" width="13.7109375" customWidth="1"/>
    <col min="7" max="7" width="13.42578125" customWidth="1"/>
    <col min="8" max="8" width="11.5703125" bestFit="1" customWidth="1"/>
    <col min="12" max="12" width="12.5703125" customWidth="1"/>
  </cols>
  <sheetData>
    <row r="1" spans="1:12">
      <c r="B1" s="15" t="s">
        <v>655</v>
      </c>
    </row>
    <row r="3" spans="1:12" s="54" customFormat="1" ht="22.5">
      <c r="A3" s="2917"/>
      <c r="B3" s="3024" t="s">
        <v>656</v>
      </c>
      <c r="C3" s="2905" t="s">
        <v>657</v>
      </c>
      <c r="D3" s="2905" t="s">
        <v>658</v>
      </c>
      <c r="E3" s="2905" t="s">
        <v>659</v>
      </c>
      <c r="F3" s="2905" t="s">
        <v>660</v>
      </c>
      <c r="G3" s="2905" t="s">
        <v>661</v>
      </c>
    </row>
    <row r="4" spans="1:12" s="54" customFormat="1" ht="12.75">
      <c r="A4" s="63">
        <v>1</v>
      </c>
      <c r="B4" s="63" t="s">
        <v>662</v>
      </c>
      <c r="C4" s="3025">
        <v>106726845.58342999</v>
      </c>
      <c r="D4" s="3025">
        <v>124494629.17119999</v>
      </c>
      <c r="E4" s="3025">
        <v>152792034.83136511</v>
      </c>
      <c r="F4" s="3025">
        <v>172254824.62086499</v>
      </c>
      <c r="G4" s="3026"/>
    </row>
    <row r="5" spans="1:12" s="54" customFormat="1" ht="12.75">
      <c r="A5" s="65">
        <v>2</v>
      </c>
      <c r="B5" s="65" t="s">
        <v>663</v>
      </c>
      <c r="C5" s="3025">
        <f>SUM(C6:C7)</f>
        <v>86432710.812909991</v>
      </c>
      <c r="D5" s="3025">
        <f>SUM(D6:D7)</f>
        <v>100812244.29128</v>
      </c>
      <c r="E5" s="3025">
        <f>SUM(E6:E7)</f>
        <v>118653456.63091002</v>
      </c>
      <c r="F5" s="3025">
        <f>SUM(F6:F7)</f>
        <v>128379560.31361157</v>
      </c>
      <c r="G5" s="3025">
        <f>SUM(G6:G7)</f>
        <v>0</v>
      </c>
      <c r="H5" s="77"/>
    </row>
    <row r="6" spans="1:12" s="54" customFormat="1" ht="12.75">
      <c r="A6" s="65"/>
      <c r="B6" s="65" t="s">
        <v>664</v>
      </c>
      <c r="C6" s="3025">
        <v>76966510.000239998</v>
      </c>
      <c r="D6" s="3025">
        <v>90135031</v>
      </c>
      <c r="E6" s="3025">
        <v>104608400.65390003</v>
      </c>
      <c r="F6" s="3025">
        <v>117870540.95510709</v>
      </c>
      <c r="G6" s="3026"/>
    </row>
    <row r="7" spans="1:12" s="54" customFormat="1" ht="12.75">
      <c r="A7" s="64"/>
      <c r="B7" s="64" t="s">
        <v>665</v>
      </c>
      <c r="C7" s="3025">
        <v>9466200.8126699999</v>
      </c>
      <c r="D7" s="3025">
        <v>10677213.291280001</v>
      </c>
      <c r="E7" s="3025">
        <v>14045055.977009999</v>
      </c>
      <c r="F7" s="3025">
        <v>10509019.358504478</v>
      </c>
      <c r="G7" s="3026"/>
    </row>
    <row r="8" spans="1:12" s="54" customFormat="1" ht="12.75">
      <c r="A8" s="65">
        <v>3</v>
      </c>
      <c r="B8" s="65" t="s">
        <v>666</v>
      </c>
      <c r="C8" s="3025">
        <f>C4-C5</f>
        <v>20294134.770520002</v>
      </c>
      <c r="D8" s="3025">
        <f>D4-D5</f>
        <v>23682384.879919991</v>
      </c>
      <c r="E8" s="3025">
        <f>E4-E5</f>
        <v>34138578.200455084</v>
      </c>
      <c r="F8" s="3025">
        <f>F4-F5</f>
        <v>43875264.30725342</v>
      </c>
      <c r="G8" s="3025">
        <f>G4-G5</f>
        <v>0</v>
      </c>
    </row>
    <row r="9" spans="1:12" s="54" customFormat="1" ht="12.75" hidden="1">
      <c r="A9" s="117"/>
      <c r="B9" s="117" t="s">
        <v>667</v>
      </c>
      <c r="C9" s="3027">
        <v>16445809.270508002</v>
      </c>
      <c r="D9" s="3027">
        <v>19175633.32991999</v>
      </c>
      <c r="E9" s="3027">
        <v>28908158.167760082</v>
      </c>
      <c r="F9" s="3027">
        <v>37981737.259498514</v>
      </c>
      <c r="G9" s="3026"/>
    </row>
    <row r="10" spans="1:12" s="54" customFormat="1" ht="12.75">
      <c r="A10" s="65">
        <v>4</v>
      </c>
      <c r="B10" s="65" t="s">
        <v>668</v>
      </c>
      <c r="C10" s="3028">
        <v>0.05</v>
      </c>
      <c r="D10" s="3028">
        <v>0.05</v>
      </c>
      <c r="E10" s="3028">
        <v>0.05</v>
      </c>
      <c r="F10" s="3028">
        <v>0.05</v>
      </c>
      <c r="G10" s="3026"/>
    </row>
    <row r="11" spans="1:12" s="54" customFormat="1" ht="12.75">
      <c r="A11" s="65">
        <v>5</v>
      </c>
      <c r="B11" s="177" t="s">
        <v>669</v>
      </c>
      <c r="C11" s="3025">
        <f>C6*C10</f>
        <v>3848325.5000120001</v>
      </c>
      <c r="D11" s="3025">
        <f>D6*D10</f>
        <v>4506751.55</v>
      </c>
      <c r="E11" s="3025">
        <f>E6*E10</f>
        <v>5230420.0326950019</v>
      </c>
      <c r="F11" s="3025">
        <f>F6*F10</f>
        <v>5893527.047755355</v>
      </c>
      <c r="G11" s="3025">
        <f>G6*G10</f>
        <v>0</v>
      </c>
    </row>
    <row r="12" spans="1:12" s="54" customFormat="1" ht="12.75">
      <c r="A12" s="60">
        <v>6</v>
      </c>
      <c r="B12" s="60" t="s">
        <v>670</v>
      </c>
      <c r="C12" s="3028">
        <f>C8/C11</f>
        <v>5.2734974654448328</v>
      </c>
      <c r="D12" s="3028">
        <f>D8/D11</f>
        <v>5.2548680834025543</v>
      </c>
      <c r="E12" s="3028">
        <f>E8/E11</f>
        <v>6.5269286189363651</v>
      </c>
      <c r="F12" s="3028">
        <f>F8/F11</f>
        <v>7.4446530832439333</v>
      </c>
      <c r="G12" s="3028" t="e">
        <f>G8/G11</f>
        <v>#DIV/0!</v>
      </c>
    </row>
    <row r="13" spans="1:12" s="54" customFormat="1" ht="12.75">
      <c r="C13" s="282"/>
      <c r="D13" s="282"/>
      <c r="E13" s="282"/>
      <c r="F13" s="282"/>
    </row>
    <row r="15" spans="1:12" s="54" customFormat="1" ht="25.5">
      <c r="A15" s="2917">
        <v>1</v>
      </c>
      <c r="B15" s="3023" t="s">
        <v>125</v>
      </c>
      <c r="C15" s="3029" t="s">
        <v>671</v>
      </c>
      <c r="D15" s="3029" t="s">
        <v>672</v>
      </c>
      <c r="E15" s="3029" t="s">
        <v>673</v>
      </c>
      <c r="F15" s="3029" t="s">
        <v>674</v>
      </c>
      <c r="G15" s="3029" t="s">
        <v>675</v>
      </c>
      <c r="L15" s="116"/>
    </row>
    <row r="16" spans="1:12" s="54" customFormat="1">
      <c r="A16" s="63">
        <v>1</v>
      </c>
      <c r="B16" s="63" t="s">
        <v>676</v>
      </c>
      <c r="C16" s="3030">
        <v>16948052</v>
      </c>
      <c r="D16" s="3030">
        <v>19664159</v>
      </c>
      <c r="E16" s="3030">
        <v>22935699</v>
      </c>
      <c r="F16" s="3030">
        <v>26445359</v>
      </c>
      <c r="G16" s="3026"/>
      <c r="L16" s="179"/>
    </row>
    <row r="17" spans="1:12" s="54" customFormat="1">
      <c r="A17" s="65">
        <v>2</v>
      </c>
      <c r="B17" s="65" t="s">
        <v>677</v>
      </c>
      <c r="C17" s="3030">
        <f>SUM(C18:C19)</f>
        <v>15802665</v>
      </c>
      <c r="D17" s="3030">
        <f>SUM(D18:D19)</f>
        <v>18355763</v>
      </c>
      <c r="E17" s="3030">
        <f>SUM(E18:E19)</f>
        <v>21134967</v>
      </c>
      <c r="F17" s="3030">
        <f>SUM(F18:F19)</f>
        <v>23614391</v>
      </c>
      <c r="G17" s="3030">
        <f>SUM(G18:G19)</f>
        <v>0</v>
      </c>
      <c r="L17" s="179"/>
    </row>
    <row r="18" spans="1:12" s="54" customFormat="1">
      <c r="A18" s="65"/>
      <c r="B18" s="65" t="s">
        <v>678</v>
      </c>
      <c r="C18" s="3030">
        <v>15127240</v>
      </c>
      <c r="D18" s="3030">
        <v>17445273</v>
      </c>
      <c r="E18" s="3030">
        <v>20199291</v>
      </c>
      <c r="F18" s="3030">
        <v>22399842</v>
      </c>
      <c r="G18" s="3026"/>
      <c r="L18" s="179"/>
    </row>
    <row r="19" spans="1:12" s="54" customFormat="1">
      <c r="A19" s="64"/>
      <c r="B19" s="64" t="s">
        <v>679</v>
      </c>
      <c r="C19" s="3030">
        <v>675425</v>
      </c>
      <c r="D19" s="3030">
        <v>910490</v>
      </c>
      <c r="E19" s="3030">
        <v>935676</v>
      </c>
      <c r="F19" s="3030">
        <v>1214549</v>
      </c>
      <c r="G19" s="3026"/>
      <c r="L19" s="179"/>
    </row>
    <row r="20" spans="1:12" s="54" customFormat="1">
      <c r="A20" s="65">
        <v>3</v>
      </c>
      <c r="B20" s="65" t="s">
        <v>680</v>
      </c>
      <c r="C20" s="3030">
        <f>C16-C17</f>
        <v>1145387</v>
      </c>
      <c r="D20" s="3030">
        <f>D16-D17</f>
        <v>1308396</v>
      </c>
      <c r="E20" s="3030">
        <f>E16-E17</f>
        <v>1800732</v>
      </c>
      <c r="F20" s="3030">
        <f>F16-F17</f>
        <v>2830968</v>
      </c>
      <c r="G20" s="3030">
        <f>G16-G17</f>
        <v>0</v>
      </c>
      <c r="L20" s="179"/>
    </row>
    <row r="21" spans="1:12" s="54" customFormat="1">
      <c r="A21" s="65">
        <v>4</v>
      </c>
      <c r="B21" s="65" t="s">
        <v>668</v>
      </c>
      <c r="C21" s="2983">
        <v>0.05</v>
      </c>
      <c r="D21" s="2983">
        <v>0.05</v>
      </c>
      <c r="E21" s="2983">
        <v>0.05</v>
      </c>
      <c r="F21" s="2983">
        <v>0.05</v>
      </c>
      <c r="G21" s="2983">
        <v>0.05</v>
      </c>
      <c r="L21" s="182"/>
    </row>
    <row r="22" spans="1:12" s="54" customFormat="1">
      <c r="A22" s="65">
        <v>5</v>
      </c>
      <c r="B22" s="283" t="s">
        <v>669</v>
      </c>
      <c r="C22" s="3363">
        <f>C18*C21</f>
        <v>756362</v>
      </c>
      <c r="D22" s="3363">
        <f>D18*D21</f>
        <v>872263.65</v>
      </c>
      <c r="E22" s="3363">
        <f>E18*E21</f>
        <v>1009964.55</v>
      </c>
      <c r="F22" s="3363">
        <f>F18*F21</f>
        <v>1119992.1000000001</v>
      </c>
      <c r="G22" s="3363">
        <f>G18*G21</f>
        <v>0</v>
      </c>
      <c r="L22" s="179"/>
    </row>
    <row r="23" spans="1:12" s="54" customFormat="1">
      <c r="A23" s="60">
        <v>6</v>
      </c>
      <c r="B23" s="3026" t="s">
        <v>670</v>
      </c>
      <c r="C23" s="3031">
        <f>C20/C22</f>
        <v>1.5143370502484259</v>
      </c>
      <c r="D23" s="3031">
        <f>D20/D22</f>
        <v>1.5000006018822405</v>
      </c>
      <c r="E23" s="3031">
        <f>E20/E22</f>
        <v>1.7829655506225441</v>
      </c>
      <c r="F23" s="3031">
        <f>F20/F22</f>
        <v>2.5276678290855799</v>
      </c>
      <c r="G23" s="3031" t="e">
        <f>G20/G22</f>
        <v>#DIV/0!</v>
      </c>
      <c r="L23" s="183"/>
    </row>
    <row r="24" spans="1:12" s="54" customFormat="1">
      <c r="C24" s="280"/>
      <c r="D24" s="280"/>
      <c r="E24" s="280"/>
      <c r="F24" s="280"/>
      <c r="L24" s="183"/>
    </row>
    <row r="25" spans="1:12" s="54" customFormat="1">
      <c r="C25" s="280"/>
      <c r="D25" s="280"/>
      <c r="E25" s="280"/>
      <c r="F25" s="280"/>
      <c r="L25" s="183"/>
    </row>
    <row r="26" spans="1:12" s="54" customFormat="1" ht="25.5">
      <c r="A26" s="2917">
        <v>2</v>
      </c>
      <c r="B26" s="3023" t="s">
        <v>93</v>
      </c>
      <c r="C26" s="3029" t="s">
        <v>671</v>
      </c>
      <c r="D26" s="3029" t="s">
        <v>672</v>
      </c>
      <c r="E26" s="3029" t="s">
        <v>673</v>
      </c>
      <c r="F26" s="3029" t="s">
        <v>674</v>
      </c>
      <c r="G26" s="3029" t="s">
        <v>675</v>
      </c>
      <c r="L26" s="116"/>
    </row>
    <row r="27" spans="1:12" s="54" customFormat="1" ht="12.75">
      <c r="A27" s="63">
        <v>1</v>
      </c>
      <c r="B27" s="63" t="s">
        <v>676</v>
      </c>
      <c r="C27" s="3032">
        <v>202865.08069</v>
      </c>
      <c r="D27" s="3033">
        <v>217427</v>
      </c>
      <c r="E27" s="3033">
        <v>393874.022706574</v>
      </c>
      <c r="F27" s="3033">
        <v>533868.68247930007</v>
      </c>
      <c r="G27" s="3026"/>
      <c r="L27" s="179"/>
    </row>
    <row r="28" spans="1:12" s="54" customFormat="1" ht="12.75">
      <c r="A28" s="65">
        <v>2</v>
      </c>
      <c r="B28" s="65" t="s">
        <v>677</v>
      </c>
      <c r="C28" s="3033">
        <f>SUM(C29:C30)</f>
        <v>106786.02876999999</v>
      </c>
      <c r="D28" s="3033">
        <f>SUM(D29:D30)</f>
        <v>140891</v>
      </c>
      <c r="E28" s="3033">
        <f>SUM(E29:E30)</f>
        <v>252908.2549</v>
      </c>
      <c r="F28" s="3033">
        <f>SUM(F29:F30)</f>
        <v>448356.39187000005</v>
      </c>
      <c r="G28" s="3033">
        <f>SUM(G29:G30)</f>
        <v>0</v>
      </c>
      <c r="L28" s="179"/>
    </row>
    <row r="29" spans="1:12" s="54" customFormat="1" ht="12.75">
      <c r="A29" s="65"/>
      <c r="B29" s="65" t="s">
        <v>678</v>
      </c>
      <c r="C29" s="3032">
        <v>8001.0002400000003</v>
      </c>
      <c r="D29" s="3033">
        <v>66290</v>
      </c>
      <c r="E29" s="3033">
        <v>179223.24911999999</v>
      </c>
      <c r="F29" s="3033">
        <v>370897.93116000004</v>
      </c>
      <c r="G29" s="3026"/>
      <c r="L29" s="179"/>
    </row>
    <row r="30" spans="1:12" s="54" customFormat="1" ht="12.75">
      <c r="A30" s="64"/>
      <c r="B30" s="64" t="s">
        <v>679</v>
      </c>
      <c r="C30" s="3032">
        <v>98785.028529999996</v>
      </c>
      <c r="D30" s="3033">
        <v>74601</v>
      </c>
      <c r="E30" s="3033">
        <v>73685.005780000007</v>
      </c>
      <c r="F30" s="3033">
        <v>77458.460709999985</v>
      </c>
      <c r="G30" s="3026"/>
      <c r="L30" s="179"/>
    </row>
    <row r="31" spans="1:12" s="54" customFormat="1" ht="12.75">
      <c r="A31" s="65">
        <v>3</v>
      </c>
      <c r="B31" s="65" t="s">
        <v>680</v>
      </c>
      <c r="C31" s="3033">
        <f>C27-C28</f>
        <v>96079.051920000013</v>
      </c>
      <c r="D31" s="3033">
        <f>D27-D28</f>
        <v>76536</v>
      </c>
      <c r="E31" s="3033">
        <f>E27-E28</f>
        <v>140965.767806574</v>
      </c>
      <c r="F31" s="3033">
        <f>F27-F28</f>
        <v>85512.29060930002</v>
      </c>
      <c r="G31" s="3033">
        <f>G27-G28</f>
        <v>0</v>
      </c>
      <c r="L31" s="179"/>
    </row>
    <row r="32" spans="1:12" s="54" customFormat="1" ht="12.75">
      <c r="A32" s="65">
        <v>4</v>
      </c>
      <c r="B32" s="65" t="s">
        <v>668</v>
      </c>
      <c r="C32" s="3034">
        <v>0.04</v>
      </c>
      <c r="D32" s="3035">
        <v>0.05</v>
      </c>
      <c r="E32" s="3035">
        <v>0.05</v>
      </c>
      <c r="F32" s="3035">
        <v>0.05</v>
      </c>
      <c r="G32" s="3035">
        <v>0.05</v>
      </c>
    </row>
    <row r="33" spans="1:12" s="54" customFormat="1" ht="12.75">
      <c r="A33" s="65">
        <v>5</v>
      </c>
      <c r="B33" s="65" t="s">
        <v>669</v>
      </c>
      <c r="C33" s="3036">
        <f>C29*C32</f>
        <v>320.04000960000002</v>
      </c>
      <c r="D33" s="3036">
        <f>D29*D32</f>
        <v>3314.5</v>
      </c>
      <c r="E33" s="3036">
        <f>E29*E32</f>
        <v>8961.162456</v>
      </c>
      <c r="F33" s="3037">
        <f>F29*F32</f>
        <v>18544.896558000004</v>
      </c>
      <c r="G33" s="3037">
        <f>G29*G32</f>
        <v>0</v>
      </c>
      <c r="L33" s="180"/>
    </row>
    <row r="34" spans="1:12" s="54" customFormat="1" ht="12.75">
      <c r="A34" s="60">
        <v>6</v>
      </c>
      <c r="B34" s="60" t="s">
        <v>670</v>
      </c>
      <c r="C34" s="3038">
        <f>C31/C33</f>
        <v>300.20950205595796</v>
      </c>
      <c r="D34" s="3038">
        <f>D31/D33</f>
        <v>23.091265650927742</v>
      </c>
      <c r="E34" s="3038">
        <f>E31/E33</f>
        <v>15.730745703889067</v>
      </c>
      <c r="F34" s="3038">
        <f>F31/F33</f>
        <v>4.6110955831895017</v>
      </c>
      <c r="G34" s="3039" t="e">
        <f>G31/G33</f>
        <v>#DIV/0!</v>
      </c>
      <c r="L34" s="181"/>
    </row>
    <row r="35" spans="1:12" s="54" customFormat="1" ht="12.75">
      <c r="C35" s="183"/>
      <c r="D35" s="178"/>
      <c r="E35" s="178"/>
      <c r="F35" s="178"/>
      <c r="L35" s="181"/>
    </row>
    <row r="37" spans="1:12" s="54" customFormat="1" ht="25.5">
      <c r="A37" s="2917">
        <v>3</v>
      </c>
      <c r="B37" s="3023" t="s">
        <v>126</v>
      </c>
      <c r="C37" s="3029" t="s">
        <v>671</v>
      </c>
      <c r="D37" s="3029" t="s">
        <v>672</v>
      </c>
      <c r="E37" s="3029" t="s">
        <v>673</v>
      </c>
      <c r="F37" s="3029" t="s">
        <v>674</v>
      </c>
      <c r="G37" s="3029" t="s">
        <v>675</v>
      </c>
      <c r="L37" s="116"/>
    </row>
    <row r="38" spans="1:12" s="54" customFormat="1" ht="12.75">
      <c r="A38" s="63">
        <v>1</v>
      </c>
      <c r="B38" s="63" t="s">
        <v>676</v>
      </c>
      <c r="C38" s="3033">
        <v>370132</v>
      </c>
      <c r="D38" s="3033">
        <v>467353.09900000005</v>
      </c>
      <c r="E38" s="3033">
        <v>591206.15433689137</v>
      </c>
      <c r="F38" s="3033">
        <v>709057.12350753217</v>
      </c>
      <c r="G38" s="3026"/>
      <c r="L38" s="74"/>
    </row>
    <row r="39" spans="1:12" s="54" customFormat="1" ht="12.75">
      <c r="A39" s="65">
        <v>2</v>
      </c>
      <c r="B39" s="65" t="s">
        <v>677</v>
      </c>
      <c r="C39" s="3033">
        <f>SUM(C40:C41)</f>
        <v>349677</v>
      </c>
      <c r="D39" s="3033">
        <f>SUM(D40:D41)</f>
        <v>464145.76</v>
      </c>
      <c r="E39" s="3033">
        <f>SUM(E40:E41)</f>
        <v>550299.78800000006</v>
      </c>
      <c r="F39" s="3033">
        <f>SUM(F40:F41)</f>
        <v>642759.86699999997</v>
      </c>
      <c r="G39" s="3033">
        <f>SUM(G40:G41)</f>
        <v>0</v>
      </c>
      <c r="L39" s="74"/>
    </row>
    <row r="40" spans="1:12" s="54" customFormat="1" ht="12.75">
      <c r="A40" s="65"/>
      <c r="B40" s="65" t="s">
        <v>678</v>
      </c>
      <c r="C40" s="3033">
        <v>335186</v>
      </c>
      <c r="D40" s="3033">
        <v>391211</v>
      </c>
      <c r="E40" s="3033">
        <v>480210.72700000001</v>
      </c>
      <c r="F40" s="3033">
        <v>560879.52</v>
      </c>
      <c r="G40" s="3026"/>
      <c r="L40" s="74"/>
    </row>
    <row r="41" spans="1:12" s="54" customFormat="1" ht="12.75">
      <c r="A41" s="64"/>
      <c r="B41" s="64" t="s">
        <v>679</v>
      </c>
      <c r="C41" s="3033">
        <v>14491</v>
      </c>
      <c r="D41" s="3033">
        <v>72934.759999999995</v>
      </c>
      <c r="E41" s="3033">
        <v>70089.061000000002</v>
      </c>
      <c r="F41" s="3033">
        <v>81880.346999999994</v>
      </c>
      <c r="G41" s="3026"/>
      <c r="L41" s="74"/>
    </row>
    <row r="42" spans="1:12" s="54" customFormat="1" ht="12.75">
      <c r="A42" s="65">
        <v>3</v>
      </c>
      <c r="B42" s="65" t="s">
        <v>680</v>
      </c>
      <c r="C42" s="3033">
        <f>C38-C39</f>
        <v>20455</v>
      </c>
      <c r="D42" s="3033">
        <f>D38-D39</f>
        <v>3207.3390000000363</v>
      </c>
      <c r="E42" s="3033">
        <f>E38-E39</f>
        <v>40906.366336891311</v>
      </c>
      <c r="F42" s="3033">
        <f>F38-F39</f>
        <v>66297.256507532205</v>
      </c>
      <c r="G42" s="3033">
        <f>G38-G39</f>
        <v>0</v>
      </c>
      <c r="L42" s="74"/>
    </row>
    <row r="43" spans="1:12" s="54" customFormat="1" ht="12.75">
      <c r="A43" s="65">
        <v>4</v>
      </c>
      <c r="B43" s="65" t="s">
        <v>668</v>
      </c>
      <c r="C43" s="3035">
        <v>0.05</v>
      </c>
      <c r="D43" s="3035">
        <v>0.05</v>
      </c>
      <c r="E43" s="3035">
        <v>0.05</v>
      </c>
      <c r="F43" s="3035">
        <v>0.05</v>
      </c>
      <c r="G43" s="3035">
        <v>0.05</v>
      </c>
    </row>
    <row r="44" spans="1:12" s="54" customFormat="1" ht="12.75">
      <c r="A44" s="65">
        <v>5</v>
      </c>
      <c r="B44" s="65" t="s">
        <v>669</v>
      </c>
      <c r="C44" s="3040">
        <f>C40*C43</f>
        <v>16759.3</v>
      </c>
      <c r="D44" s="3040">
        <f>D40*D43</f>
        <v>19560.55</v>
      </c>
      <c r="E44" s="3040">
        <f>E40*E43</f>
        <v>24010.536350000002</v>
      </c>
      <c r="F44" s="3040">
        <f>F40*F43</f>
        <v>28043.976000000002</v>
      </c>
      <c r="G44" s="3040">
        <f>G40*G43</f>
        <v>0</v>
      </c>
      <c r="L44" s="74"/>
    </row>
    <row r="45" spans="1:12" s="54" customFormat="1" ht="12.75">
      <c r="A45" s="60">
        <v>6</v>
      </c>
      <c r="B45" s="60" t="s">
        <v>670</v>
      </c>
      <c r="C45" s="3038">
        <f>C42/C44</f>
        <v>1.2205163700154542</v>
      </c>
      <c r="D45" s="3038">
        <f>D42/D44</f>
        <v>0.16396977590098624</v>
      </c>
      <c r="E45" s="3038">
        <f>E42/E44</f>
        <v>1.7036839885874231</v>
      </c>
      <c r="F45" s="3038">
        <f>F42/F44</f>
        <v>2.3640462574754806</v>
      </c>
      <c r="G45" s="3038" t="e">
        <f>G42/G44</f>
        <v>#DIV/0!</v>
      </c>
      <c r="L45" s="178"/>
    </row>
    <row r="46" spans="1:12" s="54" customFormat="1" ht="12.75">
      <c r="C46" s="178"/>
      <c r="D46" s="178"/>
      <c r="E46" s="178"/>
      <c r="F46" s="178"/>
      <c r="L46" s="178"/>
    </row>
    <row r="47" spans="1:12" s="54" customFormat="1" ht="12.75">
      <c r="C47" s="178"/>
      <c r="D47" s="178"/>
      <c r="E47" s="178"/>
      <c r="F47" s="178"/>
      <c r="L47" s="178"/>
    </row>
    <row r="48" spans="1:12" s="54" customFormat="1" ht="25.5">
      <c r="A48" s="2917">
        <v>4</v>
      </c>
      <c r="B48" s="3024" t="s">
        <v>96</v>
      </c>
      <c r="C48" s="3029" t="s">
        <v>671</v>
      </c>
      <c r="D48" s="3029" t="s">
        <v>672</v>
      </c>
      <c r="E48" s="3029" t="s">
        <v>673</v>
      </c>
      <c r="F48" s="3029" t="s">
        <v>674</v>
      </c>
      <c r="G48" s="3029" t="s">
        <v>675</v>
      </c>
      <c r="L48" s="116"/>
    </row>
    <row r="49" spans="1:12" s="54" customFormat="1" ht="12.75">
      <c r="A49" s="63">
        <v>1</v>
      </c>
      <c r="B49" s="63" t="s">
        <v>676</v>
      </c>
      <c r="C49" s="3041"/>
      <c r="D49" s="3041"/>
      <c r="E49" s="3041">
        <v>500134</v>
      </c>
      <c r="F49" s="3041">
        <f>+'[4]Sheet 3 - Long term Insurance'!$C$266/1000</f>
        <v>193910.85519603215</v>
      </c>
      <c r="G49" s="3026"/>
      <c r="L49" s="179"/>
    </row>
    <row r="50" spans="1:12" s="54" customFormat="1" ht="12.75">
      <c r="A50" s="65">
        <v>2</v>
      </c>
      <c r="B50" s="65" t="s">
        <v>677</v>
      </c>
      <c r="C50" s="3041"/>
      <c r="D50" s="3041"/>
      <c r="E50" s="3041">
        <f>SUM(E51:E52)</f>
        <v>60</v>
      </c>
      <c r="F50" s="3041">
        <f>SUM(F51:F52)</f>
        <v>92973.944271026936</v>
      </c>
      <c r="G50" s="3041">
        <f>SUM(G51:G52)</f>
        <v>0</v>
      </c>
      <c r="L50" s="179"/>
    </row>
    <row r="51" spans="1:12" s="54" customFormat="1" ht="12.75">
      <c r="A51" s="65"/>
      <c r="B51" s="65" t="s">
        <v>678</v>
      </c>
      <c r="C51" s="3041"/>
      <c r="D51" s="3041"/>
      <c r="E51" s="3041"/>
      <c r="F51" s="3041">
        <f>+'[4]Sheet 3 - Long term Insurance'!$C$268/1000</f>
        <v>54242.881046549162</v>
      </c>
      <c r="G51" s="3026"/>
      <c r="L51" s="179"/>
    </row>
    <row r="52" spans="1:12" s="54" customFormat="1" ht="12.75">
      <c r="A52" s="64"/>
      <c r="B52" s="64" t="s">
        <v>679</v>
      </c>
      <c r="C52" s="3041"/>
      <c r="D52" s="3041"/>
      <c r="E52" s="3041">
        <v>60</v>
      </c>
      <c r="F52" s="3041">
        <f>+'[4]Sheet 3 - Long term Insurance'!$C$269/1000</f>
        <v>38731.063224477773</v>
      </c>
      <c r="G52" s="3026"/>
      <c r="L52" s="179"/>
    </row>
    <row r="53" spans="1:12" s="54" customFormat="1" ht="12.75">
      <c r="A53" s="65">
        <v>3</v>
      </c>
      <c r="B53" s="65" t="s">
        <v>680</v>
      </c>
      <c r="C53" s="3041"/>
      <c r="D53" s="3041"/>
      <c r="E53" s="3041">
        <f>E49-E50</f>
        <v>500074</v>
      </c>
      <c r="F53" s="3041">
        <f>F49-F50</f>
        <v>100936.91092500521</v>
      </c>
      <c r="G53" s="3041">
        <f>G49-G50</f>
        <v>0</v>
      </c>
      <c r="L53" s="179"/>
    </row>
    <row r="54" spans="1:12" s="54" customFormat="1" ht="12.75">
      <c r="A54" s="65">
        <v>4</v>
      </c>
      <c r="B54" s="65" t="s">
        <v>668</v>
      </c>
      <c r="C54" s="3042"/>
      <c r="D54" s="3042"/>
      <c r="E54" s="3042">
        <f>+'[4]Sheet 3 - Long term Insurance'!$C$271</f>
        <v>0.05</v>
      </c>
      <c r="F54" s="3042">
        <f>+'[4]Sheet 3 - Long term Insurance'!$C$271</f>
        <v>0.05</v>
      </c>
      <c r="G54" s="3042">
        <f>+'[4]Sheet 3 - Long term Insurance'!$C$271</f>
        <v>0.05</v>
      </c>
    </row>
    <row r="55" spans="1:12" s="54" customFormat="1" ht="12.75">
      <c r="A55" s="65">
        <v>5</v>
      </c>
      <c r="B55" s="65" t="s">
        <v>669</v>
      </c>
      <c r="C55" s="3042"/>
      <c r="D55" s="3042"/>
      <c r="E55" s="3043">
        <f>E51*E54</f>
        <v>0</v>
      </c>
      <c r="F55" s="3043">
        <f>F51*F54</f>
        <v>2712.1440523274582</v>
      </c>
      <c r="G55" s="3043">
        <f>G51*G54</f>
        <v>0</v>
      </c>
      <c r="L55" s="180"/>
    </row>
    <row r="56" spans="1:12" s="54" customFormat="1" ht="12.75">
      <c r="A56" s="60">
        <v>6</v>
      </c>
      <c r="B56" s="60" t="s">
        <v>670</v>
      </c>
      <c r="C56" s="3044"/>
      <c r="D56" s="3044"/>
      <c r="E56" s="3044">
        <v>0</v>
      </c>
      <c r="F56" s="3044">
        <f>F53/F55</f>
        <v>37.21664814904836</v>
      </c>
      <c r="G56" s="3044" t="e">
        <f>G53/G55</f>
        <v>#DIV/0!</v>
      </c>
      <c r="L56" s="181"/>
    </row>
    <row r="57" spans="1:12" s="54" customFormat="1" ht="12.75">
      <c r="C57" s="178"/>
      <c r="D57" s="178"/>
      <c r="E57" s="178"/>
      <c r="F57" s="178"/>
      <c r="L57" s="181"/>
    </row>
    <row r="59" spans="1:12" s="54" customFormat="1" ht="25.5">
      <c r="A59" s="2917">
        <v>5</v>
      </c>
      <c r="B59" s="3024" t="s">
        <v>124</v>
      </c>
      <c r="C59" s="3029" t="s">
        <v>671</v>
      </c>
      <c r="D59" s="3029" t="s">
        <v>672</v>
      </c>
      <c r="E59" s="3029" t="s">
        <v>673</v>
      </c>
      <c r="F59" s="3029" t="s">
        <v>674</v>
      </c>
      <c r="G59" s="3029" t="s">
        <v>675</v>
      </c>
      <c r="L59" s="116"/>
    </row>
    <row r="60" spans="1:12" s="54" customFormat="1" ht="12.75">
      <c r="A60" s="63">
        <v>1</v>
      </c>
      <c r="B60" s="63" t="s">
        <v>676</v>
      </c>
      <c r="C60" s="3033">
        <v>1731565</v>
      </c>
      <c r="D60" s="3033">
        <v>2199766</v>
      </c>
      <c r="E60" s="3033">
        <v>2711174.9926200002</v>
      </c>
      <c r="F60" s="3033">
        <v>3580312.3573354725</v>
      </c>
      <c r="G60" s="3033">
        <v>3580312.3573354702</v>
      </c>
      <c r="L60" s="74"/>
    </row>
    <row r="61" spans="1:12" s="54" customFormat="1" ht="12.75">
      <c r="A61" s="65">
        <v>2</v>
      </c>
      <c r="B61" s="65" t="s">
        <v>677</v>
      </c>
      <c r="C61" s="3033">
        <f>SUM(C62:C63)</f>
        <v>1587045</v>
      </c>
      <c r="D61" s="3033">
        <f>SUM(D62:D63)</f>
        <v>2108654</v>
      </c>
      <c r="E61" s="3033">
        <f>SUM(E62:E63)</f>
        <v>2554989</v>
      </c>
      <c r="F61" s="3033">
        <f>SUM(F62:F63)</f>
        <v>3311333.0310300002</v>
      </c>
      <c r="G61" s="3033">
        <f>SUM(G62:G63)</f>
        <v>3311333.0310300002</v>
      </c>
      <c r="L61" s="74"/>
    </row>
    <row r="62" spans="1:12" s="54" customFormat="1" ht="12.75">
      <c r="A62" s="65"/>
      <c r="B62" s="65" t="s">
        <v>678</v>
      </c>
      <c r="C62" s="3033">
        <v>1309618</v>
      </c>
      <c r="D62" s="3033">
        <v>1807385</v>
      </c>
      <c r="E62" s="3033">
        <v>2171840</v>
      </c>
      <c r="F62" s="3033">
        <v>2857628</v>
      </c>
      <c r="G62" s="3033">
        <v>2857628</v>
      </c>
      <c r="L62" s="74"/>
    </row>
    <row r="63" spans="1:12" s="54" customFormat="1" ht="12.75">
      <c r="A63" s="64"/>
      <c r="B63" s="64" t="s">
        <v>679</v>
      </c>
      <c r="C63" s="3033">
        <v>277427</v>
      </c>
      <c r="D63" s="3033">
        <v>301269</v>
      </c>
      <c r="E63" s="3033">
        <v>383149</v>
      </c>
      <c r="F63" s="3033">
        <v>453705.03103000007</v>
      </c>
      <c r="G63" s="3033">
        <v>453705.03103000007</v>
      </c>
      <c r="L63" s="74"/>
    </row>
    <row r="64" spans="1:12" s="54" customFormat="1" ht="12.75">
      <c r="A64" s="65">
        <v>3</v>
      </c>
      <c r="B64" s="65" t="s">
        <v>680</v>
      </c>
      <c r="C64" s="3033">
        <f>C60-C61</f>
        <v>144520</v>
      </c>
      <c r="D64" s="3033">
        <f>D60-D61</f>
        <v>91112</v>
      </c>
      <c r="E64" s="3033">
        <f>E60-E61</f>
        <v>156185.99262000015</v>
      </c>
      <c r="F64" s="3033">
        <f>F60-F61</f>
        <v>268979.32630547229</v>
      </c>
      <c r="G64" s="3033">
        <f>G60-G61</f>
        <v>268979.32630546996</v>
      </c>
      <c r="L64" s="74"/>
    </row>
    <row r="65" spans="1:12" s="54" customFormat="1" ht="12.75">
      <c r="A65" s="65">
        <v>4</v>
      </c>
      <c r="B65" s="65" t="s">
        <v>668</v>
      </c>
      <c r="C65" s="3035">
        <v>0.05</v>
      </c>
      <c r="D65" s="3035">
        <v>0.05</v>
      </c>
      <c r="E65" s="3035">
        <v>0.05</v>
      </c>
      <c r="F65" s="3035">
        <v>0.05</v>
      </c>
      <c r="G65" s="3035">
        <v>0.05</v>
      </c>
    </row>
    <row r="66" spans="1:12" s="54" customFormat="1" ht="12.75">
      <c r="A66" s="65">
        <v>5</v>
      </c>
      <c r="B66" s="65" t="s">
        <v>669</v>
      </c>
      <c r="C66" s="3045">
        <f>C62*C65</f>
        <v>65480.9</v>
      </c>
      <c r="D66" s="3045">
        <f>D62*D65</f>
        <v>90369.25</v>
      </c>
      <c r="E66" s="3045">
        <f>E62*E65</f>
        <v>108592</v>
      </c>
      <c r="F66" s="3045">
        <f>F62*F65</f>
        <v>142881.4</v>
      </c>
      <c r="G66" s="3045">
        <f>G62*G65</f>
        <v>142881.4</v>
      </c>
    </row>
    <row r="67" spans="1:12" s="54" customFormat="1" ht="12.75">
      <c r="A67" s="60">
        <v>6</v>
      </c>
      <c r="B67" s="60" t="s">
        <v>670</v>
      </c>
      <c r="C67" s="3038">
        <f>C64/C66</f>
        <v>2.2070557979502419</v>
      </c>
      <c r="D67" s="3038">
        <f>D64/D66</f>
        <v>1.0082190568141265</v>
      </c>
      <c r="E67" s="3038">
        <f>E64/E66</f>
        <v>1.4382826784661866</v>
      </c>
      <c r="F67" s="3038">
        <f>F64/F66</f>
        <v>1.8825356295884019</v>
      </c>
      <c r="G67" s="3038">
        <f>G64/G66</f>
        <v>1.8825356295883857</v>
      </c>
      <c r="L67" s="178"/>
    </row>
    <row r="68" spans="1:12" s="54" customFormat="1" ht="12.75">
      <c r="C68" s="178"/>
      <c r="D68" s="178"/>
      <c r="E68" s="178"/>
      <c r="F68" s="178"/>
      <c r="L68" s="178"/>
    </row>
    <row r="70" spans="1:12" s="54" customFormat="1" ht="25.5">
      <c r="A70" s="2917">
        <v>6</v>
      </c>
      <c r="B70" s="3023" t="s">
        <v>128</v>
      </c>
      <c r="C70" s="3029" t="s">
        <v>671</v>
      </c>
      <c r="D70" s="3029" t="s">
        <v>672</v>
      </c>
      <c r="E70" s="3029" t="s">
        <v>673</v>
      </c>
      <c r="F70" s="3029" t="s">
        <v>674</v>
      </c>
      <c r="G70" s="3029" t="s">
        <v>675</v>
      </c>
      <c r="L70" s="116"/>
    </row>
    <row r="71" spans="1:12" s="54" customFormat="1" ht="12.75">
      <c r="A71" s="63">
        <v>1</v>
      </c>
      <c r="B71" s="63" t="s">
        <v>676</v>
      </c>
      <c r="C71" s="3033">
        <v>25675752</v>
      </c>
      <c r="D71" s="3033">
        <v>32530525</v>
      </c>
      <c r="E71" s="3033">
        <v>40956923</v>
      </c>
      <c r="F71" s="3033">
        <v>47002412.107340008</v>
      </c>
      <c r="G71" s="3033">
        <v>47002412.107340008</v>
      </c>
      <c r="L71" s="74"/>
    </row>
    <row r="72" spans="1:12" s="54" customFormat="1" ht="12.75">
      <c r="A72" s="65">
        <v>2</v>
      </c>
      <c r="B72" s="65" t="s">
        <v>677</v>
      </c>
      <c r="C72" s="3033">
        <f>SUM(C73:C74)</f>
        <v>18837081</v>
      </c>
      <c r="D72" s="3033">
        <f>SUM(D73:D74)</f>
        <v>22583063</v>
      </c>
      <c r="E72" s="3033">
        <f>SUM(E73:E74)</f>
        <v>30363434</v>
      </c>
      <c r="F72" s="3033">
        <f>SUM(F73:F74)</f>
        <v>31605025.425466213</v>
      </c>
      <c r="G72" s="3033">
        <f>SUM(G73:G74)</f>
        <v>31605025.425466213</v>
      </c>
      <c r="L72" s="74"/>
    </row>
    <row r="73" spans="1:12" s="54" customFormat="1" ht="12.75">
      <c r="A73" s="65"/>
      <c r="B73" s="65" t="s">
        <v>678</v>
      </c>
      <c r="C73" s="3033">
        <f>17189222+102671</f>
        <v>17291893</v>
      </c>
      <c r="D73" s="3033">
        <f>20571112+115269</f>
        <v>20686381</v>
      </c>
      <c r="E73" s="3033">
        <v>25068462</v>
      </c>
      <c r="F73" s="3033">
        <v>29854100.473306213</v>
      </c>
      <c r="G73" s="3033">
        <v>29854100.473306213</v>
      </c>
      <c r="L73" s="74"/>
    </row>
    <row r="74" spans="1:12" s="54" customFormat="1" ht="12.75">
      <c r="A74" s="64"/>
      <c r="B74" s="64" t="s">
        <v>679</v>
      </c>
      <c r="C74" s="3033">
        <f>233747+104859+259766+946816</f>
        <v>1545188</v>
      </c>
      <c r="D74" s="3033">
        <f>147555+132256+252892+1363979</f>
        <v>1896682</v>
      </c>
      <c r="E74" s="3033">
        <v>5294972</v>
      </c>
      <c r="F74" s="3033">
        <v>1750924.9521599996</v>
      </c>
      <c r="G74" s="3033">
        <v>1750924.9521599996</v>
      </c>
      <c r="L74" s="74"/>
    </row>
    <row r="75" spans="1:12" s="54" customFormat="1" ht="12.75">
      <c r="A75" s="65">
        <v>3</v>
      </c>
      <c r="B75" s="65" t="s">
        <v>680</v>
      </c>
      <c r="C75" s="3033">
        <f>C71-C72</f>
        <v>6838671</v>
      </c>
      <c r="D75" s="3033">
        <f>D71-D72</f>
        <v>9947462</v>
      </c>
      <c r="E75" s="3033">
        <f>E71-E72</f>
        <v>10593489</v>
      </c>
      <c r="F75" s="3033">
        <f>F71-F72</f>
        <v>15397386.681873795</v>
      </c>
      <c r="G75" s="3033">
        <f>G71-G72</f>
        <v>15397386.681873795</v>
      </c>
      <c r="L75" s="74"/>
    </row>
    <row r="76" spans="1:12" s="54" customFormat="1" ht="12.75">
      <c r="A76" s="65">
        <v>4</v>
      </c>
      <c r="B76" s="65" t="s">
        <v>668</v>
      </c>
      <c r="C76" s="3035">
        <v>0.05</v>
      </c>
      <c r="D76" s="3035">
        <v>0.05</v>
      </c>
      <c r="E76" s="3035">
        <v>0.05</v>
      </c>
      <c r="F76" s="3035">
        <v>0.05</v>
      </c>
      <c r="G76" s="3035">
        <v>0.05</v>
      </c>
    </row>
    <row r="77" spans="1:12" s="54" customFormat="1" ht="12.75">
      <c r="A77" s="65">
        <v>5</v>
      </c>
      <c r="B77" s="65" t="s">
        <v>669</v>
      </c>
      <c r="C77" s="3033">
        <f>C73*C76</f>
        <v>864594.65</v>
      </c>
      <c r="D77" s="3033">
        <f>D73*D76</f>
        <v>1034319.05</v>
      </c>
      <c r="E77" s="3033">
        <f>E73*E76</f>
        <v>1253423.1000000001</v>
      </c>
      <c r="F77" s="3033">
        <f>F73*F76</f>
        <v>1492705.0236653108</v>
      </c>
      <c r="G77" s="3033">
        <f>G73*G76</f>
        <v>1492705.0236653108</v>
      </c>
      <c r="L77" s="74"/>
    </row>
    <row r="78" spans="1:12" s="54" customFormat="1" ht="12.75">
      <c r="A78" s="60">
        <v>6</v>
      </c>
      <c r="B78" s="60" t="s">
        <v>670</v>
      </c>
      <c r="C78" s="3038">
        <f>C75/C77</f>
        <v>7.9096846134775411</v>
      </c>
      <c r="D78" s="3038">
        <f>D75/D77</f>
        <v>9.6174019032135192</v>
      </c>
      <c r="E78" s="3038">
        <f>E75/E77</f>
        <v>8.4516465349968417</v>
      </c>
      <c r="F78" s="3038">
        <f>F75/F77</f>
        <v>10.315090012938915</v>
      </c>
      <c r="G78" s="3038">
        <f>G75/G77</f>
        <v>10.315090012938915</v>
      </c>
      <c r="L78" s="178"/>
    </row>
    <row r="79" spans="1:12" s="54" customFormat="1" ht="12.75">
      <c r="C79" s="178"/>
      <c r="D79" s="178"/>
      <c r="E79" s="178"/>
      <c r="F79" s="178"/>
      <c r="L79" s="178"/>
    </row>
    <row r="81" spans="1:12" s="54" customFormat="1" ht="25.5">
      <c r="A81" s="2917">
        <v>7</v>
      </c>
      <c r="B81" s="3023" t="s">
        <v>129</v>
      </c>
      <c r="C81" s="3029" t="s">
        <v>671</v>
      </c>
      <c r="D81" s="3029" t="s">
        <v>672</v>
      </c>
      <c r="E81" s="3029" t="s">
        <v>673</v>
      </c>
      <c r="F81" s="3029" t="s">
        <v>674</v>
      </c>
      <c r="G81" s="3029" t="s">
        <v>675</v>
      </c>
      <c r="L81" s="116"/>
    </row>
    <row r="82" spans="1:12" s="54" customFormat="1" ht="12.75">
      <c r="A82" s="63">
        <v>1</v>
      </c>
      <c r="B82" s="63" t="s">
        <v>676</v>
      </c>
      <c r="C82" s="3046">
        <v>373330.52292000002</v>
      </c>
      <c r="D82" s="3046">
        <v>581157</v>
      </c>
      <c r="E82" s="3046">
        <v>676618.0798566119</v>
      </c>
      <c r="F82" s="3046">
        <v>781199.52209999994</v>
      </c>
      <c r="G82" s="3033">
        <v>47002412.107340008</v>
      </c>
      <c r="L82" s="179"/>
    </row>
    <row r="83" spans="1:12" s="54" customFormat="1" ht="12.75">
      <c r="A83" s="65">
        <v>2</v>
      </c>
      <c r="B83" s="65" t="s">
        <v>677</v>
      </c>
      <c r="C83" s="3046">
        <f>SUM(C84:C85)</f>
        <v>325822.57996</v>
      </c>
      <c r="D83" s="3046">
        <f>SUM(D84:D85)</f>
        <v>442159</v>
      </c>
      <c r="E83" s="3046">
        <f>SUM(E84:E85)</f>
        <v>557426.64599999995</v>
      </c>
      <c r="F83" s="3046">
        <f>SUM(F84:F85)</f>
        <v>711547.63212650013</v>
      </c>
      <c r="G83" s="3046">
        <f>SUM(G84:G85)</f>
        <v>31605025.425466213</v>
      </c>
      <c r="L83" s="179"/>
    </row>
    <row r="84" spans="1:12" s="54" customFormat="1" ht="12.75">
      <c r="A84" s="65"/>
      <c r="B84" s="65" t="s">
        <v>678</v>
      </c>
      <c r="C84" s="3046">
        <v>275207</v>
      </c>
      <c r="D84" s="3046">
        <v>379396</v>
      </c>
      <c r="E84" s="3046">
        <v>470707</v>
      </c>
      <c r="F84" s="3046">
        <v>602336.95344650012</v>
      </c>
      <c r="G84" s="3033">
        <v>29854100.473306213</v>
      </c>
      <c r="L84" s="179"/>
    </row>
    <row r="85" spans="1:12" s="54" customFormat="1" ht="12.75">
      <c r="A85" s="64"/>
      <c r="B85" s="64" t="s">
        <v>679</v>
      </c>
      <c r="C85" s="3046">
        <v>50615.579960000003</v>
      </c>
      <c r="D85" s="3046">
        <v>62763</v>
      </c>
      <c r="E85" s="3046">
        <v>86719.645999999993</v>
      </c>
      <c r="F85" s="3046">
        <v>109210.67868</v>
      </c>
      <c r="G85" s="3033">
        <v>1750924.9521599996</v>
      </c>
      <c r="L85" s="179"/>
    </row>
    <row r="86" spans="1:12" s="54" customFormat="1" ht="12.75">
      <c r="A86" s="65">
        <v>3</v>
      </c>
      <c r="B86" s="65" t="s">
        <v>680</v>
      </c>
      <c r="C86" s="3046">
        <f>C82-C83</f>
        <v>47507.942960000015</v>
      </c>
      <c r="D86" s="3046">
        <f>D82-D83</f>
        <v>138998</v>
      </c>
      <c r="E86" s="3046">
        <f>E82-E83</f>
        <v>119191.43385661195</v>
      </c>
      <c r="F86" s="3046">
        <f>F82-F83</f>
        <v>69651.889973499812</v>
      </c>
      <c r="G86" s="3046">
        <f>G82-G83</f>
        <v>15397386.681873795</v>
      </c>
      <c r="L86" s="179"/>
    </row>
    <row r="87" spans="1:12" s="54" customFormat="1" ht="12.75">
      <c r="A87" s="65">
        <v>4</v>
      </c>
      <c r="B87" s="65" t="s">
        <v>668</v>
      </c>
      <c r="C87" s="3047">
        <v>0.05</v>
      </c>
      <c r="D87" s="3047">
        <v>0.05</v>
      </c>
      <c r="E87" s="3047">
        <v>0.05</v>
      </c>
      <c r="F87" s="3047">
        <v>0.05</v>
      </c>
      <c r="G87" s="3035">
        <v>0.05</v>
      </c>
    </row>
    <row r="88" spans="1:12" s="54" customFormat="1" ht="12.75">
      <c r="A88" s="65">
        <v>5</v>
      </c>
      <c r="B88" s="65" t="s">
        <v>669</v>
      </c>
      <c r="C88" s="3048">
        <f>C84*C87</f>
        <v>13760.35</v>
      </c>
      <c r="D88" s="3048">
        <f>D84*D87</f>
        <v>18969.8</v>
      </c>
      <c r="E88" s="3048">
        <f>E84*E87</f>
        <v>23535.350000000002</v>
      </c>
      <c r="F88" s="3048">
        <f>F84*F87</f>
        <v>30116.847672325006</v>
      </c>
      <c r="G88" s="3048">
        <f>G84*G87</f>
        <v>1492705.0236653108</v>
      </c>
      <c r="L88" s="180"/>
    </row>
    <row r="89" spans="1:12" s="54" customFormat="1" ht="12.75">
      <c r="A89" s="60">
        <v>6</v>
      </c>
      <c r="B89" s="60" t="s">
        <v>670</v>
      </c>
      <c r="C89" s="3049">
        <f>C86/C88</f>
        <v>3.4525243151518685</v>
      </c>
      <c r="D89" s="3049">
        <f>D86/D88</f>
        <v>7.327330810024355</v>
      </c>
      <c r="E89" s="3049">
        <f>E86/E88</f>
        <v>5.0643578216007814</v>
      </c>
      <c r="F89" s="3049">
        <f>F86/F88</f>
        <v>2.3127217938384823</v>
      </c>
      <c r="G89" s="3049">
        <f>G86/G88</f>
        <v>10.315090012938915</v>
      </c>
      <c r="L89" s="182"/>
    </row>
    <row r="90" spans="1:12" s="54" customFormat="1" ht="12.75">
      <c r="C90" s="183"/>
      <c r="D90" s="183"/>
      <c r="E90" s="178"/>
      <c r="F90" s="178"/>
      <c r="L90" s="182"/>
    </row>
    <row r="92" spans="1:12" s="54" customFormat="1" ht="25.5">
      <c r="A92" s="2917">
        <v>8</v>
      </c>
      <c r="B92" s="3023" t="s">
        <v>131</v>
      </c>
      <c r="C92" s="3029" t="s">
        <v>671</v>
      </c>
      <c r="D92" s="3029" t="s">
        <v>672</v>
      </c>
      <c r="E92" s="3029" t="s">
        <v>673</v>
      </c>
      <c r="F92" s="3029" t="s">
        <v>674</v>
      </c>
      <c r="G92" s="3029" t="s">
        <v>675</v>
      </c>
      <c r="L92" s="116"/>
    </row>
    <row r="93" spans="1:12" s="54" customFormat="1" ht="12.75">
      <c r="A93" s="63">
        <v>1</v>
      </c>
      <c r="B93" s="63" t="s">
        <v>676</v>
      </c>
      <c r="C93" s="3046">
        <v>1931239.9798199998</v>
      </c>
      <c r="D93" s="3046">
        <v>2459534.5406399998</v>
      </c>
      <c r="E93" s="3046">
        <v>3312085</v>
      </c>
      <c r="F93" s="3046">
        <v>4041514</v>
      </c>
      <c r="G93" s="3033">
        <v>47002412.107340008</v>
      </c>
      <c r="L93" s="179"/>
    </row>
    <row r="94" spans="1:12" s="54" customFormat="1" ht="12.75">
      <c r="A94" s="65">
        <v>2</v>
      </c>
      <c r="B94" s="65" t="s">
        <v>677</v>
      </c>
      <c r="C94" s="3046">
        <f>SUM(C95:C96)</f>
        <v>1772722.2041799999</v>
      </c>
      <c r="D94" s="3046">
        <f>SUM(D95:D96)</f>
        <v>2337669.3788100006</v>
      </c>
      <c r="E94" s="3046">
        <f>SUM(E95:E96)</f>
        <v>2922014.1558399997</v>
      </c>
      <c r="F94" s="3046">
        <f>SUM(F95:F96)</f>
        <v>3661808</v>
      </c>
      <c r="G94" s="3046">
        <f>SUM(G95:G96)</f>
        <v>31605025.425466213</v>
      </c>
      <c r="L94" s="179"/>
    </row>
    <row r="95" spans="1:12" s="54" customFormat="1" ht="12.75">
      <c r="A95" s="65"/>
      <c r="B95" s="65" t="s">
        <v>678</v>
      </c>
      <c r="C95" s="3046">
        <v>1627815</v>
      </c>
      <c r="D95" s="3046">
        <v>2162776</v>
      </c>
      <c r="E95" s="3046">
        <v>2704073</v>
      </c>
      <c r="F95" s="3046">
        <v>3332214</v>
      </c>
      <c r="G95" s="3033">
        <v>29854100.473306213</v>
      </c>
      <c r="L95" s="179"/>
    </row>
    <row r="96" spans="1:12" s="54" customFormat="1" ht="12.75">
      <c r="A96" s="64"/>
      <c r="B96" s="64" t="s">
        <v>679</v>
      </c>
      <c r="C96" s="3046">
        <v>144907.20418</v>
      </c>
      <c r="D96" s="3046">
        <v>174893.37881000043</v>
      </c>
      <c r="E96" s="3046">
        <v>217941.15583999976</v>
      </c>
      <c r="F96" s="3046">
        <v>329594</v>
      </c>
      <c r="G96" s="3033">
        <v>1750924.9521599996</v>
      </c>
      <c r="L96" s="179"/>
    </row>
    <row r="97" spans="1:12" s="54" customFormat="1" ht="12.75">
      <c r="A97" s="65">
        <v>3</v>
      </c>
      <c r="B97" s="65" t="s">
        <v>680</v>
      </c>
      <c r="C97" s="3046">
        <f>C93-C94</f>
        <v>158517.77563999989</v>
      </c>
      <c r="D97" s="3046">
        <f>D93-D94</f>
        <v>121865.16182999918</v>
      </c>
      <c r="E97" s="3046">
        <f>E93-E94</f>
        <v>390070.84416000033</v>
      </c>
      <c r="F97" s="3046">
        <f>F93-F94</f>
        <v>379706</v>
      </c>
      <c r="G97" s="3046">
        <f>G93-G94</f>
        <v>15397386.681873795</v>
      </c>
      <c r="L97" s="179"/>
    </row>
    <row r="98" spans="1:12" s="54" customFormat="1" ht="12.75">
      <c r="A98" s="65">
        <v>4</v>
      </c>
      <c r="B98" s="65" t="s">
        <v>668</v>
      </c>
      <c r="C98" s="3047">
        <v>0.05</v>
      </c>
      <c r="D98" s="3047">
        <v>0.05</v>
      </c>
      <c r="E98" s="3047">
        <v>0.05</v>
      </c>
      <c r="F98" s="3047">
        <v>0.05</v>
      </c>
      <c r="G98" s="3035">
        <v>0.05</v>
      </c>
    </row>
    <row r="99" spans="1:12" s="54" customFormat="1" ht="12.75">
      <c r="A99" s="65">
        <v>5</v>
      </c>
      <c r="B99" s="65" t="s">
        <v>669</v>
      </c>
      <c r="C99" s="3048">
        <f>C95*C98</f>
        <v>81390.75</v>
      </c>
      <c r="D99" s="3048">
        <f>D95*D98</f>
        <v>108138.8</v>
      </c>
      <c r="E99" s="3048">
        <f>E95*E98</f>
        <v>135203.65</v>
      </c>
      <c r="F99" s="3048">
        <f>F95*F98</f>
        <v>166610.70000000001</v>
      </c>
      <c r="G99" s="3048">
        <f>G95*G98</f>
        <v>1492705.0236653108</v>
      </c>
      <c r="L99" s="179"/>
    </row>
    <row r="100" spans="1:12" s="54" customFormat="1" ht="12.75">
      <c r="A100" s="60">
        <v>6</v>
      </c>
      <c r="B100" s="60" t="s">
        <v>670</v>
      </c>
      <c r="C100" s="3049">
        <f>C97/C99</f>
        <v>1.9476141409189607</v>
      </c>
      <c r="D100" s="3049">
        <f>D97/D99</f>
        <v>1.126932810702534</v>
      </c>
      <c r="E100" s="3049">
        <f>E97/E99</f>
        <v>2.8850614917570669</v>
      </c>
      <c r="F100" s="3049">
        <f>F97/F99</f>
        <v>2.2790012886327227</v>
      </c>
      <c r="G100" s="3049">
        <f>G97/G99</f>
        <v>10.315090012938915</v>
      </c>
      <c r="L100" s="183"/>
    </row>
    <row r="101" spans="1:12" s="54" customFormat="1" ht="12.75">
      <c r="C101" s="178"/>
      <c r="D101" s="178"/>
      <c r="E101" s="178"/>
      <c r="F101" s="178"/>
      <c r="L101" s="183"/>
    </row>
    <row r="103" spans="1:12" s="54" customFormat="1" ht="25.5">
      <c r="A103" s="2917">
        <v>9</v>
      </c>
      <c r="B103" s="3023" t="s">
        <v>132</v>
      </c>
      <c r="C103" s="3029" t="s">
        <v>671</v>
      </c>
      <c r="D103" s="3029" t="s">
        <v>672</v>
      </c>
      <c r="E103" s="3029" t="s">
        <v>673</v>
      </c>
      <c r="F103" s="3029" t="s">
        <v>674</v>
      </c>
      <c r="G103" s="3029" t="s">
        <v>675</v>
      </c>
      <c r="L103" s="116"/>
    </row>
    <row r="104" spans="1:12" s="54" customFormat="1" ht="12.75">
      <c r="A104" s="63">
        <v>1</v>
      </c>
      <c r="B104" s="63" t="s">
        <v>676</v>
      </c>
      <c r="C104" s="3050">
        <v>2803404</v>
      </c>
      <c r="D104" s="3050">
        <v>3406239.5315599996</v>
      </c>
      <c r="E104" s="3050">
        <v>4453499.8517499994</v>
      </c>
      <c r="F104" s="3050">
        <v>5909829.4898899999</v>
      </c>
      <c r="G104" s="3033">
        <v>47002412.107340008</v>
      </c>
      <c r="L104" s="109"/>
    </row>
    <row r="105" spans="1:12" s="54" customFormat="1" ht="12.75">
      <c r="A105" s="65">
        <v>2</v>
      </c>
      <c r="B105" s="65" t="s">
        <v>677</v>
      </c>
      <c r="C105" s="3050">
        <f>SUM(C106:C107)</f>
        <v>2120133</v>
      </c>
      <c r="D105" s="3050">
        <f>SUM(D106:D107)</f>
        <v>2992215.1524700001</v>
      </c>
      <c r="E105" s="3050">
        <f>SUM(E106:E107)</f>
        <v>3994998.48545</v>
      </c>
      <c r="F105" s="3050">
        <f>SUM(F106:F107)</f>
        <v>4898917.4042999996</v>
      </c>
      <c r="G105" s="3050">
        <f>SUM(G106:G107)</f>
        <v>31605025.425466213</v>
      </c>
      <c r="L105" s="109"/>
    </row>
    <row r="106" spans="1:12" s="54" customFormat="1" ht="12.75">
      <c r="A106" s="65"/>
      <c r="B106" s="65" t="s">
        <v>678</v>
      </c>
      <c r="C106" s="3050">
        <v>1882240</v>
      </c>
      <c r="D106" s="3050">
        <v>2617332</v>
      </c>
      <c r="E106" s="3050">
        <v>3671759</v>
      </c>
      <c r="F106" s="3050">
        <v>4553477</v>
      </c>
      <c r="G106" s="3033">
        <v>29854100.473306213</v>
      </c>
      <c r="L106" s="109"/>
    </row>
    <row r="107" spans="1:12" s="54" customFormat="1" ht="12.75">
      <c r="A107" s="64"/>
      <c r="B107" s="64" t="s">
        <v>679</v>
      </c>
      <c r="C107" s="3050">
        <v>237893</v>
      </c>
      <c r="D107" s="3050">
        <v>374883.15246999997</v>
      </c>
      <c r="E107" s="3050">
        <v>323239.48544999998</v>
      </c>
      <c r="F107" s="3050">
        <v>345440.40429999999</v>
      </c>
      <c r="G107" s="3033">
        <v>1750924.9521599996</v>
      </c>
      <c r="L107" s="109"/>
    </row>
    <row r="108" spans="1:12" s="54" customFormat="1" ht="12.75">
      <c r="A108" s="65">
        <v>3</v>
      </c>
      <c r="B108" s="65" t="s">
        <v>680</v>
      </c>
      <c r="C108" s="3050">
        <f>C104-C105</f>
        <v>683271</v>
      </c>
      <c r="D108" s="3050">
        <f>D104-D105</f>
        <v>414024.37908999948</v>
      </c>
      <c r="E108" s="3050">
        <f>E104-E105</f>
        <v>458501.36629999941</v>
      </c>
      <c r="F108" s="3050">
        <f>F104-F105</f>
        <v>1010912.0855900003</v>
      </c>
      <c r="G108" s="3050">
        <f>G104-G105</f>
        <v>15397386.681873795</v>
      </c>
      <c r="L108" s="109"/>
    </row>
    <row r="109" spans="1:12" s="54" customFormat="1" ht="12.75">
      <c r="A109" s="65">
        <v>4</v>
      </c>
      <c r="B109" s="65" t="s">
        <v>668</v>
      </c>
      <c r="C109" s="3047">
        <v>0.05</v>
      </c>
      <c r="D109" s="3047">
        <v>0.05</v>
      </c>
      <c r="E109" s="3047">
        <v>0.05</v>
      </c>
      <c r="F109" s="3047">
        <v>0.05</v>
      </c>
      <c r="G109" s="3035">
        <v>0.05</v>
      </c>
    </row>
    <row r="110" spans="1:12" s="54" customFormat="1" ht="12.75">
      <c r="A110" s="65">
        <v>5</v>
      </c>
      <c r="B110" s="65" t="s">
        <v>669</v>
      </c>
      <c r="C110" s="3050">
        <f>C106*C109</f>
        <v>94112</v>
      </c>
      <c r="D110" s="3050">
        <f>D106*D109</f>
        <v>130866.6</v>
      </c>
      <c r="E110" s="3050">
        <f>E106*E109</f>
        <v>183587.95</v>
      </c>
      <c r="F110" s="3050">
        <f>F106*F109</f>
        <v>227673.85</v>
      </c>
      <c r="G110" s="3050">
        <f>G106*G109</f>
        <v>1492705.0236653108</v>
      </c>
      <c r="L110" s="109"/>
    </row>
    <row r="111" spans="1:12" s="54" customFormat="1" ht="12.75">
      <c r="A111" s="60">
        <v>6</v>
      </c>
      <c r="B111" s="60" t="s">
        <v>670</v>
      </c>
      <c r="C111" s="3049">
        <f>C108/C110</f>
        <v>7.2601899863991841</v>
      </c>
      <c r="D111" s="3049">
        <f>D108/D110</f>
        <v>3.1637131177091744</v>
      </c>
      <c r="E111" s="3049">
        <f>E108/E110</f>
        <v>2.4974480422053809</v>
      </c>
      <c r="F111" s="3049">
        <f>F108/F110</f>
        <v>4.4401765314286212</v>
      </c>
      <c r="G111" s="3049">
        <f>G108/G110</f>
        <v>10.315090012938915</v>
      </c>
      <c r="L111" s="182"/>
    </row>
    <row r="112" spans="1:12" s="54" customFormat="1" ht="12.75">
      <c r="C112" s="178"/>
      <c r="D112" s="178"/>
      <c r="E112" s="178"/>
      <c r="F112" s="178"/>
      <c r="L112" s="182"/>
    </row>
    <row r="114" spans="1:12" s="54" customFormat="1" ht="25.5">
      <c r="A114" s="2917">
        <v>10</v>
      </c>
      <c r="B114" s="3023" t="s">
        <v>106</v>
      </c>
      <c r="C114" s="3029" t="s">
        <v>671</v>
      </c>
      <c r="D114" s="3029" t="s">
        <v>672</v>
      </c>
      <c r="E114" s="3029" t="s">
        <v>673</v>
      </c>
      <c r="F114" s="3029" t="s">
        <v>674</v>
      </c>
      <c r="G114" s="3029" t="s">
        <v>675</v>
      </c>
      <c r="L114" s="116"/>
    </row>
    <row r="115" spans="1:12" s="54" customFormat="1" ht="12.75">
      <c r="A115" s="63">
        <v>1</v>
      </c>
      <c r="B115" s="63" t="s">
        <v>676</v>
      </c>
      <c r="C115" s="3046">
        <v>664746</v>
      </c>
      <c r="D115" s="3046">
        <v>918937</v>
      </c>
      <c r="E115" s="3046">
        <v>1046860</v>
      </c>
      <c r="F115" s="3046">
        <v>1194056</v>
      </c>
      <c r="G115" s="3033">
        <v>47002412.107340008</v>
      </c>
      <c r="L115" s="74"/>
    </row>
    <row r="116" spans="1:12" s="54" customFormat="1" ht="12.75">
      <c r="A116" s="65">
        <v>2</v>
      </c>
      <c r="B116" s="65" t="s">
        <v>677</v>
      </c>
      <c r="C116" s="3046">
        <f>SUM(C117:C118)</f>
        <v>594195</v>
      </c>
      <c r="D116" s="3046">
        <f>SUM(D117:D118)</f>
        <v>648937</v>
      </c>
      <c r="E116" s="3046">
        <f>SUM(E117:E118)</f>
        <v>770711</v>
      </c>
      <c r="F116" s="3046">
        <f>SUM(F117:F118)</f>
        <v>820205</v>
      </c>
      <c r="G116" s="3046">
        <f>SUM(G117:G118)</f>
        <v>31605025.425466213</v>
      </c>
      <c r="L116" s="74"/>
    </row>
    <row r="117" spans="1:12" s="54" customFormat="1" ht="12.75">
      <c r="A117" s="65"/>
      <c r="B117" s="65" t="s">
        <v>678</v>
      </c>
      <c r="C117" s="3046">
        <v>550713</v>
      </c>
      <c r="D117" s="3046">
        <v>591357</v>
      </c>
      <c r="E117" s="3046">
        <v>670534</v>
      </c>
      <c r="F117" s="3046">
        <v>725000</v>
      </c>
      <c r="G117" s="3033">
        <v>29854100.473306213</v>
      </c>
      <c r="L117" s="74"/>
    </row>
    <row r="118" spans="1:12" s="54" customFormat="1" ht="12.75">
      <c r="A118" s="64"/>
      <c r="B118" s="64" t="s">
        <v>679</v>
      </c>
      <c r="C118" s="3046">
        <v>43482</v>
      </c>
      <c r="D118" s="3046">
        <v>57580</v>
      </c>
      <c r="E118" s="3046">
        <v>100177</v>
      </c>
      <c r="F118" s="3046">
        <v>95205</v>
      </c>
      <c r="G118" s="3033">
        <v>1750924.9521599996</v>
      </c>
      <c r="L118" s="74"/>
    </row>
    <row r="119" spans="1:12" s="54" customFormat="1" ht="12.75">
      <c r="A119" s="65">
        <v>3</v>
      </c>
      <c r="B119" s="65" t="s">
        <v>680</v>
      </c>
      <c r="C119" s="3046">
        <f>C115-C116</f>
        <v>70551</v>
      </c>
      <c r="D119" s="3046">
        <f>D115-D116</f>
        <v>270000</v>
      </c>
      <c r="E119" s="3046">
        <f>E115-E116</f>
        <v>276149</v>
      </c>
      <c r="F119" s="3046">
        <f>F115-F116</f>
        <v>373851</v>
      </c>
      <c r="G119" s="3046">
        <f>G115-G116</f>
        <v>15397386.681873795</v>
      </c>
      <c r="L119" s="74"/>
    </row>
    <row r="120" spans="1:12" s="54" customFormat="1" ht="12.75">
      <c r="A120" s="65">
        <v>4</v>
      </c>
      <c r="B120" s="65" t="s">
        <v>668</v>
      </c>
      <c r="C120" s="3047">
        <v>0.05</v>
      </c>
      <c r="D120" s="3047">
        <v>0.05</v>
      </c>
      <c r="E120" s="3047">
        <v>0.05</v>
      </c>
      <c r="F120" s="3047">
        <v>0.05</v>
      </c>
      <c r="G120" s="3035">
        <v>0.05</v>
      </c>
    </row>
    <row r="121" spans="1:12" s="54" customFormat="1" ht="12.75">
      <c r="A121" s="65">
        <v>5</v>
      </c>
      <c r="B121" s="65" t="s">
        <v>669</v>
      </c>
      <c r="C121" s="3048">
        <f>C119*C120</f>
        <v>3527.55</v>
      </c>
      <c r="D121" s="3048">
        <f>D119*D120</f>
        <v>13500</v>
      </c>
      <c r="E121" s="3048">
        <f>E119*E120</f>
        <v>13807.45</v>
      </c>
      <c r="F121" s="3048">
        <f>F119*F120</f>
        <v>18692.55</v>
      </c>
      <c r="G121" s="3048">
        <f>G119*G120</f>
        <v>769869.3340936898</v>
      </c>
    </row>
    <row r="122" spans="1:12" s="54" customFormat="1" ht="12.75">
      <c r="A122" s="60">
        <v>6</v>
      </c>
      <c r="B122" s="60" t="s">
        <v>670</v>
      </c>
      <c r="C122" s="3049">
        <f>C119/C121</f>
        <v>20</v>
      </c>
      <c r="D122" s="3049">
        <f>D119/D121</f>
        <v>20</v>
      </c>
      <c r="E122" s="3049">
        <f>E119/E121</f>
        <v>20</v>
      </c>
      <c r="F122" s="3049">
        <f>F119/F121</f>
        <v>20</v>
      </c>
      <c r="G122" s="3049">
        <f>G119/G121</f>
        <v>19.999999999999996</v>
      </c>
      <c r="L122" s="178"/>
    </row>
    <row r="123" spans="1:12" s="54" customFormat="1" ht="12.75">
      <c r="C123" s="183"/>
      <c r="D123" s="183"/>
      <c r="E123" s="183"/>
      <c r="F123" s="183"/>
      <c r="L123" s="178"/>
    </row>
    <row r="125" spans="1:12" s="54" customFormat="1" ht="25.5">
      <c r="A125" s="2917">
        <v>11</v>
      </c>
      <c r="B125" s="3023" t="s">
        <v>133</v>
      </c>
      <c r="C125" s="3029" t="s">
        <v>671</v>
      </c>
      <c r="D125" s="3029" t="s">
        <v>672</v>
      </c>
      <c r="E125" s="3029" t="s">
        <v>673</v>
      </c>
      <c r="F125" s="3029" t="s">
        <v>674</v>
      </c>
      <c r="G125" s="3029" t="s">
        <v>675</v>
      </c>
      <c r="L125" s="116"/>
    </row>
    <row r="126" spans="1:12" s="54" customFormat="1" ht="12.75">
      <c r="A126" s="63">
        <v>1</v>
      </c>
      <c r="B126" s="63" t="s">
        <v>676</v>
      </c>
      <c r="C126" s="3050"/>
      <c r="D126" s="3050"/>
      <c r="E126" s="3051">
        <f>143086975.25/1000</f>
        <v>143086.97524999999</v>
      </c>
      <c r="F126" s="3051">
        <f>217580563.783973/1000</f>
        <v>217580.56378397302</v>
      </c>
      <c r="G126" s="3033">
        <v>47002412.107340008</v>
      </c>
      <c r="L126" s="179"/>
    </row>
    <row r="127" spans="1:12" s="54" customFormat="1" ht="12.75">
      <c r="A127" s="65">
        <v>2</v>
      </c>
      <c r="B127" s="65" t="s">
        <v>677</v>
      </c>
      <c r="C127" s="3050"/>
      <c r="D127" s="3050"/>
      <c r="E127" s="3051">
        <f>SUM(E128:E129)</f>
        <v>51958.367080031894</v>
      </c>
      <c r="F127" s="3051">
        <f>SUM(F128:F129)</f>
        <v>125698.04497</v>
      </c>
      <c r="G127" s="3051">
        <f>SUM(G128:G129)</f>
        <v>31605025.425466213</v>
      </c>
      <c r="L127" s="179"/>
    </row>
    <row r="128" spans="1:12" s="54" customFormat="1" ht="12.75">
      <c r="A128" s="65"/>
      <c r="B128" s="65" t="s">
        <v>678</v>
      </c>
      <c r="C128" s="3050"/>
      <c r="D128" s="3050"/>
      <c r="E128" s="3051">
        <f>35388677.7800319/1000</f>
        <v>35388.677780031896</v>
      </c>
      <c r="F128" s="3051">
        <f>115642263.66/1000</f>
        <v>115642.26366</v>
      </c>
      <c r="G128" s="3033">
        <v>29854100.473306213</v>
      </c>
      <c r="L128" s="179"/>
    </row>
    <row r="129" spans="1:12" s="54" customFormat="1" ht="12.75">
      <c r="A129" s="64"/>
      <c r="B129" s="64" t="s">
        <v>679</v>
      </c>
      <c r="C129" s="3050"/>
      <c r="D129" s="3050"/>
      <c r="E129" s="3051">
        <f>16569689.3/1000</f>
        <v>16569.689300000002</v>
      </c>
      <c r="F129" s="3051">
        <f>10055781.31/1000</f>
        <v>10055.78131</v>
      </c>
      <c r="G129" s="3033">
        <v>1750924.9521599996</v>
      </c>
      <c r="L129" s="179"/>
    </row>
    <row r="130" spans="1:12" s="54" customFormat="1" ht="12.75">
      <c r="A130" s="65">
        <v>3</v>
      </c>
      <c r="B130" s="65" t="s">
        <v>680</v>
      </c>
      <c r="C130" s="3050"/>
      <c r="D130" s="3050"/>
      <c r="E130" s="3051">
        <f>E126-E127</f>
        <v>91128.608169968094</v>
      </c>
      <c r="F130" s="3051">
        <f>F126-F127</f>
        <v>91882.518813973016</v>
      </c>
      <c r="G130" s="3051">
        <f>G126-G127</f>
        <v>15397386.681873795</v>
      </c>
      <c r="H130" s="3051">
        <f>H126-H127</f>
        <v>0</v>
      </c>
      <c r="L130" s="179"/>
    </row>
    <row r="131" spans="1:12" s="54" customFormat="1" ht="12.75">
      <c r="A131" s="65">
        <v>4</v>
      </c>
      <c r="B131" s="65" t="s">
        <v>668</v>
      </c>
      <c r="C131" s="3050"/>
      <c r="D131" s="3050"/>
      <c r="E131" s="3051">
        <v>0.05</v>
      </c>
      <c r="F131" s="3051">
        <v>0.05</v>
      </c>
      <c r="G131" s="3035">
        <v>0.05</v>
      </c>
    </row>
    <row r="132" spans="1:12" s="54" customFormat="1" ht="12.75">
      <c r="A132" s="65">
        <v>5</v>
      </c>
      <c r="B132" s="65" t="s">
        <v>669</v>
      </c>
      <c r="C132" s="3050"/>
      <c r="D132" s="3050"/>
      <c r="E132" s="3051">
        <f>E128*E131</f>
        <v>1769.4338890015949</v>
      </c>
      <c r="F132" s="3051">
        <f>F128*F131</f>
        <v>5782.1131830000004</v>
      </c>
      <c r="G132" s="3051">
        <f>G128*G131</f>
        <v>1492705.0236653108</v>
      </c>
      <c r="L132" s="180"/>
    </row>
    <row r="133" spans="1:12" s="54" customFormat="1" ht="12.75">
      <c r="A133" s="60">
        <v>6</v>
      </c>
      <c r="B133" s="60" t="s">
        <v>670</v>
      </c>
      <c r="C133" s="3050"/>
      <c r="D133" s="3050"/>
      <c r="E133" s="3052">
        <f>E130/E132</f>
        <v>51.501561452170172</v>
      </c>
      <c r="F133" s="3052">
        <f>F130/F132</f>
        <v>15.890819827622355</v>
      </c>
      <c r="G133" s="3052">
        <f>G130/G132</f>
        <v>10.315090012938915</v>
      </c>
      <c r="L133" s="181"/>
    </row>
    <row r="134" spans="1:12" s="54" customFormat="1" ht="12.75">
      <c r="C134" s="90"/>
      <c r="D134" s="90"/>
      <c r="E134" s="281"/>
      <c r="F134" s="281"/>
      <c r="L134" s="181"/>
    </row>
    <row r="136" spans="1:12" s="54" customFormat="1" ht="25.5">
      <c r="A136" s="2917">
        <v>12</v>
      </c>
      <c r="B136" s="3023" t="s">
        <v>109</v>
      </c>
      <c r="C136" s="3029" t="s">
        <v>671</v>
      </c>
      <c r="D136" s="3029" t="s">
        <v>672</v>
      </c>
      <c r="E136" s="3029" t="s">
        <v>673</v>
      </c>
      <c r="F136" s="3029" t="s">
        <v>674</v>
      </c>
      <c r="G136" s="3029" t="s">
        <v>675</v>
      </c>
      <c r="L136" s="116"/>
    </row>
    <row r="137" spans="1:12" s="54" customFormat="1" ht="12.75">
      <c r="A137" s="63">
        <v>1</v>
      </c>
      <c r="B137" s="63" t="s">
        <v>676</v>
      </c>
      <c r="C137" s="3046">
        <v>84356</v>
      </c>
      <c r="D137" s="3046">
        <v>101488</v>
      </c>
      <c r="E137" s="3046">
        <v>144971</v>
      </c>
      <c r="F137" s="3046">
        <v>187793.21256163999</v>
      </c>
      <c r="G137" s="3033">
        <v>47002412.107340008</v>
      </c>
      <c r="L137" s="179"/>
    </row>
    <row r="138" spans="1:12" s="54" customFormat="1" ht="12.75">
      <c r="A138" s="65">
        <v>2</v>
      </c>
      <c r="B138" s="65" t="s">
        <v>677</v>
      </c>
      <c r="C138" s="3046">
        <f>SUM(C139:C140)</f>
        <v>66065</v>
      </c>
      <c r="D138" s="3046">
        <f>SUM(D139:D140)</f>
        <v>83048</v>
      </c>
      <c r="E138" s="3046">
        <f>SUM(E139:E140)</f>
        <v>120852</v>
      </c>
      <c r="F138" s="3046">
        <f>SUM(F139:F140)</f>
        <v>167206.3267478419</v>
      </c>
      <c r="G138" s="3046">
        <f>SUM(G139:G140)</f>
        <v>31605025.425466213</v>
      </c>
      <c r="L138" s="179"/>
    </row>
    <row r="139" spans="1:12" s="54" customFormat="1" ht="12.75">
      <c r="A139" s="65"/>
      <c r="B139" s="65" t="s">
        <v>678</v>
      </c>
      <c r="C139" s="3046">
        <v>40633</v>
      </c>
      <c r="D139" s="3046">
        <v>64284</v>
      </c>
      <c r="E139" s="3046">
        <v>95740</v>
      </c>
      <c r="F139" s="3046">
        <v>138423.9324878419</v>
      </c>
      <c r="G139" s="3033">
        <v>29854100.473306213</v>
      </c>
      <c r="L139" s="179"/>
    </row>
    <row r="140" spans="1:12" s="54" customFormat="1" ht="12.75">
      <c r="A140" s="64"/>
      <c r="B140" s="64" t="s">
        <v>679</v>
      </c>
      <c r="C140" s="3046">
        <v>25432</v>
      </c>
      <c r="D140" s="3046">
        <v>18764</v>
      </c>
      <c r="E140" s="3046">
        <v>25112</v>
      </c>
      <c r="F140" s="3046">
        <v>28782.394260000001</v>
      </c>
      <c r="G140" s="3033">
        <v>1750924.9521599996</v>
      </c>
      <c r="L140" s="179"/>
    </row>
    <row r="141" spans="1:12" s="54" customFormat="1" ht="12.75">
      <c r="A141" s="65">
        <v>3</v>
      </c>
      <c r="B141" s="65" t="s">
        <v>680</v>
      </c>
      <c r="C141" s="3046">
        <f>C137-C138</f>
        <v>18291</v>
      </c>
      <c r="D141" s="3046">
        <f>D137-D138</f>
        <v>18440</v>
      </c>
      <c r="E141" s="3046">
        <f>E137-E138</f>
        <v>24119</v>
      </c>
      <c r="F141" s="3046">
        <f>F137-F138</f>
        <v>20586.885813798086</v>
      </c>
      <c r="G141" s="3046">
        <f>G137-G138</f>
        <v>15397386.681873795</v>
      </c>
      <c r="L141" s="179"/>
    </row>
    <row r="142" spans="1:12" s="54" customFormat="1" ht="12.75">
      <c r="A142" s="65">
        <v>4</v>
      </c>
      <c r="B142" s="65" t="s">
        <v>668</v>
      </c>
      <c r="C142" s="3047">
        <v>0.05</v>
      </c>
      <c r="D142" s="3047">
        <v>0.05</v>
      </c>
      <c r="E142" s="3047">
        <v>0.05</v>
      </c>
      <c r="F142" s="3047">
        <v>0.05</v>
      </c>
      <c r="G142" s="3035">
        <v>0.05</v>
      </c>
    </row>
    <row r="143" spans="1:12" s="54" customFormat="1" ht="12.75">
      <c r="A143" s="65">
        <v>5</v>
      </c>
      <c r="B143" s="65" t="s">
        <v>669</v>
      </c>
      <c r="C143" s="3048">
        <f>C139*C142</f>
        <v>2031.65</v>
      </c>
      <c r="D143" s="3048">
        <f>D139*D142</f>
        <v>3214.2000000000003</v>
      </c>
      <c r="E143" s="3048">
        <f>E139*E142</f>
        <v>4787</v>
      </c>
      <c r="F143" s="3048">
        <f>F139*F142</f>
        <v>6921.1966243920951</v>
      </c>
      <c r="G143" s="3048">
        <f>G139*G142</f>
        <v>1492705.0236653108</v>
      </c>
    </row>
    <row r="144" spans="1:12" s="54" customFormat="1" ht="12.75">
      <c r="A144" s="60">
        <v>6</v>
      </c>
      <c r="B144" s="60" t="s">
        <v>670</v>
      </c>
      <c r="C144" s="3049">
        <f>C141/C143</f>
        <v>9.0030270962025938</v>
      </c>
      <c r="D144" s="3049">
        <f>D141/D143</f>
        <v>5.7370418766722659</v>
      </c>
      <c r="E144" s="3049">
        <f>E141/E143</f>
        <v>5.0384374347190306</v>
      </c>
      <c r="F144" s="3049">
        <f>F141/F143</f>
        <v>2.9744691461653541</v>
      </c>
      <c r="G144" s="3049">
        <f>G141/G143</f>
        <v>10.315090012938915</v>
      </c>
      <c r="L144" s="183"/>
    </row>
    <row r="145" spans="1:12" s="54" customFormat="1" ht="12.75">
      <c r="C145" s="183"/>
      <c r="D145" s="183"/>
      <c r="E145" s="183"/>
      <c r="F145" s="183"/>
      <c r="L145" s="183"/>
    </row>
    <row r="146" spans="1:12" s="54" customFormat="1" ht="12.75">
      <c r="C146" s="183"/>
      <c r="D146" s="183"/>
      <c r="E146" s="183"/>
      <c r="F146" s="183"/>
      <c r="L146" s="183"/>
    </row>
    <row r="147" spans="1:12" s="54" customFormat="1" ht="25.5">
      <c r="A147" s="2917">
        <v>13</v>
      </c>
      <c r="B147" s="3024" t="s">
        <v>134</v>
      </c>
      <c r="C147" s="3029" t="s">
        <v>671</v>
      </c>
      <c r="D147" s="3029" t="s">
        <v>672</v>
      </c>
      <c r="E147" s="3029" t="s">
        <v>673</v>
      </c>
      <c r="F147" s="3029" t="s">
        <v>674</v>
      </c>
      <c r="G147" s="3029" t="s">
        <v>675</v>
      </c>
      <c r="L147" s="116"/>
    </row>
    <row r="148" spans="1:12" s="54" customFormat="1" ht="12.75">
      <c r="A148" s="63">
        <v>1</v>
      </c>
      <c r="B148" s="63" t="s">
        <v>676</v>
      </c>
      <c r="C148" s="3041">
        <v>163548</v>
      </c>
      <c r="D148" s="3041">
        <v>222072</v>
      </c>
      <c r="E148" s="3041">
        <v>266527</v>
      </c>
      <c r="F148" s="3041">
        <v>404789</v>
      </c>
      <c r="G148" s="3033">
        <v>47002412.107340008</v>
      </c>
      <c r="L148" s="74"/>
    </row>
    <row r="149" spans="1:12" s="54" customFormat="1" ht="12.75">
      <c r="A149" s="65">
        <v>2</v>
      </c>
      <c r="B149" s="65" t="s">
        <v>677</v>
      </c>
      <c r="C149" s="3041">
        <f>SUM(C150:C151)</f>
        <v>94108</v>
      </c>
      <c r="D149" s="3041">
        <f>SUM(D150:D151)</f>
        <v>176505</v>
      </c>
      <c r="E149" s="3041">
        <f>SUM(E150:E151)</f>
        <v>240482</v>
      </c>
      <c r="F149" s="3041">
        <f>SUM(F150:F151)</f>
        <v>364833</v>
      </c>
      <c r="G149" s="3041">
        <f>SUM(G150:G151)</f>
        <v>31605025.425466213</v>
      </c>
      <c r="L149" s="74"/>
    </row>
    <row r="150" spans="1:12" s="54" customFormat="1" ht="12.75">
      <c r="A150" s="65"/>
      <c r="B150" s="65" t="s">
        <v>678</v>
      </c>
      <c r="C150" s="3041">
        <v>75494</v>
      </c>
      <c r="D150" s="3041">
        <v>154325</v>
      </c>
      <c r="E150" s="3041">
        <v>212620</v>
      </c>
      <c r="F150" s="3041">
        <v>361629</v>
      </c>
      <c r="G150" s="3033">
        <v>29854100.473306213</v>
      </c>
      <c r="L150" s="74"/>
    </row>
    <row r="151" spans="1:12" s="54" customFormat="1" ht="12.75">
      <c r="A151" s="64"/>
      <c r="B151" s="64" t="s">
        <v>679</v>
      </c>
      <c r="C151" s="3041">
        <v>18614</v>
      </c>
      <c r="D151" s="3041">
        <v>22180</v>
      </c>
      <c r="E151" s="3041">
        <v>27862</v>
      </c>
      <c r="F151" s="3041">
        <v>3204</v>
      </c>
      <c r="G151" s="3033">
        <v>1750924.9521599996</v>
      </c>
      <c r="L151" s="74"/>
    </row>
    <row r="152" spans="1:12" s="54" customFormat="1" ht="12.75">
      <c r="A152" s="65">
        <v>3</v>
      </c>
      <c r="B152" s="65" t="s">
        <v>680</v>
      </c>
      <c r="C152" s="3041">
        <f>C148-C149</f>
        <v>69440</v>
      </c>
      <c r="D152" s="3041">
        <f>D148-D149</f>
        <v>45567</v>
      </c>
      <c r="E152" s="3041">
        <f>E148-E149</f>
        <v>26045</v>
      </c>
      <c r="F152" s="3041">
        <f>F148-F149</f>
        <v>39956</v>
      </c>
      <c r="G152" s="3041">
        <f>G148-G149</f>
        <v>15397386.681873795</v>
      </c>
      <c r="L152" s="74"/>
    </row>
    <row r="153" spans="1:12" s="54" customFormat="1" ht="12.75">
      <c r="A153" s="65">
        <v>4</v>
      </c>
      <c r="B153" s="65" t="s">
        <v>668</v>
      </c>
      <c r="C153" s="3042">
        <v>0.05</v>
      </c>
      <c r="D153" s="3042">
        <v>0.05</v>
      </c>
      <c r="E153" s="3042">
        <v>0.05</v>
      </c>
      <c r="F153" s="3042">
        <v>0.05</v>
      </c>
      <c r="G153" s="3035">
        <v>0.05</v>
      </c>
    </row>
    <row r="154" spans="1:12" s="54" customFormat="1" ht="12.75">
      <c r="A154" s="65">
        <v>5</v>
      </c>
      <c r="B154" s="65" t="s">
        <v>669</v>
      </c>
      <c r="C154" s="3053">
        <f>C150*C153</f>
        <v>3774.7000000000003</v>
      </c>
      <c r="D154" s="3053">
        <f>D150*D153</f>
        <v>7716.25</v>
      </c>
      <c r="E154" s="3053">
        <f>E150*E153</f>
        <v>10631</v>
      </c>
      <c r="F154" s="3053">
        <f>F150*F153</f>
        <v>18081.45</v>
      </c>
      <c r="G154" s="3053">
        <f>G150*G153</f>
        <v>1492705.0236653108</v>
      </c>
      <c r="L154" s="180"/>
    </row>
    <row r="155" spans="1:12" s="54" customFormat="1" ht="12.75">
      <c r="A155" s="60">
        <v>6</v>
      </c>
      <c r="B155" s="60" t="s">
        <v>670</v>
      </c>
      <c r="C155" s="3044">
        <f>C152/C154</f>
        <v>18.396163933557631</v>
      </c>
      <c r="D155" s="3044">
        <f>D152/D154</f>
        <v>5.9053296614288024</v>
      </c>
      <c r="E155" s="3044">
        <f>E152/E154</f>
        <v>2.4499106386981468</v>
      </c>
      <c r="F155" s="3044">
        <f>F152/F154</f>
        <v>2.2097785299298454</v>
      </c>
      <c r="G155" s="3044">
        <f>G152/G154</f>
        <v>10.315090012938915</v>
      </c>
      <c r="L155" s="178"/>
    </row>
    <row r="156" spans="1:12" s="54" customFormat="1" ht="12.75">
      <c r="C156" s="178"/>
      <c r="D156" s="178"/>
      <c r="E156" s="178"/>
      <c r="F156" s="178"/>
      <c r="L156" s="178"/>
    </row>
    <row r="158" spans="1:12" s="54" customFormat="1" ht="25.5">
      <c r="A158" s="2917">
        <v>14</v>
      </c>
      <c r="B158" s="3024" t="s">
        <v>115</v>
      </c>
      <c r="C158" s="3029" t="s">
        <v>671</v>
      </c>
      <c r="D158" s="3029" t="s">
        <v>672</v>
      </c>
      <c r="E158" s="3029" t="s">
        <v>673</v>
      </c>
      <c r="F158" s="3029" t="s">
        <v>674</v>
      </c>
      <c r="G158" s="3029" t="s">
        <v>675</v>
      </c>
      <c r="L158" s="116"/>
    </row>
    <row r="159" spans="1:12" s="54" customFormat="1" ht="12.75">
      <c r="A159" s="63">
        <v>1</v>
      </c>
      <c r="B159" s="63" t="s">
        <v>676</v>
      </c>
      <c r="C159" s="3041">
        <v>45628151</v>
      </c>
      <c r="D159" s="3041">
        <v>50109285</v>
      </c>
      <c r="E159" s="3041">
        <v>60679224</v>
      </c>
      <c r="F159" s="3041">
        <v>64506197</v>
      </c>
      <c r="G159" s="3033">
        <v>47002412.107340008</v>
      </c>
      <c r="L159" s="109"/>
    </row>
    <row r="160" spans="1:12" s="54" customFormat="1" ht="12.75">
      <c r="A160" s="65">
        <v>2</v>
      </c>
      <c r="B160" s="65" t="s">
        <v>677</v>
      </c>
      <c r="C160" s="3041">
        <f>SUM(C161:C162)</f>
        <v>35489062</v>
      </c>
      <c r="D160" s="3041">
        <f>SUM(D161:D162)</f>
        <v>39694145</v>
      </c>
      <c r="E160" s="3041">
        <f>SUM(E161:E162)</f>
        <v>42247444</v>
      </c>
      <c r="F160" s="3041">
        <f>SUM(F161:F162)</f>
        <v>43378542</v>
      </c>
      <c r="G160" s="3041">
        <f>SUM(G161:G162)</f>
        <v>31605025.425466213</v>
      </c>
      <c r="L160" s="109"/>
    </row>
    <row r="161" spans="1:12" s="54" customFormat="1" ht="12.75">
      <c r="A161" s="65"/>
      <c r="B161" s="65" t="s">
        <v>678</v>
      </c>
      <c r="C161" s="3041">
        <v>30039416</v>
      </c>
      <c r="D161" s="3041">
        <v>34100798</v>
      </c>
      <c r="E161" s="3041">
        <v>37039605</v>
      </c>
      <c r="F161" s="3041">
        <v>38371425</v>
      </c>
      <c r="G161" s="3033">
        <v>29854100.473306213</v>
      </c>
      <c r="L161" s="109"/>
    </row>
    <row r="162" spans="1:12" s="54" customFormat="1" ht="12.75">
      <c r="A162" s="64"/>
      <c r="B162" s="64" t="s">
        <v>679</v>
      </c>
      <c r="C162" s="3041">
        <v>5449646</v>
      </c>
      <c r="D162" s="3041">
        <v>5593347</v>
      </c>
      <c r="E162" s="3041">
        <v>5207839</v>
      </c>
      <c r="F162" s="3041">
        <v>5007117</v>
      </c>
      <c r="G162" s="3033">
        <v>1750924.9521599996</v>
      </c>
      <c r="L162" s="109"/>
    </row>
    <row r="163" spans="1:12" s="54" customFormat="1" ht="12.75">
      <c r="A163" s="65">
        <v>3</v>
      </c>
      <c r="B163" s="65" t="s">
        <v>680</v>
      </c>
      <c r="C163" s="3041">
        <f>C159-C160</f>
        <v>10139089</v>
      </c>
      <c r="D163" s="3041">
        <f>D159-D160</f>
        <v>10415140</v>
      </c>
      <c r="E163" s="3041">
        <f>E159-E160</f>
        <v>18431780</v>
      </c>
      <c r="F163" s="3041">
        <f>F159-F160</f>
        <v>21127655</v>
      </c>
      <c r="G163" s="3041">
        <f>G159-G160</f>
        <v>15397386.681873795</v>
      </c>
      <c r="L163" s="109"/>
    </row>
    <row r="164" spans="1:12" s="54" customFormat="1" ht="12.75">
      <c r="A164" s="65">
        <v>4</v>
      </c>
      <c r="B164" s="65" t="s">
        <v>668</v>
      </c>
      <c r="C164" s="3053">
        <v>0.05</v>
      </c>
      <c r="D164" s="3042">
        <v>0.05</v>
      </c>
      <c r="E164" s="3042">
        <v>0.05</v>
      </c>
      <c r="F164" s="3042">
        <v>0.05</v>
      </c>
      <c r="G164" s="3035">
        <v>0.05</v>
      </c>
      <c r="L164" s="184"/>
    </row>
    <row r="165" spans="1:12" s="54" customFormat="1" ht="12.75">
      <c r="A165" s="65">
        <v>5</v>
      </c>
      <c r="B165" s="65" t="s">
        <v>669</v>
      </c>
      <c r="C165" s="3043">
        <f>C161*C164</f>
        <v>1501970.8</v>
      </c>
      <c r="D165" s="3043">
        <f>D161*D164</f>
        <v>1705039.9000000001</v>
      </c>
      <c r="E165" s="3043">
        <f>E161*E164</f>
        <v>1851980.25</v>
      </c>
      <c r="F165" s="3043">
        <f>F161*F164</f>
        <v>1918571.25</v>
      </c>
      <c r="G165" s="3043">
        <f>G161*G164</f>
        <v>1492705.0236653108</v>
      </c>
      <c r="L165" s="109"/>
    </row>
    <row r="166" spans="1:12" s="54" customFormat="1" ht="12.75">
      <c r="A166" s="60">
        <v>6</v>
      </c>
      <c r="B166" s="60" t="s">
        <v>670</v>
      </c>
      <c r="C166" s="3054">
        <f>C163/C165</f>
        <v>6.750523379016423</v>
      </c>
      <c r="D166" s="3054">
        <f>D163/D165</f>
        <v>6.1084435619365856</v>
      </c>
      <c r="E166" s="3054">
        <f>E163/E165</f>
        <v>9.9524711454131332</v>
      </c>
      <c r="F166" s="3054">
        <f>F163/F165</f>
        <v>11.012181590858301</v>
      </c>
      <c r="G166" s="3054">
        <f>G163/G165</f>
        <v>10.315090012938915</v>
      </c>
      <c r="L166" s="184"/>
    </row>
    <row r="167" spans="1:12" s="54" customFormat="1" ht="12.75">
      <c r="C167" s="282"/>
      <c r="D167" s="178"/>
      <c r="E167" s="178"/>
      <c r="F167" s="178"/>
      <c r="L167" s="184"/>
    </row>
    <row r="169" spans="1:12" s="54" customFormat="1" ht="25.5">
      <c r="A169" s="2917">
        <v>15</v>
      </c>
      <c r="B169" s="3024" t="s">
        <v>135</v>
      </c>
      <c r="C169" s="3029" t="s">
        <v>671</v>
      </c>
      <c r="D169" s="3029" t="s">
        <v>672</v>
      </c>
      <c r="E169" s="3029" t="s">
        <v>673</v>
      </c>
      <c r="F169" s="3029" t="s">
        <v>674</v>
      </c>
      <c r="G169" s="3029" t="s">
        <v>675</v>
      </c>
      <c r="L169" s="116"/>
    </row>
    <row r="170" spans="1:12" s="54" customFormat="1" ht="12.75">
      <c r="A170" s="63">
        <v>1</v>
      </c>
      <c r="B170" s="63" t="s">
        <v>676</v>
      </c>
      <c r="C170" s="3041">
        <v>10149704</v>
      </c>
      <c r="D170" s="3041">
        <v>11616686</v>
      </c>
      <c r="E170" s="3041">
        <v>13980151.754845018</v>
      </c>
      <c r="F170" s="3041">
        <v>16546945.706671475</v>
      </c>
      <c r="G170" s="3033">
        <v>47002412.107340008</v>
      </c>
      <c r="L170" s="179"/>
    </row>
    <row r="171" spans="1:12" s="54" customFormat="1" ht="12.75">
      <c r="A171" s="65">
        <v>2</v>
      </c>
      <c r="B171" s="65" t="s">
        <v>677</v>
      </c>
      <c r="C171" s="3041">
        <f>SUM(C172:C173)</f>
        <v>9287349</v>
      </c>
      <c r="D171" s="3041">
        <f>SUM(D172:D173)</f>
        <v>10785049</v>
      </c>
      <c r="E171" s="3041">
        <f>SUM(E172:E173)</f>
        <v>12890911.933639999</v>
      </c>
      <c r="F171" s="3041">
        <f>SUM(F172:F173)</f>
        <v>14535963.245829999</v>
      </c>
      <c r="G171" s="3041">
        <f>SUM(G172:G173)</f>
        <v>31605025.425466213</v>
      </c>
      <c r="L171" s="179"/>
    </row>
    <row r="172" spans="1:12" s="54" customFormat="1" ht="12.75">
      <c r="A172" s="65"/>
      <c r="B172" s="65" t="s">
        <v>678</v>
      </c>
      <c r="C172" s="3041">
        <v>8403054</v>
      </c>
      <c r="D172" s="3041">
        <v>9668223</v>
      </c>
      <c r="E172" s="3041">
        <v>11608947</v>
      </c>
      <c r="F172" s="3041">
        <v>13572802</v>
      </c>
      <c r="G172" s="3033">
        <v>29854100.473306213</v>
      </c>
      <c r="L172" s="179"/>
    </row>
    <row r="173" spans="1:12" s="54" customFormat="1" ht="12.75">
      <c r="A173" s="64"/>
      <c r="B173" s="64" t="s">
        <v>679</v>
      </c>
      <c r="C173" s="3041">
        <v>884295</v>
      </c>
      <c r="D173" s="3041">
        <v>1116826</v>
      </c>
      <c r="E173" s="3041">
        <v>1281964.9336400002</v>
      </c>
      <c r="F173" s="3041">
        <v>963161.2458299998</v>
      </c>
      <c r="G173" s="3033">
        <v>1750924.9521599996</v>
      </c>
      <c r="L173" s="179"/>
    </row>
    <row r="174" spans="1:12" s="54" customFormat="1" ht="12.75">
      <c r="A174" s="65">
        <v>3</v>
      </c>
      <c r="B174" s="65" t="s">
        <v>680</v>
      </c>
      <c r="C174" s="3041">
        <f>C170-C171</f>
        <v>862355</v>
      </c>
      <c r="D174" s="3041">
        <f>D170-D171</f>
        <v>831637</v>
      </c>
      <c r="E174" s="3041">
        <f>E170-E171</f>
        <v>1089239.8212050181</v>
      </c>
      <c r="F174" s="3041">
        <f>F170-F171</f>
        <v>2010982.4608414751</v>
      </c>
      <c r="G174" s="3041">
        <f>G170-G171</f>
        <v>15397386.681873795</v>
      </c>
      <c r="L174" s="179"/>
    </row>
    <row r="175" spans="1:12" s="54" customFormat="1" ht="12.75">
      <c r="A175" s="65">
        <v>4</v>
      </c>
      <c r="B175" s="65" t="s">
        <v>668</v>
      </c>
      <c r="C175" s="3042">
        <v>0.05</v>
      </c>
      <c r="D175" s="3042">
        <v>0.05</v>
      </c>
      <c r="E175" s="3042">
        <v>0.05</v>
      </c>
      <c r="F175" s="3042">
        <v>0.05</v>
      </c>
      <c r="G175" s="3035">
        <v>0.05</v>
      </c>
    </row>
    <row r="176" spans="1:12" s="54" customFormat="1" ht="12.75">
      <c r="A176" s="65">
        <v>5</v>
      </c>
      <c r="B176" s="65" t="s">
        <v>669</v>
      </c>
      <c r="C176" s="3055">
        <f>C172*C175</f>
        <v>420152.7</v>
      </c>
      <c r="D176" s="3055">
        <f>D172*D175</f>
        <v>483411.15</v>
      </c>
      <c r="E176" s="3055">
        <f>E172*E175</f>
        <v>580447.35</v>
      </c>
      <c r="F176" s="3055">
        <f>F172*F175</f>
        <v>678640.10000000009</v>
      </c>
      <c r="G176" s="3055">
        <f>G172*G175</f>
        <v>1492705.0236653108</v>
      </c>
      <c r="L176" s="179"/>
    </row>
    <row r="177" spans="1:12" s="54" customFormat="1" ht="12.75">
      <c r="A177" s="60">
        <v>6</v>
      </c>
      <c r="B177" s="60" t="s">
        <v>670</v>
      </c>
      <c r="C177" s="3044">
        <f>C174/C176</f>
        <v>2.0524799674023275</v>
      </c>
      <c r="D177" s="3044">
        <f>D174/D176</f>
        <v>1.7203512993028811</v>
      </c>
      <c r="E177" s="3044">
        <f>E174/E176</f>
        <v>1.8765523198702141</v>
      </c>
      <c r="F177" s="3044">
        <f>F174/F176</f>
        <v>2.9632532189616776</v>
      </c>
      <c r="G177" s="3044">
        <f>G174/G176</f>
        <v>10.315090012938915</v>
      </c>
      <c r="L177" s="183"/>
    </row>
    <row r="178" spans="1:12" s="54" customFormat="1" ht="12.75">
      <c r="C178" s="183"/>
      <c r="D178" s="183"/>
      <c r="E178" s="183"/>
      <c r="F178" s="183"/>
      <c r="L178" s="183"/>
    </row>
    <row r="180" spans="1:12" s="54" customFormat="1" ht="25.5">
      <c r="A180" s="2917">
        <v>16</v>
      </c>
      <c r="B180" s="3024" t="s">
        <v>681</v>
      </c>
      <c r="C180" s="3029" t="s">
        <v>671</v>
      </c>
      <c r="D180" s="3029" t="s">
        <v>672</v>
      </c>
      <c r="E180" s="3029" t="s">
        <v>673</v>
      </c>
      <c r="F180" s="3029" t="s">
        <v>674</v>
      </c>
      <c r="G180" s="3029" t="s">
        <v>675</v>
      </c>
      <c r="L180" s="116"/>
    </row>
    <row r="181" spans="1:12" s="54" customFormat="1" ht="12.75">
      <c r="A181" s="63">
        <v>1</v>
      </c>
      <c r="B181" s="63" t="s">
        <v>676</v>
      </c>
      <c r="C181" s="3046">
        <v>1051044.56913</v>
      </c>
      <c r="D181" s="3046">
        <v>1109371.14943</v>
      </c>
      <c r="E181" s="3046">
        <v>784579.95</v>
      </c>
      <c r="F181" s="3046">
        <v>863126.18733999995</v>
      </c>
      <c r="G181" s="3033">
        <v>47002412.107340008</v>
      </c>
      <c r="L181" s="179"/>
    </row>
    <row r="182" spans="1:12" s="54" customFormat="1" ht="12.75">
      <c r="A182" s="65">
        <v>2</v>
      </c>
      <c r="B182" s="65" t="s">
        <v>677</v>
      </c>
      <c r="C182" s="3046">
        <f>SUM(C183:C184)</f>
        <v>1009135.11913</v>
      </c>
      <c r="D182" s="3046">
        <f>SUM(D183:D184)</f>
        <v>1072832.2494300001</v>
      </c>
      <c r="E182" s="3046">
        <f>SUM(E183:E184)</f>
        <v>754604.71485999995</v>
      </c>
      <c r="F182" s="3046">
        <f>SUM(F183:F184)</f>
        <v>836446.03734000004</v>
      </c>
      <c r="G182" s="3046">
        <f>SUM(G183:G184)</f>
        <v>31605025.425466213</v>
      </c>
      <c r="L182" s="179"/>
    </row>
    <row r="183" spans="1:12" s="54" customFormat="1" ht="12.75">
      <c r="A183" s="65"/>
      <c r="B183" s="65" t="s">
        <v>678</v>
      </c>
      <c r="C183" s="3046">
        <v>838189</v>
      </c>
      <c r="D183" s="3046">
        <v>730778</v>
      </c>
      <c r="E183" s="3046">
        <v>599499</v>
      </c>
      <c r="F183" s="3046">
        <v>533603</v>
      </c>
      <c r="G183" s="3033">
        <v>29854100.473306213</v>
      </c>
      <c r="L183" s="179"/>
    </row>
    <row r="184" spans="1:12" s="54" customFormat="1" ht="12.75">
      <c r="A184" s="64"/>
      <c r="B184" s="64" t="s">
        <v>679</v>
      </c>
      <c r="C184" s="3046">
        <v>170946.11913000001</v>
      </c>
      <c r="D184" s="3046">
        <v>342054.24943000003</v>
      </c>
      <c r="E184" s="3046">
        <v>155105.71486000001</v>
      </c>
      <c r="F184" s="3046">
        <v>302843.03733999998</v>
      </c>
      <c r="G184" s="3033">
        <v>1750924.9521599996</v>
      </c>
      <c r="L184" s="179"/>
    </row>
    <row r="185" spans="1:12" s="54" customFormat="1" ht="12.75">
      <c r="A185" s="65">
        <v>3</v>
      </c>
      <c r="B185" s="65" t="s">
        <v>680</v>
      </c>
      <c r="C185" s="3046">
        <f>C181-C182</f>
        <v>41909.449999999953</v>
      </c>
      <c r="D185" s="3046">
        <f>D181-D182</f>
        <v>36538.899999999907</v>
      </c>
      <c r="E185" s="3046">
        <f>E181-E182</f>
        <v>29975.235140000004</v>
      </c>
      <c r="F185" s="3046">
        <f>F181-F182</f>
        <v>26680.149999999907</v>
      </c>
      <c r="G185" s="3046">
        <f>G181-G182</f>
        <v>15397386.681873795</v>
      </c>
      <c r="L185" s="179"/>
    </row>
    <row r="186" spans="1:12" s="54" customFormat="1" ht="12.75">
      <c r="A186" s="65">
        <v>4</v>
      </c>
      <c r="B186" s="65" t="s">
        <v>668</v>
      </c>
      <c r="C186" s="3047">
        <v>0.05</v>
      </c>
      <c r="D186" s="3047">
        <v>0.05</v>
      </c>
      <c r="E186" s="3047">
        <v>0.05</v>
      </c>
      <c r="F186" s="3047">
        <v>0.05</v>
      </c>
      <c r="G186" s="3035">
        <v>0.05</v>
      </c>
    </row>
    <row r="187" spans="1:12" s="54" customFormat="1" ht="12.75">
      <c r="A187" s="65">
        <v>5</v>
      </c>
      <c r="B187" s="65" t="s">
        <v>669</v>
      </c>
      <c r="C187" s="3050">
        <f>C183*C186</f>
        <v>41909.450000000004</v>
      </c>
      <c r="D187" s="3050">
        <f>D183*D186</f>
        <v>36538.9</v>
      </c>
      <c r="E187" s="3050">
        <f>E183*E186</f>
        <v>29974.95</v>
      </c>
      <c r="F187" s="3050">
        <f>F183*F186</f>
        <v>26680.15</v>
      </c>
      <c r="G187" s="3050">
        <f>G183*G186</f>
        <v>1492705.0236653108</v>
      </c>
      <c r="L187" s="179"/>
    </row>
    <row r="188" spans="1:12" s="54" customFormat="1" ht="12.75">
      <c r="A188" s="60">
        <v>6</v>
      </c>
      <c r="B188" s="60" t="s">
        <v>670</v>
      </c>
      <c r="C188" s="3049">
        <f>C185/C187</f>
        <v>0.99999999999999878</v>
      </c>
      <c r="D188" s="3049">
        <f>D185/D187</f>
        <v>0.99999999999999745</v>
      </c>
      <c r="E188" s="3049">
        <f>E185/E187</f>
        <v>1.0000095126096959</v>
      </c>
      <c r="F188" s="3049">
        <f>F185/F187</f>
        <v>0.99999999999999645</v>
      </c>
      <c r="G188" s="3049">
        <f>G185/G187</f>
        <v>10.315090012938915</v>
      </c>
      <c r="L188" s="183"/>
    </row>
  </sheetData>
  <customSheetViews>
    <customSheetView guid="{5E394B0B-7867-4722-9497-A93AB2A9A773}" showPageBreaks="1" hiddenRows="1" state="hidden">
      <selection activeCell="H83" sqref="H83"/>
      <rowBreaks count="2" manualBreakCount="2">
        <brk id="67" max="16383" man="1"/>
        <brk id="133" max="16383" man="1"/>
      </rowBreaks>
      <pageMargins left="0" right="0" top="0" bottom="0" header="0" footer="0"/>
      <pageSetup scale="72" orientation="portrait" r:id="rId1"/>
    </customSheetView>
    <customSheetView guid="{B1E1B596-A9A1-411D-A882-A48CB025B978}" showPageBreaks="1" hiddenRows="1" state="hidden">
      <selection activeCell="H83" sqref="H83"/>
      <rowBreaks count="2" manualBreakCount="2">
        <brk id="67" max="16383" man="1"/>
        <brk id="133" max="16383" man="1"/>
      </rowBreaks>
      <pageMargins left="0" right="0" top="0" bottom="0" header="0" footer="0"/>
      <pageSetup scale="72" orientation="portrait" r:id="rId2"/>
    </customSheetView>
    <customSheetView guid="{E82B35BE-4719-4C53-A9EF-1CC6F153A6F3}" showPageBreaks="1" hiddenRows="1" topLeftCell="A22">
      <selection activeCell="C32" sqref="C32:D32"/>
      <rowBreaks count="2" manualBreakCount="2">
        <brk id="67" max="16383" man="1"/>
        <brk id="133" max="16383" man="1"/>
      </rowBreaks>
      <pageMargins left="0" right="0" top="0" bottom="0" header="0" footer="0"/>
      <pageSetup scale="72" orientation="portrait" r:id="rId3"/>
    </customSheetView>
    <customSheetView guid="{46F31544-8E6F-41C5-8628-1D6EE074AF15}" hiddenRows="1" state="hidden">
      <selection activeCell="H83" sqref="H83"/>
      <rowBreaks count="2" manualBreakCount="2">
        <brk id="67" max="16383" man="1"/>
        <brk id="133" max="16383" man="1"/>
      </rowBreaks>
      <pageMargins left="0" right="0" top="0" bottom="0" header="0" footer="0"/>
      <pageSetup scale="72" orientation="portrait" r:id="rId4"/>
    </customSheetView>
    <customSheetView guid="{B2E1A0C6-5BA1-4CF1-B412-16D81FCDF11F}" showPageBreaks="1" hiddenRows="1" state="hidden">
      <selection activeCell="H83" sqref="H83"/>
      <rowBreaks count="2" manualBreakCount="2">
        <brk id="67" max="16383" man="1"/>
        <brk id="133" max="16383" man="1"/>
      </rowBreaks>
      <pageMargins left="0" right="0" top="0" bottom="0" header="0" footer="0"/>
      <pageSetup scale="72" orientation="portrait" r:id="rId5"/>
    </customSheetView>
    <customSheetView guid="{967E0446-E234-427F-8E57-7FE287052E2E}" showPageBreaks="1" hiddenRows="1" state="hidden">
      <selection activeCell="H83" sqref="H83"/>
      <rowBreaks count="2" manualBreakCount="2">
        <brk id="67" max="16383" man="1"/>
        <brk id="133" max="16383" man="1"/>
      </rowBreaks>
      <pageMargins left="0" right="0" top="0" bottom="0" header="0" footer="0"/>
      <pageSetup scale="72" orientation="portrait" r:id="rId6"/>
    </customSheetView>
    <customSheetView guid="{2ACFE167-4169-43A6-9AB2-59D5A2DA2DB4}" showPageBreaks="1" hiddenRows="1" state="hidden">
      <selection activeCell="H83" sqref="H83"/>
      <rowBreaks count="2" manualBreakCount="2">
        <brk id="67" max="16383" man="1"/>
        <brk id="133" max="16383" man="1"/>
      </rowBreaks>
      <pageMargins left="0" right="0" top="0" bottom="0" header="0" footer="0"/>
      <pageSetup scale="72" orientation="portrait" r:id="rId7"/>
    </customSheetView>
  </customSheetViews>
  <pageMargins left="0.7" right="0.7" top="0.75" bottom="0.75" header="0.3" footer="0.3"/>
  <pageSetup scale="72" orientation="portrait" r:id="rId8"/>
  <rowBreaks count="2" manualBreakCount="2">
    <brk id="67" max="16383" man="1"/>
    <brk id="133"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N112"/>
  <sheetViews>
    <sheetView zoomScaleNormal="100" workbookViewId="0">
      <pane xSplit="5" ySplit="7" topLeftCell="F21" activePane="bottomRight" state="frozen"/>
      <selection pane="topRight" activeCell="F1" sqref="F1"/>
      <selection pane="bottomLeft" activeCell="A8" sqref="A8"/>
      <selection pane="bottomRight" activeCell="M35" sqref="M35"/>
    </sheetView>
  </sheetViews>
  <sheetFormatPr defaultColWidth="9.140625" defaultRowHeight="15"/>
  <cols>
    <col min="1" max="1" width="4" customWidth="1"/>
    <col min="2" max="2" width="10.140625" customWidth="1"/>
    <col min="3" max="3" width="14.85546875" hidden="1" customWidth="1"/>
    <col min="4" max="4" width="11.28515625" hidden="1" customWidth="1"/>
    <col min="5" max="5" width="12.7109375" hidden="1" customWidth="1"/>
    <col min="6" max="6" width="12.7109375" customWidth="1"/>
    <col min="7" max="7" width="11.140625" hidden="1" customWidth="1"/>
    <col min="8" max="8" width="11.28515625" hidden="1" customWidth="1"/>
    <col min="9" max="9" width="11.42578125" customWidth="1"/>
    <col min="10" max="10" width="11.28515625" bestFit="1" customWidth="1"/>
    <col min="11" max="11" width="13" customWidth="1"/>
    <col min="12" max="12" width="11.42578125" customWidth="1"/>
    <col min="13" max="13" width="13" customWidth="1"/>
    <col min="14" max="14" width="8.140625" customWidth="1"/>
    <col min="15" max="15" width="11.5703125" customWidth="1"/>
    <col min="16" max="16" width="10.42578125" customWidth="1"/>
    <col min="17" max="17" width="11.42578125" customWidth="1"/>
    <col min="18" max="18" width="10.42578125" customWidth="1"/>
    <col min="19" max="19" width="11.5703125" bestFit="1" customWidth="1"/>
    <col min="20" max="21" width="13.5703125" customWidth="1"/>
    <col min="22" max="22" width="14" customWidth="1"/>
    <col min="23" max="23" width="15.5703125" customWidth="1"/>
    <col min="24" max="24" width="12.140625" customWidth="1"/>
    <col min="25" max="25" width="12.28515625" customWidth="1"/>
    <col min="26" max="28" width="13" customWidth="1"/>
    <col min="31" max="31" width="9.140625" hidden="1" customWidth="1"/>
    <col min="34" max="34" width="13.85546875" customWidth="1"/>
  </cols>
  <sheetData>
    <row r="1" spans="1:40">
      <c r="B1" s="150" t="s">
        <v>594</v>
      </c>
    </row>
    <row r="2" spans="1:40">
      <c r="B2" s="245" t="s">
        <v>682</v>
      </c>
      <c r="C2" s="29"/>
      <c r="D2" s="29"/>
      <c r="E2" s="29"/>
      <c r="F2" s="29"/>
      <c r="G2" s="29"/>
      <c r="H2" s="29"/>
      <c r="I2" s="36"/>
      <c r="J2" s="36"/>
      <c r="K2" s="36"/>
      <c r="L2" s="28"/>
      <c r="M2" s="28"/>
      <c r="N2" s="28"/>
      <c r="O2" s="28"/>
      <c r="P2" s="28"/>
      <c r="Q2" s="28"/>
      <c r="R2" s="28"/>
    </row>
    <row r="3" spans="1:40">
      <c r="D3" s="29"/>
      <c r="E3" s="29"/>
      <c r="F3" s="29"/>
      <c r="G3" s="29"/>
      <c r="H3" s="29"/>
      <c r="I3" s="36"/>
      <c r="J3" s="36"/>
      <c r="K3" s="36"/>
      <c r="L3" s="28"/>
      <c r="M3" s="28"/>
      <c r="N3" s="28"/>
      <c r="O3" s="28"/>
      <c r="P3" s="28"/>
      <c r="Q3" s="28"/>
      <c r="R3" s="28"/>
    </row>
    <row r="4" spans="1:40">
      <c r="B4" s="29" t="s">
        <v>151</v>
      </c>
      <c r="C4" s="29"/>
      <c r="D4" s="6"/>
      <c r="E4" s="6"/>
      <c r="F4" s="29" t="s">
        <v>151</v>
      </c>
      <c r="G4" s="6"/>
      <c r="H4" s="6"/>
      <c r="I4" s="28"/>
      <c r="J4" s="28"/>
      <c r="K4" s="28"/>
      <c r="L4" s="28"/>
      <c r="M4" s="28"/>
      <c r="N4" s="28"/>
      <c r="O4" s="28"/>
      <c r="P4" s="28"/>
      <c r="Q4" s="28"/>
      <c r="R4" s="28"/>
    </row>
    <row r="5" spans="1:40">
      <c r="B5" s="3823" t="s">
        <v>83</v>
      </c>
      <c r="C5" s="3364">
        <v>2006</v>
      </c>
      <c r="D5" s="3793">
        <v>2007</v>
      </c>
      <c r="E5" s="3794"/>
      <c r="F5" s="3823" t="s">
        <v>83</v>
      </c>
      <c r="G5" s="3795">
        <v>2008</v>
      </c>
      <c r="H5" s="3796"/>
      <c r="I5" s="3795">
        <v>2009</v>
      </c>
      <c r="J5" s="3796"/>
      <c r="K5" s="3797">
        <v>2010</v>
      </c>
      <c r="L5" s="3797"/>
      <c r="M5" s="3798">
        <v>2011</v>
      </c>
      <c r="N5" s="3798"/>
      <c r="O5" s="3798" t="s">
        <v>206</v>
      </c>
      <c r="P5" s="3798"/>
      <c r="Q5" s="3798" t="s">
        <v>207</v>
      </c>
      <c r="R5" s="3798"/>
      <c r="T5" s="29" t="s">
        <v>683</v>
      </c>
      <c r="U5" s="29" t="s">
        <v>683</v>
      </c>
      <c r="V5" s="31"/>
      <c r="W5" s="31"/>
      <c r="X5" s="31"/>
      <c r="Y5" s="31"/>
      <c r="Z5" s="32"/>
      <c r="AA5" s="32"/>
      <c r="AB5" s="32"/>
      <c r="AD5" s="364" t="s">
        <v>683</v>
      </c>
      <c r="AE5" s="365"/>
      <c r="AF5" s="364" t="s">
        <v>683</v>
      </c>
      <c r="AG5" s="365"/>
      <c r="AH5" s="365"/>
      <c r="AI5" s="365"/>
      <c r="AJ5" s="365"/>
      <c r="AK5" s="366"/>
      <c r="AL5" s="366"/>
    </row>
    <row r="6" spans="1:40" ht="25.5" customHeight="1">
      <c r="B6" s="3500"/>
      <c r="C6" s="169"/>
      <c r="D6" s="3365" t="s">
        <v>138</v>
      </c>
      <c r="E6" s="3366" t="s">
        <v>139</v>
      </c>
      <c r="F6" s="3500"/>
      <c r="G6" s="3365" t="s">
        <v>138</v>
      </c>
      <c r="H6" s="3366" t="s">
        <v>139</v>
      </c>
      <c r="I6" s="3365" t="s">
        <v>138</v>
      </c>
      <c r="J6" s="3366" t="s">
        <v>139</v>
      </c>
      <c r="K6" s="3365" t="s">
        <v>138</v>
      </c>
      <c r="L6" s="3366" t="s">
        <v>139</v>
      </c>
      <c r="M6" s="3365" t="s">
        <v>138</v>
      </c>
      <c r="N6" s="3366" t="s">
        <v>139</v>
      </c>
      <c r="O6" s="3365" t="s">
        <v>138</v>
      </c>
      <c r="P6" s="3366" t="s">
        <v>139</v>
      </c>
      <c r="Q6" s="3365" t="s">
        <v>138</v>
      </c>
      <c r="R6" s="3366" t="s">
        <v>139</v>
      </c>
      <c r="T6" s="3823" t="s">
        <v>83</v>
      </c>
      <c r="U6" s="3823" t="s">
        <v>83</v>
      </c>
      <c r="V6" s="3056">
        <v>2007</v>
      </c>
      <c r="W6" s="3056">
        <v>2008</v>
      </c>
      <c r="X6" s="3056">
        <v>2009</v>
      </c>
      <c r="Y6" s="3056">
        <v>2010</v>
      </c>
      <c r="Z6" s="3056">
        <v>2011</v>
      </c>
      <c r="AA6" s="176" t="s">
        <v>206</v>
      </c>
      <c r="AB6" s="176" t="s">
        <v>207</v>
      </c>
      <c r="AD6" s="3367" t="s">
        <v>83</v>
      </c>
      <c r="AE6" s="3057">
        <v>2007</v>
      </c>
      <c r="AF6" s="3367" t="s">
        <v>83</v>
      </c>
      <c r="AG6" s="3057">
        <v>2008</v>
      </c>
      <c r="AH6" s="3057" t="s">
        <v>599</v>
      </c>
      <c r="AI6" s="3057">
        <v>2009</v>
      </c>
      <c r="AJ6" s="3057">
        <v>2010</v>
      </c>
      <c r="AK6" s="3057">
        <v>2011</v>
      </c>
      <c r="AL6" s="3057" t="s">
        <v>206</v>
      </c>
      <c r="AM6" s="3057" t="s">
        <v>207</v>
      </c>
    </row>
    <row r="7" spans="1:40">
      <c r="B7" s="3501"/>
      <c r="C7" s="170"/>
      <c r="D7" s="171" t="s">
        <v>140</v>
      </c>
      <c r="E7" s="171" t="s">
        <v>157</v>
      </c>
      <c r="F7" s="3501"/>
      <c r="G7" s="171" t="s">
        <v>140</v>
      </c>
      <c r="H7" s="349" t="s">
        <v>141</v>
      </c>
      <c r="I7" s="171" t="s">
        <v>140</v>
      </c>
      <c r="J7" s="349" t="s">
        <v>141</v>
      </c>
      <c r="K7" s="171" t="s">
        <v>140</v>
      </c>
      <c r="L7" s="349" t="s">
        <v>141</v>
      </c>
      <c r="M7" s="171" t="s">
        <v>140</v>
      </c>
      <c r="N7" s="349" t="s">
        <v>141</v>
      </c>
      <c r="O7" s="171" t="s">
        <v>140</v>
      </c>
      <c r="P7" s="349" t="s">
        <v>141</v>
      </c>
      <c r="Q7" s="171" t="s">
        <v>140</v>
      </c>
      <c r="R7" s="349" t="s">
        <v>141</v>
      </c>
      <c r="T7" s="3500"/>
      <c r="U7" s="3500"/>
      <c r="V7" s="3368" t="s">
        <v>138</v>
      </c>
      <c r="W7" s="3368" t="s">
        <v>138</v>
      </c>
      <c r="X7" s="3368" t="s">
        <v>138</v>
      </c>
      <c r="Y7" s="3368" t="s">
        <v>138</v>
      </c>
      <c r="Z7" s="3368" t="s">
        <v>138</v>
      </c>
      <c r="AA7" s="3368" t="s">
        <v>138</v>
      </c>
      <c r="AB7" s="367"/>
      <c r="AD7" s="165"/>
      <c r="AE7" s="3367" t="s">
        <v>138</v>
      </c>
      <c r="AF7" s="165"/>
      <c r="AG7" s="3367" t="s">
        <v>138</v>
      </c>
      <c r="AH7" s="3367"/>
      <c r="AI7" s="3367" t="s">
        <v>138</v>
      </c>
      <c r="AJ7" s="3367" t="s">
        <v>138</v>
      </c>
      <c r="AK7" s="3367" t="s">
        <v>138</v>
      </c>
      <c r="AL7" s="3367" t="s">
        <v>138</v>
      </c>
      <c r="AM7" s="3367" t="s">
        <v>138</v>
      </c>
    </row>
    <row r="8" spans="1:40">
      <c r="A8" s="43">
        <v>1</v>
      </c>
      <c r="B8" s="2089" t="s">
        <v>179</v>
      </c>
      <c r="C8" s="2089"/>
      <c r="D8" s="3058">
        <v>1867142</v>
      </c>
      <c r="E8" s="3059">
        <f t="shared" ref="E8:E23" si="0">(D8/D$26)*100</f>
        <v>5.9874945477856221</v>
      </c>
      <c r="F8" s="3059" t="s">
        <v>125</v>
      </c>
      <c r="G8" s="3058">
        <v>2045252</v>
      </c>
      <c r="H8" s="3059">
        <f t="shared" ref="H8:H25" si="1">(G8/G$26)*100</f>
        <v>5.918271870962748</v>
      </c>
      <c r="I8" s="3058">
        <v>2503628</v>
      </c>
      <c r="J8" s="3060">
        <f t="shared" ref="J8:J25" si="2">(I8/I$26)*100</f>
        <v>7.4627641101339863</v>
      </c>
      <c r="K8" s="3061">
        <v>2490843.2409499995</v>
      </c>
      <c r="L8" s="3059">
        <f t="shared" ref="L8:L21" si="3">(K8/K$26)*100</f>
        <v>7.0961269404468492</v>
      </c>
      <c r="M8" s="3062">
        <v>2456347.4955899999</v>
      </c>
      <c r="N8" s="3059">
        <f t="shared" ref="N8:N25" si="4">(M8/M$26)*100</f>
        <v>5.6690841935657721</v>
      </c>
      <c r="O8" s="3062">
        <f>+'[1]P &amp; L - GI - 2012 '!H140+'[1]P &amp; L - GI - 2012 '!H141+'[1]P &amp; L - GI - 2012 '!H142</f>
        <v>2143252.6117200004</v>
      </c>
      <c r="P8" s="3059">
        <f>(O8/O$26)*100</f>
        <v>4.3128612289369412</v>
      </c>
      <c r="Q8" s="3062">
        <f>+'[1]P &amp; L - GI - 2013'!H140+'[1]P &amp; L - GI - 2013'!H141+'[1]P &amp; L - GI - 2013'!H142</f>
        <v>2428675.0567999999</v>
      </c>
      <c r="R8" s="3059">
        <f>+Q8/$Q$26*100</f>
        <v>4.5671232565006044</v>
      </c>
      <c r="T8" s="3501"/>
      <c r="U8" s="3501"/>
      <c r="V8" s="35" t="s">
        <v>140</v>
      </c>
      <c r="W8" s="35" t="s">
        <v>140</v>
      </c>
      <c r="X8" s="35" t="s">
        <v>140</v>
      </c>
      <c r="Y8" s="35" t="s">
        <v>140</v>
      </c>
      <c r="Z8" s="35" t="s">
        <v>140</v>
      </c>
      <c r="AA8" s="35" t="s">
        <v>140</v>
      </c>
      <c r="AB8" s="367"/>
      <c r="AD8" s="68"/>
      <c r="AE8" s="68"/>
      <c r="AF8" s="68"/>
      <c r="AG8" s="68"/>
      <c r="AH8" s="68"/>
      <c r="AI8" s="68"/>
      <c r="AJ8" s="68"/>
      <c r="AK8" s="68"/>
      <c r="AL8" s="68"/>
    </row>
    <row r="9" spans="1:40">
      <c r="A9" s="43">
        <v>2</v>
      </c>
      <c r="B9" s="2089" t="s">
        <v>181</v>
      </c>
      <c r="C9" s="2089"/>
      <c r="D9" s="3058">
        <v>706293</v>
      </c>
      <c r="E9" s="3059">
        <f t="shared" si="0"/>
        <v>2.2649190509554979</v>
      </c>
      <c r="F9" s="3059" t="s">
        <v>127</v>
      </c>
      <c r="G9" s="3058">
        <v>932730</v>
      </c>
      <c r="H9" s="3059">
        <f t="shared" si="1"/>
        <v>2.6990071258715718</v>
      </c>
      <c r="I9" s="3058">
        <v>879285</v>
      </c>
      <c r="J9" s="3060">
        <f t="shared" si="2"/>
        <v>2.620955086210556</v>
      </c>
      <c r="K9" s="3061">
        <v>890387</v>
      </c>
      <c r="L9" s="3059">
        <f t="shared" si="3"/>
        <v>2.5366105237975032</v>
      </c>
      <c r="M9" s="3062">
        <v>942900.64272999996</v>
      </c>
      <c r="N9" s="3059">
        <f t="shared" si="4"/>
        <v>2.1761510288753838</v>
      </c>
      <c r="O9" s="3062">
        <f>+'[1]P &amp; L - GI - 2012 '!H206+'[1]P &amp; L - GI - 2012 '!H207+'[1]P &amp; L - GI - 2012 '!H208</f>
        <v>819447.65761999995</v>
      </c>
      <c r="P9" s="3059">
        <f t="shared" ref="P9:P25" si="5">(O9/O$26)*100</f>
        <v>1.6489722267765059</v>
      </c>
      <c r="Q9" s="3062">
        <f>+'[1]P &amp; L - GI - 2013'!H206+'[1]P &amp; L - GI - 2013'!H207+'[1]P &amp; L - GI - 2013'!H208</f>
        <v>880059.67078814725</v>
      </c>
      <c r="R9" s="3059">
        <f t="shared" ref="R9:R25" si="6">+Q9/$Q$26*100</f>
        <v>1.6549521428612441</v>
      </c>
      <c r="T9" t="s">
        <v>193</v>
      </c>
      <c r="U9" s="9" t="s">
        <v>115</v>
      </c>
      <c r="V9" s="14">
        <f>VLOOKUP(T9,$B$8:$D$25,3,0)</f>
        <v>8845416.7142199986</v>
      </c>
      <c r="W9" s="14">
        <f>VLOOKUP(U9,$F$8:$G$25,2,0)</f>
        <v>9140845.4283200018</v>
      </c>
      <c r="X9" s="14">
        <f>VLOOKUP(U9,$F$8:$I$25,4,0)</f>
        <v>8764538.8244118989</v>
      </c>
      <c r="Y9" s="14">
        <f t="shared" ref="Y9:Y14" si="7">VLOOKUP(U9,$F$8:$K$25,6,0)</f>
        <v>8766026.9246178009</v>
      </c>
      <c r="Z9" s="14">
        <f t="shared" ref="Z9:Z14" si="8">VLOOKUP(U9,$F$8:$M$25,8,0)</f>
        <v>11134582.762270002</v>
      </c>
      <c r="AA9" s="14">
        <f t="shared" ref="AA9:AA14" si="9">VLOOKUP(U9,$F$8:$O$25,10,0)</f>
        <v>12359187.410689998</v>
      </c>
      <c r="AB9" s="14">
        <f t="shared" ref="AB9:AB14" si="10">VLOOKUP(U9,$F$8:$Q$25,12,0)</f>
        <v>12785670.661330007</v>
      </c>
      <c r="AD9" s="68" t="s">
        <v>193</v>
      </c>
      <c r="AE9" s="368">
        <f>+V9/$D$26*100</f>
        <v>28.365215044856818</v>
      </c>
      <c r="AF9" s="368" t="s">
        <v>115</v>
      </c>
      <c r="AG9" s="368">
        <f>+W9/$G$26*100</f>
        <v>26.450534396370077</v>
      </c>
      <c r="AH9" s="368">
        <f>VLOOKUP(AF9,$F$92:$O$109,8,0)</f>
        <v>12785670.661330007</v>
      </c>
      <c r="AI9" s="368">
        <f>+X9/$I$26*100</f>
        <v>26.125161477942022</v>
      </c>
      <c r="AJ9" s="368">
        <f>+Y9/$K$26*100</f>
        <v>24.973406113159534</v>
      </c>
      <c r="AK9" s="369">
        <f>+Z9/$M$26*100</f>
        <v>25.697865327630709</v>
      </c>
      <c r="AL9" s="369">
        <f>+AA9/$O$26*100</f>
        <v>24.870358217808686</v>
      </c>
      <c r="AM9" s="345">
        <f>+AB9/$Q$26*100</f>
        <v>24.043452689902782</v>
      </c>
    </row>
    <row r="10" spans="1:40">
      <c r="A10" s="43">
        <v>3</v>
      </c>
      <c r="B10" s="2089" t="s">
        <v>177</v>
      </c>
      <c r="C10" s="2089"/>
      <c r="D10" s="3058">
        <v>414017</v>
      </c>
      <c r="E10" s="3059">
        <f t="shared" si="0"/>
        <v>1.327657205606515</v>
      </c>
      <c r="F10" s="3059" t="s">
        <v>92</v>
      </c>
      <c r="G10" s="3058">
        <v>601103</v>
      </c>
      <c r="H10" s="3059">
        <f t="shared" si="1"/>
        <v>1.7393900489774956</v>
      </c>
      <c r="I10" s="3058">
        <v>1174822</v>
      </c>
      <c r="J10" s="3060">
        <f t="shared" si="2"/>
        <v>3.5018858462183</v>
      </c>
      <c r="K10" s="3061">
        <v>1356660</v>
      </c>
      <c r="L10" s="3059">
        <f t="shared" si="3"/>
        <v>3.8649688654653769</v>
      </c>
      <c r="M10" s="3062">
        <v>1379406</v>
      </c>
      <c r="N10" s="3059">
        <f t="shared" si="4"/>
        <v>3.1835759252912537</v>
      </c>
      <c r="O10" s="3062">
        <f>+'[1]P &amp; L - GI - 2012 '!H74+'[1]P &amp; L - GI - 2012 '!H75+'[1]P &amp; L - GI - 2012 '!H76</f>
        <v>1397127.38</v>
      </c>
      <c r="P10" s="3059">
        <f t="shared" si="5"/>
        <v>2.8114355144784255</v>
      </c>
      <c r="Q10" s="3062">
        <f>+'[1]P &amp; L - GI - 2013'!H74+'[1]P &amp; L - GI - 2013'!H75+'[1]P &amp; L - GI - 2013'!H76</f>
        <v>1964907.3</v>
      </c>
      <c r="R10" s="3059">
        <f t="shared" si="6"/>
        <v>3.6950080257018154</v>
      </c>
      <c r="T10" t="s">
        <v>183</v>
      </c>
      <c r="U10" s="9" t="s">
        <v>128</v>
      </c>
      <c r="V10" s="14">
        <f>VLOOKUP(T10,$B$8:$D$25,3,0)</f>
        <v>10350684</v>
      </c>
      <c r="W10" s="14">
        <f>VLOOKUP(U10,$F$8:$G$25,2,0)</f>
        <v>11287233</v>
      </c>
      <c r="X10" s="14">
        <f>VLOOKUP(U10,$F$8:$I$25,4,0)</f>
        <v>9081297</v>
      </c>
      <c r="Y10" s="14">
        <f t="shared" si="7"/>
        <v>8724292</v>
      </c>
      <c r="Z10" s="14">
        <f t="shared" si="8"/>
        <v>9558942</v>
      </c>
      <c r="AA10" s="14">
        <f t="shared" si="9"/>
        <v>10434917</v>
      </c>
      <c r="AB10" s="14">
        <f t="shared" si="10"/>
        <v>10311479</v>
      </c>
      <c r="AD10" s="68" t="s">
        <v>183</v>
      </c>
      <c r="AE10" s="368">
        <f>+V10/$D$26*100</f>
        <v>33.192260693536895</v>
      </c>
      <c r="AF10" s="368" t="s">
        <v>128</v>
      </c>
      <c r="AG10" s="368">
        <f>+W10/$G$26*100</f>
        <v>32.661458619721422</v>
      </c>
      <c r="AH10" s="368">
        <f>VLOOKUP(AF10,$F$92:$O$109,8,0)</f>
        <v>10311479</v>
      </c>
      <c r="AI10" s="368">
        <f>+X10/$I$26*100</f>
        <v>27.069347892365574</v>
      </c>
      <c r="AJ10" s="368">
        <f>+Y10/$K$26*100</f>
        <v>24.854508095785729</v>
      </c>
      <c r="AK10" s="369">
        <f>+Z10/$M$26*100</f>
        <v>22.061392818688212</v>
      </c>
      <c r="AL10" s="369">
        <f>+AA10/$O$26*100</f>
        <v>20.998154258801137</v>
      </c>
      <c r="AM10" s="345">
        <f>+AB10/$Q$26*100</f>
        <v>19.39073546210334</v>
      </c>
    </row>
    <row r="11" spans="1:40">
      <c r="A11" s="43">
        <v>4</v>
      </c>
      <c r="B11" s="2089" t="s">
        <v>180</v>
      </c>
      <c r="C11" s="2089"/>
      <c r="D11" s="3058">
        <v>678012</v>
      </c>
      <c r="E11" s="3059">
        <f t="shared" si="0"/>
        <v>2.1742283946980066</v>
      </c>
      <c r="F11" s="3059" t="s">
        <v>126</v>
      </c>
      <c r="G11" s="3058">
        <v>835188</v>
      </c>
      <c r="H11" s="3059">
        <f t="shared" si="1"/>
        <v>2.4167533621116792</v>
      </c>
      <c r="I11" s="3058">
        <v>953798</v>
      </c>
      <c r="J11" s="3060">
        <f t="shared" si="2"/>
        <v>2.8430619415973841</v>
      </c>
      <c r="K11" s="3061">
        <v>908756.46100000001</v>
      </c>
      <c r="L11" s="3059">
        <f t="shared" si="3"/>
        <v>2.5889430130286892</v>
      </c>
      <c r="M11" s="3062">
        <v>916754.25</v>
      </c>
      <c r="N11" s="3059">
        <f t="shared" si="4"/>
        <v>2.1158069195787457</v>
      </c>
      <c r="O11" s="3062">
        <f>+'[1]P &amp; L - GI - 2012 '!H173+'[1]P &amp; L - GI - 2012 '!H174+'[1]P &amp; L - GI - 2012 '!H175</f>
        <v>1125837.3460000001</v>
      </c>
      <c r="P11" s="3059">
        <f t="shared" si="5"/>
        <v>2.2655193387381298</v>
      </c>
      <c r="Q11" s="3062">
        <f>+'[1]P &amp; L - GI - 2013'!H173+'[1]P &amp; L - GI - 2013'!H174+'[1]P &amp; L - GI - 2013'!H175</f>
        <v>1232433.2908158177</v>
      </c>
      <c r="R11" s="3059">
        <f t="shared" si="6"/>
        <v>2.3175907080738849</v>
      </c>
      <c r="T11" t="str">
        <f>+B102</f>
        <v>JIPLC</v>
      </c>
      <c r="U11" s="9" t="s">
        <v>132</v>
      </c>
      <c r="V11" s="14">
        <f>VLOOKUP(T11,$B$8:$D$25,3,0)</f>
        <v>3678224</v>
      </c>
      <c r="W11" s="14">
        <f>VLOOKUP(U11,$F$8:$G$25,2,0)</f>
        <v>3937285</v>
      </c>
      <c r="X11" s="14">
        <f>VLOOKUP(U11,$F$8:$I$25,4,0)</f>
        <v>4272926</v>
      </c>
      <c r="Y11" s="14">
        <f t="shared" si="7"/>
        <v>4324169.7151100002</v>
      </c>
      <c r="Z11" s="14">
        <f t="shared" si="8"/>
        <v>5086207.4053399796</v>
      </c>
      <c r="AA11" s="14">
        <f t="shared" si="9"/>
        <v>5773429.4972300194</v>
      </c>
      <c r="AB11" s="14">
        <f t="shared" si="10"/>
        <v>6342545.7904710202</v>
      </c>
      <c r="AD11" s="68" t="s">
        <v>187</v>
      </c>
      <c r="AE11" s="368">
        <f>+V11/$D$26*100</f>
        <v>11.79521758148776</v>
      </c>
      <c r="AF11" s="368" t="s">
        <v>132</v>
      </c>
      <c r="AG11" s="368">
        <f>+W11/$G$26*100</f>
        <v>11.39317945341873</v>
      </c>
      <c r="AH11" s="368">
        <f>VLOOKUP(AF11,$F$92:$O$109,8,0)</f>
        <v>6342545.7904710202</v>
      </c>
      <c r="AI11" s="368">
        <f>+X11/$I$26*100</f>
        <v>12.736652089710759</v>
      </c>
      <c r="AJ11" s="368">
        <f>+Y11/$K$26*100</f>
        <v>12.319063964359856</v>
      </c>
      <c r="AK11" s="369">
        <f>+Z11/$M$26*100</f>
        <v>11.738623325314268</v>
      </c>
      <c r="AL11" s="369">
        <f>+AA11/$O$26*100</f>
        <v>11.617856010272879</v>
      </c>
      <c r="AM11" s="345">
        <f>+AB11/$Q$26*100</f>
        <v>11.927156868505543</v>
      </c>
    </row>
    <row r="12" spans="1:40">
      <c r="A12" s="43">
        <v>5</v>
      </c>
      <c r="B12" s="2089" t="s">
        <v>175</v>
      </c>
      <c r="C12" s="2089"/>
      <c r="D12" s="3058">
        <v>383590</v>
      </c>
      <c r="E12" s="3059">
        <f t="shared" si="0"/>
        <v>1.230084821392849</v>
      </c>
      <c r="F12" s="3059" t="s">
        <v>124</v>
      </c>
      <c r="G12" s="3058">
        <v>459771</v>
      </c>
      <c r="H12" s="3059">
        <f t="shared" si="1"/>
        <v>1.3304227432044629</v>
      </c>
      <c r="I12" s="3058">
        <v>496749</v>
      </c>
      <c r="J12" s="3060">
        <f t="shared" si="2"/>
        <v>1.4806994525324639</v>
      </c>
      <c r="K12" s="3061">
        <v>397789</v>
      </c>
      <c r="L12" s="3059">
        <f t="shared" si="3"/>
        <v>1.1332552739998283</v>
      </c>
      <c r="M12" s="3062">
        <v>582257.21020000009</v>
      </c>
      <c r="N12" s="3059">
        <f t="shared" si="4"/>
        <v>1.3438103333753582</v>
      </c>
      <c r="O12" s="3062">
        <f>+'[1]P &amp; L - GI - 2012 '!H41+'[1]P &amp; L - GI - 2012 '!H42+'[1]P &amp; L - GI - 2012 '!H43</f>
        <v>1133240.01455</v>
      </c>
      <c r="P12" s="3059">
        <f t="shared" si="5"/>
        <v>2.2804157079320269</v>
      </c>
      <c r="Q12" s="3062">
        <f>+'[1]P &amp; L - GI - 2013'!H41+'[1]P &amp; L - GI - 2013'!H42+'[1]P &amp; L - GI - 2013'!H43</f>
        <v>1376657</v>
      </c>
      <c r="R12" s="3059">
        <f t="shared" si="6"/>
        <v>2.5888033820417804</v>
      </c>
      <c r="T12" t="str">
        <f>+B109</f>
        <v>UAPLC</v>
      </c>
      <c r="U12" s="9" t="s">
        <v>135</v>
      </c>
      <c r="V12" s="14">
        <f>VLOOKUP(T12,$B$8:$D$25,3,0)</f>
        <v>2814653.6389400014</v>
      </c>
      <c r="W12" s="14">
        <f>VLOOKUP(U12,$F$8:$G$25,2,0)</f>
        <v>3182235.5665899995</v>
      </c>
      <c r="X12" s="14">
        <f>VLOOKUP(U12,$F$8:$I$25,4,0)</f>
        <v>3210217.1266700001</v>
      </c>
      <c r="Y12" s="14">
        <f t="shared" si="7"/>
        <v>3433830.28211</v>
      </c>
      <c r="Z12" s="14">
        <f t="shared" si="8"/>
        <v>4055442.8969999999</v>
      </c>
      <c r="AA12" s="14">
        <f t="shared" si="9"/>
        <v>4436051.5967899989</v>
      </c>
      <c r="AB12" s="14">
        <f t="shared" si="10"/>
        <v>5116965.9560599998</v>
      </c>
      <c r="AD12" s="68" t="s">
        <v>195</v>
      </c>
      <c r="AE12" s="368">
        <f>+V12/$D$26*100</f>
        <v>9.0259462413990033</v>
      </c>
      <c r="AF12" s="368" t="s">
        <v>135</v>
      </c>
      <c r="AG12" s="368">
        <f>+W12/$G$26*100</f>
        <v>9.2083201681390836</v>
      </c>
      <c r="AH12" s="368">
        <f>VLOOKUP(AF12,$F$92:$O$109,8,0)</f>
        <v>5116965.9560599998</v>
      </c>
      <c r="AI12" s="368">
        <f>+X12/$I$26*100</f>
        <v>9.568950802056186</v>
      </c>
      <c r="AJ12" s="368">
        <f>+Y12/$K$26*100</f>
        <v>9.7825889534941268</v>
      </c>
      <c r="AK12" s="369">
        <f>+Z12/$M$26*100</f>
        <v>9.3596884262375379</v>
      </c>
      <c r="AL12" s="369">
        <f>+AA12/$O$26*100</f>
        <v>8.9266542061999612</v>
      </c>
      <c r="AM12" s="345">
        <f>+AB12/$Q$26*100</f>
        <v>9.6224540846708955</v>
      </c>
    </row>
    <row r="13" spans="1:40">
      <c r="A13" s="43">
        <v>6</v>
      </c>
      <c r="B13" s="2089" t="s">
        <v>183</v>
      </c>
      <c r="C13" s="2089"/>
      <c r="D13" s="3058">
        <v>10350684</v>
      </c>
      <c r="E13" s="3059">
        <f t="shared" si="0"/>
        <v>33.192260693536895</v>
      </c>
      <c r="F13" s="3059" t="s">
        <v>128</v>
      </c>
      <c r="G13" s="3058">
        <v>11287233</v>
      </c>
      <c r="H13" s="3059">
        <f t="shared" si="1"/>
        <v>32.661458619721422</v>
      </c>
      <c r="I13" s="3058">
        <v>9081297</v>
      </c>
      <c r="J13" s="3060">
        <f t="shared" si="2"/>
        <v>27.069347892365574</v>
      </c>
      <c r="K13" s="3061">
        <v>8724292</v>
      </c>
      <c r="L13" s="3059">
        <f t="shared" si="3"/>
        <v>24.854508095785729</v>
      </c>
      <c r="M13" s="3062">
        <v>9558942</v>
      </c>
      <c r="N13" s="3059">
        <f t="shared" si="4"/>
        <v>22.061392818688212</v>
      </c>
      <c r="O13" s="3062">
        <f>+'[1]P &amp; L - GI - 2012 '!H272+'[1]P &amp; L - GI - 2012 '!H273+'[1]P &amp; L - GI - 2012 '!H274</f>
        <v>10434917</v>
      </c>
      <c r="P13" s="3059">
        <f t="shared" si="5"/>
        <v>20.998154258801137</v>
      </c>
      <c r="Q13" s="3062">
        <f>+'[1]P &amp; L - GI - 2013'!H272+'[1]P &amp; L - GI - 2013'!H273+'[1]P &amp; L - GI - 2013'!H274</f>
        <v>10311479</v>
      </c>
      <c r="R13" s="3059">
        <f t="shared" si="6"/>
        <v>19.39073546210334</v>
      </c>
      <c r="S13" s="370"/>
      <c r="T13" s="2089" t="s">
        <v>192</v>
      </c>
      <c r="U13" s="3059" t="s">
        <v>112</v>
      </c>
      <c r="Y13" s="14">
        <f t="shared" si="7"/>
        <v>847064</v>
      </c>
      <c r="Z13" s="14">
        <f t="shared" si="8"/>
        <v>2284578</v>
      </c>
      <c r="AA13" s="14">
        <f t="shared" si="9"/>
        <v>2795447.79213</v>
      </c>
      <c r="AB13" s="14">
        <f t="shared" si="10"/>
        <v>3085041.1282100007</v>
      </c>
      <c r="AD13" s="3063" t="s">
        <v>192</v>
      </c>
      <c r="AE13" s="3064" t="s">
        <v>112</v>
      </c>
      <c r="AF13" s="3064" t="s">
        <v>112</v>
      </c>
      <c r="AG13" s="345">
        <v>0</v>
      </c>
      <c r="AH13" s="345">
        <v>0</v>
      </c>
      <c r="AI13" s="345">
        <v>0</v>
      </c>
      <c r="AJ13" s="9">
        <f>+Y13/K26*100+0.01</f>
        <v>2.4231882616547726</v>
      </c>
      <c r="AK13" s="9">
        <f>+Z13/M26*100</f>
        <v>5.2726517937793824</v>
      </c>
      <c r="AL13" s="345">
        <f>+AA13/O26*100</f>
        <v>5.6252717641712708</v>
      </c>
      <c r="AM13" s="345">
        <f>+AB13/$Q$26*100</f>
        <v>5.8014196030296876</v>
      </c>
    </row>
    <row r="14" spans="1:40">
      <c r="A14" s="43">
        <v>7</v>
      </c>
      <c r="B14" s="2089" t="s">
        <v>185</v>
      </c>
      <c r="C14" s="2089"/>
      <c r="D14" s="3058">
        <v>34945</v>
      </c>
      <c r="E14" s="3065">
        <f t="shared" si="0"/>
        <v>0.11206057009716913</v>
      </c>
      <c r="F14" s="3059" t="s">
        <v>130</v>
      </c>
      <c r="G14" s="3058">
        <v>178734</v>
      </c>
      <c r="H14" s="3065">
        <f t="shared" si="1"/>
        <v>0.51719612281746008</v>
      </c>
      <c r="I14" s="3058">
        <v>28324</v>
      </c>
      <c r="J14" s="3066">
        <f t="shared" si="2"/>
        <v>8.4427610913216738E-2</v>
      </c>
      <c r="K14" s="3065">
        <v>0</v>
      </c>
      <c r="L14" s="3065">
        <f t="shared" si="3"/>
        <v>0</v>
      </c>
      <c r="M14" s="3067"/>
      <c r="N14" s="3065">
        <f t="shared" si="4"/>
        <v>0</v>
      </c>
      <c r="O14" s="3067">
        <v>0</v>
      </c>
      <c r="P14" s="3065">
        <f t="shared" si="5"/>
        <v>0</v>
      </c>
      <c r="Q14" s="3067">
        <v>0</v>
      </c>
      <c r="R14" s="3065">
        <f>+Q14/$Q$26*100</f>
        <v>0</v>
      </c>
      <c r="T14" t="s">
        <v>179</v>
      </c>
      <c r="U14" s="9" t="s">
        <v>125</v>
      </c>
      <c r="V14" s="14">
        <f>VLOOKUP(T14,$B$8:$D$25,3,0)</f>
        <v>1867142</v>
      </c>
      <c r="W14" s="14">
        <f>VLOOKUP(U14,$F$8:$G$25,2,0)</f>
        <v>2045252</v>
      </c>
      <c r="X14" s="14">
        <f>VLOOKUP(U14,$F$8:$I$25,4,0)</f>
        <v>2503628</v>
      </c>
      <c r="Y14" s="14">
        <f t="shared" si="7"/>
        <v>2490843.2409499995</v>
      </c>
      <c r="Z14" s="14">
        <f t="shared" si="8"/>
        <v>2456347.4955899999</v>
      </c>
      <c r="AA14" s="14">
        <f t="shared" si="9"/>
        <v>2143252.6117200004</v>
      </c>
      <c r="AB14" s="14">
        <f t="shared" si="10"/>
        <v>2428675.0567999999</v>
      </c>
      <c r="AD14" s="68" t="s">
        <v>366</v>
      </c>
      <c r="AF14" s="68" t="s">
        <v>366</v>
      </c>
      <c r="AG14" s="345"/>
      <c r="AH14" s="345"/>
      <c r="AI14" s="345">
        <f>100-(AI9+AI10+AI11+AI12+AI13)</f>
        <v>24.499887737925462</v>
      </c>
      <c r="AJ14" s="345">
        <f>100-(AJ9+AJ10+AJ11+AJ12+AJ13)</f>
        <v>25.647244611545986</v>
      </c>
      <c r="AK14" s="345">
        <f>100-(AK9+AK10+AK11+AK12+AK13)</f>
        <v>25.869778308349879</v>
      </c>
      <c r="AL14" s="345">
        <f>100-(AL9+AL10+AL11+AL12+AL13)</f>
        <v>27.96170554274606</v>
      </c>
      <c r="AM14" s="345">
        <f>100-(AM9+AM10+AM11+AM12+AM13)</f>
        <v>29.214781291787759</v>
      </c>
    </row>
    <row r="15" spans="1:40">
      <c r="A15" s="43">
        <v>8</v>
      </c>
      <c r="B15" s="2089" t="s">
        <v>182</v>
      </c>
      <c r="C15" s="2089"/>
      <c r="D15" s="3058">
        <v>0</v>
      </c>
      <c r="E15" s="3068">
        <f t="shared" si="0"/>
        <v>0</v>
      </c>
      <c r="F15" s="3059" t="s">
        <v>99</v>
      </c>
      <c r="G15" s="3058">
        <v>0</v>
      </c>
      <c r="H15" s="3068">
        <f t="shared" si="1"/>
        <v>0</v>
      </c>
      <c r="I15" s="3058">
        <v>0</v>
      </c>
      <c r="J15" s="3066">
        <f t="shared" si="2"/>
        <v>0</v>
      </c>
      <c r="K15" s="3058">
        <v>359104.92200000002</v>
      </c>
      <c r="L15" s="3068">
        <f t="shared" si="3"/>
        <v>1.0230487690101964</v>
      </c>
      <c r="M15" s="3062">
        <v>1149120.5833718772</v>
      </c>
      <c r="N15" s="2962">
        <f t="shared" si="4"/>
        <v>2.6520927301166948</v>
      </c>
      <c r="O15" s="3062">
        <f>+'[1]P &amp; L - GI - 2012 '!H239+'[1]P &amp; L - GI - 2012 '!H240+'[1]P &amp; L - GI - 2012 '!H241</f>
        <v>1545225.9615697723</v>
      </c>
      <c r="P15" s="2962">
        <f t="shared" si="5"/>
        <v>3.1094538754593248</v>
      </c>
      <c r="Q15" s="3062">
        <f>+'[1]P &amp; L - GI - 2013'!H239+'[1]P &amp; L - GI - 2013'!H240+'[1]P &amp; L - GI - 2013'!H241</f>
        <v>1330514.5467000725</v>
      </c>
      <c r="R15" s="3059">
        <f t="shared" si="6"/>
        <v>2.5020325021795076</v>
      </c>
      <c r="AN15" s="371"/>
    </row>
    <row r="16" spans="1:40">
      <c r="A16" s="43">
        <v>9</v>
      </c>
      <c r="B16" s="2089" t="s">
        <v>184</v>
      </c>
      <c r="C16" s="2089"/>
      <c r="D16" s="3058">
        <v>289691.04300000001</v>
      </c>
      <c r="E16" s="3059">
        <f t="shared" si="0"/>
        <v>0.92897248334879201</v>
      </c>
      <c r="F16" s="3059" t="s">
        <v>129</v>
      </c>
      <c r="G16" s="3058">
        <v>522448.71100000001</v>
      </c>
      <c r="H16" s="3059">
        <f t="shared" si="1"/>
        <v>1.5117909726195335</v>
      </c>
      <c r="I16" s="3058">
        <v>596182.65700000001</v>
      </c>
      <c r="J16" s="3060">
        <f t="shared" si="2"/>
        <v>1.7770893023020675</v>
      </c>
      <c r="K16" s="3061">
        <v>644813.60595</v>
      </c>
      <c r="L16" s="3059">
        <f t="shared" si="3"/>
        <v>1.8370000670950792</v>
      </c>
      <c r="M16" s="3062">
        <v>922858.52101999999</v>
      </c>
      <c r="N16" s="3059">
        <f t="shared" si="4"/>
        <v>2.1298951649979516</v>
      </c>
      <c r="O16" s="3062">
        <f>+'[1]P &amp; L - GI - 2012 '!H305+'[1]P &amp; L - GI - 2012 '!H306+'[1]P &amp; L - GI - 2012 '!H307</f>
        <v>1135011.1609100001</v>
      </c>
      <c r="P16" s="3059">
        <f t="shared" si="5"/>
        <v>2.2839797807926154</v>
      </c>
      <c r="Q16" s="3062">
        <f>+'[1]P &amp; L - GI - 2013'!H305+'[1]P &amp; L - GI - 2013'!H306+'[1]P &amp; L - GI - 2013'!H307</f>
        <v>1272941.2854599999</v>
      </c>
      <c r="R16" s="3059">
        <f t="shared" si="6"/>
        <v>2.3937659888697471</v>
      </c>
      <c r="T16" s="15" t="s">
        <v>684</v>
      </c>
      <c r="U16" s="15"/>
    </row>
    <row r="17" spans="1:34">
      <c r="A17" s="43">
        <v>10</v>
      </c>
      <c r="B17" s="2089" t="s">
        <v>186</v>
      </c>
      <c r="C17" s="2089"/>
      <c r="D17" s="3058">
        <v>704577</v>
      </c>
      <c r="E17" s="3059">
        <f t="shared" si="0"/>
        <v>2.2594162340063852</v>
      </c>
      <c r="F17" s="3059" t="s">
        <v>131</v>
      </c>
      <c r="G17" s="3058">
        <v>924709</v>
      </c>
      <c r="H17" s="3059">
        <f t="shared" si="1"/>
        <v>2.6757970477604189</v>
      </c>
      <c r="I17" s="3058">
        <v>1130781</v>
      </c>
      <c r="J17" s="3060">
        <f t="shared" si="2"/>
        <v>3.3706093170476681</v>
      </c>
      <c r="K17" s="3061">
        <v>1255190</v>
      </c>
      <c r="L17" s="3059">
        <f t="shared" si="3"/>
        <v>3.5758924640245064</v>
      </c>
      <c r="M17" s="3062">
        <v>1623830.11726</v>
      </c>
      <c r="N17" s="3059">
        <f t="shared" si="4"/>
        <v>3.7476902870306561</v>
      </c>
      <c r="O17" s="3062">
        <f>+'[1]P &amp; L - GI - 2012 '!H371+'[1]P &amp; L - GI - 2012 '!H372+'[1]P &amp; L - GI - 2012 '!H373</f>
        <v>1635305.00976</v>
      </c>
      <c r="P17" s="3059">
        <f t="shared" si="5"/>
        <v>3.2907196918893344</v>
      </c>
      <c r="Q17" s="3062">
        <f>+'[1]P &amp; L - GI - 2013'!H371+'[1]P &amp; L - GI - 2013'!H372+'[1]P &amp; L - GI - 2013'!H373</f>
        <v>1767360.9385200001</v>
      </c>
      <c r="R17" s="3059">
        <f t="shared" si="6"/>
        <v>3.3235221082151267</v>
      </c>
      <c r="T17" s="2979"/>
      <c r="U17" s="2979"/>
      <c r="V17" s="2980">
        <v>2009</v>
      </c>
      <c r="W17" s="2980">
        <v>2013</v>
      </c>
      <c r="X17" s="2928" t="s">
        <v>685</v>
      </c>
    </row>
    <row r="18" spans="1:34">
      <c r="A18" s="43">
        <v>11</v>
      </c>
      <c r="B18" s="2089" t="s">
        <v>187</v>
      </c>
      <c r="C18" s="2089"/>
      <c r="D18" s="3058">
        <v>3678224</v>
      </c>
      <c r="E18" s="3059">
        <f t="shared" si="0"/>
        <v>11.79521758148776</v>
      </c>
      <c r="F18" s="3059" t="s">
        <v>132</v>
      </c>
      <c r="G18" s="3058">
        <v>3937285</v>
      </c>
      <c r="H18" s="3059">
        <f t="shared" si="1"/>
        <v>11.39317945341873</v>
      </c>
      <c r="I18" s="3058">
        <v>4272926</v>
      </c>
      <c r="J18" s="3060">
        <f t="shared" si="2"/>
        <v>12.736652089710759</v>
      </c>
      <c r="K18" s="3061">
        <v>4324169.7151100002</v>
      </c>
      <c r="L18" s="3059">
        <f t="shared" si="3"/>
        <v>12.319063964359856</v>
      </c>
      <c r="M18" s="3062">
        <v>5086207.4053399796</v>
      </c>
      <c r="N18" s="3059">
        <f t="shared" si="4"/>
        <v>11.738623325314268</v>
      </c>
      <c r="O18" s="3062">
        <f>+'[1]P &amp; L - GI - 2012 '!H404+'[1]P &amp; L - GI - 2012 '!H405+'[1]P &amp; L - GI - 2012 '!H406</f>
        <v>5773429.4972300194</v>
      </c>
      <c r="P18" s="3059">
        <f t="shared" si="5"/>
        <v>11.617856010272879</v>
      </c>
      <c r="Q18" s="3062">
        <f>+'[1]P &amp; L - GI - 2013'!H404+'[1]P &amp; L - GI - 2013'!H405+'[1]P &amp; L - GI - 2013'!H406</f>
        <v>6342545.7904710202</v>
      </c>
      <c r="R18" s="3059">
        <f t="shared" si="6"/>
        <v>11.927156868505543</v>
      </c>
      <c r="T18" s="2979" t="s">
        <v>609</v>
      </c>
      <c r="U18" s="2979"/>
      <c r="V18" s="2981">
        <f>+J13+J8+J18+J24+J25</f>
        <v>82.962876372208513</v>
      </c>
      <c r="W18" s="2982">
        <f>+R24+R13+R18+R25+R22</f>
        <v>70.785218708212241</v>
      </c>
      <c r="X18" s="3069">
        <f>+W18-V18</f>
        <v>-12.177657663996271</v>
      </c>
      <c r="AG18" s="166" t="s">
        <v>686</v>
      </c>
      <c r="AH18" s="166"/>
    </row>
    <row r="19" spans="1:34">
      <c r="A19" s="43">
        <v>12</v>
      </c>
      <c r="B19" s="2089" t="s">
        <v>189</v>
      </c>
      <c r="C19" s="2089"/>
      <c r="D19" s="3058">
        <v>0</v>
      </c>
      <c r="E19" s="3065">
        <f t="shared" si="0"/>
        <v>0</v>
      </c>
      <c r="F19" s="3059" t="s">
        <v>133</v>
      </c>
      <c r="G19" s="3058">
        <v>0</v>
      </c>
      <c r="H19" s="3068">
        <f t="shared" si="1"/>
        <v>0</v>
      </c>
      <c r="I19" s="3058">
        <v>0</v>
      </c>
      <c r="J19" s="3066">
        <f t="shared" si="2"/>
        <v>0</v>
      </c>
      <c r="K19" s="3065">
        <v>0</v>
      </c>
      <c r="L19" s="3068">
        <f t="shared" si="3"/>
        <v>0</v>
      </c>
      <c r="M19" s="3062">
        <v>364735.08649000002</v>
      </c>
      <c r="N19" s="3068">
        <f t="shared" si="4"/>
        <v>0.84178395661508443</v>
      </c>
      <c r="O19" s="3062">
        <f>+'[1]P &amp; L - GI - 2012 '!H503+'[1]P &amp; L - GI - 2012 '!H504+'[1]P &amp; L - GI - 2012 '!H505</f>
        <v>1295132.62558</v>
      </c>
      <c r="P19" s="3068">
        <f t="shared" si="5"/>
        <v>2.6061917557691139</v>
      </c>
      <c r="Q19" s="3062">
        <f>+'[1]P &amp; L - GI - 2013'!H503+'[1]P &amp; L - GI - 2013'!H504+'[1]P &amp; L - GI - 2013'!H505</f>
        <v>1485520.8119999997</v>
      </c>
      <c r="R19" s="3059">
        <f t="shared" si="6"/>
        <v>2.7935217720892358</v>
      </c>
      <c r="T19" s="2979" t="s">
        <v>366</v>
      </c>
      <c r="U19" s="2979"/>
      <c r="V19" s="2984">
        <f>100-V18</f>
        <v>17.037123627791487</v>
      </c>
      <c r="W19" s="2982">
        <f>100-W18</f>
        <v>29.214781291787759</v>
      </c>
      <c r="X19" s="3069">
        <f>+W19-V19</f>
        <v>12.177657663996271</v>
      </c>
    </row>
    <row r="20" spans="1:34">
      <c r="A20" s="43">
        <v>13</v>
      </c>
      <c r="B20" s="2089" t="s">
        <v>190</v>
      </c>
      <c r="C20" s="2089"/>
      <c r="D20" s="3058">
        <v>230782</v>
      </c>
      <c r="E20" s="3059">
        <f t="shared" si="0"/>
        <v>0.7400647442599767</v>
      </c>
      <c r="F20" s="3059" t="s">
        <v>109</v>
      </c>
      <c r="G20" s="3058">
        <v>294317</v>
      </c>
      <c r="H20" s="3059">
        <f t="shared" si="1"/>
        <v>0.85165447692809648</v>
      </c>
      <c r="I20" s="3058">
        <v>271309</v>
      </c>
      <c r="J20" s="3060">
        <f t="shared" si="2"/>
        <v>0.80871242371324392</v>
      </c>
      <c r="K20" s="3061">
        <v>467605.90317000001</v>
      </c>
      <c r="L20" s="3059">
        <f t="shared" si="3"/>
        <v>1.3321556300472248</v>
      </c>
      <c r="M20" s="3062">
        <v>636737.86237999995</v>
      </c>
      <c r="N20" s="3059">
        <f t="shared" si="4"/>
        <v>1.4695480006570825</v>
      </c>
      <c r="O20" s="3062">
        <f>+'[1]P &amp; L - GI - 2012 '!H536+'[1]P &amp; L - GI - 2012 '!H537+'[1]P &amp; L - GI - 2012 '!H538</f>
        <v>1049146.7334</v>
      </c>
      <c r="P20" s="3059">
        <f t="shared" si="5"/>
        <v>2.1111950337554681</v>
      </c>
      <c r="Q20" s="3062">
        <f>+'[1]P &amp; L - GI - 2013'!H536+'[1]P &amp; L - GI - 2013'!H537+'[1]P &amp; L - GI - 2013'!H538</f>
        <v>1118982.9757699999</v>
      </c>
      <c r="R20" s="3059">
        <f t="shared" si="6"/>
        <v>2.1042473994034472</v>
      </c>
    </row>
    <row r="21" spans="1:34">
      <c r="A21" s="43">
        <v>14</v>
      </c>
      <c r="B21" s="2089" t="s">
        <v>191</v>
      </c>
      <c r="C21" s="3369"/>
      <c r="D21" s="3370">
        <v>0</v>
      </c>
      <c r="E21" s="3058">
        <f t="shared" si="0"/>
        <v>0</v>
      </c>
      <c r="F21" s="3059" t="s">
        <v>111</v>
      </c>
      <c r="G21" s="3370">
        <v>0</v>
      </c>
      <c r="H21" s="3058">
        <f t="shared" si="1"/>
        <v>0</v>
      </c>
      <c r="I21" s="3370">
        <v>0</v>
      </c>
      <c r="J21" s="3070">
        <f t="shared" si="2"/>
        <v>0</v>
      </c>
      <c r="K21" s="3370">
        <v>0</v>
      </c>
      <c r="L21" s="3058">
        <f t="shared" si="3"/>
        <v>0</v>
      </c>
      <c r="M21" s="3371">
        <v>1748.86556</v>
      </c>
      <c r="N21" s="3059">
        <f t="shared" si="4"/>
        <v>4.0362636478216037E-3</v>
      </c>
      <c r="O21" s="3371">
        <f>+'[1]P &amp; L - GI - 2012 '!H701+'[1]P &amp; L - GI - 2012 '!H702+'[1]P &amp; L - GI - 2012 '!H703</f>
        <v>308546.43002615747</v>
      </c>
      <c r="P21" s="3059">
        <f t="shared" si="5"/>
        <v>0.62088711713678646</v>
      </c>
      <c r="Q21" s="3371">
        <f>+'[1]P &amp; L - GI - 2013'!H701+'[1]P &amp; L - GI - 2013'!H702+'[1]P &amp; L - GI - 2013'!H703</f>
        <v>355001.40988561278</v>
      </c>
      <c r="R21" s="3059">
        <f t="shared" si="6"/>
        <v>0.66758012383729193</v>
      </c>
    </row>
    <row r="22" spans="1:34">
      <c r="A22" s="43">
        <v>15</v>
      </c>
      <c r="B22" s="2089" t="s">
        <v>192</v>
      </c>
      <c r="C22" s="2089"/>
      <c r="D22" s="3065">
        <v>0</v>
      </c>
      <c r="E22" s="3068">
        <f t="shared" si="0"/>
        <v>0</v>
      </c>
      <c r="F22" s="3059" t="s">
        <v>112</v>
      </c>
      <c r="G22" s="3065">
        <v>0</v>
      </c>
      <c r="H22" s="3068">
        <f t="shared" si="1"/>
        <v>0</v>
      </c>
      <c r="I22" s="3065">
        <v>0</v>
      </c>
      <c r="J22" s="3066">
        <f t="shared" si="2"/>
        <v>0</v>
      </c>
      <c r="K22" s="3071">
        <v>847064</v>
      </c>
      <c r="L22" s="3068">
        <f>(K22/K$26)*100+0.01</f>
        <v>2.4231882616547726</v>
      </c>
      <c r="M22" s="3062">
        <v>2284578</v>
      </c>
      <c r="N22" s="3059">
        <f t="shared" si="4"/>
        <v>5.2726517937793824</v>
      </c>
      <c r="O22" s="3062">
        <f>+'[1]P &amp; L - GI - 2012 '!H569+'[1]P &amp; L - GI - 2012 '!H570+'[1]P &amp; L - GI - 2012 '!H571</f>
        <v>2795447.79213</v>
      </c>
      <c r="P22" s="3059">
        <f t="shared" si="5"/>
        <v>5.6252717641712708</v>
      </c>
      <c r="Q22" s="3062">
        <f>+'[1]P &amp; L - GI - 2013'!H569+'[1]P &amp; L - GI - 2013'!H570+'[1]P &amp; L - GI - 2013'!H571</f>
        <v>3085041.1282100007</v>
      </c>
      <c r="R22" s="3059">
        <f t="shared" si="6"/>
        <v>5.8014196030296876</v>
      </c>
    </row>
    <row r="23" spans="1:34">
      <c r="A23" s="43">
        <v>16</v>
      </c>
      <c r="B23" s="2089" t="s">
        <v>194</v>
      </c>
      <c r="C23" s="2089"/>
      <c r="D23" s="3058">
        <f>+'[5]General Insurance'!$E$153</f>
        <v>186000</v>
      </c>
      <c r="E23" s="3059">
        <f t="shared" si="0"/>
        <v>0.5964591797989256</v>
      </c>
      <c r="F23" s="3059" t="s">
        <v>134</v>
      </c>
      <c r="G23" s="3058">
        <v>216412</v>
      </c>
      <c r="H23" s="3059">
        <f t="shared" si="1"/>
        <v>0.62622359109722925</v>
      </c>
      <c r="I23" s="3058">
        <v>184409</v>
      </c>
      <c r="J23" s="3060">
        <f t="shared" si="2"/>
        <v>0.54968264725658045</v>
      </c>
      <c r="K23" s="3061">
        <v>234914</v>
      </c>
      <c r="L23" s="3059">
        <f>(K23/K$26)*100</f>
        <v>0.66924306463073546</v>
      </c>
      <c r="M23" s="3062">
        <v>232374</v>
      </c>
      <c r="N23" s="3059">
        <f t="shared" si="4"/>
        <v>0.53630350459808773</v>
      </c>
      <c r="O23" s="3062">
        <f>+'[1]P &amp; L - GI - 2012 '!H635+'[1]P &amp; L - GI - 2012 '!H636+'[1]P &amp; L - GI - 2012 '!H637</f>
        <v>308142.49066000007</v>
      </c>
      <c r="P23" s="3059">
        <f t="shared" si="5"/>
        <v>0.62007427108139623</v>
      </c>
      <c r="Q23" s="3062">
        <f>+'[1]P &amp; L - GI - 2013'!H635+'[1]P &amp; L - GI - 2013'!H636+'[1]P &amp; L - GI - 2013'!H637</f>
        <v>322591.81438999996</v>
      </c>
      <c r="R23" s="3059">
        <f t="shared" si="6"/>
        <v>0.60663388201405732</v>
      </c>
    </row>
    <row r="24" spans="1:34">
      <c r="A24" s="43">
        <v>17</v>
      </c>
      <c r="B24" s="2089" t="s">
        <v>193</v>
      </c>
      <c r="C24" s="2089"/>
      <c r="D24" s="3058">
        <v>8845416.7142199986</v>
      </c>
      <c r="E24" s="3059">
        <f>(D24/D$26)*100-0.01</f>
        <v>28.355215044856816</v>
      </c>
      <c r="F24" s="3059" t="s">
        <v>115</v>
      </c>
      <c r="G24" s="3058">
        <v>9140845.4283200018</v>
      </c>
      <c r="H24" s="3059">
        <f t="shared" si="1"/>
        <v>26.450534396370077</v>
      </c>
      <c r="I24" s="3058">
        <v>8764538.8244118989</v>
      </c>
      <c r="J24" s="3060">
        <f t="shared" si="2"/>
        <v>26.125161477942022</v>
      </c>
      <c r="K24" s="3061">
        <v>8766026.9246178009</v>
      </c>
      <c r="L24" s="3059">
        <f>(K24/K$26)*100</f>
        <v>24.973406113159534</v>
      </c>
      <c r="M24" s="3062">
        <v>11134582.762270002</v>
      </c>
      <c r="N24" s="3059">
        <f t="shared" si="4"/>
        <v>25.697865327630709</v>
      </c>
      <c r="O24" s="3062">
        <f>+'[1]P &amp; L - GI - 2012 '!H602+'[1]P &amp; L - GI - 2012 '!H603+'[1]P &amp; L - GI - 2012 '!H604</f>
        <v>12359187.410689998</v>
      </c>
      <c r="P24" s="3059">
        <f t="shared" si="5"/>
        <v>24.870358217808686</v>
      </c>
      <c r="Q24" s="3062">
        <f>+'[1]P &amp; L - GI - 2013'!H602+'[1]P &amp; L - GI - 2013'!H603+'[1]P &amp; L - GI - 2013'!H604</f>
        <v>12785670.661330007</v>
      </c>
      <c r="R24" s="3059">
        <f t="shared" si="6"/>
        <v>24.043452689902782</v>
      </c>
    </row>
    <row r="25" spans="1:34">
      <c r="A25" s="43">
        <v>18</v>
      </c>
      <c r="B25" s="2089" t="s">
        <v>195</v>
      </c>
      <c r="C25" s="2089"/>
      <c r="D25" s="3058">
        <v>2814653.6389400014</v>
      </c>
      <c r="E25" s="3059">
        <f>(D25/D$26)*100</f>
        <v>9.0259462413990033</v>
      </c>
      <c r="F25" s="3059" t="s">
        <v>135</v>
      </c>
      <c r="G25" s="3058">
        <v>3182235.5665899995</v>
      </c>
      <c r="H25" s="3059">
        <f t="shared" si="1"/>
        <v>9.2083201681390836</v>
      </c>
      <c r="I25" s="3058">
        <v>3210217.1266700001</v>
      </c>
      <c r="J25" s="3060">
        <f t="shared" si="2"/>
        <v>9.568950802056186</v>
      </c>
      <c r="K25" s="3061">
        <v>3433830.28211</v>
      </c>
      <c r="L25" s="3059">
        <f>(K25/K$26)*100</f>
        <v>9.7825889534941268</v>
      </c>
      <c r="M25" s="3062">
        <v>4055442.8969999999</v>
      </c>
      <c r="N25" s="3059">
        <f t="shared" si="4"/>
        <v>9.3596884262375379</v>
      </c>
      <c r="O25" s="3062">
        <f>+'[1]P &amp; L - GI - 2012 '!H668+'[1]P &amp; L - GI - 2012 '!H669+'[1]P &amp; L - GI - 2012 '!H670</f>
        <v>4436051.5967899989</v>
      </c>
      <c r="P25" s="3059">
        <f t="shared" si="5"/>
        <v>8.9266542061999612</v>
      </c>
      <c r="Q25" s="3062">
        <f>+'[1]P &amp; L - GI - 2013'!H668+'[1]P &amp; L - GI - 2013'!H669+'[1]P &amp; L - GI - 2013'!H670</f>
        <v>5116965.9560599998</v>
      </c>
      <c r="R25" s="3059">
        <f t="shared" si="6"/>
        <v>9.6224540846708955</v>
      </c>
    </row>
    <row r="26" spans="1:34">
      <c r="B26" s="2094" t="s">
        <v>118</v>
      </c>
      <c r="C26" s="3372">
        <v>25930519</v>
      </c>
      <c r="D26" s="3372">
        <f>SUM(D8:D25)+1</f>
        <v>31184028.396159999</v>
      </c>
      <c r="E26" s="3372">
        <f>SUM(E8:E25)</f>
        <v>99.989996793230219</v>
      </c>
      <c r="F26" s="2094" t="s">
        <v>118</v>
      </c>
      <c r="G26" s="3372">
        <f t="shared" ref="G26:P26" si="11">SUM(G8:G25)</f>
        <v>34558263.705909997</v>
      </c>
      <c r="H26" s="3372">
        <f t="shared" si="11"/>
        <v>100</v>
      </c>
      <c r="I26" s="3372">
        <f t="shared" si="11"/>
        <v>33548266.608081896</v>
      </c>
      <c r="J26" s="3372">
        <f t="shared" si="11"/>
        <v>100</v>
      </c>
      <c r="K26" s="3372">
        <f t="shared" si="11"/>
        <v>35101447.054907799</v>
      </c>
      <c r="L26" s="3372">
        <f t="shared" si="11"/>
        <v>100.01000000000002</v>
      </c>
      <c r="M26" s="3372">
        <f t="shared" si="11"/>
        <v>43328823.699211858</v>
      </c>
      <c r="N26" s="3372">
        <f t="shared" si="11"/>
        <v>99.999999999999986</v>
      </c>
      <c r="O26" s="3372">
        <f>SUM(O8:O25)</f>
        <v>49694448.718635947</v>
      </c>
      <c r="P26" s="3372">
        <f t="shared" si="11"/>
        <v>100</v>
      </c>
      <c r="Q26" s="3372">
        <f>SUM(Q8:Q25)</f>
        <v>53177348.637200683</v>
      </c>
      <c r="R26" s="3372">
        <f>SUM(R8:R25)</f>
        <v>99.999999999999986</v>
      </c>
    </row>
    <row r="27" spans="1:34" ht="15" customHeight="1">
      <c r="B27" s="3824" t="s">
        <v>146</v>
      </c>
      <c r="C27" s="3072"/>
      <c r="D27" s="3826">
        <f>+((D26-C26)/C26)*100</f>
        <v>20.259946961184998</v>
      </c>
      <c r="E27" s="3826"/>
      <c r="F27" s="3824" t="s">
        <v>146</v>
      </c>
      <c r="G27" s="3827">
        <f>((G26-D26)/D26)*100</f>
        <v>10.820395834957299</v>
      </c>
      <c r="H27" s="3828"/>
      <c r="I27" s="3831">
        <f>((I26-G26)/G26)*100</f>
        <v>-2.9225921372183294</v>
      </c>
      <c r="J27" s="3831"/>
      <c r="K27" s="3831">
        <f>((K26-I26)/I26)*100</f>
        <v>4.6296891132125921</v>
      </c>
      <c r="L27" s="3831"/>
      <c r="M27" s="3831">
        <f>((M26-K26)/K26)*100</f>
        <v>23.438853194383412</v>
      </c>
      <c r="N27" s="3831"/>
      <c r="O27" s="3831">
        <f>((O26-M26)/M26)*100</f>
        <v>14.691432806055793</v>
      </c>
      <c r="P27" s="3831"/>
      <c r="Q27" s="3831">
        <f>((Q26-O26)/O26)*100</f>
        <v>7.0086297531631789</v>
      </c>
      <c r="R27" s="3831"/>
    </row>
    <row r="28" spans="1:34">
      <c r="B28" s="3825"/>
      <c r="C28" s="2928"/>
      <c r="D28" s="3826"/>
      <c r="E28" s="3826"/>
      <c r="F28" s="3825"/>
      <c r="G28" s="3829"/>
      <c r="H28" s="3830"/>
      <c r="I28" s="3831"/>
      <c r="J28" s="3831"/>
      <c r="K28" s="3831"/>
      <c r="L28" s="3831"/>
      <c r="M28" s="3831"/>
      <c r="N28" s="3831"/>
      <c r="O28" s="3831"/>
      <c r="P28" s="3831"/>
      <c r="Q28" s="3831"/>
      <c r="R28" s="3831"/>
    </row>
    <row r="29" spans="1:34" ht="25.5" customHeight="1">
      <c r="B29" s="2928"/>
      <c r="C29" s="2928"/>
      <c r="D29" s="3073"/>
      <c r="E29" s="3073"/>
      <c r="F29" s="3832" t="s">
        <v>687</v>
      </c>
      <c r="G29" s="3833"/>
      <c r="H29" s="3833"/>
      <c r="I29" s="3833"/>
      <c r="J29" s="3834"/>
      <c r="K29" s="2128">
        <f>+'[6]SRCC &amp; TC'!$H$55</f>
        <v>1926563.8965400003</v>
      </c>
      <c r="L29" s="3075"/>
      <c r="M29" s="3076">
        <f>+'[7]AR Table 4 &amp; Chart 4,5'!$M$29</f>
        <v>1949804.8214974001</v>
      </c>
      <c r="N29" s="3075"/>
      <c r="O29" s="2128">
        <f>-'[1]P &amp; L - GI - 2012 '!H9</f>
        <v>2238827.710423843</v>
      </c>
      <c r="P29" s="3074"/>
      <c r="Q29" s="2128">
        <f>-'[1]P &amp; L - GI - 2013'!H9</f>
        <v>3107389.6258930122</v>
      </c>
      <c r="R29" s="3074"/>
    </row>
    <row r="30" spans="1:34" ht="25.5" customHeight="1">
      <c r="B30" s="2928"/>
      <c r="C30" s="2928"/>
      <c r="D30" s="3073"/>
      <c r="E30" s="3073"/>
      <c r="F30" s="3832" t="s">
        <v>688</v>
      </c>
      <c r="G30" s="3833"/>
      <c r="H30" s="3833"/>
      <c r="I30" s="3833"/>
      <c r="J30" s="3834"/>
      <c r="K30" s="2132">
        <f>+K26+K29</f>
        <v>37028010.9514478</v>
      </c>
      <c r="L30" s="3074">
        <f>+(K30-I26)/I26*100</f>
        <v>10.372352121845905</v>
      </c>
      <c r="M30" s="2132">
        <f>+M26+M29</f>
        <v>45278628.520709261</v>
      </c>
      <c r="N30" s="3074">
        <f>+(M30-K30)/K30*100</f>
        <v>22.282097680266734</v>
      </c>
      <c r="O30" s="2132">
        <f>+O26+O29</f>
        <v>51933276.429059789</v>
      </c>
      <c r="P30" s="3074">
        <f>+(O30-M30)/M30*100</f>
        <v>14.697105733462898</v>
      </c>
      <c r="Q30" s="2132">
        <f>+Q26+Q29</f>
        <v>56284738.263093695</v>
      </c>
      <c r="R30" s="3074">
        <f>+(Q30-O30)/O30*100</f>
        <v>8.3789472439274064</v>
      </c>
    </row>
    <row r="31" spans="1:34">
      <c r="D31" s="246"/>
      <c r="E31" s="246"/>
      <c r="F31" s="248"/>
      <c r="G31" s="247"/>
      <c r="H31" s="247"/>
      <c r="I31" s="247"/>
      <c r="J31" s="247"/>
      <c r="K31" s="249"/>
      <c r="L31" s="247"/>
      <c r="M31" s="249"/>
      <c r="N31" s="247"/>
      <c r="O31" s="249"/>
      <c r="P31" s="247"/>
      <c r="Q31" s="247"/>
      <c r="R31" s="247"/>
    </row>
    <row r="32" spans="1:34">
      <c r="D32" s="246"/>
      <c r="E32" s="246"/>
      <c r="F32" s="248"/>
      <c r="G32" s="247"/>
      <c r="H32" s="247"/>
      <c r="I32" s="247"/>
      <c r="J32" s="247"/>
      <c r="K32" s="249"/>
      <c r="L32" s="247"/>
      <c r="M32" s="249"/>
      <c r="N32" s="247"/>
      <c r="O32" s="249"/>
      <c r="P32" s="247"/>
      <c r="Q32" s="247"/>
      <c r="R32" s="247"/>
    </row>
    <row r="33" spans="2:36">
      <c r="B33" s="6"/>
      <c r="C33" s="6"/>
      <c r="D33" s="7"/>
      <c r="E33" s="8"/>
      <c r="F33" s="204" t="s">
        <v>612</v>
      </c>
      <c r="G33" s="372"/>
      <c r="H33" s="8"/>
      <c r="I33" s="7"/>
      <c r="J33" s="8"/>
      <c r="K33" s="7"/>
      <c r="L33" s="8"/>
      <c r="M33" s="8"/>
      <c r="N33" s="8"/>
      <c r="O33" s="8"/>
      <c r="P33" s="8"/>
      <c r="Q33" s="8"/>
      <c r="R33" s="8"/>
    </row>
    <row r="34" spans="2:36">
      <c r="B34" s="204" t="s">
        <v>612</v>
      </c>
      <c r="F34" s="204" t="s">
        <v>613</v>
      </c>
    </row>
    <row r="35" spans="2:36" ht="21.75" customHeight="1">
      <c r="B35" s="204" t="s">
        <v>613</v>
      </c>
      <c r="C35" s="42"/>
    </row>
    <row r="36" spans="2:36" ht="21.75" customHeight="1">
      <c r="B36" s="200" t="s">
        <v>147</v>
      </c>
      <c r="C36" s="175"/>
      <c r="D36" s="175"/>
      <c r="E36" s="175"/>
      <c r="F36" s="175"/>
      <c r="G36" s="175"/>
      <c r="H36" s="175"/>
      <c r="I36" s="175"/>
      <c r="K36" s="14"/>
      <c r="M36" s="14"/>
    </row>
    <row r="37" spans="2:36" ht="7.5" customHeight="1">
      <c r="B37" s="208"/>
      <c r="C37" s="175"/>
      <c r="D37" s="175"/>
      <c r="E37" s="175"/>
      <c r="F37" s="175"/>
      <c r="G37" s="175"/>
      <c r="H37" s="175"/>
      <c r="I37" s="175"/>
      <c r="K37" s="14"/>
      <c r="M37" s="14"/>
    </row>
    <row r="38" spans="2:36" ht="21.75" customHeight="1">
      <c r="B38" s="3839" t="s">
        <v>689</v>
      </c>
      <c r="C38" s="3839"/>
      <c r="D38" s="3839"/>
      <c r="E38" s="3839"/>
      <c r="F38" s="3839"/>
      <c r="G38" s="3839"/>
      <c r="H38" s="3839"/>
      <c r="I38" s="3839"/>
      <c r="J38" s="3839"/>
      <c r="K38" s="3839"/>
      <c r="L38" s="3839"/>
      <c r="M38" s="3839"/>
      <c r="N38" s="3839"/>
      <c r="O38" s="211"/>
      <c r="P38" s="211"/>
      <c r="Q38" s="211"/>
      <c r="R38" s="211"/>
    </row>
    <row r="39" spans="2:36" ht="10.5" customHeight="1">
      <c r="B39" s="3839"/>
      <c r="C39" s="3839"/>
      <c r="D39" s="3839"/>
      <c r="E39" s="3839"/>
      <c r="F39" s="3839"/>
      <c r="G39" s="3839"/>
      <c r="H39" s="3839"/>
      <c r="I39" s="3839"/>
      <c r="J39" s="3839"/>
      <c r="K39" s="3839"/>
      <c r="L39" s="3839"/>
      <c r="M39" s="3839"/>
      <c r="N39" s="3839"/>
      <c r="O39" s="211"/>
      <c r="P39" s="211"/>
      <c r="Q39" s="211"/>
      <c r="R39" s="211"/>
    </row>
    <row r="40" spans="2:36" ht="15" customHeight="1">
      <c r="B40" s="3840" t="s">
        <v>149</v>
      </c>
      <c r="C40" s="3840"/>
      <c r="D40" s="3840"/>
      <c r="E40" s="3840"/>
      <c r="F40" s="3840"/>
      <c r="G40" s="3840"/>
      <c r="H40" s="3840"/>
      <c r="I40" s="3840"/>
      <c r="J40" s="3840"/>
      <c r="K40" s="3840"/>
      <c r="L40" s="3840"/>
      <c r="M40" s="3840"/>
      <c r="N40" s="3840"/>
      <c r="O40" s="212"/>
      <c r="P40" s="212"/>
      <c r="Q40" s="212"/>
      <c r="R40" s="212"/>
    </row>
    <row r="41" spans="2:36" ht="3.75" customHeight="1">
      <c r="B41" s="3840"/>
      <c r="C41" s="3840"/>
      <c r="D41" s="3840"/>
      <c r="E41" s="3840"/>
      <c r="F41" s="3840"/>
      <c r="G41" s="3840"/>
      <c r="H41" s="3840"/>
      <c r="I41" s="3840"/>
      <c r="J41" s="3840"/>
      <c r="K41" s="3840"/>
      <c r="L41" s="3840"/>
      <c r="M41" s="3840"/>
      <c r="N41" s="3840"/>
      <c r="O41" s="212"/>
      <c r="P41" s="212"/>
      <c r="Q41" s="212"/>
      <c r="R41" s="212"/>
    </row>
    <row r="42" spans="2:36" ht="34.5" customHeight="1">
      <c r="B42" s="3841" t="s">
        <v>690</v>
      </c>
      <c r="C42" s="3841"/>
      <c r="D42" s="3841"/>
      <c r="E42" s="3841"/>
      <c r="F42" s="3841"/>
      <c r="G42" s="3841"/>
      <c r="H42" s="3841"/>
      <c r="I42" s="3841"/>
      <c r="J42" s="3841"/>
      <c r="K42" s="3841"/>
      <c r="L42" s="3841"/>
      <c r="M42" s="3841"/>
      <c r="N42" s="3841"/>
      <c r="O42" s="213"/>
      <c r="P42" s="213"/>
      <c r="Q42" s="213"/>
      <c r="R42" s="213"/>
    </row>
    <row r="43" spans="2:36" ht="34.5" customHeight="1">
      <c r="B43" s="213"/>
      <c r="C43" s="213"/>
      <c r="D43" s="213"/>
      <c r="E43" s="213"/>
      <c r="F43" s="213"/>
      <c r="G43" s="213"/>
      <c r="H43" s="213"/>
      <c r="I43" s="213"/>
      <c r="J43" s="213"/>
      <c r="K43" s="213"/>
      <c r="L43" s="213"/>
      <c r="M43" s="213"/>
      <c r="N43" s="213"/>
      <c r="O43" s="213"/>
      <c r="P43" s="213"/>
      <c r="Q43" s="213"/>
      <c r="R43" s="213"/>
    </row>
    <row r="44" spans="2:36" ht="34.5" customHeight="1">
      <c r="B44" s="213"/>
      <c r="C44" s="213"/>
      <c r="D44" s="213"/>
      <c r="E44" s="213"/>
      <c r="F44" s="213"/>
      <c r="G44" s="213"/>
      <c r="H44" s="213"/>
      <c r="I44" s="213"/>
      <c r="J44" s="213"/>
      <c r="K44" s="213"/>
      <c r="L44" s="213"/>
      <c r="M44" s="213"/>
      <c r="N44" s="213"/>
      <c r="O44" s="213"/>
      <c r="P44" s="213"/>
      <c r="Q44" s="213"/>
      <c r="R44" s="213"/>
    </row>
    <row r="45" spans="2:36" ht="34.5" customHeight="1">
      <c r="B45" s="213"/>
      <c r="C45" s="213"/>
      <c r="D45" s="213"/>
      <c r="E45" s="213"/>
      <c r="F45" s="213"/>
      <c r="G45" s="213"/>
      <c r="H45" s="213"/>
      <c r="I45" s="213"/>
      <c r="J45" s="213"/>
      <c r="K45" s="213"/>
      <c r="L45" s="213"/>
      <c r="M45" s="213"/>
      <c r="N45" s="213"/>
      <c r="O45" s="213"/>
      <c r="P45" s="213"/>
      <c r="Q45" s="213"/>
      <c r="R45" s="213"/>
      <c r="AJ45" s="172" t="s">
        <v>612</v>
      </c>
    </row>
    <row r="46" spans="2:36" ht="34.5" customHeight="1">
      <c r="B46" s="213"/>
      <c r="C46" s="213"/>
      <c r="E46" s="213"/>
      <c r="F46" s="213"/>
      <c r="G46" s="213"/>
      <c r="H46" s="213"/>
      <c r="I46" s="213"/>
      <c r="J46" s="213"/>
      <c r="K46" s="213"/>
      <c r="L46" s="213"/>
      <c r="M46" s="213"/>
      <c r="N46" s="213"/>
      <c r="O46" s="213"/>
      <c r="P46" s="213"/>
      <c r="Q46" s="213"/>
      <c r="R46" s="213"/>
      <c r="AJ46" s="172" t="s">
        <v>613</v>
      </c>
    </row>
    <row r="48" spans="2:36">
      <c r="D48" s="14"/>
      <c r="E48" s="14"/>
      <c r="F48" s="14"/>
      <c r="G48" s="14"/>
      <c r="H48" s="14"/>
      <c r="I48" s="14"/>
    </row>
    <row r="49" spans="4:36">
      <c r="G49" s="10">
        <f>+G10+G14+G18+G23+G25</f>
        <v>8115769.5665899999</v>
      </c>
      <c r="K49" s="10">
        <f>+K10+K14+K18+K23+K25</f>
        <v>9349573.9972200003</v>
      </c>
    </row>
    <row r="50" spans="4:36">
      <c r="G50" s="9">
        <f>+G49/G26*100</f>
        <v>23.48430938445</v>
      </c>
      <c r="K50" s="9">
        <f>+K49/K26*100</f>
        <v>26.635864847950096</v>
      </c>
    </row>
    <row r="51" spans="4:36">
      <c r="G51" s="9">
        <f>100-G50</f>
        <v>76.51569061555</v>
      </c>
      <c r="K51" s="9">
        <f>100-K50</f>
        <v>73.364135152049897</v>
      </c>
    </row>
    <row r="52" spans="4:36">
      <c r="D52" s="213" t="s">
        <v>691</v>
      </c>
      <c r="K52" s="81">
        <f>+K26-K49</f>
        <v>25751873.057687797</v>
      </c>
    </row>
    <row r="53" spans="4:36">
      <c r="U53" s="14"/>
      <c r="V53" s="68"/>
      <c r="W53" s="108" t="e">
        <f>+M26+#REF!</f>
        <v>#REF!</v>
      </c>
    </row>
    <row r="54" spans="4:36">
      <c r="U54" s="14"/>
      <c r="W54" s="14" t="e">
        <f>+W53-M26</f>
        <v>#REF!</v>
      </c>
    </row>
    <row r="55" spans="4:36">
      <c r="U55" s="9"/>
      <c r="W55" s="9" t="e">
        <f>+W54/W53*100</f>
        <v>#REF!</v>
      </c>
    </row>
    <row r="56" spans="4:36">
      <c r="U56" s="9"/>
      <c r="W56" s="9" t="e">
        <f>+M26/W53*100</f>
        <v>#REF!</v>
      </c>
    </row>
    <row r="57" spans="4:36">
      <c r="S57" t="s">
        <v>118</v>
      </c>
      <c r="T57" s="14" t="e">
        <f>+K26+#REF!</f>
        <v>#REF!</v>
      </c>
    </row>
    <row r="58" spans="4:36">
      <c r="T58" s="14" t="e">
        <f>+T57-K26</f>
        <v>#REF!</v>
      </c>
      <c r="AJ58" s="175"/>
    </row>
    <row r="59" spans="4:36">
      <c r="S59" t="s">
        <v>692</v>
      </c>
      <c r="T59" s="9" t="e">
        <f>+T58/T57*100</f>
        <v>#REF!</v>
      </c>
    </row>
    <row r="60" spans="4:36">
      <c r="S60" t="s">
        <v>693</v>
      </c>
      <c r="T60" s="9" t="e">
        <f>+K26/T57*100</f>
        <v>#REF!</v>
      </c>
    </row>
    <row r="79" spans="6:13">
      <c r="F79" s="200" t="s">
        <v>147</v>
      </c>
      <c r="G79" s="175"/>
      <c r="H79" s="175"/>
      <c r="I79" s="175"/>
      <c r="J79" s="175"/>
      <c r="K79" s="175"/>
      <c r="L79" s="175"/>
      <c r="M79" s="175"/>
    </row>
    <row r="80" spans="6:13">
      <c r="F80" s="208"/>
      <c r="G80" s="175"/>
      <c r="H80" s="175"/>
      <c r="I80" s="175"/>
      <c r="J80" s="175"/>
      <c r="K80" s="175"/>
      <c r="L80" s="175"/>
      <c r="M80" s="175"/>
    </row>
    <row r="81" spans="1:22" ht="15" customHeight="1">
      <c r="F81" s="3448" t="s">
        <v>148</v>
      </c>
      <c r="G81" s="3448"/>
      <c r="H81" s="3448"/>
      <c r="I81" s="3448"/>
      <c r="J81" s="3448"/>
      <c r="K81" s="3448"/>
      <c r="L81" s="3448"/>
      <c r="M81" s="3448"/>
      <c r="N81" s="3448"/>
      <c r="O81" s="224"/>
      <c r="P81" s="224"/>
      <c r="Q81" s="224"/>
      <c r="R81" s="224"/>
      <c r="S81" s="224"/>
      <c r="T81" s="224"/>
      <c r="U81" s="224"/>
    </row>
    <row r="82" spans="1:22">
      <c r="F82" s="3448"/>
      <c r="G82" s="3448"/>
      <c r="H82" s="3448"/>
      <c r="I82" s="3448"/>
      <c r="J82" s="3448"/>
      <c r="K82" s="3448"/>
      <c r="L82" s="3448"/>
      <c r="M82" s="3448"/>
      <c r="N82" s="3448"/>
      <c r="O82" s="224"/>
      <c r="P82" s="224"/>
      <c r="Q82" s="224"/>
      <c r="R82" s="224"/>
      <c r="S82" s="224"/>
      <c r="T82" s="224"/>
      <c r="U82" s="224"/>
    </row>
    <row r="83" spans="1:22" ht="15" customHeight="1">
      <c r="F83" s="3449" t="s">
        <v>149</v>
      </c>
      <c r="G83" s="3449"/>
      <c r="H83" s="3449"/>
      <c r="I83" s="3449"/>
      <c r="J83" s="3449"/>
      <c r="K83" s="3449"/>
      <c r="L83" s="3449"/>
      <c r="M83" s="3449"/>
      <c r="N83" s="222"/>
      <c r="O83" s="222"/>
      <c r="P83" s="222"/>
      <c r="Q83" s="222"/>
      <c r="R83" s="222"/>
      <c r="S83" s="222"/>
      <c r="T83" s="222"/>
      <c r="U83" s="222"/>
    </row>
    <row r="84" spans="1:22" ht="14.25" customHeight="1">
      <c r="F84" s="3449"/>
      <c r="G84" s="3449"/>
      <c r="H84" s="3449"/>
      <c r="I84" s="3449"/>
      <c r="J84" s="3449"/>
      <c r="K84" s="3449"/>
      <c r="L84" s="3449"/>
      <c r="M84" s="3449"/>
      <c r="N84" s="222"/>
      <c r="O84" s="222"/>
      <c r="P84" s="222"/>
      <c r="Q84" s="222"/>
      <c r="R84" s="222"/>
      <c r="S84" s="222"/>
      <c r="T84" s="222"/>
      <c r="U84" s="222"/>
    </row>
    <row r="85" spans="1:22" ht="57.75" customHeight="1">
      <c r="F85" s="3841" t="s">
        <v>694</v>
      </c>
      <c r="G85" s="3841"/>
      <c r="H85" s="3841"/>
      <c r="I85" s="3841"/>
      <c r="J85" s="3841"/>
      <c r="K85" s="3841"/>
      <c r="L85" s="3841"/>
      <c r="M85" s="3841"/>
      <c r="N85" s="223"/>
      <c r="O85" s="223"/>
      <c r="P85" s="223"/>
      <c r="Q85" s="223"/>
      <c r="R85" s="223"/>
      <c r="S85" s="223"/>
      <c r="T85" s="223"/>
      <c r="U85" s="223"/>
    </row>
    <row r="88" spans="1:22">
      <c r="B88" s="30" t="s">
        <v>151</v>
      </c>
      <c r="C88" s="30"/>
      <c r="D88" s="31"/>
      <c r="E88" s="31"/>
      <c r="F88" s="30" t="s">
        <v>151</v>
      </c>
      <c r="G88" s="31"/>
      <c r="H88" s="31"/>
      <c r="I88" s="32"/>
      <c r="J88" s="32"/>
      <c r="K88" s="32"/>
      <c r="L88" s="32"/>
      <c r="M88" s="32"/>
      <c r="N88" s="32"/>
      <c r="O88" s="32"/>
      <c r="P88" s="32"/>
      <c r="Q88" s="32"/>
      <c r="R88" s="32"/>
    </row>
    <row r="89" spans="1:22">
      <c r="B89" s="3835" t="s">
        <v>83</v>
      </c>
      <c r="C89" s="3373">
        <v>2006</v>
      </c>
      <c r="D89" s="3056" t="s">
        <v>695</v>
      </c>
      <c r="F89" s="3835" t="s">
        <v>83</v>
      </c>
      <c r="G89" s="3056">
        <v>2008</v>
      </c>
      <c r="I89" s="3056">
        <v>2009</v>
      </c>
      <c r="J89" s="3056">
        <v>2010</v>
      </c>
      <c r="K89" s="3056">
        <v>2011</v>
      </c>
      <c r="L89" s="3056" t="s">
        <v>206</v>
      </c>
      <c r="M89" s="3056" t="s">
        <v>207</v>
      </c>
    </row>
    <row r="90" spans="1:22">
      <c r="B90" s="3836"/>
      <c r="C90" s="33"/>
      <c r="D90" s="3368" t="s">
        <v>138</v>
      </c>
      <c r="F90" s="3836"/>
      <c r="G90" s="3368" t="s">
        <v>138</v>
      </c>
      <c r="I90" s="3368" t="s">
        <v>138</v>
      </c>
      <c r="J90" s="3368" t="s">
        <v>138</v>
      </c>
      <c r="K90" s="3368" t="s">
        <v>138</v>
      </c>
      <c r="L90" s="3368" t="s">
        <v>138</v>
      </c>
      <c r="M90" s="3368" t="s">
        <v>138</v>
      </c>
    </row>
    <row r="91" spans="1:22">
      <c r="B91" s="3837"/>
      <c r="C91" s="34"/>
      <c r="D91" s="35" t="s">
        <v>140</v>
      </c>
      <c r="F91" s="3837"/>
      <c r="G91" s="35" t="s">
        <v>140</v>
      </c>
      <c r="I91" s="35" t="s">
        <v>140</v>
      </c>
      <c r="J91" s="35" t="s">
        <v>140</v>
      </c>
      <c r="K91" s="35" t="s">
        <v>140</v>
      </c>
      <c r="L91" s="35" t="s">
        <v>140</v>
      </c>
      <c r="M91" s="35" t="s">
        <v>140</v>
      </c>
      <c r="N91" s="101" t="s">
        <v>696</v>
      </c>
      <c r="O91" s="101" t="s">
        <v>697</v>
      </c>
      <c r="P91" s="101" t="s">
        <v>615</v>
      </c>
      <c r="Q91" s="101" t="s">
        <v>616</v>
      </c>
      <c r="R91" s="101" t="s">
        <v>617</v>
      </c>
      <c r="S91" s="101" t="s">
        <v>618</v>
      </c>
      <c r="T91" s="101" t="s">
        <v>698</v>
      </c>
    </row>
    <row r="92" spans="1:22">
      <c r="A92">
        <v>1</v>
      </c>
      <c r="B92" s="2089" t="s">
        <v>179</v>
      </c>
      <c r="C92" s="3077"/>
      <c r="D92" s="3078">
        <f>VLOOKUP(B92,$B$8:$D$25,3,0)</f>
        <v>1867142</v>
      </c>
      <c r="F92" s="3059" t="s">
        <v>125</v>
      </c>
      <c r="G92" s="3078">
        <f t="shared" ref="G92:G109" si="12">VLOOKUP(F92,$F$8:$G$25,2,0)</f>
        <v>2045252</v>
      </c>
      <c r="I92" s="3078">
        <f t="shared" ref="I92:I109" si="13">VLOOKUP(F92,$F$8:$I$25,4,0)</f>
        <v>2503628</v>
      </c>
      <c r="J92" s="3079">
        <f t="shared" ref="J92:J109" si="14">VLOOKUP(F92,$F$8:$K$25,6,0)</f>
        <v>2490843.2409499995</v>
      </c>
      <c r="K92" s="3078">
        <f t="shared" ref="K92:K109" si="15">VLOOKUP(F92,$F$8:$M$25,8,0)</f>
        <v>2456347.4955899999</v>
      </c>
      <c r="L92" s="3078">
        <f t="shared" ref="L92:L109" si="16">VLOOKUP(F92,$F$8:$O$25,10,0)</f>
        <v>2143252.6117200004</v>
      </c>
      <c r="M92" s="186">
        <f t="shared" ref="M92:M110" si="17">VLOOKUP(F92,F8:Q25,12,0)</f>
        <v>2428675.0567999999</v>
      </c>
      <c r="N92">
        <f t="shared" ref="N92:N109" si="18">RANK(D92,$D$92:$D$109,0)</f>
        <v>5</v>
      </c>
      <c r="O92">
        <f t="shared" ref="O92:O109" si="19">RANK(G92,$G$92:$G$109,0)</f>
        <v>5</v>
      </c>
      <c r="P92">
        <f t="shared" ref="P92:P109" si="20">RANK(I92,$I$92:$I$109,0)</f>
        <v>5</v>
      </c>
      <c r="Q92">
        <f t="shared" ref="Q92:Q109" si="21">RANK(J92,$J$92:$J$109,0)</f>
        <v>5</v>
      </c>
      <c r="R92">
        <f t="shared" ref="R92:R109" si="22">RANK(K92,$K$92:$K$109,0)</f>
        <v>5</v>
      </c>
      <c r="S92">
        <f t="shared" ref="S92:S109" si="23">RANK(L92,$L$92:$L$109)</f>
        <v>6</v>
      </c>
      <c r="T92">
        <f t="shared" ref="T92:T109" si="24">RANK(M92,$M$92:$M$110)</f>
        <v>7</v>
      </c>
      <c r="U92" s="58"/>
      <c r="V92" s="58"/>
    </row>
    <row r="93" spans="1:22">
      <c r="A93">
        <v>2</v>
      </c>
      <c r="B93" s="2089" t="s">
        <v>181</v>
      </c>
      <c r="C93" s="3077"/>
      <c r="D93" s="3078">
        <f t="shared" ref="D93:D109" si="25">VLOOKUP(B93,$B$8:$D$25,3,0)</f>
        <v>706293</v>
      </c>
      <c r="F93" s="3059" t="s">
        <v>127</v>
      </c>
      <c r="G93" s="3078">
        <f t="shared" si="12"/>
        <v>932730</v>
      </c>
      <c r="I93" s="3078">
        <f t="shared" si="13"/>
        <v>879285</v>
      </c>
      <c r="J93" s="3079">
        <f t="shared" si="14"/>
        <v>890387</v>
      </c>
      <c r="K93" s="3078">
        <f t="shared" si="15"/>
        <v>942900.64272999996</v>
      </c>
      <c r="L93" s="3078">
        <f t="shared" si="16"/>
        <v>819447.65761999995</v>
      </c>
      <c r="M93" s="186">
        <f t="shared" si="17"/>
        <v>880059.67078814725</v>
      </c>
      <c r="N93">
        <f t="shared" si="18"/>
        <v>6</v>
      </c>
      <c r="O93">
        <f t="shared" si="19"/>
        <v>6</v>
      </c>
      <c r="P93">
        <f t="shared" si="20"/>
        <v>9</v>
      </c>
      <c r="Q93">
        <f t="shared" si="21"/>
        <v>9</v>
      </c>
      <c r="R93">
        <f t="shared" si="22"/>
        <v>10</v>
      </c>
      <c r="S93">
        <f t="shared" si="23"/>
        <v>15</v>
      </c>
      <c r="T93">
        <f t="shared" si="24"/>
        <v>16</v>
      </c>
      <c r="U93" s="58"/>
      <c r="V93" s="58"/>
    </row>
    <row r="94" spans="1:22">
      <c r="A94">
        <v>3</v>
      </c>
      <c r="B94" s="2089" t="s">
        <v>177</v>
      </c>
      <c r="C94" s="3077"/>
      <c r="D94" s="3078">
        <f t="shared" si="25"/>
        <v>414017</v>
      </c>
      <c r="F94" s="3059" t="s">
        <v>92</v>
      </c>
      <c r="G94" s="3078">
        <f t="shared" si="12"/>
        <v>601103</v>
      </c>
      <c r="I94" s="3078">
        <f t="shared" si="13"/>
        <v>1174822</v>
      </c>
      <c r="J94" s="3079">
        <f t="shared" si="14"/>
        <v>1356660</v>
      </c>
      <c r="K94" s="3078">
        <f t="shared" si="15"/>
        <v>1379406</v>
      </c>
      <c r="L94" s="3078">
        <f t="shared" si="16"/>
        <v>1397127.38</v>
      </c>
      <c r="M94" s="186">
        <f t="shared" si="17"/>
        <v>1964907.3</v>
      </c>
      <c r="N94" s="68">
        <f t="shared" si="18"/>
        <v>9</v>
      </c>
      <c r="O94" s="68">
        <f t="shared" si="19"/>
        <v>9</v>
      </c>
      <c r="P94" s="68">
        <f t="shared" si="20"/>
        <v>6</v>
      </c>
      <c r="Q94" s="68">
        <f t="shared" si="21"/>
        <v>6</v>
      </c>
      <c r="R94" s="68">
        <f t="shared" si="22"/>
        <v>8</v>
      </c>
      <c r="S94">
        <f t="shared" si="23"/>
        <v>9</v>
      </c>
      <c r="T94">
        <f t="shared" si="24"/>
        <v>8</v>
      </c>
      <c r="U94" s="58"/>
      <c r="V94" s="58"/>
    </row>
    <row r="95" spans="1:22">
      <c r="A95">
        <v>4</v>
      </c>
      <c r="B95" s="2089" t="s">
        <v>180</v>
      </c>
      <c r="C95" s="3077"/>
      <c r="D95" s="3078">
        <f t="shared" si="25"/>
        <v>678012</v>
      </c>
      <c r="F95" s="3059" t="s">
        <v>126</v>
      </c>
      <c r="G95" s="3078">
        <f t="shared" si="12"/>
        <v>835188</v>
      </c>
      <c r="I95" s="3078">
        <f t="shared" si="13"/>
        <v>953798</v>
      </c>
      <c r="J95" s="3079">
        <f t="shared" si="14"/>
        <v>908756.46100000001</v>
      </c>
      <c r="K95" s="3078">
        <f t="shared" si="15"/>
        <v>916754.25</v>
      </c>
      <c r="L95" s="3078">
        <f t="shared" si="16"/>
        <v>1125837.3460000001</v>
      </c>
      <c r="M95" s="186">
        <f t="shared" si="17"/>
        <v>1232433.2908158177</v>
      </c>
      <c r="N95">
        <f t="shared" si="18"/>
        <v>8</v>
      </c>
      <c r="O95">
        <f t="shared" si="19"/>
        <v>8</v>
      </c>
      <c r="P95">
        <f t="shared" si="20"/>
        <v>8</v>
      </c>
      <c r="Q95">
        <f t="shared" si="21"/>
        <v>8</v>
      </c>
      <c r="R95">
        <f t="shared" si="22"/>
        <v>12</v>
      </c>
      <c r="S95">
        <f t="shared" si="23"/>
        <v>13</v>
      </c>
      <c r="T95">
        <f t="shared" si="24"/>
        <v>14</v>
      </c>
      <c r="U95" s="58"/>
      <c r="V95" s="58"/>
    </row>
    <row r="96" spans="1:22">
      <c r="A96">
        <v>5</v>
      </c>
      <c r="B96" s="2089" t="s">
        <v>175</v>
      </c>
      <c r="C96" s="3077"/>
      <c r="D96" s="3078">
        <f t="shared" si="25"/>
        <v>383590</v>
      </c>
      <c r="F96" s="3059" t="s">
        <v>124</v>
      </c>
      <c r="G96" s="3078">
        <f t="shared" si="12"/>
        <v>459771</v>
      </c>
      <c r="I96" s="3078">
        <f t="shared" si="13"/>
        <v>496749</v>
      </c>
      <c r="J96" s="3079">
        <f t="shared" si="14"/>
        <v>397789</v>
      </c>
      <c r="K96" s="3078">
        <f t="shared" si="15"/>
        <v>582257.21020000009</v>
      </c>
      <c r="L96" s="3078">
        <f t="shared" si="16"/>
        <v>1133240.01455</v>
      </c>
      <c r="M96" s="186">
        <f t="shared" si="17"/>
        <v>1376657</v>
      </c>
      <c r="N96">
        <f t="shared" si="18"/>
        <v>10</v>
      </c>
      <c r="O96">
        <f t="shared" si="19"/>
        <v>11</v>
      </c>
      <c r="P96">
        <f t="shared" si="20"/>
        <v>11</v>
      </c>
      <c r="Q96">
        <f t="shared" si="21"/>
        <v>13</v>
      </c>
      <c r="R96">
        <f t="shared" si="22"/>
        <v>14</v>
      </c>
      <c r="S96">
        <f t="shared" si="23"/>
        <v>12</v>
      </c>
      <c r="T96">
        <f t="shared" si="24"/>
        <v>11</v>
      </c>
      <c r="U96" s="58"/>
      <c r="V96" s="58"/>
    </row>
    <row r="97" spans="1:22">
      <c r="A97">
        <v>6</v>
      </c>
      <c r="B97" s="2089" t="s">
        <v>183</v>
      </c>
      <c r="C97" s="3077"/>
      <c r="D97" s="3078">
        <f t="shared" si="25"/>
        <v>10350684</v>
      </c>
      <c r="F97" s="3059" t="s">
        <v>128</v>
      </c>
      <c r="G97" s="3078">
        <f t="shared" si="12"/>
        <v>11287233</v>
      </c>
      <c r="I97" s="3078">
        <f t="shared" si="13"/>
        <v>9081297</v>
      </c>
      <c r="J97" s="3079">
        <f t="shared" si="14"/>
        <v>8724292</v>
      </c>
      <c r="K97" s="3078">
        <f t="shared" si="15"/>
        <v>9558942</v>
      </c>
      <c r="L97" s="3078">
        <f t="shared" si="16"/>
        <v>10434917</v>
      </c>
      <c r="M97" s="186">
        <f t="shared" si="17"/>
        <v>10311479</v>
      </c>
      <c r="N97">
        <f t="shared" si="18"/>
        <v>1</v>
      </c>
      <c r="O97">
        <f t="shared" si="19"/>
        <v>1</v>
      </c>
      <c r="P97">
        <f t="shared" si="20"/>
        <v>1</v>
      </c>
      <c r="Q97">
        <f t="shared" si="21"/>
        <v>2</v>
      </c>
      <c r="R97">
        <f t="shared" si="22"/>
        <v>2</v>
      </c>
      <c r="S97">
        <f t="shared" si="23"/>
        <v>2</v>
      </c>
      <c r="T97">
        <f t="shared" si="24"/>
        <v>3</v>
      </c>
      <c r="U97" s="58"/>
      <c r="V97" s="58"/>
    </row>
    <row r="98" spans="1:22">
      <c r="A98">
        <v>7</v>
      </c>
      <c r="B98" s="2089" t="s">
        <v>185</v>
      </c>
      <c r="C98" s="3077"/>
      <c r="D98" s="3078">
        <f t="shared" si="25"/>
        <v>34945</v>
      </c>
      <c r="F98" s="3059" t="s">
        <v>130</v>
      </c>
      <c r="G98" s="3078">
        <f t="shared" si="12"/>
        <v>178734</v>
      </c>
      <c r="I98" s="3078">
        <f t="shared" si="13"/>
        <v>28324</v>
      </c>
      <c r="J98" s="3079">
        <f t="shared" si="14"/>
        <v>0</v>
      </c>
      <c r="K98" s="3078">
        <f t="shared" si="15"/>
        <v>0</v>
      </c>
      <c r="L98" s="3078">
        <f t="shared" si="16"/>
        <v>0</v>
      </c>
      <c r="M98" s="186">
        <f t="shared" si="17"/>
        <v>0</v>
      </c>
      <c r="N98" s="68">
        <f t="shared" si="18"/>
        <v>14</v>
      </c>
      <c r="O98" s="68">
        <f t="shared" si="19"/>
        <v>14</v>
      </c>
      <c r="P98" s="68">
        <f t="shared" si="20"/>
        <v>14</v>
      </c>
      <c r="Q98" s="68">
        <f t="shared" si="21"/>
        <v>16</v>
      </c>
      <c r="R98" s="68">
        <f t="shared" si="22"/>
        <v>18</v>
      </c>
      <c r="S98">
        <f t="shared" si="23"/>
        <v>18</v>
      </c>
      <c r="T98">
        <f t="shared" si="24"/>
        <v>19</v>
      </c>
      <c r="U98" s="58"/>
      <c r="V98" s="58"/>
    </row>
    <row r="99" spans="1:22">
      <c r="A99">
        <v>8</v>
      </c>
      <c r="B99" s="2089" t="s">
        <v>182</v>
      </c>
      <c r="C99" s="3077"/>
      <c r="D99" s="3078">
        <f t="shared" si="25"/>
        <v>0</v>
      </c>
      <c r="F99" s="3059" t="s">
        <v>99</v>
      </c>
      <c r="G99" s="3078">
        <f t="shared" si="12"/>
        <v>0</v>
      </c>
      <c r="I99" s="3078">
        <f t="shared" si="13"/>
        <v>0</v>
      </c>
      <c r="J99" s="3079">
        <f t="shared" si="14"/>
        <v>359104.92200000002</v>
      </c>
      <c r="K99" s="3078">
        <f t="shared" si="15"/>
        <v>1149120.5833718772</v>
      </c>
      <c r="L99" s="3078">
        <f t="shared" si="16"/>
        <v>1545225.9615697723</v>
      </c>
      <c r="M99" s="186">
        <f t="shared" si="17"/>
        <v>1330514.5467000725</v>
      </c>
      <c r="N99">
        <f t="shared" si="18"/>
        <v>15</v>
      </c>
      <c r="O99">
        <f t="shared" si="19"/>
        <v>15</v>
      </c>
      <c r="P99">
        <f t="shared" si="20"/>
        <v>15</v>
      </c>
      <c r="Q99">
        <f t="shared" si="21"/>
        <v>14</v>
      </c>
      <c r="R99">
        <f t="shared" si="22"/>
        <v>9</v>
      </c>
      <c r="S99">
        <f t="shared" si="23"/>
        <v>8</v>
      </c>
      <c r="T99">
        <f t="shared" si="24"/>
        <v>12</v>
      </c>
      <c r="U99" s="58"/>
      <c r="V99" s="58"/>
    </row>
    <row r="100" spans="1:22">
      <c r="A100">
        <v>9</v>
      </c>
      <c r="B100" s="2089" t="s">
        <v>184</v>
      </c>
      <c r="C100" s="3077"/>
      <c r="D100" s="3078">
        <f t="shared" si="25"/>
        <v>289691.04300000001</v>
      </c>
      <c r="F100" s="3059" t="s">
        <v>129</v>
      </c>
      <c r="G100" s="3078">
        <f t="shared" si="12"/>
        <v>522448.71100000001</v>
      </c>
      <c r="I100" s="3078">
        <f t="shared" si="13"/>
        <v>596182.65700000001</v>
      </c>
      <c r="J100" s="3079">
        <f t="shared" si="14"/>
        <v>644813.60595</v>
      </c>
      <c r="K100" s="3078">
        <f t="shared" si="15"/>
        <v>922858.52101999999</v>
      </c>
      <c r="L100" s="3078">
        <f t="shared" si="16"/>
        <v>1135011.1609100001</v>
      </c>
      <c r="M100" s="186">
        <f t="shared" si="17"/>
        <v>1272941.2854599999</v>
      </c>
      <c r="N100">
        <f t="shared" si="18"/>
        <v>11</v>
      </c>
      <c r="O100">
        <f t="shared" si="19"/>
        <v>10</v>
      </c>
      <c r="P100">
        <f t="shared" si="20"/>
        <v>10</v>
      </c>
      <c r="Q100">
        <f t="shared" si="21"/>
        <v>11</v>
      </c>
      <c r="R100">
        <f t="shared" si="22"/>
        <v>11</v>
      </c>
      <c r="S100">
        <f t="shared" si="23"/>
        <v>11</v>
      </c>
      <c r="T100">
        <f t="shared" si="24"/>
        <v>13</v>
      </c>
      <c r="U100" s="71"/>
      <c r="V100" s="71"/>
    </row>
    <row r="101" spans="1:22">
      <c r="A101">
        <v>10</v>
      </c>
      <c r="B101" s="2089" t="s">
        <v>186</v>
      </c>
      <c r="C101" s="3077"/>
      <c r="D101" s="3078">
        <f t="shared" si="25"/>
        <v>704577</v>
      </c>
      <c r="F101" s="3059" t="s">
        <v>131</v>
      </c>
      <c r="G101" s="3078">
        <f t="shared" si="12"/>
        <v>924709</v>
      </c>
      <c r="I101" s="3078">
        <f t="shared" si="13"/>
        <v>1130781</v>
      </c>
      <c r="J101" s="3079">
        <f t="shared" si="14"/>
        <v>1255190</v>
      </c>
      <c r="K101" s="3078">
        <f t="shared" si="15"/>
        <v>1623830.11726</v>
      </c>
      <c r="L101" s="3078">
        <f t="shared" si="16"/>
        <v>1635305.00976</v>
      </c>
      <c r="M101" s="186">
        <f t="shared" si="17"/>
        <v>1767360.9385200001</v>
      </c>
      <c r="N101">
        <f t="shared" si="18"/>
        <v>7</v>
      </c>
      <c r="O101">
        <f t="shared" si="19"/>
        <v>7</v>
      </c>
      <c r="P101">
        <f t="shared" si="20"/>
        <v>7</v>
      </c>
      <c r="Q101">
        <f t="shared" si="21"/>
        <v>7</v>
      </c>
      <c r="R101">
        <f t="shared" si="22"/>
        <v>7</v>
      </c>
      <c r="S101">
        <f t="shared" si="23"/>
        <v>7</v>
      </c>
      <c r="T101">
        <f t="shared" si="24"/>
        <v>9</v>
      </c>
      <c r="U101" s="58"/>
      <c r="V101" s="58"/>
    </row>
    <row r="102" spans="1:22">
      <c r="A102">
        <v>11</v>
      </c>
      <c r="B102" s="2089" t="s">
        <v>187</v>
      </c>
      <c r="C102" s="3077"/>
      <c r="D102" s="3078">
        <f t="shared" si="25"/>
        <v>3678224</v>
      </c>
      <c r="F102" s="3059" t="s">
        <v>132</v>
      </c>
      <c r="G102" s="3078">
        <f t="shared" si="12"/>
        <v>3937285</v>
      </c>
      <c r="I102" s="3078">
        <f t="shared" si="13"/>
        <v>4272926</v>
      </c>
      <c r="J102" s="3079">
        <f t="shared" si="14"/>
        <v>4324169.7151100002</v>
      </c>
      <c r="K102" s="3078">
        <f t="shared" si="15"/>
        <v>5086207.4053399796</v>
      </c>
      <c r="L102" s="3078">
        <f t="shared" si="16"/>
        <v>5773429.4972300194</v>
      </c>
      <c r="M102" s="186">
        <f t="shared" si="17"/>
        <v>6342545.7904710202</v>
      </c>
      <c r="N102" s="68">
        <f t="shared" si="18"/>
        <v>3</v>
      </c>
      <c r="O102" s="68">
        <f t="shared" si="19"/>
        <v>3</v>
      </c>
      <c r="P102" s="68">
        <f t="shared" si="20"/>
        <v>3</v>
      </c>
      <c r="Q102" s="68">
        <f t="shared" si="21"/>
        <v>3</v>
      </c>
      <c r="R102" s="68">
        <f t="shared" si="22"/>
        <v>3</v>
      </c>
      <c r="S102">
        <f t="shared" si="23"/>
        <v>3</v>
      </c>
      <c r="T102">
        <f t="shared" si="24"/>
        <v>4</v>
      </c>
      <c r="U102" s="58"/>
      <c r="V102" s="58"/>
    </row>
    <row r="103" spans="1:22">
      <c r="A103">
        <v>12</v>
      </c>
      <c r="B103" s="2089" t="s">
        <v>189</v>
      </c>
      <c r="C103" s="3077"/>
      <c r="D103" s="3078">
        <f t="shared" si="25"/>
        <v>0</v>
      </c>
      <c r="F103" s="3059" t="s">
        <v>133</v>
      </c>
      <c r="G103" s="3078">
        <f t="shared" si="12"/>
        <v>0</v>
      </c>
      <c r="I103" s="3078">
        <f t="shared" si="13"/>
        <v>0</v>
      </c>
      <c r="J103" s="3079">
        <f t="shared" si="14"/>
        <v>0</v>
      </c>
      <c r="K103" s="3078">
        <f t="shared" si="15"/>
        <v>364735.08649000002</v>
      </c>
      <c r="L103" s="3078">
        <f t="shared" si="16"/>
        <v>1295132.62558</v>
      </c>
      <c r="M103" s="186">
        <f t="shared" si="17"/>
        <v>1485520.8119999997</v>
      </c>
      <c r="N103">
        <f t="shared" si="18"/>
        <v>15</v>
      </c>
      <c r="O103">
        <f t="shared" si="19"/>
        <v>15</v>
      </c>
      <c r="P103">
        <f t="shared" si="20"/>
        <v>15</v>
      </c>
      <c r="Q103">
        <f t="shared" si="21"/>
        <v>16</v>
      </c>
      <c r="R103">
        <f t="shared" si="22"/>
        <v>15</v>
      </c>
      <c r="S103">
        <f t="shared" si="23"/>
        <v>10</v>
      </c>
      <c r="T103">
        <f t="shared" si="24"/>
        <v>10</v>
      </c>
      <c r="U103" s="58"/>
      <c r="V103" s="58"/>
    </row>
    <row r="104" spans="1:22">
      <c r="A104">
        <v>13</v>
      </c>
      <c r="B104" s="2089" t="s">
        <v>190</v>
      </c>
      <c r="C104" s="3077"/>
      <c r="D104" s="3078">
        <f t="shared" si="25"/>
        <v>230782</v>
      </c>
      <c r="F104" s="3059" t="s">
        <v>109</v>
      </c>
      <c r="G104" s="3078">
        <f t="shared" si="12"/>
        <v>294317</v>
      </c>
      <c r="I104" s="3078">
        <f t="shared" si="13"/>
        <v>271309</v>
      </c>
      <c r="J104" s="3079">
        <f t="shared" si="14"/>
        <v>467605.90317000001</v>
      </c>
      <c r="K104" s="3078">
        <f t="shared" si="15"/>
        <v>636737.86237999995</v>
      </c>
      <c r="L104" s="3078">
        <f t="shared" si="16"/>
        <v>1049146.7334</v>
      </c>
      <c r="M104" s="186">
        <f t="shared" si="17"/>
        <v>1118982.9757699999</v>
      </c>
      <c r="N104">
        <f t="shared" si="18"/>
        <v>12</v>
      </c>
      <c r="O104">
        <f t="shared" si="19"/>
        <v>12</v>
      </c>
      <c r="P104">
        <f t="shared" si="20"/>
        <v>12</v>
      </c>
      <c r="Q104">
        <f t="shared" si="21"/>
        <v>12</v>
      </c>
      <c r="R104">
        <f t="shared" si="22"/>
        <v>13</v>
      </c>
      <c r="S104">
        <f t="shared" si="23"/>
        <v>14</v>
      </c>
      <c r="T104">
        <f t="shared" si="24"/>
        <v>15</v>
      </c>
      <c r="U104" s="58"/>
      <c r="V104" s="58"/>
    </row>
    <row r="105" spans="1:22">
      <c r="A105">
        <v>14</v>
      </c>
      <c r="B105" s="2089" t="s">
        <v>191</v>
      </c>
      <c r="C105" s="3077"/>
      <c r="D105" s="3078">
        <f t="shared" si="25"/>
        <v>0</v>
      </c>
      <c r="F105" s="3059" t="s">
        <v>111</v>
      </c>
      <c r="G105" s="3078">
        <f t="shared" si="12"/>
        <v>0</v>
      </c>
      <c r="I105" s="3078">
        <f t="shared" si="13"/>
        <v>0</v>
      </c>
      <c r="J105" s="3079">
        <f t="shared" si="14"/>
        <v>0</v>
      </c>
      <c r="K105" s="3078">
        <f t="shared" si="15"/>
        <v>1748.86556</v>
      </c>
      <c r="L105" s="3078">
        <f t="shared" si="16"/>
        <v>308546.43002615747</v>
      </c>
      <c r="M105" s="186">
        <f t="shared" si="17"/>
        <v>355001.40988561278</v>
      </c>
      <c r="N105">
        <f t="shared" si="18"/>
        <v>15</v>
      </c>
      <c r="O105">
        <f t="shared" si="19"/>
        <v>15</v>
      </c>
      <c r="P105">
        <f t="shared" si="20"/>
        <v>15</v>
      </c>
      <c r="Q105">
        <f t="shared" si="21"/>
        <v>16</v>
      </c>
      <c r="R105">
        <f t="shared" si="22"/>
        <v>17</v>
      </c>
      <c r="S105">
        <f t="shared" si="23"/>
        <v>16</v>
      </c>
      <c r="T105">
        <f t="shared" si="24"/>
        <v>17</v>
      </c>
      <c r="U105" s="58"/>
      <c r="V105" s="58"/>
    </row>
    <row r="106" spans="1:22">
      <c r="A106">
        <v>15</v>
      </c>
      <c r="B106" s="2089" t="s">
        <v>192</v>
      </c>
      <c r="C106" s="3077"/>
      <c r="D106" s="3078">
        <f t="shared" si="25"/>
        <v>0</v>
      </c>
      <c r="F106" s="3059" t="s">
        <v>112</v>
      </c>
      <c r="G106" s="3078">
        <f t="shared" si="12"/>
        <v>0</v>
      </c>
      <c r="I106" s="3078">
        <f t="shared" si="13"/>
        <v>0</v>
      </c>
      <c r="J106" s="3079">
        <f t="shared" si="14"/>
        <v>847064</v>
      </c>
      <c r="K106" s="3078">
        <f t="shared" si="15"/>
        <v>2284578</v>
      </c>
      <c r="L106" s="3078">
        <f t="shared" si="16"/>
        <v>2795447.79213</v>
      </c>
      <c r="M106" s="186">
        <f t="shared" si="17"/>
        <v>3085041.1282100007</v>
      </c>
      <c r="N106">
        <f t="shared" si="18"/>
        <v>15</v>
      </c>
      <c r="O106">
        <f t="shared" si="19"/>
        <v>15</v>
      </c>
      <c r="P106">
        <f t="shared" si="20"/>
        <v>15</v>
      </c>
      <c r="Q106">
        <f t="shared" si="21"/>
        <v>10</v>
      </c>
      <c r="R106">
        <f t="shared" si="22"/>
        <v>6</v>
      </c>
      <c r="S106">
        <f t="shared" si="23"/>
        <v>5</v>
      </c>
      <c r="T106">
        <f t="shared" si="24"/>
        <v>6</v>
      </c>
      <c r="U106" s="58"/>
      <c r="V106" s="58"/>
    </row>
    <row r="107" spans="1:22">
      <c r="A107">
        <v>16</v>
      </c>
      <c r="B107" s="2089" t="s">
        <v>194</v>
      </c>
      <c r="C107" s="3077"/>
      <c r="D107" s="3078">
        <f t="shared" si="25"/>
        <v>186000</v>
      </c>
      <c r="F107" s="3059" t="s">
        <v>134</v>
      </c>
      <c r="G107" s="3078">
        <f t="shared" si="12"/>
        <v>216412</v>
      </c>
      <c r="I107" s="3078">
        <f t="shared" si="13"/>
        <v>184409</v>
      </c>
      <c r="J107" s="3079">
        <f t="shared" si="14"/>
        <v>234914</v>
      </c>
      <c r="K107" s="3078">
        <f t="shared" si="15"/>
        <v>232374</v>
      </c>
      <c r="L107" s="3078">
        <f t="shared" si="16"/>
        <v>308142.49066000007</v>
      </c>
      <c r="M107" s="186">
        <f t="shared" si="17"/>
        <v>322591.81438999996</v>
      </c>
      <c r="N107" s="68">
        <f t="shared" si="18"/>
        <v>13</v>
      </c>
      <c r="O107" s="68">
        <f t="shared" si="19"/>
        <v>13</v>
      </c>
      <c r="P107" s="68">
        <f t="shared" si="20"/>
        <v>13</v>
      </c>
      <c r="Q107" s="68">
        <f t="shared" si="21"/>
        <v>15</v>
      </c>
      <c r="R107" s="68">
        <f t="shared" si="22"/>
        <v>16</v>
      </c>
      <c r="S107">
        <f t="shared" si="23"/>
        <v>17</v>
      </c>
      <c r="T107">
        <f t="shared" si="24"/>
        <v>18</v>
      </c>
      <c r="U107" s="58"/>
      <c r="V107" s="58"/>
    </row>
    <row r="108" spans="1:22">
      <c r="A108">
        <v>17</v>
      </c>
      <c r="B108" s="2089" t="s">
        <v>193</v>
      </c>
      <c r="C108" s="3077"/>
      <c r="D108" s="3078">
        <f t="shared" si="25"/>
        <v>8845416.7142199986</v>
      </c>
      <c r="F108" s="3059" t="s">
        <v>115</v>
      </c>
      <c r="G108" s="3078">
        <f t="shared" si="12"/>
        <v>9140845.4283200018</v>
      </c>
      <c r="I108" s="3078">
        <f t="shared" si="13"/>
        <v>8764538.8244118989</v>
      </c>
      <c r="J108" s="3079">
        <f t="shared" si="14"/>
        <v>8766026.9246178009</v>
      </c>
      <c r="K108" s="3078">
        <f t="shared" si="15"/>
        <v>11134582.762270002</v>
      </c>
      <c r="L108" s="3078">
        <f t="shared" si="16"/>
        <v>12359187.410689998</v>
      </c>
      <c r="M108" s="186">
        <f t="shared" si="17"/>
        <v>12785670.661330007</v>
      </c>
      <c r="N108">
        <f t="shared" si="18"/>
        <v>2</v>
      </c>
      <c r="O108">
        <f t="shared" si="19"/>
        <v>2</v>
      </c>
      <c r="P108">
        <f t="shared" si="20"/>
        <v>2</v>
      </c>
      <c r="Q108">
        <f t="shared" si="21"/>
        <v>1</v>
      </c>
      <c r="R108">
        <f t="shared" si="22"/>
        <v>1</v>
      </c>
      <c r="S108">
        <f t="shared" si="23"/>
        <v>1</v>
      </c>
      <c r="T108">
        <f t="shared" si="24"/>
        <v>2</v>
      </c>
      <c r="U108" s="58"/>
      <c r="V108" s="58"/>
    </row>
    <row r="109" spans="1:22">
      <c r="A109">
        <v>18</v>
      </c>
      <c r="B109" s="2089" t="s">
        <v>195</v>
      </c>
      <c r="C109" s="3077"/>
      <c r="D109" s="3078">
        <f t="shared" si="25"/>
        <v>2814653.6389400014</v>
      </c>
      <c r="F109" s="3059" t="s">
        <v>135</v>
      </c>
      <c r="G109" s="3078">
        <f t="shared" si="12"/>
        <v>3182235.5665899995</v>
      </c>
      <c r="I109" s="3078">
        <f t="shared" si="13"/>
        <v>3210217.1266700001</v>
      </c>
      <c r="J109" s="3079">
        <f t="shared" si="14"/>
        <v>3433830.28211</v>
      </c>
      <c r="K109" s="3078">
        <f t="shared" si="15"/>
        <v>4055442.8969999999</v>
      </c>
      <c r="L109" s="3078">
        <f t="shared" si="16"/>
        <v>4436051.5967899989</v>
      </c>
      <c r="M109" s="186">
        <f t="shared" si="17"/>
        <v>5116965.9560599998</v>
      </c>
      <c r="N109" s="68">
        <f t="shared" si="18"/>
        <v>4</v>
      </c>
      <c r="O109" s="68">
        <f t="shared" si="19"/>
        <v>4</v>
      </c>
      <c r="P109" s="68">
        <f t="shared" si="20"/>
        <v>4</v>
      </c>
      <c r="Q109" s="68">
        <f t="shared" si="21"/>
        <v>4</v>
      </c>
      <c r="R109" s="68">
        <f t="shared" si="22"/>
        <v>4</v>
      </c>
      <c r="S109">
        <f t="shared" si="23"/>
        <v>4</v>
      </c>
      <c r="T109">
        <f t="shared" si="24"/>
        <v>5</v>
      </c>
      <c r="U109" s="58"/>
      <c r="V109" s="58"/>
    </row>
    <row r="110" spans="1:22">
      <c r="B110" s="3080" t="s">
        <v>118</v>
      </c>
      <c r="C110" s="3374">
        <f>+C26</f>
        <v>25930519</v>
      </c>
      <c r="D110" s="3375">
        <f>SUM(D92:D109)</f>
        <v>31184027.396159999</v>
      </c>
      <c r="F110" s="3080" t="s">
        <v>118</v>
      </c>
      <c r="G110" s="3375">
        <f>SUM(G92:G109)</f>
        <v>34558263.705909997</v>
      </c>
      <c r="I110" s="3375">
        <f>SUM(I92:I109)</f>
        <v>33548266.608081896</v>
      </c>
      <c r="J110" s="3375">
        <f>SUM(J92:J109)</f>
        <v>35101447.054907799</v>
      </c>
      <c r="K110" s="3375">
        <f>SUM(K92:K109)</f>
        <v>43328823.699211858</v>
      </c>
      <c r="L110" s="3375">
        <f>SUM(L92:L109)</f>
        <v>49694448.718635947</v>
      </c>
      <c r="M110" s="186">
        <f t="shared" si="17"/>
        <v>53177348.637200683</v>
      </c>
    </row>
    <row r="111" spans="1:22">
      <c r="B111" s="3838" t="s">
        <v>146</v>
      </c>
      <c r="C111" s="3376"/>
      <c r="D111" s="3377">
        <f>+D27</f>
        <v>20.259946961184998</v>
      </c>
      <c r="F111" s="3838" t="s">
        <v>146</v>
      </c>
      <c r="G111" s="3378">
        <f>((G110-D110)/D110)*100</f>
        <v>10.820399388712381</v>
      </c>
      <c r="I111" s="3378">
        <f>((I110-G110)/G110)*100</f>
        <v>-2.9225921372183294</v>
      </c>
      <c r="J111" s="3378">
        <f>((J110-I110)/I110)*100</f>
        <v>4.6296891132125921</v>
      </c>
      <c r="K111" s="3378">
        <f>((K110-J110)/J110)*100</f>
        <v>23.438853194383412</v>
      </c>
      <c r="L111" s="3378">
        <f>((L110-K110)/K110)*100</f>
        <v>14.691432806055793</v>
      </c>
      <c r="M111" s="3379">
        <f>((M110-L110)/L110)*100</f>
        <v>7.0086297531631789</v>
      </c>
    </row>
    <row r="112" spans="1:22">
      <c r="B112" s="3483"/>
      <c r="C112" s="92"/>
      <c r="D112" s="87"/>
      <c r="F112" s="3483"/>
      <c r="G112" s="88"/>
      <c r="I112" s="88"/>
      <c r="J112" s="88"/>
      <c r="K112" s="88"/>
      <c r="L112" s="88"/>
      <c r="P112" s="14"/>
    </row>
  </sheetData>
  <customSheetViews>
    <customSheetView guid="{5E394B0B-7867-4722-9497-A93AB2A9A773}" showPageBreaks="1" printArea="1" hiddenColumns="1" state="hidden">
      <pane xSplit="4" ySplit="7" topLeftCell="F21" activePane="bottomRight" state="frozen"/>
      <selection pane="bottomRight" activeCell="M35" sqref="M35"/>
      <rowBreaks count="2" manualBreakCount="2">
        <brk id="32" max="16383" man="1"/>
        <brk id="54" max="16383" man="1"/>
      </rowBreaks>
      <colBreaks count="1" manualBreakCount="1">
        <brk id="18" max="1048575" man="1"/>
      </colBreaks>
      <pageMargins left="0" right="0" top="0" bottom="0" header="0" footer="0"/>
      <pageSetup scale="80" orientation="landscape" r:id="rId1"/>
    </customSheetView>
    <customSheetView guid="{B1E1B596-A9A1-411D-A882-A48CB025B978}" showPageBreaks="1" printArea="1" hiddenColumns="1" state="hidden">
      <pane xSplit="4" ySplit="7" topLeftCell="F21" activePane="bottomRight" state="frozen"/>
      <selection pane="bottomRight" activeCell="M35" sqref="M35"/>
      <rowBreaks count="2" manualBreakCount="2">
        <brk id="32" max="16383" man="1"/>
        <brk id="54" max="16383" man="1"/>
      </rowBreaks>
      <colBreaks count="1" manualBreakCount="1">
        <brk id="18" max="1048575" man="1"/>
      </colBreaks>
      <pageMargins left="0" right="0" top="0" bottom="0" header="0" footer="0"/>
      <pageSetup scale="80" orientation="landscape" r:id="rId2"/>
    </customSheetView>
    <customSheetView guid="{46F31544-8E6F-41C5-8628-1D6EE074AF15}" hiddenColumns="1" state="hidden">
      <pane xSplit="4" ySplit="7" topLeftCell="F21" activePane="bottomRight" state="frozen"/>
      <selection pane="bottomRight" activeCell="M35" sqref="M35"/>
      <rowBreaks count="2" manualBreakCount="2">
        <brk id="32" max="16383" man="1"/>
        <brk id="54" max="16383" man="1"/>
      </rowBreaks>
      <colBreaks count="1" manualBreakCount="1">
        <brk id="18" max="1048575" man="1"/>
      </colBreaks>
      <pageMargins left="0" right="0" top="0" bottom="0" header="0" footer="0"/>
      <pageSetup scale="80" orientation="landscape" r:id="rId3"/>
    </customSheetView>
    <customSheetView guid="{B2E1A0C6-5BA1-4CF1-B412-16D81FCDF11F}" showPageBreaks="1" printArea="1" hiddenColumns="1" state="hidden">
      <pane xSplit="4" ySplit="7" topLeftCell="F21" activePane="bottomRight" state="frozen"/>
      <selection pane="bottomRight" activeCell="M35" sqref="M35"/>
      <rowBreaks count="2" manualBreakCount="2">
        <brk id="32" max="16383" man="1"/>
        <brk id="54" max="16383" man="1"/>
      </rowBreaks>
      <colBreaks count="1" manualBreakCount="1">
        <brk id="18" max="1048575" man="1"/>
      </colBreaks>
      <pageMargins left="0" right="0" top="0" bottom="0" header="0" footer="0"/>
      <pageSetup scale="80" orientation="landscape" r:id="rId4"/>
    </customSheetView>
    <customSheetView guid="{967E0446-E234-427F-8E57-7FE287052E2E}" showPageBreaks="1" printArea="1" hiddenColumns="1" state="hidden">
      <pane xSplit="4" ySplit="7" topLeftCell="F21" activePane="bottomRight" state="frozen"/>
      <selection pane="bottomRight" activeCell="M35" sqref="M35"/>
      <rowBreaks count="2" manualBreakCount="2">
        <brk id="32" max="16383" man="1"/>
        <brk id="54" max="16383" man="1"/>
      </rowBreaks>
      <colBreaks count="1" manualBreakCount="1">
        <brk id="18" max="1048575" man="1"/>
      </colBreaks>
      <pageMargins left="0" right="0" top="0" bottom="0" header="0" footer="0"/>
      <pageSetup scale="80" orientation="landscape" r:id="rId5"/>
    </customSheetView>
    <customSheetView guid="{2ACFE167-4169-43A6-9AB2-59D5A2DA2DB4}" showPageBreaks="1" printArea="1" hiddenColumns="1" state="hidden">
      <pane xSplit="4" ySplit="7" topLeftCell="F21" activePane="bottomRight" state="frozen"/>
      <selection pane="bottomRight" activeCell="M35" sqref="M35"/>
      <rowBreaks count="2" manualBreakCount="2">
        <brk id="32" max="16383" man="1"/>
        <brk id="54" max="16383" man="1"/>
      </rowBreaks>
      <colBreaks count="1" manualBreakCount="1">
        <brk id="18" max="1048575" man="1"/>
      </colBreaks>
      <pageMargins left="0" right="0" top="0" bottom="0" header="0" footer="0"/>
      <pageSetup scale="80" orientation="landscape" r:id="rId6"/>
    </customSheetView>
  </customSheetViews>
  <mergeCells count="32">
    <mergeCell ref="B89:B91"/>
    <mergeCell ref="F89:F91"/>
    <mergeCell ref="B111:B112"/>
    <mergeCell ref="F111:F112"/>
    <mergeCell ref="B38:N39"/>
    <mergeCell ref="B40:N41"/>
    <mergeCell ref="B42:N42"/>
    <mergeCell ref="F81:N82"/>
    <mergeCell ref="F83:M84"/>
    <mergeCell ref="F85:M85"/>
    <mergeCell ref="F30:J30"/>
    <mergeCell ref="M5:N5"/>
    <mergeCell ref="O5:P5"/>
    <mergeCell ref="Q5:R5"/>
    <mergeCell ref="T6:T8"/>
    <mergeCell ref="K27:L28"/>
    <mergeCell ref="M27:N28"/>
    <mergeCell ref="O27:P28"/>
    <mergeCell ref="Q27:R28"/>
    <mergeCell ref="F29:J29"/>
    <mergeCell ref="U6:U8"/>
    <mergeCell ref="B27:B28"/>
    <mergeCell ref="D27:E28"/>
    <mergeCell ref="F27:F28"/>
    <mergeCell ref="G27:H28"/>
    <mergeCell ref="I27:J28"/>
    <mergeCell ref="B5:B7"/>
    <mergeCell ref="D5:E5"/>
    <mergeCell ref="F5:F7"/>
    <mergeCell ref="G5:H5"/>
    <mergeCell ref="I5:J5"/>
    <mergeCell ref="K5:L5"/>
  </mergeCells>
  <hyperlinks>
    <hyperlink ref="B1" location="'List of tables'!A1" display="'List of tables'!A1"/>
  </hyperlinks>
  <pageMargins left="0.2" right="0.2" top="0.75" bottom="0.75" header="0.3" footer="0.3"/>
  <pageSetup scale="80" orientation="landscape" r:id="rId7"/>
  <rowBreaks count="2" manualBreakCount="2">
    <brk id="32" max="16383" man="1"/>
    <brk id="54" max="16383" man="1"/>
  </rowBreaks>
  <colBreaks count="1" manualBreakCount="1">
    <brk id="18" max="1048575" man="1"/>
  </colBreaks>
  <drawing r:id="rId8"/>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FFC000"/>
  </sheetPr>
  <dimension ref="A2:N594"/>
  <sheetViews>
    <sheetView topLeftCell="C55" workbookViewId="0">
      <selection activeCell="H83" sqref="H83"/>
    </sheetView>
  </sheetViews>
  <sheetFormatPr defaultColWidth="9.140625" defaultRowHeight="12.75"/>
  <cols>
    <col min="1" max="1" width="5.85546875" style="291" customWidth="1"/>
    <col min="2" max="2" width="49.5703125" style="2" customWidth="1"/>
    <col min="3" max="3" width="21.42578125" style="2" customWidth="1"/>
    <col min="4" max="4" width="19.42578125" style="2" customWidth="1"/>
    <col min="5" max="5" width="19.28515625" style="2" customWidth="1"/>
    <col min="6" max="6" width="21.7109375" style="2" customWidth="1"/>
    <col min="7" max="7" width="17.7109375" style="2" customWidth="1"/>
    <col min="8" max="8" width="20.28515625" style="2" customWidth="1"/>
    <col min="9" max="9" width="21" style="291" customWidth="1"/>
    <col min="10" max="10" width="12.42578125" style="291" customWidth="1"/>
    <col min="11" max="16384" width="9.140625" style="2"/>
  </cols>
  <sheetData>
    <row r="2" spans="1:14" ht="21" customHeight="1">
      <c r="B2" s="62" t="s">
        <v>699</v>
      </c>
    </row>
    <row r="3" spans="1:14" s="54" customFormat="1" ht="16.5" customHeight="1">
      <c r="A3" s="3847"/>
      <c r="B3" s="3844" t="s">
        <v>700</v>
      </c>
      <c r="C3" s="3842">
        <v>2012</v>
      </c>
      <c r="D3" s="3842"/>
      <c r="E3" s="3842"/>
      <c r="F3" s="3842"/>
      <c r="G3" s="3842"/>
      <c r="H3" s="3842"/>
      <c r="I3" s="109"/>
      <c r="J3" s="109"/>
    </row>
    <row r="4" spans="1:14" s="52" customFormat="1" ht="18.75" customHeight="1">
      <c r="A4" s="3847"/>
      <c r="B4" s="3844"/>
      <c r="C4" s="2917" t="s">
        <v>412</v>
      </c>
      <c r="D4" s="2917" t="s">
        <v>413</v>
      </c>
      <c r="E4" s="2917" t="s">
        <v>414</v>
      </c>
      <c r="F4" s="2917" t="s">
        <v>701</v>
      </c>
      <c r="G4" s="2917" t="s">
        <v>702</v>
      </c>
      <c r="H4" s="2917" t="s">
        <v>118</v>
      </c>
      <c r="I4" s="3617"/>
      <c r="J4" s="264"/>
    </row>
    <row r="5" spans="1:14" s="54" customFormat="1" ht="12.75" customHeight="1">
      <c r="A5" s="3847"/>
      <c r="B5" s="3844"/>
      <c r="C5" s="3082" t="s">
        <v>140</v>
      </c>
      <c r="D5" s="3082" t="s">
        <v>140</v>
      </c>
      <c r="E5" s="3082" t="s">
        <v>140</v>
      </c>
      <c r="F5" s="3082" t="s">
        <v>140</v>
      </c>
      <c r="G5" s="3082" t="s">
        <v>140</v>
      </c>
      <c r="H5" s="3082" t="s">
        <v>140</v>
      </c>
      <c r="I5" s="3617"/>
      <c r="J5" s="109"/>
    </row>
    <row r="6" spans="1:14" s="52" customFormat="1" ht="24.95" customHeight="1">
      <c r="A6" s="285">
        <v>1</v>
      </c>
      <c r="B6" s="3083" t="s">
        <v>211</v>
      </c>
      <c r="C6" s="3843"/>
      <c r="D6" s="3843"/>
      <c r="E6" s="3843"/>
      <c r="F6" s="3843"/>
      <c r="G6" s="3843"/>
      <c r="H6" s="1981">
        <v>36430163.114323758</v>
      </c>
      <c r="I6" s="264"/>
      <c r="J6" s="278"/>
      <c r="K6" s="274"/>
      <c r="L6" s="274"/>
      <c r="M6" s="274"/>
      <c r="N6" s="274"/>
    </row>
    <row r="7" spans="1:14" s="52" customFormat="1" ht="11.25" customHeight="1">
      <c r="A7" s="285"/>
      <c r="B7" s="3083"/>
      <c r="C7" s="2107"/>
      <c r="D7" s="2107"/>
      <c r="E7" s="2107"/>
      <c r="F7" s="2107"/>
      <c r="G7" s="2107"/>
      <c r="H7" s="2107"/>
      <c r="I7" s="264"/>
      <c r="J7" s="278"/>
      <c r="K7" s="274"/>
      <c r="L7" s="274"/>
      <c r="M7" s="274"/>
      <c r="N7" s="274"/>
    </row>
    <row r="8" spans="1:14" s="52" customFormat="1" ht="24.95" customHeight="1">
      <c r="A8" s="285">
        <v>2</v>
      </c>
      <c r="B8" s="3085" t="s">
        <v>333</v>
      </c>
      <c r="C8" s="1981">
        <v>6965655.2528400002</v>
      </c>
      <c r="D8" s="1981">
        <v>1699417.5414</v>
      </c>
      <c r="E8" s="1981">
        <v>27431298.432409987</v>
      </c>
      <c r="F8" s="1981">
        <v>262085.19011999996</v>
      </c>
      <c r="G8" s="1981">
        <v>9136472.7236300018</v>
      </c>
      <c r="H8" s="1981">
        <f>SUM(C8:G8)</f>
        <v>45494929.140399985</v>
      </c>
      <c r="I8" s="286"/>
      <c r="J8" s="264"/>
    </row>
    <row r="9" spans="1:14" s="52" customFormat="1" ht="24.95" customHeight="1">
      <c r="A9" s="285">
        <v>3</v>
      </c>
      <c r="B9" s="3085" t="s">
        <v>703</v>
      </c>
      <c r="C9" s="1981">
        <v>-172424.28512726721</v>
      </c>
      <c r="D9" s="1981">
        <v>-227.12</v>
      </c>
      <c r="E9" s="1981">
        <v>-574.6</v>
      </c>
      <c r="F9" s="1981">
        <v>-1151.35132949335</v>
      </c>
      <c r="G9" s="1981">
        <v>-41923.263233966005</v>
      </c>
      <c r="H9" s="1981">
        <f>SUM(C9:G9)</f>
        <v>-216300.61969072657</v>
      </c>
      <c r="I9" s="286"/>
      <c r="J9" s="264"/>
    </row>
    <row r="10" spans="1:14" s="52" customFormat="1" ht="24.95" customHeight="1">
      <c r="A10" s="285">
        <v>4</v>
      </c>
      <c r="B10" s="3085" t="s">
        <v>704</v>
      </c>
      <c r="C10" s="1981">
        <v>-1417137.0874749999</v>
      </c>
      <c r="D10" s="1981">
        <v>-21163.787550000001</v>
      </c>
      <c r="E10" s="1981">
        <v>-289605.0560924001</v>
      </c>
      <c r="F10" s="1981">
        <v>-16787.002059999999</v>
      </c>
      <c r="G10" s="1981">
        <v>-205111.88832</v>
      </c>
      <c r="H10" s="1981">
        <f>SUM(C10:G10)</f>
        <v>-1949804.8214974001</v>
      </c>
      <c r="I10" s="286"/>
      <c r="J10" s="264"/>
    </row>
    <row r="11" spans="1:14" s="52" customFormat="1" ht="24.95" customHeight="1">
      <c r="A11" s="285">
        <v>5</v>
      </c>
      <c r="B11" s="3085" t="s">
        <v>705</v>
      </c>
      <c r="C11" s="1981">
        <v>-4090136.2933443608</v>
      </c>
      <c r="D11" s="1981">
        <v>-847391.90944199672</v>
      </c>
      <c r="E11" s="1981">
        <v>-387210.78660637117</v>
      </c>
      <c r="F11" s="1981">
        <v>-30099.068890365379</v>
      </c>
      <c r="G11" s="1981">
        <v>-2272842.7612575246</v>
      </c>
      <c r="H11" s="1981">
        <f>SUM(C11:G11)</f>
        <v>-7627680.8195406189</v>
      </c>
      <c r="I11" s="264"/>
      <c r="J11" s="264"/>
    </row>
    <row r="12" spans="1:14" s="52" customFormat="1" ht="24.95" customHeight="1">
      <c r="A12" s="285">
        <v>6</v>
      </c>
      <c r="B12" s="3085" t="s">
        <v>706</v>
      </c>
      <c r="C12" s="3086">
        <f t="shared" ref="C12:H12" si="0">SUM(C8:C11)</f>
        <v>1285957.5868933722</v>
      </c>
      <c r="D12" s="3086">
        <f t="shared" si="0"/>
        <v>830634.72440800315</v>
      </c>
      <c r="E12" s="3086">
        <f t="shared" si="0"/>
        <v>26753907.989711214</v>
      </c>
      <c r="F12" s="3086">
        <f t="shared" si="0"/>
        <v>214047.76784014126</v>
      </c>
      <c r="G12" s="3086">
        <f t="shared" si="0"/>
        <v>6616594.8108185111</v>
      </c>
      <c r="H12" s="3086">
        <f t="shared" si="0"/>
        <v>35701142.879671238</v>
      </c>
      <c r="I12" s="264"/>
      <c r="J12" s="264"/>
    </row>
    <row r="13" spans="1:14" s="52" customFormat="1" ht="24.95" customHeight="1">
      <c r="A13" s="285">
        <v>7</v>
      </c>
      <c r="B13" s="3085" t="s">
        <v>424</v>
      </c>
      <c r="C13" s="1981">
        <v>-144366.84814137794</v>
      </c>
      <c r="D13" s="1981">
        <v>-27957.592235117136</v>
      </c>
      <c r="E13" s="1981">
        <v>-3178837.432607566</v>
      </c>
      <c r="F13" s="1981">
        <v>-24065.221595338506</v>
      </c>
      <c r="G13" s="1981">
        <v>-508519.81994884851</v>
      </c>
      <c r="H13" s="1981">
        <v>-3883746.9145282484</v>
      </c>
      <c r="I13" s="264"/>
      <c r="J13" s="264"/>
    </row>
    <row r="14" spans="1:14" s="52" customFormat="1" ht="24.95" customHeight="1">
      <c r="A14" s="285">
        <v>8</v>
      </c>
      <c r="B14" s="3085" t="s">
        <v>707</v>
      </c>
      <c r="C14" s="3086">
        <f t="shared" ref="C14:H14" si="1">SUM(C12:C13)</f>
        <v>1141590.7387519942</v>
      </c>
      <c r="D14" s="3086">
        <f t="shared" si="1"/>
        <v>802677.13217288605</v>
      </c>
      <c r="E14" s="3086">
        <f t="shared" si="1"/>
        <v>23575070.557103649</v>
      </c>
      <c r="F14" s="3086">
        <f t="shared" si="1"/>
        <v>189982.54624480274</v>
      </c>
      <c r="G14" s="3086">
        <f t="shared" si="1"/>
        <v>6108074.9908696627</v>
      </c>
      <c r="H14" s="3086">
        <f t="shared" si="1"/>
        <v>31817395.965142991</v>
      </c>
      <c r="I14" s="264"/>
      <c r="J14" s="264"/>
    </row>
    <row r="15" spans="1:14" s="52" customFormat="1" ht="24.95" customHeight="1">
      <c r="A15" s="285"/>
      <c r="B15" s="3085"/>
      <c r="C15" s="3086"/>
      <c r="D15" s="3086"/>
      <c r="E15" s="3086"/>
      <c r="F15" s="3086"/>
      <c r="G15" s="3086"/>
      <c r="H15" s="3086">
        <v>0</v>
      </c>
      <c r="I15" s="264"/>
      <c r="J15" s="264"/>
    </row>
    <row r="16" spans="1:14" s="52" customFormat="1" ht="24.95" customHeight="1">
      <c r="A16" s="285"/>
      <c r="B16" s="3083" t="s">
        <v>426</v>
      </c>
      <c r="C16" s="3086"/>
      <c r="D16" s="3086"/>
      <c r="E16" s="3086"/>
      <c r="F16" s="3086"/>
      <c r="G16" s="3086"/>
      <c r="H16" s="3086">
        <v>0</v>
      </c>
      <c r="I16" s="264"/>
      <c r="J16" s="264"/>
    </row>
    <row r="17" spans="1:10" s="52" customFormat="1" ht="24.95" customHeight="1">
      <c r="A17" s="285">
        <v>9</v>
      </c>
      <c r="B17" s="3085" t="s">
        <v>427</v>
      </c>
      <c r="C17" s="1981">
        <v>-559737.38865494577</v>
      </c>
      <c r="D17" s="1981">
        <v>-239522.84962742106</v>
      </c>
      <c r="E17" s="1981">
        <v>-14812843.247700162</v>
      </c>
      <c r="F17" s="1981">
        <v>-59407.006960000006</v>
      </c>
      <c r="G17" s="1981">
        <v>-4003391.6438704114</v>
      </c>
      <c r="H17" s="1981">
        <f>SUM(C17:G17)</f>
        <v>-19674902.13681294</v>
      </c>
      <c r="I17" s="264"/>
      <c r="J17" s="264"/>
    </row>
    <row r="18" spans="1:10" s="52" customFormat="1" ht="24.95" customHeight="1">
      <c r="A18" s="285">
        <v>10</v>
      </c>
      <c r="B18" s="3085" t="s">
        <v>428</v>
      </c>
      <c r="C18" s="1981">
        <v>500445.5253288761</v>
      </c>
      <c r="D18" s="1981">
        <v>67239.928938439363</v>
      </c>
      <c r="E18" s="1981">
        <v>-2393174.7400133228</v>
      </c>
      <c r="F18" s="1981">
        <v>-23329.171879055237</v>
      </c>
      <c r="G18" s="1981">
        <v>-245222.55448994291</v>
      </c>
      <c r="H18" s="1981">
        <f>SUM(C18:G18)</f>
        <v>-2094041.0121150054</v>
      </c>
      <c r="I18" s="284"/>
      <c r="J18" s="264"/>
    </row>
    <row r="19" spans="1:10" s="52" customFormat="1" ht="24.95" customHeight="1">
      <c r="A19" s="285">
        <v>11</v>
      </c>
      <c r="B19" s="3085" t="s">
        <v>429</v>
      </c>
      <c r="C19" s="1981">
        <v>-621733.24227421638</v>
      </c>
      <c r="D19" s="1981">
        <v>-226137.85366833297</v>
      </c>
      <c r="E19" s="1981">
        <v>-1840630.6074507541</v>
      </c>
      <c r="F19" s="1981">
        <v>-26835.075539745256</v>
      </c>
      <c r="G19" s="1981">
        <v>-791771.18643271609</v>
      </c>
      <c r="H19" s="1981">
        <f>SUM(C19:G19)</f>
        <v>-3507107.9653657652</v>
      </c>
      <c r="I19" s="264"/>
      <c r="J19" s="264"/>
    </row>
    <row r="20" spans="1:10" s="236" customFormat="1" ht="24.95" customHeight="1">
      <c r="A20" s="287">
        <v>12</v>
      </c>
      <c r="B20" s="3087" t="s">
        <v>430</v>
      </c>
      <c r="C20" s="2937">
        <f t="shared" ref="C20:H20" si="2">SUM(C14:C19)</f>
        <v>460565.63315170817</v>
      </c>
      <c r="D20" s="2937">
        <f t="shared" si="2"/>
        <v>404256.35781557142</v>
      </c>
      <c r="E20" s="2937">
        <f t="shared" si="2"/>
        <v>4528421.9619394094</v>
      </c>
      <c r="F20" s="2937">
        <f t="shared" si="2"/>
        <v>80411.291866002241</v>
      </c>
      <c r="G20" s="2937">
        <f t="shared" si="2"/>
        <v>1067689.6060765921</v>
      </c>
      <c r="H20" s="2937">
        <f t="shared" si="2"/>
        <v>6541344.8508492801</v>
      </c>
      <c r="I20" s="288"/>
      <c r="J20" s="279"/>
    </row>
    <row r="21" spans="1:10" s="52" customFormat="1" ht="24.95" customHeight="1">
      <c r="A21" s="285"/>
      <c r="B21" s="3088"/>
      <c r="C21" s="3086"/>
      <c r="D21" s="3086"/>
      <c r="E21" s="3086"/>
      <c r="F21" s="3086"/>
      <c r="G21" s="3086"/>
      <c r="H21" s="3086">
        <v>0</v>
      </c>
      <c r="I21" s="264"/>
      <c r="J21" s="264"/>
    </row>
    <row r="22" spans="1:10" s="52" customFormat="1" ht="24.95" customHeight="1">
      <c r="A22" s="285"/>
      <c r="B22" s="3089" t="s">
        <v>431</v>
      </c>
      <c r="C22" s="3086"/>
      <c r="D22" s="3086"/>
      <c r="E22" s="3086"/>
      <c r="F22" s="3086"/>
      <c r="G22" s="3086"/>
      <c r="H22" s="3086">
        <v>0</v>
      </c>
      <c r="I22" s="264"/>
      <c r="J22" s="264"/>
    </row>
    <row r="23" spans="1:10" s="52" customFormat="1" ht="24.95" customHeight="1">
      <c r="A23" s="285">
        <v>13</v>
      </c>
      <c r="B23" s="3085" t="s">
        <v>432</v>
      </c>
      <c r="C23" s="3090"/>
      <c r="D23" s="3090"/>
      <c r="E23" s="3090"/>
      <c r="F23" s="3090"/>
      <c r="G23" s="3090"/>
      <c r="H23" s="1981">
        <v>275079.06624999997</v>
      </c>
      <c r="I23" s="264"/>
      <c r="J23" s="264"/>
    </row>
    <row r="24" spans="1:10" s="52" customFormat="1" ht="24.95" customHeight="1">
      <c r="A24" s="285">
        <v>14</v>
      </c>
      <c r="B24" s="3083" t="s">
        <v>433</v>
      </c>
      <c r="C24" s="3090"/>
      <c r="D24" s="3090"/>
      <c r="E24" s="3090"/>
      <c r="F24" s="3090"/>
      <c r="G24" s="3090"/>
      <c r="H24" s="1981">
        <v>3386939.522284647</v>
      </c>
      <c r="I24" s="264"/>
      <c r="J24" s="264"/>
    </row>
    <row r="25" spans="1:10" s="52" customFormat="1" ht="24.95" customHeight="1">
      <c r="A25" s="285">
        <v>15</v>
      </c>
      <c r="B25" s="3085" t="s">
        <v>434</v>
      </c>
      <c r="C25" s="3090"/>
      <c r="D25" s="3090"/>
      <c r="E25" s="3090"/>
      <c r="F25" s="3090"/>
      <c r="G25" s="3090"/>
      <c r="H25" s="1981">
        <v>950748.56064612162</v>
      </c>
      <c r="I25" s="264"/>
      <c r="J25" s="264"/>
    </row>
    <row r="26" spans="1:10" s="52" customFormat="1" ht="24.95" customHeight="1">
      <c r="A26" s="285"/>
      <c r="B26" s="3083" t="s">
        <v>435</v>
      </c>
      <c r="C26" s="3090"/>
      <c r="D26" s="3090"/>
      <c r="E26" s="3090"/>
      <c r="F26" s="3090"/>
      <c r="G26" s="3090"/>
      <c r="H26" s="1981">
        <v>0</v>
      </c>
      <c r="I26" s="264"/>
      <c r="J26" s="264"/>
    </row>
    <row r="27" spans="1:10" s="52" customFormat="1" ht="32.25" customHeight="1">
      <c r="A27" s="285">
        <v>16</v>
      </c>
      <c r="B27" s="3091" t="s">
        <v>436</v>
      </c>
      <c r="C27" s="3090"/>
      <c r="D27" s="3090"/>
      <c r="E27" s="3090"/>
      <c r="F27" s="3090"/>
      <c r="G27" s="3090"/>
      <c r="H27" s="1981">
        <v>-6014938.4026716743</v>
      </c>
      <c r="I27" s="264"/>
      <c r="J27" s="264"/>
    </row>
    <row r="28" spans="1:10" s="52" customFormat="1" ht="24.95" customHeight="1">
      <c r="A28" s="285">
        <v>17</v>
      </c>
      <c r="B28" s="3085" t="s">
        <v>437</v>
      </c>
      <c r="C28" s="3090"/>
      <c r="D28" s="3090"/>
      <c r="E28" s="3090"/>
      <c r="F28" s="3090"/>
      <c r="G28" s="3090"/>
      <c r="H28" s="1981">
        <v>-441831.37564000004</v>
      </c>
      <c r="I28" s="264"/>
      <c r="J28" s="264"/>
    </row>
    <row r="29" spans="1:10" s="52" customFormat="1" ht="24.95" customHeight="1">
      <c r="A29" s="285">
        <v>18</v>
      </c>
      <c r="B29" s="3083" t="s">
        <v>438</v>
      </c>
      <c r="C29" s="3092"/>
      <c r="D29" s="3092"/>
      <c r="E29" s="3092"/>
      <c r="F29" s="3092"/>
      <c r="G29" s="3092"/>
      <c r="H29" s="3086">
        <f>SUM(H20:H28)</f>
        <v>4697342.2217183756</v>
      </c>
      <c r="I29" s="264"/>
      <c r="J29" s="264"/>
    </row>
    <row r="30" spans="1:10" s="52" customFormat="1" ht="24.95" customHeight="1">
      <c r="A30" s="285">
        <v>19</v>
      </c>
      <c r="B30" s="3085" t="s">
        <v>439</v>
      </c>
      <c r="C30" s="3090"/>
      <c r="D30" s="3090"/>
      <c r="E30" s="3090"/>
      <c r="F30" s="3090"/>
      <c r="G30" s="3090"/>
      <c r="H30" s="1981">
        <v>-47183.611089999999</v>
      </c>
      <c r="I30" s="264"/>
      <c r="J30" s="264"/>
    </row>
    <row r="31" spans="1:10" s="52" customFormat="1" ht="24.95" customHeight="1">
      <c r="A31" s="285">
        <v>20</v>
      </c>
      <c r="B31" s="3093" t="s">
        <v>440</v>
      </c>
      <c r="C31" s="3092"/>
      <c r="D31" s="3092"/>
      <c r="E31" s="3092"/>
      <c r="F31" s="3092"/>
      <c r="G31" s="3092"/>
      <c r="H31" s="3086">
        <f>SUM(H29:H30)</f>
        <v>4650158.6106283758</v>
      </c>
      <c r="I31" s="264"/>
      <c r="J31" s="264"/>
    </row>
    <row r="32" spans="1:10" s="52" customFormat="1" ht="24.95" customHeight="1">
      <c r="A32" s="285">
        <v>21</v>
      </c>
      <c r="B32" s="3093" t="s">
        <v>441</v>
      </c>
      <c r="C32" s="3090"/>
      <c r="D32" s="3090"/>
      <c r="E32" s="3090"/>
      <c r="F32" s="3090"/>
      <c r="G32" s="3090"/>
      <c r="H32" s="1981">
        <v>-693097.53291000007</v>
      </c>
      <c r="I32" s="264"/>
      <c r="J32" s="264"/>
    </row>
    <row r="33" spans="1:14" s="52" customFormat="1" ht="24.95" customHeight="1">
      <c r="A33" s="285">
        <v>22</v>
      </c>
      <c r="B33" s="3093" t="s">
        <v>442</v>
      </c>
      <c r="C33" s="3092"/>
      <c r="D33" s="3092"/>
      <c r="E33" s="3092"/>
      <c r="F33" s="3092"/>
      <c r="G33" s="3092"/>
      <c r="H33" s="3086">
        <f>SUM(H31:H32)</f>
        <v>3957061.0777183757</v>
      </c>
      <c r="I33" s="264"/>
      <c r="J33" s="264"/>
    </row>
    <row r="34" spans="1:14" s="52" customFormat="1" ht="24.95" customHeight="1">
      <c r="A34" s="285"/>
      <c r="B34" s="290"/>
      <c r="C34" s="289"/>
      <c r="D34" s="289"/>
      <c r="E34" s="289"/>
      <c r="F34" s="289"/>
      <c r="G34" s="289"/>
      <c r="H34" s="289"/>
      <c r="I34" s="264"/>
      <c r="J34" s="264"/>
    </row>
    <row r="35" spans="1:14" s="52" customFormat="1" ht="24.95" customHeight="1">
      <c r="A35" s="285"/>
      <c r="B35" s="290"/>
      <c r="C35" s="289"/>
      <c r="D35" s="289"/>
      <c r="E35" s="289"/>
      <c r="F35" s="289"/>
      <c r="G35" s="289"/>
      <c r="H35" s="289"/>
      <c r="I35" s="264"/>
      <c r="J35" s="264"/>
    </row>
    <row r="36" spans="1:14" s="54" customFormat="1" ht="17.45" customHeight="1">
      <c r="A36" s="3847">
        <v>1</v>
      </c>
      <c r="B36" s="3844" t="s">
        <v>125</v>
      </c>
      <c r="C36" s="3842">
        <v>2012</v>
      </c>
      <c r="D36" s="3842"/>
      <c r="E36" s="3842"/>
      <c r="F36" s="3842"/>
      <c r="G36" s="3842"/>
      <c r="H36" s="3842"/>
      <c r="I36" s="109"/>
      <c r="J36" s="109"/>
    </row>
    <row r="37" spans="1:14" s="54" customFormat="1" ht="17.45" customHeight="1">
      <c r="A37" s="3847"/>
      <c r="B37" s="3844"/>
      <c r="C37" s="2917" t="s">
        <v>412</v>
      </c>
      <c r="D37" s="2917" t="s">
        <v>413</v>
      </c>
      <c r="E37" s="2917" t="s">
        <v>414</v>
      </c>
      <c r="F37" s="2917" t="s">
        <v>701</v>
      </c>
      <c r="G37" s="2917" t="s">
        <v>702</v>
      </c>
      <c r="H37" s="2917" t="s">
        <v>118</v>
      </c>
      <c r="I37" s="3617"/>
      <c r="J37" s="109"/>
    </row>
    <row r="38" spans="1:14" s="54" customFormat="1" ht="17.45" customHeight="1">
      <c r="A38" s="3847"/>
      <c r="B38" s="3844"/>
      <c r="C38" s="3082" t="s">
        <v>140</v>
      </c>
      <c r="D38" s="3082" t="s">
        <v>140</v>
      </c>
      <c r="E38" s="3082" t="s">
        <v>140</v>
      </c>
      <c r="F38" s="3082" t="s">
        <v>140</v>
      </c>
      <c r="G38" s="3082" t="s">
        <v>140</v>
      </c>
      <c r="H38" s="3082" t="s">
        <v>140</v>
      </c>
      <c r="I38" s="3617"/>
      <c r="J38" s="109"/>
    </row>
    <row r="39" spans="1:14" s="52" customFormat="1" ht="17.45" customHeight="1">
      <c r="A39" s="285">
        <v>1</v>
      </c>
      <c r="B39" s="3083" t="s">
        <v>211</v>
      </c>
      <c r="C39" s="3843"/>
      <c r="D39" s="3843"/>
      <c r="E39" s="3843"/>
      <c r="F39" s="3843"/>
      <c r="G39" s="3843"/>
      <c r="H39" s="2016">
        <f>+H47+H56+H57+H58</f>
        <v>2581749.87531</v>
      </c>
      <c r="I39" s="264"/>
      <c r="J39" s="278"/>
      <c r="K39" s="274"/>
      <c r="L39" s="274"/>
      <c r="M39" s="274"/>
      <c r="N39" s="274"/>
    </row>
    <row r="40" spans="1:14" s="52" customFormat="1" ht="5.25" customHeight="1">
      <c r="A40" s="285"/>
      <c r="B40" s="3083"/>
      <c r="C40" s="2107"/>
      <c r="D40" s="2107"/>
      <c r="E40" s="2107"/>
      <c r="F40" s="2107"/>
      <c r="G40" s="2107"/>
      <c r="H40" s="2107"/>
      <c r="I40" s="264"/>
      <c r="J40" s="278"/>
      <c r="K40" s="274"/>
      <c r="L40" s="274"/>
      <c r="M40" s="274"/>
      <c r="N40" s="274"/>
    </row>
    <row r="41" spans="1:14" s="52" customFormat="1" ht="20.100000000000001" customHeight="1">
      <c r="A41" s="285">
        <v>2</v>
      </c>
      <c r="B41" s="3085" t="s">
        <v>333</v>
      </c>
      <c r="C41" s="3094">
        <v>407127.02594999998</v>
      </c>
      <c r="D41" s="3094">
        <v>128949.56548</v>
      </c>
      <c r="E41" s="3094">
        <v>1773816.2413399999</v>
      </c>
      <c r="F41" s="3094">
        <v>16445</v>
      </c>
      <c r="G41" s="3094">
        <v>365555.86285999999</v>
      </c>
      <c r="H41" s="3095">
        <f>SUM(C41:G41)</f>
        <v>2691893.69563</v>
      </c>
      <c r="I41" s="286"/>
      <c r="J41" s="264"/>
    </row>
    <row r="42" spans="1:14" s="52" customFormat="1" ht="20.100000000000001" customHeight="1">
      <c r="A42" s="285">
        <v>3</v>
      </c>
      <c r="B42" s="3085" t="s">
        <v>420</v>
      </c>
      <c r="C42" s="3094">
        <v>-17205.777390000003</v>
      </c>
      <c r="D42" s="3094">
        <v>0</v>
      </c>
      <c r="E42" s="3094"/>
      <c r="F42" s="3094"/>
      <c r="G42" s="3094">
        <v>-15002.819690000006</v>
      </c>
      <c r="H42" s="3095">
        <f>SUM(C42:G42)</f>
        <v>-32208.597080000007</v>
      </c>
      <c r="I42" s="286"/>
      <c r="J42" s="264"/>
    </row>
    <row r="43" spans="1:14" s="52" customFormat="1" ht="20.100000000000001" customHeight="1">
      <c r="A43" s="285">
        <v>4</v>
      </c>
      <c r="B43" s="3085" t="s">
        <v>421</v>
      </c>
      <c r="C43" s="3094">
        <v>-137919.96430999995</v>
      </c>
      <c r="D43" s="3094">
        <v>-727.93295000000001</v>
      </c>
      <c r="E43" s="3094">
        <v>-36457</v>
      </c>
      <c r="F43" s="3094"/>
      <c r="G43" s="3094">
        <v>-28232.705699999991</v>
      </c>
      <c r="H43" s="3095">
        <f>SUM(C43:G43)</f>
        <v>-203337.60295999993</v>
      </c>
      <c r="I43" s="286"/>
      <c r="J43" s="264"/>
    </row>
    <row r="44" spans="1:14" s="52" customFormat="1" ht="20.100000000000001" customHeight="1">
      <c r="A44" s="285">
        <v>5</v>
      </c>
      <c r="B44" s="3085" t="s">
        <v>422</v>
      </c>
      <c r="C44" s="3094">
        <v>-149559.23387000005</v>
      </c>
      <c r="D44" s="3094">
        <v>-55260.55068</v>
      </c>
      <c r="E44" s="3094">
        <v>-0.49908000000141328</v>
      </c>
      <c r="F44" s="3094">
        <v>-2306</v>
      </c>
      <c r="G44" s="3094">
        <v>-34250.334060000008</v>
      </c>
      <c r="H44" s="3095">
        <f>SUM(C44:G44)</f>
        <v>-241376.61769000004</v>
      </c>
      <c r="I44" s="264"/>
      <c r="J44" s="264"/>
    </row>
    <row r="45" spans="1:14" s="52" customFormat="1" ht="20.100000000000001" customHeight="1">
      <c r="A45" s="285">
        <v>6</v>
      </c>
      <c r="B45" s="3085" t="s">
        <v>706</v>
      </c>
      <c r="C45" s="3095">
        <f t="shared" ref="C45:H45" si="3">SUM(C41:C44)</f>
        <v>102442.05037999997</v>
      </c>
      <c r="D45" s="3095">
        <f t="shared" si="3"/>
        <v>72961.081850000002</v>
      </c>
      <c r="E45" s="3095">
        <f t="shared" si="3"/>
        <v>1737358.74226</v>
      </c>
      <c r="F45" s="3095">
        <f t="shared" si="3"/>
        <v>14139</v>
      </c>
      <c r="G45" s="3095">
        <f t="shared" si="3"/>
        <v>288070.00340999995</v>
      </c>
      <c r="H45" s="3095">
        <f t="shared" si="3"/>
        <v>2214970.8778999997</v>
      </c>
      <c r="I45" s="264"/>
      <c r="J45" s="264"/>
    </row>
    <row r="46" spans="1:14" s="52" customFormat="1" ht="20.100000000000001" customHeight="1">
      <c r="A46" s="285">
        <v>7</v>
      </c>
      <c r="B46" s="3085" t="s">
        <v>424</v>
      </c>
      <c r="C46" s="3094">
        <v>8872.6935699999995</v>
      </c>
      <c r="D46" s="3094">
        <v>-3412.8976100000104</v>
      </c>
      <c r="E46" s="3094">
        <v>6901.1340100002699</v>
      </c>
      <c r="F46" s="3094">
        <v>-828.31603533850193</v>
      </c>
      <c r="G46" s="3094">
        <v>19227.383475338502</v>
      </c>
      <c r="H46" s="3095">
        <f t="shared" ref="H46:H52" si="4">SUM(C46:G46)</f>
        <v>30759.997410000258</v>
      </c>
      <c r="I46" s="264"/>
      <c r="J46" s="264"/>
    </row>
    <row r="47" spans="1:14" s="52" customFormat="1" ht="20.100000000000001" customHeight="1">
      <c r="A47" s="285">
        <v>8</v>
      </c>
      <c r="B47" s="3085" t="s">
        <v>707</v>
      </c>
      <c r="C47" s="3095">
        <f t="shared" ref="C47:H47" si="5">SUM(C45:C46)</f>
        <v>111314.74394999997</v>
      </c>
      <c r="D47" s="3095">
        <f t="shared" si="5"/>
        <v>69548.184239999988</v>
      </c>
      <c r="E47" s="3095">
        <f t="shared" si="5"/>
        <v>1744259.8762700001</v>
      </c>
      <c r="F47" s="3095">
        <f t="shared" si="5"/>
        <v>13310.683964661497</v>
      </c>
      <c r="G47" s="3095">
        <f t="shared" si="5"/>
        <v>307297.38688533846</v>
      </c>
      <c r="H47" s="3095">
        <f t="shared" si="5"/>
        <v>2245730.87531</v>
      </c>
      <c r="I47" s="264"/>
      <c r="J47" s="264"/>
    </row>
    <row r="48" spans="1:14" s="52" customFormat="1" ht="20.100000000000001" customHeight="1">
      <c r="A48" s="285"/>
      <c r="B48" s="3085"/>
      <c r="C48" s="3086"/>
      <c r="D48" s="3086"/>
      <c r="E48" s="3086"/>
      <c r="F48" s="3086"/>
      <c r="G48" s="3086"/>
      <c r="H48" s="3086">
        <f t="shared" si="4"/>
        <v>0</v>
      </c>
      <c r="I48" s="264"/>
      <c r="J48" s="264"/>
    </row>
    <row r="49" spans="1:10" s="52" customFormat="1" ht="20.100000000000001" customHeight="1">
      <c r="A49" s="285"/>
      <c r="B49" s="3083" t="s">
        <v>426</v>
      </c>
      <c r="C49" s="3086"/>
      <c r="D49" s="3086"/>
      <c r="E49" s="3086"/>
      <c r="F49" s="3086"/>
      <c r="G49" s="3086"/>
      <c r="H49" s="3086">
        <f t="shared" si="4"/>
        <v>0</v>
      </c>
      <c r="I49" s="264"/>
      <c r="J49" s="264"/>
    </row>
    <row r="50" spans="1:10" s="52" customFormat="1" ht="20.100000000000001" customHeight="1">
      <c r="A50" s="285">
        <v>9</v>
      </c>
      <c r="B50" s="3085" t="s">
        <v>427</v>
      </c>
      <c r="C50" s="3094">
        <v>-33518.710030000002</v>
      </c>
      <c r="D50" s="3094">
        <v>-16566.787990000001</v>
      </c>
      <c r="E50" s="3094">
        <v>-1219697.57427</v>
      </c>
      <c r="F50" s="3094">
        <v>-4000.6</v>
      </c>
      <c r="G50" s="3094">
        <v>-181198.95827999999</v>
      </c>
      <c r="H50" s="3095">
        <f t="shared" si="4"/>
        <v>-1454982.63057</v>
      </c>
      <c r="I50" s="264"/>
      <c r="J50" s="264"/>
    </row>
    <row r="51" spans="1:10" s="52" customFormat="1" ht="20.100000000000001" customHeight="1">
      <c r="A51" s="285">
        <v>10</v>
      </c>
      <c r="B51" s="3085" t="s">
        <v>428</v>
      </c>
      <c r="C51" s="3094">
        <v>27646.801758087699</v>
      </c>
      <c r="D51" s="3094">
        <v>753.23666801108197</v>
      </c>
      <c r="E51" s="3094">
        <v>-178612.93827582299</v>
      </c>
      <c r="F51" s="3094">
        <v>-1157.6708590552373</v>
      </c>
      <c r="G51" s="3094">
        <v>1651.9057060435407</v>
      </c>
      <c r="H51" s="3095">
        <f t="shared" si="4"/>
        <v>-149718.66500273591</v>
      </c>
      <c r="I51" s="264"/>
      <c r="J51" s="264"/>
    </row>
    <row r="52" spans="1:10" s="52" customFormat="1" ht="20.100000000000001" customHeight="1">
      <c r="A52" s="285">
        <v>11</v>
      </c>
      <c r="B52" s="3085" t="s">
        <v>429</v>
      </c>
      <c r="C52" s="3094">
        <v>-155638.19656645774</v>
      </c>
      <c r="D52" s="3094">
        <v>-37003.155871704541</v>
      </c>
      <c r="E52" s="3094">
        <v>-346856.96002861601</v>
      </c>
      <c r="F52" s="3094">
        <v>-6037.5245450169232</v>
      </c>
      <c r="G52" s="3094">
        <v>-181801.86543896963</v>
      </c>
      <c r="H52" s="3095">
        <f t="shared" si="4"/>
        <v>-727337.70245076483</v>
      </c>
      <c r="I52" s="264"/>
      <c r="J52" s="264"/>
    </row>
    <row r="53" spans="1:10" s="52" customFormat="1" ht="20.100000000000001" customHeight="1">
      <c r="A53" s="287">
        <v>12</v>
      </c>
      <c r="B53" s="3087" t="s">
        <v>430</v>
      </c>
      <c r="C53" s="3096">
        <f t="shared" ref="C53:H53" si="6">SUM(C47:C52)</f>
        <v>-50195.36088837008</v>
      </c>
      <c r="D53" s="3096">
        <f t="shared" si="6"/>
        <v>16731.477046306529</v>
      </c>
      <c r="E53" s="3096">
        <f t="shared" si="6"/>
        <v>-907.59630443889182</v>
      </c>
      <c r="F53" s="3096">
        <f t="shared" si="6"/>
        <v>2114.8885605893365</v>
      </c>
      <c r="G53" s="3096">
        <f t="shared" si="6"/>
        <v>-54051.531127587616</v>
      </c>
      <c r="H53" s="3096">
        <f t="shared" si="6"/>
        <v>-86308.12271350075</v>
      </c>
      <c r="I53" s="288"/>
      <c r="J53" s="264"/>
    </row>
    <row r="54" spans="1:10" s="52" customFormat="1" ht="20.100000000000001" customHeight="1">
      <c r="A54" s="285"/>
      <c r="B54" s="3088"/>
      <c r="C54" s="3086"/>
      <c r="D54" s="3086"/>
      <c r="E54" s="3086"/>
      <c r="F54" s="3086"/>
      <c r="G54" s="3086"/>
      <c r="H54" s="3086">
        <f>SUM(C54:G54)</f>
        <v>0</v>
      </c>
      <c r="I54" s="264"/>
      <c r="J54" s="264"/>
    </row>
    <row r="55" spans="1:10" s="52" customFormat="1" ht="20.100000000000001" customHeight="1">
      <c r="A55" s="285"/>
      <c r="B55" s="3089" t="s">
        <v>431</v>
      </c>
      <c r="C55" s="3086"/>
      <c r="D55" s="3086"/>
      <c r="E55" s="3086"/>
      <c r="F55" s="3086"/>
      <c r="G55" s="3086"/>
      <c r="H55" s="3086">
        <f>SUM(C55:G55)</f>
        <v>0</v>
      </c>
      <c r="I55" s="264"/>
      <c r="J55" s="264"/>
    </row>
    <row r="56" spans="1:10" s="52" customFormat="1" ht="20.100000000000001" customHeight="1">
      <c r="A56" s="285">
        <v>13</v>
      </c>
      <c r="B56" s="3085" t="s">
        <v>432</v>
      </c>
      <c r="C56" s="3086"/>
      <c r="D56" s="3086"/>
      <c r="E56" s="3086"/>
      <c r="F56" s="3086"/>
      <c r="G56" s="3086"/>
      <c r="H56" s="3086">
        <f>SUM(C56:G56)</f>
        <v>0</v>
      </c>
      <c r="I56" s="264"/>
      <c r="J56" s="264"/>
    </row>
    <row r="57" spans="1:10" s="52" customFormat="1" ht="20.100000000000001" customHeight="1">
      <c r="A57" s="285">
        <v>14</v>
      </c>
      <c r="B57" s="3083" t="s">
        <v>433</v>
      </c>
      <c r="C57" s="3086"/>
      <c r="D57" s="3086"/>
      <c r="E57" s="3086"/>
      <c r="F57" s="3086"/>
      <c r="G57" s="3086"/>
      <c r="H57" s="3095">
        <v>317762</v>
      </c>
      <c r="I57" s="264"/>
      <c r="J57" s="264"/>
    </row>
    <row r="58" spans="1:10" s="52" customFormat="1" ht="20.100000000000001" customHeight="1">
      <c r="A58" s="285">
        <v>15</v>
      </c>
      <c r="B58" s="3085" t="s">
        <v>434</v>
      </c>
      <c r="C58" s="3086"/>
      <c r="D58" s="3086"/>
      <c r="E58" s="3086"/>
      <c r="F58" s="3086"/>
      <c r="G58" s="3086"/>
      <c r="H58" s="3095">
        <f>38570-20313</f>
        <v>18257</v>
      </c>
      <c r="I58" s="264"/>
      <c r="J58" s="264"/>
    </row>
    <row r="59" spans="1:10" s="52" customFormat="1" ht="20.100000000000001" customHeight="1">
      <c r="A59" s="285"/>
      <c r="B59" s="3083" t="s">
        <v>435</v>
      </c>
      <c r="C59" s="3086"/>
      <c r="D59" s="3086"/>
      <c r="E59" s="3086"/>
      <c r="F59" s="3086"/>
      <c r="G59" s="3086"/>
      <c r="H59" s="3086">
        <f>SUM(C59:G59)</f>
        <v>0</v>
      </c>
      <c r="I59" s="264"/>
      <c r="J59" s="264"/>
    </row>
    <row r="60" spans="1:10" s="52" customFormat="1" ht="27" customHeight="1">
      <c r="A60" s="285">
        <v>16</v>
      </c>
      <c r="B60" s="3091" t="s">
        <v>436</v>
      </c>
      <c r="C60" s="3086"/>
      <c r="D60" s="3086"/>
      <c r="E60" s="3086"/>
      <c r="F60" s="3086"/>
      <c r="G60" s="3086"/>
      <c r="H60" s="3086">
        <f>SUM(C60:G60)</f>
        <v>0</v>
      </c>
      <c r="I60" s="264"/>
      <c r="J60" s="264"/>
    </row>
    <row r="61" spans="1:10" s="52" customFormat="1" ht="20.100000000000001" customHeight="1">
      <c r="A61" s="285">
        <v>17</v>
      </c>
      <c r="B61" s="3085" t="s">
        <v>437</v>
      </c>
      <c r="C61" s="3086"/>
      <c r="D61" s="3086"/>
      <c r="E61" s="3086"/>
      <c r="F61" s="3086"/>
      <c r="G61" s="3086"/>
      <c r="H61" s="3097">
        <f>-29500+20313-4</f>
        <v>-9191</v>
      </c>
      <c r="I61" s="264"/>
      <c r="J61" s="264"/>
    </row>
    <row r="62" spans="1:10" s="52" customFormat="1" ht="20.100000000000001" customHeight="1">
      <c r="A62" s="285">
        <v>18</v>
      </c>
      <c r="B62" s="3083" t="s">
        <v>438</v>
      </c>
      <c r="C62" s="3095">
        <f t="shared" ref="C62:H62" si="7">SUM(C53:C61)</f>
        <v>-50195.36088837008</v>
      </c>
      <c r="D62" s="3095">
        <f t="shared" si="7"/>
        <v>16731.477046306529</v>
      </c>
      <c r="E62" s="3095">
        <f t="shared" si="7"/>
        <v>-907.59630443889182</v>
      </c>
      <c r="F62" s="3095">
        <f t="shared" si="7"/>
        <v>2114.8885605893365</v>
      </c>
      <c r="G62" s="3095">
        <f t="shared" si="7"/>
        <v>-54051.531127587616</v>
      </c>
      <c r="H62" s="3095">
        <f t="shared" si="7"/>
        <v>240519.87728649925</v>
      </c>
      <c r="I62" s="264"/>
      <c r="J62" s="264"/>
    </row>
    <row r="63" spans="1:10" s="52" customFormat="1" ht="20.100000000000001" customHeight="1">
      <c r="A63" s="285">
        <v>19</v>
      </c>
      <c r="B63" s="3085" t="s">
        <v>439</v>
      </c>
      <c r="C63" s="3086"/>
      <c r="D63" s="3086"/>
      <c r="E63" s="3086"/>
      <c r="F63" s="3086"/>
      <c r="G63" s="3086"/>
      <c r="H63" s="3086">
        <f>SUM(C63:G63)</f>
        <v>0</v>
      </c>
      <c r="I63" s="264"/>
      <c r="J63" s="264"/>
    </row>
    <row r="64" spans="1:10" s="52" customFormat="1" ht="20.100000000000001" customHeight="1">
      <c r="A64" s="285">
        <v>20</v>
      </c>
      <c r="B64" s="3093" t="s">
        <v>440</v>
      </c>
      <c r="C64" s="3086">
        <f t="shared" ref="C64:H64" si="8">SUM(C62:C63)</f>
        <v>-50195.36088837008</v>
      </c>
      <c r="D64" s="3086">
        <f t="shared" si="8"/>
        <v>16731.477046306529</v>
      </c>
      <c r="E64" s="3086">
        <f t="shared" si="8"/>
        <v>-907.59630443889182</v>
      </c>
      <c r="F64" s="3086">
        <f t="shared" si="8"/>
        <v>2114.8885605893365</v>
      </c>
      <c r="G64" s="3086">
        <f t="shared" si="8"/>
        <v>-54051.531127587616</v>
      </c>
      <c r="H64" s="3095">
        <f t="shared" si="8"/>
        <v>240519.87728649925</v>
      </c>
      <c r="I64" s="264"/>
      <c r="J64" s="264"/>
    </row>
    <row r="65" spans="1:14" s="52" customFormat="1" ht="20.100000000000001" customHeight="1">
      <c r="A65" s="285">
        <v>21</v>
      </c>
      <c r="B65" s="3093" t="s">
        <v>441</v>
      </c>
      <c r="C65" s="3086"/>
      <c r="D65" s="3086"/>
      <c r="E65" s="3086"/>
      <c r="F65" s="3086"/>
      <c r="G65" s="3086"/>
      <c r="H65" s="3095">
        <f>+'[8]Sheet 2 - General Insurance'!$H$142</f>
        <v>-68208</v>
      </c>
      <c r="I65" s="264"/>
      <c r="J65" s="264"/>
    </row>
    <row r="66" spans="1:14" s="52" customFormat="1" ht="20.100000000000001" customHeight="1">
      <c r="A66" s="285">
        <v>22</v>
      </c>
      <c r="B66" s="3093" t="s">
        <v>442</v>
      </c>
      <c r="C66" s="3086">
        <f t="shared" ref="C66:H66" si="9">SUM(C64:C65)</f>
        <v>-50195.36088837008</v>
      </c>
      <c r="D66" s="3086">
        <f t="shared" si="9"/>
        <v>16731.477046306529</v>
      </c>
      <c r="E66" s="3086">
        <f t="shared" si="9"/>
        <v>-907.59630443889182</v>
      </c>
      <c r="F66" s="3086">
        <f t="shared" si="9"/>
        <v>2114.8885605893365</v>
      </c>
      <c r="G66" s="3086">
        <f t="shared" si="9"/>
        <v>-54051.531127587616</v>
      </c>
      <c r="H66" s="3095">
        <f t="shared" si="9"/>
        <v>172311.87728649925</v>
      </c>
      <c r="I66" s="284"/>
      <c r="J66" s="264"/>
    </row>
    <row r="67" spans="1:14" s="52" customFormat="1" ht="17.45" customHeight="1">
      <c r="A67" s="285"/>
      <c r="B67" s="290"/>
      <c r="C67" s="289"/>
      <c r="D67" s="289"/>
      <c r="E67" s="289"/>
      <c r="F67" s="289"/>
      <c r="G67" s="289"/>
      <c r="H67" s="289"/>
      <c r="I67" s="284"/>
      <c r="J67" s="264"/>
    </row>
    <row r="68" spans="1:14" s="52" customFormat="1" ht="17.45" customHeight="1">
      <c r="A68" s="285"/>
      <c r="B68" s="290"/>
      <c r="C68" s="289"/>
      <c r="D68" s="289"/>
      <c r="E68" s="289"/>
      <c r="F68" s="289"/>
      <c r="G68" s="289"/>
      <c r="H68" s="289"/>
      <c r="I68" s="284"/>
      <c r="J68" s="264"/>
    </row>
    <row r="69" spans="1:14" s="54" customFormat="1" ht="17.45" customHeight="1">
      <c r="A69" s="3847">
        <v>2</v>
      </c>
      <c r="B69" s="3844" t="s">
        <v>127</v>
      </c>
      <c r="C69" s="3842">
        <v>2012</v>
      </c>
      <c r="D69" s="3842"/>
      <c r="E69" s="3842"/>
      <c r="F69" s="3842"/>
      <c r="G69" s="3842"/>
      <c r="H69" s="3842"/>
      <c r="I69" s="109"/>
      <c r="J69" s="109"/>
    </row>
    <row r="70" spans="1:14" s="54" customFormat="1" ht="17.45" customHeight="1">
      <c r="A70" s="3847"/>
      <c r="B70" s="3844"/>
      <c r="C70" s="2917" t="s">
        <v>412</v>
      </c>
      <c r="D70" s="2917" t="s">
        <v>413</v>
      </c>
      <c r="E70" s="2917" t="s">
        <v>414</v>
      </c>
      <c r="F70" s="2917" t="s">
        <v>701</v>
      </c>
      <c r="G70" s="2917" t="s">
        <v>702</v>
      </c>
      <c r="H70" s="2917" t="s">
        <v>118</v>
      </c>
      <c r="I70" s="3617"/>
      <c r="J70" s="109"/>
    </row>
    <row r="71" spans="1:14" s="54" customFormat="1" ht="17.45" customHeight="1">
      <c r="A71" s="3847"/>
      <c r="B71" s="3844"/>
      <c r="C71" s="3082" t="s">
        <v>140</v>
      </c>
      <c r="D71" s="3082" t="s">
        <v>140</v>
      </c>
      <c r="E71" s="3082" t="s">
        <v>140</v>
      </c>
      <c r="F71" s="3082" t="s">
        <v>140</v>
      </c>
      <c r="G71" s="3082" t="s">
        <v>140</v>
      </c>
      <c r="H71" s="3082" t="s">
        <v>140</v>
      </c>
      <c r="I71" s="3617"/>
      <c r="J71" s="109"/>
    </row>
    <row r="72" spans="1:14" s="52" customFormat="1" ht="17.45" customHeight="1">
      <c r="A72" s="285">
        <v>1</v>
      </c>
      <c r="B72" s="3083" t="s">
        <v>211</v>
      </c>
      <c r="C72" s="3843"/>
      <c r="D72" s="3843"/>
      <c r="E72" s="3843"/>
      <c r="F72" s="3843"/>
      <c r="G72" s="3843"/>
      <c r="H72" s="2016">
        <f>+H80+H89+H90+H91</f>
        <v>397204</v>
      </c>
      <c r="I72" s="264"/>
      <c r="J72" s="278"/>
      <c r="K72" s="274"/>
      <c r="L72" s="274"/>
      <c r="M72" s="274"/>
      <c r="N72" s="274"/>
    </row>
    <row r="73" spans="1:14" s="52" customFormat="1" ht="6.75" customHeight="1">
      <c r="A73" s="285"/>
      <c r="B73" s="3083"/>
      <c r="C73" s="2107"/>
      <c r="D73" s="2107"/>
      <c r="E73" s="2107"/>
      <c r="F73" s="2107"/>
      <c r="G73" s="2107"/>
      <c r="H73" s="2107"/>
      <c r="I73" s="264"/>
      <c r="J73" s="278"/>
      <c r="K73" s="274"/>
      <c r="L73" s="274"/>
      <c r="M73" s="274"/>
      <c r="N73" s="274"/>
    </row>
    <row r="74" spans="1:14" s="52" customFormat="1" ht="20.100000000000001" customHeight="1">
      <c r="A74" s="285">
        <v>2</v>
      </c>
      <c r="B74" s="3085" t="s">
        <v>333</v>
      </c>
      <c r="C74" s="3098">
        <v>131662</v>
      </c>
      <c r="D74" s="3098">
        <v>94804</v>
      </c>
      <c r="E74" s="3098">
        <v>62739</v>
      </c>
      <c r="F74" s="3098">
        <v>2228</v>
      </c>
      <c r="G74" s="3098">
        <v>684356</v>
      </c>
      <c r="H74" s="3095">
        <f>SUM(C74:G74)</f>
        <v>975789</v>
      </c>
      <c r="I74" s="286"/>
      <c r="J74" s="264"/>
    </row>
    <row r="75" spans="1:14" s="52" customFormat="1" ht="20.100000000000001" customHeight="1">
      <c r="A75" s="285">
        <v>3</v>
      </c>
      <c r="B75" s="3085" t="s">
        <v>420</v>
      </c>
      <c r="C75" s="3095">
        <v>0</v>
      </c>
      <c r="D75" s="3095">
        <v>0</v>
      </c>
      <c r="E75" s="3095">
        <v>0</v>
      </c>
      <c r="F75" s="3095">
        <v>0</v>
      </c>
      <c r="G75" s="3095">
        <v>0</v>
      </c>
      <c r="H75" s="3095">
        <f>SUM(C75:G75)</f>
        <v>0</v>
      </c>
      <c r="I75" s="286"/>
      <c r="J75" s="264"/>
    </row>
    <row r="76" spans="1:14" s="52" customFormat="1" ht="20.100000000000001" customHeight="1">
      <c r="A76" s="285">
        <v>4</v>
      </c>
      <c r="B76" s="3085" t="s">
        <v>421</v>
      </c>
      <c r="C76" s="3095">
        <v>-24808.403190000001</v>
      </c>
      <c r="D76" s="3095">
        <v>0</v>
      </c>
      <c r="E76" s="3095">
        <v>-1070.6167800000001</v>
      </c>
      <c r="F76" s="3095">
        <v>0</v>
      </c>
      <c r="G76" s="3095">
        <v>-7009.3373000000001</v>
      </c>
      <c r="H76" s="3095">
        <f>SUM(C76:G76)</f>
        <v>-32888.35727</v>
      </c>
      <c r="I76" s="286"/>
      <c r="J76" s="264"/>
    </row>
    <row r="77" spans="1:14" s="52" customFormat="1" ht="20.100000000000001" customHeight="1">
      <c r="A77" s="285">
        <v>5</v>
      </c>
      <c r="B77" s="3085" t="s">
        <v>422</v>
      </c>
      <c r="C77" s="3095">
        <v>-103607.59681</v>
      </c>
      <c r="D77" s="3095">
        <v>-3682</v>
      </c>
      <c r="E77" s="3095">
        <v>-1344.3832199999999</v>
      </c>
      <c r="F77" s="3095">
        <v>-1970</v>
      </c>
      <c r="G77" s="3095">
        <v>-425317.66269999999</v>
      </c>
      <c r="H77" s="3095">
        <f>SUM(C77:G77)</f>
        <v>-535921.64272999996</v>
      </c>
      <c r="I77" s="264"/>
      <c r="J77" s="264"/>
    </row>
    <row r="78" spans="1:14" s="52" customFormat="1" ht="20.100000000000001" customHeight="1">
      <c r="A78" s="285">
        <v>6</v>
      </c>
      <c r="B78" s="3085" t="s">
        <v>706</v>
      </c>
      <c r="C78" s="3095">
        <f>SUM(C74:C77)</f>
        <v>3246</v>
      </c>
      <c r="D78" s="3095">
        <f>SUM(D74:D77)</f>
        <v>91122</v>
      </c>
      <c r="E78" s="3095">
        <f>SUM(E74:E77)</f>
        <v>60324</v>
      </c>
      <c r="F78" s="3095">
        <f>SUM(F74:F77)</f>
        <v>258</v>
      </c>
      <c r="G78" s="3095">
        <f>SUM(G74:G77)</f>
        <v>252029</v>
      </c>
      <c r="H78" s="3095">
        <f>SUM(C78:G78)</f>
        <v>406979</v>
      </c>
      <c r="I78" s="264"/>
      <c r="J78" s="264"/>
    </row>
    <row r="79" spans="1:14" s="52" customFormat="1" ht="20.100000000000001" customHeight="1">
      <c r="A79" s="285">
        <v>7</v>
      </c>
      <c r="B79" s="3085" t="s">
        <v>424</v>
      </c>
      <c r="C79" s="3095">
        <v>752</v>
      </c>
      <c r="D79" s="3095">
        <v>1519</v>
      </c>
      <c r="E79" s="3095">
        <v>-26791</v>
      </c>
      <c r="F79" s="3095">
        <v>-376</v>
      </c>
      <c r="G79" s="3095">
        <v>-27032</v>
      </c>
      <c r="H79" s="3095">
        <f t="shared" ref="H79:H85" si="10">SUM(C79:G79)</f>
        <v>-51928</v>
      </c>
      <c r="I79" s="264"/>
      <c r="J79" s="264"/>
    </row>
    <row r="80" spans="1:14" s="52" customFormat="1" ht="20.100000000000001" customHeight="1">
      <c r="A80" s="285">
        <v>8</v>
      </c>
      <c r="B80" s="3085" t="s">
        <v>707</v>
      </c>
      <c r="C80" s="3095">
        <f>SUM(C78:C79)</f>
        <v>3998</v>
      </c>
      <c r="D80" s="3095">
        <f>SUM(D78:D79)</f>
        <v>92641</v>
      </c>
      <c r="E80" s="3095">
        <f>SUM(E78:E79)</f>
        <v>33533</v>
      </c>
      <c r="F80" s="3095">
        <f>SUM(F78:F79)</f>
        <v>-118</v>
      </c>
      <c r="G80" s="3095">
        <f>SUM(G78:G79)</f>
        <v>224997</v>
      </c>
      <c r="H80" s="3095">
        <f t="shared" si="10"/>
        <v>355051</v>
      </c>
      <c r="I80" s="264"/>
      <c r="J80" s="264"/>
    </row>
    <row r="81" spans="1:10" s="52" customFormat="1" ht="20.100000000000001" customHeight="1">
      <c r="A81" s="285"/>
      <c r="B81" s="3085"/>
      <c r="C81" s="3095"/>
      <c r="D81" s="3095"/>
      <c r="E81" s="3095"/>
      <c r="F81" s="3095"/>
      <c r="G81" s="3095"/>
      <c r="H81" s="3095">
        <f t="shared" si="10"/>
        <v>0</v>
      </c>
      <c r="I81" s="264"/>
      <c r="J81" s="264"/>
    </row>
    <row r="82" spans="1:10" s="52" customFormat="1" ht="20.100000000000001" customHeight="1">
      <c r="A82" s="285"/>
      <c r="B82" s="3083" t="s">
        <v>426</v>
      </c>
      <c r="C82" s="3095"/>
      <c r="D82" s="3095"/>
      <c r="E82" s="3095"/>
      <c r="F82" s="3095"/>
      <c r="G82" s="3095"/>
      <c r="H82" s="3095">
        <f t="shared" si="10"/>
        <v>0</v>
      </c>
      <c r="I82" s="264"/>
      <c r="J82" s="264"/>
    </row>
    <row r="83" spans="1:10" s="52" customFormat="1" ht="20.100000000000001" customHeight="1">
      <c r="A83" s="285">
        <v>9</v>
      </c>
      <c r="B83" s="3085" t="s">
        <v>427</v>
      </c>
      <c r="C83" s="3095">
        <v>3081</v>
      </c>
      <c r="D83" s="3095">
        <v>-13478</v>
      </c>
      <c r="E83" s="3095">
        <v>-49762</v>
      </c>
      <c r="F83" s="3095">
        <v>-1008</v>
      </c>
      <c r="G83" s="3095">
        <v>-65088</v>
      </c>
      <c r="H83" s="3095">
        <f t="shared" si="10"/>
        <v>-126255</v>
      </c>
      <c r="I83" s="264"/>
      <c r="J83" s="264"/>
    </row>
    <row r="84" spans="1:10" s="52" customFormat="1" ht="20.100000000000001" customHeight="1">
      <c r="A84" s="285">
        <v>10</v>
      </c>
      <c r="B84" s="3085" t="s">
        <v>428</v>
      </c>
      <c r="C84" s="3095">
        <v>17983</v>
      </c>
      <c r="D84" s="3095">
        <v>-4928</v>
      </c>
      <c r="E84" s="3095">
        <v>-6140</v>
      </c>
      <c r="F84" s="3095">
        <v>-141</v>
      </c>
      <c r="G84" s="3095">
        <v>22204</v>
      </c>
      <c r="H84" s="3095">
        <f t="shared" si="10"/>
        <v>28978</v>
      </c>
      <c r="I84" s="264"/>
      <c r="J84" s="264"/>
    </row>
    <row r="85" spans="1:10" s="52" customFormat="1" ht="20.100000000000001" customHeight="1">
      <c r="A85" s="285">
        <v>11</v>
      </c>
      <c r="B85" s="3085" t="s">
        <v>429</v>
      </c>
      <c r="C85" s="3095">
        <v>0</v>
      </c>
      <c r="D85" s="3095">
        <v>0</v>
      </c>
      <c r="E85" s="3095">
        <v>0</v>
      </c>
      <c r="F85" s="3095">
        <v>0</v>
      </c>
      <c r="G85" s="3095">
        <v>0</v>
      </c>
      <c r="H85" s="3095">
        <f t="shared" si="10"/>
        <v>0</v>
      </c>
      <c r="I85" s="264"/>
      <c r="J85" s="264"/>
    </row>
    <row r="86" spans="1:10" s="52" customFormat="1" ht="20.100000000000001" customHeight="1">
      <c r="A86" s="287">
        <v>12</v>
      </c>
      <c r="B86" s="3087" t="s">
        <v>430</v>
      </c>
      <c r="C86" s="3096">
        <f>SUM(C80:C85)</f>
        <v>25062</v>
      </c>
      <c r="D86" s="3096">
        <f>SUM(D80:D85)</f>
        <v>74235</v>
      </c>
      <c r="E86" s="3096">
        <f>SUM(E80:E85)</f>
        <v>-22369</v>
      </c>
      <c r="F86" s="3096">
        <f>SUM(F80:F85)</f>
        <v>-1267</v>
      </c>
      <c r="G86" s="3096">
        <f>SUM(G80:G85)</f>
        <v>182113</v>
      </c>
      <c r="H86" s="3095">
        <f>SUM(C86:G86)</f>
        <v>257774</v>
      </c>
      <c r="I86" s="288"/>
      <c r="J86" s="264"/>
    </row>
    <row r="87" spans="1:10" s="52" customFormat="1" ht="20.100000000000001" customHeight="1">
      <c r="A87" s="285"/>
      <c r="B87" s="3088"/>
      <c r="C87" s="3095"/>
      <c r="D87" s="3095"/>
      <c r="E87" s="3095"/>
      <c r="F87" s="3095"/>
      <c r="G87" s="3095"/>
      <c r="H87" s="3095">
        <f t="shared" ref="H87:H94" si="11">SUM(C87:G87)</f>
        <v>0</v>
      </c>
      <c r="I87" s="264"/>
      <c r="J87" s="264"/>
    </row>
    <row r="88" spans="1:10" s="52" customFormat="1" ht="20.100000000000001" customHeight="1">
      <c r="A88" s="285"/>
      <c r="B88" s="3089" t="s">
        <v>431</v>
      </c>
      <c r="C88" s="3095"/>
      <c r="D88" s="3095"/>
      <c r="E88" s="3095"/>
      <c r="F88" s="3095"/>
      <c r="G88" s="3095"/>
      <c r="H88" s="3095">
        <f t="shared" si="11"/>
        <v>0</v>
      </c>
      <c r="I88" s="264"/>
      <c r="J88" s="264"/>
    </row>
    <row r="89" spans="1:10" s="52" customFormat="1" ht="20.100000000000001" customHeight="1">
      <c r="A89" s="285">
        <v>13</v>
      </c>
      <c r="B89" s="3085" t="s">
        <v>432</v>
      </c>
      <c r="C89" s="3095">
        <v>0</v>
      </c>
      <c r="D89" s="3095">
        <v>954.24000000000012</v>
      </c>
      <c r="E89" s="3095">
        <v>1090.56</v>
      </c>
      <c r="F89" s="3095">
        <v>0</v>
      </c>
      <c r="G89" s="3095">
        <v>1363.2</v>
      </c>
      <c r="H89" s="3095">
        <f t="shared" si="11"/>
        <v>3408</v>
      </c>
      <c r="I89" s="264"/>
      <c r="J89" s="264"/>
    </row>
    <row r="90" spans="1:10" s="52" customFormat="1" ht="20.100000000000001" customHeight="1">
      <c r="A90" s="285">
        <v>14</v>
      </c>
      <c r="B90" s="3083" t="s">
        <v>433</v>
      </c>
      <c r="C90" s="3095">
        <v>4836.6563386141879</v>
      </c>
      <c r="D90" s="3095">
        <v>3482.6629363520187</v>
      </c>
      <c r="E90" s="3095">
        <v>2304.7423100690826</v>
      </c>
      <c r="F90" s="3095">
        <v>81.846472956756017</v>
      </c>
      <c r="G90" s="3095">
        <v>25140.091942007955</v>
      </c>
      <c r="H90" s="3095">
        <f t="shared" si="11"/>
        <v>35846</v>
      </c>
      <c r="I90" s="264"/>
      <c r="J90" s="264"/>
    </row>
    <row r="91" spans="1:10" s="52" customFormat="1" ht="20.100000000000001" customHeight="1">
      <c r="A91" s="285">
        <v>15</v>
      </c>
      <c r="B91" s="3085" t="s">
        <v>434</v>
      </c>
      <c r="C91" s="3095">
        <v>391.15847585902281</v>
      </c>
      <c r="D91" s="3095">
        <v>281.65596865715844</v>
      </c>
      <c r="E91" s="3095">
        <v>186.3931249481189</v>
      </c>
      <c r="F91" s="3095">
        <v>6.6192301819348236</v>
      </c>
      <c r="G91" s="3095">
        <v>2033.173200353765</v>
      </c>
      <c r="H91" s="3095">
        <f t="shared" si="11"/>
        <v>2899</v>
      </c>
      <c r="I91" s="264"/>
      <c r="J91" s="264"/>
    </row>
    <row r="92" spans="1:10" s="52" customFormat="1" ht="20.100000000000001" customHeight="1">
      <c r="A92" s="285"/>
      <c r="B92" s="3083" t="s">
        <v>435</v>
      </c>
      <c r="C92" s="3095"/>
      <c r="D92" s="3095"/>
      <c r="E92" s="3095"/>
      <c r="F92" s="3095"/>
      <c r="G92" s="3095"/>
      <c r="H92" s="3095">
        <f t="shared" si="11"/>
        <v>0</v>
      </c>
      <c r="I92" s="264"/>
      <c r="J92" s="264"/>
    </row>
    <row r="93" spans="1:10" s="52" customFormat="1" ht="30" customHeight="1">
      <c r="A93" s="285">
        <v>16</v>
      </c>
      <c r="B93" s="3091" t="s">
        <v>436</v>
      </c>
      <c r="C93" s="3095">
        <v>-37850.620601380011</v>
      </c>
      <c r="D93" s="3095">
        <v>-27254.562709766149</v>
      </c>
      <c r="E93" s="3095">
        <v>-18036.412069617509</v>
      </c>
      <c r="F93" s="3095">
        <v>-640.51269690476124</v>
      </c>
      <c r="G93" s="3095">
        <v>-196740.89192233156</v>
      </c>
      <c r="H93" s="3095">
        <f t="shared" si="11"/>
        <v>-280523</v>
      </c>
      <c r="I93" s="264"/>
      <c r="J93" s="264"/>
    </row>
    <row r="94" spans="1:10" s="52" customFormat="1" ht="20.100000000000001" customHeight="1">
      <c r="A94" s="285">
        <v>17</v>
      </c>
      <c r="B94" s="3085" t="s">
        <v>437</v>
      </c>
      <c r="C94" s="3095">
        <v>-231.94253880705767</v>
      </c>
      <c r="D94" s="3095">
        <v>-167.0115936949484</v>
      </c>
      <c r="E94" s="3095">
        <v>-110.52424345837061</v>
      </c>
      <c r="F94" s="3095">
        <v>-3.9249591868733917</v>
      </c>
      <c r="G94" s="3095">
        <v>-1205.5966648527499</v>
      </c>
      <c r="H94" s="3095">
        <f t="shared" si="11"/>
        <v>-1719</v>
      </c>
      <c r="I94" s="264"/>
      <c r="J94" s="264"/>
    </row>
    <row r="95" spans="1:10" s="52" customFormat="1" ht="20.100000000000001" customHeight="1">
      <c r="A95" s="285">
        <v>18</v>
      </c>
      <c r="B95" s="3083" t="s">
        <v>438</v>
      </c>
      <c r="C95" s="3095">
        <f t="shared" ref="C95:H95" si="12">SUM(C86:C94)</f>
        <v>-7792.748325713861</v>
      </c>
      <c r="D95" s="3095">
        <f t="shared" si="12"/>
        <v>51531.98460154808</v>
      </c>
      <c r="E95" s="3095">
        <f t="shared" si="12"/>
        <v>-36934.240878058677</v>
      </c>
      <c r="F95" s="3095">
        <f t="shared" si="12"/>
        <v>-1822.9719529529436</v>
      </c>
      <c r="G95" s="3095">
        <f t="shared" si="12"/>
        <v>12702.976555177422</v>
      </c>
      <c r="H95" s="3095">
        <f t="shared" si="12"/>
        <v>17685</v>
      </c>
      <c r="I95" s="264"/>
      <c r="J95" s="264"/>
    </row>
    <row r="96" spans="1:10" s="52" customFormat="1" ht="20.100000000000001" customHeight="1">
      <c r="A96" s="285">
        <v>19</v>
      </c>
      <c r="B96" s="3085" t="s">
        <v>439</v>
      </c>
      <c r="C96" s="3095"/>
      <c r="D96" s="3095"/>
      <c r="E96" s="3095"/>
      <c r="F96" s="3095"/>
      <c r="G96" s="3095"/>
      <c r="H96" s="3095">
        <f>SUM(C96:G96)</f>
        <v>0</v>
      </c>
      <c r="I96" s="264"/>
      <c r="J96" s="264"/>
    </row>
    <row r="97" spans="1:14" s="52" customFormat="1" ht="20.100000000000001" customHeight="1">
      <c r="A97" s="285">
        <v>20</v>
      </c>
      <c r="B97" s="3093" t="s">
        <v>440</v>
      </c>
      <c r="C97" s="3095">
        <f>SUM(C95:C96)</f>
        <v>-7792.748325713861</v>
      </c>
      <c r="D97" s="3095">
        <f>SUM(D95:D96)</f>
        <v>51531.98460154808</v>
      </c>
      <c r="E97" s="3095">
        <f>SUM(E95:E96)</f>
        <v>-36934.240878058677</v>
      </c>
      <c r="F97" s="3095">
        <f>SUM(F95:F96)</f>
        <v>-1822.9719529529436</v>
      </c>
      <c r="G97" s="3095">
        <f>SUM(G95:G96)</f>
        <v>12702.976555177422</v>
      </c>
      <c r="H97" s="3095">
        <f>SUM(C97:G97)</f>
        <v>17685.000000000022</v>
      </c>
      <c r="I97" s="264"/>
      <c r="J97" s="264"/>
    </row>
    <row r="98" spans="1:14" s="52" customFormat="1" ht="20.100000000000001" customHeight="1">
      <c r="A98" s="285">
        <v>21</v>
      </c>
      <c r="B98" s="3093" t="s">
        <v>441</v>
      </c>
      <c r="C98" s="3095">
        <v>2715.1714417768594</v>
      </c>
      <c r="D98" s="3095">
        <v>1955.0752181055536</v>
      </c>
      <c r="E98" s="3095">
        <v>1293.8216120493262</v>
      </c>
      <c r="F98" s="3095">
        <v>45.946453587814581</v>
      </c>
      <c r="G98" s="3095">
        <v>14112.985274480447</v>
      </c>
      <c r="H98" s="3095">
        <f>SUM(C98:G98)</f>
        <v>20123</v>
      </c>
      <c r="I98" s="264"/>
      <c r="J98" s="264"/>
    </row>
    <row r="99" spans="1:14" s="52" customFormat="1" ht="20.100000000000001" customHeight="1">
      <c r="A99" s="285">
        <v>22</v>
      </c>
      <c r="B99" s="3093" t="s">
        <v>442</v>
      </c>
      <c r="C99" s="3095">
        <f t="shared" ref="C99:H99" si="13">SUM(C97:C98)</f>
        <v>-5077.5768839370012</v>
      </c>
      <c r="D99" s="3095">
        <f t="shared" si="13"/>
        <v>53487.05981965363</v>
      </c>
      <c r="E99" s="3095">
        <f t="shared" si="13"/>
        <v>-35640.419266009354</v>
      </c>
      <c r="F99" s="3095">
        <f t="shared" si="13"/>
        <v>-1777.025499365129</v>
      </c>
      <c r="G99" s="3095">
        <f t="shared" si="13"/>
        <v>26815.96182965787</v>
      </c>
      <c r="H99" s="3095">
        <f t="shared" si="13"/>
        <v>37808.000000000022</v>
      </c>
      <c r="I99" s="284"/>
      <c r="J99" s="264"/>
    </row>
    <row r="100" spans="1:14" s="52" customFormat="1" ht="17.45" customHeight="1">
      <c r="A100" s="285"/>
      <c r="B100" s="290"/>
      <c r="C100" s="289"/>
      <c r="D100" s="289"/>
      <c r="E100" s="289"/>
      <c r="F100" s="289"/>
      <c r="G100" s="289"/>
      <c r="H100" s="289"/>
      <c r="I100" s="284"/>
      <c r="J100" s="264"/>
    </row>
    <row r="101" spans="1:14" s="52" customFormat="1" ht="17.45" customHeight="1">
      <c r="A101" s="285"/>
      <c r="B101" s="290"/>
      <c r="C101" s="289"/>
      <c r="D101" s="289"/>
      <c r="E101" s="289"/>
      <c r="F101" s="289"/>
      <c r="G101" s="289"/>
      <c r="H101" s="289"/>
      <c r="I101" s="284"/>
      <c r="J101" s="264"/>
    </row>
    <row r="102" spans="1:14" s="54" customFormat="1" ht="17.45" customHeight="1">
      <c r="A102" s="3847">
        <v>3</v>
      </c>
      <c r="B102" s="3846" t="s">
        <v>92</v>
      </c>
      <c r="C102" s="3842">
        <v>2012</v>
      </c>
      <c r="D102" s="3842"/>
      <c r="E102" s="3842"/>
      <c r="F102" s="3842"/>
      <c r="G102" s="3842"/>
      <c r="H102" s="3842"/>
      <c r="I102" s="109"/>
      <c r="J102" s="109"/>
    </row>
    <row r="103" spans="1:14" s="54" customFormat="1" ht="17.45" customHeight="1">
      <c r="A103" s="3847"/>
      <c r="B103" s="3846"/>
      <c r="C103" s="2917" t="s">
        <v>412</v>
      </c>
      <c r="D103" s="2917" t="s">
        <v>413</v>
      </c>
      <c r="E103" s="2917" t="s">
        <v>414</v>
      </c>
      <c r="F103" s="2917" t="s">
        <v>701</v>
      </c>
      <c r="G103" s="2917" t="s">
        <v>702</v>
      </c>
      <c r="H103" s="3099" t="s">
        <v>118</v>
      </c>
      <c r="I103" s="3617"/>
      <c r="J103" s="109"/>
    </row>
    <row r="104" spans="1:14" s="54" customFormat="1" ht="17.45" customHeight="1">
      <c r="A104" s="3847"/>
      <c r="B104" s="3846"/>
      <c r="C104" s="3082" t="s">
        <v>140</v>
      </c>
      <c r="D104" s="3082" t="s">
        <v>140</v>
      </c>
      <c r="E104" s="3082" t="s">
        <v>140</v>
      </c>
      <c r="F104" s="3082" t="s">
        <v>140</v>
      </c>
      <c r="G104" s="3082" t="s">
        <v>140</v>
      </c>
      <c r="H104" s="3082" t="s">
        <v>140</v>
      </c>
      <c r="I104" s="3617"/>
      <c r="J104" s="109"/>
    </row>
    <row r="105" spans="1:14" s="52" customFormat="1" ht="17.45" customHeight="1">
      <c r="A105" s="285">
        <v>1</v>
      </c>
      <c r="B105" s="3083" t="s">
        <v>211</v>
      </c>
      <c r="C105" s="3843"/>
      <c r="D105" s="3843"/>
      <c r="E105" s="3843"/>
      <c r="F105" s="3843"/>
      <c r="G105" s="3843"/>
      <c r="H105" s="2016">
        <f>+H113+H122+H123+H124</f>
        <v>442799</v>
      </c>
      <c r="I105" s="264"/>
      <c r="J105" s="278"/>
      <c r="K105" s="274"/>
      <c r="L105" s="274"/>
      <c r="M105" s="274"/>
      <c r="N105" s="274"/>
    </row>
    <row r="106" spans="1:14" s="52" customFormat="1" ht="6" customHeight="1">
      <c r="A106" s="285"/>
      <c r="B106" s="3083"/>
      <c r="C106" s="2107"/>
      <c r="D106" s="2107"/>
      <c r="E106" s="2107"/>
      <c r="F106" s="2107"/>
      <c r="G106" s="2107"/>
      <c r="H106" s="2107"/>
      <c r="I106" s="264"/>
      <c r="J106" s="278"/>
      <c r="K106" s="274"/>
      <c r="L106" s="274"/>
      <c r="M106" s="274"/>
      <c r="N106" s="274"/>
    </row>
    <row r="107" spans="1:14" s="52" customFormat="1" ht="20.100000000000001" customHeight="1">
      <c r="A107" s="285">
        <v>2</v>
      </c>
      <c r="B107" s="3085" t="s">
        <v>333</v>
      </c>
      <c r="C107" s="3095">
        <v>768188</v>
      </c>
      <c r="D107" s="3095">
        <v>31860</v>
      </c>
      <c r="E107" s="3095">
        <v>132429</v>
      </c>
      <c r="F107" s="3095">
        <v>12903</v>
      </c>
      <c r="G107" s="3095">
        <v>555920</v>
      </c>
      <c r="H107" s="3095">
        <f t="shared" ref="H107:H113" si="14">SUM(C107:G107)</f>
        <v>1501300</v>
      </c>
      <c r="I107" s="286"/>
      <c r="J107" s="264"/>
    </row>
    <row r="108" spans="1:14" s="52" customFormat="1" ht="20.100000000000001" customHeight="1">
      <c r="A108" s="285">
        <v>3</v>
      </c>
      <c r="B108" s="3085" t="s">
        <v>420</v>
      </c>
      <c r="C108" s="3095">
        <v>-9781</v>
      </c>
      <c r="D108" s="3095"/>
      <c r="E108" s="3095"/>
      <c r="F108" s="3095"/>
      <c r="G108" s="3095">
        <v>-1056</v>
      </c>
      <c r="H108" s="3095">
        <f t="shared" si="14"/>
        <v>-10837</v>
      </c>
      <c r="I108" s="286"/>
      <c r="J108" s="264"/>
    </row>
    <row r="109" spans="1:14" s="52" customFormat="1" ht="20.100000000000001" customHeight="1">
      <c r="A109" s="285">
        <v>4</v>
      </c>
      <c r="B109" s="3085" t="s">
        <v>421</v>
      </c>
      <c r="C109" s="3095">
        <v>-100437</v>
      </c>
      <c r="D109" s="3095">
        <v>-296</v>
      </c>
      <c r="E109" s="3095"/>
      <c r="F109" s="3095">
        <v>-3583</v>
      </c>
      <c r="G109" s="3095">
        <v>-6741</v>
      </c>
      <c r="H109" s="3095">
        <f t="shared" si="14"/>
        <v>-111057</v>
      </c>
      <c r="I109" s="286"/>
      <c r="J109" s="264"/>
    </row>
    <row r="110" spans="1:14" s="52" customFormat="1" ht="20.100000000000001" customHeight="1">
      <c r="A110" s="285">
        <v>5</v>
      </c>
      <c r="B110" s="3085" t="s">
        <v>422</v>
      </c>
      <c r="C110" s="3095">
        <v>-588818</v>
      </c>
      <c r="D110" s="3095">
        <v>-21947</v>
      </c>
      <c r="E110" s="3095">
        <v>-4641</v>
      </c>
      <c r="F110" s="3095"/>
      <c r="G110" s="3095">
        <v>-343619</v>
      </c>
      <c r="H110" s="3095">
        <f t="shared" si="14"/>
        <v>-959025</v>
      </c>
      <c r="I110" s="264"/>
      <c r="J110" s="264"/>
    </row>
    <row r="111" spans="1:14" s="52" customFormat="1" ht="20.100000000000001" customHeight="1">
      <c r="A111" s="285">
        <v>6</v>
      </c>
      <c r="B111" s="3085" t="s">
        <v>706</v>
      </c>
      <c r="C111" s="3095">
        <f>SUM(C107:C110)</f>
        <v>69152</v>
      </c>
      <c r="D111" s="3095">
        <f>SUM(D107:D110)</f>
        <v>9617</v>
      </c>
      <c r="E111" s="3095">
        <f>SUM(E107:E110)</f>
        <v>127788</v>
      </c>
      <c r="F111" s="3095">
        <f>SUM(F107:F110)</f>
        <v>9320</v>
      </c>
      <c r="G111" s="3095">
        <f>SUM(G107:G110)</f>
        <v>204504</v>
      </c>
      <c r="H111" s="3095">
        <f t="shared" si="14"/>
        <v>420381</v>
      </c>
      <c r="I111" s="264"/>
      <c r="J111" s="264"/>
    </row>
    <row r="112" spans="1:14" s="52" customFormat="1" ht="20.100000000000001" customHeight="1">
      <c r="A112" s="285">
        <v>7</v>
      </c>
      <c r="B112" s="3085" t="s">
        <v>424</v>
      </c>
      <c r="C112" s="3095">
        <v>2439</v>
      </c>
      <c r="D112" s="3095">
        <v>-380</v>
      </c>
      <c r="E112" s="3095">
        <v>-26856</v>
      </c>
      <c r="F112" s="3095">
        <v>-1697</v>
      </c>
      <c r="G112" s="3095">
        <v>-57140</v>
      </c>
      <c r="H112" s="3095">
        <f t="shared" si="14"/>
        <v>-83634</v>
      </c>
      <c r="I112" s="264"/>
      <c r="J112" s="264"/>
    </row>
    <row r="113" spans="1:10" s="52" customFormat="1" ht="20.100000000000001" customHeight="1">
      <c r="A113" s="285">
        <v>8</v>
      </c>
      <c r="B113" s="3085" t="s">
        <v>707</v>
      </c>
      <c r="C113" s="3095">
        <f>SUM(C111:C112)</f>
        <v>71591</v>
      </c>
      <c r="D113" s="3095">
        <f>SUM(D111:D112)</f>
        <v>9237</v>
      </c>
      <c r="E113" s="3095">
        <f>SUM(E111:E112)</f>
        <v>100932</v>
      </c>
      <c r="F113" s="3095">
        <f>SUM(F111:F112)</f>
        <v>7623</v>
      </c>
      <c r="G113" s="3095">
        <f>SUM(G111:G112)</f>
        <v>147364</v>
      </c>
      <c r="H113" s="3095">
        <f t="shared" si="14"/>
        <v>336747</v>
      </c>
      <c r="I113" s="264"/>
      <c r="J113" s="264"/>
    </row>
    <row r="114" spans="1:10" s="52" customFormat="1" ht="20.100000000000001" customHeight="1">
      <c r="A114" s="285"/>
      <c r="B114" s="3085"/>
      <c r="C114" s="3095"/>
      <c r="D114" s="3095"/>
      <c r="E114" s="3095"/>
      <c r="F114" s="3095"/>
      <c r="G114" s="3095"/>
      <c r="H114" s="3095">
        <f>SUM(C114:G114)</f>
        <v>0</v>
      </c>
      <c r="I114" s="264"/>
      <c r="J114" s="264"/>
    </row>
    <row r="115" spans="1:10" s="52" customFormat="1" ht="20.100000000000001" customHeight="1">
      <c r="A115" s="285"/>
      <c r="B115" s="3083" t="s">
        <v>426</v>
      </c>
      <c r="C115" s="3095"/>
      <c r="D115" s="3095"/>
      <c r="E115" s="3095"/>
      <c r="F115" s="3095"/>
      <c r="G115" s="3095"/>
      <c r="H115" s="3095">
        <f>SUM(C115:G115)</f>
        <v>0</v>
      </c>
      <c r="I115" s="264"/>
      <c r="J115" s="264"/>
    </row>
    <row r="116" spans="1:10" s="52" customFormat="1" ht="20.100000000000001" customHeight="1">
      <c r="A116" s="285">
        <v>9</v>
      </c>
      <c r="B116" s="3085" t="s">
        <v>427</v>
      </c>
      <c r="C116" s="3095">
        <v>-353</v>
      </c>
      <c r="D116" s="3095">
        <v>1892</v>
      </c>
      <c r="E116" s="3095">
        <v>-77391</v>
      </c>
      <c r="F116" s="3095">
        <v>-3733</v>
      </c>
      <c r="G116" s="3095">
        <v>-59582</v>
      </c>
      <c r="H116" s="3095">
        <f>SUM(C116:G116)</f>
        <v>-139167</v>
      </c>
      <c r="I116" s="264"/>
      <c r="J116" s="264"/>
    </row>
    <row r="117" spans="1:10" s="52" customFormat="1" ht="20.100000000000001" customHeight="1">
      <c r="A117" s="285">
        <v>10</v>
      </c>
      <c r="B117" s="3085" t="s">
        <v>428</v>
      </c>
      <c r="C117" s="3095">
        <v>148582</v>
      </c>
      <c r="D117" s="3095">
        <v>5210</v>
      </c>
      <c r="E117" s="3095">
        <v>-10090</v>
      </c>
      <c r="F117" s="3095">
        <v>140</v>
      </c>
      <c r="G117" s="3095">
        <v>7767</v>
      </c>
      <c r="H117" s="3095">
        <f>SUM(C117:G117)</f>
        <v>151609</v>
      </c>
      <c r="I117" s="264"/>
      <c r="J117" s="264"/>
    </row>
    <row r="118" spans="1:10" s="52" customFormat="1" ht="20.100000000000001" customHeight="1">
      <c r="A118" s="285">
        <v>11</v>
      </c>
      <c r="B118" s="3085" t="s">
        <v>429</v>
      </c>
      <c r="C118" s="3095"/>
      <c r="D118" s="3095"/>
      <c r="E118" s="3095"/>
      <c r="F118" s="3095"/>
      <c r="G118" s="3095"/>
      <c r="H118" s="3095">
        <f>SUM(C118:G118)</f>
        <v>0</v>
      </c>
      <c r="I118" s="264"/>
      <c r="J118" s="264"/>
    </row>
    <row r="119" spans="1:10" s="52" customFormat="1" ht="20.100000000000001" customHeight="1">
      <c r="A119" s="287">
        <v>12</v>
      </c>
      <c r="B119" s="3087" t="s">
        <v>430</v>
      </c>
      <c r="C119" s="3096">
        <f t="shared" ref="C119:H119" si="15">SUM(C113:C118)</f>
        <v>219820</v>
      </c>
      <c r="D119" s="3096">
        <f t="shared" si="15"/>
        <v>16339</v>
      </c>
      <c r="E119" s="3096">
        <f t="shared" si="15"/>
        <v>13451</v>
      </c>
      <c r="F119" s="3096">
        <f t="shared" si="15"/>
        <v>4030</v>
      </c>
      <c r="G119" s="3096">
        <f t="shared" si="15"/>
        <v>95549</v>
      </c>
      <c r="H119" s="3096">
        <f t="shared" si="15"/>
        <v>349189</v>
      </c>
      <c r="I119" s="288"/>
      <c r="J119" s="264"/>
    </row>
    <row r="120" spans="1:10" s="52" customFormat="1" ht="20.100000000000001" customHeight="1">
      <c r="A120" s="285"/>
      <c r="B120" s="3088"/>
      <c r="C120" s="3095"/>
      <c r="D120" s="3095"/>
      <c r="E120" s="3095"/>
      <c r="F120" s="3095"/>
      <c r="G120" s="3095"/>
      <c r="H120" s="3095">
        <f t="shared" ref="H120:H127" si="16">SUM(C120:G120)</f>
        <v>0</v>
      </c>
      <c r="I120" s="264"/>
      <c r="J120" s="264"/>
    </row>
    <row r="121" spans="1:10" s="52" customFormat="1" ht="20.100000000000001" customHeight="1">
      <c r="A121" s="285"/>
      <c r="B121" s="3089" t="s">
        <v>431</v>
      </c>
      <c r="C121" s="3095"/>
      <c r="D121" s="3095"/>
      <c r="E121" s="3095"/>
      <c r="F121" s="3095"/>
      <c r="G121" s="3095"/>
      <c r="H121" s="3095">
        <f t="shared" si="16"/>
        <v>0</v>
      </c>
      <c r="I121" s="264"/>
      <c r="J121" s="264"/>
    </row>
    <row r="122" spans="1:10" s="52" customFormat="1" ht="20.100000000000001" customHeight="1">
      <c r="A122" s="285">
        <v>13</v>
      </c>
      <c r="B122" s="3085" t="s">
        <v>432</v>
      </c>
      <c r="C122" s="3095"/>
      <c r="D122" s="3095"/>
      <c r="E122" s="3095"/>
      <c r="F122" s="3095"/>
      <c r="G122" s="3095"/>
      <c r="H122" s="3095">
        <f t="shared" si="16"/>
        <v>0</v>
      </c>
      <c r="I122" s="264"/>
      <c r="J122" s="264"/>
    </row>
    <row r="123" spans="1:10" s="52" customFormat="1" ht="20.100000000000001" customHeight="1">
      <c r="A123" s="285">
        <v>14</v>
      </c>
      <c r="B123" s="3083" t="s">
        <v>433</v>
      </c>
      <c r="C123" s="3095">
        <v>64299</v>
      </c>
      <c r="D123" s="3095">
        <v>4127</v>
      </c>
      <c r="E123" s="3095">
        <v>10583</v>
      </c>
      <c r="F123" s="3095">
        <v>578</v>
      </c>
      <c r="G123" s="3095">
        <v>26181</v>
      </c>
      <c r="H123" s="3095">
        <f t="shared" si="16"/>
        <v>105768</v>
      </c>
      <c r="I123" s="264"/>
      <c r="J123" s="264"/>
    </row>
    <row r="124" spans="1:10" s="52" customFormat="1" ht="20.100000000000001" customHeight="1">
      <c r="A124" s="285">
        <v>15</v>
      </c>
      <c r="B124" s="3085" t="s">
        <v>434</v>
      </c>
      <c r="C124" s="3095">
        <v>4199</v>
      </c>
      <c r="D124" s="3095">
        <v>504</v>
      </c>
      <c r="E124" s="3095">
        <v>-108</v>
      </c>
      <c r="F124" s="3095">
        <v>-68</v>
      </c>
      <c r="G124" s="3095">
        <v>-4243</v>
      </c>
      <c r="H124" s="3095">
        <f t="shared" si="16"/>
        <v>284</v>
      </c>
      <c r="I124" s="264"/>
      <c r="J124" s="264"/>
    </row>
    <row r="125" spans="1:10" s="52" customFormat="1" ht="20.100000000000001" customHeight="1">
      <c r="A125" s="285"/>
      <c r="B125" s="3083" t="s">
        <v>435</v>
      </c>
      <c r="C125" s="3095"/>
      <c r="D125" s="3095"/>
      <c r="E125" s="3095"/>
      <c r="F125" s="3095"/>
      <c r="G125" s="3095"/>
      <c r="H125" s="3095">
        <f t="shared" si="16"/>
        <v>0</v>
      </c>
      <c r="I125" s="264"/>
      <c r="J125" s="264"/>
    </row>
    <row r="126" spans="1:10" s="52" customFormat="1" ht="25.5" customHeight="1">
      <c r="A126" s="285">
        <v>16</v>
      </c>
      <c r="B126" s="3091" t="s">
        <v>436</v>
      </c>
      <c r="C126" s="3095"/>
      <c r="D126" s="3095"/>
      <c r="E126" s="3095"/>
      <c r="F126" s="3095"/>
      <c r="G126" s="3095"/>
      <c r="H126" s="3095">
        <f t="shared" si="16"/>
        <v>0</v>
      </c>
      <c r="I126" s="264"/>
      <c r="J126" s="264"/>
    </row>
    <row r="127" spans="1:10" s="52" customFormat="1" ht="20.100000000000001" customHeight="1">
      <c r="A127" s="285">
        <v>17</v>
      </c>
      <c r="B127" s="3085" t="s">
        <v>437</v>
      </c>
      <c r="C127" s="3095">
        <v>-100469</v>
      </c>
      <c r="D127" s="3095">
        <v>-6771</v>
      </c>
      <c r="E127" s="3095">
        <v>-19590</v>
      </c>
      <c r="F127" s="3095">
        <v>-952</v>
      </c>
      <c r="G127" s="3095">
        <v>-41007</v>
      </c>
      <c r="H127" s="3095">
        <f t="shared" si="16"/>
        <v>-168789</v>
      </c>
      <c r="I127" s="264"/>
      <c r="J127" s="264"/>
    </row>
    <row r="128" spans="1:10" s="52" customFormat="1" ht="20.100000000000001" customHeight="1">
      <c r="A128" s="285">
        <v>18</v>
      </c>
      <c r="B128" s="3083" t="s">
        <v>438</v>
      </c>
      <c r="C128" s="3095">
        <f t="shared" ref="C128:H128" si="17">SUM(C119:C127)</f>
        <v>187849</v>
      </c>
      <c r="D128" s="3095">
        <f t="shared" si="17"/>
        <v>14199</v>
      </c>
      <c r="E128" s="3095">
        <f t="shared" si="17"/>
        <v>4336</v>
      </c>
      <c r="F128" s="3095">
        <f t="shared" si="17"/>
        <v>3588</v>
      </c>
      <c r="G128" s="3095">
        <f t="shared" si="17"/>
        <v>76480</v>
      </c>
      <c r="H128" s="3095">
        <f t="shared" si="17"/>
        <v>286452</v>
      </c>
      <c r="I128" s="264"/>
      <c r="J128" s="264"/>
    </row>
    <row r="129" spans="1:14" s="52" customFormat="1" ht="20.100000000000001" customHeight="1">
      <c r="A129" s="285">
        <v>19</v>
      </c>
      <c r="B129" s="3085" t="s">
        <v>439</v>
      </c>
      <c r="C129" s="3095"/>
      <c r="D129" s="3095"/>
      <c r="E129" s="3095"/>
      <c r="F129" s="3095"/>
      <c r="G129" s="3095"/>
      <c r="H129" s="3095">
        <f>SUM(C129:G129)</f>
        <v>0</v>
      </c>
      <c r="I129" s="264"/>
      <c r="J129" s="264"/>
    </row>
    <row r="130" spans="1:14" s="52" customFormat="1" ht="20.100000000000001" customHeight="1">
      <c r="A130" s="285">
        <v>20</v>
      </c>
      <c r="B130" s="3093" t="s">
        <v>440</v>
      </c>
      <c r="C130" s="3095">
        <f t="shared" ref="C130:H130" si="18">SUM(C128:C129)</f>
        <v>187849</v>
      </c>
      <c r="D130" s="3095">
        <f t="shared" si="18"/>
        <v>14199</v>
      </c>
      <c r="E130" s="3095">
        <f t="shared" si="18"/>
        <v>4336</v>
      </c>
      <c r="F130" s="3095">
        <f t="shared" si="18"/>
        <v>3588</v>
      </c>
      <c r="G130" s="3095">
        <f t="shared" si="18"/>
        <v>76480</v>
      </c>
      <c r="H130" s="3095">
        <f t="shared" si="18"/>
        <v>286452</v>
      </c>
      <c r="I130" s="264"/>
      <c r="J130" s="264"/>
    </row>
    <row r="131" spans="1:14" s="52" customFormat="1" ht="20.100000000000001" customHeight="1">
      <c r="A131" s="285">
        <v>21</v>
      </c>
      <c r="B131" s="3093" t="s">
        <v>441</v>
      </c>
      <c r="C131" s="3095"/>
      <c r="D131" s="3095"/>
      <c r="E131" s="3095"/>
      <c r="F131" s="3095"/>
      <c r="G131" s="3095"/>
      <c r="H131" s="3095">
        <f>+'[9]Sheet 2 - General Insurance'!$H$141</f>
        <v>-46594</v>
      </c>
      <c r="I131" s="264"/>
      <c r="J131" s="264"/>
    </row>
    <row r="132" spans="1:14" s="52" customFormat="1" ht="20.100000000000001" customHeight="1">
      <c r="A132" s="285">
        <v>22</v>
      </c>
      <c r="B132" s="3093" t="s">
        <v>442</v>
      </c>
      <c r="C132" s="3095">
        <f t="shared" ref="C132:H132" si="19">SUM(C130:C131)</f>
        <v>187849</v>
      </c>
      <c r="D132" s="3095">
        <f t="shared" si="19"/>
        <v>14199</v>
      </c>
      <c r="E132" s="3095">
        <f t="shared" si="19"/>
        <v>4336</v>
      </c>
      <c r="F132" s="3095">
        <f t="shared" si="19"/>
        <v>3588</v>
      </c>
      <c r="G132" s="3095">
        <f t="shared" si="19"/>
        <v>76480</v>
      </c>
      <c r="H132" s="3095">
        <f t="shared" si="19"/>
        <v>239858</v>
      </c>
      <c r="I132" s="284"/>
      <c r="J132" s="264"/>
    </row>
    <row r="133" spans="1:14" s="52" customFormat="1" ht="17.45" customHeight="1">
      <c r="A133" s="285"/>
      <c r="B133" s="290"/>
      <c r="C133" s="289"/>
      <c r="D133" s="289"/>
      <c r="E133" s="289"/>
      <c r="F133" s="289"/>
      <c r="G133" s="289"/>
      <c r="H133" s="289"/>
      <c r="I133" s="284"/>
      <c r="J133" s="264"/>
    </row>
    <row r="134" spans="1:14" s="52" customFormat="1" ht="17.45" customHeight="1">
      <c r="A134" s="285"/>
      <c r="B134" s="290"/>
      <c r="C134" s="289"/>
      <c r="D134" s="289"/>
      <c r="E134" s="289"/>
      <c r="F134" s="289"/>
      <c r="G134" s="289"/>
      <c r="H134" s="289"/>
      <c r="I134" s="284"/>
      <c r="J134" s="264"/>
    </row>
    <row r="135" spans="1:14" s="54" customFormat="1" ht="17.45" customHeight="1">
      <c r="A135" s="3847">
        <v>4</v>
      </c>
      <c r="B135" s="3844" t="s">
        <v>126</v>
      </c>
      <c r="C135" s="3842">
        <v>2012</v>
      </c>
      <c r="D135" s="3842"/>
      <c r="E135" s="3842"/>
      <c r="F135" s="3842"/>
      <c r="G135" s="3842"/>
      <c r="H135" s="3842"/>
      <c r="I135" s="109"/>
      <c r="J135" s="109"/>
    </row>
    <row r="136" spans="1:14" s="54" customFormat="1" ht="17.45" customHeight="1">
      <c r="A136" s="3847"/>
      <c r="B136" s="3844"/>
      <c r="C136" s="2917" t="s">
        <v>412</v>
      </c>
      <c r="D136" s="2917" t="s">
        <v>413</v>
      </c>
      <c r="E136" s="2917" t="s">
        <v>414</v>
      </c>
      <c r="F136" s="2917" t="s">
        <v>701</v>
      </c>
      <c r="G136" s="2917" t="s">
        <v>702</v>
      </c>
      <c r="H136" s="2917" t="s">
        <v>118</v>
      </c>
      <c r="I136" s="3617"/>
      <c r="J136" s="109"/>
    </row>
    <row r="137" spans="1:14" s="54" customFormat="1" ht="17.45" customHeight="1">
      <c r="A137" s="3847"/>
      <c r="B137" s="3844"/>
      <c r="C137" s="3082" t="s">
        <v>140</v>
      </c>
      <c r="D137" s="3082" t="s">
        <v>140</v>
      </c>
      <c r="E137" s="3082" t="s">
        <v>140</v>
      </c>
      <c r="F137" s="3082" t="s">
        <v>140</v>
      </c>
      <c r="G137" s="3082" t="s">
        <v>140</v>
      </c>
      <c r="H137" s="3082" t="s">
        <v>140</v>
      </c>
      <c r="I137" s="3617"/>
      <c r="J137" s="109"/>
    </row>
    <row r="138" spans="1:14" s="52" customFormat="1" ht="17.45" customHeight="1">
      <c r="A138" s="285">
        <v>1</v>
      </c>
      <c r="B138" s="3083" t="s">
        <v>211</v>
      </c>
      <c r="C138" s="3843"/>
      <c r="D138" s="3843"/>
      <c r="E138" s="3843"/>
      <c r="F138" s="3843"/>
      <c r="G138" s="3843"/>
      <c r="H138" s="2016">
        <f>+H146+H155+H156+H157</f>
        <v>882378.74999999988</v>
      </c>
      <c r="I138" s="264"/>
      <c r="J138" s="278"/>
      <c r="K138" s="274"/>
      <c r="L138" s="274"/>
      <c r="M138" s="274"/>
      <c r="N138" s="274"/>
    </row>
    <row r="139" spans="1:14" s="52" customFormat="1" ht="5.25" customHeight="1">
      <c r="A139" s="285"/>
      <c r="B139" s="3083"/>
      <c r="C139" s="2107"/>
      <c r="D139" s="2107"/>
      <c r="E139" s="2107"/>
      <c r="F139" s="2107"/>
      <c r="G139" s="2107"/>
      <c r="H139" s="2107"/>
      <c r="I139" s="264"/>
      <c r="J139" s="278"/>
      <c r="K139" s="274"/>
      <c r="L139" s="274"/>
      <c r="M139" s="274"/>
      <c r="N139" s="274"/>
    </row>
    <row r="140" spans="1:14" s="52" customFormat="1" ht="20.100000000000001" customHeight="1">
      <c r="A140" s="285">
        <v>2</v>
      </c>
      <c r="B140" s="3085" t="s">
        <v>333</v>
      </c>
      <c r="C140" s="3095">
        <v>72011.714999999997</v>
      </c>
      <c r="D140" s="3095">
        <v>34120.257999999994</v>
      </c>
      <c r="E140" s="3095">
        <v>710557.69499999995</v>
      </c>
      <c r="F140" s="3095">
        <v>5233.7700000000004</v>
      </c>
      <c r="G140" s="3095">
        <v>143377.01200000002</v>
      </c>
      <c r="H140" s="3095">
        <f t="shared" ref="H140:H146" si="20">SUM(C140:G140)</f>
        <v>965300.45</v>
      </c>
      <c r="I140" s="286"/>
      <c r="J140" s="264"/>
    </row>
    <row r="141" spans="1:14" s="52" customFormat="1" ht="20.100000000000001" customHeight="1">
      <c r="A141" s="285">
        <v>3</v>
      </c>
      <c r="B141" s="3085" t="s">
        <v>420</v>
      </c>
      <c r="C141" s="3095">
        <v>-404.3</v>
      </c>
      <c r="D141" s="3095">
        <v>-94.7</v>
      </c>
      <c r="E141" s="3095">
        <v>-456.6</v>
      </c>
      <c r="F141" s="3095">
        <v>0</v>
      </c>
      <c r="G141" s="3095">
        <v>-1867.1000000000001</v>
      </c>
      <c r="H141" s="3095">
        <f t="shared" si="20"/>
        <v>-2822.7000000000003</v>
      </c>
      <c r="I141" s="286"/>
      <c r="J141" s="264"/>
    </row>
    <row r="142" spans="1:14" s="52" customFormat="1" ht="20.100000000000001" customHeight="1">
      <c r="A142" s="285">
        <v>4</v>
      </c>
      <c r="B142" s="3085" t="s">
        <v>421</v>
      </c>
      <c r="C142" s="3095">
        <v>-23488</v>
      </c>
      <c r="D142" s="3095">
        <v>-4.8</v>
      </c>
      <c r="E142" s="3095">
        <v>-16885</v>
      </c>
      <c r="F142" s="3095">
        <v>-813.4</v>
      </c>
      <c r="G142" s="3095">
        <v>-4532.3</v>
      </c>
      <c r="H142" s="3095">
        <f t="shared" si="20"/>
        <v>-45723.500000000007</v>
      </c>
      <c r="I142" s="286"/>
      <c r="J142" s="264"/>
    </row>
    <row r="143" spans="1:14" s="52" customFormat="1" ht="20.100000000000001" customHeight="1">
      <c r="A143" s="285">
        <v>5</v>
      </c>
      <c r="B143" s="3085" t="s">
        <v>422</v>
      </c>
      <c r="C143" s="3095">
        <v>-39208.227999999996</v>
      </c>
      <c r="D143" s="3095">
        <v>-19183.787</v>
      </c>
      <c r="E143" s="3095">
        <v>-0.77700000000186265</v>
      </c>
      <c r="F143" s="3095">
        <v>-80</v>
      </c>
      <c r="G143" s="3095">
        <v>-20779.353999999999</v>
      </c>
      <c r="H143" s="3095">
        <f t="shared" si="20"/>
        <v>-79252.146000000008</v>
      </c>
      <c r="I143" s="264"/>
      <c r="J143" s="264"/>
    </row>
    <row r="144" spans="1:14" s="52" customFormat="1" ht="20.100000000000001" customHeight="1">
      <c r="A144" s="285">
        <v>6</v>
      </c>
      <c r="B144" s="3085" t="s">
        <v>706</v>
      </c>
      <c r="C144" s="3095">
        <f>SUM(C140:C143)</f>
        <v>8911.1869999999981</v>
      </c>
      <c r="D144" s="3095">
        <f>SUM(D140:D143)</f>
        <v>14836.970999999994</v>
      </c>
      <c r="E144" s="3095">
        <f>SUM(E140:E143)</f>
        <v>693215.31799999997</v>
      </c>
      <c r="F144" s="3095">
        <f>SUM(F140:F143)</f>
        <v>4340.3700000000008</v>
      </c>
      <c r="G144" s="3095">
        <f>SUM(G140:G143)</f>
        <v>116198.25800000003</v>
      </c>
      <c r="H144" s="3095">
        <f t="shared" si="20"/>
        <v>837502.10399999993</v>
      </c>
      <c r="I144" s="264"/>
      <c r="J144" s="264"/>
    </row>
    <row r="145" spans="1:10" s="52" customFormat="1" ht="20.100000000000001" customHeight="1">
      <c r="A145" s="285">
        <v>7</v>
      </c>
      <c r="B145" s="3085" t="s">
        <v>424</v>
      </c>
      <c r="C145" s="3095">
        <v>324.80200000000002</v>
      </c>
      <c r="D145" s="3095">
        <v>901.12400000000002</v>
      </c>
      <c r="E145" s="3095">
        <v>-83802.634999999995</v>
      </c>
      <c r="F145" s="3095">
        <v>-163</v>
      </c>
      <c r="G145" s="3095">
        <v>24234.255000000001</v>
      </c>
      <c r="H145" s="3095">
        <f t="shared" si="20"/>
        <v>-58505.453999999983</v>
      </c>
      <c r="I145" s="264"/>
      <c r="J145" s="264"/>
    </row>
    <row r="146" spans="1:10" s="52" customFormat="1" ht="20.100000000000001" customHeight="1">
      <c r="A146" s="285">
        <v>8</v>
      </c>
      <c r="B146" s="3085" t="s">
        <v>707</v>
      </c>
      <c r="C146" s="3095">
        <f>SUM(C144:C145)</f>
        <v>9235.9889999999978</v>
      </c>
      <c r="D146" s="3095">
        <f>SUM(D144:D145)</f>
        <v>15738.094999999994</v>
      </c>
      <c r="E146" s="3095">
        <f>SUM(E144:E145)</f>
        <v>609412.68299999996</v>
      </c>
      <c r="F146" s="3095">
        <f>SUM(F144:F145)</f>
        <v>4177.3700000000008</v>
      </c>
      <c r="G146" s="3095">
        <f>SUM(G144:G145)</f>
        <v>140432.51300000004</v>
      </c>
      <c r="H146" s="3095">
        <f t="shared" si="20"/>
        <v>778996.65</v>
      </c>
      <c r="I146" s="264"/>
      <c r="J146" s="264"/>
    </row>
    <row r="147" spans="1:10" s="52" customFormat="1" ht="20.100000000000001" customHeight="1">
      <c r="A147" s="285"/>
      <c r="B147" s="3085"/>
      <c r="C147" s="3095"/>
      <c r="D147" s="3095"/>
      <c r="E147" s="3095"/>
      <c r="F147" s="3095"/>
      <c r="G147" s="3095"/>
      <c r="H147" s="3095">
        <f>SUM(C147:G147)</f>
        <v>0</v>
      </c>
      <c r="I147" s="264"/>
      <c r="J147" s="264"/>
    </row>
    <row r="148" spans="1:10" s="52" customFormat="1" ht="20.100000000000001" customHeight="1">
      <c r="A148" s="285"/>
      <c r="B148" s="3083" t="s">
        <v>426</v>
      </c>
      <c r="C148" s="3095"/>
      <c r="D148" s="3095"/>
      <c r="E148" s="3095"/>
      <c r="F148" s="3095"/>
      <c r="G148" s="3095"/>
      <c r="H148" s="3095">
        <f>SUM(C148:G148)</f>
        <v>0</v>
      </c>
      <c r="I148" s="264"/>
      <c r="J148" s="264"/>
    </row>
    <row r="149" spans="1:10" s="52" customFormat="1" ht="20.100000000000001" customHeight="1">
      <c r="A149" s="285">
        <v>9</v>
      </c>
      <c r="B149" s="3085" t="s">
        <v>427</v>
      </c>
      <c r="C149" s="3095">
        <v>-52</v>
      </c>
      <c r="D149" s="3095">
        <v>-5020.4650000000001</v>
      </c>
      <c r="E149" s="3095">
        <v>-387075.54</v>
      </c>
      <c r="F149" s="3095">
        <v>-1440.2</v>
      </c>
      <c r="G149" s="3095">
        <v>-110186.31700000001</v>
      </c>
      <c r="H149" s="3095">
        <f>SUM(C149:G149)</f>
        <v>-503774.522</v>
      </c>
      <c r="I149" s="264"/>
      <c r="J149" s="264"/>
    </row>
    <row r="150" spans="1:10" s="52" customFormat="1" ht="20.100000000000001" customHeight="1">
      <c r="A150" s="285">
        <v>10</v>
      </c>
      <c r="B150" s="3085" t="s">
        <v>428</v>
      </c>
      <c r="C150" s="3095">
        <v>11253</v>
      </c>
      <c r="D150" s="3095">
        <v>3885.8999999999996</v>
      </c>
      <c r="E150" s="3095">
        <v>-51271</v>
      </c>
      <c r="F150" s="3095">
        <v>-216</v>
      </c>
      <c r="G150" s="3095">
        <v>-2719</v>
      </c>
      <c r="H150" s="3095">
        <f>SUM(C150:G150)</f>
        <v>-39067.1</v>
      </c>
      <c r="I150" s="264"/>
      <c r="J150" s="264"/>
    </row>
    <row r="151" spans="1:10" s="52" customFormat="1" ht="20.100000000000001" customHeight="1">
      <c r="A151" s="285">
        <v>11</v>
      </c>
      <c r="B151" s="3085" t="s">
        <v>429</v>
      </c>
      <c r="C151" s="3095"/>
      <c r="D151" s="3095"/>
      <c r="E151" s="3095"/>
      <c r="F151" s="3095"/>
      <c r="G151" s="3095"/>
      <c r="H151" s="3095">
        <f>SUM(C151:G151)</f>
        <v>0</v>
      </c>
      <c r="I151" s="264"/>
      <c r="J151" s="264"/>
    </row>
    <row r="152" spans="1:10" s="52" customFormat="1" ht="20.100000000000001" customHeight="1">
      <c r="A152" s="287">
        <v>12</v>
      </c>
      <c r="B152" s="3087" t="s">
        <v>430</v>
      </c>
      <c r="C152" s="3096">
        <f t="shared" ref="C152:H152" si="21">SUM(C146:C151)</f>
        <v>20436.988999999998</v>
      </c>
      <c r="D152" s="3096">
        <f t="shared" si="21"/>
        <v>14603.529999999993</v>
      </c>
      <c r="E152" s="3096">
        <f t="shared" si="21"/>
        <v>171066.14299999998</v>
      </c>
      <c r="F152" s="3096">
        <f t="shared" si="21"/>
        <v>2521.170000000001</v>
      </c>
      <c r="G152" s="3096">
        <f t="shared" si="21"/>
        <v>27527.196000000025</v>
      </c>
      <c r="H152" s="3096">
        <f t="shared" si="21"/>
        <v>236155.02800000002</v>
      </c>
      <c r="I152" s="288"/>
      <c r="J152" s="264"/>
    </row>
    <row r="153" spans="1:10" s="52" customFormat="1" ht="20.100000000000001" customHeight="1">
      <c r="A153" s="285"/>
      <c r="B153" s="3088"/>
      <c r="C153" s="3095"/>
      <c r="D153" s="3095"/>
      <c r="E153" s="3095"/>
      <c r="F153" s="3095"/>
      <c r="G153" s="3095"/>
      <c r="H153" s="3095">
        <f>SUM(C153:G153)</f>
        <v>0</v>
      </c>
      <c r="I153" s="264"/>
      <c r="J153" s="264"/>
    </row>
    <row r="154" spans="1:10" s="52" customFormat="1" ht="20.100000000000001" customHeight="1">
      <c r="A154" s="285"/>
      <c r="B154" s="3089" t="s">
        <v>431</v>
      </c>
      <c r="C154" s="3095"/>
      <c r="D154" s="3095"/>
      <c r="E154" s="3095"/>
      <c r="F154" s="3095"/>
      <c r="G154" s="3095"/>
      <c r="H154" s="3095">
        <f>SUM(C154:G154)</f>
        <v>0</v>
      </c>
      <c r="I154" s="264"/>
      <c r="J154" s="264"/>
    </row>
    <row r="155" spans="1:10" s="52" customFormat="1" ht="20.100000000000001" customHeight="1">
      <c r="A155" s="285">
        <v>13</v>
      </c>
      <c r="B155" s="3085" t="s">
        <v>432</v>
      </c>
      <c r="C155" s="3095"/>
      <c r="D155" s="3095"/>
      <c r="E155" s="3095"/>
      <c r="F155" s="3095"/>
      <c r="G155" s="3095"/>
      <c r="H155" s="3095">
        <v>70251.459999999992</v>
      </c>
      <c r="I155" s="264"/>
      <c r="J155" s="264"/>
    </row>
    <row r="156" spans="1:10" s="52" customFormat="1" ht="20.100000000000001" customHeight="1">
      <c r="A156" s="285">
        <v>14</v>
      </c>
      <c r="B156" s="3083" t="s">
        <v>433</v>
      </c>
      <c r="C156" s="3095"/>
      <c r="D156" s="3095"/>
      <c r="E156" s="3095"/>
      <c r="F156" s="3095"/>
      <c r="G156" s="3095"/>
      <c r="H156" s="3095">
        <v>24682.94</v>
      </c>
      <c r="I156" s="264"/>
      <c r="J156" s="264"/>
    </row>
    <row r="157" spans="1:10" s="52" customFormat="1" ht="20.100000000000001" customHeight="1">
      <c r="A157" s="285">
        <v>15</v>
      </c>
      <c r="B157" s="3085" t="s">
        <v>434</v>
      </c>
      <c r="C157" s="3095"/>
      <c r="D157" s="3095"/>
      <c r="E157" s="3095"/>
      <c r="F157" s="3095"/>
      <c r="G157" s="3095"/>
      <c r="H157" s="3095">
        <v>8447.7000000000007</v>
      </c>
      <c r="I157" s="264"/>
      <c r="J157" s="264"/>
    </row>
    <row r="158" spans="1:10" s="52" customFormat="1" ht="20.100000000000001" customHeight="1">
      <c r="A158" s="285"/>
      <c r="B158" s="3083" t="s">
        <v>435</v>
      </c>
      <c r="C158" s="3095"/>
      <c r="D158" s="3095"/>
      <c r="E158" s="3095"/>
      <c r="F158" s="3095"/>
      <c r="G158" s="3095"/>
      <c r="H158" s="3095">
        <f>SUM(C158:G158)</f>
        <v>0</v>
      </c>
      <c r="I158" s="264"/>
      <c r="J158" s="264"/>
    </row>
    <row r="159" spans="1:10" s="52" customFormat="1" ht="30.75" customHeight="1">
      <c r="A159" s="285">
        <v>16</v>
      </c>
      <c r="B159" s="3091" t="s">
        <v>436</v>
      </c>
      <c r="C159" s="3095"/>
      <c r="D159" s="3095"/>
      <c r="E159" s="3095"/>
      <c r="F159" s="3095"/>
      <c r="G159" s="3095"/>
      <c r="H159" s="3095">
        <v>-426666.89999999997</v>
      </c>
      <c r="I159" s="264"/>
      <c r="J159" s="264"/>
    </row>
    <row r="160" spans="1:10" s="52" customFormat="1" ht="20.100000000000001" customHeight="1">
      <c r="A160" s="285">
        <v>17</v>
      </c>
      <c r="B160" s="3085" t="s">
        <v>437</v>
      </c>
      <c r="C160" s="3095"/>
      <c r="D160" s="3095"/>
      <c r="E160" s="3095"/>
      <c r="F160" s="3095"/>
      <c r="G160" s="3095"/>
      <c r="H160" s="3095">
        <v>-6630.7000000000007</v>
      </c>
      <c r="I160" s="264"/>
      <c r="J160" s="264"/>
    </row>
    <row r="161" spans="1:14" s="52" customFormat="1" ht="20.100000000000001" customHeight="1">
      <c r="A161" s="285">
        <v>18</v>
      </c>
      <c r="B161" s="3083" t="s">
        <v>438</v>
      </c>
      <c r="C161" s="3095">
        <f t="shared" ref="C161:H161" si="22">SUM(C152:C160)</f>
        <v>20436.988999999998</v>
      </c>
      <c r="D161" s="3095">
        <f t="shared" si="22"/>
        <v>14603.529999999993</v>
      </c>
      <c r="E161" s="3095">
        <f t="shared" si="22"/>
        <v>171066.14299999998</v>
      </c>
      <c r="F161" s="3095">
        <f t="shared" si="22"/>
        <v>2521.170000000001</v>
      </c>
      <c r="G161" s="3095">
        <f t="shared" si="22"/>
        <v>27527.196000000025</v>
      </c>
      <c r="H161" s="3095">
        <f t="shared" si="22"/>
        <v>-93760.471999999936</v>
      </c>
      <c r="I161" s="264"/>
      <c r="J161" s="264"/>
    </row>
    <row r="162" spans="1:14" s="52" customFormat="1" ht="20.100000000000001" customHeight="1">
      <c r="A162" s="285">
        <v>19</v>
      </c>
      <c r="B162" s="3085" t="s">
        <v>439</v>
      </c>
      <c r="C162" s="3095"/>
      <c r="D162" s="3095"/>
      <c r="E162" s="3095"/>
      <c r="F162" s="3095"/>
      <c r="G162" s="3095"/>
      <c r="H162" s="3095">
        <f>+'[10]Sheet 2 - General Insurance'!$H$139</f>
        <v>-15604.4</v>
      </c>
      <c r="I162" s="264"/>
      <c r="J162" s="264"/>
    </row>
    <row r="163" spans="1:14" s="52" customFormat="1" ht="20.100000000000001" customHeight="1">
      <c r="A163" s="285">
        <v>20</v>
      </c>
      <c r="B163" s="3093" t="s">
        <v>440</v>
      </c>
      <c r="C163" s="3095">
        <f t="shared" ref="C163:H163" si="23">SUM(C161:C162)</f>
        <v>20436.988999999998</v>
      </c>
      <c r="D163" s="3095">
        <f t="shared" si="23"/>
        <v>14603.529999999993</v>
      </c>
      <c r="E163" s="3095">
        <f t="shared" si="23"/>
        <v>171066.14299999998</v>
      </c>
      <c r="F163" s="3095">
        <f t="shared" si="23"/>
        <v>2521.170000000001</v>
      </c>
      <c r="G163" s="3095">
        <f t="shared" si="23"/>
        <v>27527.196000000025</v>
      </c>
      <c r="H163" s="3095">
        <f t="shared" si="23"/>
        <v>-109364.87199999993</v>
      </c>
      <c r="I163" s="264"/>
      <c r="J163" s="264"/>
    </row>
    <row r="164" spans="1:14" s="52" customFormat="1" ht="20.100000000000001" customHeight="1">
      <c r="A164" s="285">
        <v>21</v>
      </c>
      <c r="B164" s="3093" t="s">
        <v>441</v>
      </c>
      <c r="C164" s="3095"/>
      <c r="D164" s="3095"/>
      <c r="E164" s="3095"/>
      <c r="F164" s="3095"/>
      <c r="G164" s="3095"/>
      <c r="H164" s="3095">
        <f>SUM(C164:G164)</f>
        <v>0</v>
      </c>
      <c r="I164" s="264"/>
      <c r="J164" s="264"/>
    </row>
    <row r="165" spans="1:14" s="52" customFormat="1" ht="20.100000000000001" customHeight="1">
      <c r="A165" s="285">
        <v>22</v>
      </c>
      <c r="B165" s="3093" t="s">
        <v>442</v>
      </c>
      <c r="C165" s="3095">
        <f t="shared" ref="C165:H165" si="24">SUM(C163:C164)</f>
        <v>20436.988999999998</v>
      </c>
      <c r="D165" s="3095">
        <f t="shared" si="24"/>
        <v>14603.529999999993</v>
      </c>
      <c r="E165" s="3095">
        <f t="shared" si="24"/>
        <v>171066.14299999998</v>
      </c>
      <c r="F165" s="3095">
        <f t="shared" si="24"/>
        <v>2521.170000000001</v>
      </c>
      <c r="G165" s="3095">
        <f t="shared" si="24"/>
        <v>27527.196000000025</v>
      </c>
      <c r="H165" s="3095">
        <f t="shared" si="24"/>
        <v>-109364.87199999993</v>
      </c>
      <c r="I165" s="284"/>
      <c r="J165" s="264"/>
    </row>
    <row r="166" spans="1:14" s="292" customFormat="1" ht="24.95" customHeight="1">
      <c r="A166" s="285"/>
      <c r="I166" s="293"/>
      <c r="J166" s="293"/>
    </row>
    <row r="168" spans="1:14" s="54" customFormat="1" ht="17.45" customHeight="1">
      <c r="A168" s="3847">
        <v>5</v>
      </c>
      <c r="B168" s="3846" t="s">
        <v>124</v>
      </c>
      <c r="C168" s="3842">
        <v>2012</v>
      </c>
      <c r="D168" s="3842"/>
      <c r="E168" s="3842"/>
      <c r="F168" s="3842"/>
      <c r="G168" s="3842"/>
      <c r="H168" s="3842"/>
      <c r="I168" s="109"/>
      <c r="J168" s="109"/>
    </row>
    <row r="169" spans="1:14" s="54" customFormat="1" ht="17.45" customHeight="1">
      <c r="A169" s="3847"/>
      <c r="B169" s="3846"/>
      <c r="C169" s="2917" t="s">
        <v>412</v>
      </c>
      <c r="D169" s="2917" t="s">
        <v>413</v>
      </c>
      <c r="E169" s="2917" t="s">
        <v>414</v>
      </c>
      <c r="F169" s="2917" t="s">
        <v>701</v>
      </c>
      <c r="G169" s="2917" t="s">
        <v>702</v>
      </c>
      <c r="H169" s="3099" t="s">
        <v>118</v>
      </c>
      <c r="I169" s="3617"/>
      <c r="J169" s="109"/>
    </row>
    <row r="170" spans="1:14" s="54" customFormat="1" ht="17.45" customHeight="1">
      <c r="A170" s="3847"/>
      <c r="B170" s="3846"/>
      <c r="C170" s="3082" t="s">
        <v>140</v>
      </c>
      <c r="D170" s="3082" t="s">
        <v>140</v>
      </c>
      <c r="E170" s="3082" t="s">
        <v>140</v>
      </c>
      <c r="F170" s="3082" t="s">
        <v>140</v>
      </c>
      <c r="G170" s="3082" t="s">
        <v>140</v>
      </c>
      <c r="H170" s="3082" t="s">
        <v>140</v>
      </c>
      <c r="I170" s="3617"/>
      <c r="J170" s="109"/>
    </row>
    <row r="171" spans="1:14" s="52" customFormat="1" ht="17.45" customHeight="1">
      <c r="A171" s="285">
        <v>1</v>
      </c>
      <c r="B171" s="3083" t="s">
        <v>211</v>
      </c>
      <c r="C171" s="3843"/>
      <c r="D171" s="3843"/>
      <c r="E171" s="3843"/>
      <c r="F171" s="3843"/>
      <c r="G171" s="3843"/>
      <c r="H171" s="2016">
        <f>+H179+H188+H189+H190</f>
        <v>151944.65289000008</v>
      </c>
      <c r="I171" s="264"/>
      <c r="J171" s="278"/>
      <c r="K171" s="274"/>
      <c r="L171" s="274"/>
      <c r="M171" s="274"/>
      <c r="N171" s="274"/>
    </row>
    <row r="172" spans="1:14" s="52" customFormat="1" ht="6" customHeight="1">
      <c r="A172" s="285"/>
      <c r="B172" s="3083"/>
      <c r="C172" s="2107"/>
      <c r="D172" s="2107"/>
      <c r="E172" s="2107"/>
      <c r="F172" s="2107"/>
      <c r="G172" s="2107"/>
      <c r="H172" s="2107"/>
      <c r="I172" s="264"/>
      <c r="J172" s="278"/>
      <c r="K172" s="274"/>
      <c r="L172" s="274"/>
      <c r="M172" s="274"/>
      <c r="N172" s="274"/>
    </row>
    <row r="173" spans="1:14" s="52" customFormat="1" ht="20.100000000000001" customHeight="1">
      <c r="A173" s="285">
        <v>2</v>
      </c>
      <c r="B173" s="3085" t="s">
        <v>333</v>
      </c>
      <c r="C173" s="3095">
        <v>94709</v>
      </c>
      <c r="D173" s="3095">
        <v>41011</v>
      </c>
      <c r="E173" s="3095">
        <v>329440</v>
      </c>
      <c r="F173" s="3095">
        <v>6139</v>
      </c>
      <c r="G173" s="3095">
        <v>156864</v>
      </c>
      <c r="H173" s="3095">
        <f>SUM(C173:G173)</f>
        <v>628163</v>
      </c>
      <c r="I173" s="286"/>
      <c r="J173" s="264"/>
    </row>
    <row r="174" spans="1:14" s="52" customFormat="1" ht="20.100000000000001" customHeight="1">
      <c r="A174" s="285">
        <v>3</v>
      </c>
      <c r="B174" s="3085" t="s">
        <v>703</v>
      </c>
      <c r="C174" s="3095">
        <v>-5893.5947500000002</v>
      </c>
      <c r="D174" s="3095">
        <v>-44.42</v>
      </c>
      <c r="E174" s="3095">
        <v>0</v>
      </c>
      <c r="F174" s="3095">
        <v>0</v>
      </c>
      <c r="G174" s="3095">
        <v>-1338.64975</v>
      </c>
      <c r="H174" s="3095">
        <f>SUM(C174:G174)</f>
        <v>-7276.6645000000008</v>
      </c>
      <c r="I174" s="286"/>
      <c r="J174" s="264"/>
    </row>
    <row r="175" spans="1:14" s="52" customFormat="1" ht="20.100000000000001" customHeight="1">
      <c r="A175" s="285">
        <v>4</v>
      </c>
      <c r="B175" s="3085" t="s">
        <v>704</v>
      </c>
      <c r="C175" s="3095">
        <v>-31030.158800000001</v>
      </c>
      <c r="D175" s="3095">
        <v>-317.35131000000001</v>
      </c>
      <c r="E175" s="3095">
        <v>0</v>
      </c>
      <c r="F175" s="3095">
        <v>0</v>
      </c>
      <c r="G175" s="3095">
        <v>-7281.6151899999995</v>
      </c>
      <c r="H175" s="3095">
        <f>SUM(C175:G175)</f>
        <v>-38629.1253</v>
      </c>
      <c r="I175" s="286"/>
      <c r="J175" s="264"/>
    </row>
    <row r="176" spans="1:14" s="52" customFormat="1" ht="20.100000000000001" customHeight="1">
      <c r="A176" s="285">
        <v>5</v>
      </c>
      <c r="B176" s="3085" t="s">
        <v>705</v>
      </c>
      <c r="C176" s="3095">
        <v>-54506.029209999993</v>
      </c>
      <c r="D176" s="3095">
        <v>-27890.197440000004</v>
      </c>
      <c r="E176" s="3095">
        <v>-17865.76772</v>
      </c>
      <c r="F176" s="3095">
        <v>-1557</v>
      </c>
      <c r="G176" s="3095">
        <v>-19032.56294</v>
      </c>
      <c r="H176" s="3095">
        <f>SUM(C176:G176)</f>
        <v>-120851.55731</v>
      </c>
      <c r="I176" s="264"/>
      <c r="J176" s="264"/>
    </row>
    <row r="177" spans="1:10" s="52" customFormat="1" ht="20.100000000000001" customHeight="1">
      <c r="A177" s="285">
        <v>6</v>
      </c>
      <c r="B177" s="3085" t="s">
        <v>706</v>
      </c>
      <c r="C177" s="3095">
        <f t="shared" ref="C177:H177" si="25">SUM(C173:C176)</f>
        <v>3279.2172399999981</v>
      </c>
      <c r="D177" s="3095">
        <f t="shared" si="25"/>
        <v>12759.03125</v>
      </c>
      <c r="E177" s="3095">
        <f t="shared" si="25"/>
        <v>311574.23228</v>
      </c>
      <c r="F177" s="3095">
        <f t="shared" si="25"/>
        <v>4582</v>
      </c>
      <c r="G177" s="3095">
        <f t="shared" si="25"/>
        <v>129211.17211999997</v>
      </c>
      <c r="H177" s="3095">
        <f t="shared" si="25"/>
        <v>461405.65289000008</v>
      </c>
      <c r="I177" s="264"/>
      <c r="J177" s="264"/>
    </row>
    <row r="178" spans="1:10" s="52" customFormat="1" ht="20.100000000000001" customHeight="1">
      <c r="A178" s="285">
        <v>7</v>
      </c>
      <c r="B178" s="3085" t="s">
        <v>424</v>
      </c>
      <c r="C178" s="3095">
        <v>1297</v>
      </c>
      <c r="D178" s="3095">
        <v>-3537</v>
      </c>
      <c r="E178" s="3095">
        <v>-70905</v>
      </c>
      <c r="F178" s="3095">
        <v>-133</v>
      </c>
      <c r="G178" s="3095">
        <v>-40550</v>
      </c>
      <c r="H178" s="3095">
        <f t="shared" ref="H178:H184" si="26">SUM(C178:G178)</f>
        <v>-113828</v>
      </c>
      <c r="I178" s="264"/>
      <c r="J178" s="264"/>
    </row>
    <row r="179" spans="1:10" s="52" customFormat="1" ht="20.100000000000001" customHeight="1">
      <c r="A179" s="285">
        <v>8</v>
      </c>
      <c r="B179" s="3085" t="s">
        <v>707</v>
      </c>
      <c r="C179" s="3095">
        <f t="shared" ref="C179:H179" si="27">SUM(C177:C178)</f>
        <v>4576.2172399999981</v>
      </c>
      <c r="D179" s="3095">
        <f t="shared" si="27"/>
        <v>9222.03125</v>
      </c>
      <c r="E179" s="3095">
        <f t="shared" si="27"/>
        <v>240669.23228</v>
      </c>
      <c r="F179" s="3095">
        <f t="shared" si="27"/>
        <v>4449</v>
      </c>
      <c r="G179" s="3095">
        <f t="shared" si="27"/>
        <v>88661.172119999974</v>
      </c>
      <c r="H179" s="3095">
        <f t="shared" si="27"/>
        <v>347577.65289000008</v>
      </c>
      <c r="I179" s="264"/>
      <c r="J179" s="264"/>
    </row>
    <row r="180" spans="1:10" s="52" customFormat="1" ht="20.100000000000001" customHeight="1">
      <c r="A180" s="285"/>
      <c r="B180" s="3085"/>
      <c r="C180" s="3095"/>
      <c r="D180" s="3095"/>
      <c r="E180" s="3095"/>
      <c r="F180" s="3095"/>
      <c r="G180" s="3095"/>
      <c r="H180" s="3095">
        <f t="shared" si="26"/>
        <v>0</v>
      </c>
      <c r="I180" s="264"/>
      <c r="J180" s="264"/>
    </row>
    <row r="181" spans="1:10" s="52" customFormat="1" ht="20.100000000000001" customHeight="1">
      <c r="A181" s="285"/>
      <c r="B181" s="3083" t="s">
        <v>426</v>
      </c>
      <c r="C181" s="3095"/>
      <c r="D181" s="3095"/>
      <c r="E181" s="3095"/>
      <c r="F181" s="3095"/>
      <c r="G181" s="3095"/>
      <c r="H181" s="3095">
        <f t="shared" si="26"/>
        <v>0</v>
      </c>
      <c r="I181" s="264"/>
      <c r="J181" s="264"/>
    </row>
    <row r="182" spans="1:10" s="52" customFormat="1" ht="20.100000000000001" customHeight="1">
      <c r="A182" s="285">
        <v>9</v>
      </c>
      <c r="B182" s="3085" t="s">
        <v>427</v>
      </c>
      <c r="C182" s="3095">
        <v>-2709</v>
      </c>
      <c r="D182" s="3095">
        <v>-3646</v>
      </c>
      <c r="E182" s="3095">
        <v>-196072</v>
      </c>
      <c r="F182" s="3095">
        <v>-809</v>
      </c>
      <c r="G182" s="3095">
        <v>-68064</v>
      </c>
      <c r="H182" s="3095">
        <f t="shared" si="26"/>
        <v>-271300</v>
      </c>
      <c r="I182" s="264"/>
      <c r="J182" s="264"/>
    </row>
    <row r="183" spans="1:10" s="52" customFormat="1" ht="20.100000000000001" customHeight="1">
      <c r="A183" s="285">
        <v>10</v>
      </c>
      <c r="B183" s="3085" t="s">
        <v>428</v>
      </c>
      <c r="C183" s="3095">
        <v>8045</v>
      </c>
      <c r="D183" s="3095">
        <v>5564</v>
      </c>
      <c r="E183" s="3095">
        <v>-28250</v>
      </c>
      <c r="F183" s="3095">
        <v>-492</v>
      </c>
      <c r="G183" s="3095">
        <v>-10825</v>
      </c>
      <c r="H183" s="3095">
        <f t="shared" si="26"/>
        <v>-25958</v>
      </c>
      <c r="I183" s="264"/>
      <c r="J183" s="264"/>
    </row>
    <row r="184" spans="1:10" s="52" customFormat="1" ht="20.100000000000001" customHeight="1">
      <c r="A184" s="285">
        <v>11</v>
      </c>
      <c r="B184" s="3085" t="s">
        <v>429</v>
      </c>
      <c r="C184" s="3095"/>
      <c r="D184" s="3095"/>
      <c r="E184" s="3095"/>
      <c r="F184" s="3095"/>
      <c r="G184" s="3095"/>
      <c r="H184" s="3095">
        <f t="shared" si="26"/>
        <v>0</v>
      </c>
      <c r="I184" s="264"/>
      <c r="J184" s="264"/>
    </row>
    <row r="185" spans="1:10" s="52" customFormat="1" ht="20.100000000000001" customHeight="1">
      <c r="A185" s="287">
        <v>12</v>
      </c>
      <c r="B185" s="3087" t="s">
        <v>430</v>
      </c>
      <c r="C185" s="3096">
        <f t="shared" ref="C185:H185" si="28">SUM(C179:C184)</f>
        <v>9912.2172399999981</v>
      </c>
      <c r="D185" s="3096">
        <f t="shared" si="28"/>
        <v>11140.03125</v>
      </c>
      <c r="E185" s="3096">
        <f t="shared" si="28"/>
        <v>16347.232279999997</v>
      </c>
      <c r="F185" s="3096">
        <f t="shared" si="28"/>
        <v>3148</v>
      </c>
      <c r="G185" s="3096">
        <f t="shared" si="28"/>
        <v>9772.1721199999738</v>
      </c>
      <c r="H185" s="3096">
        <f t="shared" si="28"/>
        <v>50319.652890000085</v>
      </c>
      <c r="I185" s="288"/>
      <c r="J185" s="264"/>
    </row>
    <row r="186" spans="1:10" s="52" customFormat="1" ht="20.100000000000001" customHeight="1">
      <c r="A186" s="285"/>
      <c r="B186" s="3088"/>
      <c r="C186" s="3095"/>
      <c r="D186" s="3095"/>
      <c r="E186" s="3095"/>
      <c r="F186" s="3095"/>
      <c r="G186" s="3095"/>
      <c r="H186" s="3095">
        <f t="shared" ref="H186:H193" si="29">SUM(C186:G186)</f>
        <v>0</v>
      </c>
      <c r="I186" s="264"/>
      <c r="J186" s="264"/>
    </row>
    <row r="187" spans="1:10" s="52" customFormat="1" ht="20.100000000000001" customHeight="1">
      <c r="A187" s="285"/>
      <c r="B187" s="3089" t="s">
        <v>431</v>
      </c>
      <c r="C187" s="3095"/>
      <c r="D187" s="3095"/>
      <c r="E187" s="3095"/>
      <c r="F187" s="3095"/>
      <c r="G187" s="3095"/>
      <c r="H187" s="3095">
        <f t="shared" si="29"/>
        <v>0</v>
      </c>
      <c r="I187" s="264"/>
      <c r="J187" s="264"/>
    </row>
    <row r="188" spans="1:10" s="52" customFormat="1" ht="20.100000000000001" customHeight="1">
      <c r="A188" s="285">
        <v>13</v>
      </c>
      <c r="B188" s="3085" t="s">
        <v>432</v>
      </c>
      <c r="C188" s="3095"/>
      <c r="D188" s="3095"/>
      <c r="E188" s="3095"/>
      <c r="F188" s="3095"/>
      <c r="G188" s="3095"/>
      <c r="H188" s="3095">
        <f t="shared" si="29"/>
        <v>0</v>
      </c>
      <c r="I188" s="264"/>
      <c r="J188" s="264"/>
    </row>
    <row r="189" spans="1:10" s="52" customFormat="1" ht="20.100000000000001" customHeight="1">
      <c r="A189" s="285">
        <v>14</v>
      </c>
      <c r="B189" s="3083" t="s">
        <v>433</v>
      </c>
      <c r="C189" s="3095"/>
      <c r="D189" s="3095"/>
      <c r="E189" s="3095"/>
      <c r="F189" s="3095"/>
      <c r="G189" s="3095"/>
      <c r="H189" s="3095">
        <f>+'[11]Sheet 2 - General Insurance'!$H$133</f>
        <v>-195633</v>
      </c>
      <c r="I189" s="264"/>
      <c r="J189" s="264"/>
    </row>
    <row r="190" spans="1:10" s="52" customFormat="1" ht="20.100000000000001" customHeight="1">
      <c r="A190" s="285">
        <v>15</v>
      </c>
      <c r="B190" s="3085" t="s">
        <v>434</v>
      </c>
      <c r="C190" s="3095"/>
      <c r="D190" s="3095"/>
      <c r="E190" s="3095"/>
      <c r="F190" s="3095"/>
      <c r="G190" s="3095"/>
      <c r="H190" s="3095">
        <f t="shared" si="29"/>
        <v>0</v>
      </c>
      <c r="I190" s="264"/>
      <c r="J190" s="264"/>
    </row>
    <row r="191" spans="1:10" s="52" customFormat="1" ht="20.100000000000001" customHeight="1">
      <c r="A191" s="285"/>
      <c r="B191" s="3083" t="s">
        <v>435</v>
      </c>
      <c r="C191" s="3095"/>
      <c r="D191" s="3095"/>
      <c r="E191" s="3095"/>
      <c r="F191" s="3095"/>
      <c r="G191" s="3095"/>
      <c r="H191" s="3095">
        <f t="shared" si="29"/>
        <v>0</v>
      </c>
      <c r="I191" s="264"/>
      <c r="J191" s="264"/>
    </row>
    <row r="192" spans="1:10" s="52" customFormat="1" ht="30" customHeight="1">
      <c r="A192" s="285">
        <v>16</v>
      </c>
      <c r="B192" s="3091" t="s">
        <v>436</v>
      </c>
      <c r="C192" s="3095"/>
      <c r="D192" s="3095"/>
      <c r="E192" s="3095"/>
      <c r="F192" s="3095"/>
      <c r="G192" s="3095"/>
      <c r="H192" s="3095">
        <f>+'[11]Sheet 2 - General Insurance'!$H$137</f>
        <v>-176442</v>
      </c>
      <c r="I192" s="264"/>
      <c r="J192" s="264"/>
    </row>
    <row r="193" spans="1:14" s="52" customFormat="1" ht="20.100000000000001" customHeight="1">
      <c r="A193" s="285">
        <v>17</v>
      </c>
      <c r="B193" s="3085" t="s">
        <v>437</v>
      </c>
      <c r="C193" s="3095"/>
      <c r="D193" s="3095"/>
      <c r="E193" s="3095"/>
      <c r="F193" s="3095"/>
      <c r="G193" s="3095"/>
      <c r="H193" s="3095">
        <f t="shared" si="29"/>
        <v>0</v>
      </c>
      <c r="I193" s="264"/>
      <c r="J193" s="264"/>
    </row>
    <row r="194" spans="1:14" s="52" customFormat="1" ht="20.100000000000001" customHeight="1">
      <c r="A194" s="285">
        <v>18</v>
      </c>
      <c r="B194" s="3083" t="s">
        <v>438</v>
      </c>
      <c r="C194" s="3095">
        <f t="shared" ref="C194:H194" si="30">SUM(C185:C193)</f>
        <v>9912.2172399999981</v>
      </c>
      <c r="D194" s="3095">
        <f t="shared" si="30"/>
        <v>11140.03125</v>
      </c>
      <c r="E194" s="3095">
        <f t="shared" si="30"/>
        <v>16347.232279999997</v>
      </c>
      <c r="F194" s="3095">
        <f t="shared" si="30"/>
        <v>3148</v>
      </c>
      <c r="G194" s="3095">
        <f t="shared" si="30"/>
        <v>9772.1721199999738</v>
      </c>
      <c r="H194" s="3095">
        <f t="shared" si="30"/>
        <v>-321755.34710999992</v>
      </c>
      <c r="I194" s="264"/>
      <c r="J194" s="264"/>
    </row>
    <row r="195" spans="1:14" s="52" customFormat="1" ht="20.100000000000001" customHeight="1">
      <c r="A195" s="285">
        <v>19</v>
      </c>
      <c r="B195" s="3085" t="s">
        <v>439</v>
      </c>
      <c r="C195" s="3095"/>
      <c r="D195" s="3095"/>
      <c r="E195" s="3095"/>
      <c r="F195" s="3095"/>
      <c r="G195" s="3095"/>
      <c r="H195" s="3095">
        <f>+'[11]Sheet 2 - General Insurance'!$H$140</f>
        <v>-2253</v>
      </c>
      <c r="I195" s="264"/>
      <c r="J195" s="264"/>
    </row>
    <row r="196" spans="1:14" s="52" customFormat="1" ht="20.100000000000001" customHeight="1">
      <c r="A196" s="285">
        <v>20</v>
      </c>
      <c r="B196" s="3093" t="s">
        <v>440</v>
      </c>
      <c r="C196" s="3095">
        <f t="shared" ref="C196:H196" si="31">SUM(C194:C195)</f>
        <v>9912.2172399999981</v>
      </c>
      <c r="D196" s="3095">
        <f t="shared" si="31"/>
        <v>11140.03125</v>
      </c>
      <c r="E196" s="3095">
        <f t="shared" si="31"/>
        <v>16347.232279999997</v>
      </c>
      <c r="F196" s="3095">
        <f t="shared" si="31"/>
        <v>3148</v>
      </c>
      <c r="G196" s="3095">
        <f t="shared" si="31"/>
        <v>9772.1721199999738</v>
      </c>
      <c r="H196" s="3095">
        <f t="shared" si="31"/>
        <v>-324008.34710999992</v>
      </c>
      <c r="I196" s="264"/>
      <c r="J196" s="264"/>
    </row>
    <row r="197" spans="1:14" s="52" customFormat="1" ht="20.100000000000001" customHeight="1">
      <c r="A197" s="285">
        <v>21</v>
      </c>
      <c r="B197" s="3093" t="s">
        <v>441</v>
      </c>
      <c r="C197" s="3095"/>
      <c r="D197" s="3095"/>
      <c r="E197" s="3095"/>
      <c r="F197" s="3095"/>
      <c r="G197" s="3095"/>
      <c r="H197" s="3095">
        <f>+'[11]Sheet 2 - General Insurance'!$H$142</f>
        <v>-3721</v>
      </c>
      <c r="I197" s="264"/>
      <c r="J197" s="264"/>
    </row>
    <row r="198" spans="1:14" s="52" customFormat="1" ht="20.100000000000001" customHeight="1">
      <c r="A198" s="285">
        <v>22</v>
      </c>
      <c r="B198" s="3093" t="s">
        <v>442</v>
      </c>
      <c r="C198" s="3095">
        <f t="shared" ref="C198:H198" si="32">SUM(C196:C197)</f>
        <v>9912.2172399999981</v>
      </c>
      <c r="D198" s="3095">
        <f t="shared" si="32"/>
        <v>11140.03125</v>
      </c>
      <c r="E198" s="3095">
        <f t="shared" si="32"/>
        <v>16347.232279999997</v>
      </c>
      <c r="F198" s="3095">
        <f t="shared" si="32"/>
        <v>3148</v>
      </c>
      <c r="G198" s="3095">
        <f t="shared" si="32"/>
        <v>9772.1721199999738</v>
      </c>
      <c r="H198" s="3095">
        <f t="shared" si="32"/>
        <v>-327729.34710999992</v>
      </c>
      <c r="I198" s="284"/>
      <c r="J198" s="264"/>
    </row>
    <row r="199" spans="1:14" s="52" customFormat="1" ht="17.45" customHeight="1">
      <c r="A199" s="285"/>
      <c r="B199" s="290"/>
      <c r="C199" s="289"/>
      <c r="D199" s="289"/>
      <c r="E199" s="289"/>
      <c r="F199" s="289"/>
      <c r="G199" s="289"/>
      <c r="H199" s="289"/>
      <c r="I199" s="284"/>
      <c r="J199" s="264"/>
    </row>
    <row r="201" spans="1:14" s="54" customFormat="1" ht="17.45" customHeight="1">
      <c r="A201" s="3847">
        <v>6</v>
      </c>
      <c r="B201" s="3844" t="s">
        <v>128</v>
      </c>
      <c r="C201" s="3842">
        <v>2012</v>
      </c>
      <c r="D201" s="3842"/>
      <c r="E201" s="3842"/>
      <c r="F201" s="3842"/>
      <c r="G201" s="3842"/>
      <c r="H201" s="3842"/>
      <c r="I201" s="109"/>
      <c r="J201" s="109"/>
    </row>
    <row r="202" spans="1:14" s="54" customFormat="1" ht="17.45" customHeight="1">
      <c r="A202" s="3847"/>
      <c r="B202" s="3844"/>
      <c r="C202" s="2917" t="s">
        <v>412</v>
      </c>
      <c r="D202" s="2917" t="s">
        <v>413</v>
      </c>
      <c r="E202" s="2917" t="s">
        <v>414</v>
      </c>
      <c r="F202" s="2917" t="s">
        <v>701</v>
      </c>
      <c r="G202" s="2917" t="s">
        <v>702</v>
      </c>
      <c r="H202" s="2917" t="s">
        <v>118</v>
      </c>
      <c r="I202" s="3617"/>
      <c r="J202" s="109"/>
    </row>
    <row r="203" spans="1:14" s="54" customFormat="1" ht="17.45" customHeight="1">
      <c r="A203" s="3847"/>
      <c r="B203" s="3844"/>
      <c r="C203" s="3082" t="s">
        <v>140</v>
      </c>
      <c r="D203" s="3082" t="s">
        <v>140</v>
      </c>
      <c r="E203" s="3082" t="s">
        <v>140</v>
      </c>
      <c r="F203" s="3082" t="s">
        <v>140</v>
      </c>
      <c r="G203" s="3082" t="s">
        <v>140</v>
      </c>
      <c r="H203" s="3082" t="s">
        <v>140</v>
      </c>
      <c r="I203" s="3617"/>
      <c r="J203" s="109"/>
    </row>
    <row r="204" spans="1:14" s="52" customFormat="1" ht="17.45" customHeight="1">
      <c r="A204" s="285">
        <v>1</v>
      </c>
      <c r="B204" s="3083" t="s">
        <v>211</v>
      </c>
      <c r="C204" s="3843"/>
      <c r="D204" s="3843"/>
      <c r="E204" s="3843"/>
      <c r="F204" s="3843"/>
      <c r="G204" s="3843"/>
      <c r="H204" s="2016">
        <f>+H212+H221+H222+H223</f>
        <v>8446647</v>
      </c>
      <c r="I204" s="264"/>
      <c r="J204" s="278"/>
      <c r="K204" s="274"/>
      <c r="L204" s="274"/>
      <c r="M204" s="274"/>
      <c r="N204" s="274"/>
    </row>
    <row r="205" spans="1:14" s="52" customFormat="1" ht="6.75" customHeight="1">
      <c r="A205" s="285"/>
      <c r="B205" s="3083"/>
      <c r="C205" s="2107"/>
      <c r="D205" s="2107"/>
      <c r="E205" s="2107"/>
      <c r="F205" s="2107"/>
      <c r="G205" s="2107"/>
      <c r="H205" s="2107"/>
      <c r="I205" s="264"/>
      <c r="J205" s="278"/>
      <c r="K205" s="274"/>
      <c r="L205" s="274"/>
      <c r="M205" s="274"/>
      <c r="N205" s="274"/>
    </row>
    <row r="206" spans="1:14" s="52" customFormat="1" ht="20.100000000000001" customHeight="1">
      <c r="A206" s="285">
        <v>2</v>
      </c>
      <c r="B206" s="3085" t="s">
        <v>333</v>
      </c>
      <c r="C206" s="3095">
        <v>1653541</v>
      </c>
      <c r="D206" s="3095">
        <v>385990</v>
      </c>
      <c r="E206" s="3095">
        <v>6030572</v>
      </c>
      <c r="F206" s="3095">
        <v>83042</v>
      </c>
      <c r="G206" s="3095">
        <v>1888067</v>
      </c>
      <c r="H206" s="3095">
        <f t="shared" ref="H206:H212" si="33">SUM(C206:G206)</f>
        <v>10041212</v>
      </c>
      <c r="I206" s="286"/>
      <c r="J206" s="264"/>
    </row>
    <row r="207" spans="1:14" s="52" customFormat="1" ht="20.100000000000001" customHeight="1">
      <c r="A207" s="285">
        <v>3</v>
      </c>
      <c r="B207" s="3085" t="s">
        <v>420</v>
      </c>
      <c r="C207" s="3095">
        <v>-15485</v>
      </c>
      <c r="D207" s="3095">
        <v>-88</v>
      </c>
      <c r="E207" s="3095">
        <v>-118</v>
      </c>
      <c r="F207" s="3095"/>
      <c r="G207" s="3095">
        <v>-1887</v>
      </c>
      <c r="H207" s="3095">
        <f t="shared" si="33"/>
        <v>-17578</v>
      </c>
      <c r="I207" s="286"/>
      <c r="J207" s="264"/>
    </row>
    <row r="208" spans="1:14" s="52" customFormat="1" ht="20.100000000000001" customHeight="1">
      <c r="A208" s="285">
        <v>4</v>
      </c>
      <c r="B208" s="3085" t="s">
        <v>421</v>
      </c>
      <c r="C208" s="3095">
        <v>-318121</v>
      </c>
      <c r="D208" s="3095">
        <v>-530</v>
      </c>
      <c r="E208" s="3095">
        <v>-102277</v>
      </c>
      <c r="F208" s="3095"/>
      <c r="G208" s="3095">
        <v>-43764</v>
      </c>
      <c r="H208" s="3095">
        <f t="shared" si="33"/>
        <v>-464692</v>
      </c>
      <c r="I208" s="286"/>
      <c r="J208" s="264"/>
    </row>
    <row r="209" spans="1:10" s="52" customFormat="1" ht="20.100000000000001" customHeight="1">
      <c r="A209" s="285">
        <v>5</v>
      </c>
      <c r="B209" s="3085" t="s">
        <v>422</v>
      </c>
      <c r="C209" s="3095">
        <f>+'[12]Sheet 2 - General Insurance'!$C$130+'[12]Sheet 2 - General Insurance'!$C$156+'[12]Sheet 2 - General Insurance'!$C$157</f>
        <v>-807067</v>
      </c>
      <c r="D209" s="3095">
        <f>+'[12]Sheet 2 - General Insurance'!$D$130+'[12]Sheet 2 - General Insurance'!$D$156+'[12]Sheet 2 - General Insurance'!$D$157</f>
        <v>-114505</v>
      </c>
      <c r="E209" s="3095">
        <f>+'[12]Sheet 2 - General Insurance'!$E$130+'[12]Sheet 2 - General Insurance'!$E$156+'[12]Sheet 2 - General Insurance'!$E$157</f>
        <v>-87868</v>
      </c>
      <c r="F209" s="3095">
        <f>+'[12]Sheet 2 - General Insurance'!$F$130</f>
        <v>-13620</v>
      </c>
      <c r="G209" s="3095">
        <f>+'[12]Sheet 2 - General Insurance'!$G$130+'[12]Sheet 2 - General Insurance'!$G$156+'[12]Sheet 2 - General Insurance'!$G$157</f>
        <v>-329990</v>
      </c>
      <c r="H209" s="3095">
        <f t="shared" si="33"/>
        <v>-1353050</v>
      </c>
      <c r="I209" s="264"/>
      <c r="J209" s="264"/>
    </row>
    <row r="210" spans="1:10" s="52" customFormat="1" ht="20.100000000000001" customHeight="1">
      <c r="A210" s="285">
        <v>6</v>
      </c>
      <c r="B210" s="3085" t="s">
        <v>706</v>
      </c>
      <c r="C210" s="3095">
        <f>SUM(C206:C209)</f>
        <v>512868</v>
      </c>
      <c r="D210" s="3095">
        <f>SUM(D206:D209)</f>
        <v>270867</v>
      </c>
      <c r="E210" s="3095">
        <f>SUM(E206:E209)</f>
        <v>5840309</v>
      </c>
      <c r="F210" s="3095">
        <f>SUM(F206:F209)</f>
        <v>69422</v>
      </c>
      <c r="G210" s="3095">
        <f>SUM(G206:G209)</f>
        <v>1512426</v>
      </c>
      <c r="H210" s="3095">
        <f t="shared" si="33"/>
        <v>8205892</v>
      </c>
      <c r="I210" s="264"/>
      <c r="J210" s="264"/>
    </row>
    <row r="211" spans="1:10" s="52" customFormat="1" ht="20.100000000000001" customHeight="1">
      <c r="A211" s="285">
        <v>7</v>
      </c>
      <c r="B211" s="3085" t="s">
        <v>424</v>
      </c>
      <c r="C211" s="3095">
        <v>-69938</v>
      </c>
      <c r="D211" s="3095">
        <v>-3968</v>
      </c>
      <c r="E211" s="3095">
        <v>-227149</v>
      </c>
      <c r="F211" s="3095">
        <v>-14501</v>
      </c>
      <c r="G211" s="3095">
        <v>-107429</v>
      </c>
      <c r="H211" s="3095">
        <f t="shared" si="33"/>
        <v>-422985</v>
      </c>
      <c r="I211" s="264"/>
      <c r="J211" s="264"/>
    </row>
    <row r="212" spans="1:10" s="52" customFormat="1" ht="20.100000000000001" customHeight="1">
      <c r="A212" s="285">
        <v>8</v>
      </c>
      <c r="B212" s="3085" t="s">
        <v>707</v>
      </c>
      <c r="C212" s="3095">
        <f>SUM(C210:C211)</f>
        <v>442930</v>
      </c>
      <c r="D212" s="3095">
        <f>SUM(D210:D211)</f>
        <v>266899</v>
      </c>
      <c r="E212" s="3095">
        <f>SUM(E210:E211)</f>
        <v>5613160</v>
      </c>
      <c r="F212" s="3095">
        <f>SUM(F210:F211)</f>
        <v>54921</v>
      </c>
      <c r="G212" s="3095">
        <f>SUM(G210:G211)</f>
        <v>1404997</v>
      </c>
      <c r="H212" s="3095">
        <f t="shared" si="33"/>
        <v>7782907</v>
      </c>
      <c r="I212" s="264"/>
      <c r="J212" s="264"/>
    </row>
    <row r="213" spans="1:10" s="52" customFormat="1" ht="20.100000000000001" customHeight="1">
      <c r="A213" s="285"/>
      <c r="B213" s="3085"/>
      <c r="C213" s="3095"/>
      <c r="D213" s="3095"/>
      <c r="E213" s="3095"/>
      <c r="F213" s="3095"/>
      <c r="G213" s="3095"/>
      <c r="H213" s="3095">
        <f>SUM(C213:G213)</f>
        <v>0</v>
      </c>
      <c r="I213" s="264"/>
      <c r="J213" s="264"/>
    </row>
    <row r="214" spans="1:10" s="52" customFormat="1" ht="20.100000000000001" customHeight="1">
      <c r="A214" s="285"/>
      <c r="B214" s="3083" t="s">
        <v>426</v>
      </c>
      <c r="C214" s="3095"/>
      <c r="D214" s="3095"/>
      <c r="E214" s="3095"/>
      <c r="F214" s="3095"/>
      <c r="G214" s="3095"/>
      <c r="H214" s="3095">
        <f>SUM(C214:G214)</f>
        <v>0</v>
      </c>
      <c r="I214" s="264"/>
      <c r="J214" s="264"/>
    </row>
    <row r="215" spans="1:10" s="52" customFormat="1" ht="20.100000000000001" customHeight="1">
      <c r="A215" s="285">
        <v>9</v>
      </c>
      <c r="B215" s="3085" t="s">
        <v>427</v>
      </c>
      <c r="C215" s="3095">
        <v>-374062</v>
      </c>
      <c r="D215" s="3095">
        <v>-95435</v>
      </c>
      <c r="E215" s="3095">
        <v>-3246793</v>
      </c>
      <c r="F215" s="3095">
        <v>-38020</v>
      </c>
      <c r="G215" s="3095">
        <v>-721435</v>
      </c>
      <c r="H215" s="3095">
        <f>SUM(C215:G215)</f>
        <v>-4475745</v>
      </c>
      <c r="I215" s="264"/>
      <c r="J215" s="264"/>
    </row>
    <row r="216" spans="1:10" s="52" customFormat="1" ht="20.100000000000001" customHeight="1">
      <c r="A216" s="285">
        <v>10</v>
      </c>
      <c r="B216" s="3085" t="s">
        <v>428</v>
      </c>
      <c r="C216" s="3095">
        <v>62918</v>
      </c>
      <c r="D216" s="3095">
        <v>-9874</v>
      </c>
      <c r="E216" s="3095">
        <v>-507330</v>
      </c>
      <c r="F216" s="3095">
        <v>-10975</v>
      </c>
      <c r="G216" s="3095">
        <v>-124271</v>
      </c>
      <c r="H216" s="3095">
        <f>SUM(C216:G216)</f>
        <v>-589532</v>
      </c>
      <c r="I216" s="264"/>
      <c r="J216" s="264"/>
    </row>
    <row r="217" spans="1:10" s="52" customFormat="1" ht="20.100000000000001" customHeight="1">
      <c r="A217" s="285">
        <v>11</v>
      </c>
      <c r="B217" s="3085" t="s">
        <v>429</v>
      </c>
      <c r="C217" s="3095"/>
      <c r="D217" s="3095"/>
      <c r="E217" s="3095"/>
      <c r="F217" s="3095"/>
      <c r="G217" s="3095"/>
      <c r="H217" s="3095">
        <f>SUM(C217:G217)</f>
        <v>0</v>
      </c>
      <c r="I217" s="264"/>
      <c r="J217" s="264"/>
    </row>
    <row r="218" spans="1:10" s="52" customFormat="1" ht="20.100000000000001" customHeight="1">
      <c r="A218" s="287">
        <v>12</v>
      </c>
      <c r="B218" s="3087" t="s">
        <v>430</v>
      </c>
      <c r="C218" s="3096">
        <f t="shared" ref="C218:H218" si="34">SUM(C212:C217)</f>
        <v>131786</v>
      </c>
      <c r="D218" s="3096">
        <f t="shared" si="34"/>
        <v>161590</v>
      </c>
      <c r="E218" s="3096">
        <f t="shared" si="34"/>
        <v>1859037</v>
      </c>
      <c r="F218" s="3096">
        <f t="shared" si="34"/>
        <v>5926</v>
      </c>
      <c r="G218" s="3096">
        <f t="shared" si="34"/>
        <v>559291</v>
      </c>
      <c r="H218" s="3095">
        <f t="shared" si="34"/>
        <v>2717630</v>
      </c>
      <c r="I218" s="288"/>
      <c r="J218" s="264"/>
    </row>
    <row r="219" spans="1:10" s="52" customFormat="1" ht="20.100000000000001" customHeight="1">
      <c r="A219" s="285"/>
      <c r="B219" s="3088"/>
      <c r="C219" s="3086"/>
      <c r="D219" s="3086"/>
      <c r="E219" s="3086"/>
      <c r="F219" s="3086"/>
      <c r="G219" s="3086"/>
      <c r="H219" s="3095">
        <f>SUM(C219:G219)</f>
        <v>0</v>
      </c>
      <c r="I219" s="264"/>
      <c r="J219" s="264"/>
    </row>
    <row r="220" spans="1:10" s="52" customFormat="1" ht="20.100000000000001" customHeight="1">
      <c r="A220" s="285"/>
      <c r="B220" s="3089" t="s">
        <v>431</v>
      </c>
      <c r="C220" s="3086"/>
      <c r="D220" s="3086"/>
      <c r="E220" s="3086"/>
      <c r="F220" s="3086"/>
      <c r="G220" s="3086"/>
      <c r="H220" s="3095">
        <v>0</v>
      </c>
      <c r="I220" s="264"/>
      <c r="J220" s="264"/>
    </row>
    <row r="221" spans="1:10" s="52" customFormat="1" ht="20.100000000000001" customHeight="1">
      <c r="A221" s="285">
        <v>13</v>
      </c>
      <c r="B221" s="3085" t="s">
        <v>432</v>
      </c>
      <c r="C221" s="3092"/>
      <c r="D221" s="3092"/>
      <c r="E221" s="3092"/>
      <c r="F221" s="3092"/>
      <c r="G221" s="3092"/>
      <c r="H221" s="3095">
        <v>0</v>
      </c>
      <c r="I221" s="264"/>
      <c r="J221" s="264"/>
    </row>
    <row r="222" spans="1:10" s="52" customFormat="1" ht="20.100000000000001" customHeight="1">
      <c r="A222" s="285">
        <v>14</v>
      </c>
      <c r="B222" s="3083" t="s">
        <v>433</v>
      </c>
      <c r="C222" s="3092"/>
      <c r="D222" s="3092"/>
      <c r="E222" s="3092"/>
      <c r="F222" s="3092"/>
      <c r="G222" s="3092"/>
      <c r="H222" s="3095">
        <v>257802</v>
      </c>
      <c r="I222" s="264"/>
      <c r="J222" s="264"/>
    </row>
    <row r="223" spans="1:10" s="52" customFormat="1" ht="20.100000000000001" customHeight="1">
      <c r="A223" s="285">
        <v>15</v>
      </c>
      <c r="B223" s="3085" t="s">
        <v>434</v>
      </c>
      <c r="C223" s="3092"/>
      <c r="D223" s="3092"/>
      <c r="E223" s="3092"/>
      <c r="F223" s="3092"/>
      <c r="G223" s="3092"/>
      <c r="H223" s="3095">
        <v>405938</v>
      </c>
      <c r="I223" s="264"/>
      <c r="J223" s="264"/>
    </row>
    <row r="224" spans="1:10" s="52" customFormat="1" ht="20.100000000000001" customHeight="1">
      <c r="A224" s="285"/>
      <c r="B224" s="3083" t="s">
        <v>435</v>
      </c>
      <c r="C224" s="3086"/>
      <c r="D224" s="3086"/>
      <c r="E224" s="3086"/>
      <c r="F224" s="3086"/>
      <c r="G224" s="3086"/>
      <c r="H224" s="3095">
        <f>SUM(C224:G224)</f>
        <v>0</v>
      </c>
      <c r="I224" s="264"/>
      <c r="J224" s="264"/>
    </row>
    <row r="225" spans="1:14" s="52" customFormat="1" ht="27.75" customHeight="1">
      <c r="A225" s="285">
        <v>16</v>
      </c>
      <c r="B225" s="3091" t="s">
        <v>436</v>
      </c>
      <c r="C225" s="3086"/>
      <c r="D225" s="3086"/>
      <c r="E225" s="3086"/>
      <c r="F225" s="3086"/>
      <c r="G225" s="3086"/>
      <c r="H225" s="3095">
        <v>-2784416</v>
      </c>
      <c r="I225" s="264"/>
      <c r="J225" s="264"/>
    </row>
    <row r="226" spans="1:14" s="52" customFormat="1" ht="20.100000000000001" customHeight="1">
      <c r="A226" s="285">
        <v>17</v>
      </c>
      <c r="B226" s="3085" t="s">
        <v>437</v>
      </c>
      <c r="C226" s="3086"/>
      <c r="D226" s="3086"/>
      <c r="E226" s="3086"/>
      <c r="F226" s="3086"/>
      <c r="G226" s="3086"/>
      <c r="H226" s="3095">
        <v>0</v>
      </c>
      <c r="I226" s="264"/>
      <c r="J226" s="264"/>
    </row>
    <row r="227" spans="1:14" s="52" customFormat="1" ht="20.100000000000001" customHeight="1">
      <c r="A227" s="285">
        <v>18</v>
      </c>
      <c r="B227" s="3083" t="s">
        <v>438</v>
      </c>
      <c r="C227" s="3086">
        <f>SUM(C218:C226)</f>
        <v>131786</v>
      </c>
      <c r="D227" s="3086">
        <f>SUM(D218:D226)</f>
        <v>161590</v>
      </c>
      <c r="E227" s="3086">
        <f>SUM(E218:E226)</f>
        <v>1859037</v>
      </c>
      <c r="F227" s="3086">
        <f>SUM(F218:F226)</f>
        <v>5926</v>
      </c>
      <c r="G227" s="3086">
        <f>SUM(G218:G226)</f>
        <v>559291</v>
      </c>
      <c r="H227" s="3095">
        <f>SUM(H217:H226)</f>
        <v>596954</v>
      </c>
      <c r="I227" s="264"/>
      <c r="J227" s="264"/>
    </row>
    <row r="228" spans="1:14" s="52" customFormat="1" ht="20.100000000000001" customHeight="1">
      <c r="A228" s="285">
        <v>19</v>
      </c>
      <c r="B228" s="3085" t="s">
        <v>439</v>
      </c>
      <c r="C228" s="3086"/>
      <c r="D228" s="3086"/>
      <c r="E228" s="3086"/>
      <c r="F228" s="3086"/>
      <c r="G228" s="3086"/>
      <c r="H228" s="3095">
        <f>+'[12]Sheet 2 - General Insurance'!$H$150</f>
        <v>-22001</v>
      </c>
      <c r="I228" s="264"/>
      <c r="J228" s="264"/>
    </row>
    <row r="229" spans="1:14" s="52" customFormat="1" ht="20.100000000000001" customHeight="1">
      <c r="A229" s="285">
        <v>20</v>
      </c>
      <c r="B229" s="3093" t="s">
        <v>440</v>
      </c>
      <c r="C229" s="3086">
        <f t="shared" ref="C229:H229" si="35">SUM(C227:C228)</f>
        <v>131786</v>
      </c>
      <c r="D229" s="3086">
        <f t="shared" si="35"/>
        <v>161590</v>
      </c>
      <c r="E229" s="3086">
        <f t="shared" si="35"/>
        <v>1859037</v>
      </c>
      <c r="F229" s="3086">
        <f t="shared" si="35"/>
        <v>5926</v>
      </c>
      <c r="G229" s="3086">
        <f t="shared" si="35"/>
        <v>559291</v>
      </c>
      <c r="H229" s="3095">
        <f t="shared" si="35"/>
        <v>574953</v>
      </c>
      <c r="I229" s="264"/>
      <c r="J229" s="264"/>
    </row>
    <row r="230" spans="1:14" s="52" customFormat="1" ht="20.100000000000001" customHeight="1">
      <c r="A230" s="285">
        <v>21</v>
      </c>
      <c r="B230" s="3093" t="s">
        <v>441</v>
      </c>
      <c r="C230" s="3086"/>
      <c r="D230" s="3086"/>
      <c r="E230" s="3086"/>
      <c r="F230" s="3086"/>
      <c r="G230" s="3086"/>
      <c r="H230" s="3095">
        <f>+'[12]Sheet 2 - General Insurance'!$H$152</f>
        <v>-141727</v>
      </c>
      <c r="I230" s="264"/>
      <c r="J230" s="264"/>
    </row>
    <row r="231" spans="1:14" s="52" customFormat="1" ht="20.100000000000001" customHeight="1">
      <c r="A231" s="285">
        <v>22</v>
      </c>
      <c r="B231" s="3093" t="s">
        <v>442</v>
      </c>
      <c r="C231" s="3086">
        <f t="shared" ref="C231:H231" si="36">SUM(C229:C230)</f>
        <v>131786</v>
      </c>
      <c r="D231" s="3086">
        <f t="shared" si="36"/>
        <v>161590</v>
      </c>
      <c r="E231" s="3086">
        <f t="shared" si="36"/>
        <v>1859037</v>
      </c>
      <c r="F231" s="3086">
        <f t="shared" si="36"/>
        <v>5926</v>
      </c>
      <c r="G231" s="3086">
        <f t="shared" si="36"/>
        <v>559291</v>
      </c>
      <c r="H231" s="3095">
        <f t="shared" si="36"/>
        <v>433226</v>
      </c>
      <c r="I231" s="284"/>
      <c r="J231" s="264"/>
    </row>
    <row r="232" spans="1:14" s="52" customFormat="1" ht="17.45" customHeight="1">
      <c r="A232" s="285"/>
      <c r="B232" s="290"/>
      <c r="C232" s="289"/>
      <c r="D232" s="289"/>
      <c r="E232" s="289"/>
      <c r="F232" s="289"/>
      <c r="G232" s="289"/>
      <c r="H232" s="289"/>
      <c r="I232" s="284"/>
      <c r="J232" s="264"/>
    </row>
    <row r="233" spans="1:14" s="52" customFormat="1" ht="17.45" customHeight="1">
      <c r="A233" s="285"/>
      <c r="B233" s="290"/>
      <c r="C233" s="289"/>
      <c r="D233" s="289"/>
      <c r="E233" s="289"/>
      <c r="F233" s="289"/>
      <c r="G233" s="289"/>
      <c r="H233" s="289"/>
      <c r="I233" s="284"/>
      <c r="J233" s="264"/>
    </row>
    <row r="234" spans="1:14" s="54" customFormat="1" ht="17.45" customHeight="1">
      <c r="A234" s="3847">
        <v>7</v>
      </c>
      <c r="B234" s="3844" t="s">
        <v>99</v>
      </c>
      <c r="C234" s="3842">
        <v>2012</v>
      </c>
      <c r="D234" s="3842"/>
      <c r="E234" s="3842"/>
      <c r="F234" s="3842"/>
      <c r="G234" s="3842"/>
      <c r="H234" s="3842"/>
      <c r="I234" s="109"/>
      <c r="J234" s="109"/>
    </row>
    <row r="235" spans="1:14" s="54" customFormat="1" ht="17.45" customHeight="1">
      <c r="A235" s="3847"/>
      <c r="B235" s="3844"/>
      <c r="C235" s="2917" t="s">
        <v>412</v>
      </c>
      <c r="D235" s="2917" t="s">
        <v>413</v>
      </c>
      <c r="E235" s="2917" t="s">
        <v>414</v>
      </c>
      <c r="F235" s="2917" t="s">
        <v>701</v>
      </c>
      <c r="G235" s="2917" t="s">
        <v>702</v>
      </c>
      <c r="H235" s="2917" t="s">
        <v>118</v>
      </c>
      <c r="I235" s="3845"/>
      <c r="J235" s="109"/>
    </row>
    <row r="236" spans="1:14" s="54" customFormat="1" ht="17.45" customHeight="1">
      <c r="A236" s="3847"/>
      <c r="B236" s="3844"/>
      <c r="C236" s="3082" t="s">
        <v>140</v>
      </c>
      <c r="D236" s="3082" t="s">
        <v>140</v>
      </c>
      <c r="E236" s="3082" t="s">
        <v>140</v>
      </c>
      <c r="F236" s="3082" t="s">
        <v>140</v>
      </c>
      <c r="G236" s="3082" t="s">
        <v>140</v>
      </c>
      <c r="H236" s="3082" t="s">
        <v>140</v>
      </c>
      <c r="I236" s="3845"/>
      <c r="J236" s="109"/>
    </row>
    <row r="237" spans="1:14" s="52" customFormat="1" ht="17.45" customHeight="1">
      <c r="A237" s="285">
        <v>1</v>
      </c>
      <c r="B237" s="3083" t="s">
        <v>211</v>
      </c>
      <c r="C237" s="3843"/>
      <c r="D237" s="3843"/>
      <c r="E237" s="3843"/>
      <c r="F237" s="3843"/>
      <c r="G237" s="3843"/>
      <c r="H237" s="2016">
        <f>+H245+H254+H255+H256</f>
        <v>669451.0734476574</v>
      </c>
      <c r="I237" s="264"/>
      <c r="J237" s="278"/>
      <c r="K237" s="274"/>
      <c r="L237" s="274"/>
      <c r="M237" s="274"/>
      <c r="N237" s="274"/>
    </row>
    <row r="238" spans="1:14" s="52" customFormat="1" ht="6" customHeight="1">
      <c r="A238" s="285"/>
      <c r="B238" s="3083"/>
      <c r="C238" s="2107"/>
      <c r="D238" s="2107"/>
      <c r="E238" s="2107"/>
      <c r="F238" s="2107"/>
      <c r="G238" s="2107"/>
      <c r="H238" s="2107"/>
      <c r="I238" s="264"/>
      <c r="J238" s="278"/>
      <c r="K238" s="274"/>
      <c r="L238" s="274"/>
      <c r="M238" s="274"/>
      <c r="N238" s="274"/>
    </row>
    <row r="239" spans="1:14" s="52" customFormat="1" ht="20.100000000000001" customHeight="1">
      <c r="A239" s="285">
        <v>2</v>
      </c>
      <c r="B239" s="3085" t="s">
        <v>333</v>
      </c>
      <c r="C239" s="3100">
        <v>264888.01115000027</v>
      </c>
      <c r="D239" s="3100">
        <v>9493.4826899999971</v>
      </c>
      <c r="E239" s="3100">
        <v>850891.92295000353</v>
      </c>
      <c r="F239" s="3100">
        <v>4630.7926000000016</v>
      </c>
      <c r="G239" s="3100">
        <v>96140.731419999996</v>
      </c>
      <c r="H239" s="3101">
        <f>SUM(C239:G239)</f>
        <v>1226044.940810004</v>
      </c>
      <c r="I239" s="286"/>
      <c r="J239" s="264"/>
    </row>
    <row r="240" spans="1:14" s="52" customFormat="1" ht="20.100000000000001" customHeight="1">
      <c r="A240" s="285">
        <v>3</v>
      </c>
      <c r="B240" s="3085" t="s">
        <v>420</v>
      </c>
      <c r="C240" s="3100">
        <v>-31660.612987267199</v>
      </c>
      <c r="D240" s="3100">
        <v>0</v>
      </c>
      <c r="E240" s="3100">
        <v>0</v>
      </c>
      <c r="F240" s="3100">
        <v>-1151.35132949335</v>
      </c>
      <c r="G240" s="3100">
        <v>-4245.6937939660002</v>
      </c>
      <c r="H240" s="3101">
        <f>SUM(C240:G240)</f>
        <v>-37057.658110726545</v>
      </c>
      <c r="I240" s="286"/>
      <c r="J240" s="264"/>
    </row>
    <row r="241" spans="1:10" s="52" customFormat="1" ht="20.100000000000001" customHeight="1">
      <c r="A241" s="285">
        <v>4</v>
      </c>
      <c r="B241" s="3085" t="s">
        <v>421</v>
      </c>
      <c r="C241" s="3100">
        <v>-22672.940975000001</v>
      </c>
      <c r="D241" s="3100">
        <v>0</v>
      </c>
      <c r="E241" s="3100">
        <v>-14446.436762400101</v>
      </c>
      <c r="F241" s="3100">
        <v>-482.62752999999998</v>
      </c>
      <c r="G241" s="3100">
        <v>-2264.6940599999998</v>
      </c>
      <c r="H241" s="3101">
        <f>SUM(C241:G241)</f>
        <v>-39866.6993274001</v>
      </c>
      <c r="I241" s="286"/>
      <c r="J241" s="264"/>
    </row>
    <row r="242" spans="1:10" s="52" customFormat="1" ht="20.100000000000001" customHeight="1">
      <c r="A242" s="285">
        <v>5</v>
      </c>
      <c r="B242" s="3085" t="s">
        <v>422</v>
      </c>
      <c r="C242" s="3100">
        <v>-164462.350752061</v>
      </c>
      <c r="D242" s="3100">
        <v>-7630.0935519967998</v>
      </c>
      <c r="E242" s="3100">
        <v>-9449.6262563711898</v>
      </c>
      <c r="F242" s="3100">
        <v>-2611.3111503653799</v>
      </c>
      <c r="G242" s="3100">
        <v>-71799.099139824495</v>
      </c>
      <c r="H242" s="3101">
        <f>SUM(C242:G242)</f>
        <v>-255952.48085061886</v>
      </c>
      <c r="I242" s="264"/>
      <c r="J242" s="264"/>
    </row>
    <row r="243" spans="1:10" s="52" customFormat="1" ht="20.100000000000001" customHeight="1">
      <c r="A243" s="285">
        <v>6</v>
      </c>
      <c r="B243" s="3085" t="s">
        <v>706</v>
      </c>
      <c r="C243" s="3101">
        <f>SUM(C239:C242)</f>
        <v>46092.10643567206</v>
      </c>
      <c r="D243" s="3101">
        <f>SUM(D239:D242)</f>
        <v>1863.3891380031973</v>
      </c>
      <c r="E243" s="3101">
        <f>SUM(E239:E242)</f>
        <v>826995.85993123229</v>
      </c>
      <c r="F243" s="3101">
        <f>SUM(F239:F242)</f>
        <v>385.50259014127187</v>
      </c>
      <c r="G243" s="3101">
        <f>SUM(G239:G242)</f>
        <v>17831.244426209509</v>
      </c>
      <c r="H243" s="3101">
        <f>SUM(C243:G243)</f>
        <v>893168.10252125829</v>
      </c>
      <c r="I243" s="264"/>
      <c r="J243" s="264"/>
    </row>
    <row r="244" spans="1:10" s="52" customFormat="1" ht="20.100000000000001" customHeight="1">
      <c r="A244" s="285">
        <v>7</v>
      </c>
      <c r="B244" s="3085" t="s">
        <v>424</v>
      </c>
      <c r="C244" s="3100">
        <v>-10621.233511377961</v>
      </c>
      <c r="D244" s="3100">
        <v>-350.28544511712585</v>
      </c>
      <c r="E244" s="3100">
        <v>-309353.85814756626</v>
      </c>
      <c r="F244" s="3100">
        <v>0</v>
      </c>
      <c r="G244" s="3100">
        <v>-1601.9186341870156</v>
      </c>
      <c r="H244" s="3101">
        <f t="shared" ref="H244:H250" si="37">SUM(C244:G244)</f>
        <v>-321927.29573824839</v>
      </c>
      <c r="I244" s="264"/>
      <c r="J244" s="264"/>
    </row>
    <row r="245" spans="1:10" s="52" customFormat="1" ht="20.100000000000001" customHeight="1">
      <c r="A245" s="285">
        <v>8</v>
      </c>
      <c r="B245" s="3085" t="s">
        <v>707</v>
      </c>
      <c r="C245" s="3101">
        <f>SUM(C243:C244)</f>
        <v>35470.872924294097</v>
      </c>
      <c r="D245" s="3101">
        <f>SUM(D243:D244)</f>
        <v>1513.1036928860715</v>
      </c>
      <c r="E245" s="3101">
        <f>SUM(E243:E244)</f>
        <v>517642.00178366603</v>
      </c>
      <c r="F245" s="3101">
        <f>SUM(F243:F244)</f>
        <v>385.50259014127187</v>
      </c>
      <c r="G245" s="3101">
        <f>SUM(G243:G244)</f>
        <v>16229.325792022493</v>
      </c>
      <c r="H245" s="3101">
        <f>SUM(C245:G245)</f>
        <v>571240.80678301002</v>
      </c>
      <c r="I245" s="264"/>
      <c r="J245" s="264"/>
    </row>
    <row r="246" spans="1:10" s="52" customFormat="1" ht="20.100000000000001" customHeight="1">
      <c r="A246" s="285"/>
      <c r="B246" s="3085"/>
      <c r="C246" s="3086"/>
      <c r="D246" s="3086"/>
      <c r="E246" s="3086"/>
      <c r="F246" s="3086"/>
      <c r="G246" s="3086"/>
      <c r="H246" s="3086">
        <f t="shared" si="37"/>
        <v>0</v>
      </c>
      <c r="I246" s="264"/>
      <c r="J246" s="264"/>
    </row>
    <row r="247" spans="1:10" s="52" customFormat="1" ht="20.100000000000001" customHeight="1">
      <c r="A247" s="285"/>
      <c r="B247" s="3083" t="s">
        <v>426</v>
      </c>
      <c r="C247" s="3086"/>
      <c r="D247" s="3086"/>
      <c r="E247" s="3086"/>
      <c r="F247" s="3086"/>
      <c r="G247" s="3086"/>
      <c r="H247" s="3086">
        <f t="shared" si="37"/>
        <v>0</v>
      </c>
      <c r="I247" s="264"/>
      <c r="J247" s="264"/>
    </row>
    <row r="248" spans="1:10" s="52" customFormat="1" ht="20.100000000000001" customHeight="1">
      <c r="A248" s="285">
        <v>9</v>
      </c>
      <c r="B248" s="3085" t="s">
        <v>427</v>
      </c>
      <c r="C248" s="3100">
        <v>-4198.0330149453894</v>
      </c>
      <c r="D248" s="3100">
        <v>-1576.9208974210201</v>
      </c>
      <c r="E248" s="3100">
        <v>-5835.90788037121</v>
      </c>
      <c r="F248" s="3100">
        <v>0</v>
      </c>
      <c r="G248" s="3100">
        <v>-407348.55569041404</v>
      </c>
      <c r="H248" s="3101">
        <f t="shared" si="37"/>
        <v>-418959.41748315166</v>
      </c>
      <c r="I248" s="264"/>
      <c r="J248" s="264"/>
    </row>
    <row r="249" spans="1:10" s="52" customFormat="1" ht="20.100000000000001" customHeight="1">
      <c r="A249" s="285">
        <v>10</v>
      </c>
      <c r="B249" s="3085" t="s">
        <v>428</v>
      </c>
      <c r="C249" s="3100">
        <v>7662.5179907884803</v>
      </c>
      <c r="D249" s="3100">
        <v>1474.00413042829</v>
      </c>
      <c r="E249" s="3100">
        <v>-44527.101357499894</v>
      </c>
      <c r="F249" s="3100">
        <v>0</v>
      </c>
      <c r="G249" s="3100">
        <v>19514.2678540136</v>
      </c>
      <c r="H249" s="3101">
        <f t="shared" si="37"/>
        <v>-15876.311382269527</v>
      </c>
      <c r="I249" s="264"/>
      <c r="J249" s="264"/>
    </row>
    <row r="250" spans="1:10" s="52" customFormat="1" ht="20.100000000000001" customHeight="1">
      <c r="A250" s="285">
        <v>11</v>
      </c>
      <c r="B250" s="3085" t="s">
        <v>429</v>
      </c>
      <c r="C250" s="3101">
        <v>0</v>
      </c>
      <c r="D250" s="3101">
        <v>0</v>
      </c>
      <c r="E250" s="3101">
        <v>0</v>
      </c>
      <c r="F250" s="3101">
        <v>0</v>
      </c>
      <c r="G250" s="3101">
        <v>0</v>
      </c>
      <c r="H250" s="3101">
        <f t="shared" si="37"/>
        <v>0</v>
      </c>
      <c r="I250" s="264"/>
      <c r="J250" s="264"/>
    </row>
    <row r="251" spans="1:10" s="52" customFormat="1" ht="20.100000000000001" customHeight="1">
      <c r="A251" s="287">
        <v>12</v>
      </c>
      <c r="B251" s="3087" t="s">
        <v>430</v>
      </c>
      <c r="C251" s="3102">
        <f>SUM(C245:C250)</f>
        <v>38935.357900137191</v>
      </c>
      <c r="D251" s="3102">
        <f>SUM(D245:D250)</f>
        <v>1410.1869258933414</v>
      </c>
      <c r="E251" s="3102">
        <f>SUM(E245:E250)</f>
        <v>467278.99254579493</v>
      </c>
      <c r="F251" s="3102">
        <f>SUM(F245:F250)</f>
        <v>385.50259014127187</v>
      </c>
      <c r="G251" s="3102">
        <f>SUM(G245:G250)</f>
        <v>-371604.96204437793</v>
      </c>
      <c r="H251" s="3101">
        <f>SUM(C251:G251)</f>
        <v>136405.07791758882</v>
      </c>
      <c r="I251" s="288"/>
      <c r="J251" s="264"/>
    </row>
    <row r="252" spans="1:10" s="52" customFormat="1" ht="20.100000000000001" customHeight="1">
      <c r="A252" s="285"/>
      <c r="B252" s="3088"/>
      <c r="C252" s="3086"/>
      <c r="D252" s="3086"/>
      <c r="E252" s="3086"/>
      <c r="F252" s="3086"/>
      <c r="G252" s="3086"/>
      <c r="H252" s="3086">
        <f t="shared" ref="H252:H264" si="38">SUM(C252:G252)</f>
        <v>0</v>
      </c>
      <c r="I252" s="264"/>
      <c r="J252" s="264"/>
    </row>
    <row r="253" spans="1:10" s="52" customFormat="1" ht="20.100000000000001" customHeight="1">
      <c r="A253" s="285"/>
      <c r="B253" s="3089" t="s">
        <v>431</v>
      </c>
      <c r="C253" s="3086"/>
      <c r="D253" s="3086"/>
      <c r="E253" s="3086"/>
      <c r="F253" s="3086"/>
      <c r="G253" s="3086"/>
      <c r="H253" s="3086">
        <f t="shared" si="38"/>
        <v>0</v>
      </c>
      <c r="I253" s="264"/>
      <c r="J253" s="264"/>
    </row>
    <row r="254" spans="1:10" s="52" customFormat="1" ht="20.100000000000001" customHeight="1">
      <c r="A254" s="285">
        <v>13</v>
      </c>
      <c r="B254" s="3085" t="s">
        <v>432</v>
      </c>
      <c r="C254" s="3100">
        <v>15.200290000000001</v>
      </c>
      <c r="D254" s="3100">
        <v>91.900390000000002</v>
      </c>
      <c r="E254" s="3100">
        <v>7368.6677900000004</v>
      </c>
      <c r="F254" s="3100">
        <v>2.4</v>
      </c>
      <c r="G254" s="3100">
        <v>23.473759999999999</v>
      </c>
      <c r="H254" s="3101">
        <f t="shared" si="38"/>
        <v>7501.6422299999995</v>
      </c>
      <c r="I254" s="264"/>
      <c r="J254" s="264"/>
    </row>
    <row r="255" spans="1:10" s="52" customFormat="1" ht="20.100000000000001" customHeight="1">
      <c r="A255" s="285">
        <v>14</v>
      </c>
      <c r="B255" s="3083" t="s">
        <v>433</v>
      </c>
      <c r="C255" s="3100">
        <v>18683.48604265193</v>
      </c>
      <c r="D255" s="3100">
        <v>669.60883040618728</v>
      </c>
      <c r="E255" s="3100">
        <v>60016.409565773771</v>
      </c>
      <c r="F255" s="3100">
        <v>326.62614111108974</v>
      </c>
      <c r="G255" s="3100">
        <v>6781.1450047044464</v>
      </c>
      <c r="H255" s="3101">
        <f t="shared" si="38"/>
        <v>86477.275584647432</v>
      </c>
      <c r="I255" s="264"/>
      <c r="J255" s="264"/>
    </row>
    <row r="256" spans="1:10" s="52" customFormat="1" ht="20.100000000000001" customHeight="1">
      <c r="A256" s="285">
        <v>15</v>
      </c>
      <c r="B256" s="3085" t="s">
        <v>434</v>
      </c>
      <c r="C256" s="3100">
        <v>914.1863760865449</v>
      </c>
      <c r="D256" s="3100">
        <v>32.764082070504998</v>
      </c>
      <c r="E256" s="3100">
        <v>2936.6138546847378</v>
      </c>
      <c r="F256" s="3100">
        <v>15.981876593898043</v>
      </c>
      <c r="G256" s="3100">
        <v>331.80266056431395</v>
      </c>
      <c r="H256" s="3101">
        <f t="shared" si="38"/>
        <v>4231.3488499999994</v>
      </c>
      <c r="I256" s="264"/>
      <c r="J256" s="264"/>
    </row>
    <row r="257" spans="1:14" s="52" customFormat="1" ht="20.100000000000001" customHeight="1">
      <c r="A257" s="285"/>
      <c r="B257" s="3083" t="s">
        <v>435</v>
      </c>
      <c r="C257" s="3086"/>
      <c r="D257" s="3086"/>
      <c r="E257" s="3086"/>
      <c r="F257" s="3086"/>
      <c r="G257" s="3086"/>
      <c r="H257" s="3086">
        <f t="shared" si="38"/>
        <v>0</v>
      </c>
      <c r="I257" s="264"/>
      <c r="J257" s="264"/>
    </row>
    <row r="258" spans="1:14" s="52" customFormat="1" ht="27.75" customHeight="1">
      <c r="A258" s="285">
        <v>16</v>
      </c>
      <c r="B258" s="3091" t="s">
        <v>436</v>
      </c>
      <c r="C258" s="3100">
        <v>-49303.966087558802</v>
      </c>
      <c r="D258" s="3100">
        <v>-5686.6986646657397</v>
      </c>
      <c r="E258" s="3100">
        <v>-144856.90812491599</v>
      </c>
      <c r="F258" s="3100">
        <v>-390.43697782107699</v>
      </c>
      <c r="G258" s="3100">
        <v>-8105.9334467133494</v>
      </c>
      <c r="H258" s="3101">
        <f t="shared" si="38"/>
        <v>-208343.94330167497</v>
      </c>
      <c r="I258" s="264"/>
      <c r="J258" s="264"/>
    </row>
    <row r="259" spans="1:14" s="52" customFormat="1" ht="20.100000000000001" customHeight="1">
      <c r="A259" s="285">
        <v>17</v>
      </c>
      <c r="B259" s="3085" t="s">
        <v>437</v>
      </c>
      <c r="C259" s="3086"/>
      <c r="D259" s="3086"/>
      <c r="E259" s="3086"/>
      <c r="F259" s="3086"/>
      <c r="G259" s="3086"/>
      <c r="H259" s="3086">
        <f t="shared" si="38"/>
        <v>0</v>
      </c>
      <c r="I259" s="264"/>
      <c r="J259" s="264"/>
    </row>
    <row r="260" spans="1:14" s="52" customFormat="1" ht="20.100000000000001" customHeight="1">
      <c r="A260" s="285">
        <v>18</v>
      </c>
      <c r="B260" s="3083" t="s">
        <v>438</v>
      </c>
      <c r="C260" s="3101">
        <f>SUM(C251:C259)</f>
        <v>9244.2645213168653</v>
      </c>
      <c r="D260" s="3101">
        <f>SUM(D251:D259)</f>
        <v>-3482.2384362957059</v>
      </c>
      <c r="E260" s="3101">
        <f>SUM(E251:E259)</f>
        <v>392743.77563133743</v>
      </c>
      <c r="F260" s="3101">
        <f>SUM(F251:F259)</f>
        <v>340.07363002518264</v>
      </c>
      <c r="G260" s="3101">
        <f>SUM(G251:G259)</f>
        <v>-372574.47406582255</v>
      </c>
      <c r="H260" s="3101">
        <f t="shared" si="38"/>
        <v>26271.401280561229</v>
      </c>
      <c r="I260" s="264"/>
      <c r="J260" s="264"/>
    </row>
    <row r="261" spans="1:14" s="52" customFormat="1" ht="20.100000000000001" customHeight="1">
      <c r="A261" s="285">
        <v>19</v>
      </c>
      <c r="B261" s="3085" t="s">
        <v>439</v>
      </c>
      <c r="C261" s="3086"/>
      <c r="D261" s="3086"/>
      <c r="E261" s="3086"/>
      <c r="F261" s="3086"/>
      <c r="G261" s="3086"/>
      <c r="H261" s="3086">
        <f t="shared" si="38"/>
        <v>0</v>
      </c>
      <c r="I261" s="264"/>
      <c r="J261" s="264"/>
    </row>
    <row r="262" spans="1:14" s="52" customFormat="1" ht="20.100000000000001" customHeight="1">
      <c r="A262" s="285">
        <v>20</v>
      </c>
      <c r="B262" s="3093" t="s">
        <v>440</v>
      </c>
      <c r="C262" s="3101">
        <f>SUM(C260:C261)</f>
        <v>9244.2645213168653</v>
      </c>
      <c r="D262" s="3101">
        <f>SUM(D260:D261)</f>
        <v>-3482.2384362957059</v>
      </c>
      <c r="E262" s="3101">
        <f>SUM(E260:E261)</f>
        <v>392743.77563133743</v>
      </c>
      <c r="F262" s="3101">
        <f>SUM(F260:F261)</f>
        <v>340.07363002518264</v>
      </c>
      <c r="G262" s="3101">
        <f>SUM(G260:G261)</f>
        <v>-372574.47406582255</v>
      </c>
      <c r="H262" s="3101">
        <f t="shared" si="38"/>
        <v>26271.401280561229</v>
      </c>
      <c r="I262" s="264"/>
      <c r="J262" s="264"/>
    </row>
    <row r="263" spans="1:14" s="52" customFormat="1" ht="20.100000000000001" customHeight="1">
      <c r="A263" s="285">
        <v>21</v>
      </c>
      <c r="B263" s="3093" t="s">
        <v>441</v>
      </c>
      <c r="C263" s="3086"/>
      <c r="D263" s="3086"/>
      <c r="E263" s="3086"/>
      <c r="F263" s="3086"/>
      <c r="G263" s="3086"/>
      <c r="H263" s="3086">
        <f t="shared" si="38"/>
        <v>0</v>
      </c>
      <c r="I263" s="264"/>
      <c r="J263" s="264"/>
    </row>
    <row r="264" spans="1:14" s="52" customFormat="1" ht="20.100000000000001" customHeight="1">
      <c r="A264" s="285">
        <v>22</v>
      </c>
      <c r="B264" s="3093" t="s">
        <v>442</v>
      </c>
      <c r="C264" s="3101">
        <f>SUM(C262:C263)</f>
        <v>9244.2645213168653</v>
      </c>
      <c r="D264" s="3101">
        <f>SUM(D262:D263)</f>
        <v>-3482.2384362957059</v>
      </c>
      <c r="E264" s="3101">
        <f>SUM(E262:E263)</f>
        <v>392743.77563133743</v>
      </c>
      <c r="F264" s="3101">
        <f>SUM(F262:F263)</f>
        <v>340.07363002518264</v>
      </c>
      <c r="G264" s="3101">
        <f>SUM(G262:G263)</f>
        <v>-372574.47406582255</v>
      </c>
      <c r="H264" s="3101">
        <f t="shared" si="38"/>
        <v>26271.401280561229</v>
      </c>
      <c r="I264" s="284"/>
      <c r="J264" s="264"/>
    </row>
    <row r="265" spans="1:14">
      <c r="C265" s="292"/>
      <c r="D265" s="292"/>
      <c r="E265" s="292"/>
      <c r="F265" s="292"/>
      <c r="G265" s="292"/>
      <c r="H265" s="292"/>
    </row>
    <row r="266" spans="1:14">
      <c r="C266" s="292"/>
      <c r="D266" s="292"/>
      <c r="E266" s="292"/>
      <c r="F266" s="292"/>
      <c r="G266" s="292"/>
      <c r="H266" s="292"/>
    </row>
    <row r="267" spans="1:14" s="54" customFormat="1" ht="17.45" customHeight="1">
      <c r="A267" s="3847">
        <v>8</v>
      </c>
      <c r="B267" s="3844" t="s">
        <v>129</v>
      </c>
      <c r="C267" s="3842">
        <v>2012</v>
      </c>
      <c r="D267" s="3842"/>
      <c r="E267" s="3842"/>
      <c r="F267" s="3842"/>
      <c r="G267" s="3842"/>
      <c r="H267" s="3842"/>
      <c r="I267" s="109"/>
      <c r="J267" s="109"/>
    </row>
    <row r="268" spans="1:14" s="54" customFormat="1" ht="17.45" customHeight="1">
      <c r="A268" s="3847"/>
      <c r="B268" s="3844"/>
      <c r="C268" s="2917" t="s">
        <v>412</v>
      </c>
      <c r="D268" s="2917" t="s">
        <v>413</v>
      </c>
      <c r="E268" s="2917" t="s">
        <v>414</v>
      </c>
      <c r="F268" s="2917" t="s">
        <v>701</v>
      </c>
      <c r="G268" s="2917" t="s">
        <v>702</v>
      </c>
      <c r="H268" s="2917" t="s">
        <v>118</v>
      </c>
      <c r="I268" s="3617"/>
      <c r="J268" s="109"/>
    </row>
    <row r="269" spans="1:14" s="54" customFormat="1" ht="17.45" customHeight="1">
      <c r="A269" s="3847"/>
      <c r="B269" s="3844"/>
      <c r="C269" s="3082" t="s">
        <v>140</v>
      </c>
      <c r="D269" s="3082" t="s">
        <v>140</v>
      </c>
      <c r="E269" s="3082" t="s">
        <v>140</v>
      </c>
      <c r="F269" s="3082" t="s">
        <v>140</v>
      </c>
      <c r="G269" s="3082" t="s">
        <v>140</v>
      </c>
      <c r="H269" s="3082" t="s">
        <v>140</v>
      </c>
      <c r="I269" s="3617"/>
      <c r="J269" s="109"/>
    </row>
    <row r="270" spans="1:14" s="52" customFormat="1" ht="17.45" customHeight="1">
      <c r="A270" s="285">
        <v>1</v>
      </c>
      <c r="B270" s="3083" t="s">
        <v>211</v>
      </c>
      <c r="C270" s="3843"/>
      <c r="D270" s="3843"/>
      <c r="E270" s="3843"/>
      <c r="F270" s="3843"/>
      <c r="G270" s="3843"/>
      <c r="H270" s="2016">
        <f>+H278+H287+H288+H289</f>
        <v>805327.55298612127</v>
      </c>
      <c r="I270" s="264"/>
      <c r="J270" s="278"/>
      <c r="K270" s="274"/>
      <c r="L270" s="274"/>
      <c r="M270" s="274"/>
      <c r="N270" s="274"/>
    </row>
    <row r="271" spans="1:14" s="52" customFormat="1" ht="6" customHeight="1">
      <c r="A271" s="285"/>
      <c r="B271" s="3083"/>
      <c r="C271" s="2107"/>
      <c r="D271" s="2107"/>
      <c r="E271" s="2107"/>
      <c r="F271" s="2107"/>
      <c r="G271" s="2107"/>
      <c r="H271" s="2107"/>
      <c r="I271" s="264"/>
      <c r="J271" s="278"/>
      <c r="K271" s="274"/>
      <c r="L271" s="274"/>
      <c r="M271" s="274"/>
      <c r="N271" s="274"/>
    </row>
    <row r="272" spans="1:14" s="52" customFormat="1" ht="20.100000000000001" customHeight="1">
      <c r="A272" s="285">
        <v>2</v>
      </c>
      <c r="B272" s="3085" t="s">
        <v>333</v>
      </c>
      <c r="C272" s="3101">
        <v>58535.475069999993</v>
      </c>
      <c r="D272" s="3101">
        <v>18335.926099999997</v>
      </c>
      <c r="E272" s="3101">
        <v>720114.45716999995</v>
      </c>
      <c r="F272" s="3101">
        <v>0</v>
      </c>
      <c r="G272" s="3101">
        <v>141128.88733000003</v>
      </c>
      <c r="H272" s="3101">
        <f>SUM(C272:G272)</f>
        <v>938114.74566999997</v>
      </c>
      <c r="I272" s="286"/>
      <c r="J272" s="264"/>
    </row>
    <row r="273" spans="1:10" s="52" customFormat="1" ht="20.100000000000001" customHeight="1">
      <c r="A273" s="285">
        <v>3</v>
      </c>
      <c r="B273" s="3085" t="s">
        <v>420</v>
      </c>
      <c r="C273" s="3101">
        <v>0</v>
      </c>
      <c r="D273" s="3101">
        <v>0</v>
      </c>
      <c r="E273" s="3101">
        <v>0</v>
      </c>
      <c r="F273" s="3101">
        <v>0</v>
      </c>
      <c r="G273" s="3101">
        <v>0</v>
      </c>
      <c r="H273" s="3101">
        <f>SUM(C273:G273)</f>
        <v>0</v>
      </c>
      <c r="I273" s="286"/>
      <c r="J273" s="264"/>
    </row>
    <row r="274" spans="1:10" s="52" customFormat="1" ht="20.100000000000001" customHeight="1">
      <c r="A274" s="285">
        <v>4</v>
      </c>
      <c r="B274" s="3085" t="s">
        <v>421</v>
      </c>
      <c r="C274" s="3101">
        <v>-7454.15164</v>
      </c>
      <c r="D274" s="3101">
        <v>-71.406000000000006</v>
      </c>
      <c r="E274" s="3101">
        <v>-6670.3840399999999</v>
      </c>
      <c r="F274" s="3101">
        <v>0</v>
      </c>
      <c r="G274" s="3101">
        <v>-1060.28297</v>
      </c>
      <c r="H274" s="3101">
        <f>SUM(C274:G274)</f>
        <v>-15256.22465</v>
      </c>
      <c r="I274" s="286"/>
      <c r="J274" s="264"/>
    </row>
    <row r="275" spans="1:10" s="52" customFormat="1" ht="20.100000000000001" customHeight="1">
      <c r="A275" s="285">
        <v>5</v>
      </c>
      <c r="B275" s="3085" t="s">
        <v>422</v>
      </c>
      <c r="C275" s="3101">
        <v>-16297.667609999999</v>
      </c>
      <c r="D275" s="3101">
        <v>-8106.4849400000003</v>
      </c>
      <c r="E275" s="3101">
        <v>-12417.44152</v>
      </c>
      <c r="F275" s="3101">
        <v>0</v>
      </c>
      <c r="G275" s="3101">
        <v>-4251.1868400000003</v>
      </c>
      <c r="H275" s="3101">
        <f>SUM(C275:G275)</f>
        <v>-41072.780910000001</v>
      </c>
      <c r="I275" s="264"/>
      <c r="J275" s="264"/>
    </row>
    <row r="276" spans="1:10" s="52" customFormat="1" ht="20.100000000000001" customHeight="1">
      <c r="A276" s="285">
        <v>6</v>
      </c>
      <c r="B276" s="3085" t="s">
        <v>706</v>
      </c>
      <c r="C276" s="3101">
        <f>SUM(C272:C275)</f>
        <v>34783.655819999993</v>
      </c>
      <c r="D276" s="3101">
        <f>SUM(D272:D275)</f>
        <v>10158.035159999998</v>
      </c>
      <c r="E276" s="3101">
        <f>SUM(E272:E275)</f>
        <v>701026.63160999992</v>
      </c>
      <c r="F276" s="3101">
        <f>SUM(F272:F275)</f>
        <v>0</v>
      </c>
      <c r="G276" s="3101">
        <f>SUM(G272:G275)</f>
        <v>135817.41752000002</v>
      </c>
      <c r="H276" s="3101">
        <f>SUM(C276:G276)</f>
        <v>881785.7401099999</v>
      </c>
      <c r="I276" s="264"/>
      <c r="J276" s="264"/>
    </row>
    <row r="277" spans="1:10" s="52" customFormat="1" ht="20.100000000000001" customHeight="1">
      <c r="A277" s="285">
        <v>7</v>
      </c>
      <c r="B277" s="3085" t="s">
        <v>424</v>
      </c>
      <c r="C277" s="3101">
        <v>-3874.5827899999999</v>
      </c>
      <c r="D277" s="3101">
        <v>365.68463000000003</v>
      </c>
      <c r="E277" s="3101">
        <v>-119318.43920000001</v>
      </c>
      <c r="F277" s="3101">
        <v>0</v>
      </c>
      <c r="G277" s="3101">
        <v>-30365.76266</v>
      </c>
      <c r="H277" s="3101">
        <f t="shared" ref="H277:H283" si="39">SUM(C277:G277)</f>
        <v>-153193.10002000001</v>
      </c>
      <c r="I277" s="264"/>
      <c r="J277" s="264"/>
    </row>
    <row r="278" spans="1:10" s="52" customFormat="1" ht="20.100000000000001" customHeight="1">
      <c r="A278" s="285">
        <v>8</v>
      </c>
      <c r="B278" s="3085" t="s">
        <v>707</v>
      </c>
      <c r="C278" s="3101">
        <f>SUM(C276:C277)</f>
        <v>30909.073029999992</v>
      </c>
      <c r="D278" s="3101">
        <f>SUM(D276:D277)</f>
        <v>10523.719789999997</v>
      </c>
      <c r="E278" s="3101">
        <f>SUM(E276:E277)</f>
        <v>581708.1924099999</v>
      </c>
      <c r="F278" s="3101">
        <f>SUM(F276:F277)</f>
        <v>0</v>
      </c>
      <c r="G278" s="3101">
        <f>SUM(G276:G277)</f>
        <v>105451.65486000001</v>
      </c>
      <c r="H278" s="3101">
        <f t="shared" si="39"/>
        <v>728592.64008999988</v>
      </c>
      <c r="I278" s="264"/>
      <c r="J278" s="264"/>
    </row>
    <row r="279" spans="1:10" s="52" customFormat="1" ht="20.100000000000001" customHeight="1">
      <c r="A279" s="285"/>
      <c r="B279" s="3085"/>
      <c r="C279" s="3086"/>
      <c r="D279" s="3086"/>
      <c r="E279" s="3086"/>
      <c r="F279" s="3086"/>
      <c r="G279" s="3086"/>
      <c r="H279" s="3086">
        <f t="shared" si="39"/>
        <v>0</v>
      </c>
      <c r="I279" s="264"/>
      <c r="J279" s="264"/>
    </row>
    <row r="280" spans="1:10" s="52" customFormat="1" ht="20.100000000000001" customHeight="1">
      <c r="A280" s="285"/>
      <c r="B280" s="3083" t="s">
        <v>426</v>
      </c>
      <c r="C280" s="3086"/>
      <c r="D280" s="3086"/>
      <c r="E280" s="3086"/>
      <c r="F280" s="3086"/>
      <c r="G280" s="3086"/>
      <c r="H280" s="3086">
        <f t="shared" si="39"/>
        <v>0</v>
      </c>
      <c r="I280" s="264"/>
      <c r="J280" s="264"/>
    </row>
    <row r="281" spans="1:10" s="52" customFormat="1" ht="20.100000000000001" customHeight="1">
      <c r="A281" s="285">
        <v>9</v>
      </c>
      <c r="B281" s="3085" t="s">
        <v>427</v>
      </c>
      <c r="C281" s="3101">
        <v>-12294.173419999999</v>
      </c>
      <c r="D281" s="3101">
        <v>-9802.8914600000007</v>
      </c>
      <c r="E281" s="3101">
        <v>-319820.20795000001</v>
      </c>
      <c r="F281" s="3101">
        <v>0</v>
      </c>
      <c r="G281" s="3101">
        <v>-17483.691890000002</v>
      </c>
      <c r="H281" s="3101">
        <f t="shared" si="39"/>
        <v>-359400.96472000005</v>
      </c>
      <c r="I281" s="264"/>
      <c r="J281" s="264"/>
    </row>
    <row r="282" spans="1:10" s="52" customFormat="1" ht="20.100000000000001" customHeight="1">
      <c r="A282" s="285">
        <v>10</v>
      </c>
      <c r="B282" s="3085" t="s">
        <v>428</v>
      </c>
      <c r="C282" s="3101">
        <v>-1253.6246899999999</v>
      </c>
      <c r="D282" s="3101">
        <v>-63.537820000000202</v>
      </c>
      <c r="E282" s="3101">
        <v>10464.858400000001</v>
      </c>
      <c r="F282" s="3101">
        <v>0</v>
      </c>
      <c r="G282" s="3101">
        <v>-6428.91842</v>
      </c>
      <c r="H282" s="3101">
        <f t="shared" si="39"/>
        <v>2718.7774700000009</v>
      </c>
      <c r="I282" s="264"/>
      <c r="J282" s="264"/>
    </row>
    <row r="283" spans="1:10" s="52" customFormat="1" ht="20.100000000000001" customHeight="1">
      <c r="A283" s="285">
        <v>11</v>
      </c>
      <c r="B283" s="3085" t="s">
        <v>429</v>
      </c>
      <c r="C283" s="3086"/>
      <c r="D283" s="3086"/>
      <c r="E283" s="3086"/>
      <c r="F283" s="3086"/>
      <c r="G283" s="3086"/>
      <c r="H283" s="3086">
        <f t="shared" si="39"/>
        <v>0</v>
      </c>
      <c r="I283" s="264"/>
      <c r="J283" s="264"/>
    </row>
    <row r="284" spans="1:10" s="52" customFormat="1" ht="20.100000000000001" customHeight="1">
      <c r="A284" s="287">
        <v>12</v>
      </c>
      <c r="B284" s="3087" t="s">
        <v>430</v>
      </c>
      <c r="C284" s="3102">
        <f>SUM(C278:C283)</f>
        <v>17361.274919999993</v>
      </c>
      <c r="D284" s="3102">
        <f>SUM(D278:D283)</f>
        <v>657.2905099999964</v>
      </c>
      <c r="E284" s="3102">
        <f>SUM(E278:E283)</f>
        <v>272352.84285999992</v>
      </c>
      <c r="F284" s="3102">
        <f>SUM(F278:F283)</f>
        <v>0</v>
      </c>
      <c r="G284" s="3102">
        <f>SUM(G278:G283)</f>
        <v>81539.044550000006</v>
      </c>
      <c r="H284" s="3101">
        <f>SUM(C284:G284)</f>
        <v>371910.45283999993</v>
      </c>
      <c r="I284" s="288"/>
      <c r="J284" s="264"/>
    </row>
    <row r="285" spans="1:10" s="52" customFormat="1" ht="20.100000000000001" customHeight="1">
      <c r="A285" s="285"/>
      <c r="B285" s="3088"/>
      <c r="C285" s="3086"/>
      <c r="D285" s="3086"/>
      <c r="E285" s="3086"/>
      <c r="F285" s="3086"/>
      <c r="G285" s="3086"/>
      <c r="H285" s="3086">
        <f t="shared" ref="H285:H297" si="40">SUM(C285:G285)</f>
        <v>0</v>
      </c>
      <c r="I285" s="264"/>
      <c r="J285" s="264"/>
    </row>
    <row r="286" spans="1:10" s="52" customFormat="1" ht="20.100000000000001" customHeight="1">
      <c r="A286" s="285"/>
      <c r="B286" s="3089" t="s">
        <v>431</v>
      </c>
      <c r="C286" s="3086"/>
      <c r="D286" s="3086"/>
      <c r="E286" s="3086"/>
      <c r="F286" s="3086"/>
      <c r="G286" s="3086"/>
      <c r="H286" s="3086">
        <f t="shared" si="40"/>
        <v>0</v>
      </c>
      <c r="I286" s="264"/>
      <c r="J286" s="264"/>
    </row>
    <row r="287" spans="1:10" s="52" customFormat="1" ht="20.100000000000001" customHeight="1">
      <c r="A287" s="285">
        <v>13</v>
      </c>
      <c r="B287" s="3085" t="s">
        <v>432</v>
      </c>
      <c r="C287" s="3086"/>
      <c r="D287" s="3086"/>
      <c r="E287" s="3086"/>
      <c r="F287" s="3086"/>
      <c r="G287" s="3086"/>
      <c r="H287" s="3086">
        <f t="shared" si="40"/>
        <v>0</v>
      </c>
      <c r="I287" s="264"/>
      <c r="J287" s="264"/>
    </row>
    <row r="288" spans="1:10" s="52" customFormat="1" ht="20.100000000000001" customHeight="1">
      <c r="A288" s="285">
        <v>14</v>
      </c>
      <c r="B288" s="3083" t="s">
        <v>433</v>
      </c>
      <c r="C288" s="3101">
        <v>4445.8571943210572</v>
      </c>
      <c r="D288" s="3101">
        <v>1392.6411098353497</v>
      </c>
      <c r="E288" s="3101">
        <v>54693.773926243586</v>
      </c>
      <c r="F288" s="3101">
        <v>0</v>
      </c>
      <c r="G288" s="3101">
        <v>10718.950829599999</v>
      </c>
      <c r="H288" s="3101">
        <f t="shared" si="40"/>
        <v>71251.223059999989</v>
      </c>
      <c r="I288" s="264"/>
      <c r="J288" s="264"/>
    </row>
    <row r="289" spans="1:14" s="52" customFormat="1" ht="20.100000000000001" customHeight="1">
      <c r="A289" s="285">
        <v>15</v>
      </c>
      <c r="B289" s="3085" t="s">
        <v>434</v>
      </c>
      <c r="C289" s="3101">
        <v>644.03753467908757</v>
      </c>
      <c r="D289" s="3101">
        <v>98.182000000000002</v>
      </c>
      <c r="E289" s="3101">
        <v>3941.2860000000001</v>
      </c>
      <c r="F289" s="3101">
        <v>0</v>
      </c>
      <c r="G289" s="3101">
        <v>800.1843014423149</v>
      </c>
      <c r="H289" s="3101">
        <f t="shared" si="40"/>
        <v>5483.6898361214025</v>
      </c>
      <c r="I289" s="264"/>
      <c r="J289" s="264"/>
    </row>
    <row r="290" spans="1:14" s="52" customFormat="1" ht="20.100000000000001" customHeight="1">
      <c r="A290" s="285"/>
      <c r="B290" s="3083" t="s">
        <v>435</v>
      </c>
      <c r="C290" s="3086"/>
      <c r="D290" s="3086"/>
      <c r="E290" s="3086"/>
      <c r="F290" s="3086"/>
      <c r="G290" s="3086"/>
      <c r="H290" s="3086">
        <f t="shared" si="40"/>
        <v>0</v>
      </c>
      <c r="I290" s="264"/>
      <c r="J290" s="264"/>
    </row>
    <row r="291" spans="1:14" s="52" customFormat="1" ht="30" customHeight="1">
      <c r="A291" s="285">
        <v>16</v>
      </c>
      <c r="B291" s="3091" t="s">
        <v>436</v>
      </c>
      <c r="C291" s="3101">
        <v>-19524.583999999999</v>
      </c>
      <c r="D291" s="3101">
        <v>-6580.6157499999999</v>
      </c>
      <c r="E291" s="3101">
        <v>-187116.31762000002</v>
      </c>
      <c r="F291" s="3101">
        <v>0</v>
      </c>
      <c r="G291" s="3101">
        <v>-38322.042000000001</v>
      </c>
      <c r="H291" s="3101">
        <f t="shared" si="40"/>
        <v>-251543.55937000003</v>
      </c>
      <c r="I291" s="264"/>
      <c r="J291" s="264"/>
    </row>
    <row r="292" spans="1:14" s="52" customFormat="1" ht="20.100000000000001" customHeight="1">
      <c r="A292" s="285">
        <v>17</v>
      </c>
      <c r="B292" s="3085" t="s">
        <v>437</v>
      </c>
      <c r="C292" s="3086"/>
      <c r="D292" s="3086"/>
      <c r="E292" s="3086"/>
      <c r="F292" s="3086"/>
      <c r="G292" s="3086"/>
      <c r="H292" s="3086">
        <f t="shared" si="40"/>
        <v>0</v>
      </c>
      <c r="I292" s="264"/>
      <c r="J292" s="264"/>
    </row>
    <row r="293" spans="1:14" s="52" customFormat="1" ht="20.100000000000001" customHeight="1">
      <c r="A293" s="285">
        <v>18</v>
      </c>
      <c r="B293" s="3083" t="s">
        <v>438</v>
      </c>
      <c r="C293" s="3101">
        <f>SUM(C284:C292)</f>
        <v>2926.5856490001388</v>
      </c>
      <c r="D293" s="3101">
        <f>SUM(D284:D292)</f>
        <v>-4432.5021301646539</v>
      </c>
      <c r="E293" s="3101">
        <f>SUM(E284:E292)</f>
        <v>143871.58516624352</v>
      </c>
      <c r="F293" s="3101">
        <f>SUM(F284:F292)</f>
        <v>0</v>
      </c>
      <c r="G293" s="3101">
        <f>SUM(G284:G292)</f>
        <v>54736.137681042324</v>
      </c>
      <c r="H293" s="3101">
        <f>SUM(C293:G293)</f>
        <v>197101.80636612134</v>
      </c>
      <c r="I293" s="264"/>
      <c r="J293" s="264"/>
    </row>
    <row r="294" spans="1:14" s="52" customFormat="1" ht="20.100000000000001" customHeight="1">
      <c r="A294" s="285">
        <v>19</v>
      </c>
      <c r="B294" s="3085" t="s">
        <v>439</v>
      </c>
      <c r="C294" s="3101"/>
      <c r="D294" s="3101"/>
      <c r="E294" s="3101"/>
      <c r="F294" s="3101"/>
      <c r="G294" s="3101"/>
      <c r="H294" s="3101">
        <f t="shared" si="40"/>
        <v>0</v>
      </c>
      <c r="I294" s="264"/>
      <c r="J294" s="264"/>
    </row>
    <row r="295" spans="1:14" s="52" customFormat="1" ht="20.100000000000001" customHeight="1">
      <c r="A295" s="285">
        <v>20</v>
      </c>
      <c r="B295" s="3093" t="s">
        <v>440</v>
      </c>
      <c r="C295" s="3101">
        <f>SUM(C293:C294)</f>
        <v>2926.5856490001388</v>
      </c>
      <c r="D295" s="3101">
        <f>SUM(D293:D294)</f>
        <v>-4432.5021301646539</v>
      </c>
      <c r="E295" s="3101">
        <f>SUM(E293:E294)</f>
        <v>143871.58516624352</v>
      </c>
      <c r="F295" s="3101">
        <f>SUM(F293:F294)</f>
        <v>0</v>
      </c>
      <c r="G295" s="3101">
        <f>SUM(G293:G294)</f>
        <v>54736.137681042324</v>
      </c>
      <c r="H295" s="3101">
        <f t="shared" si="40"/>
        <v>197101.80636612134</v>
      </c>
      <c r="I295" s="264"/>
      <c r="J295" s="264"/>
    </row>
    <row r="296" spans="1:14" s="52" customFormat="1" ht="20.100000000000001" customHeight="1">
      <c r="A296" s="285">
        <v>21</v>
      </c>
      <c r="B296" s="3093" t="s">
        <v>441</v>
      </c>
      <c r="C296" s="3101"/>
      <c r="D296" s="3101"/>
      <c r="E296" s="3101"/>
      <c r="F296" s="3101"/>
      <c r="G296" s="3101"/>
      <c r="H296" s="3101">
        <f t="shared" si="40"/>
        <v>0</v>
      </c>
      <c r="I296" s="264"/>
      <c r="J296" s="264"/>
    </row>
    <row r="297" spans="1:14" s="52" customFormat="1" ht="20.100000000000001" customHeight="1">
      <c r="A297" s="285">
        <v>22</v>
      </c>
      <c r="B297" s="3093" t="s">
        <v>442</v>
      </c>
      <c r="C297" s="3101">
        <f>SUM(C295:C296)</f>
        <v>2926.5856490001388</v>
      </c>
      <c r="D297" s="3101">
        <f>SUM(D295:D296)</f>
        <v>-4432.5021301646539</v>
      </c>
      <c r="E297" s="3101">
        <f>SUM(E295:E296)</f>
        <v>143871.58516624352</v>
      </c>
      <c r="F297" s="3101">
        <f>SUM(F295:F296)</f>
        <v>0</v>
      </c>
      <c r="G297" s="3101">
        <f>SUM(G295:G296)</f>
        <v>54736.137681042324</v>
      </c>
      <c r="H297" s="3101">
        <f t="shared" si="40"/>
        <v>197101.80636612134</v>
      </c>
      <c r="I297" s="284"/>
      <c r="J297" s="264"/>
    </row>
    <row r="298" spans="1:14" s="52" customFormat="1" ht="17.45" customHeight="1">
      <c r="A298" s="285"/>
      <c r="B298" s="290"/>
      <c r="C298" s="289"/>
      <c r="D298" s="289"/>
      <c r="E298" s="289"/>
      <c r="F298" s="289"/>
      <c r="G298" s="289"/>
      <c r="H298" s="289"/>
      <c r="I298" s="284"/>
      <c r="J298" s="264"/>
    </row>
    <row r="299" spans="1:14">
      <c r="C299" s="292"/>
      <c r="D299" s="292"/>
      <c r="E299" s="292"/>
      <c r="F299" s="292"/>
      <c r="G299" s="292"/>
      <c r="H299" s="292"/>
    </row>
    <row r="300" spans="1:14" s="54" customFormat="1" ht="17.45" customHeight="1">
      <c r="A300" s="3847">
        <v>9</v>
      </c>
      <c r="B300" s="3844" t="s">
        <v>131</v>
      </c>
      <c r="C300" s="3842">
        <v>2012</v>
      </c>
      <c r="D300" s="3842"/>
      <c r="E300" s="3842"/>
      <c r="F300" s="3842"/>
      <c r="G300" s="3842"/>
      <c r="H300" s="3842"/>
      <c r="I300" s="109"/>
      <c r="J300" s="109"/>
    </row>
    <row r="301" spans="1:14" s="54" customFormat="1" ht="17.45" customHeight="1">
      <c r="A301" s="3847"/>
      <c r="B301" s="3844"/>
      <c r="C301" s="2917" t="s">
        <v>412</v>
      </c>
      <c r="D301" s="2917" t="s">
        <v>413</v>
      </c>
      <c r="E301" s="2917" t="s">
        <v>414</v>
      </c>
      <c r="F301" s="2917" t="s">
        <v>701</v>
      </c>
      <c r="G301" s="2917" t="s">
        <v>702</v>
      </c>
      <c r="H301" s="2917" t="s">
        <v>118</v>
      </c>
      <c r="I301" s="3617"/>
      <c r="J301" s="109"/>
    </row>
    <row r="302" spans="1:14" s="54" customFormat="1" ht="17.45" customHeight="1">
      <c r="A302" s="3847"/>
      <c r="B302" s="3844"/>
      <c r="C302" s="3082" t="s">
        <v>140</v>
      </c>
      <c r="D302" s="3082" t="s">
        <v>140</v>
      </c>
      <c r="E302" s="3082" t="s">
        <v>140</v>
      </c>
      <c r="F302" s="3082" t="s">
        <v>140</v>
      </c>
      <c r="G302" s="3082" t="s">
        <v>140</v>
      </c>
      <c r="H302" s="3082" t="s">
        <v>140</v>
      </c>
      <c r="I302" s="3617"/>
      <c r="J302" s="109"/>
    </row>
    <row r="303" spans="1:14" s="52" customFormat="1" ht="17.45" customHeight="1">
      <c r="A303" s="285">
        <v>1</v>
      </c>
      <c r="B303" s="3083" t="s">
        <v>211</v>
      </c>
      <c r="C303" s="3843"/>
      <c r="D303" s="3843"/>
      <c r="E303" s="3843"/>
      <c r="F303" s="3843"/>
      <c r="G303" s="3843"/>
      <c r="H303" s="2016">
        <f>+H311+H320+H321+H322</f>
        <v>1295136.7492199999</v>
      </c>
      <c r="I303" s="264"/>
      <c r="J303" s="278"/>
      <c r="K303" s="274"/>
      <c r="L303" s="274"/>
      <c r="M303" s="274"/>
      <c r="N303" s="274"/>
    </row>
    <row r="304" spans="1:14" s="52" customFormat="1" ht="5.25" customHeight="1">
      <c r="A304" s="285"/>
      <c r="B304" s="3083"/>
      <c r="C304" s="2107"/>
      <c r="D304" s="2107"/>
      <c r="E304" s="2107"/>
      <c r="F304" s="2107"/>
      <c r="G304" s="2107"/>
      <c r="H304" s="2107"/>
      <c r="I304" s="264"/>
      <c r="J304" s="278"/>
      <c r="K304" s="274"/>
      <c r="L304" s="274"/>
      <c r="M304" s="274"/>
      <c r="N304" s="274"/>
    </row>
    <row r="305" spans="1:10" s="52" customFormat="1" ht="20.100000000000001" customHeight="1">
      <c r="A305" s="285">
        <v>2</v>
      </c>
      <c r="B305" s="3085" t="s">
        <v>333</v>
      </c>
      <c r="C305" s="3101">
        <v>303185.35358</v>
      </c>
      <c r="D305" s="3101">
        <v>25334.732419999997</v>
      </c>
      <c r="E305" s="3101">
        <v>1188867.38537</v>
      </c>
      <c r="F305" s="3101">
        <v>4408.5809300000001</v>
      </c>
      <c r="G305" s="3101">
        <v>172547.89234999998</v>
      </c>
      <c r="H305" s="3101">
        <f>SUM(C305:G305)</f>
        <v>1694343.94465</v>
      </c>
      <c r="I305" s="286"/>
      <c r="J305" s="264"/>
    </row>
    <row r="306" spans="1:10" s="52" customFormat="1" ht="20.100000000000001" customHeight="1">
      <c r="A306" s="285">
        <v>3</v>
      </c>
      <c r="B306" s="3085" t="s">
        <v>420</v>
      </c>
      <c r="C306" s="3101"/>
      <c r="D306" s="3101"/>
      <c r="E306" s="3086"/>
      <c r="F306" s="3086"/>
      <c r="G306" s="3086"/>
      <c r="H306" s="3101">
        <f>SUM(C306:G306)</f>
        <v>0</v>
      </c>
      <c r="I306" s="286"/>
      <c r="J306" s="264"/>
    </row>
    <row r="307" spans="1:10" s="52" customFormat="1" ht="20.100000000000001" customHeight="1">
      <c r="A307" s="285">
        <v>4</v>
      </c>
      <c r="B307" s="3085" t="s">
        <v>421</v>
      </c>
      <c r="C307" s="3101">
        <v>-62030.205950000003</v>
      </c>
      <c r="D307" s="3101">
        <v>-44.105839999999993</v>
      </c>
      <c r="E307" s="3086">
        <v>0</v>
      </c>
      <c r="F307" s="3101">
        <v>-414.97453000000002</v>
      </c>
      <c r="G307" s="3101">
        <v>-8024.5410700000002</v>
      </c>
      <c r="H307" s="3101">
        <f>SUM(C307:G307)</f>
        <v>-70513.827390000006</v>
      </c>
      <c r="I307" s="286"/>
      <c r="J307" s="264"/>
    </row>
    <row r="308" spans="1:10" s="52" customFormat="1" ht="20.100000000000001" customHeight="1">
      <c r="A308" s="285">
        <v>5</v>
      </c>
      <c r="B308" s="3085" t="s">
        <v>422</v>
      </c>
      <c r="C308" s="3101">
        <v>-208036.72594999999</v>
      </c>
      <c r="D308" s="3101">
        <v>-20181.906709999999</v>
      </c>
      <c r="E308" s="3101">
        <v>-32567.107329999999</v>
      </c>
      <c r="F308" s="3101">
        <v>-81.653729999999996</v>
      </c>
      <c r="G308" s="3101">
        <v>-58743.803409999993</v>
      </c>
      <c r="H308" s="3101">
        <f>SUM(C308:G308)</f>
        <v>-319611.19712999999</v>
      </c>
      <c r="I308" s="264"/>
      <c r="J308" s="264"/>
    </row>
    <row r="309" spans="1:10" s="52" customFormat="1" ht="20.100000000000001" customHeight="1">
      <c r="A309" s="285">
        <v>6</v>
      </c>
      <c r="B309" s="3085" t="s">
        <v>706</v>
      </c>
      <c r="C309" s="3101">
        <f>SUM(C305:C308)</f>
        <v>33118.421679999999</v>
      </c>
      <c r="D309" s="3101">
        <f>SUM(D305:D308)</f>
        <v>5108.7198699999972</v>
      </c>
      <c r="E309" s="3101">
        <f>SUM(E305:E308)</f>
        <v>1156300.27804</v>
      </c>
      <c r="F309" s="3101">
        <f>SUM(F305:F308)</f>
        <v>3911.9526700000001</v>
      </c>
      <c r="G309" s="3101">
        <f>SUM(G305:G308)</f>
        <v>105779.54786999998</v>
      </c>
      <c r="H309" s="3101">
        <f>SUM(C309:G309)</f>
        <v>1304218.92013</v>
      </c>
      <c r="I309" s="264"/>
      <c r="J309" s="264"/>
    </row>
    <row r="310" spans="1:10" s="52" customFormat="1" ht="20.100000000000001" customHeight="1">
      <c r="A310" s="285">
        <v>7</v>
      </c>
      <c r="B310" s="3085" t="s">
        <v>424</v>
      </c>
      <c r="C310" s="3101">
        <v>-1256.182</v>
      </c>
      <c r="D310" s="3101">
        <v>37.149000000000001</v>
      </c>
      <c r="E310" s="3101">
        <v>-121210.13800000001</v>
      </c>
      <c r="F310" s="3101">
        <v>777.08100000000002</v>
      </c>
      <c r="G310" s="3101">
        <v>-20617.780910000001</v>
      </c>
      <c r="H310" s="3101">
        <f t="shared" ref="H310:H316" si="41">SUM(C310:G310)</f>
        <v>-142269.87091</v>
      </c>
      <c r="I310" s="264"/>
      <c r="J310" s="264"/>
    </row>
    <row r="311" spans="1:10" s="52" customFormat="1" ht="20.100000000000001" customHeight="1">
      <c r="A311" s="285">
        <v>8</v>
      </c>
      <c r="B311" s="3085" t="s">
        <v>707</v>
      </c>
      <c r="C311" s="3101">
        <f>SUM(C309:C310)</f>
        <v>31862.239679999999</v>
      </c>
      <c r="D311" s="3101">
        <f>SUM(D309:D310)</f>
        <v>5145.8688699999975</v>
      </c>
      <c r="E311" s="3101">
        <f>SUM(E309:E310)</f>
        <v>1035090.14004</v>
      </c>
      <c r="F311" s="3101">
        <f>SUM(F309:F310)</f>
        <v>4689.0336699999998</v>
      </c>
      <c r="G311" s="3101">
        <f>SUM(G309:G310)</f>
        <v>85161.766959999979</v>
      </c>
      <c r="H311" s="3101">
        <f t="shared" si="41"/>
        <v>1161949.0492199999</v>
      </c>
      <c r="I311" s="264"/>
      <c r="J311" s="264"/>
    </row>
    <row r="312" spans="1:10" s="52" customFormat="1" ht="20.100000000000001" customHeight="1">
      <c r="A312" s="285"/>
      <c r="B312" s="3085"/>
      <c r="C312" s="3086"/>
      <c r="D312" s="3086"/>
      <c r="E312" s="3086"/>
      <c r="F312" s="3086"/>
      <c r="G312" s="3086"/>
      <c r="H312" s="3101">
        <f t="shared" si="41"/>
        <v>0</v>
      </c>
      <c r="I312" s="264"/>
      <c r="J312" s="264"/>
    </row>
    <row r="313" spans="1:10" s="52" customFormat="1" ht="20.100000000000001" customHeight="1">
      <c r="A313" s="285"/>
      <c r="B313" s="3083" t="s">
        <v>426</v>
      </c>
      <c r="C313" s="3086"/>
      <c r="D313" s="3086"/>
      <c r="E313" s="3086"/>
      <c r="F313" s="3086"/>
      <c r="G313" s="3086"/>
      <c r="H313" s="3101">
        <f t="shared" si="41"/>
        <v>0</v>
      </c>
      <c r="I313" s="264"/>
      <c r="J313" s="264"/>
    </row>
    <row r="314" spans="1:10" s="52" customFormat="1" ht="20.100000000000001" customHeight="1">
      <c r="A314" s="285">
        <v>9</v>
      </c>
      <c r="B314" s="3085" t="s">
        <v>427</v>
      </c>
      <c r="C314" s="3101">
        <v>-10654</v>
      </c>
      <c r="D314" s="3101">
        <v>-2109</v>
      </c>
      <c r="E314" s="3101">
        <v>-695731</v>
      </c>
      <c r="F314" s="3101">
        <v>-3638</v>
      </c>
      <c r="G314" s="3101">
        <v>-90240</v>
      </c>
      <c r="H314" s="3101">
        <f t="shared" si="41"/>
        <v>-802372</v>
      </c>
      <c r="I314" s="264"/>
      <c r="J314" s="264"/>
    </row>
    <row r="315" spans="1:10" s="52" customFormat="1" ht="20.100000000000001" customHeight="1">
      <c r="A315" s="285">
        <v>10</v>
      </c>
      <c r="B315" s="3085" t="s">
        <v>428</v>
      </c>
      <c r="C315" s="3101">
        <v>50367</v>
      </c>
      <c r="D315" s="3101">
        <v>5718</v>
      </c>
      <c r="E315" s="3101">
        <v>-71222</v>
      </c>
      <c r="F315" s="3101">
        <v>-237</v>
      </c>
      <c r="G315" s="3101">
        <v>5562</v>
      </c>
      <c r="H315" s="3101">
        <f t="shared" si="41"/>
        <v>-9812</v>
      </c>
      <c r="I315" s="264"/>
      <c r="J315" s="264"/>
    </row>
    <row r="316" spans="1:10" s="52" customFormat="1" ht="20.100000000000001" customHeight="1">
      <c r="A316" s="285">
        <v>11</v>
      </c>
      <c r="B316" s="3085" t="s">
        <v>429</v>
      </c>
      <c r="C316" s="3101">
        <v>-1171</v>
      </c>
      <c r="D316" s="3101">
        <v>23</v>
      </c>
      <c r="E316" s="3101">
        <v>-6934</v>
      </c>
      <c r="F316" s="3101">
        <v>-4</v>
      </c>
      <c r="G316" s="3101">
        <v>-23</v>
      </c>
      <c r="H316" s="3101">
        <f t="shared" si="41"/>
        <v>-8109</v>
      </c>
      <c r="I316" s="264"/>
      <c r="J316" s="264"/>
    </row>
    <row r="317" spans="1:10" s="52" customFormat="1" ht="20.100000000000001" customHeight="1">
      <c r="A317" s="287">
        <v>12</v>
      </c>
      <c r="B317" s="3087" t="s">
        <v>430</v>
      </c>
      <c r="C317" s="3102">
        <f>SUM(C311:C316)</f>
        <v>70404.239679999999</v>
      </c>
      <c r="D317" s="3102">
        <f>SUM(D311:D316)</f>
        <v>8777.8688699999984</v>
      </c>
      <c r="E317" s="3102">
        <f>SUM(E311:E316)</f>
        <v>261203.14003999997</v>
      </c>
      <c r="F317" s="3102">
        <f>SUM(F311:F316)</f>
        <v>810.0336699999998</v>
      </c>
      <c r="G317" s="3102">
        <f>SUM(G311:G316)</f>
        <v>460.76695999997901</v>
      </c>
      <c r="H317" s="3101">
        <f>SUM(C317:G317)</f>
        <v>341656.04921999993</v>
      </c>
      <c r="I317" s="288"/>
      <c r="J317" s="264"/>
    </row>
    <row r="318" spans="1:10" s="52" customFormat="1" ht="20.100000000000001" customHeight="1">
      <c r="A318" s="285"/>
      <c r="B318" s="3088"/>
      <c r="C318" s="3086"/>
      <c r="D318" s="3086"/>
      <c r="E318" s="3086"/>
      <c r="F318" s="3086"/>
      <c r="G318" s="3086"/>
      <c r="H318" s="3101">
        <f>SUM(C318:G318)</f>
        <v>0</v>
      </c>
      <c r="I318" s="264"/>
      <c r="J318" s="264"/>
    </row>
    <row r="319" spans="1:10" s="52" customFormat="1" ht="20.100000000000001" customHeight="1">
      <c r="A319" s="285"/>
      <c r="B319" s="3089" t="s">
        <v>431</v>
      </c>
      <c r="C319" s="3086"/>
      <c r="D319" s="3086"/>
      <c r="E319" s="3086"/>
      <c r="F319" s="3086"/>
      <c r="G319" s="3086"/>
      <c r="H319" s="3101">
        <f>SUM(C319:G319)</f>
        <v>0</v>
      </c>
      <c r="I319" s="264"/>
      <c r="J319" s="264"/>
    </row>
    <row r="320" spans="1:10" s="52" customFormat="1" ht="20.100000000000001" customHeight="1">
      <c r="A320" s="285">
        <v>13</v>
      </c>
      <c r="B320" s="3085" t="s">
        <v>432</v>
      </c>
      <c r="C320" s="3092"/>
      <c r="D320" s="3092"/>
      <c r="E320" s="3092"/>
      <c r="F320" s="3092"/>
      <c r="G320" s="3092"/>
      <c r="H320" s="3101">
        <v>0</v>
      </c>
      <c r="I320" s="264"/>
      <c r="J320" s="264"/>
    </row>
    <row r="321" spans="1:14" s="52" customFormat="1" ht="20.100000000000001" customHeight="1">
      <c r="A321" s="285">
        <v>14</v>
      </c>
      <c r="B321" s="3083" t="s">
        <v>433</v>
      </c>
      <c r="C321" s="3092"/>
      <c r="D321" s="3092"/>
      <c r="E321" s="3092"/>
      <c r="F321" s="3092"/>
      <c r="G321" s="3092"/>
      <c r="H321" s="3101">
        <v>130481</v>
      </c>
      <c r="I321" s="264"/>
      <c r="J321" s="264"/>
    </row>
    <row r="322" spans="1:14" s="52" customFormat="1" ht="20.100000000000001" customHeight="1">
      <c r="A322" s="285">
        <v>15</v>
      </c>
      <c r="B322" s="3085" t="s">
        <v>434</v>
      </c>
      <c r="C322" s="3092"/>
      <c r="D322" s="3092"/>
      <c r="E322" s="3092"/>
      <c r="F322" s="3092"/>
      <c r="G322" s="3092"/>
      <c r="H322" s="3101">
        <v>2706.7</v>
      </c>
      <c r="I322" s="264"/>
      <c r="J322" s="264"/>
    </row>
    <row r="323" spans="1:14" s="52" customFormat="1" ht="20.100000000000001" customHeight="1">
      <c r="A323" s="285"/>
      <c r="B323" s="3083" t="s">
        <v>435</v>
      </c>
      <c r="C323" s="3086"/>
      <c r="D323" s="3086"/>
      <c r="E323" s="3086"/>
      <c r="F323" s="3086"/>
      <c r="G323" s="3086"/>
      <c r="H323" s="3101">
        <v>0</v>
      </c>
      <c r="I323" s="264"/>
      <c r="J323" s="264"/>
    </row>
    <row r="324" spans="1:14" s="52" customFormat="1" ht="31.5" customHeight="1">
      <c r="A324" s="285">
        <v>16</v>
      </c>
      <c r="B324" s="3091" t="s">
        <v>436</v>
      </c>
      <c r="C324" s="3086"/>
      <c r="D324" s="3086"/>
      <c r="E324" s="3086"/>
      <c r="F324" s="3086"/>
      <c r="G324" s="3086"/>
      <c r="H324" s="3101">
        <v>-367155</v>
      </c>
      <c r="I324" s="264"/>
      <c r="J324" s="264"/>
    </row>
    <row r="325" spans="1:14" s="52" customFormat="1" ht="20.100000000000001" customHeight="1">
      <c r="A325" s="285">
        <v>17</v>
      </c>
      <c r="B325" s="3085" t="s">
        <v>437</v>
      </c>
      <c r="C325" s="3086"/>
      <c r="D325" s="3086"/>
      <c r="E325" s="3086"/>
      <c r="F325" s="3086"/>
      <c r="G325" s="3086"/>
      <c r="H325" s="3101">
        <v>-7373</v>
      </c>
      <c r="I325" s="264"/>
      <c r="J325" s="264"/>
    </row>
    <row r="326" spans="1:14" s="52" customFormat="1" ht="20.100000000000001" customHeight="1">
      <c r="A326" s="285">
        <v>18</v>
      </c>
      <c r="B326" s="3083" t="s">
        <v>438</v>
      </c>
      <c r="C326" s="3101">
        <f t="shared" ref="C326:H326" si="42">SUM(C317:C325)</f>
        <v>70404.239679999999</v>
      </c>
      <c r="D326" s="3101">
        <f t="shared" si="42"/>
        <v>8777.8688699999984</v>
      </c>
      <c r="E326" s="3101">
        <f t="shared" si="42"/>
        <v>261203.14003999997</v>
      </c>
      <c r="F326" s="3101">
        <f t="shared" si="42"/>
        <v>810.0336699999998</v>
      </c>
      <c r="G326" s="3101">
        <f t="shared" si="42"/>
        <v>460.76695999997901</v>
      </c>
      <c r="H326" s="3101">
        <f t="shared" si="42"/>
        <v>100315.74921999994</v>
      </c>
      <c r="I326" s="264"/>
      <c r="J326" s="264"/>
    </row>
    <row r="327" spans="1:14" s="52" customFormat="1" ht="20.100000000000001" customHeight="1">
      <c r="A327" s="285">
        <v>19</v>
      </c>
      <c r="B327" s="3085" t="s">
        <v>439</v>
      </c>
      <c r="C327" s="3086"/>
      <c r="D327" s="3086"/>
      <c r="E327" s="3086"/>
      <c r="F327" s="3086"/>
      <c r="G327" s="3086"/>
      <c r="H327" s="3101">
        <f>SUM(C327:G327)</f>
        <v>0</v>
      </c>
      <c r="I327" s="264"/>
      <c r="J327" s="264"/>
    </row>
    <row r="328" spans="1:14" s="52" customFormat="1" ht="20.100000000000001" customHeight="1">
      <c r="A328" s="285">
        <v>20</v>
      </c>
      <c r="B328" s="3093" t="s">
        <v>440</v>
      </c>
      <c r="C328" s="3101">
        <f t="shared" ref="C328:H328" si="43">SUM(C326:C327)</f>
        <v>70404.239679999999</v>
      </c>
      <c r="D328" s="3101">
        <f t="shared" si="43"/>
        <v>8777.8688699999984</v>
      </c>
      <c r="E328" s="3101">
        <f t="shared" si="43"/>
        <v>261203.14003999997</v>
      </c>
      <c r="F328" s="3101">
        <f t="shared" si="43"/>
        <v>810.0336699999998</v>
      </c>
      <c r="G328" s="3101">
        <f t="shared" si="43"/>
        <v>460.76695999997901</v>
      </c>
      <c r="H328" s="3101">
        <f t="shared" si="43"/>
        <v>100315.74921999994</v>
      </c>
      <c r="I328" s="264"/>
      <c r="J328" s="264"/>
    </row>
    <row r="329" spans="1:14" s="52" customFormat="1" ht="20.100000000000001" customHeight="1">
      <c r="A329" s="285">
        <v>21</v>
      </c>
      <c r="B329" s="3093" t="s">
        <v>441</v>
      </c>
      <c r="C329" s="3086"/>
      <c r="D329" s="3086"/>
      <c r="E329" s="3086"/>
      <c r="F329" s="3086"/>
      <c r="G329" s="3086"/>
      <c r="H329" s="3101">
        <f>+'[13]Sheet 2 - General Insurance'!$H$154</f>
        <v>-25772.100600000002</v>
      </c>
      <c r="I329" s="264"/>
      <c r="J329" s="264"/>
    </row>
    <row r="330" spans="1:14" s="52" customFormat="1" ht="20.100000000000001" customHeight="1">
      <c r="A330" s="285">
        <v>22</v>
      </c>
      <c r="B330" s="3093" t="s">
        <v>442</v>
      </c>
      <c r="C330" s="3101">
        <f t="shared" ref="C330:H330" si="44">SUM(C328:C329)</f>
        <v>70404.239679999999</v>
      </c>
      <c r="D330" s="3101">
        <f t="shared" si="44"/>
        <v>8777.8688699999984</v>
      </c>
      <c r="E330" s="3101">
        <f t="shared" si="44"/>
        <v>261203.14003999997</v>
      </c>
      <c r="F330" s="3101">
        <f t="shared" si="44"/>
        <v>810.0336699999998</v>
      </c>
      <c r="G330" s="3101">
        <f t="shared" si="44"/>
        <v>460.76695999997901</v>
      </c>
      <c r="H330" s="3101">
        <f t="shared" si="44"/>
        <v>74543.648619999934</v>
      </c>
      <c r="I330" s="284"/>
      <c r="J330" s="264"/>
    </row>
    <row r="331" spans="1:14" s="52" customFormat="1" ht="17.45" customHeight="1">
      <c r="A331" s="285"/>
      <c r="B331" s="290"/>
      <c r="C331" s="289"/>
      <c r="D331" s="289"/>
      <c r="E331" s="289"/>
      <c r="F331" s="289"/>
      <c r="G331" s="289"/>
      <c r="H331" s="289"/>
      <c r="I331" s="284"/>
      <c r="J331" s="264"/>
    </row>
    <row r="332" spans="1:14">
      <c r="C332" s="292"/>
      <c r="D332" s="292"/>
      <c r="E332" s="292"/>
      <c r="F332" s="292"/>
      <c r="G332" s="292"/>
      <c r="H332" s="292"/>
    </row>
    <row r="333" spans="1:14" s="54" customFormat="1" ht="17.45" customHeight="1">
      <c r="A333" s="3847">
        <v>10</v>
      </c>
      <c r="B333" s="3844" t="s">
        <v>132</v>
      </c>
      <c r="C333" s="3842">
        <v>2012</v>
      </c>
      <c r="D333" s="3842"/>
      <c r="E333" s="3842"/>
      <c r="F333" s="3842"/>
      <c r="G333" s="3842"/>
      <c r="H333" s="3842"/>
      <c r="I333" s="109"/>
      <c r="J333" s="109"/>
    </row>
    <row r="334" spans="1:14" s="54" customFormat="1" ht="21.75" customHeight="1">
      <c r="A334" s="3847"/>
      <c r="B334" s="3844"/>
      <c r="C334" s="2917" t="s">
        <v>412</v>
      </c>
      <c r="D334" s="2917" t="s">
        <v>413</v>
      </c>
      <c r="E334" s="2917" t="s">
        <v>414</v>
      </c>
      <c r="F334" s="2917" t="s">
        <v>701</v>
      </c>
      <c r="G334" s="2917" t="s">
        <v>702</v>
      </c>
      <c r="H334" s="2917" t="s">
        <v>118</v>
      </c>
      <c r="I334" s="3617"/>
      <c r="J334" s="109"/>
    </row>
    <row r="335" spans="1:14" s="54" customFormat="1" ht="17.45" customHeight="1">
      <c r="A335" s="3847"/>
      <c r="B335" s="3844"/>
      <c r="C335" s="3082" t="s">
        <v>140</v>
      </c>
      <c r="D335" s="3082" t="s">
        <v>140</v>
      </c>
      <c r="E335" s="3082" t="s">
        <v>140</v>
      </c>
      <c r="F335" s="3082" t="s">
        <v>140</v>
      </c>
      <c r="G335" s="3082" t="s">
        <v>140</v>
      </c>
      <c r="H335" s="3082" t="s">
        <v>140</v>
      </c>
      <c r="I335" s="3617"/>
      <c r="J335" s="109"/>
    </row>
    <row r="336" spans="1:14" s="52" customFormat="1" ht="17.45" customHeight="1">
      <c r="A336" s="285">
        <v>1</v>
      </c>
      <c r="B336" s="3083" t="s">
        <v>211</v>
      </c>
      <c r="C336" s="3843"/>
      <c r="D336" s="3843"/>
      <c r="E336" s="3843"/>
      <c r="F336" s="3843"/>
      <c r="G336" s="3843"/>
      <c r="H336" s="3103">
        <f>+H344+H353+H354+H355</f>
        <v>5079536.0643999791</v>
      </c>
      <c r="I336" s="264"/>
      <c r="J336" s="278"/>
      <c r="K336" s="274"/>
      <c r="L336" s="274"/>
      <c r="M336" s="274"/>
      <c r="N336" s="274"/>
    </row>
    <row r="337" spans="1:14" s="52" customFormat="1" ht="6" customHeight="1">
      <c r="A337" s="285"/>
      <c r="B337" s="3083"/>
      <c r="C337" s="2107"/>
      <c r="D337" s="2107"/>
      <c r="E337" s="2107"/>
      <c r="F337" s="2107"/>
      <c r="G337" s="2107"/>
      <c r="H337" s="2107"/>
      <c r="I337" s="264"/>
      <c r="J337" s="278"/>
      <c r="K337" s="274"/>
      <c r="L337" s="274"/>
      <c r="M337" s="274"/>
      <c r="N337" s="274"/>
    </row>
    <row r="338" spans="1:14" s="52" customFormat="1" ht="20.100000000000001" customHeight="1">
      <c r="A338" s="285">
        <v>2</v>
      </c>
      <c r="B338" s="3085" t="s">
        <v>333</v>
      </c>
      <c r="C338" s="3101">
        <v>530453.48548999894</v>
      </c>
      <c r="D338" s="3101">
        <v>133540.77963</v>
      </c>
      <c r="E338" s="3101">
        <v>3838492.3373499797</v>
      </c>
      <c r="F338" s="3086">
        <v>0</v>
      </c>
      <c r="G338" s="3101">
        <v>753924.01540999999</v>
      </c>
      <c r="H338" s="3101">
        <f>SUM(C338:G338)</f>
        <v>5256410.6178799793</v>
      </c>
      <c r="I338" s="286"/>
      <c r="J338" s="264"/>
    </row>
    <row r="339" spans="1:14" s="52" customFormat="1" ht="20.100000000000001" customHeight="1">
      <c r="A339" s="285">
        <v>3</v>
      </c>
      <c r="B339" s="3085" t="s">
        <v>420</v>
      </c>
      <c r="C339" s="3086"/>
      <c r="D339" s="3086"/>
      <c r="E339" s="3086"/>
      <c r="F339" s="3086"/>
      <c r="G339" s="3086"/>
      <c r="H339" s="3086">
        <f>SUM(C339:G339)</f>
        <v>0</v>
      </c>
      <c r="I339" s="286"/>
      <c r="J339" s="264"/>
    </row>
    <row r="340" spans="1:14" s="52" customFormat="1" ht="20.100000000000001" customHeight="1">
      <c r="A340" s="285">
        <v>4</v>
      </c>
      <c r="B340" s="3085" t="s">
        <v>421</v>
      </c>
      <c r="C340" s="3104">
        <v>-134296.63466000001</v>
      </c>
      <c r="D340" s="3104">
        <v>-3314.44794</v>
      </c>
      <c r="E340" s="3086">
        <v>0</v>
      </c>
      <c r="F340" s="3086">
        <v>0</v>
      </c>
      <c r="G340" s="3104">
        <v>-32592.129940000003</v>
      </c>
      <c r="H340" s="3101">
        <f>SUM(C340:G340)</f>
        <v>-170203.21254000004</v>
      </c>
      <c r="I340" s="286"/>
      <c r="J340" s="264"/>
    </row>
    <row r="341" spans="1:14" s="52" customFormat="1" ht="20.100000000000001" customHeight="1">
      <c r="A341" s="285">
        <v>5</v>
      </c>
      <c r="B341" s="3085" t="s">
        <v>422</v>
      </c>
      <c r="C341" s="3104">
        <v>-284428.36534229998</v>
      </c>
      <c r="D341" s="3104">
        <v>-57352.552060000002</v>
      </c>
      <c r="E341" s="3101">
        <v>-83286</v>
      </c>
      <c r="F341" s="3086"/>
      <c r="G341" s="3104">
        <v>-99213.870057700013</v>
      </c>
      <c r="H341" s="3101">
        <f>SUM(C341:G341)</f>
        <v>-524280.78746000002</v>
      </c>
      <c r="I341" s="264"/>
      <c r="J341" s="264"/>
    </row>
    <row r="342" spans="1:14" s="52" customFormat="1" ht="20.100000000000001" customHeight="1">
      <c r="A342" s="285">
        <v>6</v>
      </c>
      <c r="B342" s="3085" t="s">
        <v>706</v>
      </c>
      <c r="C342" s="3101">
        <f>SUM(C338:C341)</f>
        <v>111728.48548769898</v>
      </c>
      <c r="D342" s="3101">
        <f>SUM(D338:D341)</f>
        <v>72873.779630000005</v>
      </c>
      <c r="E342" s="3101">
        <f>SUM(E338:E341)</f>
        <v>3755206.3373499797</v>
      </c>
      <c r="F342" s="3086">
        <f>SUM(F338:F341)</f>
        <v>0</v>
      </c>
      <c r="G342" s="3101">
        <f>SUM(G338:G341)</f>
        <v>622118.01541230001</v>
      </c>
      <c r="H342" s="3101">
        <f>SUM(C342:G342)</f>
        <v>4561926.6178799784</v>
      </c>
      <c r="I342" s="264"/>
      <c r="J342" s="264"/>
    </row>
    <row r="343" spans="1:14" s="52" customFormat="1" ht="20.100000000000001" customHeight="1">
      <c r="A343" s="285">
        <v>7</v>
      </c>
      <c r="B343" s="3085" t="s">
        <v>424</v>
      </c>
      <c r="C343" s="3101">
        <v>-19117.83221</v>
      </c>
      <c r="D343" s="3101">
        <v>-2648.6841400000003</v>
      </c>
      <c r="E343" s="3101">
        <v>-209372.06541000001</v>
      </c>
      <c r="F343" s="3086"/>
      <c r="G343" s="3101">
        <v>-97518.971720000001</v>
      </c>
      <c r="H343" s="3101">
        <f t="shared" ref="H343:H349" si="45">SUM(C343:G343)</f>
        <v>-328657.55348</v>
      </c>
      <c r="I343" s="264"/>
      <c r="J343" s="264"/>
    </row>
    <row r="344" spans="1:14" s="52" customFormat="1" ht="20.100000000000001" customHeight="1">
      <c r="A344" s="285">
        <v>8</v>
      </c>
      <c r="B344" s="3085" t="s">
        <v>707</v>
      </c>
      <c r="C344" s="3101">
        <f>SUM(C342:C343)</f>
        <v>92610.653277698992</v>
      </c>
      <c r="D344" s="3101">
        <f>SUM(D342:D343)</f>
        <v>70225.095490000007</v>
      </c>
      <c r="E344" s="3101">
        <f>SUM(E342:E343)</f>
        <v>3545834.2719399799</v>
      </c>
      <c r="F344" s="3086">
        <f>SUM(F342:F343)</f>
        <v>0</v>
      </c>
      <c r="G344" s="3101">
        <f>SUM(G342:G343)</f>
        <v>524599.04369229998</v>
      </c>
      <c r="H344" s="3101">
        <f t="shared" si="45"/>
        <v>4233269.0643999791</v>
      </c>
      <c r="I344" s="264"/>
      <c r="J344" s="264"/>
    </row>
    <row r="345" spans="1:14" s="52" customFormat="1" ht="20.100000000000001" customHeight="1">
      <c r="A345" s="285"/>
      <c r="B345" s="3085"/>
      <c r="C345" s="3086"/>
      <c r="D345" s="3086"/>
      <c r="E345" s="3086"/>
      <c r="F345" s="3086"/>
      <c r="G345" s="3086"/>
      <c r="H345" s="3086">
        <f t="shared" si="45"/>
        <v>0</v>
      </c>
      <c r="I345" s="264"/>
      <c r="J345" s="264"/>
    </row>
    <row r="346" spans="1:14" s="52" customFormat="1" ht="20.100000000000001" customHeight="1">
      <c r="A346" s="285"/>
      <c r="B346" s="3083" t="s">
        <v>426</v>
      </c>
      <c r="C346" s="3086"/>
      <c r="D346" s="3086"/>
      <c r="E346" s="3086"/>
      <c r="F346" s="3086"/>
      <c r="G346" s="3086"/>
      <c r="H346" s="3086">
        <f t="shared" si="45"/>
        <v>0</v>
      </c>
      <c r="I346" s="264"/>
      <c r="J346" s="264"/>
    </row>
    <row r="347" spans="1:14" s="52" customFormat="1" ht="20.100000000000001" customHeight="1">
      <c r="A347" s="285">
        <v>9</v>
      </c>
      <c r="B347" s="3085" t="s">
        <v>427</v>
      </c>
      <c r="C347" s="3101">
        <v>-19613.148400000278</v>
      </c>
      <c r="D347" s="3101">
        <v>-20568.216840000008</v>
      </c>
      <c r="E347" s="3101">
        <v>-2199949.53246979</v>
      </c>
      <c r="F347" s="3086"/>
      <c r="G347" s="3101">
        <v>-415660.97957999789</v>
      </c>
      <c r="H347" s="3101">
        <f t="shared" si="45"/>
        <v>-2655791.8772897879</v>
      </c>
      <c r="I347" s="264"/>
      <c r="J347" s="264"/>
    </row>
    <row r="348" spans="1:14" s="52" customFormat="1" ht="20.100000000000001" customHeight="1">
      <c r="A348" s="285">
        <v>10</v>
      </c>
      <c r="B348" s="3085" t="s">
        <v>428</v>
      </c>
      <c r="C348" s="3101">
        <v>11630</v>
      </c>
      <c r="D348" s="3101">
        <v>-9230</v>
      </c>
      <c r="E348" s="3101">
        <v>-608173</v>
      </c>
      <c r="F348" s="3086">
        <v>0</v>
      </c>
      <c r="G348" s="3101">
        <v>-63538</v>
      </c>
      <c r="H348" s="3101">
        <f t="shared" si="45"/>
        <v>-669311</v>
      </c>
      <c r="I348" s="264"/>
      <c r="J348" s="264"/>
    </row>
    <row r="349" spans="1:14" s="52" customFormat="1" ht="20.100000000000001" customHeight="1">
      <c r="A349" s="285">
        <v>11</v>
      </c>
      <c r="B349" s="3085" t="s">
        <v>429</v>
      </c>
      <c r="C349" s="3086"/>
      <c r="D349" s="3086"/>
      <c r="E349" s="3086"/>
      <c r="F349" s="3086"/>
      <c r="G349" s="3086"/>
      <c r="H349" s="3086">
        <f t="shared" si="45"/>
        <v>0</v>
      </c>
      <c r="I349" s="264"/>
      <c r="J349" s="264"/>
    </row>
    <row r="350" spans="1:14" s="52" customFormat="1" ht="20.100000000000001" customHeight="1">
      <c r="A350" s="287">
        <v>12</v>
      </c>
      <c r="B350" s="3087" t="s">
        <v>430</v>
      </c>
      <c r="C350" s="2483">
        <f>SUM(C344:C349)</f>
        <v>84627.50487769871</v>
      </c>
      <c r="D350" s="3102">
        <f>SUM(D344:D349)</f>
        <v>40426.878649999999</v>
      </c>
      <c r="E350" s="3102">
        <f>SUM(E344:E349)</f>
        <v>737711.7394701899</v>
      </c>
      <c r="F350" s="2483">
        <f>SUM(F344:F349)</f>
        <v>0</v>
      </c>
      <c r="G350" s="3102">
        <f>SUM(G344:G349)</f>
        <v>45400.064112302091</v>
      </c>
      <c r="H350" s="3101">
        <f>SUM(C350:G350)</f>
        <v>908166.18711019075</v>
      </c>
      <c r="I350" s="288"/>
      <c r="J350" s="264"/>
    </row>
    <row r="351" spans="1:14" s="52" customFormat="1" ht="20.100000000000001" customHeight="1">
      <c r="A351" s="285"/>
      <c r="B351" s="3088"/>
      <c r="C351" s="3086"/>
      <c r="D351" s="3086"/>
      <c r="E351" s="3086"/>
      <c r="F351" s="3086"/>
      <c r="G351" s="3086"/>
      <c r="H351" s="3086">
        <f t="shared" ref="H351:H358" si="46">SUM(C351:G351)</f>
        <v>0</v>
      </c>
      <c r="I351" s="264"/>
      <c r="J351" s="264"/>
    </row>
    <row r="352" spans="1:14" s="52" customFormat="1" ht="20.100000000000001" customHeight="1">
      <c r="A352" s="285"/>
      <c r="B352" s="3089" t="s">
        <v>431</v>
      </c>
      <c r="C352" s="3086"/>
      <c r="D352" s="3086"/>
      <c r="E352" s="3086"/>
      <c r="F352" s="3086"/>
      <c r="G352" s="3086"/>
      <c r="H352" s="3086">
        <f t="shared" si="46"/>
        <v>0</v>
      </c>
      <c r="I352" s="264"/>
      <c r="J352" s="264"/>
    </row>
    <row r="353" spans="1:10" s="52" customFormat="1" ht="20.100000000000001" customHeight="1">
      <c r="A353" s="285">
        <v>13</v>
      </c>
      <c r="B353" s="3085" t="s">
        <v>432</v>
      </c>
      <c r="C353" s="3092"/>
      <c r="D353" s="3092"/>
      <c r="E353" s="3092"/>
      <c r="F353" s="3092"/>
      <c r="G353" s="3092"/>
      <c r="H353" s="3101">
        <v>155543</v>
      </c>
      <c r="I353" s="264"/>
      <c r="J353" s="264"/>
    </row>
    <row r="354" spans="1:10" s="52" customFormat="1" ht="20.100000000000001" customHeight="1">
      <c r="A354" s="285">
        <v>14</v>
      </c>
      <c r="B354" s="3083" t="s">
        <v>433</v>
      </c>
      <c r="C354" s="3092"/>
      <c r="D354" s="3092"/>
      <c r="E354" s="3092"/>
      <c r="F354" s="3092"/>
      <c r="G354" s="3092"/>
      <c r="H354" s="3101">
        <v>572593</v>
      </c>
      <c r="I354" s="264"/>
      <c r="J354" s="264"/>
    </row>
    <row r="355" spans="1:10" s="52" customFormat="1" ht="20.100000000000001" customHeight="1">
      <c r="A355" s="285">
        <v>15</v>
      </c>
      <c r="B355" s="3085" t="s">
        <v>434</v>
      </c>
      <c r="C355" s="3092"/>
      <c r="D355" s="3092"/>
      <c r="E355" s="3092"/>
      <c r="F355" s="3092"/>
      <c r="G355" s="3092"/>
      <c r="H355" s="3101">
        <v>118131</v>
      </c>
      <c r="I355" s="264"/>
      <c r="J355" s="264"/>
    </row>
    <row r="356" spans="1:10" s="52" customFormat="1" ht="20.100000000000001" customHeight="1">
      <c r="A356" s="285"/>
      <c r="B356" s="3083" t="s">
        <v>435</v>
      </c>
      <c r="C356" s="3086"/>
      <c r="D356" s="3086"/>
      <c r="E356" s="3086"/>
      <c r="F356" s="3086"/>
      <c r="G356" s="3086"/>
      <c r="H356" s="3086">
        <f t="shared" si="46"/>
        <v>0</v>
      </c>
      <c r="I356" s="264"/>
      <c r="J356" s="264"/>
    </row>
    <row r="357" spans="1:10" s="52" customFormat="1" ht="29.25" customHeight="1">
      <c r="A357" s="285">
        <v>16</v>
      </c>
      <c r="B357" s="3091" t="s">
        <v>436</v>
      </c>
      <c r="C357" s="3086"/>
      <c r="D357" s="3086"/>
      <c r="E357" s="3086"/>
      <c r="F357" s="3086"/>
      <c r="G357" s="3086"/>
      <c r="H357" s="3101">
        <v>-1071600</v>
      </c>
      <c r="I357" s="264"/>
      <c r="J357" s="264"/>
    </row>
    <row r="358" spans="1:10" s="52" customFormat="1" ht="20.100000000000001" customHeight="1">
      <c r="A358" s="285">
        <v>17</v>
      </c>
      <c r="B358" s="3085" t="s">
        <v>437</v>
      </c>
      <c r="C358" s="3086"/>
      <c r="D358" s="3086"/>
      <c r="E358" s="3086"/>
      <c r="F358" s="3086"/>
      <c r="G358" s="3086"/>
      <c r="H358" s="3086">
        <f t="shared" si="46"/>
        <v>0</v>
      </c>
      <c r="I358" s="264"/>
      <c r="J358" s="264"/>
    </row>
    <row r="359" spans="1:10" s="52" customFormat="1" ht="20.100000000000001" customHeight="1">
      <c r="A359" s="285">
        <v>18</v>
      </c>
      <c r="B359" s="3083" t="s">
        <v>438</v>
      </c>
      <c r="C359" s="3086">
        <f t="shared" ref="C359:H359" si="47">SUM(C350:C358)</f>
        <v>84627.50487769871</v>
      </c>
      <c r="D359" s="3101">
        <f t="shared" si="47"/>
        <v>40426.878649999999</v>
      </c>
      <c r="E359" s="3101">
        <f t="shared" si="47"/>
        <v>737711.7394701899</v>
      </c>
      <c r="F359" s="3086">
        <f t="shared" si="47"/>
        <v>0</v>
      </c>
      <c r="G359" s="3101">
        <f t="shared" si="47"/>
        <v>45400.064112302091</v>
      </c>
      <c r="H359" s="3101">
        <f t="shared" si="47"/>
        <v>682833.18711019075</v>
      </c>
      <c r="I359" s="264"/>
      <c r="J359" s="264"/>
    </row>
    <row r="360" spans="1:10" s="52" customFormat="1" ht="20.100000000000001" customHeight="1">
      <c r="A360" s="285">
        <v>19</v>
      </c>
      <c r="B360" s="3085" t="s">
        <v>439</v>
      </c>
      <c r="C360" s="3086"/>
      <c r="D360" s="3086"/>
      <c r="E360" s="3086"/>
      <c r="F360" s="3086"/>
      <c r="G360" s="3086"/>
      <c r="H360" s="3101">
        <f>+'[14]Sheet 2 - General Insurance'!$H$143</f>
        <v>-7313</v>
      </c>
      <c r="I360" s="264"/>
      <c r="J360" s="264"/>
    </row>
    <row r="361" spans="1:10" s="52" customFormat="1" ht="20.100000000000001" customHeight="1">
      <c r="A361" s="285">
        <v>20</v>
      </c>
      <c r="B361" s="3093" t="s">
        <v>440</v>
      </c>
      <c r="C361" s="3086">
        <f t="shared" ref="C361:H361" si="48">SUM(C359:C360)</f>
        <v>84627.50487769871</v>
      </c>
      <c r="D361" s="3101">
        <f t="shared" si="48"/>
        <v>40426.878649999999</v>
      </c>
      <c r="E361" s="3101">
        <f t="shared" si="48"/>
        <v>737711.7394701899</v>
      </c>
      <c r="F361" s="3086">
        <f t="shared" si="48"/>
        <v>0</v>
      </c>
      <c r="G361" s="3086">
        <f t="shared" si="48"/>
        <v>45400.064112302091</v>
      </c>
      <c r="H361" s="3101">
        <f t="shared" si="48"/>
        <v>675520.18711019075</v>
      </c>
      <c r="I361" s="264"/>
      <c r="J361" s="264"/>
    </row>
    <row r="362" spans="1:10" s="52" customFormat="1" ht="20.100000000000001" customHeight="1">
      <c r="A362" s="285">
        <v>21</v>
      </c>
      <c r="B362" s="3093" t="s">
        <v>441</v>
      </c>
      <c r="C362" s="3086"/>
      <c r="D362" s="3086"/>
      <c r="E362" s="3086"/>
      <c r="F362" s="3086"/>
      <c r="G362" s="3086"/>
      <c r="H362" s="3086">
        <f>SUM(C362:G362)</f>
        <v>0</v>
      </c>
      <c r="I362" s="264"/>
      <c r="J362" s="264"/>
    </row>
    <row r="363" spans="1:10" s="52" customFormat="1" ht="20.100000000000001" customHeight="1">
      <c r="A363" s="285">
        <v>22</v>
      </c>
      <c r="B363" s="3093" t="s">
        <v>442</v>
      </c>
      <c r="C363" s="3086">
        <f t="shared" ref="C363:H363" si="49">SUM(C361:C362)</f>
        <v>84627.50487769871</v>
      </c>
      <c r="D363" s="3086">
        <f t="shared" si="49"/>
        <v>40426.878649999999</v>
      </c>
      <c r="E363" s="3086">
        <f t="shared" si="49"/>
        <v>737711.7394701899</v>
      </c>
      <c r="F363" s="3086">
        <f t="shared" si="49"/>
        <v>0</v>
      </c>
      <c r="G363" s="3086">
        <f t="shared" si="49"/>
        <v>45400.064112302091</v>
      </c>
      <c r="H363" s="3101">
        <f t="shared" si="49"/>
        <v>675520.18711019075</v>
      </c>
      <c r="I363" s="284"/>
      <c r="J363" s="264"/>
    </row>
    <row r="364" spans="1:10" s="52" customFormat="1" ht="17.45" customHeight="1">
      <c r="A364" s="285"/>
      <c r="B364" s="290"/>
      <c r="C364" s="289"/>
      <c r="D364" s="289"/>
      <c r="E364" s="289"/>
      <c r="F364" s="289"/>
      <c r="G364" s="289"/>
      <c r="H364" s="289"/>
      <c r="I364" s="284"/>
      <c r="J364" s="264"/>
    </row>
    <row r="365" spans="1:10">
      <c r="C365" s="292"/>
      <c r="D365" s="292"/>
      <c r="E365" s="292"/>
      <c r="F365" s="292"/>
      <c r="G365" s="292"/>
      <c r="H365" s="292"/>
    </row>
    <row r="366" spans="1:10" s="54" customFormat="1" ht="17.45" customHeight="1">
      <c r="A366" s="3847">
        <v>11</v>
      </c>
      <c r="B366" s="3844" t="s">
        <v>133</v>
      </c>
      <c r="C366" s="3842">
        <v>2012</v>
      </c>
      <c r="D366" s="3842"/>
      <c r="E366" s="3842"/>
      <c r="F366" s="3842"/>
      <c r="G366" s="3842"/>
      <c r="H366" s="3842"/>
      <c r="I366" s="109"/>
      <c r="J366" s="109"/>
    </row>
    <row r="367" spans="1:10" s="54" customFormat="1" ht="17.45" customHeight="1">
      <c r="A367" s="3847"/>
      <c r="B367" s="3844"/>
      <c r="C367" s="2917" t="s">
        <v>412</v>
      </c>
      <c r="D367" s="2917" t="s">
        <v>413</v>
      </c>
      <c r="E367" s="2917" t="s">
        <v>414</v>
      </c>
      <c r="F367" s="2917" t="s">
        <v>701</v>
      </c>
      <c r="G367" s="2917" t="s">
        <v>702</v>
      </c>
      <c r="H367" s="2917" t="s">
        <v>118</v>
      </c>
      <c r="I367" s="3617"/>
      <c r="J367" s="109"/>
    </row>
    <row r="368" spans="1:10" s="54" customFormat="1" ht="17.45" customHeight="1">
      <c r="A368" s="3847"/>
      <c r="B368" s="3844"/>
      <c r="C368" s="3082" t="s">
        <v>140</v>
      </c>
      <c r="D368" s="3082" t="s">
        <v>140</v>
      </c>
      <c r="E368" s="3082" t="s">
        <v>140</v>
      </c>
      <c r="F368" s="3082" t="s">
        <v>140</v>
      </c>
      <c r="G368" s="3082" t="s">
        <v>140</v>
      </c>
      <c r="H368" s="3082" t="s">
        <v>140</v>
      </c>
      <c r="I368" s="3617"/>
      <c r="J368" s="109"/>
    </row>
    <row r="369" spans="1:14" s="52" customFormat="1" ht="17.45" customHeight="1">
      <c r="A369" s="285">
        <v>1</v>
      </c>
      <c r="B369" s="3083" t="s">
        <v>211</v>
      </c>
      <c r="C369" s="3843"/>
      <c r="D369" s="3843"/>
      <c r="E369" s="3843"/>
      <c r="F369" s="3843"/>
      <c r="G369" s="3843"/>
      <c r="H369" s="2016">
        <f>+H377+H386+H387+H388</f>
        <v>70118.311470000001</v>
      </c>
      <c r="I369" s="264"/>
      <c r="J369" s="278"/>
      <c r="K369" s="274"/>
      <c r="L369" s="274"/>
      <c r="M369" s="274"/>
      <c r="N369" s="274"/>
    </row>
    <row r="370" spans="1:14" s="52" customFormat="1" ht="5.25" customHeight="1">
      <c r="A370" s="285"/>
      <c r="B370" s="3083"/>
      <c r="C370" s="2107"/>
      <c r="D370" s="2107"/>
      <c r="E370" s="2107"/>
      <c r="F370" s="2107"/>
      <c r="G370" s="2107"/>
      <c r="H370" s="2107"/>
      <c r="I370" s="264"/>
      <c r="J370" s="278"/>
      <c r="K370" s="274"/>
      <c r="L370" s="274"/>
      <c r="M370" s="274"/>
      <c r="N370" s="274"/>
    </row>
    <row r="371" spans="1:14" s="52" customFormat="1" ht="20.100000000000001" customHeight="1">
      <c r="A371" s="285">
        <v>2</v>
      </c>
      <c r="B371" s="3085" t="s">
        <v>333</v>
      </c>
      <c r="C371" s="3086"/>
      <c r="D371" s="3086"/>
      <c r="E371" s="3101">
        <v>364735.08649000002</v>
      </c>
      <c r="F371" s="3086"/>
      <c r="G371" s="3086"/>
      <c r="H371" s="3101">
        <f>SUM(C371:G371)</f>
        <v>364735.08649000002</v>
      </c>
      <c r="I371" s="286"/>
      <c r="J371" s="264"/>
    </row>
    <row r="372" spans="1:14" s="52" customFormat="1" ht="20.100000000000001" customHeight="1">
      <c r="A372" s="285">
        <v>3</v>
      </c>
      <c r="B372" s="3085" t="s">
        <v>420</v>
      </c>
      <c r="C372" s="3086"/>
      <c r="D372" s="3086"/>
      <c r="E372" s="3101">
        <v>0</v>
      </c>
      <c r="F372" s="3086"/>
      <c r="G372" s="3086"/>
      <c r="H372" s="3086">
        <f>SUM(C372:G372)</f>
        <v>0</v>
      </c>
      <c r="I372" s="286"/>
      <c r="J372" s="264"/>
    </row>
    <row r="373" spans="1:14" s="52" customFormat="1" ht="20.100000000000001" customHeight="1">
      <c r="A373" s="285">
        <v>4</v>
      </c>
      <c r="B373" s="3085" t="s">
        <v>421</v>
      </c>
      <c r="C373" s="3086"/>
      <c r="D373" s="3086"/>
      <c r="E373" s="3101">
        <v>0</v>
      </c>
      <c r="F373" s="3086"/>
      <c r="G373" s="3086"/>
      <c r="H373" s="3086">
        <f>SUM(C373:G373)</f>
        <v>0</v>
      </c>
      <c r="I373" s="286"/>
      <c r="J373" s="264"/>
    </row>
    <row r="374" spans="1:14" s="52" customFormat="1" ht="20.100000000000001" customHeight="1">
      <c r="A374" s="285">
        <v>5</v>
      </c>
      <c r="B374" s="3085" t="s">
        <v>422</v>
      </c>
      <c r="C374" s="3086"/>
      <c r="D374" s="3086"/>
      <c r="E374" s="3101">
        <v>-13771.244939999999</v>
      </c>
      <c r="F374" s="3086"/>
      <c r="G374" s="3086"/>
      <c r="H374" s="3101">
        <f>SUM(C374:G374)</f>
        <v>-13771.244939999999</v>
      </c>
      <c r="I374" s="264"/>
      <c r="J374" s="264"/>
    </row>
    <row r="375" spans="1:14" s="52" customFormat="1" ht="20.100000000000001" customHeight="1">
      <c r="A375" s="285">
        <v>6</v>
      </c>
      <c r="B375" s="3085" t="s">
        <v>706</v>
      </c>
      <c r="C375" s="3086">
        <f>SUM(C371:C374)</f>
        <v>0</v>
      </c>
      <c r="D375" s="3086">
        <f>SUM(D371:D374)</f>
        <v>0</v>
      </c>
      <c r="E375" s="3101">
        <f>SUM(E371:E374)</f>
        <v>350963.84155000001</v>
      </c>
      <c r="F375" s="3086">
        <f>SUM(F371:F374)</f>
        <v>0</v>
      </c>
      <c r="G375" s="3086">
        <f>SUM(G371:G374)</f>
        <v>0</v>
      </c>
      <c r="H375" s="3101">
        <f>SUM(C375:G375)</f>
        <v>350963.84155000001</v>
      </c>
      <c r="I375" s="264"/>
      <c r="J375" s="264"/>
    </row>
    <row r="376" spans="1:14" s="52" customFormat="1" ht="20.100000000000001" customHeight="1">
      <c r="A376" s="285">
        <v>7</v>
      </c>
      <c r="B376" s="3085" t="s">
        <v>424</v>
      </c>
      <c r="C376" s="3086"/>
      <c r="D376" s="3086"/>
      <c r="E376" s="3101">
        <v>-300369.62348000001</v>
      </c>
      <c r="F376" s="3086"/>
      <c r="G376" s="3086"/>
      <c r="H376" s="3101">
        <f t="shared" ref="H376:H382" si="50">SUM(C376:G376)</f>
        <v>-300369.62348000001</v>
      </c>
      <c r="I376" s="264"/>
      <c r="J376" s="264"/>
    </row>
    <row r="377" spans="1:14" s="52" customFormat="1" ht="20.100000000000001" customHeight="1">
      <c r="A377" s="285">
        <v>8</v>
      </c>
      <c r="B377" s="3085" t="s">
        <v>707</v>
      </c>
      <c r="C377" s="3086">
        <f>SUM(C375:C376)</f>
        <v>0</v>
      </c>
      <c r="D377" s="3086">
        <f>SUM(D375:D376)</f>
        <v>0</v>
      </c>
      <c r="E377" s="3101">
        <f>SUM(E375:E376)</f>
        <v>50594.218070000003</v>
      </c>
      <c r="F377" s="3086">
        <f>SUM(F375:F376)</f>
        <v>0</v>
      </c>
      <c r="G377" s="3086">
        <f>SUM(G375:G376)</f>
        <v>0</v>
      </c>
      <c r="H377" s="3101">
        <f t="shared" si="50"/>
        <v>50594.218070000003</v>
      </c>
      <c r="I377" s="264"/>
      <c r="J377" s="264"/>
    </row>
    <row r="378" spans="1:14" s="52" customFormat="1" ht="20.100000000000001" customHeight="1">
      <c r="A378" s="285"/>
      <c r="B378" s="3085"/>
      <c r="C378" s="3086"/>
      <c r="D378" s="3086"/>
      <c r="E378" s="3086"/>
      <c r="F378" s="3086"/>
      <c r="G378" s="3086"/>
      <c r="H378" s="3086">
        <f t="shared" si="50"/>
        <v>0</v>
      </c>
      <c r="I378" s="264"/>
      <c r="J378" s="264"/>
    </row>
    <row r="379" spans="1:14" s="52" customFormat="1" ht="20.100000000000001" customHeight="1">
      <c r="A379" s="285"/>
      <c r="B379" s="3083" t="s">
        <v>426</v>
      </c>
      <c r="C379" s="3086"/>
      <c r="D379" s="3086"/>
      <c r="E379" s="3086"/>
      <c r="F379" s="3086"/>
      <c r="G379" s="3086"/>
      <c r="H379" s="3086">
        <f t="shared" si="50"/>
        <v>0</v>
      </c>
      <c r="I379" s="264"/>
      <c r="J379" s="264"/>
    </row>
    <row r="380" spans="1:14" s="52" customFormat="1" ht="20.100000000000001" customHeight="1">
      <c r="A380" s="285">
        <v>9</v>
      </c>
      <c r="B380" s="3085" t="s">
        <v>427</v>
      </c>
      <c r="C380" s="3086"/>
      <c r="D380" s="3086"/>
      <c r="E380" s="3101">
        <v>-1082.9961700000003</v>
      </c>
      <c r="F380" s="3086"/>
      <c r="G380" s="3086"/>
      <c r="H380" s="3101">
        <f t="shared" si="50"/>
        <v>-1082.9961700000003</v>
      </c>
      <c r="I380" s="264"/>
      <c r="J380" s="264"/>
    </row>
    <row r="381" spans="1:14" s="52" customFormat="1" ht="20.100000000000001" customHeight="1">
      <c r="A381" s="285">
        <v>10</v>
      </c>
      <c r="B381" s="3085" t="s">
        <v>428</v>
      </c>
      <c r="C381" s="3086"/>
      <c r="D381" s="3086"/>
      <c r="E381" s="3101">
        <v>-49165.581109999992</v>
      </c>
      <c r="F381" s="3086"/>
      <c r="G381" s="3086"/>
      <c r="H381" s="3101">
        <f t="shared" si="50"/>
        <v>-49165.581109999992</v>
      </c>
      <c r="I381" s="264"/>
      <c r="J381" s="264"/>
    </row>
    <row r="382" spans="1:14" s="52" customFormat="1" ht="20.100000000000001" customHeight="1">
      <c r="A382" s="285">
        <v>11</v>
      </c>
      <c r="B382" s="3085" t="s">
        <v>429</v>
      </c>
      <c r="C382" s="3086"/>
      <c r="D382" s="3086"/>
      <c r="E382" s="3086"/>
      <c r="F382" s="3086"/>
      <c r="G382" s="3086"/>
      <c r="H382" s="3086">
        <f t="shared" si="50"/>
        <v>0</v>
      </c>
      <c r="I382" s="264"/>
      <c r="J382" s="264"/>
    </row>
    <row r="383" spans="1:14" s="52" customFormat="1" ht="20.100000000000001" customHeight="1">
      <c r="A383" s="287">
        <v>12</v>
      </c>
      <c r="B383" s="3087" t="s">
        <v>430</v>
      </c>
      <c r="C383" s="2483">
        <f>SUM(C377:C382)</f>
        <v>0</v>
      </c>
      <c r="D383" s="2483">
        <f>SUM(D377:D382)</f>
        <v>0</v>
      </c>
      <c r="E383" s="3102">
        <f>SUM(E377:E382)</f>
        <v>345.6407900000122</v>
      </c>
      <c r="F383" s="2483">
        <f>SUM(F377:F382)</f>
        <v>0</v>
      </c>
      <c r="G383" s="2483">
        <f>SUM(G377:G382)</f>
        <v>0</v>
      </c>
      <c r="H383" s="3101">
        <f>SUM(C383:G383)</f>
        <v>345.6407900000122</v>
      </c>
      <c r="I383" s="288"/>
      <c r="J383" s="264"/>
    </row>
    <row r="384" spans="1:14" s="52" customFormat="1" ht="20.100000000000001" customHeight="1">
      <c r="A384" s="285"/>
      <c r="B384" s="3088"/>
      <c r="C384" s="3086"/>
      <c r="D384" s="3086"/>
      <c r="E384" s="3086"/>
      <c r="F384" s="3086"/>
      <c r="G384" s="3086"/>
      <c r="H384" s="3101">
        <f t="shared" ref="H384:H396" si="51">SUM(C384:G384)</f>
        <v>0</v>
      </c>
      <c r="I384" s="264"/>
      <c r="J384" s="264"/>
    </row>
    <row r="385" spans="1:10" s="52" customFormat="1" ht="20.100000000000001" customHeight="1">
      <c r="A385" s="285"/>
      <c r="B385" s="3089" t="s">
        <v>431</v>
      </c>
      <c r="C385" s="3086"/>
      <c r="D385" s="3086"/>
      <c r="E385" s="3086"/>
      <c r="F385" s="3086"/>
      <c r="G385" s="3086"/>
      <c r="H385" s="3101">
        <f t="shared" si="51"/>
        <v>0</v>
      </c>
      <c r="I385" s="264"/>
      <c r="J385" s="264"/>
    </row>
    <row r="386" spans="1:10" s="52" customFormat="1" ht="20.100000000000001" customHeight="1">
      <c r="A386" s="285">
        <v>13</v>
      </c>
      <c r="B386" s="3085" t="s">
        <v>432</v>
      </c>
      <c r="C386" s="3086"/>
      <c r="D386" s="3086"/>
      <c r="E386" s="3086"/>
      <c r="F386" s="3086"/>
      <c r="G386" s="3086"/>
      <c r="H386" s="3101">
        <f t="shared" si="51"/>
        <v>0</v>
      </c>
      <c r="I386" s="264"/>
      <c r="J386" s="264"/>
    </row>
    <row r="387" spans="1:10" s="52" customFormat="1" ht="20.100000000000001" customHeight="1">
      <c r="A387" s="285">
        <v>14</v>
      </c>
      <c r="B387" s="3083" t="s">
        <v>433</v>
      </c>
      <c r="C387" s="3086"/>
      <c r="D387" s="3086"/>
      <c r="E387" s="3101">
        <v>12166.593399999998</v>
      </c>
      <c r="F387" s="3086"/>
      <c r="G387" s="3086"/>
      <c r="H387" s="3101">
        <f t="shared" si="51"/>
        <v>12166.593399999998</v>
      </c>
      <c r="I387" s="264"/>
      <c r="J387" s="264"/>
    </row>
    <row r="388" spans="1:10" s="52" customFormat="1" ht="20.100000000000001" customHeight="1">
      <c r="A388" s="285">
        <v>15</v>
      </c>
      <c r="B388" s="3085" t="s">
        <v>434</v>
      </c>
      <c r="C388" s="3086"/>
      <c r="D388" s="3086"/>
      <c r="E388" s="3101">
        <v>7357.5</v>
      </c>
      <c r="F388" s="3086"/>
      <c r="G388" s="3086"/>
      <c r="H388" s="3101">
        <f t="shared" si="51"/>
        <v>7357.5</v>
      </c>
      <c r="I388" s="264"/>
      <c r="J388" s="264"/>
    </row>
    <row r="389" spans="1:10" s="52" customFormat="1" ht="20.100000000000001" customHeight="1">
      <c r="A389" s="285"/>
      <c r="B389" s="3083" t="s">
        <v>435</v>
      </c>
      <c r="C389" s="3086"/>
      <c r="D389" s="3086"/>
      <c r="E389" s="3086"/>
      <c r="F389" s="3086"/>
      <c r="G389" s="3086"/>
      <c r="H389" s="3101">
        <f t="shared" si="51"/>
        <v>0</v>
      </c>
      <c r="I389" s="264"/>
      <c r="J389" s="264"/>
    </row>
    <row r="390" spans="1:10" s="52" customFormat="1" ht="30.75" customHeight="1">
      <c r="A390" s="285">
        <v>16</v>
      </c>
      <c r="B390" s="3091" t="s">
        <v>436</v>
      </c>
      <c r="C390" s="3086"/>
      <c r="D390" s="3086"/>
      <c r="E390" s="3086"/>
      <c r="F390" s="3086"/>
      <c r="G390" s="3086"/>
      <c r="H390" s="3101">
        <f t="shared" si="51"/>
        <v>0</v>
      </c>
      <c r="I390" s="264"/>
      <c r="J390" s="264"/>
    </row>
    <row r="391" spans="1:10" s="52" customFormat="1" ht="20.100000000000001" customHeight="1">
      <c r="A391" s="285">
        <v>17</v>
      </c>
      <c r="B391" s="3085" t="s">
        <v>437</v>
      </c>
      <c r="C391" s="3086"/>
      <c r="D391" s="3086"/>
      <c r="E391" s="3101">
        <v>-85526.43885999998</v>
      </c>
      <c r="F391" s="3086"/>
      <c r="G391" s="3086"/>
      <c r="H391" s="3101">
        <f t="shared" si="51"/>
        <v>-85526.43885999998</v>
      </c>
      <c r="I391" s="264"/>
      <c r="J391" s="264"/>
    </row>
    <row r="392" spans="1:10" s="52" customFormat="1" ht="20.100000000000001" customHeight="1">
      <c r="A392" s="285">
        <v>18</v>
      </c>
      <c r="B392" s="3083" t="s">
        <v>438</v>
      </c>
      <c r="C392" s="3086">
        <f>SUM(C383:C391)</f>
        <v>0</v>
      </c>
      <c r="D392" s="3086">
        <f>SUM(D383:D391)</f>
        <v>0</v>
      </c>
      <c r="E392" s="3101">
        <f>SUM(E383:E391)</f>
        <v>-65656.704669999977</v>
      </c>
      <c r="F392" s="3086">
        <f>SUM(F383:F391)</f>
        <v>0</v>
      </c>
      <c r="G392" s="3086">
        <f>SUM(G383:G391)</f>
        <v>0</v>
      </c>
      <c r="H392" s="3101">
        <f t="shared" si="51"/>
        <v>-65656.704669999977</v>
      </c>
      <c r="I392" s="264"/>
      <c r="J392" s="264"/>
    </row>
    <row r="393" spans="1:10" s="52" customFormat="1" ht="20.100000000000001" customHeight="1">
      <c r="A393" s="285">
        <v>19</v>
      </c>
      <c r="B393" s="3085" t="s">
        <v>439</v>
      </c>
      <c r="C393" s="3086"/>
      <c r="D393" s="3086"/>
      <c r="E393" s="3086"/>
      <c r="F393" s="3086"/>
      <c r="G393" s="3086"/>
      <c r="H393" s="3086">
        <f t="shared" si="51"/>
        <v>0</v>
      </c>
      <c r="I393" s="264"/>
      <c r="J393" s="264"/>
    </row>
    <row r="394" spans="1:10" s="52" customFormat="1" ht="20.100000000000001" customHeight="1">
      <c r="A394" s="285">
        <v>20</v>
      </c>
      <c r="B394" s="3093" t="s">
        <v>440</v>
      </c>
      <c r="C394" s="3086">
        <f>SUM(C392:C393)</f>
        <v>0</v>
      </c>
      <c r="D394" s="3086">
        <f>SUM(D392:D393)</f>
        <v>0</v>
      </c>
      <c r="E394" s="3101">
        <f>SUM(E392:E393)</f>
        <v>-65656.704669999977</v>
      </c>
      <c r="F394" s="3086">
        <f>SUM(F392:F393)</f>
        <v>0</v>
      </c>
      <c r="G394" s="3086">
        <f>SUM(G392:G393)</f>
        <v>0</v>
      </c>
      <c r="H394" s="3101">
        <f t="shared" si="51"/>
        <v>-65656.704669999977</v>
      </c>
      <c r="I394" s="264"/>
      <c r="J394" s="264"/>
    </row>
    <row r="395" spans="1:10" s="52" customFormat="1" ht="20.100000000000001" customHeight="1">
      <c r="A395" s="285">
        <v>21</v>
      </c>
      <c r="B395" s="3093" t="s">
        <v>441</v>
      </c>
      <c r="C395" s="3086"/>
      <c r="D395" s="3086"/>
      <c r="E395" s="3086"/>
      <c r="F395" s="3086"/>
      <c r="G395" s="3086"/>
      <c r="H395" s="3086">
        <f t="shared" si="51"/>
        <v>0</v>
      </c>
      <c r="I395" s="264"/>
      <c r="J395" s="264"/>
    </row>
    <row r="396" spans="1:10" s="52" customFormat="1" ht="20.100000000000001" customHeight="1">
      <c r="A396" s="285">
        <v>22</v>
      </c>
      <c r="B396" s="3093" t="s">
        <v>442</v>
      </c>
      <c r="C396" s="3086">
        <f>SUM(C394:C395)</f>
        <v>0</v>
      </c>
      <c r="D396" s="3086">
        <f>SUM(D394:D395)</f>
        <v>0</v>
      </c>
      <c r="E396" s="3101">
        <f>SUM(E394:E395)</f>
        <v>-65656.704669999977</v>
      </c>
      <c r="F396" s="3086">
        <f>SUM(F394:F395)</f>
        <v>0</v>
      </c>
      <c r="G396" s="3086">
        <f>SUM(G394:G395)</f>
        <v>0</v>
      </c>
      <c r="H396" s="3101">
        <f t="shared" si="51"/>
        <v>-65656.704669999977</v>
      </c>
      <c r="I396" s="284"/>
      <c r="J396" s="264"/>
    </row>
    <row r="397" spans="1:10" s="52" customFormat="1" ht="17.45" customHeight="1">
      <c r="A397" s="285"/>
      <c r="B397" s="290"/>
      <c r="C397" s="289"/>
      <c r="D397" s="289"/>
      <c r="E397" s="289"/>
      <c r="F397" s="289"/>
      <c r="G397" s="289"/>
      <c r="H397" s="289"/>
      <c r="I397" s="284"/>
      <c r="J397" s="264"/>
    </row>
    <row r="398" spans="1:10">
      <c r="C398" s="292"/>
      <c r="D398" s="292"/>
      <c r="E398" s="292"/>
      <c r="F398" s="292"/>
      <c r="G398" s="292"/>
      <c r="H398" s="292"/>
    </row>
    <row r="399" spans="1:10" s="54" customFormat="1" ht="17.45" customHeight="1">
      <c r="A399" s="3847">
        <v>12</v>
      </c>
      <c r="B399" s="3844" t="s">
        <v>109</v>
      </c>
      <c r="C399" s="3842">
        <v>2012</v>
      </c>
      <c r="D399" s="3842"/>
      <c r="E399" s="3842"/>
      <c r="F399" s="3842"/>
      <c r="G399" s="3842"/>
      <c r="H399" s="3842"/>
      <c r="I399" s="109"/>
      <c r="J399" s="109"/>
    </row>
    <row r="400" spans="1:10" s="54" customFormat="1" ht="17.45" customHeight="1">
      <c r="A400" s="3847"/>
      <c r="B400" s="3844"/>
      <c r="C400" s="2917" t="s">
        <v>412</v>
      </c>
      <c r="D400" s="2917" t="s">
        <v>413</v>
      </c>
      <c r="E400" s="2917" t="s">
        <v>414</v>
      </c>
      <c r="F400" s="2917" t="s">
        <v>701</v>
      </c>
      <c r="G400" s="2917" t="s">
        <v>702</v>
      </c>
      <c r="H400" s="2917" t="s">
        <v>118</v>
      </c>
      <c r="I400" s="3617"/>
      <c r="J400" s="109"/>
    </row>
    <row r="401" spans="1:14" s="54" customFormat="1" ht="17.45" customHeight="1">
      <c r="A401" s="3847"/>
      <c r="B401" s="3844"/>
      <c r="C401" s="3082" t="s">
        <v>140</v>
      </c>
      <c r="D401" s="3082" t="s">
        <v>140</v>
      </c>
      <c r="E401" s="3082" t="s">
        <v>140</v>
      </c>
      <c r="F401" s="3082" t="s">
        <v>140</v>
      </c>
      <c r="G401" s="3082" t="s">
        <v>140</v>
      </c>
      <c r="H401" s="3082" t="s">
        <v>140</v>
      </c>
      <c r="I401" s="3617"/>
      <c r="J401" s="109"/>
    </row>
    <row r="402" spans="1:14" s="52" customFormat="1" ht="17.45" customHeight="1">
      <c r="A402" s="285">
        <v>1</v>
      </c>
      <c r="B402" s="3083" t="s">
        <v>211</v>
      </c>
      <c r="C402" s="3843"/>
      <c r="D402" s="3843"/>
      <c r="E402" s="3843"/>
      <c r="F402" s="3843"/>
      <c r="G402" s="3843"/>
      <c r="H402" s="2016">
        <f>+H410+H419+H420+H421</f>
        <v>445986.25262000004</v>
      </c>
      <c r="I402" s="264"/>
      <c r="J402" s="278"/>
      <c r="K402" s="274"/>
      <c r="L402" s="274"/>
      <c r="M402" s="274"/>
      <c r="N402" s="274"/>
    </row>
    <row r="403" spans="1:14" s="52" customFormat="1" ht="6" customHeight="1">
      <c r="A403" s="285"/>
      <c r="B403" s="3083"/>
      <c r="C403" s="2107"/>
      <c r="D403" s="2107"/>
      <c r="E403" s="2107"/>
      <c r="F403" s="2107"/>
      <c r="G403" s="2107"/>
      <c r="H403" s="2107"/>
      <c r="I403" s="264"/>
      <c r="J403" s="278"/>
      <c r="K403" s="274"/>
      <c r="L403" s="274"/>
      <c r="M403" s="274"/>
      <c r="N403" s="274"/>
    </row>
    <row r="404" spans="1:14" s="52" customFormat="1" ht="20.100000000000001" customHeight="1">
      <c r="A404" s="285">
        <v>2</v>
      </c>
      <c r="B404" s="3085" t="s">
        <v>333</v>
      </c>
      <c r="C404" s="3101">
        <v>57934</v>
      </c>
      <c r="D404" s="3101">
        <v>20315</v>
      </c>
      <c r="E404" s="3101">
        <v>462941</v>
      </c>
      <c r="F404" s="3086"/>
      <c r="G404" s="3101">
        <v>138781</v>
      </c>
      <c r="H404" s="3101">
        <f>SUM(C404:G404)</f>
        <v>679971</v>
      </c>
      <c r="I404" s="286"/>
      <c r="J404" s="264"/>
    </row>
    <row r="405" spans="1:14" s="52" customFormat="1" ht="20.100000000000001" customHeight="1">
      <c r="A405" s="285">
        <v>3</v>
      </c>
      <c r="B405" s="3085" t="s">
        <v>420</v>
      </c>
      <c r="C405" s="3086"/>
      <c r="D405" s="3086"/>
      <c r="E405" s="3086"/>
      <c r="F405" s="3086"/>
      <c r="G405" s="3086"/>
      <c r="H405" s="3086">
        <f>SUM(C405:G405)</f>
        <v>0</v>
      </c>
      <c r="I405" s="286"/>
      <c r="J405" s="264"/>
    </row>
    <row r="406" spans="1:14" s="52" customFormat="1" ht="20.100000000000001" customHeight="1">
      <c r="A406" s="285">
        <v>4</v>
      </c>
      <c r="B406" s="3085" t="s">
        <v>421</v>
      </c>
      <c r="C406" s="3101">
        <v>-13867.61851</v>
      </c>
      <c r="D406" s="3101">
        <v>-13868.61851</v>
      </c>
      <c r="E406" s="3101">
        <v>-13869.61851</v>
      </c>
      <c r="F406" s="3086">
        <v>0</v>
      </c>
      <c r="G406" s="3101">
        <v>-1627.2820899999999</v>
      </c>
      <c r="H406" s="3101">
        <f>SUM(C406:G406)</f>
        <v>-43233.137620000001</v>
      </c>
      <c r="I406" s="286"/>
      <c r="J406" s="264"/>
    </row>
    <row r="407" spans="1:14" s="52" customFormat="1" ht="20.100000000000001" customHeight="1">
      <c r="A407" s="285">
        <v>5</v>
      </c>
      <c r="B407" s="3085" t="s">
        <v>422</v>
      </c>
      <c r="C407" s="3101">
        <v>-42490.38149</v>
      </c>
      <c r="D407" s="3101">
        <v>-1774.3814899999998</v>
      </c>
      <c r="E407" s="3101">
        <v>-6731.3814899999998</v>
      </c>
      <c r="F407" s="3086">
        <v>0</v>
      </c>
      <c r="G407" s="3101">
        <v>-92786.465289999993</v>
      </c>
      <c r="H407" s="3101">
        <f>SUM(C407:G407)</f>
        <v>-143782.60975999999</v>
      </c>
      <c r="I407" s="264"/>
      <c r="J407" s="264"/>
    </row>
    <row r="408" spans="1:14" s="52" customFormat="1" ht="20.100000000000001" customHeight="1">
      <c r="A408" s="285">
        <v>6</v>
      </c>
      <c r="B408" s="3085" t="s">
        <v>706</v>
      </c>
      <c r="C408" s="3101">
        <f>SUM(C404:C407)</f>
        <v>1576</v>
      </c>
      <c r="D408" s="3101">
        <f>SUM(D404:D407)</f>
        <v>4672</v>
      </c>
      <c r="E408" s="3101">
        <f>SUM(E404:E407)</f>
        <v>442340</v>
      </c>
      <c r="F408" s="3086">
        <f>SUM(F404:F407)</f>
        <v>0</v>
      </c>
      <c r="G408" s="3101">
        <f>SUM(G404:G407)</f>
        <v>44367.252620000014</v>
      </c>
      <c r="H408" s="3101">
        <f>SUM(C408:G408)</f>
        <v>492955.25262000004</v>
      </c>
      <c r="I408" s="264"/>
      <c r="J408" s="264"/>
    </row>
    <row r="409" spans="1:14" s="52" customFormat="1" ht="20.100000000000001" customHeight="1">
      <c r="A409" s="285">
        <v>7</v>
      </c>
      <c r="B409" s="3085" t="s">
        <v>424</v>
      </c>
      <c r="C409" s="3101">
        <v>-518</v>
      </c>
      <c r="D409" s="3101">
        <v>-2016</v>
      </c>
      <c r="E409" s="3101">
        <v>-92438</v>
      </c>
      <c r="F409" s="3086"/>
      <c r="G409" s="3101">
        <v>-9665</v>
      </c>
      <c r="H409" s="3101">
        <f t="shared" ref="H409:H415" si="52">SUM(C409:G409)</f>
        <v>-104637</v>
      </c>
      <c r="I409" s="264"/>
      <c r="J409" s="264"/>
    </row>
    <row r="410" spans="1:14" s="52" customFormat="1" ht="20.100000000000001" customHeight="1">
      <c r="A410" s="285">
        <v>8</v>
      </c>
      <c r="B410" s="3085" t="s">
        <v>707</v>
      </c>
      <c r="C410" s="3101">
        <f>SUM(C408:C409)</f>
        <v>1058</v>
      </c>
      <c r="D410" s="3101">
        <f>SUM(D408:D409)</f>
        <v>2656</v>
      </c>
      <c r="E410" s="3101">
        <f>SUM(E408:E409)</f>
        <v>349902</v>
      </c>
      <c r="F410" s="3086">
        <f>SUM(F408:F409)</f>
        <v>0</v>
      </c>
      <c r="G410" s="3101">
        <f>SUM(G408:G409)</f>
        <v>34702.252620000014</v>
      </c>
      <c r="H410" s="3101">
        <f t="shared" si="52"/>
        <v>388318.25262000004</v>
      </c>
      <c r="I410" s="264"/>
      <c r="J410" s="264"/>
    </row>
    <row r="411" spans="1:14" s="52" customFormat="1" ht="20.100000000000001" customHeight="1">
      <c r="A411" s="285"/>
      <c r="B411" s="3085"/>
      <c r="C411" s="3086"/>
      <c r="D411" s="3086"/>
      <c r="E411" s="3086"/>
      <c r="F411" s="3086"/>
      <c r="G411" s="3086"/>
      <c r="H411" s="3086">
        <f t="shared" si="52"/>
        <v>0</v>
      </c>
      <c r="I411" s="264"/>
      <c r="J411" s="264"/>
    </row>
    <row r="412" spans="1:14" s="52" customFormat="1" ht="20.100000000000001" customHeight="1">
      <c r="A412" s="285"/>
      <c r="B412" s="3083" t="s">
        <v>426</v>
      </c>
      <c r="C412" s="3086"/>
      <c r="D412" s="3086"/>
      <c r="E412" s="3086"/>
      <c r="F412" s="3086"/>
      <c r="G412" s="3086"/>
      <c r="H412" s="3086">
        <f t="shared" si="52"/>
        <v>0</v>
      </c>
      <c r="I412" s="264"/>
      <c r="J412" s="264"/>
    </row>
    <row r="413" spans="1:14" s="52" customFormat="1" ht="20.100000000000001" customHeight="1">
      <c r="A413" s="285">
        <v>9</v>
      </c>
      <c r="B413" s="3085" t="s">
        <v>427</v>
      </c>
      <c r="C413" s="3101">
        <v>-2021.6802299999999</v>
      </c>
      <c r="D413" s="3101">
        <v>-1473.5658900000001</v>
      </c>
      <c r="E413" s="3101">
        <v>-211604.98547000001</v>
      </c>
      <c r="F413" s="3086"/>
      <c r="G413" s="3101">
        <v>-29059.499680000001</v>
      </c>
      <c r="H413" s="3101">
        <f t="shared" si="52"/>
        <v>-244159.73127000002</v>
      </c>
      <c r="I413" s="264"/>
      <c r="J413" s="264"/>
    </row>
    <row r="414" spans="1:14" s="52" customFormat="1" ht="20.100000000000001" customHeight="1">
      <c r="A414" s="285">
        <v>10</v>
      </c>
      <c r="B414" s="3085" t="s">
        <v>428</v>
      </c>
      <c r="C414" s="3101">
        <v>10716.23496</v>
      </c>
      <c r="D414" s="3101">
        <v>1486.3588</v>
      </c>
      <c r="E414" s="3101">
        <v>-22207.70377</v>
      </c>
      <c r="F414" s="3086"/>
      <c r="G414" s="3101">
        <f>--19337.93012</f>
        <v>19337.930120000001</v>
      </c>
      <c r="H414" s="3101">
        <f t="shared" si="52"/>
        <v>9332.8201100000006</v>
      </c>
      <c r="I414" s="264"/>
      <c r="J414" s="264"/>
    </row>
    <row r="415" spans="1:14" s="52" customFormat="1" ht="20.100000000000001" customHeight="1">
      <c r="A415" s="285">
        <v>11</v>
      </c>
      <c r="B415" s="3085" t="s">
        <v>429</v>
      </c>
      <c r="C415" s="3101">
        <v>-2283.7027499999999</v>
      </c>
      <c r="D415" s="3101">
        <v>-154.48317</v>
      </c>
      <c r="E415" s="3101">
        <f>--6773.65348</f>
        <v>6773.6534799999999</v>
      </c>
      <c r="F415" s="3086"/>
      <c r="G415" s="3101">
        <f>-6317.3133-3</f>
        <v>-6320.3132999999998</v>
      </c>
      <c r="H415" s="3101">
        <f t="shared" si="52"/>
        <v>-1984.8457399999998</v>
      </c>
      <c r="I415" s="264"/>
      <c r="J415" s="264"/>
    </row>
    <row r="416" spans="1:14" s="52" customFormat="1" ht="20.100000000000001" customHeight="1">
      <c r="A416" s="287">
        <v>12</v>
      </c>
      <c r="B416" s="3087" t="s">
        <v>430</v>
      </c>
      <c r="C416" s="3102">
        <f>SUM(C410:C415)</f>
        <v>7468.8519799999995</v>
      </c>
      <c r="D416" s="3102">
        <f>SUM(D410:D415)</f>
        <v>2514.3097400000001</v>
      </c>
      <c r="E416" s="3102">
        <f>SUM(E410:E415)</f>
        <v>122862.96423999999</v>
      </c>
      <c r="F416" s="2483">
        <f>SUM(F410:F415)</f>
        <v>0</v>
      </c>
      <c r="G416" s="3102">
        <f>SUM(G410:G415)</f>
        <v>18660.369760000016</v>
      </c>
      <c r="H416" s="3101">
        <f>SUM(C416:G416)</f>
        <v>151506.49572000001</v>
      </c>
      <c r="I416" s="288"/>
      <c r="J416" s="264"/>
    </row>
    <row r="417" spans="1:10" s="52" customFormat="1" ht="20.100000000000001" customHeight="1">
      <c r="A417" s="285"/>
      <c r="B417" s="3088"/>
      <c r="C417" s="3086"/>
      <c r="D417" s="3086"/>
      <c r="E417" s="3086"/>
      <c r="F417" s="3086"/>
      <c r="G417" s="3086"/>
      <c r="H417" s="3086">
        <f t="shared" ref="H417:H429" si="53">SUM(C417:G417)</f>
        <v>0</v>
      </c>
      <c r="I417" s="264"/>
      <c r="J417" s="264"/>
    </row>
    <row r="418" spans="1:10" s="52" customFormat="1" ht="20.100000000000001" customHeight="1">
      <c r="A418" s="285"/>
      <c r="B418" s="3089" t="s">
        <v>431</v>
      </c>
      <c r="C418" s="3086"/>
      <c r="D418" s="3086"/>
      <c r="E418" s="3086"/>
      <c r="F418" s="3086"/>
      <c r="G418" s="3086"/>
      <c r="H418" s="3086">
        <f t="shared" si="53"/>
        <v>0</v>
      </c>
      <c r="I418" s="264"/>
      <c r="J418" s="264"/>
    </row>
    <row r="419" spans="1:10" s="52" customFormat="1" ht="20.100000000000001" customHeight="1">
      <c r="A419" s="285">
        <v>13</v>
      </c>
      <c r="B419" s="3085" t="s">
        <v>432</v>
      </c>
      <c r="C419" s="3101">
        <v>742.26843203607223</v>
      </c>
      <c r="D419" s="3101">
        <v>260.28210026604074</v>
      </c>
      <c r="E419" s="3101">
        <v>5931.3441190874319</v>
      </c>
      <c r="F419" s="3086">
        <v>0</v>
      </c>
      <c r="G419" s="3101">
        <v>1778.1053486104556</v>
      </c>
      <c r="H419" s="3101">
        <f t="shared" si="53"/>
        <v>8712</v>
      </c>
      <c r="I419" s="264"/>
      <c r="J419" s="264"/>
    </row>
    <row r="420" spans="1:10" s="52" customFormat="1" ht="20.100000000000001" customHeight="1">
      <c r="A420" s="285">
        <v>14</v>
      </c>
      <c r="B420" s="3083" t="s">
        <v>433</v>
      </c>
      <c r="C420" s="3101">
        <v>3183.9498743328763</v>
      </c>
      <c r="D420" s="3101">
        <v>1116.476364433189</v>
      </c>
      <c r="E420" s="3101">
        <v>25442.416176572238</v>
      </c>
      <c r="F420" s="3086">
        <v>0</v>
      </c>
      <c r="G420" s="3101">
        <v>7627.1575846616988</v>
      </c>
      <c r="H420" s="3101">
        <f t="shared" si="53"/>
        <v>37370</v>
      </c>
      <c r="I420" s="264"/>
      <c r="J420" s="264"/>
    </row>
    <row r="421" spans="1:10" s="52" customFormat="1" ht="20.100000000000001" customHeight="1">
      <c r="A421" s="285">
        <v>15</v>
      </c>
      <c r="B421" s="3085" t="s">
        <v>434</v>
      </c>
      <c r="C421" s="3101">
        <v>987.1352219432888</v>
      </c>
      <c r="D421" s="3101">
        <v>346.14651213066441</v>
      </c>
      <c r="E421" s="3101">
        <v>7888.034086747818</v>
      </c>
      <c r="F421" s="3086">
        <v>0</v>
      </c>
      <c r="G421" s="3101">
        <v>2364.6841791782299</v>
      </c>
      <c r="H421" s="3101">
        <f t="shared" si="53"/>
        <v>11586.000000000002</v>
      </c>
      <c r="I421" s="264"/>
      <c r="J421" s="264"/>
    </row>
    <row r="422" spans="1:10" s="52" customFormat="1" ht="20.100000000000001" customHeight="1">
      <c r="A422" s="285"/>
      <c r="B422" s="3083" t="s">
        <v>435</v>
      </c>
      <c r="C422" s="3086"/>
      <c r="D422" s="3086"/>
      <c r="E422" s="3086"/>
      <c r="F422" s="3086"/>
      <c r="G422" s="3086"/>
      <c r="H422" s="3101">
        <f t="shared" si="53"/>
        <v>0</v>
      </c>
      <c r="I422" s="264"/>
      <c r="J422" s="264"/>
    </row>
    <row r="423" spans="1:10" s="52" customFormat="1" ht="29.25" customHeight="1">
      <c r="A423" s="285">
        <v>16</v>
      </c>
      <c r="B423" s="3091" t="s">
        <v>436</v>
      </c>
      <c r="C423" s="3101">
        <v>-17212.329075798822</v>
      </c>
      <c r="D423" s="3101">
        <v>-6035.6347770713746</v>
      </c>
      <c r="E423" s="3101">
        <v>-137540.87124450898</v>
      </c>
      <c r="F423" s="3086">
        <v>0</v>
      </c>
      <c r="G423" s="3101">
        <v>-41232.164902620847</v>
      </c>
      <c r="H423" s="3101">
        <f t="shared" si="53"/>
        <v>-202021</v>
      </c>
      <c r="I423" s="264"/>
      <c r="J423" s="264"/>
    </row>
    <row r="424" spans="1:10" s="52" customFormat="1" ht="20.100000000000001" customHeight="1">
      <c r="A424" s="285">
        <v>17</v>
      </c>
      <c r="B424" s="3085" t="s">
        <v>437</v>
      </c>
      <c r="C424" s="3086"/>
      <c r="D424" s="3086"/>
      <c r="E424" s="3086"/>
      <c r="F424" s="3086"/>
      <c r="G424" s="3086"/>
      <c r="H424" s="3086">
        <f t="shared" si="53"/>
        <v>0</v>
      </c>
      <c r="I424" s="264"/>
      <c r="J424" s="264"/>
    </row>
    <row r="425" spans="1:10" s="52" customFormat="1" ht="20.100000000000001" customHeight="1">
      <c r="A425" s="285">
        <v>18</v>
      </c>
      <c r="B425" s="3083" t="s">
        <v>438</v>
      </c>
      <c r="C425" s="3101">
        <f>SUM(C416:C424)</f>
        <v>-4830.1235674865857</v>
      </c>
      <c r="D425" s="3101">
        <f>SUM(D416:D424)</f>
        <v>-1798.4200602414803</v>
      </c>
      <c r="E425" s="3101">
        <f>SUM(E416:E424)</f>
        <v>24583.8873778985</v>
      </c>
      <c r="F425" s="3086">
        <f>SUM(F416:F424)</f>
        <v>0</v>
      </c>
      <c r="G425" s="3101">
        <f>SUM(G416:G424)</f>
        <v>-10801.848030170448</v>
      </c>
      <c r="H425" s="3101">
        <f t="shared" si="53"/>
        <v>7153.4957199999844</v>
      </c>
      <c r="I425" s="264"/>
      <c r="J425" s="264"/>
    </row>
    <row r="426" spans="1:10" s="52" customFormat="1" ht="20.100000000000001" customHeight="1">
      <c r="A426" s="285">
        <v>19</v>
      </c>
      <c r="B426" s="3085" t="s">
        <v>439</v>
      </c>
      <c r="C426" s="3086"/>
      <c r="D426" s="3086"/>
      <c r="E426" s="3086"/>
      <c r="F426" s="3086"/>
      <c r="G426" s="3086"/>
      <c r="H426" s="3086">
        <f t="shared" si="53"/>
        <v>0</v>
      </c>
      <c r="I426" s="264"/>
      <c r="J426" s="264"/>
    </row>
    <row r="427" spans="1:10" s="52" customFormat="1" ht="20.100000000000001" customHeight="1">
      <c r="A427" s="285">
        <v>20</v>
      </c>
      <c r="B427" s="3093" t="s">
        <v>440</v>
      </c>
      <c r="C427" s="3101">
        <f>SUM(C425:C426)</f>
        <v>-4830.1235674865857</v>
      </c>
      <c r="D427" s="3101">
        <f>SUM(D425:D426)</f>
        <v>-1798.4200602414803</v>
      </c>
      <c r="E427" s="3101">
        <f>SUM(E425:E426)</f>
        <v>24583.8873778985</v>
      </c>
      <c r="F427" s="3086">
        <f>SUM(F425:F426)</f>
        <v>0</v>
      </c>
      <c r="G427" s="3101">
        <f>SUM(G425:G426)</f>
        <v>-10801.848030170448</v>
      </c>
      <c r="H427" s="3101">
        <f t="shared" si="53"/>
        <v>7153.4957199999844</v>
      </c>
      <c r="I427" s="264"/>
      <c r="J427" s="264"/>
    </row>
    <row r="428" spans="1:10" s="52" customFormat="1" ht="20.100000000000001" customHeight="1">
      <c r="A428" s="285">
        <v>21</v>
      </c>
      <c r="B428" s="3093" t="s">
        <v>441</v>
      </c>
      <c r="C428" s="3086"/>
      <c r="D428" s="3086"/>
      <c r="E428" s="3086"/>
      <c r="F428" s="3086"/>
      <c r="G428" s="3086"/>
      <c r="H428" s="3086">
        <f t="shared" si="53"/>
        <v>0</v>
      </c>
      <c r="I428" s="264"/>
      <c r="J428" s="264"/>
    </row>
    <row r="429" spans="1:10" s="52" customFormat="1" ht="20.100000000000001" customHeight="1">
      <c r="A429" s="285">
        <v>22</v>
      </c>
      <c r="B429" s="3093" t="s">
        <v>442</v>
      </c>
      <c r="C429" s="3101">
        <f>SUM(C427:C428)</f>
        <v>-4830.1235674865857</v>
      </c>
      <c r="D429" s="3101">
        <f>SUM(D427:D428)</f>
        <v>-1798.4200602414803</v>
      </c>
      <c r="E429" s="3101">
        <f>SUM(E427:E428)</f>
        <v>24583.8873778985</v>
      </c>
      <c r="F429" s="3086">
        <f>SUM(F427:F428)</f>
        <v>0</v>
      </c>
      <c r="G429" s="3101">
        <f>SUM(G427:G428)</f>
        <v>-10801.848030170448</v>
      </c>
      <c r="H429" s="3101">
        <f t="shared" si="53"/>
        <v>7153.4957199999844</v>
      </c>
      <c r="I429" s="284"/>
      <c r="J429" s="264"/>
    </row>
    <row r="430" spans="1:10" s="52" customFormat="1" ht="17.45" customHeight="1">
      <c r="A430" s="285"/>
      <c r="B430" s="290"/>
      <c r="C430" s="289"/>
      <c r="D430" s="289"/>
      <c r="E430" s="289"/>
      <c r="F430" s="289"/>
      <c r="G430" s="289"/>
      <c r="H430" s="289"/>
      <c r="I430" s="284"/>
      <c r="J430" s="264"/>
    </row>
    <row r="431" spans="1:10" s="52" customFormat="1" ht="17.45" customHeight="1">
      <c r="A431" s="285"/>
      <c r="B431" s="290"/>
      <c r="C431" s="289"/>
      <c r="D431" s="289"/>
      <c r="E431" s="289"/>
      <c r="F431" s="289"/>
      <c r="G431" s="289"/>
      <c r="H431" s="289"/>
      <c r="I431" s="284"/>
      <c r="J431" s="264"/>
    </row>
    <row r="432" spans="1:10" s="54" customFormat="1" ht="17.45" customHeight="1">
      <c r="A432" s="3847">
        <v>13</v>
      </c>
      <c r="B432" s="3844" t="s">
        <v>111</v>
      </c>
      <c r="C432" s="3842">
        <v>2011</v>
      </c>
      <c r="D432" s="3842"/>
      <c r="E432" s="3842"/>
      <c r="F432" s="3842"/>
      <c r="G432" s="3842"/>
      <c r="H432" s="3842"/>
      <c r="I432" s="109"/>
      <c r="J432" s="109"/>
    </row>
    <row r="433" spans="1:14" s="54" customFormat="1" ht="17.45" customHeight="1">
      <c r="A433" s="3847"/>
      <c r="B433" s="3844"/>
      <c r="C433" s="2917" t="s">
        <v>412</v>
      </c>
      <c r="D433" s="2917" t="s">
        <v>413</v>
      </c>
      <c r="E433" s="2917" t="s">
        <v>414</v>
      </c>
      <c r="F433" s="2917" t="s">
        <v>701</v>
      </c>
      <c r="G433" s="2917" t="s">
        <v>702</v>
      </c>
      <c r="H433" s="2917" t="s">
        <v>118</v>
      </c>
      <c r="I433" s="3617"/>
      <c r="J433" s="109"/>
    </row>
    <row r="434" spans="1:14" s="54" customFormat="1" ht="17.45" customHeight="1">
      <c r="A434" s="3847"/>
      <c r="B434" s="3844"/>
      <c r="C434" s="3082" t="s">
        <v>140</v>
      </c>
      <c r="D434" s="3082" t="s">
        <v>140</v>
      </c>
      <c r="E434" s="3082" t="s">
        <v>140</v>
      </c>
      <c r="F434" s="3082" t="s">
        <v>140</v>
      </c>
      <c r="G434" s="3082" t="s">
        <v>140</v>
      </c>
      <c r="H434" s="3082" t="s">
        <v>140</v>
      </c>
      <c r="I434" s="3617"/>
      <c r="J434" s="109"/>
    </row>
    <row r="435" spans="1:14" s="52" customFormat="1" ht="17.45" customHeight="1">
      <c r="A435" s="285">
        <v>1</v>
      </c>
      <c r="B435" s="3083" t="s">
        <v>211</v>
      </c>
      <c r="C435" s="3843"/>
      <c r="D435" s="3843"/>
      <c r="E435" s="3843"/>
      <c r="F435" s="3843"/>
      <c r="G435" s="3843"/>
      <c r="H435" s="2016">
        <f>+H443+H452+H453+H454</f>
        <v>22913.562019999903</v>
      </c>
      <c r="I435" s="264"/>
      <c r="J435" s="278"/>
      <c r="K435" s="274"/>
      <c r="L435" s="274"/>
      <c r="M435" s="274"/>
      <c r="N435" s="274"/>
    </row>
    <row r="436" spans="1:14" s="52" customFormat="1" ht="4.5" customHeight="1">
      <c r="A436" s="285"/>
      <c r="B436" s="3083"/>
      <c r="C436" s="2107"/>
      <c r="D436" s="2107"/>
      <c r="E436" s="2107"/>
      <c r="F436" s="2107"/>
      <c r="G436" s="2107"/>
      <c r="H436" s="2107"/>
      <c r="I436" s="264"/>
      <c r="J436" s="278"/>
      <c r="K436" s="274"/>
      <c r="L436" s="274"/>
      <c r="M436" s="274"/>
      <c r="N436" s="274"/>
    </row>
    <row r="437" spans="1:14" s="52" customFormat="1" ht="20.100000000000001" customHeight="1">
      <c r="A437" s="285">
        <v>2</v>
      </c>
      <c r="B437" s="3085" t="s">
        <v>333</v>
      </c>
      <c r="C437" s="3105">
        <v>167</v>
      </c>
      <c r="D437" s="3105">
        <v>215</v>
      </c>
      <c r="E437" s="3105">
        <v>1434</v>
      </c>
      <c r="F437" s="3105"/>
      <c r="G437" s="3105">
        <v>5</v>
      </c>
      <c r="H437" s="3105">
        <f>SUM(C437:G437)</f>
        <v>1821</v>
      </c>
      <c r="I437" s="286"/>
      <c r="J437" s="264"/>
    </row>
    <row r="438" spans="1:14" s="52" customFormat="1" ht="20.100000000000001" customHeight="1">
      <c r="A438" s="285">
        <v>3</v>
      </c>
      <c r="B438" s="3085" t="s">
        <v>420</v>
      </c>
      <c r="C438" s="3105"/>
      <c r="D438" s="3105"/>
      <c r="E438" s="3105"/>
      <c r="F438" s="3105"/>
      <c r="G438" s="3105"/>
      <c r="H438" s="3105">
        <f>SUM(C438:G438)</f>
        <v>0</v>
      </c>
      <c r="I438" s="286"/>
      <c r="J438" s="264"/>
    </row>
    <row r="439" spans="1:14" s="52" customFormat="1" ht="20.100000000000001" customHeight="1">
      <c r="A439" s="285">
        <v>4</v>
      </c>
      <c r="B439" s="3085" t="s">
        <v>421</v>
      </c>
      <c r="C439" s="3105">
        <v>-39.009439999999998</v>
      </c>
      <c r="D439" s="3105">
        <v>-2.125</v>
      </c>
      <c r="E439" s="3105">
        <v>-30</v>
      </c>
      <c r="F439" s="3105"/>
      <c r="G439" s="3105">
        <v>-1</v>
      </c>
      <c r="H439" s="3105">
        <f>SUM(C439:G439)</f>
        <v>-72.134439999999998</v>
      </c>
      <c r="I439" s="286"/>
      <c r="J439" s="264"/>
    </row>
    <row r="440" spans="1:14" s="52" customFormat="1" ht="20.100000000000001" customHeight="1">
      <c r="A440" s="285">
        <v>5</v>
      </c>
      <c r="B440" s="3085" t="s">
        <v>422</v>
      </c>
      <c r="C440" s="3105">
        <f>-89-C439</f>
        <v>-49.990560000000002</v>
      </c>
      <c r="D440" s="3105">
        <f>-169-D439</f>
        <v>-166.875</v>
      </c>
      <c r="E440" s="3105"/>
      <c r="F440" s="3105">
        <v>0</v>
      </c>
      <c r="G440" s="3105">
        <f>-1-G439</f>
        <v>0</v>
      </c>
      <c r="H440" s="3105">
        <f>SUM(C440:G440)</f>
        <v>-216.86556000000002</v>
      </c>
      <c r="I440" s="264"/>
      <c r="J440" s="264"/>
    </row>
    <row r="441" spans="1:14" s="52" customFormat="1" ht="20.100000000000001" customHeight="1">
      <c r="A441" s="285">
        <v>6</v>
      </c>
      <c r="B441" s="3085" t="s">
        <v>706</v>
      </c>
      <c r="C441" s="3105">
        <f>SUM(C437:C440)</f>
        <v>78</v>
      </c>
      <c r="D441" s="3105">
        <f>SUM(D437:D440)</f>
        <v>46</v>
      </c>
      <c r="E441" s="3105">
        <f>SUM(E437:E440)</f>
        <v>1404</v>
      </c>
      <c r="F441" s="3105">
        <f>SUM(F437:F440)</f>
        <v>0</v>
      </c>
      <c r="G441" s="3105">
        <f>SUM(G437:G440)</f>
        <v>4</v>
      </c>
      <c r="H441" s="3105">
        <f>SUM(C441:G441)</f>
        <v>1532</v>
      </c>
      <c r="I441" s="264"/>
      <c r="J441" s="264"/>
    </row>
    <row r="442" spans="1:14" s="52" customFormat="1" ht="20.100000000000001" customHeight="1">
      <c r="A442" s="285">
        <v>7</v>
      </c>
      <c r="B442" s="3085" t="s">
        <v>424</v>
      </c>
      <c r="C442" s="3105">
        <v>-75</v>
      </c>
      <c r="D442" s="3105">
        <v>-44</v>
      </c>
      <c r="E442" s="3105">
        <v>-1374</v>
      </c>
      <c r="F442" s="3105"/>
      <c r="G442" s="3105">
        <v>-4</v>
      </c>
      <c r="H442" s="3105">
        <f t="shared" ref="H442:H448" si="54">SUM(C442:G442)</f>
        <v>-1497</v>
      </c>
      <c r="I442" s="264"/>
      <c r="J442" s="264"/>
    </row>
    <row r="443" spans="1:14" s="52" customFormat="1" ht="20.100000000000001" customHeight="1">
      <c r="A443" s="285">
        <v>8</v>
      </c>
      <c r="B443" s="3085" t="s">
        <v>707</v>
      </c>
      <c r="C443" s="3105">
        <f>SUM(C441:C442)</f>
        <v>3</v>
      </c>
      <c r="D443" s="3105">
        <f>SUM(D441:D442)</f>
        <v>2</v>
      </c>
      <c r="E443" s="3105">
        <f>SUM(E441:E442)</f>
        <v>30</v>
      </c>
      <c r="F443" s="3105">
        <f>SUM(F441:F442)</f>
        <v>0</v>
      </c>
      <c r="G443" s="3105">
        <f>SUM(G441:G442)</f>
        <v>0</v>
      </c>
      <c r="H443" s="3105">
        <f t="shared" si="54"/>
        <v>35</v>
      </c>
      <c r="I443" s="264"/>
      <c r="J443" s="264"/>
    </row>
    <row r="444" spans="1:14" s="52" customFormat="1" ht="20.100000000000001" customHeight="1">
      <c r="A444" s="285"/>
      <c r="B444" s="3085"/>
      <c r="C444" s="3105"/>
      <c r="D444" s="3105"/>
      <c r="E444" s="3105"/>
      <c r="F444" s="3105"/>
      <c r="G444" s="3105"/>
      <c r="H444" s="3105">
        <f t="shared" si="54"/>
        <v>0</v>
      </c>
      <c r="I444" s="264"/>
      <c r="J444" s="264"/>
    </row>
    <row r="445" spans="1:14" s="52" customFormat="1" ht="20.100000000000001" customHeight="1">
      <c r="A445" s="285"/>
      <c r="B445" s="3083" t="s">
        <v>426</v>
      </c>
      <c r="C445" s="3105"/>
      <c r="D445" s="3105"/>
      <c r="E445" s="3105"/>
      <c r="F445" s="3105"/>
      <c r="G445" s="3105"/>
      <c r="H445" s="3105">
        <f t="shared" si="54"/>
        <v>0</v>
      </c>
      <c r="I445" s="264"/>
      <c r="J445" s="264"/>
    </row>
    <row r="446" spans="1:14" s="52" customFormat="1" ht="20.100000000000001" customHeight="1">
      <c r="A446" s="285">
        <v>9</v>
      </c>
      <c r="B446" s="3085" t="s">
        <v>427</v>
      </c>
      <c r="C446" s="3105">
        <v>0</v>
      </c>
      <c r="D446" s="3105">
        <v>0</v>
      </c>
      <c r="E446" s="3105">
        <v>-70</v>
      </c>
      <c r="F446" s="3105"/>
      <c r="G446" s="3105">
        <v>0</v>
      </c>
      <c r="H446" s="3105">
        <f t="shared" si="54"/>
        <v>-70</v>
      </c>
      <c r="I446" s="264"/>
      <c r="J446" s="264"/>
    </row>
    <row r="447" spans="1:14" s="52" customFormat="1" ht="20.100000000000001" customHeight="1">
      <c r="A447" s="285">
        <v>10</v>
      </c>
      <c r="B447" s="3085" t="s">
        <v>428</v>
      </c>
      <c r="C447" s="3105">
        <v>1</v>
      </c>
      <c r="D447" s="3105">
        <v>1</v>
      </c>
      <c r="E447" s="3105">
        <v>-5</v>
      </c>
      <c r="F447" s="3105">
        <v>0</v>
      </c>
      <c r="G447" s="3105">
        <v>0</v>
      </c>
      <c r="H447" s="3105">
        <f t="shared" si="54"/>
        <v>-3</v>
      </c>
      <c r="I447" s="264"/>
      <c r="J447" s="264"/>
    </row>
    <row r="448" spans="1:14" s="52" customFormat="1" ht="20.100000000000001" customHeight="1">
      <c r="A448" s="285">
        <v>11</v>
      </c>
      <c r="B448" s="3085" t="s">
        <v>429</v>
      </c>
      <c r="C448" s="3105"/>
      <c r="D448" s="3105"/>
      <c r="E448" s="3105"/>
      <c r="F448" s="3105"/>
      <c r="G448" s="3105"/>
      <c r="H448" s="3105">
        <f t="shared" si="54"/>
        <v>0</v>
      </c>
      <c r="I448" s="264"/>
      <c r="J448" s="264"/>
    </row>
    <row r="449" spans="1:10" s="52" customFormat="1" ht="20.100000000000001" customHeight="1">
      <c r="A449" s="287">
        <v>12</v>
      </c>
      <c r="B449" s="3087" t="s">
        <v>430</v>
      </c>
      <c r="C449" s="3106">
        <f>SUM(C443:C448)</f>
        <v>4</v>
      </c>
      <c r="D449" s="3106">
        <f>SUM(D443:D448)</f>
        <v>3</v>
      </c>
      <c r="E449" s="3106">
        <f>SUM(E443:E448)</f>
        <v>-45</v>
      </c>
      <c r="F449" s="3106">
        <f>SUM(F443:F448)</f>
        <v>0</v>
      </c>
      <c r="G449" s="3106">
        <f>SUM(G443:G448)</f>
        <v>0</v>
      </c>
      <c r="H449" s="3105">
        <f>SUM(C449:G449)</f>
        <v>-38</v>
      </c>
      <c r="I449" s="288"/>
      <c r="J449" s="264"/>
    </row>
    <row r="450" spans="1:10" s="52" customFormat="1" ht="20.100000000000001" customHeight="1">
      <c r="A450" s="285"/>
      <c r="B450" s="3088"/>
      <c r="C450" s="3105"/>
      <c r="D450" s="3105"/>
      <c r="E450" s="3105"/>
      <c r="F450" s="3105"/>
      <c r="G450" s="3105"/>
      <c r="H450" s="3105">
        <f t="shared" ref="H450:H462" si="55">SUM(C450:G450)</f>
        <v>0</v>
      </c>
      <c r="I450" s="264"/>
      <c r="J450" s="264"/>
    </row>
    <row r="451" spans="1:10" s="52" customFormat="1" ht="20.100000000000001" customHeight="1">
      <c r="A451" s="285"/>
      <c r="B451" s="3089" t="s">
        <v>431</v>
      </c>
      <c r="C451" s="3105"/>
      <c r="D451" s="3105"/>
      <c r="E451" s="3105"/>
      <c r="F451" s="3105"/>
      <c r="G451" s="3105"/>
      <c r="H451" s="3105">
        <f t="shared" si="55"/>
        <v>0</v>
      </c>
      <c r="I451" s="264"/>
      <c r="J451" s="264"/>
    </row>
    <row r="452" spans="1:10" s="52" customFormat="1" ht="20.100000000000001" customHeight="1">
      <c r="A452" s="285">
        <v>13</v>
      </c>
      <c r="B452" s="3085" t="s">
        <v>432</v>
      </c>
      <c r="C452" s="3107">
        <v>0.64387000000000005</v>
      </c>
      <c r="D452" s="3107">
        <v>0.63721000000000005</v>
      </c>
      <c r="E452" s="3107">
        <v>10.56794</v>
      </c>
      <c r="F452" s="3107"/>
      <c r="G452" s="3107">
        <v>0.115</v>
      </c>
      <c r="H452" s="3105">
        <f t="shared" si="55"/>
        <v>11.96402</v>
      </c>
      <c r="I452" s="264"/>
      <c r="J452" s="264"/>
    </row>
    <row r="453" spans="1:10" s="52" customFormat="1" ht="20.100000000000001" customHeight="1">
      <c r="A453" s="285">
        <v>14</v>
      </c>
      <c r="B453" s="3083" t="s">
        <v>433</v>
      </c>
      <c r="C453" s="3107">
        <v>1959.9941142857101</v>
      </c>
      <c r="D453" s="3107">
        <v>1306.6627428571371</v>
      </c>
      <c r="E453" s="3107">
        <v>19599.941142857057</v>
      </c>
      <c r="F453" s="3107">
        <v>0</v>
      </c>
      <c r="G453" s="3107">
        <v>0</v>
      </c>
      <c r="H453" s="3105">
        <f t="shared" si="55"/>
        <v>22866.597999999904</v>
      </c>
      <c r="I453" s="264"/>
      <c r="J453" s="264"/>
    </row>
    <row r="454" spans="1:10" s="52" customFormat="1" ht="20.100000000000001" customHeight="1">
      <c r="A454" s="285">
        <v>15</v>
      </c>
      <c r="B454" s="3085" t="s">
        <v>434</v>
      </c>
      <c r="C454" s="3107"/>
      <c r="D454" s="3107"/>
      <c r="E454" s="3107"/>
      <c r="F454" s="3107"/>
      <c r="G454" s="3107"/>
      <c r="H454" s="3105">
        <f t="shared" si="55"/>
        <v>0</v>
      </c>
      <c r="I454" s="264"/>
      <c r="J454" s="264"/>
    </row>
    <row r="455" spans="1:10" s="52" customFormat="1" ht="20.100000000000001" customHeight="1">
      <c r="A455" s="285"/>
      <c r="B455" s="3083" t="s">
        <v>435</v>
      </c>
      <c r="C455" s="3107"/>
      <c r="D455" s="3107"/>
      <c r="E455" s="3107"/>
      <c r="F455" s="3107"/>
      <c r="G455" s="3107"/>
      <c r="H455" s="3105">
        <f t="shared" si="55"/>
        <v>0</v>
      </c>
      <c r="I455" s="264"/>
      <c r="J455" s="264"/>
    </row>
    <row r="456" spans="1:10" s="52" customFormat="1" ht="27" customHeight="1">
      <c r="A456" s="285">
        <v>16</v>
      </c>
      <c r="B456" s="3091" t="s">
        <v>436</v>
      </c>
      <c r="C456" s="3107"/>
      <c r="D456" s="3107"/>
      <c r="E456" s="3107"/>
      <c r="F456" s="3107"/>
      <c r="G456" s="3107"/>
      <c r="H456" s="3105">
        <f t="shared" si="55"/>
        <v>0</v>
      </c>
      <c r="I456" s="264"/>
      <c r="J456" s="264"/>
    </row>
    <row r="457" spans="1:10" s="52" customFormat="1" ht="20.100000000000001" customHeight="1">
      <c r="A457" s="285">
        <v>17</v>
      </c>
      <c r="B457" s="3085" t="s">
        <v>437</v>
      </c>
      <c r="C457" s="3107">
        <v>-3030.1238571428571</v>
      </c>
      <c r="D457" s="3107">
        <v>-2020.0825714285713</v>
      </c>
      <c r="E457" s="3107">
        <v>-30301.238571428574</v>
      </c>
      <c r="F457" s="3107">
        <v>0</v>
      </c>
      <c r="G457" s="3107">
        <v>0</v>
      </c>
      <c r="H457" s="3105">
        <f t="shared" si="55"/>
        <v>-35351.445</v>
      </c>
      <c r="I457" s="264"/>
      <c r="J457" s="264"/>
    </row>
    <row r="458" spans="1:10" s="52" customFormat="1" ht="20.100000000000001" customHeight="1">
      <c r="A458" s="285">
        <v>18</v>
      </c>
      <c r="B458" s="3083" t="s">
        <v>438</v>
      </c>
      <c r="C458" s="3105">
        <f>SUM(C449:C457)</f>
        <v>-1065.4858728571469</v>
      </c>
      <c r="D458" s="3105">
        <f>SUM(D449:D457)</f>
        <v>-709.78261857143411</v>
      </c>
      <c r="E458" s="3105">
        <f>SUM(E449:E457)</f>
        <v>-10735.729488571516</v>
      </c>
      <c r="F458" s="3105">
        <f>SUM(F449:F457)</f>
        <v>0</v>
      </c>
      <c r="G458" s="3105">
        <f>SUM(G449:G457)</f>
        <v>0.115</v>
      </c>
      <c r="H458" s="3105">
        <f t="shared" si="55"/>
        <v>-12510.882980000099</v>
      </c>
      <c r="I458" s="264"/>
      <c r="J458" s="264"/>
    </row>
    <row r="459" spans="1:10" s="52" customFormat="1" ht="20.100000000000001" customHeight="1">
      <c r="A459" s="285">
        <v>19</v>
      </c>
      <c r="B459" s="3085" t="s">
        <v>439</v>
      </c>
      <c r="C459" s="3105"/>
      <c r="D459" s="3105"/>
      <c r="E459" s="3105"/>
      <c r="F459" s="3105"/>
      <c r="G459" s="3105"/>
      <c r="H459" s="3105">
        <f t="shared" si="55"/>
        <v>0</v>
      </c>
      <c r="I459" s="264"/>
      <c r="J459" s="264"/>
    </row>
    <row r="460" spans="1:10" s="52" customFormat="1" ht="20.100000000000001" customHeight="1">
      <c r="A460" s="285">
        <v>20</v>
      </c>
      <c r="B460" s="3093" t="s">
        <v>440</v>
      </c>
      <c r="C460" s="3105">
        <f>SUM(C458:C459)</f>
        <v>-1065.4858728571469</v>
      </c>
      <c r="D460" s="3105">
        <f>SUM(D458:D459)</f>
        <v>-709.78261857143411</v>
      </c>
      <c r="E460" s="3105">
        <f>SUM(E458:E459)</f>
        <v>-10735.729488571516</v>
      </c>
      <c r="F460" s="3105">
        <f>SUM(F458:F459)</f>
        <v>0</v>
      </c>
      <c r="G460" s="3105">
        <f>SUM(G458:G459)</f>
        <v>0.115</v>
      </c>
      <c r="H460" s="3105">
        <f t="shared" si="55"/>
        <v>-12510.882980000099</v>
      </c>
      <c r="I460" s="264"/>
      <c r="J460" s="264"/>
    </row>
    <row r="461" spans="1:10" s="52" customFormat="1" ht="20.100000000000001" customHeight="1">
      <c r="A461" s="285">
        <v>21</v>
      </c>
      <c r="B461" s="3093" t="s">
        <v>441</v>
      </c>
      <c r="C461" s="3105"/>
      <c r="D461" s="3105"/>
      <c r="E461" s="3105"/>
      <c r="F461" s="3105"/>
      <c r="G461" s="3105"/>
      <c r="H461" s="3105">
        <f t="shared" si="55"/>
        <v>0</v>
      </c>
      <c r="I461" s="264"/>
      <c r="J461" s="264"/>
    </row>
    <row r="462" spans="1:10" s="52" customFormat="1" ht="20.100000000000001" customHeight="1">
      <c r="A462" s="285">
        <v>22</v>
      </c>
      <c r="B462" s="3093" t="s">
        <v>442</v>
      </c>
      <c r="C462" s="3105">
        <f>SUM(C460:C461)</f>
        <v>-1065.4858728571469</v>
      </c>
      <c r="D462" s="3105">
        <f>SUM(D460:D461)</f>
        <v>-709.78261857143411</v>
      </c>
      <c r="E462" s="3105">
        <f>SUM(E460:E461)</f>
        <v>-10735.729488571516</v>
      </c>
      <c r="F462" s="3105">
        <f>SUM(F460:F461)</f>
        <v>0</v>
      </c>
      <c r="G462" s="3105">
        <f>SUM(G460:G461)</f>
        <v>0.115</v>
      </c>
      <c r="H462" s="3105">
        <f t="shared" si="55"/>
        <v>-12510.882980000099</v>
      </c>
      <c r="I462" s="284"/>
      <c r="J462" s="264"/>
    </row>
    <row r="463" spans="1:10" s="52" customFormat="1" ht="17.45" customHeight="1">
      <c r="A463" s="285"/>
      <c r="B463" s="290"/>
      <c r="C463" s="289"/>
      <c r="D463" s="289"/>
      <c r="E463" s="289"/>
      <c r="F463" s="289"/>
      <c r="G463" s="289"/>
      <c r="H463" s="289"/>
      <c r="I463" s="284"/>
      <c r="J463" s="264"/>
    </row>
    <row r="464" spans="1:10" s="52" customFormat="1" ht="17.45" customHeight="1">
      <c r="A464" s="285"/>
      <c r="B464" s="290"/>
      <c r="C464" s="289"/>
      <c r="D464" s="289"/>
      <c r="E464" s="289"/>
      <c r="F464" s="289"/>
      <c r="G464" s="289"/>
      <c r="H464" s="289"/>
      <c r="I464" s="284"/>
      <c r="J464" s="264"/>
    </row>
    <row r="465" spans="1:14" s="54" customFormat="1" ht="17.45" customHeight="1">
      <c r="A465" s="3847">
        <v>14</v>
      </c>
      <c r="B465" s="3844" t="s">
        <v>112</v>
      </c>
      <c r="C465" s="3842">
        <v>2011</v>
      </c>
      <c r="D465" s="3842"/>
      <c r="E465" s="3842"/>
      <c r="F465" s="3842"/>
      <c r="G465" s="3842"/>
      <c r="H465" s="3842"/>
      <c r="I465" s="109"/>
      <c r="J465" s="109"/>
    </row>
    <row r="466" spans="1:14" s="54" customFormat="1" ht="17.45" customHeight="1">
      <c r="A466" s="3847"/>
      <c r="B466" s="3844"/>
      <c r="C466" s="2917" t="s">
        <v>412</v>
      </c>
      <c r="D466" s="2917" t="s">
        <v>413</v>
      </c>
      <c r="E466" s="2917" t="s">
        <v>414</v>
      </c>
      <c r="F466" s="2917" t="s">
        <v>701</v>
      </c>
      <c r="G466" s="2917" t="s">
        <v>702</v>
      </c>
      <c r="H466" s="2917" t="s">
        <v>118</v>
      </c>
      <c r="I466" s="3617"/>
      <c r="J466" s="109"/>
    </row>
    <row r="467" spans="1:14" s="54" customFormat="1" ht="17.45" customHeight="1">
      <c r="A467" s="3847"/>
      <c r="B467" s="3844"/>
      <c r="C467" s="3082" t="s">
        <v>140</v>
      </c>
      <c r="D467" s="3082" t="s">
        <v>140</v>
      </c>
      <c r="E467" s="3082" t="s">
        <v>140</v>
      </c>
      <c r="F467" s="3082" t="s">
        <v>140</v>
      </c>
      <c r="G467" s="3082" t="s">
        <v>140</v>
      </c>
      <c r="H467" s="3082" t="s">
        <v>140</v>
      </c>
      <c r="I467" s="3617"/>
      <c r="J467" s="109"/>
    </row>
    <row r="468" spans="1:14" s="52" customFormat="1" ht="17.45" customHeight="1">
      <c r="A468" s="285">
        <v>1</v>
      </c>
      <c r="B468" s="3083" t="s">
        <v>211</v>
      </c>
      <c r="C468" s="3843"/>
      <c r="D468" s="3843"/>
      <c r="E468" s="3843"/>
      <c r="F468" s="3843"/>
      <c r="G468" s="3843"/>
      <c r="H468" s="2016">
        <f>+H476+H485+H486+H487</f>
        <v>1584796</v>
      </c>
      <c r="I468" s="264"/>
      <c r="J468" s="278"/>
      <c r="K468" s="274"/>
      <c r="L468" s="274"/>
      <c r="M468" s="274"/>
      <c r="N468" s="274"/>
    </row>
    <row r="469" spans="1:14" s="52" customFormat="1" ht="17.45" customHeight="1">
      <c r="A469" s="285"/>
      <c r="B469" s="3083"/>
      <c r="C469" s="2107"/>
      <c r="D469" s="2107"/>
      <c r="E469" s="2107"/>
      <c r="F469" s="2107"/>
      <c r="G469" s="2107"/>
      <c r="H469" s="2107"/>
      <c r="I469" s="264"/>
      <c r="J469" s="278"/>
      <c r="K469" s="274"/>
      <c r="L469" s="274"/>
      <c r="M469" s="274"/>
      <c r="N469" s="274"/>
    </row>
    <row r="470" spans="1:14" s="52" customFormat="1" ht="20.100000000000001" customHeight="1">
      <c r="A470" s="285">
        <v>2</v>
      </c>
      <c r="B470" s="3085" t="s">
        <v>333</v>
      </c>
      <c r="C470" s="3105">
        <v>238767</v>
      </c>
      <c r="D470" s="3105">
        <v>14939</v>
      </c>
      <c r="E470" s="3105">
        <v>2002474</v>
      </c>
      <c r="F470" s="3105">
        <v>0</v>
      </c>
      <c r="G470" s="3105">
        <v>158608</v>
      </c>
      <c r="H470" s="3105">
        <f>SUM(C470:G470)</f>
        <v>2414788</v>
      </c>
      <c r="I470" s="286"/>
      <c r="J470" s="264"/>
    </row>
    <row r="471" spans="1:14" s="52" customFormat="1" ht="20.100000000000001" customHeight="1">
      <c r="A471" s="285">
        <v>3</v>
      </c>
      <c r="B471" s="3085" t="s">
        <v>420</v>
      </c>
      <c r="C471" s="3105">
        <v>-909</v>
      </c>
      <c r="D471" s="3105">
        <v>0</v>
      </c>
      <c r="E471" s="3105">
        <v>0</v>
      </c>
      <c r="F471" s="3105">
        <v>0</v>
      </c>
      <c r="G471" s="3105">
        <v>0</v>
      </c>
      <c r="H471" s="3105">
        <f>SUM(C471:G471)</f>
        <v>-909</v>
      </c>
      <c r="I471" s="286"/>
      <c r="J471" s="264"/>
    </row>
    <row r="472" spans="1:14" s="52" customFormat="1" ht="20.100000000000001" customHeight="1">
      <c r="A472" s="285">
        <v>4</v>
      </c>
      <c r="B472" s="3085" t="s">
        <v>421</v>
      </c>
      <c r="C472" s="3105">
        <v>-92256</v>
      </c>
      <c r="D472" s="3105">
        <v>0</v>
      </c>
      <c r="E472" s="3105">
        <v>-32829</v>
      </c>
      <c r="F472" s="3105">
        <v>0</v>
      </c>
      <c r="G472" s="3105">
        <v>-4216</v>
      </c>
      <c r="H472" s="3105">
        <f>SUM(C472:G472)</f>
        <v>-129301</v>
      </c>
      <c r="I472" s="286"/>
      <c r="J472" s="264"/>
    </row>
    <row r="473" spans="1:14" s="52" customFormat="1" ht="20.100000000000001" customHeight="1">
      <c r="A473" s="285">
        <v>5</v>
      </c>
      <c r="B473" s="3085" t="s">
        <v>422</v>
      </c>
      <c r="C473" s="3105">
        <v>-72549</v>
      </c>
      <c r="D473" s="3105">
        <v>-3773</v>
      </c>
      <c r="E473" s="3105">
        <v>-24990</v>
      </c>
      <c r="F473" s="3105">
        <v>0</v>
      </c>
      <c r="G473" s="3105">
        <v>-11280</v>
      </c>
      <c r="H473" s="3105">
        <f>SUM(C473:G473)</f>
        <v>-112592</v>
      </c>
      <c r="I473" s="264"/>
      <c r="J473" s="264"/>
    </row>
    <row r="474" spans="1:14" s="52" customFormat="1" ht="20.100000000000001" customHeight="1">
      <c r="A474" s="285">
        <v>6</v>
      </c>
      <c r="B474" s="3085" t="s">
        <v>706</v>
      </c>
      <c r="C474" s="3105">
        <f>SUM(C470:C473)</f>
        <v>73053</v>
      </c>
      <c r="D474" s="3105">
        <f>SUM(D470:D473)</f>
        <v>11166</v>
      </c>
      <c r="E474" s="3105">
        <f>SUM(E470:E473)</f>
        <v>1944655</v>
      </c>
      <c r="F474" s="3105">
        <f>SUM(F470:F473)</f>
        <v>0</v>
      </c>
      <c r="G474" s="3105">
        <f>SUM(G470:G473)</f>
        <v>143112</v>
      </c>
      <c r="H474" s="3105">
        <f>SUM(C474:G474)</f>
        <v>2171986</v>
      </c>
      <c r="I474" s="264"/>
      <c r="J474" s="264"/>
    </row>
    <row r="475" spans="1:14" s="52" customFormat="1" ht="20.100000000000001" customHeight="1">
      <c r="A475" s="285">
        <v>7</v>
      </c>
      <c r="B475" s="3085" t="s">
        <v>424</v>
      </c>
      <c r="C475" s="3108">
        <v>-27432</v>
      </c>
      <c r="D475" s="3108">
        <v>-3072</v>
      </c>
      <c r="E475" s="3108">
        <v>-632064</v>
      </c>
      <c r="F475" s="3108">
        <v>0</v>
      </c>
      <c r="G475" s="3108">
        <v>-31447</v>
      </c>
      <c r="H475" s="3105">
        <f t="shared" ref="H475:H481" si="56">SUM(C475:G475)</f>
        <v>-694015</v>
      </c>
      <c r="I475" s="264"/>
      <c r="J475" s="264"/>
    </row>
    <row r="476" spans="1:14" s="52" customFormat="1" ht="20.100000000000001" customHeight="1">
      <c r="A476" s="285">
        <v>8</v>
      </c>
      <c r="B476" s="3085" t="s">
        <v>707</v>
      </c>
      <c r="C476" s="3105">
        <f>SUM(C474:C475)</f>
        <v>45621</v>
      </c>
      <c r="D476" s="3105">
        <f>SUM(D474:D475)</f>
        <v>8094</v>
      </c>
      <c r="E476" s="3105">
        <f>SUM(E474:E475)</f>
        <v>1312591</v>
      </c>
      <c r="F476" s="3105">
        <f>SUM(F474:F475)</f>
        <v>0</v>
      </c>
      <c r="G476" s="3105">
        <f>SUM(G474:G475)</f>
        <v>111665</v>
      </c>
      <c r="H476" s="3105">
        <f t="shared" si="56"/>
        <v>1477971</v>
      </c>
      <c r="I476" s="264"/>
      <c r="J476" s="264"/>
    </row>
    <row r="477" spans="1:14" s="52" customFormat="1" ht="20.100000000000001" customHeight="1">
      <c r="A477" s="285"/>
      <c r="B477" s="3085"/>
      <c r="C477" s="3086"/>
      <c r="D477" s="3086"/>
      <c r="E477" s="3086"/>
      <c r="F477" s="3086"/>
      <c r="G477" s="3086"/>
      <c r="H477" s="3086">
        <f t="shared" si="56"/>
        <v>0</v>
      </c>
      <c r="I477" s="264"/>
      <c r="J477" s="264"/>
    </row>
    <row r="478" spans="1:14" s="52" customFormat="1" ht="20.100000000000001" customHeight="1">
      <c r="A478" s="285"/>
      <c r="B478" s="3083" t="s">
        <v>426</v>
      </c>
      <c r="C478" s="3086"/>
      <c r="D478" s="3086"/>
      <c r="E478" s="3086"/>
      <c r="F478" s="3086"/>
      <c r="G478" s="3086"/>
      <c r="H478" s="3086">
        <f t="shared" si="56"/>
        <v>0</v>
      </c>
      <c r="I478" s="264"/>
      <c r="J478" s="264"/>
    </row>
    <row r="479" spans="1:14" s="52" customFormat="1" ht="20.100000000000001" customHeight="1">
      <c r="A479" s="285">
        <v>9</v>
      </c>
      <c r="B479" s="3085" t="s">
        <v>427</v>
      </c>
      <c r="C479" s="3108">
        <v>-27692</v>
      </c>
      <c r="D479" s="3108">
        <v>-2166.92076</v>
      </c>
      <c r="E479" s="3108">
        <v>-1089576.11161</v>
      </c>
      <c r="F479" s="3108">
        <v>0</v>
      </c>
      <c r="G479" s="3108">
        <v>-115778.11949</v>
      </c>
      <c r="H479" s="3105">
        <f t="shared" si="56"/>
        <v>-1235213.1518599999</v>
      </c>
      <c r="I479" s="264"/>
      <c r="J479" s="264"/>
    </row>
    <row r="480" spans="1:14" s="52" customFormat="1" ht="20.100000000000001" customHeight="1">
      <c r="A480" s="285">
        <v>10</v>
      </c>
      <c r="B480" s="3085" t="s">
        <v>428</v>
      </c>
      <c r="C480" s="3108">
        <v>15184</v>
      </c>
      <c r="D480" s="3108">
        <v>34</v>
      </c>
      <c r="E480" s="3108">
        <v>-160091</v>
      </c>
      <c r="F480" s="3108">
        <v>0</v>
      </c>
      <c r="G480" s="3108">
        <v>-530</v>
      </c>
      <c r="H480" s="3105">
        <f t="shared" si="56"/>
        <v>-145403</v>
      </c>
      <c r="I480" s="264"/>
      <c r="J480" s="264"/>
    </row>
    <row r="481" spans="1:10" s="52" customFormat="1" ht="20.100000000000001" customHeight="1">
      <c r="A481" s="285">
        <v>11</v>
      </c>
      <c r="B481" s="3085" t="s">
        <v>429</v>
      </c>
      <c r="C481" s="3105">
        <v>0</v>
      </c>
      <c r="D481" s="3105">
        <v>0</v>
      </c>
      <c r="E481" s="3105">
        <v>0</v>
      </c>
      <c r="F481" s="3105">
        <v>0</v>
      </c>
      <c r="G481" s="3105">
        <v>0</v>
      </c>
      <c r="H481" s="3105">
        <f t="shared" si="56"/>
        <v>0</v>
      </c>
      <c r="I481" s="264"/>
      <c r="J481" s="264"/>
    </row>
    <row r="482" spans="1:10" s="52" customFormat="1" ht="20.100000000000001" customHeight="1">
      <c r="A482" s="287">
        <v>12</v>
      </c>
      <c r="B482" s="3087" t="s">
        <v>430</v>
      </c>
      <c r="C482" s="3106">
        <f>SUM(C476:C481)</f>
        <v>33113</v>
      </c>
      <c r="D482" s="3106">
        <f>SUM(D476:D481)</f>
        <v>5961.07924</v>
      </c>
      <c r="E482" s="3106">
        <f>SUM(E476:E481)</f>
        <v>62923.888389999978</v>
      </c>
      <c r="F482" s="3106">
        <f>SUM(F476:F481)</f>
        <v>0</v>
      </c>
      <c r="G482" s="3106">
        <f>SUM(G476:G481)</f>
        <v>-4643.1194899999973</v>
      </c>
      <c r="H482" s="3105">
        <f>SUM(C482:G482)</f>
        <v>97354.848139999973</v>
      </c>
      <c r="I482" s="288"/>
      <c r="J482" s="264"/>
    </row>
    <row r="483" spans="1:10" s="52" customFormat="1" ht="20.100000000000001" customHeight="1">
      <c r="A483" s="285"/>
      <c r="B483" s="3088"/>
      <c r="C483" s="3086"/>
      <c r="D483" s="3086"/>
      <c r="E483" s="3086"/>
      <c r="F483" s="3086"/>
      <c r="G483" s="3086"/>
      <c r="H483" s="3086">
        <f t="shared" ref="H483:H495" si="57">SUM(C483:G483)</f>
        <v>0</v>
      </c>
      <c r="I483" s="264"/>
      <c r="J483" s="264"/>
    </row>
    <row r="484" spans="1:10" s="52" customFormat="1" ht="20.100000000000001" customHeight="1">
      <c r="A484" s="285"/>
      <c r="B484" s="3089" t="s">
        <v>431</v>
      </c>
      <c r="C484" s="3086"/>
      <c r="D484" s="3086"/>
      <c r="E484" s="3086"/>
      <c r="F484" s="3086"/>
      <c r="G484" s="3086"/>
      <c r="H484" s="3086">
        <f t="shared" si="57"/>
        <v>0</v>
      </c>
      <c r="I484" s="264"/>
      <c r="J484" s="264"/>
    </row>
    <row r="485" spans="1:10" s="52" customFormat="1" ht="20.100000000000001" customHeight="1">
      <c r="A485" s="285">
        <v>13</v>
      </c>
      <c r="B485" s="3085" t="s">
        <v>432</v>
      </c>
      <c r="C485" s="3105">
        <v>1163</v>
      </c>
      <c r="D485" s="3105">
        <v>200</v>
      </c>
      <c r="E485" s="3105">
        <v>15165</v>
      </c>
      <c r="F485" s="3105">
        <v>0</v>
      </c>
      <c r="G485" s="3105">
        <v>1312</v>
      </c>
      <c r="H485" s="3105">
        <f t="shared" si="57"/>
        <v>17840</v>
      </c>
      <c r="I485" s="264"/>
      <c r="J485" s="264"/>
    </row>
    <row r="486" spans="1:10" s="52" customFormat="1" ht="20.100000000000001" customHeight="1">
      <c r="A486" s="285">
        <v>14</v>
      </c>
      <c r="B486" s="3083" t="s">
        <v>433</v>
      </c>
      <c r="C486" s="3105">
        <v>2746.5430370419986</v>
      </c>
      <c r="D486" s="3105">
        <v>487.28698059704823</v>
      </c>
      <c r="E486" s="3105">
        <v>79022.548202231308</v>
      </c>
      <c r="F486" s="3105">
        <v>0</v>
      </c>
      <c r="G486" s="3105">
        <v>6722.6217801296507</v>
      </c>
      <c r="H486" s="3105">
        <f t="shared" si="57"/>
        <v>88979</v>
      </c>
      <c r="I486" s="264"/>
      <c r="J486" s="264"/>
    </row>
    <row r="487" spans="1:10" s="52" customFormat="1" ht="20.100000000000001" customHeight="1">
      <c r="A487" s="285">
        <v>15</v>
      </c>
      <c r="B487" s="3085" t="s">
        <v>434</v>
      </c>
      <c r="C487" s="3105">
        <v>0</v>
      </c>
      <c r="D487" s="3105">
        <v>0</v>
      </c>
      <c r="E487" s="3105">
        <v>0</v>
      </c>
      <c r="F487" s="3105">
        <v>0</v>
      </c>
      <c r="G487" s="3105">
        <v>6</v>
      </c>
      <c r="H487" s="3105">
        <f t="shared" si="57"/>
        <v>6</v>
      </c>
      <c r="I487" s="264"/>
      <c r="J487" s="264"/>
    </row>
    <row r="488" spans="1:10" s="52" customFormat="1" ht="20.100000000000001" customHeight="1">
      <c r="A488" s="285"/>
      <c r="B488" s="3083" t="s">
        <v>435</v>
      </c>
      <c r="C488" s="3086"/>
      <c r="D488" s="3086"/>
      <c r="E488" s="3086"/>
      <c r="F488" s="3086"/>
      <c r="G488" s="3086"/>
      <c r="H488" s="3086">
        <f t="shared" si="57"/>
        <v>0</v>
      </c>
      <c r="I488" s="264"/>
      <c r="J488" s="264"/>
    </row>
    <row r="489" spans="1:10" s="52" customFormat="1" ht="29.25" customHeight="1">
      <c r="A489" s="285">
        <v>16</v>
      </c>
      <c r="B489" s="3091" t="s">
        <v>436</v>
      </c>
      <c r="C489" s="3105">
        <v>-3297.8641935464225</v>
      </c>
      <c r="D489" s="3105">
        <v>-585.10143974408152</v>
      </c>
      <c r="E489" s="3105">
        <v>-94884.962181260664</v>
      </c>
      <c r="F489" s="3105">
        <v>0</v>
      </c>
      <c r="G489" s="3105">
        <v>-8072.0721854488347</v>
      </c>
      <c r="H489" s="3105">
        <f t="shared" si="57"/>
        <v>-106840</v>
      </c>
      <c r="I489" s="264"/>
      <c r="J489" s="264"/>
    </row>
    <row r="490" spans="1:10" s="52" customFormat="1" ht="20.100000000000001" customHeight="1">
      <c r="A490" s="285">
        <v>17</v>
      </c>
      <c r="B490" s="3085" t="s">
        <v>437</v>
      </c>
      <c r="C490" s="3086"/>
      <c r="D490" s="3086"/>
      <c r="E490" s="3086"/>
      <c r="F490" s="3086"/>
      <c r="G490" s="3086"/>
      <c r="H490" s="3086">
        <f t="shared" si="57"/>
        <v>0</v>
      </c>
      <c r="I490" s="264"/>
      <c r="J490" s="264"/>
    </row>
    <row r="491" spans="1:10" s="52" customFormat="1" ht="20.100000000000001" customHeight="1">
      <c r="A491" s="285">
        <v>18</v>
      </c>
      <c r="B491" s="3083" t="s">
        <v>438</v>
      </c>
      <c r="C491" s="3105">
        <f>SUM(C482:C490)</f>
        <v>33724.678843495574</v>
      </c>
      <c r="D491" s="3105">
        <f>SUM(D482:D490)</f>
        <v>6063.2647808529673</v>
      </c>
      <c r="E491" s="3105">
        <f>SUM(E482:E490)</f>
        <v>62226.474410970608</v>
      </c>
      <c r="F491" s="3105">
        <f>SUM(F482:F490)</f>
        <v>0</v>
      </c>
      <c r="G491" s="3105">
        <f>SUM(G482:G490)</f>
        <v>-4674.5698953191813</v>
      </c>
      <c r="H491" s="3105">
        <f t="shared" si="57"/>
        <v>97339.848139999973</v>
      </c>
      <c r="I491" s="264"/>
      <c r="J491" s="264"/>
    </row>
    <row r="492" spans="1:10" s="52" customFormat="1" ht="20.100000000000001" customHeight="1">
      <c r="A492" s="285">
        <v>19</v>
      </c>
      <c r="B492" s="3085" t="s">
        <v>439</v>
      </c>
      <c r="C492" s="3086"/>
      <c r="D492" s="3086"/>
      <c r="E492" s="3086"/>
      <c r="F492" s="3086"/>
      <c r="G492" s="3086"/>
      <c r="H492" s="3086">
        <f t="shared" si="57"/>
        <v>0</v>
      </c>
      <c r="I492" s="264"/>
      <c r="J492" s="264"/>
    </row>
    <row r="493" spans="1:10" s="52" customFormat="1" ht="20.100000000000001" customHeight="1">
      <c r="A493" s="285">
        <v>20</v>
      </c>
      <c r="B493" s="3093" t="s">
        <v>440</v>
      </c>
      <c r="C493" s="3105">
        <f>SUM(C491:C492)</f>
        <v>33724.678843495574</v>
      </c>
      <c r="D493" s="3105">
        <f>SUM(D491:D492)</f>
        <v>6063.2647808529673</v>
      </c>
      <c r="E493" s="3105">
        <f>SUM(E491:E492)</f>
        <v>62226.474410970608</v>
      </c>
      <c r="F493" s="3105">
        <f>SUM(F491:F492)</f>
        <v>0</v>
      </c>
      <c r="G493" s="3105">
        <f>SUM(G491:G492)</f>
        <v>-4674.5698953191813</v>
      </c>
      <c r="H493" s="3105">
        <f t="shared" si="57"/>
        <v>97339.848139999973</v>
      </c>
      <c r="I493" s="264"/>
      <c r="J493" s="264"/>
    </row>
    <row r="494" spans="1:10" s="52" customFormat="1" ht="20.100000000000001" customHeight="1">
      <c r="A494" s="285">
        <v>21</v>
      </c>
      <c r="B494" s="3093" t="s">
        <v>441</v>
      </c>
      <c r="C494" s="3105">
        <v>-684.08148874368976</v>
      </c>
      <c r="D494" s="3105">
        <v>-121.3685708312274</v>
      </c>
      <c r="E494" s="3105">
        <v>-19682.146498138325</v>
      </c>
      <c r="F494" s="3105">
        <v>0</v>
      </c>
      <c r="G494" s="3105">
        <v>-1674.4034422867567</v>
      </c>
      <c r="H494" s="3105">
        <f t="shared" si="57"/>
        <v>-22161.999999999996</v>
      </c>
      <c r="I494" s="264"/>
      <c r="J494" s="264"/>
    </row>
    <row r="495" spans="1:10" s="52" customFormat="1" ht="20.100000000000001" customHeight="1">
      <c r="A495" s="285">
        <v>22</v>
      </c>
      <c r="B495" s="3093" t="s">
        <v>442</v>
      </c>
      <c r="C495" s="3105">
        <f>SUM(C493:C494)</f>
        <v>33040.597354751888</v>
      </c>
      <c r="D495" s="3105">
        <f>SUM(D493:D494)</f>
        <v>5941.8962100217395</v>
      </c>
      <c r="E495" s="3105">
        <f>SUM(E493:E494)</f>
        <v>42544.327912832283</v>
      </c>
      <c r="F495" s="3105">
        <f>SUM(F493:F494)</f>
        <v>0</v>
      </c>
      <c r="G495" s="3105">
        <f>SUM(G493:G494)</f>
        <v>-6348.9733376059376</v>
      </c>
      <c r="H495" s="3105">
        <f t="shared" si="57"/>
        <v>75177.848139999958</v>
      </c>
      <c r="I495" s="284"/>
      <c r="J495" s="264"/>
    </row>
    <row r="496" spans="1:10" s="52" customFormat="1" ht="17.45" customHeight="1">
      <c r="A496" s="285"/>
      <c r="B496" s="290"/>
      <c r="C496" s="289"/>
      <c r="D496" s="289"/>
      <c r="E496" s="289"/>
      <c r="F496" s="289"/>
      <c r="G496" s="289"/>
      <c r="H496" s="289"/>
      <c r="I496" s="284"/>
      <c r="J496" s="264"/>
    </row>
    <row r="497" spans="1:14" s="52" customFormat="1" ht="17.45" customHeight="1">
      <c r="A497" s="285"/>
      <c r="B497" s="290"/>
      <c r="C497" s="289"/>
      <c r="D497" s="289"/>
      <c r="E497" s="289"/>
      <c r="F497" s="289"/>
      <c r="G497" s="289"/>
      <c r="H497" s="289"/>
      <c r="I497" s="284"/>
      <c r="J497" s="264"/>
    </row>
    <row r="498" spans="1:14" s="54" customFormat="1" ht="17.45" customHeight="1">
      <c r="A498" s="3847">
        <v>15</v>
      </c>
      <c r="B498" s="3844" t="s">
        <v>134</v>
      </c>
      <c r="C498" s="3842">
        <v>2011</v>
      </c>
      <c r="D498" s="3842"/>
      <c r="E498" s="3842"/>
      <c r="F498" s="3842"/>
      <c r="G498" s="3842"/>
      <c r="H498" s="3842"/>
      <c r="I498" s="109"/>
      <c r="J498" s="109"/>
    </row>
    <row r="499" spans="1:14" s="54" customFormat="1" ht="17.45" customHeight="1">
      <c r="A499" s="3847"/>
      <c r="B499" s="3844"/>
      <c r="C499" s="2917" t="s">
        <v>412</v>
      </c>
      <c r="D499" s="2917" t="s">
        <v>413</v>
      </c>
      <c r="E499" s="2917" t="s">
        <v>414</v>
      </c>
      <c r="F499" s="2917" t="s">
        <v>701</v>
      </c>
      <c r="G499" s="2917" t="s">
        <v>702</v>
      </c>
      <c r="H499" s="2917" t="s">
        <v>118</v>
      </c>
      <c r="I499" s="3617"/>
      <c r="J499" s="109"/>
    </row>
    <row r="500" spans="1:14" s="54" customFormat="1" ht="17.45" customHeight="1">
      <c r="A500" s="3847"/>
      <c r="B500" s="3844"/>
      <c r="C500" s="3082" t="s">
        <v>140</v>
      </c>
      <c r="D500" s="3082" t="s">
        <v>140</v>
      </c>
      <c r="E500" s="3082" t="s">
        <v>140</v>
      </c>
      <c r="F500" s="3082" t="s">
        <v>140</v>
      </c>
      <c r="G500" s="3082" t="s">
        <v>140</v>
      </c>
      <c r="H500" s="3082" t="s">
        <v>140</v>
      </c>
      <c r="I500" s="3617"/>
      <c r="J500" s="109"/>
    </row>
    <row r="501" spans="1:14" s="52" customFormat="1" ht="17.45" customHeight="1">
      <c r="A501" s="285">
        <v>1</v>
      </c>
      <c r="B501" s="3083" t="s">
        <v>211</v>
      </c>
      <c r="C501" s="3843"/>
      <c r="D501" s="3843"/>
      <c r="E501" s="3843"/>
      <c r="F501" s="3843"/>
      <c r="G501" s="3843"/>
      <c r="H501" s="2016">
        <f>+H509+H518+H519+H520</f>
        <v>233318</v>
      </c>
      <c r="I501" s="264"/>
      <c r="J501" s="278"/>
      <c r="K501" s="274"/>
      <c r="L501" s="274"/>
      <c r="M501" s="274"/>
      <c r="N501" s="274"/>
    </row>
    <row r="502" spans="1:14" s="52" customFormat="1" ht="5.25" customHeight="1">
      <c r="A502" s="285"/>
      <c r="B502" s="3083"/>
      <c r="C502" s="2107"/>
      <c r="D502" s="2107"/>
      <c r="E502" s="2107"/>
      <c r="F502" s="2107"/>
      <c r="G502" s="2107"/>
      <c r="H502" s="2107"/>
      <c r="I502" s="264"/>
      <c r="J502" s="278"/>
      <c r="K502" s="274"/>
      <c r="L502" s="274"/>
      <c r="M502" s="274"/>
      <c r="N502" s="274"/>
    </row>
    <row r="503" spans="1:14" s="52" customFormat="1" ht="20.100000000000001" customHeight="1">
      <c r="A503" s="285">
        <v>2</v>
      </c>
      <c r="B503" s="3085" t="s">
        <v>333</v>
      </c>
      <c r="C503" s="3105">
        <v>17770</v>
      </c>
      <c r="D503" s="3105"/>
      <c r="E503" s="3105">
        <v>135535</v>
      </c>
      <c r="F503" s="3105"/>
      <c r="G503" s="3105">
        <v>79069</v>
      </c>
      <c r="H503" s="3105">
        <f t="shared" ref="H503:H515" si="58">SUM(C503:G503)</f>
        <v>232374</v>
      </c>
      <c r="I503" s="286"/>
      <c r="J503" s="264"/>
    </row>
    <row r="504" spans="1:14" s="52" customFormat="1" ht="20.100000000000001" customHeight="1">
      <c r="A504" s="285">
        <v>3</v>
      </c>
      <c r="B504" s="3085" t="s">
        <v>420</v>
      </c>
      <c r="C504" s="3105"/>
      <c r="D504" s="3105"/>
      <c r="E504" s="3105"/>
      <c r="F504" s="3105"/>
      <c r="G504" s="3105"/>
      <c r="H504" s="3105">
        <f t="shared" si="58"/>
        <v>0</v>
      </c>
      <c r="I504" s="286"/>
      <c r="J504" s="264"/>
    </row>
    <row r="505" spans="1:14" s="52" customFormat="1" ht="20.100000000000001" customHeight="1">
      <c r="A505" s="285">
        <v>4</v>
      </c>
      <c r="B505" s="3085" t="s">
        <v>421</v>
      </c>
      <c r="C505" s="3105"/>
      <c r="D505" s="3105"/>
      <c r="E505" s="3105"/>
      <c r="F505" s="3105"/>
      <c r="G505" s="3105"/>
      <c r="H505" s="3105">
        <f t="shared" si="58"/>
        <v>0</v>
      </c>
      <c r="I505" s="286"/>
      <c r="J505" s="264"/>
    </row>
    <row r="506" spans="1:14" s="52" customFormat="1" ht="20.100000000000001" customHeight="1">
      <c r="A506" s="285">
        <v>5</v>
      </c>
      <c r="B506" s="3085" t="s">
        <v>422</v>
      </c>
      <c r="C506" s="3105">
        <v>-12143</v>
      </c>
      <c r="D506" s="3105"/>
      <c r="E506" s="3105">
        <v>-4653</v>
      </c>
      <c r="F506" s="3105"/>
      <c r="G506" s="3105">
        <v>-49726</v>
      </c>
      <c r="H506" s="3105">
        <f t="shared" si="58"/>
        <v>-66522</v>
      </c>
      <c r="I506" s="264"/>
      <c r="J506" s="264"/>
    </row>
    <row r="507" spans="1:14" s="52" customFormat="1" ht="20.100000000000001" customHeight="1">
      <c r="A507" s="285">
        <v>6</v>
      </c>
      <c r="B507" s="3085" t="s">
        <v>706</v>
      </c>
      <c r="C507" s="3105">
        <f>SUM(C503:C506)</f>
        <v>5627</v>
      </c>
      <c r="D507" s="3105">
        <f>SUM(D503:D506)</f>
        <v>0</v>
      </c>
      <c r="E507" s="3105">
        <f>SUM(E503:E506)</f>
        <v>130882</v>
      </c>
      <c r="F507" s="3105">
        <f>SUM(F503:F506)</f>
        <v>0</v>
      </c>
      <c r="G507" s="3105">
        <f>SUM(G503:G506)</f>
        <v>29343</v>
      </c>
      <c r="H507" s="3105">
        <f t="shared" si="58"/>
        <v>165852</v>
      </c>
      <c r="I507" s="264"/>
      <c r="J507" s="264"/>
    </row>
    <row r="508" spans="1:14" s="52" customFormat="1" ht="20.100000000000001" customHeight="1">
      <c r="A508" s="285">
        <v>7</v>
      </c>
      <c r="B508" s="3085" t="s">
        <v>424</v>
      </c>
      <c r="C508" s="3105">
        <v>252</v>
      </c>
      <c r="D508" s="3105"/>
      <c r="E508" s="3105">
        <v>-18707</v>
      </c>
      <c r="F508" s="3105"/>
      <c r="G508" s="3105">
        <v>20767</v>
      </c>
      <c r="H508" s="3105">
        <f t="shared" si="58"/>
        <v>2312</v>
      </c>
      <c r="I508" s="264"/>
      <c r="J508" s="264"/>
    </row>
    <row r="509" spans="1:14" s="52" customFormat="1" ht="20.100000000000001" customHeight="1">
      <c r="A509" s="285">
        <v>8</v>
      </c>
      <c r="B509" s="3085" t="s">
        <v>707</v>
      </c>
      <c r="C509" s="3105">
        <f>SUM(C507:C508)</f>
        <v>5879</v>
      </c>
      <c r="D509" s="3105">
        <f>SUM(D507:D508)</f>
        <v>0</v>
      </c>
      <c r="E509" s="3105">
        <f>SUM(E507:E508)</f>
        <v>112175</v>
      </c>
      <c r="F509" s="3105">
        <f>SUM(F507:F508)</f>
        <v>0</v>
      </c>
      <c r="G509" s="3105">
        <f>SUM(G507:G508)</f>
        <v>50110</v>
      </c>
      <c r="H509" s="3105">
        <f t="shared" si="58"/>
        <v>168164</v>
      </c>
      <c r="I509" s="264"/>
      <c r="J509" s="264"/>
    </row>
    <row r="510" spans="1:14" s="52" customFormat="1" ht="20.100000000000001" customHeight="1">
      <c r="A510" s="285"/>
      <c r="B510" s="3085"/>
      <c r="C510" s="3086"/>
      <c r="D510" s="3086"/>
      <c r="E510" s="3086"/>
      <c r="F510" s="3086"/>
      <c r="G510" s="3086"/>
      <c r="H510" s="3086">
        <f t="shared" si="58"/>
        <v>0</v>
      </c>
      <c r="I510" s="264"/>
      <c r="J510" s="264"/>
    </row>
    <row r="511" spans="1:14" s="52" customFormat="1" ht="20.100000000000001" customHeight="1">
      <c r="A511" s="285"/>
      <c r="B511" s="3083" t="s">
        <v>426</v>
      </c>
      <c r="C511" s="3086"/>
      <c r="D511" s="3086"/>
      <c r="E511" s="3086"/>
      <c r="F511" s="3086"/>
      <c r="G511" s="3086"/>
      <c r="H511" s="3086">
        <f t="shared" si="58"/>
        <v>0</v>
      </c>
      <c r="I511" s="264"/>
      <c r="J511" s="264"/>
    </row>
    <row r="512" spans="1:14" s="52" customFormat="1" ht="20.100000000000001" customHeight="1">
      <c r="A512" s="285">
        <v>9</v>
      </c>
      <c r="B512" s="3085" t="s">
        <v>427</v>
      </c>
      <c r="C512" s="3105">
        <v>-4476</v>
      </c>
      <c r="D512" s="3105"/>
      <c r="E512" s="3105">
        <v>-44141</v>
      </c>
      <c r="F512" s="3105"/>
      <c r="G512" s="3105">
        <v>-16278</v>
      </c>
      <c r="H512" s="3105">
        <f t="shared" si="58"/>
        <v>-64895</v>
      </c>
      <c r="I512" s="264"/>
      <c r="J512" s="264"/>
    </row>
    <row r="513" spans="1:10" s="52" customFormat="1" ht="20.100000000000001" customHeight="1">
      <c r="A513" s="285">
        <v>10</v>
      </c>
      <c r="B513" s="3085" t="s">
        <v>428</v>
      </c>
      <c r="C513" s="3086"/>
      <c r="D513" s="3086"/>
      <c r="E513" s="3086"/>
      <c r="F513" s="3086"/>
      <c r="G513" s="3086"/>
      <c r="H513" s="3086">
        <f t="shared" si="58"/>
        <v>0</v>
      </c>
      <c r="I513" s="264"/>
      <c r="J513" s="264"/>
    </row>
    <row r="514" spans="1:10" s="52" customFormat="1" ht="20.100000000000001" customHeight="1">
      <c r="A514" s="285">
        <v>11</v>
      </c>
      <c r="B514" s="3085" t="s">
        <v>429</v>
      </c>
      <c r="C514" s="3105">
        <v>1663</v>
      </c>
      <c r="D514" s="3105"/>
      <c r="E514" s="3105">
        <v>-6868</v>
      </c>
      <c r="F514" s="3105"/>
      <c r="G514" s="3105">
        <v>4306</v>
      </c>
      <c r="H514" s="3105">
        <f t="shared" si="58"/>
        <v>-899</v>
      </c>
      <c r="I514" s="264"/>
      <c r="J514" s="264"/>
    </row>
    <row r="515" spans="1:10" s="52" customFormat="1" ht="20.100000000000001" customHeight="1">
      <c r="A515" s="287">
        <v>12</v>
      </c>
      <c r="B515" s="3087" t="s">
        <v>430</v>
      </c>
      <c r="C515" s="3106">
        <f>SUM(C509:C514)</f>
        <v>3066</v>
      </c>
      <c r="D515" s="3106">
        <f>SUM(D509:D514)</f>
        <v>0</v>
      </c>
      <c r="E515" s="3106">
        <f>SUM(E509:E514)</f>
        <v>61166</v>
      </c>
      <c r="F515" s="3106">
        <f>SUM(F509:F514)</f>
        <v>0</v>
      </c>
      <c r="G515" s="3106">
        <f>SUM(G509:G514)</f>
        <v>38138</v>
      </c>
      <c r="H515" s="3105">
        <f t="shared" si="58"/>
        <v>102370</v>
      </c>
      <c r="I515" s="288"/>
      <c r="J515" s="264"/>
    </row>
    <row r="516" spans="1:10" s="52" customFormat="1" ht="20.100000000000001" customHeight="1">
      <c r="A516" s="285"/>
      <c r="B516" s="3088"/>
      <c r="C516" s="3086"/>
      <c r="D516" s="3086"/>
      <c r="E516" s="3086"/>
      <c r="F516" s="3086"/>
      <c r="G516" s="3086"/>
      <c r="H516" s="3086">
        <f t="shared" ref="H516:H526" si="59">SUM(C516:G516)</f>
        <v>0</v>
      </c>
      <c r="I516" s="264"/>
      <c r="J516" s="264"/>
    </row>
    <row r="517" spans="1:10" s="52" customFormat="1" ht="20.100000000000001" customHeight="1">
      <c r="A517" s="285"/>
      <c r="B517" s="3089" t="s">
        <v>431</v>
      </c>
      <c r="C517" s="3086"/>
      <c r="D517" s="3086"/>
      <c r="E517" s="3086"/>
      <c r="F517" s="3086"/>
      <c r="G517" s="3086"/>
      <c r="H517" s="3086">
        <f t="shared" si="59"/>
        <v>0</v>
      </c>
      <c r="I517" s="264"/>
      <c r="J517" s="264"/>
    </row>
    <row r="518" spans="1:10" s="52" customFormat="1" ht="20.100000000000001" customHeight="1">
      <c r="A518" s="285">
        <v>13</v>
      </c>
      <c r="B518" s="3085" t="s">
        <v>432</v>
      </c>
      <c r="C518" s="3105">
        <v>90</v>
      </c>
      <c r="D518" s="3105"/>
      <c r="E518" s="3105">
        <v>6889</v>
      </c>
      <c r="F518" s="3105"/>
      <c r="G518" s="3105">
        <v>4832</v>
      </c>
      <c r="H518" s="3105">
        <f t="shared" si="59"/>
        <v>11811</v>
      </c>
      <c r="I518" s="264"/>
      <c r="J518" s="264"/>
    </row>
    <row r="519" spans="1:10" s="52" customFormat="1" ht="20.100000000000001" customHeight="1">
      <c r="A519" s="285">
        <v>14</v>
      </c>
      <c r="B519" s="3083" t="s">
        <v>433</v>
      </c>
      <c r="C519" s="3105">
        <v>2284</v>
      </c>
      <c r="D519" s="3105"/>
      <c r="E519" s="3105">
        <v>17421</v>
      </c>
      <c r="F519" s="3105"/>
      <c r="G519" s="3105">
        <v>10164</v>
      </c>
      <c r="H519" s="3105">
        <f t="shared" si="59"/>
        <v>29869</v>
      </c>
      <c r="I519" s="264"/>
      <c r="J519" s="264"/>
    </row>
    <row r="520" spans="1:10" s="52" customFormat="1" ht="20.100000000000001" customHeight="1">
      <c r="A520" s="285">
        <v>15</v>
      </c>
      <c r="B520" s="3085" t="s">
        <v>434</v>
      </c>
      <c r="C520" s="3105">
        <v>1795</v>
      </c>
      <c r="D520" s="3105"/>
      <c r="E520" s="3105">
        <v>13691</v>
      </c>
      <c r="F520" s="3105"/>
      <c r="G520" s="3105">
        <v>7988</v>
      </c>
      <c r="H520" s="3105">
        <f t="shared" si="59"/>
        <v>23474</v>
      </c>
      <c r="I520" s="264"/>
      <c r="J520" s="264"/>
    </row>
    <row r="521" spans="1:10" s="52" customFormat="1" ht="20.100000000000001" customHeight="1">
      <c r="A521" s="285"/>
      <c r="B521" s="3083" t="s">
        <v>435</v>
      </c>
      <c r="C521" s="3105"/>
      <c r="D521" s="3105"/>
      <c r="E521" s="3105"/>
      <c r="F521" s="3105"/>
      <c r="G521" s="3105"/>
      <c r="H521" s="3105">
        <f t="shared" si="59"/>
        <v>0</v>
      </c>
      <c r="I521" s="264"/>
      <c r="J521" s="264"/>
    </row>
    <row r="522" spans="1:10" s="52" customFormat="1" ht="29.25" customHeight="1">
      <c r="A522" s="285">
        <v>16</v>
      </c>
      <c r="B522" s="3091" t="s">
        <v>436</v>
      </c>
      <c r="C522" s="3105">
        <v>-10462</v>
      </c>
      <c r="D522" s="3105"/>
      <c r="E522" s="3105">
        <v>-79793</v>
      </c>
      <c r="F522" s="3105"/>
      <c r="G522" s="3105">
        <v>-49132</v>
      </c>
      <c r="H522" s="3105">
        <f t="shared" si="59"/>
        <v>-139387</v>
      </c>
      <c r="I522" s="264"/>
      <c r="J522" s="264"/>
    </row>
    <row r="523" spans="1:10" s="52" customFormat="1" ht="20.100000000000001" customHeight="1">
      <c r="A523" s="285">
        <v>17</v>
      </c>
      <c r="B523" s="3085" t="s">
        <v>437</v>
      </c>
      <c r="C523" s="3105"/>
      <c r="D523" s="3105"/>
      <c r="E523" s="3105"/>
      <c r="F523" s="3105"/>
      <c r="G523" s="3105"/>
      <c r="H523" s="3105">
        <f t="shared" si="59"/>
        <v>0</v>
      </c>
      <c r="I523" s="264"/>
      <c r="J523" s="264"/>
    </row>
    <row r="524" spans="1:10" s="52" customFormat="1" ht="20.100000000000001" customHeight="1">
      <c r="A524" s="285">
        <v>18</v>
      </c>
      <c r="B524" s="3083" t="s">
        <v>438</v>
      </c>
      <c r="C524" s="3105">
        <f>SUM(C515:C523)</f>
        <v>-3227</v>
      </c>
      <c r="D524" s="3105">
        <f>SUM(D515:D523)</f>
        <v>0</v>
      </c>
      <c r="E524" s="3105">
        <f>SUM(E515:E523)</f>
        <v>19374</v>
      </c>
      <c r="F524" s="3105">
        <f>SUM(F515:F523)</f>
        <v>0</v>
      </c>
      <c r="G524" s="3105">
        <f>SUM(G515:G523)</f>
        <v>11990</v>
      </c>
      <c r="H524" s="3105">
        <f t="shared" si="59"/>
        <v>28137</v>
      </c>
      <c r="I524" s="264"/>
      <c r="J524" s="264"/>
    </row>
    <row r="525" spans="1:10" s="52" customFormat="1" ht="20.100000000000001" customHeight="1">
      <c r="A525" s="285">
        <v>19</v>
      </c>
      <c r="B525" s="3085" t="s">
        <v>439</v>
      </c>
      <c r="C525" s="3105"/>
      <c r="D525" s="3105"/>
      <c r="E525" s="3105"/>
      <c r="F525" s="3105"/>
      <c r="G525" s="3105"/>
      <c r="H525" s="3105">
        <f t="shared" si="59"/>
        <v>0</v>
      </c>
      <c r="I525" s="264"/>
      <c r="J525" s="264"/>
    </row>
    <row r="526" spans="1:10" s="52" customFormat="1" ht="20.100000000000001" customHeight="1">
      <c r="A526" s="285">
        <v>20</v>
      </c>
      <c r="B526" s="3093" t="s">
        <v>440</v>
      </c>
      <c r="C526" s="3105">
        <f>SUM(C524:C525)</f>
        <v>-3227</v>
      </c>
      <c r="D526" s="3105">
        <f>SUM(D524:D525)</f>
        <v>0</v>
      </c>
      <c r="E526" s="3105">
        <f>SUM(E524:E525)</f>
        <v>19374</v>
      </c>
      <c r="F526" s="3105">
        <f>SUM(F524:F525)</f>
        <v>0</v>
      </c>
      <c r="G526" s="3105">
        <f>SUM(G524:G525)</f>
        <v>11990</v>
      </c>
      <c r="H526" s="3105">
        <f t="shared" si="59"/>
        <v>28137</v>
      </c>
      <c r="I526" s="264"/>
      <c r="J526" s="264"/>
    </row>
    <row r="527" spans="1:10" s="52" customFormat="1" ht="20.100000000000001" customHeight="1">
      <c r="A527" s="285">
        <v>21</v>
      </c>
      <c r="B527" s="3093" t="s">
        <v>441</v>
      </c>
      <c r="C527" s="3105">
        <v>183</v>
      </c>
      <c r="D527" s="3105"/>
      <c r="E527" s="3105">
        <v>1398</v>
      </c>
      <c r="F527" s="3105"/>
      <c r="G527" s="3105">
        <v>815</v>
      </c>
      <c r="H527" s="3105">
        <f>+'[15]Sheet 2 - General Insurance'!$H$141</f>
        <v>2396</v>
      </c>
      <c r="I527" s="264"/>
      <c r="J527" s="264"/>
    </row>
    <row r="528" spans="1:10" s="52" customFormat="1" ht="20.100000000000001" customHeight="1">
      <c r="A528" s="285">
        <v>22</v>
      </c>
      <c r="B528" s="3093" t="s">
        <v>442</v>
      </c>
      <c r="C528" s="3105">
        <f t="shared" ref="C528:H528" si="60">SUM(C526:C527)</f>
        <v>-3044</v>
      </c>
      <c r="D528" s="3105">
        <f t="shared" si="60"/>
        <v>0</v>
      </c>
      <c r="E528" s="3105">
        <f t="shared" si="60"/>
        <v>20772</v>
      </c>
      <c r="F528" s="3105">
        <f t="shared" si="60"/>
        <v>0</v>
      </c>
      <c r="G528" s="3105">
        <f t="shared" si="60"/>
        <v>12805</v>
      </c>
      <c r="H528" s="3105">
        <f t="shared" si="60"/>
        <v>30533</v>
      </c>
      <c r="I528" s="284"/>
      <c r="J528" s="264"/>
    </row>
    <row r="529" spans="1:14" s="52" customFormat="1" ht="17.45" customHeight="1">
      <c r="A529" s="285"/>
      <c r="B529" s="290"/>
      <c r="C529" s="289"/>
      <c r="D529" s="289"/>
      <c r="E529" s="289"/>
      <c r="F529" s="289"/>
      <c r="G529" s="289"/>
      <c r="H529" s="289"/>
      <c r="I529" s="284"/>
      <c r="J529" s="264"/>
    </row>
    <row r="530" spans="1:14" s="52" customFormat="1" ht="17.45" customHeight="1">
      <c r="A530" s="285"/>
      <c r="B530" s="290"/>
      <c r="C530" s="289"/>
      <c r="D530" s="289"/>
      <c r="E530" s="289"/>
      <c r="F530" s="289"/>
      <c r="G530" s="289"/>
      <c r="H530" s="289"/>
      <c r="I530" s="284"/>
      <c r="J530" s="264"/>
    </row>
    <row r="531" spans="1:14" s="54" customFormat="1" ht="17.45" customHeight="1">
      <c r="A531" s="3847">
        <v>16</v>
      </c>
      <c r="B531" s="3844" t="s">
        <v>115</v>
      </c>
      <c r="C531" s="3842">
        <v>2011</v>
      </c>
      <c r="D531" s="3842"/>
      <c r="E531" s="3842"/>
      <c r="F531" s="3842"/>
      <c r="G531" s="3842"/>
      <c r="H531" s="3842"/>
      <c r="I531" s="109"/>
      <c r="J531" s="109"/>
    </row>
    <row r="532" spans="1:14" s="54" customFormat="1" ht="17.45" customHeight="1">
      <c r="A532" s="3847"/>
      <c r="B532" s="3844"/>
      <c r="C532" s="2917" t="s">
        <v>412</v>
      </c>
      <c r="D532" s="2917" t="s">
        <v>413</v>
      </c>
      <c r="E532" s="2917" t="s">
        <v>414</v>
      </c>
      <c r="F532" s="2917" t="s">
        <v>701</v>
      </c>
      <c r="G532" s="2917" t="s">
        <v>702</v>
      </c>
      <c r="H532" s="2917" t="s">
        <v>118</v>
      </c>
      <c r="I532" s="3617"/>
      <c r="J532" s="109"/>
    </row>
    <row r="533" spans="1:14" s="54" customFormat="1" ht="17.45" customHeight="1">
      <c r="A533" s="3847"/>
      <c r="B533" s="3844"/>
      <c r="C533" s="3082" t="s">
        <v>140</v>
      </c>
      <c r="D533" s="3082" t="s">
        <v>140</v>
      </c>
      <c r="E533" s="3082" t="s">
        <v>140</v>
      </c>
      <c r="F533" s="3082" t="s">
        <v>140</v>
      </c>
      <c r="G533" s="3082" t="s">
        <v>140</v>
      </c>
      <c r="H533" s="3082" t="s">
        <v>140</v>
      </c>
      <c r="I533" s="3617"/>
      <c r="J533" s="109"/>
    </row>
    <row r="534" spans="1:14" s="52" customFormat="1" ht="17.45" customHeight="1">
      <c r="A534" s="285">
        <v>1</v>
      </c>
      <c r="B534" s="3083" t="s">
        <v>211</v>
      </c>
      <c r="C534" s="3843"/>
      <c r="D534" s="3843"/>
      <c r="E534" s="3843"/>
      <c r="F534" s="3843"/>
      <c r="G534" s="3843"/>
      <c r="H534" s="2016">
        <f>+H542+H551+H552+H553</f>
        <v>9730197.3728200011</v>
      </c>
      <c r="I534" s="264"/>
      <c r="J534" s="278"/>
      <c r="K534" s="274"/>
      <c r="L534" s="274"/>
      <c r="M534" s="274"/>
      <c r="N534" s="274"/>
    </row>
    <row r="535" spans="1:14" s="52" customFormat="1" ht="5.25" customHeight="1">
      <c r="A535" s="285"/>
      <c r="B535" s="3083"/>
      <c r="C535" s="2107"/>
      <c r="D535" s="2107"/>
      <c r="E535" s="2107"/>
      <c r="F535" s="2107"/>
      <c r="G535" s="2107"/>
      <c r="H535" s="2107"/>
      <c r="I535" s="264"/>
      <c r="J535" s="278"/>
      <c r="K535" s="274"/>
      <c r="L535" s="274"/>
      <c r="M535" s="274"/>
      <c r="N535" s="274"/>
    </row>
    <row r="536" spans="1:14" s="52" customFormat="1" ht="20.100000000000001" customHeight="1">
      <c r="A536" s="285">
        <v>2</v>
      </c>
      <c r="B536" s="3085" t="s">
        <v>333</v>
      </c>
      <c r="C536" s="3105">
        <v>1798416.2640300002</v>
      </c>
      <c r="D536" s="3105">
        <v>449759.58903999993</v>
      </c>
      <c r="E536" s="3105">
        <v>6643052.000740001</v>
      </c>
      <c r="F536" s="3105">
        <v>80404.812279999969</v>
      </c>
      <c r="G536" s="3105">
        <v>2650486.0961800008</v>
      </c>
      <c r="H536" s="3105">
        <f>SUM(C536:G536)</f>
        <v>11622118.762270002</v>
      </c>
      <c r="I536" s="286"/>
      <c r="J536" s="264"/>
    </row>
    <row r="537" spans="1:14" s="52" customFormat="1" ht="20.100000000000001" customHeight="1">
      <c r="A537" s="285">
        <v>3</v>
      </c>
      <c r="B537" s="3085" t="s">
        <v>420</v>
      </c>
      <c r="C537" s="3105">
        <v>-91085</v>
      </c>
      <c r="D537" s="3105"/>
      <c r="E537" s="3105"/>
      <c r="F537" s="3105"/>
      <c r="G537" s="3105">
        <v>-16526</v>
      </c>
      <c r="H537" s="3105">
        <f>SUM(C537:G537)</f>
        <v>-107611</v>
      </c>
      <c r="I537" s="286"/>
      <c r="J537" s="264"/>
    </row>
    <row r="538" spans="1:14" s="52" customFormat="1" ht="20.100000000000001" customHeight="1">
      <c r="A538" s="285">
        <v>4</v>
      </c>
      <c r="B538" s="3085" t="s">
        <v>421</v>
      </c>
      <c r="C538" s="3105">
        <v>-283488</v>
      </c>
      <c r="D538" s="3105">
        <v>-299</v>
      </c>
      <c r="E538" s="3105">
        <v>-65070</v>
      </c>
      <c r="F538" s="3105"/>
      <c r="G538" s="3105">
        <v>-31068</v>
      </c>
      <c r="H538" s="3105">
        <f>SUM(C538:G538)</f>
        <v>-379925</v>
      </c>
      <c r="I538" s="286"/>
      <c r="J538" s="264"/>
    </row>
    <row r="539" spans="1:14" s="52" customFormat="1" ht="20.100000000000001" customHeight="1">
      <c r="A539" s="285">
        <v>5</v>
      </c>
      <c r="B539" s="3085" t="s">
        <v>422</v>
      </c>
      <c r="C539" s="3105">
        <v>-1203942.1456100002</v>
      </c>
      <c r="D539" s="3105">
        <v>-313370.42121999996</v>
      </c>
      <c r="E539" s="3105">
        <v>-17161.277359999993</v>
      </c>
      <c r="F539" s="3105">
        <v>-6208.5921399999997</v>
      </c>
      <c r="G539" s="3105">
        <v>-646085.77156000002</v>
      </c>
      <c r="H539" s="3105">
        <f>SUM(C539:G539)</f>
        <v>-2186768.2078900002</v>
      </c>
      <c r="I539" s="264"/>
      <c r="J539" s="264"/>
    </row>
    <row r="540" spans="1:14" s="52" customFormat="1" ht="20.100000000000001" customHeight="1">
      <c r="A540" s="285">
        <v>6</v>
      </c>
      <c r="B540" s="3085" t="s">
        <v>706</v>
      </c>
      <c r="C540" s="3105">
        <f>SUM(C536:C539)</f>
        <v>219901.11841999996</v>
      </c>
      <c r="D540" s="3105">
        <f>SUM(D536:D539)</f>
        <v>136090.16781999997</v>
      </c>
      <c r="E540" s="3105">
        <f>SUM(E536:E539)</f>
        <v>6560820.7233800013</v>
      </c>
      <c r="F540" s="3105">
        <f>SUM(F536:F539)</f>
        <v>74196.220139999976</v>
      </c>
      <c r="G540" s="3105">
        <f>SUM(G536:G539)</f>
        <v>1956806.3246200008</v>
      </c>
      <c r="H540" s="3105">
        <f>SUM(C540:G540)</f>
        <v>8947814.5543800015</v>
      </c>
      <c r="I540" s="264"/>
      <c r="J540" s="264"/>
    </row>
    <row r="541" spans="1:14" s="52" customFormat="1" ht="20.100000000000001" customHeight="1">
      <c r="A541" s="285">
        <v>7</v>
      </c>
      <c r="B541" s="3085" t="s">
        <v>424</v>
      </c>
      <c r="C541" s="3105">
        <v>-13019.788</v>
      </c>
      <c r="D541" s="3105">
        <v>-2220.261</v>
      </c>
      <c r="E541" s="3105">
        <v>-820967.22900000005</v>
      </c>
      <c r="F541" s="3105">
        <v>-5670.4690000000001</v>
      </c>
      <c r="G541" s="3105">
        <v>-36073.948759999992</v>
      </c>
      <c r="H541" s="3105">
        <f t="shared" ref="H541:H547" si="61">SUM(C541:G541)</f>
        <v>-877951.69576000003</v>
      </c>
      <c r="I541" s="264"/>
      <c r="J541" s="264"/>
    </row>
    <row r="542" spans="1:14" s="52" customFormat="1" ht="20.100000000000001" customHeight="1">
      <c r="A542" s="285">
        <v>8</v>
      </c>
      <c r="B542" s="3085" t="s">
        <v>707</v>
      </c>
      <c r="C542" s="3105">
        <f>SUM(C540:C541)</f>
        <v>206881.33041999995</v>
      </c>
      <c r="D542" s="3105">
        <f>SUM(D540:D541)</f>
        <v>133869.90681999997</v>
      </c>
      <c r="E542" s="3105">
        <f>SUM(E540:E541)</f>
        <v>5739853.494380001</v>
      </c>
      <c r="F542" s="3105">
        <f>SUM(F540:F541)</f>
        <v>68525.751139999978</v>
      </c>
      <c r="G542" s="3105">
        <f>SUM(G540:G541)</f>
        <v>1920732.3758600007</v>
      </c>
      <c r="H542" s="3105">
        <f>SUM(C542:G542)</f>
        <v>8069862.8586200019</v>
      </c>
      <c r="I542" s="264"/>
      <c r="J542" s="264"/>
    </row>
    <row r="543" spans="1:14" s="52" customFormat="1" ht="20.100000000000001" customHeight="1">
      <c r="A543" s="285"/>
      <c r="B543" s="3085"/>
      <c r="C543" s="3105"/>
      <c r="D543" s="3105"/>
      <c r="E543" s="3105"/>
      <c r="F543" s="3105"/>
      <c r="G543" s="3105"/>
      <c r="H543" s="3105">
        <f t="shared" si="61"/>
        <v>0</v>
      </c>
      <c r="I543" s="264"/>
      <c r="J543" s="264"/>
    </row>
    <row r="544" spans="1:14" s="52" customFormat="1" ht="20.100000000000001" customHeight="1">
      <c r="A544" s="285"/>
      <c r="B544" s="3083" t="s">
        <v>426</v>
      </c>
      <c r="C544" s="3105"/>
      <c r="D544" s="3105"/>
      <c r="E544" s="3105"/>
      <c r="F544" s="3105"/>
      <c r="G544" s="3105"/>
      <c r="H544" s="3105">
        <f t="shared" si="61"/>
        <v>0</v>
      </c>
      <c r="I544" s="264"/>
      <c r="J544" s="264"/>
    </row>
    <row r="545" spans="1:10" s="52" customFormat="1" ht="20.100000000000001" customHeight="1">
      <c r="A545" s="285">
        <v>9</v>
      </c>
      <c r="B545" s="3085" t="s">
        <v>427</v>
      </c>
      <c r="C545" s="3105">
        <v>-30751.659200000078</v>
      </c>
      <c r="D545" s="3105">
        <v>-41622.506370000025</v>
      </c>
      <c r="E545" s="3105">
        <v>-3611684.396540001</v>
      </c>
      <c r="F545" s="3105">
        <v>4528.6878799999949</v>
      </c>
      <c r="G545" s="3105">
        <v>-1077642.00648</v>
      </c>
      <c r="H545" s="3105">
        <f t="shared" si="61"/>
        <v>-4757171.8807100011</v>
      </c>
      <c r="I545" s="264"/>
      <c r="J545" s="264"/>
    </row>
    <row r="546" spans="1:10" s="52" customFormat="1" ht="20.100000000000001" customHeight="1">
      <c r="A546" s="285">
        <v>10</v>
      </c>
      <c r="B546" s="3085" t="s">
        <v>428</v>
      </c>
      <c r="C546" s="3105">
        <v>92665.259190000026</v>
      </c>
      <c r="D546" s="3105">
        <v>50951.286359999991</v>
      </c>
      <c r="E546" s="3105">
        <v>-408687.2961700001</v>
      </c>
      <c r="F546" s="3105">
        <v>-6529.5295900000001</v>
      </c>
      <c r="G546" s="3105">
        <v>-52389.255330000015</v>
      </c>
      <c r="H546" s="3105">
        <f t="shared" si="61"/>
        <v>-323989.53554000007</v>
      </c>
      <c r="I546" s="264"/>
      <c r="J546" s="264"/>
    </row>
    <row r="547" spans="1:10" s="52" customFormat="1" ht="20.100000000000001" customHeight="1">
      <c r="A547" s="285">
        <v>11</v>
      </c>
      <c r="B547" s="3085" t="s">
        <v>429</v>
      </c>
      <c r="C547" s="3105">
        <v>-298292.37864316825</v>
      </c>
      <c r="D547" s="3105">
        <v>-118313.98664234504</v>
      </c>
      <c r="E547" s="3105">
        <v>-1075345.9988687912</v>
      </c>
      <c r="F547" s="3105">
        <v>-15162.137405338332</v>
      </c>
      <c r="G547" s="3105">
        <v>-475603.5876763569</v>
      </c>
      <c r="H547" s="3105">
        <f t="shared" si="61"/>
        <v>-1982718.0892359996</v>
      </c>
      <c r="I547" s="264"/>
      <c r="J547" s="264"/>
    </row>
    <row r="548" spans="1:10" s="52" customFormat="1" ht="20.100000000000001" customHeight="1">
      <c r="A548" s="287">
        <v>12</v>
      </c>
      <c r="B548" s="3087" t="s">
        <v>430</v>
      </c>
      <c r="C548" s="3106">
        <f>SUM(C542:C547)</f>
        <v>-29497.448233168339</v>
      </c>
      <c r="D548" s="3106">
        <f>SUM(D542:D547)</f>
        <v>24884.700167654912</v>
      </c>
      <c r="E548" s="3106">
        <f>SUM(E542:E547)</f>
        <v>644135.8028012088</v>
      </c>
      <c r="F548" s="3106">
        <f>SUM(F542:F547)</f>
        <v>51362.772024661637</v>
      </c>
      <c r="G548" s="3106">
        <f>SUM(G542:G547)</f>
        <v>315097.52637364378</v>
      </c>
      <c r="H548" s="3105">
        <f>SUM(C548:G548)</f>
        <v>1005983.3531340008</v>
      </c>
      <c r="I548" s="288"/>
      <c r="J548" s="264"/>
    </row>
    <row r="549" spans="1:10" s="52" customFormat="1" ht="20.100000000000001" customHeight="1">
      <c r="A549" s="285"/>
      <c r="B549" s="3088"/>
      <c r="C549" s="3105"/>
      <c r="D549" s="3105"/>
      <c r="E549" s="3105"/>
      <c r="F549" s="3105"/>
      <c r="G549" s="3105"/>
      <c r="H549" s="3105">
        <f>SUM(C549:G549)</f>
        <v>0</v>
      </c>
      <c r="I549" s="264"/>
      <c r="J549" s="264"/>
    </row>
    <row r="550" spans="1:10" s="52" customFormat="1" ht="20.100000000000001" customHeight="1">
      <c r="A550" s="285"/>
      <c r="B550" s="3089" t="s">
        <v>431</v>
      </c>
      <c r="C550" s="3105"/>
      <c r="D550" s="3105"/>
      <c r="E550" s="3105"/>
      <c r="F550" s="3105"/>
      <c r="G550" s="3105"/>
      <c r="H550" s="3105">
        <f>SUM(C550:G550)</f>
        <v>0</v>
      </c>
      <c r="I550" s="264"/>
      <c r="J550" s="264"/>
    </row>
    <row r="551" spans="1:10" s="52" customFormat="1" ht="20.100000000000001" customHeight="1">
      <c r="A551" s="285">
        <v>13</v>
      </c>
      <c r="B551" s="3085" t="s">
        <v>432</v>
      </c>
      <c r="C551" s="3105"/>
      <c r="D551" s="3105"/>
      <c r="E551" s="3105"/>
      <c r="F551" s="3105"/>
      <c r="G551" s="3105"/>
      <c r="H551" s="3105">
        <v>0</v>
      </c>
      <c r="I551" s="264"/>
      <c r="J551" s="264"/>
    </row>
    <row r="552" spans="1:10" s="52" customFormat="1" ht="20.100000000000001" customHeight="1">
      <c r="A552" s="285">
        <v>14</v>
      </c>
      <c r="B552" s="3083" t="s">
        <v>433</v>
      </c>
      <c r="C552" s="3105"/>
      <c r="D552" s="3105"/>
      <c r="E552" s="3105"/>
      <c r="F552" s="3105"/>
      <c r="G552" s="3105"/>
      <c r="H552" s="3105">
        <v>1371474.8922400002</v>
      </c>
      <c r="I552" s="264"/>
      <c r="J552" s="264"/>
    </row>
    <row r="553" spans="1:10" s="52" customFormat="1" ht="20.100000000000001" customHeight="1">
      <c r="A553" s="285">
        <v>15</v>
      </c>
      <c r="B553" s="3085" t="s">
        <v>434</v>
      </c>
      <c r="C553" s="3105"/>
      <c r="D553" s="3105"/>
      <c r="E553" s="3105"/>
      <c r="F553" s="3105"/>
      <c r="G553" s="3105"/>
      <c r="H553" s="3105">
        <v>288859.62196000014</v>
      </c>
      <c r="I553" s="264"/>
      <c r="J553" s="264"/>
    </row>
    <row r="554" spans="1:10" s="52" customFormat="1" ht="20.100000000000001" customHeight="1">
      <c r="A554" s="285"/>
      <c r="B554" s="3083" t="s">
        <v>435</v>
      </c>
      <c r="C554" s="3105"/>
      <c r="D554" s="3105"/>
      <c r="E554" s="3105"/>
      <c r="F554" s="3105"/>
      <c r="G554" s="3105"/>
      <c r="H554" s="3105">
        <v>0</v>
      </c>
      <c r="I554" s="264"/>
      <c r="J554" s="264"/>
    </row>
    <row r="555" spans="1:10" s="52" customFormat="1" ht="30.75" customHeight="1">
      <c r="A555" s="285">
        <v>16</v>
      </c>
      <c r="B555" s="3091" t="s">
        <v>436</v>
      </c>
      <c r="C555" s="3105"/>
      <c r="D555" s="3105"/>
      <c r="E555" s="3105"/>
      <c r="F555" s="3105"/>
      <c r="G555" s="3105"/>
      <c r="H555" s="3105">
        <v>0</v>
      </c>
      <c r="I555" s="264"/>
      <c r="J555" s="264"/>
    </row>
    <row r="556" spans="1:10" s="52" customFormat="1" ht="20.100000000000001" customHeight="1">
      <c r="A556" s="285">
        <v>17</v>
      </c>
      <c r="B556" s="3085" t="s">
        <v>437</v>
      </c>
      <c r="C556" s="3105"/>
      <c r="D556" s="3105"/>
      <c r="E556" s="3105"/>
      <c r="F556" s="3105"/>
      <c r="G556" s="3105"/>
      <c r="H556" s="3105">
        <v>-127250.79178</v>
      </c>
      <c r="I556" s="264"/>
      <c r="J556" s="264"/>
    </row>
    <row r="557" spans="1:10" s="52" customFormat="1" ht="20.100000000000001" customHeight="1">
      <c r="A557" s="285">
        <v>18</v>
      </c>
      <c r="B557" s="3083" t="s">
        <v>438</v>
      </c>
      <c r="C557" s="3105">
        <f t="shared" ref="C557:H557" si="62">SUM(C548:C556)</f>
        <v>-29497.448233168339</v>
      </c>
      <c r="D557" s="3105">
        <f t="shared" si="62"/>
        <v>24884.700167654912</v>
      </c>
      <c r="E557" s="3105">
        <f t="shared" si="62"/>
        <v>644135.8028012088</v>
      </c>
      <c r="F557" s="3105">
        <f t="shared" si="62"/>
        <v>51362.772024661637</v>
      </c>
      <c r="G557" s="3105">
        <f t="shared" si="62"/>
        <v>315097.52637364378</v>
      </c>
      <c r="H557" s="3105">
        <f t="shared" si="62"/>
        <v>2539067.0755540011</v>
      </c>
      <c r="I557" s="264"/>
      <c r="J557" s="264"/>
    </row>
    <row r="558" spans="1:10" s="52" customFormat="1" ht="20.100000000000001" customHeight="1">
      <c r="A558" s="285">
        <v>19</v>
      </c>
      <c r="B558" s="3085" t="s">
        <v>439</v>
      </c>
      <c r="C558" s="3105"/>
      <c r="D558" s="3105"/>
      <c r="E558" s="3105"/>
      <c r="F558" s="3105"/>
      <c r="G558" s="3105"/>
      <c r="H558" s="3105">
        <f>+'[16]Sheet 2 - General Insurance'!$H$140</f>
        <v>-12.21109</v>
      </c>
      <c r="I558" s="264"/>
      <c r="J558" s="264"/>
    </row>
    <row r="559" spans="1:10" s="52" customFormat="1" ht="20.100000000000001" customHeight="1">
      <c r="A559" s="285">
        <v>20</v>
      </c>
      <c r="B559" s="3093" t="s">
        <v>440</v>
      </c>
      <c r="C559" s="3105">
        <f t="shared" ref="C559:H559" si="63">SUM(C557:C558)</f>
        <v>-29497.448233168339</v>
      </c>
      <c r="D559" s="3105">
        <f t="shared" si="63"/>
        <v>24884.700167654912</v>
      </c>
      <c r="E559" s="3105">
        <f t="shared" si="63"/>
        <v>644135.8028012088</v>
      </c>
      <c r="F559" s="3105">
        <f t="shared" si="63"/>
        <v>51362.772024661637</v>
      </c>
      <c r="G559" s="3105">
        <f t="shared" si="63"/>
        <v>315097.52637364378</v>
      </c>
      <c r="H559" s="3105">
        <f t="shared" si="63"/>
        <v>2539054.8644640013</v>
      </c>
      <c r="I559" s="264"/>
      <c r="J559" s="264"/>
    </row>
    <row r="560" spans="1:10" s="52" customFormat="1" ht="20.100000000000001" customHeight="1">
      <c r="A560" s="285">
        <v>21</v>
      </c>
      <c r="B560" s="3093" t="s">
        <v>441</v>
      </c>
      <c r="C560" s="3105"/>
      <c r="D560" s="3105"/>
      <c r="E560" s="3105"/>
      <c r="F560" s="3105"/>
      <c r="G560" s="3105"/>
      <c r="H560" s="3105">
        <f>+'[16]Sheet 2 - General Insurance'!$H$142</f>
        <v>-407432.43231</v>
      </c>
      <c r="I560" s="264"/>
      <c r="J560" s="264"/>
    </row>
    <row r="561" spans="1:14" s="52" customFormat="1" ht="20.100000000000001" customHeight="1">
      <c r="A561" s="285">
        <v>22</v>
      </c>
      <c r="B561" s="3093" t="s">
        <v>442</v>
      </c>
      <c r="C561" s="3105">
        <f t="shared" ref="C561:H561" si="64">SUM(C559:C560)</f>
        <v>-29497.448233168339</v>
      </c>
      <c r="D561" s="3105">
        <f t="shared" si="64"/>
        <v>24884.700167654912</v>
      </c>
      <c r="E561" s="3105">
        <f t="shared" si="64"/>
        <v>644135.8028012088</v>
      </c>
      <c r="F561" s="3105">
        <f t="shared" si="64"/>
        <v>51362.772024661637</v>
      </c>
      <c r="G561" s="3105">
        <f t="shared" si="64"/>
        <v>315097.52637364378</v>
      </c>
      <c r="H561" s="3105">
        <f t="shared" si="64"/>
        <v>2131622.4321540012</v>
      </c>
      <c r="I561" s="284"/>
      <c r="J561" s="264"/>
    </row>
    <row r="562" spans="1:14" s="52" customFormat="1" ht="17.45" customHeight="1">
      <c r="A562" s="285"/>
      <c r="B562" s="290"/>
      <c r="C562" s="289"/>
      <c r="D562" s="289"/>
      <c r="E562" s="289"/>
      <c r="F562" s="289"/>
      <c r="G562" s="289"/>
      <c r="H562" s="289"/>
      <c r="I562" s="284"/>
      <c r="J562" s="264"/>
    </row>
    <row r="563" spans="1:14" s="52" customFormat="1" ht="17.45" customHeight="1">
      <c r="A563" s="285"/>
      <c r="B563" s="290"/>
      <c r="C563" s="289"/>
      <c r="D563" s="289"/>
      <c r="E563" s="289"/>
      <c r="F563" s="289"/>
      <c r="G563" s="289"/>
      <c r="H563" s="289"/>
      <c r="I563" s="284"/>
      <c r="J563" s="264"/>
    </row>
    <row r="564" spans="1:14" s="54" customFormat="1" ht="17.45" customHeight="1">
      <c r="A564" s="3847">
        <v>17</v>
      </c>
      <c r="B564" s="3844" t="s">
        <v>135</v>
      </c>
      <c r="C564" s="3842">
        <v>2011</v>
      </c>
      <c r="D564" s="3842"/>
      <c r="E564" s="3842"/>
      <c r="F564" s="3842"/>
      <c r="G564" s="3842"/>
      <c r="H564" s="3842"/>
      <c r="I564" s="109"/>
      <c r="J564" s="109"/>
    </row>
    <row r="565" spans="1:14" s="54" customFormat="1" ht="17.45" customHeight="1">
      <c r="A565" s="3847"/>
      <c r="B565" s="3844"/>
      <c r="C565" s="2917" t="s">
        <v>412</v>
      </c>
      <c r="D565" s="2917" t="s">
        <v>413</v>
      </c>
      <c r="E565" s="2917" t="s">
        <v>414</v>
      </c>
      <c r="F565" s="2917" t="s">
        <v>701</v>
      </c>
      <c r="G565" s="2917" t="s">
        <v>702</v>
      </c>
      <c r="H565" s="2917" t="s">
        <v>118</v>
      </c>
      <c r="I565" s="3617"/>
      <c r="J565" s="109"/>
    </row>
    <row r="566" spans="1:14" s="54" customFormat="1" ht="17.45" customHeight="1">
      <c r="A566" s="3847"/>
      <c r="B566" s="3844"/>
      <c r="C566" s="3082" t="s">
        <v>140</v>
      </c>
      <c r="D566" s="3082" t="s">
        <v>140</v>
      </c>
      <c r="E566" s="3082" t="s">
        <v>140</v>
      </c>
      <c r="F566" s="3082" t="s">
        <v>140</v>
      </c>
      <c r="G566" s="3082" t="s">
        <v>140</v>
      </c>
      <c r="H566" s="3082" t="s">
        <v>140</v>
      </c>
      <c r="I566" s="3617"/>
      <c r="J566" s="109"/>
    </row>
    <row r="567" spans="1:14" s="52" customFormat="1" ht="17.45" customHeight="1">
      <c r="A567" s="285">
        <v>1</v>
      </c>
      <c r="B567" s="3083" t="s">
        <v>211</v>
      </c>
      <c r="C567" s="3843"/>
      <c r="D567" s="3843"/>
      <c r="E567" s="3843"/>
      <c r="F567" s="3843"/>
      <c r="G567" s="3843"/>
      <c r="H567" s="2016">
        <f>+H575+H584+H585+H586</f>
        <v>3590658.89714</v>
      </c>
      <c r="I567" s="264"/>
      <c r="J567" s="278"/>
      <c r="K567" s="274"/>
      <c r="L567" s="274"/>
      <c r="M567" s="274"/>
      <c r="N567" s="274"/>
    </row>
    <row r="568" spans="1:14" s="52" customFormat="1" ht="5.25" customHeight="1">
      <c r="A568" s="285"/>
      <c r="B568" s="3083"/>
      <c r="C568" s="2107"/>
      <c r="D568" s="2107"/>
      <c r="E568" s="2107"/>
      <c r="F568" s="2107"/>
      <c r="G568" s="2107"/>
      <c r="H568" s="2107"/>
      <c r="I568" s="264"/>
      <c r="J568" s="278"/>
      <c r="K568" s="274"/>
      <c r="L568" s="274"/>
      <c r="M568" s="274"/>
      <c r="N568" s="274"/>
    </row>
    <row r="569" spans="1:14" s="52" customFormat="1" ht="20.100000000000001" customHeight="1">
      <c r="A569" s="285">
        <v>2</v>
      </c>
      <c r="B569" s="3085" t="s">
        <v>333</v>
      </c>
      <c r="C569" s="3105">
        <v>568299.92257000005</v>
      </c>
      <c r="D569" s="3105">
        <v>310749.20804</v>
      </c>
      <c r="E569" s="3105">
        <v>2183207.3059999999</v>
      </c>
      <c r="F569" s="3105">
        <v>46650.23431</v>
      </c>
      <c r="G569" s="3105">
        <v>1151642.2260799999</v>
      </c>
      <c r="H569" s="3105">
        <f>SUM(C569:G569)</f>
        <v>4260548.8969999999</v>
      </c>
      <c r="I569" s="286"/>
      <c r="J569" s="264"/>
    </row>
    <row r="570" spans="1:14" s="52" customFormat="1" ht="20.100000000000001" customHeight="1">
      <c r="A570" s="285">
        <v>3</v>
      </c>
      <c r="B570" s="3085" t="s">
        <v>420</v>
      </c>
      <c r="C570" s="3105"/>
      <c r="D570" s="3105"/>
      <c r="E570" s="3105"/>
      <c r="F570" s="3105"/>
      <c r="G570" s="3105"/>
      <c r="H570" s="3105">
        <f>SUM(C570:G570)</f>
        <v>0</v>
      </c>
      <c r="I570" s="286"/>
      <c r="J570" s="264"/>
    </row>
    <row r="571" spans="1:14" s="52" customFormat="1" ht="20.100000000000001" customHeight="1">
      <c r="A571" s="285">
        <v>4</v>
      </c>
      <c r="B571" s="3085" t="s">
        <v>421</v>
      </c>
      <c r="C571" s="3105">
        <v>-165228</v>
      </c>
      <c r="D571" s="3105">
        <v>-1688</v>
      </c>
      <c r="E571" s="3105">
        <v>0</v>
      </c>
      <c r="F571" s="3105">
        <v>-11493</v>
      </c>
      <c r="G571" s="3105">
        <v>-26697</v>
      </c>
      <c r="H571" s="3105">
        <f>SUM(C571:G571)</f>
        <v>-205106</v>
      </c>
      <c r="I571" s="286"/>
      <c r="J571" s="264"/>
    </row>
    <row r="572" spans="1:14" s="52" customFormat="1" ht="20.100000000000001" customHeight="1">
      <c r="A572" s="285">
        <v>5</v>
      </c>
      <c r="B572" s="3085" t="s">
        <v>422</v>
      </c>
      <c r="C572" s="3105">
        <v>-342970.57814</v>
      </c>
      <c r="D572" s="3105">
        <v>-192567.65934999997</v>
      </c>
      <c r="E572" s="3109">
        <v>-70463.28069</v>
      </c>
      <c r="F572" s="3109">
        <v>-1664.5118700000003</v>
      </c>
      <c r="G572" s="3109">
        <v>-65967.651260000013</v>
      </c>
      <c r="H572" s="3109">
        <f>SUM(C572:G572)</f>
        <v>-673633.68131000013</v>
      </c>
      <c r="I572" s="264"/>
      <c r="J572" s="264"/>
    </row>
    <row r="573" spans="1:14" s="52" customFormat="1" ht="20.100000000000001" customHeight="1">
      <c r="A573" s="285">
        <v>6</v>
      </c>
      <c r="B573" s="3085" t="s">
        <v>706</v>
      </c>
      <c r="C573" s="3105">
        <f>SUM(C569:C572)</f>
        <v>60101.344430000056</v>
      </c>
      <c r="D573" s="3105">
        <f>SUM(D569:D572)</f>
        <v>116493.54869000003</v>
      </c>
      <c r="E573" s="3109">
        <f>SUM(E569:E572)</f>
        <v>2112744.0253099999</v>
      </c>
      <c r="F573" s="3109">
        <f>SUM(F569:F572)</f>
        <v>33492.722439999998</v>
      </c>
      <c r="G573" s="3109">
        <f>SUM(G569:G572)</f>
        <v>1058977.57482</v>
      </c>
      <c r="H573" s="3109">
        <f>SUM(C573:G573)</f>
        <v>3381809.21569</v>
      </c>
      <c r="I573" s="264"/>
      <c r="J573" s="264"/>
    </row>
    <row r="574" spans="1:14" s="52" customFormat="1" ht="20.100000000000001" customHeight="1">
      <c r="A574" s="285">
        <v>7</v>
      </c>
      <c r="B574" s="3085" t="s">
        <v>424</v>
      </c>
      <c r="C574" s="3105">
        <v>-12451.725199999999</v>
      </c>
      <c r="D574" s="3105">
        <v>-9131.4216699999997</v>
      </c>
      <c r="E574" s="3105">
        <v>-125060.57837999999</v>
      </c>
      <c r="F574" s="3105">
        <v>-1473.51756</v>
      </c>
      <c r="G574" s="3105">
        <v>-113303.07574</v>
      </c>
      <c r="H574" s="3105">
        <f t="shared" ref="H574:H580" si="65">SUM(C574:G574)</f>
        <v>-261420.31855</v>
      </c>
      <c r="I574" s="264"/>
      <c r="J574" s="264"/>
    </row>
    <row r="575" spans="1:14" s="52" customFormat="1" ht="20.100000000000001" customHeight="1">
      <c r="A575" s="285">
        <v>8</v>
      </c>
      <c r="B575" s="3085" t="s">
        <v>707</v>
      </c>
      <c r="C575" s="3105">
        <f>SUM(C573:C574)</f>
        <v>47649.619230000055</v>
      </c>
      <c r="D575" s="3105">
        <f>SUM(D573:D574)</f>
        <v>107362.12702000003</v>
      </c>
      <c r="E575" s="3109">
        <f>SUM(E573:E574)</f>
        <v>1987683.4469299999</v>
      </c>
      <c r="F575" s="3109">
        <f>SUM(F573:F574)</f>
        <v>32019.204879999998</v>
      </c>
      <c r="G575" s="3109">
        <f>SUM(G573:G574)</f>
        <v>945674.49907999998</v>
      </c>
      <c r="H575" s="3109">
        <f>SUM(C575:G575)</f>
        <v>3120388.89714</v>
      </c>
      <c r="I575" s="264"/>
      <c r="J575" s="264"/>
    </row>
    <row r="576" spans="1:14" s="52" customFormat="1" ht="20.100000000000001" customHeight="1">
      <c r="A576" s="285"/>
      <c r="B576" s="3085"/>
      <c r="C576" s="3086"/>
      <c r="D576" s="3086"/>
      <c r="E576" s="3086"/>
      <c r="F576" s="3086"/>
      <c r="G576" s="3086"/>
      <c r="H576" s="3086">
        <f t="shared" si="65"/>
        <v>0</v>
      </c>
      <c r="I576" s="264"/>
      <c r="J576" s="264"/>
    </row>
    <row r="577" spans="1:10" s="52" customFormat="1" ht="20.100000000000001" customHeight="1">
      <c r="A577" s="285"/>
      <c r="B577" s="3083" t="s">
        <v>426</v>
      </c>
      <c r="C577" s="3086"/>
      <c r="D577" s="3086"/>
      <c r="E577" s="3086"/>
      <c r="F577" s="3086"/>
      <c r="G577" s="3086"/>
      <c r="H577" s="3086">
        <f t="shared" si="65"/>
        <v>0</v>
      </c>
      <c r="I577" s="264"/>
      <c r="J577" s="264"/>
    </row>
    <row r="578" spans="1:10" s="52" customFormat="1" ht="20.100000000000001" customHeight="1">
      <c r="A578" s="285">
        <v>9</v>
      </c>
      <c r="B578" s="3085" t="s">
        <v>427</v>
      </c>
      <c r="C578" s="3105">
        <v>-40422.984360000002</v>
      </c>
      <c r="D578" s="3105">
        <v>-27948.574420000001</v>
      </c>
      <c r="E578" s="3105">
        <v>-1456555.9953399999</v>
      </c>
      <c r="F578" s="3105">
        <v>-11286.894839999999</v>
      </c>
      <c r="G578" s="3105">
        <v>-628346.51578000002</v>
      </c>
      <c r="H578" s="3105">
        <f t="shared" si="65"/>
        <v>-2164560.9647399997</v>
      </c>
      <c r="I578" s="264"/>
      <c r="J578" s="264"/>
    </row>
    <row r="579" spans="1:10" s="52" customFormat="1" ht="20.100000000000001" customHeight="1">
      <c r="A579" s="285">
        <v>10</v>
      </c>
      <c r="B579" s="3085" t="s">
        <v>428</v>
      </c>
      <c r="C579" s="3105">
        <v>37045.336120000007</v>
      </c>
      <c r="D579" s="3105">
        <v>16257.680799999998</v>
      </c>
      <c r="E579" s="3105">
        <v>-257866.97773000001</v>
      </c>
      <c r="F579" s="3105">
        <v>-3720.9714300000005</v>
      </c>
      <c r="G579" s="3105">
        <v>-60558.484420000008</v>
      </c>
      <c r="H579" s="3105">
        <f t="shared" si="65"/>
        <v>-268843.41666000005</v>
      </c>
      <c r="I579" s="264"/>
      <c r="J579" s="264"/>
    </row>
    <row r="580" spans="1:10" s="52" customFormat="1" ht="20.100000000000001" customHeight="1">
      <c r="A580" s="285">
        <v>11</v>
      </c>
      <c r="B580" s="3085" t="s">
        <v>429</v>
      </c>
      <c r="C580" s="3105">
        <v>-166010.96431459038</v>
      </c>
      <c r="D580" s="3105">
        <v>-70689.227984283381</v>
      </c>
      <c r="E580" s="3105">
        <v>-411399.30203334684</v>
      </c>
      <c r="F580" s="3105">
        <v>-5631.413589390002</v>
      </c>
      <c r="G580" s="3105">
        <v>-132328.42001738961</v>
      </c>
      <c r="H580" s="3105">
        <f t="shared" si="65"/>
        <v>-786059.32793900021</v>
      </c>
      <c r="I580" s="264"/>
      <c r="J580" s="264"/>
    </row>
    <row r="581" spans="1:10" s="52" customFormat="1" ht="20.100000000000001" customHeight="1">
      <c r="A581" s="287">
        <v>12</v>
      </c>
      <c r="B581" s="3087" t="s">
        <v>430</v>
      </c>
      <c r="C581" s="3106">
        <f>SUM(C575:C580)</f>
        <v>-121738.99332459032</v>
      </c>
      <c r="D581" s="3106">
        <f>SUM(D575:D580)</f>
        <v>24982.005415716645</v>
      </c>
      <c r="E581" s="3110">
        <f>SUM(E575:E580)</f>
        <v>-138138.82817334693</v>
      </c>
      <c r="F581" s="3110">
        <f>SUM(F575:F580)</f>
        <v>11379.925020609993</v>
      </c>
      <c r="G581" s="3110">
        <f>SUM(G575:G580)</f>
        <v>124441.07886261036</v>
      </c>
      <c r="H581" s="3109">
        <f>SUM(C581:G581)</f>
        <v>-99074.812199000269</v>
      </c>
      <c r="I581" s="288"/>
      <c r="J581" s="264"/>
    </row>
    <row r="582" spans="1:10" s="52" customFormat="1" ht="20.100000000000001" customHeight="1">
      <c r="A582" s="285"/>
      <c r="B582" s="3088"/>
      <c r="C582" s="3086"/>
      <c r="D582" s="3086"/>
      <c r="E582" s="3086"/>
      <c r="F582" s="3086"/>
      <c r="G582" s="3086"/>
      <c r="H582" s="3086">
        <f t="shared" ref="H582:H593" si="66">SUM(C582:G582)</f>
        <v>0</v>
      </c>
      <c r="I582" s="264"/>
      <c r="J582" s="264"/>
    </row>
    <row r="583" spans="1:10" s="52" customFormat="1" ht="20.100000000000001" customHeight="1">
      <c r="A583" s="285"/>
      <c r="B583" s="3089" t="s">
        <v>431</v>
      </c>
      <c r="C583" s="3086"/>
      <c r="D583" s="3086"/>
      <c r="E583" s="3086"/>
      <c r="F583" s="3086"/>
      <c r="G583" s="3086"/>
      <c r="H583" s="3086">
        <f t="shared" si="66"/>
        <v>0</v>
      </c>
      <c r="I583" s="264"/>
      <c r="J583" s="264"/>
    </row>
    <row r="584" spans="1:10" s="52" customFormat="1" ht="20.100000000000001" customHeight="1">
      <c r="A584" s="285">
        <v>13</v>
      </c>
      <c r="B584" s="3085" t="s">
        <v>432</v>
      </c>
      <c r="C584" s="3092"/>
      <c r="D584" s="3092"/>
      <c r="E584" s="3092"/>
      <c r="F584" s="3092"/>
      <c r="G584" s="3092"/>
      <c r="H584" s="3105">
        <f>SUM(C584:G584)</f>
        <v>0</v>
      </c>
      <c r="I584" s="264"/>
      <c r="J584" s="264"/>
    </row>
    <row r="585" spans="1:10" s="52" customFormat="1" ht="20.100000000000001" customHeight="1">
      <c r="A585" s="285">
        <v>14</v>
      </c>
      <c r="B585" s="3083" t="s">
        <v>433</v>
      </c>
      <c r="C585" s="3092"/>
      <c r="D585" s="3092"/>
      <c r="E585" s="3092"/>
      <c r="F585" s="3092"/>
      <c r="G585" s="3092"/>
      <c r="H585" s="3105">
        <v>417183</v>
      </c>
      <c r="I585" s="264"/>
      <c r="J585" s="264"/>
    </row>
    <row r="586" spans="1:10" s="52" customFormat="1" ht="20.100000000000001" customHeight="1">
      <c r="A586" s="285">
        <v>15</v>
      </c>
      <c r="B586" s="3085" t="s">
        <v>434</v>
      </c>
      <c r="C586" s="3092"/>
      <c r="D586" s="3092"/>
      <c r="E586" s="3092"/>
      <c r="F586" s="3092"/>
      <c r="G586" s="3092"/>
      <c r="H586" s="3105">
        <v>53087</v>
      </c>
      <c r="I586" s="264"/>
      <c r="J586" s="264"/>
    </row>
    <row r="587" spans="1:10" s="52" customFormat="1" ht="20.100000000000001" customHeight="1">
      <c r="A587" s="285"/>
      <c r="B587" s="3083" t="s">
        <v>435</v>
      </c>
      <c r="C587" s="3086"/>
      <c r="D587" s="3086"/>
      <c r="E587" s="3086"/>
      <c r="F587" s="3086"/>
      <c r="G587" s="3086"/>
      <c r="H587" s="3086">
        <f t="shared" si="66"/>
        <v>0</v>
      </c>
      <c r="I587" s="264"/>
      <c r="J587" s="264"/>
    </row>
    <row r="588" spans="1:10" s="52" customFormat="1" ht="30" customHeight="1">
      <c r="A588" s="285">
        <v>16</v>
      </c>
      <c r="B588" s="3091" t="s">
        <v>436</v>
      </c>
      <c r="C588" s="3086"/>
      <c r="D588" s="3086"/>
      <c r="E588" s="3086"/>
      <c r="F588" s="3086"/>
      <c r="G588" s="3086"/>
      <c r="H588" s="3086">
        <f t="shared" si="66"/>
        <v>0</v>
      </c>
      <c r="I588" s="264"/>
      <c r="J588" s="264"/>
    </row>
    <row r="589" spans="1:10" s="52" customFormat="1" ht="20.100000000000001" customHeight="1">
      <c r="A589" s="285">
        <v>17</v>
      </c>
      <c r="B589" s="3085" t="s">
        <v>437</v>
      </c>
      <c r="C589" s="3086"/>
      <c r="D589" s="3086"/>
      <c r="E589" s="3086"/>
      <c r="F589" s="3086"/>
      <c r="G589" s="3086"/>
      <c r="H589" s="3086">
        <f t="shared" si="66"/>
        <v>0</v>
      </c>
      <c r="I589" s="264"/>
      <c r="J589" s="264"/>
    </row>
    <row r="590" spans="1:10" s="52" customFormat="1" ht="20.100000000000001" customHeight="1">
      <c r="A590" s="285">
        <v>18</v>
      </c>
      <c r="B590" s="3083" t="s">
        <v>438</v>
      </c>
      <c r="C590" s="3105">
        <f t="shared" ref="C590:H590" si="67">SUM(C581:C589)</f>
        <v>-121738.99332459032</v>
      </c>
      <c r="D590" s="3105">
        <f t="shared" si="67"/>
        <v>24982.005415716645</v>
      </c>
      <c r="E590" s="3109">
        <f t="shared" si="67"/>
        <v>-138138.82817334693</v>
      </c>
      <c r="F590" s="3109">
        <f t="shared" si="67"/>
        <v>11379.925020609993</v>
      </c>
      <c r="G590" s="3109">
        <f t="shared" si="67"/>
        <v>124441.07886261036</v>
      </c>
      <c r="H590" s="3109">
        <f t="shared" si="67"/>
        <v>371195.18780099973</v>
      </c>
      <c r="I590" s="264"/>
      <c r="J590" s="264"/>
    </row>
    <row r="591" spans="1:10" s="52" customFormat="1" ht="20.100000000000001" customHeight="1">
      <c r="A591" s="285">
        <v>19</v>
      </c>
      <c r="B591" s="3085" t="s">
        <v>439</v>
      </c>
      <c r="C591" s="3086"/>
      <c r="D591" s="3086"/>
      <c r="E591" s="3086"/>
      <c r="F591" s="3086"/>
      <c r="G591" s="3086"/>
      <c r="H591" s="3086">
        <f t="shared" si="66"/>
        <v>0</v>
      </c>
      <c r="I591" s="264"/>
      <c r="J591" s="264"/>
    </row>
    <row r="592" spans="1:10" s="52" customFormat="1" ht="20.100000000000001" customHeight="1">
      <c r="A592" s="285">
        <v>20</v>
      </c>
      <c r="B592" s="3093" t="s">
        <v>440</v>
      </c>
      <c r="C592" s="3105">
        <f t="shared" ref="C592:H592" si="68">SUM(C590:C591)</f>
        <v>-121738.99332459032</v>
      </c>
      <c r="D592" s="3105">
        <f t="shared" si="68"/>
        <v>24982.005415716645</v>
      </c>
      <c r="E592" s="3109">
        <f t="shared" si="68"/>
        <v>-138138.82817334693</v>
      </c>
      <c r="F592" s="3109">
        <f t="shared" si="68"/>
        <v>11379.925020609993</v>
      </c>
      <c r="G592" s="3109">
        <f t="shared" si="68"/>
        <v>124441.07886261036</v>
      </c>
      <c r="H592" s="3109">
        <f t="shared" si="68"/>
        <v>371195.18780099973</v>
      </c>
      <c r="I592" s="264"/>
      <c r="J592" s="264"/>
    </row>
    <row r="593" spans="1:10" s="52" customFormat="1" ht="20.100000000000001" customHeight="1">
      <c r="A593" s="285">
        <v>21</v>
      </c>
      <c r="B593" s="3093" t="s">
        <v>441</v>
      </c>
      <c r="C593" s="3086"/>
      <c r="D593" s="3086"/>
      <c r="E593" s="3086"/>
      <c r="F593" s="3086"/>
      <c r="G593" s="3086"/>
      <c r="H593" s="3086">
        <f t="shared" si="66"/>
        <v>0</v>
      </c>
      <c r="I593" s="264"/>
      <c r="J593" s="264"/>
    </row>
    <row r="594" spans="1:10" s="52" customFormat="1" ht="20.100000000000001" customHeight="1">
      <c r="A594" s="285">
        <v>22</v>
      </c>
      <c r="B594" s="3093" t="s">
        <v>442</v>
      </c>
      <c r="C594" s="3105">
        <f t="shared" ref="C594:H594" si="69">SUM(C592:C593)</f>
        <v>-121738.99332459032</v>
      </c>
      <c r="D594" s="3105">
        <f t="shared" si="69"/>
        <v>24982.005415716645</v>
      </c>
      <c r="E594" s="3109">
        <f t="shared" si="69"/>
        <v>-138138.82817334693</v>
      </c>
      <c r="F594" s="3109">
        <f t="shared" si="69"/>
        <v>11379.925020609993</v>
      </c>
      <c r="G594" s="3109">
        <f t="shared" si="69"/>
        <v>124441.07886261036</v>
      </c>
      <c r="H594" s="3109">
        <f t="shared" si="69"/>
        <v>371195.18780099973</v>
      </c>
      <c r="I594" s="284"/>
      <c r="J594" s="264"/>
    </row>
  </sheetData>
  <customSheetViews>
    <customSheetView guid="{5E394B0B-7867-4722-9497-A93AB2A9A773}" showPageBreaks="1" printArea="1" state="hidden" topLeftCell="C55">
      <selection activeCell="H83" sqref="H83"/>
      <rowBreaks count="16" manualBreakCount="16">
        <brk id="66" max="7" man="1"/>
        <brk id="99" max="7" man="1"/>
        <brk id="132" max="7" man="1"/>
        <brk id="165" max="7" man="1"/>
        <brk id="198" max="7" man="1"/>
        <brk id="231" max="7" man="1"/>
        <brk id="264" max="7" man="1"/>
        <brk id="297" max="7" man="1"/>
        <brk id="330" max="7" man="1"/>
        <brk id="363" max="7" man="1"/>
        <brk id="396" max="7" man="1"/>
        <brk id="429" max="7" man="1"/>
        <brk id="462" max="7" man="1"/>
        <brk id="495" max="7" man="1"/>
        <brk id="528" max="7" man="1"/>
        <brk id="561" max="7" man="1"/>
      </rowBreaks>
      <colBreaks count="1" manualBreakCount="1">
        <brk id="8" max="1048575" man="1"/>
      </colBreaks>
      <pageMargins left="0" right="0" top="0" bottom="0" header="0" footer="0"/>
      <pageSetup scale="67" orientation="landscape" r:id="rId1"/>
    </customSheetView>
    <customSheetView guid="{B1E1B596-A9A1-411D-A882-A48CB025B978}" showPageBreaks="1" printArea="1" state="hidden" topLeftCell="C55">
      <selection activeCell="H83" sqref="H83"/>
      <rowBreaks count="16" manualBreakCount="16">
        <brk id="66" max="7" man="1"/>
        <brk id="99" max="7" man="1"/>
        <brk id="132" max="7" man="1"/>
        <brk id="165" max="7" man="1"/>
        <brk id="198" max="7" man="1"/>
        <brk id="231" max="7" man="1"/>
        <brk id="264" max="7" man="1"/>
        <brk id="297" max="7" man="1"/>
        <brk id="330" max="7" man="1"/>
        <brk id="363" max="7" man="1"/>
        <brk id="396" max="7" man="1"/>
        <brk id="429" max="7" man="1"/>
        <brk id="462" max="7" man="1"/>
        <brk id="495" max="7" man="1"/>
        <brk id="528" max="7" man="1"/>
        <brk id="561" max="7" man="1"/>
      </rowBreaks>
      <colBreaks count="1" manualBreakCount="1">
        <brk id="8" max="1048575" man="1"/>
      </colBreaks>
      <pageMargins left="0" right="0" top="0" bottom="0" header="0" footer="0"/>
      <pageSetup scale="67" orientation="landscape" r:id="rId2"/>
    </customSheetView>
    <customSheetView guid="{E82B35BE-4719-4C53-A9EF-1CC6F153A6F3}" showPageBreaks="1" printArea="1">
      <selection activeCell="E13" sqref="E13"/>
      <rowBreaks count="16" manualBreakCount="16">
        <brk id="66" max="7" man="1"/>
        <brk id="99" max="7" man="1"/>
        <brk id="132" max="7" man="1"/>
        <brk id="165" max="7" man="1"/>
        <brk id="198" max="7" man="1"/>
        <brk id="231" max="7" man="1"/>
        <brk id="264" max="7" man="1"/>
        <brk id="297" max="7" man="1"/>
        <brk id="330" max="7" man="1"/>
        <brk id="363" max="7" man="1"/>
        <brk id="396" max="7" man="1"/>
        <brk id="429" max="7" man="1"/>
        <brk id="462" max="7" man="1"/>
        <brk id="495" max="7" man="1"/>
        <brk id="528" max="7" man="1"/>
        <brk id="561" max="7" man="1"/>
      </rowBreaks>
      <colBreaks count="1" manualBreakCount="1">
        <brk id="8" max="1048575" man="1"/>
      </colBreaks>
      <pageMargins left="0" right="0" top="0" bottom="0" header="0" footer="0"/>
      <pageSetup scale="67" orientation="landscape" r:id="rId3"/>
    </customSheetView>
    <customSheetView guid="{46F31544-8E6F-41C5-8628-1D6EE074AF15}" state="hidden" topLeftCell="C55">
      <selection activeCell="H83" sqref="H83"/>
      <rowBreaks count="16" manualBreakCount="16">
        <brk id="66" max="7" man="1"/>
        <brk id="99" max="7" man="1"/>
        <brk id="132" max="7" man="1"/>
        <brk id="165" max="7" man="1"/>
        <brk id="198" max="7" man="1"/>
        <brk id="231" max="7" man="1"/>
        <brk id="264" max="7" man="1"/>
        <brk id="297" max="7" man="1"/>
        <brk id="330" max="7" man="1"/>
        <brk id="363" max="7" man="1"/>
        <brk id="396" max="7" man="1"/>
        <brk id="429" max="7" man="1"/>
        <brk id="462" max="7" man="1"/>
        <brk id="495" max="7" man="1"/>
        <brk id="528" max="7" man="1"/>
        <brk id="561" max="7" man="1"/>
      </rowBreaks>
      <colBreaks count="1" manualBreakCount="1">
        <brk id="8" max="1048575" man="1"/>
      </colBreaks>
      <pageMargins left="0" right="0" top="0" bottom="0" header="0" footer="0"/>
      <pageSetup scale="67" orientation="landscape" r:id="rId4"/>
    </customSheetView>
    <customSheetView guid="{B2E1A0C6-5BA1-4CF1-B412-16D81FCDF11F}" showPageBreaks="1" printArea="1" state="hidden" topLeftCell="C55">
      <selection activeCell="H83" sqref="H83"/>
      <rowBreaks count="16" manualBreakCount="16">
        <brk id="66" max="7" man="1"/>
        <brk id="99" max="7" man="1"/>
        <brk id="132" max="7" man="1"/>
        <brk id="165" max="7" man="1"/>
        <brk id="198" max="7" man="1"/>
        <brk id="231" max="7" man="1"/>
        <brk id="264" max="7" man="1"/>
        <brk id="297" max="7" man="1"/>
        <brk id="330" max="7" man="1"/>
        <brk id="363" max="7" man="1"/>
        <brk id="396" max="7" man="1"/>
        <brk id="429" max="7" man="1"/>
        <brk id="462" max="7" man="1"/>
        <brk id="495" max="7" man="1"/>
        <brk id="528" max="7" man="1"/>
        <brk id="561" max="7" man="1"/>
      </rowBreaks>
      <colBreaks count="1" manualBreakCount="1">
        <brk id="8" max="1048575" man="1"/>
      </colBreaks>
      <pageMargins left="0" right="0" top="0" bottom="0" header="0" footer="0"/>
      <pageSetup scale="67" orientation="landscape" r:id="rId5"/>
    </customSheetView>
    <customSheetView guid="{967E0446-E234-427F-8E57-7FE287052E2E}" showPageBreaks="1" printArea="1" state="hidden" topLeftCell="C55">
      <selection activeCell="H83" sqref="H83"/>
      <rowBreaks count="16" manualBreakCount="16">
        <brk id="66" max="7" man="1"/>
        <brk id="99" max="7" man="1"/>
        <brk id="132" max="7" man="1"/>
        <brk id="165" max="7" man="1"/>
        <brk id="198" max="7" man="1"/>
        <brk id="231" max="7" man="1"/>
        <brk id="264" max="7" man="1"/>
        <brk id="297" max="7" man="1"/>
        <brk id="330" max="7" man="1"/>
        <brk id="363" max="7" man="1"/>
        <brk id="396" max="7" man="1"/>
        <brk id="429" max="7" man="1"/>
        <brk id="462" max="7" man="1"/>
        <brk id="495" max="7" man="1"/>
        <brk id="528" max="7" man="1"/>
        <brk id="561" max="7" man="1"/>
      </rowBreaks>
      <colBreaks count="1" manualBreakCount="1">
        <brk id="8" max="1048575" man="1"/>
      </colBreaks>
      <pageMargins left="0" right="0" top="0" bottom="0" header="0" footer="0"/>
      <pageSetup scale="67" orientation="landscape" r:id="rId6"/>
    </customSheetView>
    <customSheetView guid="{2ACFE167-4169-43A6-9AB2-59D5A2DA2DB4}" showPageBreaks="1" printArea="1" state="hidden" topLeftCell="C55">
      <selection activeCell="H83" sqref="H83"/>
      <rowBreaks count="16" manualBreakCount="16">
        <brk id="66" max="7" man="1"/>
        <brk id="99" max="7" man="1"/>
        <brk id="132" max="7" man="1"/>
        <brk id="165" max="7" man="1"/>
        <brk id="198" max="7" man="1"/>
        <brk id="231" max="7" man="1"/>
        <brk id="264" max="7" man="1"/>
        <brk id="297" max="7" man="1"/>
        <brk id="330" max="7" man="1"/>
        <brk id="363" max="7" man="1"/>
        <brk id="396" max="7" man="1"/>
        <brk id="429" max="7" man="1"/>
        <brk id="462" max="7" man="1"/>
        <brk id="495" max="7" man="1"/>
        <brk id="528" max="7" man="1"/>
        <brk id="561" max="7" man="1"/>
      </rowBreaks>
      <colBreaks count="1" manualBreakCount="1">
        <brk id="8" max="1048575" man="1"/>
      </colBreaks>
      <pageMargins left="0" right="0" top="0" bottom="0" header="0" footer="0"/>
      <pageSetup scale="67" orientation="landscape" r:id="rId7"/>
    </customSheetView>
  </customSheetViews>
  <mergeCells count="90">
    <mergeCell ref="A498:A500"/>
    <mergeCell ref="A531:A533"/>
    <mergeCell ref="A564:A566"/>
    <mergeCell ref="A3:A5"/>
    <mergeCell ref="A333:A335"/>
    <mergeCell ref="A366:A368"/>
    <mergeCell ref="A399:A401"/>
    <mergeCell ref="A432:A434"/>
    <mergeCell ref="A465:A467"/>
    <mergeCell ref="A168:A170"/>
    <mergeCell ref="A201:A203"/>
    <mergeCell ref="A234:A236"/>
    <mergeCell ref="A267:A269"/>
    <mergeCell ref="A300:A302"/>
    <mergeCell ref="B3:B5"/>
    <mergeCell ref="A36:A38"/>
    <mergeCell ref="A69:A71"/>
    <mergeCell ref="A102:A104"/>
    <mergeCell ref="A135:A137"/>
    <mergeCell ref="B36:B38"/>
    <mergeCell ref="B135:B137"/>
    <mergeCell ref="B69:B71"/>
    <mergeCell ref="I433:I434"/>
    <mergeCell ref="B201:B203"/>
    <mergeCell ref="C201:H201"/>
    <mergeCell ref="B234:B236"/>
    <mergeCell ref="B267:B269"/>
    <mergeCell ref="B300:B302"/>
    <mergeCell ref="B399:B401"/>
    <mergeCell ref="C369:G369"/>
    <mergeCell ref="C402:G402"/>
    <mergeCell ref="I268:I269"/>
    <mergeCell ref="C300:H300"/>
    <mergeCell ref="C270:G270"/>
    <mergeCell ref="C237:G237"/>
    <mergeCell ref="I202:I203"/>
    <mergeCell ref="C204:G204"/>
    <mergeCell ref="B366:B368"/>
    <mergeCell ref="I235:I236"/>
    <mergeCell ref="C267:H267"/>
    <mergeCell ref="C72:G72"/>
    <mergeCell ref="B102:B104"/>
    <mergeCell ref="C102:H102"/>
    <mergeCell ref="C105:G105"/>
    <mergeCell ref="C171:G171"/>
    <mergeCell ref="B168:B170"/>
    <mergeCell ref="C567:G567"/>
    <mergeCell ref="C498:H498"/>
    <mergeCell ref="C501:G501"/>
    <mergeCell ref="C531:H531"/>
    <mergeCell ref="C69:H69"/>
    <mergeCell ref="C432:H432"/>
    <mergeCell ref="C303:G303"/>
    <mergeCell ref="C336:G336"/>
    <mergeCell ref="C234:H234"/>
    <mergeCell ref="B465:B467"/>
    <mergeCell ref="B531:B533"/>
    <mergeCell ref="B564:B566"/>
    <mergeCell ref="B498:B500"/>
    <mergeCell ref="B333:B335"/>
    <mergeCell ref="B432:B434"/>
    <mergeCell ref="I532:I533"/>
    <mergeCell ref="C564:H564"/>
    <mergeCell ref="I301:I302"/>
    <mergeCell ref="I565:I566"/>
    <mergeCell ref="I499:I500"/>
    <mergeCell ref="I466:I467"/>
    <mergeCell ref="C333:H333"/>
    <mergeCell ref="I334:I335"/>
    <mergeCell ref="C366:H366"/>
    <mergeCell ref="I367:I368"/>
    <mergeCell ref="C399:H399"/>
    <mergeCell ref="I400:I401"/>
    <mergeCell ref="C465:H465"/>
    <mergeCell ref="C435:G435"/>
    <mergeCell ref="C468:G468"/>
    <mergeCell ref="C534:G534"/>
    <mergeCell ref="C3:H3"/>
    <mergeCell ref="I4:I5"/>
    <mergeCell ref="C168:H168"/>
    <mergeCell ref="I169:I170"/>
    <mergeCell ref="C135:H135"/>
    <mergeCell ref="I136:I137"/>
    <mergeCell ref="C6:G6"/>
    <mergeCell ref="C138:G138"/>
    <mergeCell ref="I103:I104"/>
    <mergeCell ref="C36:H36"/>
    <mergeCell ref="I37:I38"/>
    <mergeCell ref="C39:G39"/>
    <mergeCell ref="I70:I71"/>
  </mergeCells>
  <pageMargins left="0.7" right="0.56999999999999995" top="0.75" bottom="0.75" header="0.3" footer="0.3"/>
  <pageSetup scale="67" orientation="landscape" r:id="rId8"/>
  <rowBreaks count="16" manualBreakCount="16">
    <brk id="66" max="7" man="1"/>
    <brk id="99" max="7" man="1"/>
    <brk id="132" max="7" man="1"/>
    <brk id="165" max="7" man="1"/>
    <brk id="198" max="7" man="1"/>
    <brk id="231" max="7" man="1"/>
    <brk id="264" max="7" man="1"/>
    <brk id="297" max="7" man="1"/>
    <brk id="330" max="7" man="1"/>
    <brk id="363" max="7" man="1"/>
    <brk id="396" max="7" man="1"/>
    <brk id="429" max="7" man="1"/>
    <brk id="462" max="7" man="1"/>
    <brk id="495" max="7" man="1"/>
    <brk id="528" max="7" man="1"/>
    <brk id="561" max="7" man="1"/>
  </rowBreaks>
  <colBreaks count="1" manualBreakCount="1">
    <brk id="8" max="1048575" man="1"/>
  </colBreaks>
  <ignoredErrors>
    <ignoredError sqref="H590 H592" formula="1"/>
  </ignoredErrors>
  <legacyDrawing r:id="rId9"/>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3:X84"/>
  <sheetViews>
    <sheetView zoomScaleNormal="100" workbookViewId="0">
      <pane xSplit="1" ySplit="5" topLeftCell="B39" activePane="bottomRight" state="frozen"/>
      <selection pane="topRight" activeCell="B1" sqref="B1"/>
      <selection pane="bottomLeft" activeCell="A6" sqref="A6"/>
      <selection pane="bottomRight" activeCell="H57" sqref="H57"/>
    </sheetView>
  </sheetViews>
  <sheetFormatPr defaultColWidth="9.140625" defaultRowHeight="15"/>
  <cols>
    <col min="1" max="1" width="19" customWidth="1"/>
    <col min="2" max="2" width="12.5703125" customWidth="1"/>
    <col min="3" max="4" width="12.7109375" customWidth="1"/>
    <col min="5" max="5" width="12.5703125" customWidth="1"/>
    <col min="6" max="6" width="11.42578125" customWidth="1"/>
    <col min="7" max="7" width="12.7109375" customWidth="1"/>
    <col min="8" max="8" width="13.5703125" customWidth="1"/>
    <col min="9" max="9" width="12.7109375" customWidth="1"/>
    <col min="10" max="10" width="10.28515625" customWidth="1"/>
    <col min="11" max="11" width="14.28515625" customWidth="1"/>
    <col min="12" max="12" width="14.5703125" customWidth="1"/>
    <col min="13" max="13" width="11.28515625" customWidth="1"/>
    <col min="14" max="14" width="12" customWidth="1"/>
    <col min="15" max="15" width="9.28515625" bestFit="1" customWidth="1"/>
    <col min="16" max="16" width="13.7109375" customWidth="1"/>
    <col min="17" max="17" width="13.28515625" customWidth="1"/>
    <col min="18" max="18" width="11.5703125" customWidth="1"/>
    <col min="19" max="19" width="14.5703125" bestFit="1" customWidth="1"/>
    <col min="20" max="20" width="11" customWidth="1"/>
    <col min="21" max="21" width="11.140625" customWidth="1"/>
    <col min="22" max="22" width="14.7109375" customWidth="1"/>
    <col min="23" max="23" width="14.5703125" bestFit="1" customWidth="1"/>
    <col min="24" max="24" width="14.5703125" customWidth="1"/>
  </cols>
  <sheetData>
    <row r="3" spans="1:24" ht="15" customHeight="1">
      <c r="A3" s="3111" t="s">
        <v>708</v>
      </c>
      <c r="B3" s="3380"/>
      <c r="C3" s="3380"/>
      <c r="D3" s="3380"/>
      <c r="E3" s="3380"/>
      <c r="F3" s="3112"/>
    </row>
    <row r="4" spans="1:24">
      <c r="A4" s="3848" t="s">
        <v>709</v>
      </c>
      <c r="B4" s="373">
        <v>1</v>
      </c>
      <c r="C4" s="373">
        <v>2</v>
      </c>
      <c r="D4" s="373">
        <v>3</v>
      </c>
      <c r="E4" s="373">
        <v>4</v>
      </c>
      <c r="F4" s="373">
        <v>5</v>
      </c>
      <c r="G4" s="373">
        <v>6</v>
      </c>
      <c r="H4" s="373">
        <v>7</v>
      </c>
      <c r="I4" s="373">
        <v>8</v>
      </c>
      <c r="J4" s="373">
        <v>9</v>
      </c>
      <c r="K4" s="373">
        <v>10</v>
      </c>
      <c r="L4" s="373">
        <v>11</v>
      </c>
      <c r="M4" s="373">
        <v>12</v>
      </c>
      <c r="N4" s="373">
        <v>13</v>
      </c>
      <c r="O4" s="373">
        <v>14</v>
      </c>
      <c r="P4" s="373">
        <v>15</v>
      </c>
      <c r="Q4" s="373">
        <v>16</v>
      </c>
      <c r="R4" s="373">
        <v>17</v>
      </c>
      <c r="S4" s="373">
        <v>18</v>
      </c>
      <c r="T4" s="373">
        <v>19</v>
      </c>
      <c r="U4" s="373">
        <v>20</v>
      </c>
      <c r="V4" s="374"/>
    </row>
    <row r="5" spans="1:24">
      <c r="A5" s="3848"/>
      <c r="B5" s="3113" t="s">
        <v>175</v>
      </c>
      <c r="C5" s="3113" t="s">
        <v>177</v>
      </c>
      <c r="D5" s="3113" t="s">
        <v>179</v>
      </c>
      <c r="E5" s="3113" t="s">
        <v>180</v>
      </c>
      <c r="F5" s="3113" t="s">
        <v>181</v>
      </c>
      <c r="G5" s="3113" t="s">
        <v>182</v>
      </c>
      <c r="H5" s="3114" t="s">
        <v>183</v>
      </c>
      <c r="I5" s="3113" t="s">
        <v>184</v>
      </c>
      <c r="J5" s="3113" t="s">
        <v>185</v>
      </c>
      <c r="K5" s="3113" t="s">
        <v>186</v>
      </c>
      <c r="L5" s="3113" t="s">
        <v>187</v>
      </c>
      <c r="M5" s="3113" t="s">
        <v>189</v>
      </c>
      <c r="N5" s="3113" t="s">
        <v>190</v>
      </c>
      <c r="O5" s="3113" t="s">
        <v>681</v>
      </c>
      <c r="P5" s="3113" t="s">
        <v>192</v>
      </c>
      <c r="Q5" s="3115" t="s">
        <v>115</v>
      </c>
      <c r="R5" s="3113" t="s">
        <v>194</v>
      </c>
      <c r="S5" s="3113" t="s">
        <v>195</v>
      </c>
      <c r="T5" s="3113" t="s">
        <v>191</v>
      </c>
      <c r="U5" s="3113" t="s">
        <v>110</v>
      </c>
      <c r="V5" s="3116" t="s">
        <v>118</v>
      </c>
    </row>
    <row r="6" spans="1:24">
      <c r="A6" s="2887" t="s">
        <v>412</v>
      </c>
      <c r="B6" s="3117">
        <f>+'[17]Sheet 2 - General Insurance'!$C$39</f>
        <v>11991</v>
      </c>
      <c r="C6" s="3117">
        <f>+'[18]Sheet 2 - General Insurance'!$C$39</f>
        <v>75109.039999999935</v>
      </c>
      <c r="D6" s="3117">
        <f>+'[19]Sheet 2 - General Insurance'!$C$39</f>
        <v>100496.28347000002</v>
      </c>
      <c r="E6" s="3117">
        <f>+'[20]Sheet 2 - General Insurance'!$C$39</f>
        <v>14436.836329999825</v>
      </c>
      <c r="F6" s="3117">
        <f>+'[21]Sheet 2 - General Insurance'!$C$39</f>
        <v>15127.189258330027</v>
      </c>
      <c r="G6" s="3117">
        <f>+'[22]Sheet 2 - General Insurance'!$C$39</f>
        <v>61590.31917408156</v>
      </c>
      <c r="H6" s="3118">
        <f>+'[23]Sheet 2 - General Insurance'!$C$39</f>
        <v>596457</v>
      </c>
      <c r="I6" s="3117">
        <f>+'[24]Sheet 2 - General Insurance'!$C$39</f>
        <v>31114.921959999996</v>
      </c>
      <c r="J6" s="3117"/>
      <c r="K6" s="3117">
        <f>+'[25]Sheet 2 - General Insurance'!$C$39</f>
        <v>35595.95800000005</v>
      </c>
      <c r="L6" s="3117">
        <f>+'[26]Sheet 2 - General Insurance'!$C$39/1000</f>
        <v>138182.99955335006</v>
      </c>
      <c r="M6" s="3119">
        <f>+'[27]Sheet 2 - General Insurance'!$C$39</f>
        <v>6625.9590400000025</v>
      </c>
      <c r="N6" s="3117">
        <f>+'[28]Sheet 2 - General Insurance'!$C$39</f>
        <v>2184.6448099999989</v>
      </c>
      <c r="O6" s="3117"/>
      <c r="P6" s="3117">
        <f>+'[29]Sheet 2 - General Insurance'!$C$39</f>
        <v>120714.60952999997</v>
      </c>
      <c r="Q6" s="3117">
        <f>+'[30]Sheet 2 - General Insurance'!$C$39</f>
        <v>144613.37762999948</v>
      </c>
      <c r="R6" s="3117">
        <f>+'[31]Sheet 2 - General Insurance'!$C$39</f>
        <v>9323.4402658333311</v>
      </c>
      <c r="S6" s="3117">
        <f>+'[32]Sheet 2 - General Insurance'!$C$39</f>
        <v>58842.492000000108</v>
      </c>
      <c r="T6" s="3117">
        <f>+'[33]Sheet 2 - General Insurance'!$C$39</f>
        <v>1724.0207270586238</v>
      </c>
      <c r="U6" s="3117"/>
      <c r="V6" s="3117">
        <f>SUM(B6:U6)</f>
        <v>1424130.0917486532</v>
      </c>
      <c r="W6" s="58"/>
    </row>
    <row r="7" spans="1:24">
      <c r="A7" s="2887" t="s">
        <v>413</v>
      </c>
      <c r="B7" s="3117">
        <f>+'[17]Sheet 2 - General Insurance'!$D$39</f>
        <v>21118</v>
      </c>
      <c r="C7" s="3117">
        <f>+'[18]Sheet 2 - General Insurance'!$D$39</f>
        <v>13851.700000000004</v>
      </c>
      <c r="D7" s="3117">
        <f>+'[19]Sheet 2 - General Insurance'!$D$39</f>
        <v>68831.139480000013</v>
      </c>
      <c r="E7" s="3117">
        <f>+'[20]Sheet 2 - General Insurance'!$D$39</f>
        <v>15153.229149999905</v>
      </c>
      <c r="F7" s="3117">
        <f>+'[21]Sheet 2 - General Insurance'!$D$39</f>
        <v>60314.486887784209</v>
      </c>
      <c r="G7" s="3117">
        <f>+'[22]Sheet 2 - General Insurance'!$D$39</f>
        <v>4245.2549987940383</v>
      </c>
      <c r="H7" s="3117">
        <f>+'[23]Sheet 2 - General Insurance'!$D$39</f>
        <v>244495</v>
      </c>
      <c r="I7" s="3117">
        <f>+'[24]Sheet 2 - General Insurance'!$D$39</f>
        <v>13658.40065</v>
      </c>
      <c r="J7" s="3117"/>
      <c r="K7" s="3117">
        <f>+'[25]Sheet 2 - General Insurance'!$D$39</f>
        <v>3555.5901499999959</v>
      </c>
      <c r="L7" s="3117">
        <f>+'[26]Sheet 2 - General Insurance'!$D$39/1000</f>
        <v>84813.788031039992</v>
      </c>
      <c r="M7" s="3117">
        <f>+'[27]Sheet 2 - General Insurance'!$D$39</f>
        <v>77.86503999999951</v>
      </c>
      <c r="N7" s="3117">
        <f>+'[28]Sheet 2 - General Insurance'!$D$39</f>
        <v>8112.2656100000004</v>
      </c>
      <c r="O7" s="3117"/>
      <c r="P7" s="3117">
        <f>+'[29]Sheet 2 - General Insurance'!$D$39</f>
        <v>1537.9186100000002</v>
      </c>
      <c r="Q7" s="3117">
        <f>+'[30]Sheet 2 - General Insurance'!$D$39</f>
        <v>165892.7511100001</v>
      </c>
      <c r="R7" s="3117">
        <v>0</v>
      </c>
      <c r="S7" s="3117">
        <f>+'[32]Sheet 2 - General Insurance'!$D$39</f>
        <v>124989.71577999997</v>
      </c>
      <c r="T7" s="3117">
        <f>+'[33]Sheet 2 - General Insurance'!$D$39</f>
        <v>2544.5641891080459</v>
      </c>
      <c r="U7" s="3117"/>
      <c r="V7" s="3117">
        <f>SUM(B7:U7)</f>
        <v>833191.66968672629</v>
      </c>
      <c r="W7" s="58"/>
    </row>
    <row r="8" spans="1:24">
      <c r="A8" s="2887" t="s">
        <v>414</v>
      </c>
      <c r="B8" s="3120">
        <f>+'[17]Sheet 2 - General Insurance'!$E$39</f>
        <v>554625</v>
      </c>
      <c r="C8" s="3120">
        <f>+'[18]Sheet 2 - General Insurance'!$E$39</f>
        <v>275603.28000000003</v>
      </c>
      <c r="D8" s="3121">
        <f>+'[19]Sheet 2 - General Insurance'!$E$39</f>
        <v>1402339.5508399999</v>
      </c>
      <c r="E8" s="3120">
        <f>+'[20]Sheet 2 - General Insurance'!$E$39</f>
        <v>894902.863955818</v>
      </c>
      <c r="F8" s="3120">
        <f>+'[21]Sheet 2 - General Insurance'!$E$39</f>
        <v>15615.582827194963</v>
      </c>
      <c r="G8" s="3117">
        <f>+'[22]Sheet 2 - General Insurance'!$E$39</f>
        <v>907309.60939319828</v>
      </c>
      <c r="H8" s="3117">
        <f>+'[23]Sheet 2 - General Insurance'!$E$39</f>
        <v>6124855</v>
      </c>
      <c r="I8" s="3117">
        <f>+'[24]Sheet 2 - General Insurance'!$E$39</f>
        <v>994227.09907</v>
      </c>
      <c r="J8" s="3117"/>
      <c r="K8" s="3117">
        <f>+'[25]Sheet 2 - General Insurance'!$E$39</f>
        <v>1185627.1847099999</v>
      </c>
      <c r="L8" s="3117">
        <f>+'[26]Sheet 2 - General Insurance'!$E$39/1000</f>
        <v>4501945.9990615994</v>
      </c>
      <c r="M8" s="3117">
        <f>+'[27]Sheet 2 - General Insurance'!$E$39</f>
        <v>1237163.7800499999</v>
      </c>
      <c r="N8" s="3117">
        <f>+'[28]Sheet 2 - General Insurance'!$E$39</f>
        <v>788630.40683999995</v>
      </c>
      <c r="O8" s="3117"/>
      <c r="P8" s="3117">
        <f>+'[29]Sheet 2 - General Insurance'!$E$39</f>
        <v>2517533.4318400002</v>
      </c>
      <c r="Q8" s="3117">
        <f>+'[30]Sheet 2 - General Insurance'!$E$39</f>
        <v>7302050.8899200037</v>
      </c>
      <c r="R8" s="3117">
        <f>+'[31]Sheet 2 - General Insurance'!$E$39</f>
        <v>149168.55084708333</v>
      </c>
      <c r="S8" s="3117">
        <f>+'[32]Sheet 2 - General Insurance'!$E$39</f>
        <v>2403174.0531899999</v>
      </c>
      <c r="T8" s="3117">
        <f>+'[33]Sheet 2 - General Insurance'!$E$39</f>
        <v>233615.15584124965</v>
      </c>
      <c r="U8" s="3117"/>
      <c r="V8" s="3117">
        <f>SUM(B8:U8)</f>
        <v>31488387.438386142</v>
      </c>
      <c r="W8" s="58"/>
    </row>
    <row r="9" spans="1:24">
      <c r="A9" s="2887" t="s">
        <v>701</v>
      </c>
      <c r="B9" s="3120">
        <f>+'[17]Sheet 2 - General Insurance'!$F$39</f>
        <v>7656</v>
      </c>
      <c r="C9" s="3120">
        <f>+'[18]Sheet 2 - General Insurance'!$F$39</f>
        <v>9759.41</v>
      </c>
      <c r="D9" s="3121">
        <f>+'[19]Sheet 2 - General Insurance'!$F$39</f>
        <v>1171.9387873595697</v>
      </c>
      <c r="E9" s="3120">
        <f>+'[20]Sheet 2 - General Insurance'!$F$39</f>
        <v>5536.0702599999995</v>
      </c>
      <c r="F9" s="3120">
        <f>+'[21]Sheet 2 - General Insurance'!$F$39</f>
        <v>644.87829908176025</v>
      </c>
      <c r="G9" s="3117">
        <f>+'[22]Sheet 2 - General Insurance'!$F$39</f>
        <v>1160.6031782236407</v>
      </c>
      <c r="H9" s="3117">
        <f>+'[23]Sheet 2 - General Insurance'!$F$39</f>
        <v>86399</v>
      </c>
      <c r="I9" s="3117">
        <v>0</v>
      </c>
      <c r="J9" s="3117"/>
      <c r="K9" s="3117">
        <f>+'[25]Sheet 2 - General Insurance'!$F$39</f>
        <v>3844.1516399999996</v>
      </c>
      <c r="L9" s="3117">
        <v>0</v>
      </c>
      <c r="M9" s="3117">
        <f>+'[27]Sheet 2 - General Insurance'!$F$39</f>
        <v>-1186.9653400000025</v>
      </c>
      <c r="N9" s="3117">
        <v>0</v>
      </c>
      <c r="O9" s="3117"/>
      <c r="P9" s="3117">
        <v>0</v>
      </c>
      <c r="Q9" s="3117">
        <f>+'[30]Sheet 2 - General Insurance'!$F$39</f>
        <v>79915.650380000006</v>
      </c>
      <c r="R9" s="3117">
        <f>+'[31]Sheet 2 - General Insurance'!$F$39</f>
        <v>0.39600000000000002</v>
      </c>
      <c r="S9" s="3117">
        <f>+'[32]Sheet 2 - General Insurance'!$F$39</f>
        <v>35622.643089999998</v>
      </c>
      <c r="T9" s="3117">
        <v>0</v>
      </c>
      <c r="U9" s="3117"/>
      <c r="V9" s="3117">
        <f>SUM(B9:U9)</f>
        <v>230523.77629466497</v>
      </c>
      <c r="W9" s="58"/>
    </row>
    <row r="10" spans="1:24">
      <c r="A10" s="2887" t="s">
        <v>416</v>
      </c>
      <c r="B10" s="3120">
        <f>+'[17]Sheet 2 - General Insurance'!$G$39</f>
        <v>387274</v>
      </c>
      <c r="C10" s="3120">
        <f>+'[18]Sheet 2 - General Insurance'!$G$39</f>
        <v>309985.77</v>
      </c>
      <c r="D10" s="3121">
        <f>+'[19]Sheet 2 - General Insurance'!$G$39</f>
        <v>307812.08301</v>
      </c>
      <c r="E10" s="3120">
        <f>+'[20]Sheet 2 - General Insurance'!$G$39</f>
        <v>167842.33261999997</v>
      </c>
      <c r="F10" s="3120">
        <f>+'[21]Sheet 2 - General Insurance'!$G$39</f>
        <v>280598.72018289129</v>
      </c>
      <c r="G10" s="3117">
        <f>+'[22]Sheet 2 - General Insurance'!$G$39</f>
        <v>16094.054978796923</v>
      </c>
      <c r="H10" s="3117">
        <f>+'[23]Sheet 2 - General Insurance'!$G$39</f>
        <v>1790506</v>
      </c>
      <c r="I10" s="3117">
        <f>+'[24]Sheet 2 - General Insurance'!$G$39</f>
        <v>118133.94250999999</v>
      </c>
      <c r="J10" s="3117"/>
      <c r="K10" s="3117">
        <f>+'[25]Sheet 2 - General Insurance'!$G$39</f>
        <v>127809.91972999999</v>
      </c>
      <c r="L10" s="3117">
        <f>+'[26]Sheet 2 - General Insurance'!$G$39/1000</f>
        <v>646346.99948333995</v>
      </c>
      <c r="M10" s="3117">
        <f>+'[27]Sheet 2 - General Insurance'!$G$39</f>
        <v>-4730.1627099999996</v>
      </c>
      <c r="N10" s="3117">
        <f>+'[28]Sheet 2 - General Insurance'!$G$39</f>
        <v>199322.15664000003</v>
      </c>
      <c r="O10" s="3117"/>
      <c r="P10" s="3117">
        <f>+'[29]Sheet 2 - General Insurance'!$G$39</f>
        <v>160694.91036000001</v>
      </c>
      <c r="Q10" s="3117">
        <f>+'[30]Sheet 2 - General Insurance'!$G$39</f>
        <v>2190254.8430200014</v>
      </c>
      <c r="R10" s="3117">
        <f>+'[31]Sheet 2 - General Insurance'!$G$39</f>
        <v>78619.38594708337</v>
      </c>
      <c r="S10" s="3117">
        <f>+'[32]Sheet 2 - General Insurance'!$G$39</f>
        <v>1369705.1760500001</v>
      </c>
      <c r="T10" s="3117">
        <f>+'[33]Sheet 2 - General Insurance'!$G$39</f>
        <v>60668.30536728922</v>
      </c>
      <c r="U10" s="3117"/>
      <c r="V10" s="3117">
        <f>SUM(B10:U10)</f>
        <v>8206938.4371894021</v>
      </c>
      <c r="W10" s="58"/>
    </row>
    <row r="11" spans="1:24">
      <c r="A11" s="3122" t="s">
        <v>118</v>
      </c>
      <c r="B11" s="3123">
        <f t="shared" ref="B11:L11" si="0">SUM(B6:B10)</f>
        <v>982664</v>
      </c>
      <c r="C11" s="3123">
        <f t="shared" si="0"/>
        <v>684309.2</v>
      </c>
      <c r="D11" s="3123">
        <f t="shared" si="0"/>
        <v>1880650.9955873594</v>
      </c>
      <c r="E11" s="3123">
        <f t="shared" si="0"/>
        <v>1097871.3323158177</v>
      </c>
      <c r="F11" s="3123">
        <f t="shared" si="0"/>
        <v>372300.85745528224</v>
      </c>
      <c r="G11" s="3123">
        <f t="shared" si="0"/>
        <v>990399.84172309446</v>
      </c>
      <c r="H11" s="3123">
        <f t="shared" si="0"/>
        <v>8842712</v>
      </c>
      <c r="I11" s="3123">
        <f t="shared" si="0"/>
        <v>1157134.3641900001</v>
      </c>
      <c r="J11" s="3123">
        <f t="shared" si="0"/>
        <v>0</v>
      </c>
      <c r="K11" s="3123">
        <f t="shared" si="0"/>
        <v>1356432.8042299999</v>
      </c>
      <c r="L11" s="3123">
        <f t="shared" si="0"/>
        <v>5371289.7861293294</v>
      </c>
      <c r="M11" s="3123">
        <f t="shared" ref="M11:U11" si="1">SUM(M6:M10)</f>
        <v>1237950.4760799997</v>
      </c>
      <c r="N11" s="3123">
        <f t="shared" si="1"/>
        <v>998249.47389999998</v>
      </c>
      <c r="O11" s="3123">
        <f t="shared" si="1"/>
        <v>0</v>
      </c>
      <c r="P11" s="3123">
        <f t="shared" si="1"/>
        <v>2800480.8703400004</v>
      </c>
      <c r="Q11" s="3123">
        <f t="shared" si="1"/>
        <v>9882727.5120600052</v>
      </c>
      <c r="R11" s="3123">
        <f t="shared" si="1"/>
        <v>237111.77306000004</v>
      </c>
      <c r="S11" s="3123">
        <f t="shared" si="1"/>
        <v>3992334.0801100004</v>
      </c>
      <c r="T11" s="3123">
        <f t="shared" si="1"/>
        <v>298552.04612470552</v>
      </c>
      <c r="U11" s="3123">
        <f t="shared" si="1"/>
        <v>0</v>
      </c>
      <c r="V11" s="3123">
        <f>SUM(V6:V10)</f>
        <v>42183171.413305588</v>
      </c>
      <c r="W11" s="375">
        <f>+'[1]P &amp; L - GI - 2013'!H13</f>
        <v>42183171.414035596</v>
      </c>
      <c r="X11" s="14">
        <f>+V11-W11</f>
        <v>-7.3000788688659668E-4</v>
      </c>
    </row>
    <row r="12" spans="1:24">
      <c r="A12" s="46"/>
      <c r="B12" s="376"/>
      <c r="C12" s="376"/>
      <c r="D12" s="376"/>
      <c r="E12" s="376"/>
      <c r="F12" s="376"/>
      <c r="G12" s="376"/>
      <c r="H12" s="376"/>
      <c r="I12" s="376"/>
      <c r="J12" s="376"/>
      <c r="K12" s="376"/>
      <c r="L12" s="376"/>
      <c r="M12" s="376"/>
      <c r="N12" s="376"/>
      <c r="O12" s="376"/>
      <c r="P12" s="376"/>
      <c r="Q12" s="376"/>
      <c r="R12" s="376"/>
      <c r="S12" s="376"/>
      <c r="T12" s="376"/>
      <c r="U12" s="376"/>
      <c r="V12" s="376"/>
      <c r="W12" s="376"/>
      <c r="X12" s="14"/>
    </row>
    <row r="14" spans="1:24" ht="15" customHeight="1">
      <c r="A14" s="3111" t="s">
        <v>710</v>
      </c>
      <c r="B14" s="3380"/>
      <c r="C14" s="3380"/>
      <c r="D14" s="3380"/>
      <c r="E14" s="3380"/>
      <c r="F14" s="3112"/>
    </row>
    <row r="15" spans="1:24">
      <c r="A15" s="3848" t="s">
        <v>709</v>
      </c>
      <c r="B15" s="373">
        <v>1</v>
      </c>
      <c r="C15" s="373">
        <v>2</v>
      </c>
      <c r="D15" s="373">
        <v>3</v>
      </c>
      <c r="E15" s="373">
        <v>4</v>
      </c>
      <c r="F15" s="373">
        <v>5</v>
      </c>
      <c r="G15" s="373">
        <v>6</v>
      </c>
      <c r="H15" s="373">
        <v>7</v>
      </c>
      <c r="I15" s="373">
        <v>8</v>
      </c>
      <c r="J15" s="373">
        <v>9</v>
      </c>
      <c r="K15" s="373">
        <v>10</v>
      </c>
      <c r="L15" s="373">
        <v>11</v>
      </c>
      <c r="M15" s="373">
        <v>12</v>
      </c>
      <c r="N15" s="373">
        <v>13</v>
      </c>
      <c r="O15" s="373">
        <v>14</v>
      </c>
      <c r="P15" s="373">
        <v>15</v>
      </c>
      <c r="Q15" s="373">
        <v>16</v>
      </c>
      <c r="R15" s="373">
        <v>17</v>
      </c>
      <c r="S15" s="373">
        <v>18</v>
      </c>
      <c r="T15" s="373">
        <v>19</v>
      </c>
      <c r="U15" s="373">
        <v>20</v>
      </c>
      <c r="V15" s="374"/>
    </row>
    <row r="16" spans="1:24">
      <c r="A16" s="3848"/>
      <c r="B16" s="3113" t="s">
        <v>175</v>
      </c>
      <c r="C16" s="3113" t="s">
        <v>177</v>
      </c>
      <c r="D16" s="3113" t="s">
        <v>179</v>
      </c>
      <c r="E16" s="3113" t="s">
        <v>180</v>
      </c>
      <c r="F16" s="3113" t="s">
        <v>181</v>
      </c>
      <c r="G16" s="3113" t="s">
        <v>182</v>
      </c>
      <c r="H16" s="3114" t="s">
        <v>183</v>
      </c>
      <c r="I16" s="3113" t="s">
        <v>184</v>
      </c>
      <c r="J16" s="3113" t="s">
        <v>185</v>
      </c>
      <c r="K16" s="3113" t="s">
        <v>186</v>
      </c>
      <c r="L16" s="3113" t="s">
        <v>187</v>
      </c>
      <c r="M16" s="3113" t="s">
        <v>189</v>
      </c>
      <c r="N16" s="3113" t="s">
        <v>190</v>
      </c>
      <c r="O16" s="3113" t="s">
        <v>681</v>
      </c>
      <c r="P16" s="3113" t="s">
        <v>192</v>
      </c>
      <c r="Q16" s="3115" t="s">
        <v>115</v>
      </c>
      <c r="R16" s="3113" t="s">
        <v>194</v>
      </c>
      <c r="S16" s="3113" t="s">
        <v>195</v>
      </c>
      <c r="T16" s="3113" t="s">
        <v>191</v>
      </c>
      <c r="U16" s="3113" t="s">
        <v>110</v>
      </c>
      <c r="V16" s="3116" t="s">
        <v>118</v>
      </c>
    </row>
    <row r="17" spans="1:24">
      <c r="A17" s="2887" t="s">
        <v>412</v>
      </c>
      <c r="B17" s="3117">
        <f>+'[17]Sheet 2 - General Insurance'!$C$159</f>
        <v>9185.9460699999727</v>
      </c>
      <c r="C17" s="3117">
        <f>+'[18]Sheet 2 - General Insurance'!$C$157</f>
        <v>56046</v>
      </c>
      <c r="D17" s="3117">
        <f>+'[19]Sheet 2 - General Insurance'!$C$177</f>
        <v>127977.13802000001</v>
      </c>
      <c r="E17" s="3117">
        <f>+'[20]Sheet 2 - General Insurance'!$C$161</f>
        <v>7684.5690000000068</v>
      </c>
      <c r="F17" s="3117">
        <f>+'[21]Sheet 2 - General Insurance'!$C$157</f>
        <v>15034.93374</v>
      </c>
      <c r="G17" s="3117">
        <f>+'[22]Sheet 2 - General Insurance'!$C$172</f>
        <v>51972.113134867264</v>
      </c>
      <c r="H17" s="3118">
        <f>+'[1]P &amp; L - GI - 2012 '!C278</f>
        <v>516418</v>
      </c>
      <c r="I17" s="3117">
        <f>+'[24]Sheet 2 - General Insurance'!$C$157</f>
        <v>31180.10871</v>
      </c>
      <c r="J17" s="3117"/>
      <c r="K17" s="3117">
        <f>+'[25]Sheet 2 - General Insurance'!$C$166</f>
        <v>33549.44299000004</v>
      </c>
      <c r="L17" s="3117">
        <f>+'[26]Sheet 2 - General Insurance'!$C$160</f>
        <v>111866.73726999905</v>
      </c>
      <c r="M17" s="3117">
        <f>+'[27]Sheet 2 - General Insurance'!$C$157</f>
        <v>-17648.952170000004</v>
      </c>
      <c r="N17" s="3117">
        <f>+'[28]Sheet 2 - General Insurance'!$C$157</f>
        <v>6128.9368600000016</v>
      </c>
      <c r="O17" s="3117"/>
      <c r="P17" s="3117">
        <f>+'[29]Sheet 2 - General Insurance'!$C$162</f>
        <v>111189.66164999998</v>
      </c>
      <c r="Q17" s="3117">
        <f>+'[1]P &amp; L - GI - 2012 '!C608</f>
        <v>211402.43547999993</v>
      </c>
      <c r="R17" s="3117">
        <f>+'[31]Sheet 2 - General Insurance'!$C$157</f>
        <v>2766.1209099999987</v>
      </c>
      <c r="S17" s="3117">
        <f>+'[32]Sheet 2 - General Insurance'!$C$157</f>
        <v>125135.56500000002</v>
      </c>
      <c r="T17" s="3117">
        <f>+'[33]Sheet 2 - General Insurance'!$C$157</f>
        <v>919.59053914250148</v>
      </c>
      <c r="U17" s="3117"/>
      <c r="V17" s="3117">
        <f>SUM(B17:U17)</f>
        <v>1400808.3472040088</v>
      </c>
      <c r="W17" s="58"/>
    </row>
    <row r="18" spans="1:24">
      <c r="A18" s="2887" t="s">
        <v>413</v>
      </c>
      <c r="B18" s="3117">
        <f>+'[17]Sheet 2 - General Insurance'!$D$159</f>
        <v>24449.195810000005</v>
      </c>
      <c r="C18" s="3117">
        <f>+'[18]Sheet 2 - General Insurance'!$D$157</f>
        <v>10804.21</v>
      </c>
      <c r="D18" s="3117">
        <f>+'[19]Sheet 2 - General Insurance'!$D$177</f>
        <v>74019.987599999993</v>
      </c>
      <c r="E18" s="3117">
        <f>+'[20]Sheet 2 - General Insurance'!$D$161</f>
        <v>15606.681000000002</v>
      </c>
      <c r="F18" s="3117">
        <f>+'[21]Sheet 2 - General Insurance'!$D$157</f>
        <v>5062.196369999996</v>
      </c>
      <c r="G18" s="3117">
        <f>+'[22]Sheet 2 - General Insurance'!$D$172</f>
        <v>1991.9227454172162</v>
      </c>
      <c r="H18" s="3117">
        <f>+'[23]Sheet 2 - General Insurance'!$D$171</f>
        <v>249074</v>
      </c>
      <c r="I18" s="3117">
        <f>+'[24]Sheet 2 - General Insurance'!$D$157</f>
        <v>11456.661589999998</v>
      </c>
      <c r="J18" s="3117"/>
      <c r="K18" s="3117">
        <f>+'[25]Sheet 2 - General Insurance'!$D$166</f>
        <v>4250.1385900000041</v>
      </c>
      <c r="L18" s="3117">
        <f>+'[26]Sheet 2 - General Insurance'!$D$160</f>
        <v>85932.345170000015</v>
      </c>
      <c r="M18" s="3117">
        <f>+'[27]Sheet 2 - General Insurance'!$D$157</f>
        <v>-6118.17839</v>
      </c>
      <c r="N18" s="3117">
        <f>+'[28]Sheet 2 - General Insurance'!$D$157</f>
        <v>8356.355109999995</v>
      </c>
      <c r="O18" s="3117"/>
      <c r="P18" s="3117">
        <f>+'[29]Sheet 2 - General Insurance'!$D$162</f>
        <v>8727.9344600000004</v>
      </c>
      <c r="Q18" s="3117">
        <f>+'[1]P &amp; L - GI - 2012 '!D608</f>
        <v>-17720.445320000021</v>
      </c>
      <c r="R18" s="3117">
        <f>+'[31]Sheet 2 - General Insurance'!$D$157</f>
        <v>0</v>
      </c>
      <c r="S18" s="3117">
        <f>+'[32]Sheet 2 - General Insurance'!$D$157</f>
        <v>59769.151319999903</v>
      </c>
      <c r="T18" s="3117">
        <f>+'[33]Sheet 2 - General Insurance'!$D$157</f>
        <v>1410.5920268613863</v>
      </c>
      <c r="U18" s="3117"/>
      <c r="V18" s="3117">
        <f>SUM(B18:U18)</f>
        <v>537072.74808227841</v>
      </c>
      <c r="W18" s="58"/>
    </row>
    <row r="19" spans="1:24">
      <c r="A19" s="2887" t="s">
        <v>414</v>
      </c>
      <c r="B19" s="3120">
        <f>+'[17]Sheet 2 - General Insurance'!$E$159</f>
        <v>434907.48022000003</v>
      </c>
      <c r="C19" s="3120">
        <f>+'[18]Sheet 2 - General Insurance'!$E$157</f>
        <v>144016</v>
      </c>
      <c r="D19" s="3121">
        <f>+'[19]Sheet 2 - General Insurance'!$E$177</f>
        <v>1446848.9569999999</v>
      </c>
      <c r="E19" s="3120">
        <f>+'[20]Sheet 2 - General Insurance'!$E$161</f>
        <v>786224.00400000007</v>
      </c>
      <c r="F19" s="3120">
        <f>+'[21]Sheet 2 - General Insurance'!$E$157</f>
        <v>50340.718390000002</v>
      </c>
      <c r="G19" s="3117">
        <f>+'[22]Sheet 2 - General Insurance'!$E$172</f>
        <v>925439.04323602375</v>
      </c>
      <c r="H19" s="3117">
        <f>+'[23]Sheet 2 - General Insurance'!$E$171</f>
        <v>6327616</v>
      </c>
      <c r="I19" s="3117">
        <f>+'[24]Sheet 2 - General Insurance'!$E$157</f>
        <v>823724.38667000004</v>
      </c>
      <c r="J19" s="3117"/>
      <c r="K19" s="3117">
        <f>+'[25]Sheet 2 - General Insurance'!$E$166</f>
        <v>1174170.6146</v>
      </c>
      <c r="L19" s="3117">
        <f>+'[26]Sheet 2 - General Insurance'!$E$160</f>
        <v>4042847.8693500198</v>
      </c>
      <c r="M19" s="3117">
        <f>+'[27]Sheet 2 - General Insurance'!$E$157</f>
        <v>854754.57689000014</v>
      </c>
      <c r="N19" s="3117">
        <f>+'[28]Sheet 2 - General Insurance'!$E$157</f>
        <v>589982.99858000013</v>
      </c>
      <c r="O19" s="3117"/>
      <c r="P19" s="3117">
        <f>+'[29]Sheet 2 - General Insurance'!$E$162</f>
        <v>2195967.22358</v>
      </c>
      <c r="Q19" s="3117">
        <f>+'[1]P &amp; L - GI - 2012 '!E608</f>
        <v>7118266.2959499974</v>
      </c>
      <c r="R19" s="3117">
        <f>+'[31]Sheet 2 - General Insurance'!$E$157</f>
        <v>161159.57548999999</v>
      </c>
      <c r="S19" s="3117">
        <f>+'[32]Sheet 2 - General Insurance'!$E$157</f>
        <v>2135046.1623499999</v>
      </c>
      <c r="T19" s="3117">
        <f>+'[33]Sheet 2 - General Insurance'!$E$157</f>
        <v>81797.987727887725</v>
      </c>
      <c r="U19" s="3117"/>
      <c r="V19" s="3117">
        <f>SUM(B19:U19)</f>
        <v>29293109.894033927</v>
      </c>
      <c r="W19" s="58"/>
    </row>
    <row r="20" spans="1:24">
      <c r="A20" s="2887" t="s">
        <v>701</v>
      </c>
      <c r="B20" s="3120">
        <f>+'[17]Sheet 2 - General Insurance'!$F$159</f>
        <v>4970.9151399999992</v>
      </c>
      <c r="C20" s="3120">
        <f>+'[18]Sheet 2 - General Insurance'!$F$157</f>
        <v>8397</v>
      </c>
      <c r="D20" s="3121">
        <f>+'[19]Sheet 2 - General Insurance'!$F$177</f>
        <v>19455</v>
      </c>
      <c r="E20" s="3120">
        <f>+'[20]Sheet 2 - General Insurance'!$F$161</f>
        <v>4865.4969999999994</v>
      </c>
      <c r="F20" s="3120">
        <f>+'[21]Sheet 2 - General Insurance'!$F$157</f>
        <v>1073.2673599999996</v>
      </c>
      <c r="G20" s="3117">
        <f>+'[22]Sheet 2 - General Insurance'!$F$172</f>
        <v>782.44109013554055</v>
      </c>
      <c r="H20" s="3117">
        <f>+'[23]Sheet 2 - General Insurance'!$F$171</f>
        <v>86800</v>
      </c>
      <c r="I20" s="3117">
        <v>0</v>
      </c>
      <c r="J20" s="3117"/>
      <c r="K20" s="3117">
        <f>+'[25]Sheet 2 - General Insurance'!$F$166</f>
        <v>3573.4422999999997</v>
      </c>
      <c r="L20" s="3117">
        <v>0</v>
      </c>
      <c r="M20" s="3117">
        <f>+'[27]Sheet 2 - General Insurance'!$F$157</f>
        <v>511.07972999999981</v>
      </c>
      <c r="N20" s="3117">
        <v>0</v>
      </c>
      <c r="O20" s="3117"/>
      <c r="P20" s="3117">
        <v>0</v>
      </c>
      <c r="Q20" s="3117">
        <f>+'[1]P &amp; L - GI - 2012 '!F608</f>
        <v>81464.675830000022</v>
      </c>
      <c r="R20" s="3117">
        <f>+'[31]Sheet 2 - General Insurance'!$F$157</f>
        <v>0</v>
      </c>
      <c r="S20" s="3117">
        <f>+'[32]Sheet 2 - General Insurance'!$F$157</f>
        <v>33395.974390000003</v>
      </c>
      <c r="T20" s="3117">
        <f>+'[33]Sheet 2 - General Insurance'!$F$157</f>
        <v>0</v>
      </c>
      <c r="U20" s="3117"/>
      <c r="V20" s="3117">
        <f>SUM(B20:U20)</f>
        <v>245289.29284013557</v>
      </c>
      <c r="W20" s="58"/>
    </row>
    <row r="21" spans="1:24">
      <c r="A21" s="2887" t="s">
        <v>416</v>
      </c>
      <c r="B21" s="3120">
        <f>+'[17]Sheet 2 - General Insurance'!$G$159</f>
        <v>211880.42155000003</v>
      </c>
      <c r="C21" s="3120">
        <f>+'[18]Sheet 2 - General Insurance'!$G$157</f>
        <v>216298.16999999998</v>
      </c>
      <c r="D21" s="3121">
        <f>+'[19]Sheet 2 - General Insurance'!$G$177</f>
        <v>299489.78647000022</v>
      </c>
      <c r="E21" s="3120">
        <f>+'[20]Sheet 2 - General Insurance'!$G$161</f>
        <v>154998.67699999991</v>
      </c>
      <c r="F21" s="3120">
        <f>+'[21]Sheet 2 - General Insurance'!$G$157</f>
        <v>316325.48613000027</v>
      </c>
      <c r="G21" s="3117">
        <f>+'[22]Sheet 2 - General Insurance'!$G$172</f>
        <v>23140.302350180227</v>
      </c>
      <c r="H21" s="3117">
        <f>+'[23]Sheet 2 - General Insurance'!$G$171</f>
        <v>1442245</v>
      </c>
      <c r="I21" s="3117">
        <f>+'[24]Sheet 2 - General Insurance'!$G$157</f>
        <v>135022.10180999999</v>
      </c>
      <c r="J21" s="3117"/>
      <c r="K21" s="3117">
        <f>+'[25]Sheet 2 - General Insurance'!$G$166</f>
        <v>109528.20471999998</v>
      </c>
      <c r="L21" s="3117">
        <f>+'[26]Sheet 2 - General Insurance'!$G$160</f>
        <v>611959.9632</v>
      </c>
      <c r="M21" s="3117">
        <f>+'[27]Sheet 2 - General Insurance'!$G$157</f>
        <v>-9878.1185899999982</v>
      </c>
      <c r="N21" s="3117">
        <f>+'[28]Sheet 2 - General Insurance'!$G$157</f>
        <v>118820.44835000001</v>
      </c>
      <c r="O21" s="3117"/>
      <c r="P21" s="3117">
        <f>+'[29]Sheet 2 - General Insurance'!$G$162</f>
        <v>132355</v>
      </c>
      <c r="Q21" s="3117">
        <f>+'[1]P &amp; L - GI - 2012 '!G608</f>
        <v>1965098.9336100011</v>
      </c>
      <c r="R21" s="3117">
        <f>+'[31]Sheet 2 - General Insurance'!$G$157</f>
        <v>52386.550160000035</v>
      </c>
      <c r="S21" s="3117">
        <f>+'[32]Sheet 2 - General Insurance'!$G$157</f>
        <v>1175064.1522499998</v>
      </c>
      <c r="T21" s="3117">
        <f>+'[33]Sheet 2 - General Insurance'!$G$157</f>
        <v>22586.550192785209</v>
      </c>
      <c r="U21" s="3117"/>
      <c r="V21" s="3117">
        <f>SUM(B21:U21)</f>
        <v>6977321.6292029666</v>
      </c>
      <c r="W21" s="58"/>
    </row>
    <row r="22" spans="1:24">
      <c r="A22" s="3122" t="s">
        <v>118</v>
      </c>
      <c r="B22" s="3123">
        <f>SUM(B17:B21)</f>
        <v>685393.95879000006</v>
      </c>
      <c r="C22" s="3123">
        <f>SUM(C17:C21)</f>
        <v>435561.38</v>
      </c>
      <c r="D22" s="3123">
        <f>SUM(D17:D21)</f>
        <v>1967790.8690900002</v>
      </c>
      <c r="E22" s="3123">
        <f>SUM(E17:E21)</f>
        <v>969379.42799999996</v>
      </c>
      <c r="F22" s="3123">
        <f>SUM(F17:F21)</f>
        <v>387836.60199000023</v>
      </c>
      <c r="G22" s="3123">
        <f t="shared" ref="G22:V22" si="2">SUM(G17:G21)</f>
        <v>1003325.822556624</v>
      </c>
      <c r="H22" s="3123">
        <f t="shared" si="2"/>
        <v>8622153</v>
      </c>
      <c r="I22" s="3123">
        <f t="shared" si="2"/>
        <v>1001383.25878</v>
      </c>
      <c r="J22" s="3123">
        <f t="shared" si="2"/>
        <v>0</v>
      </c>
      <c r="K22" s="3123">
        <f t="shared" si="2"/>
        <v>1325071.8432</v>
      </c>
      <c r="L22" s="3123">
        <f>SUM(L17:L21)</f>
        <v>4852606.9149900191</v>
      </c>
      <c r="M22" s="3123">
        <f t="shared" si="2"/>
        <v>821620.40747000021</v>
      </c>
      <c r="N22" s="3123">
        <f t="shared" si="2"/>
        <v>723288.73890000011</v>
      </c>
      <c r="O22" s="3123">
        <f t="shared" si="2"/>
        <v>0</v>
      </c>
      <c r="P22" s="3123">
        <f t="shared" si="2"/>
        <v>2448239.8196899998</v>
      </c>
      <c r="Q22" s="3123">
        <f t="shared" si="2"/>
        <v>9358511.8955499977</v>
      </c>
      <c r="R22" s="3123">
        <f t="shared" si="2"/>
        <v>216312.24656000003</v>
      </c>
      <c r="S22" s="3123">
        <f t="shared" si="2"/>
        <v>3528411.0053099999</v>
      </c>
      <c r="T22" s="3123">
        <f t="shared" si="2"/>
        <v>106714.72048667682</v>
      </c>
      <c r="U22" s="3123">
        <f t="shared" si="2"/>
        <v>0</v>
      </c>
      <c r="V22" s="3123">
        <f t="shared" si="2"/>
        <v>38453601.911363319</v>
      </c>
      <c r="W22" s="375">
        <f>+'[1]P &amp; L - GI - 2012 '!H13</f>
        <v>38453601.911363319</v>
      </c>
      <c r="X22" s="14">
        <f>+V22-W22</f>
        <v>0</v>
      </c>
    </row>
    <row r="25" spans="1:24" ht="15" customHeight="1">
      <c r="A25" s="3111" t="s">
        <v>711</v>
      </c>
      <c r="B25" s="3380"/>
      <c r="C25" s="3380"/>
      <c r="D25" s="3380"/>
      <c r="E25" s="3380"/>
      <c r="F25" s="3112"/>
    </row>
    <row r="26" spans="1:24">
      <c r="A26" s="3848" t="s">
        <v>709</v>
      </c>
      <c r="B26" s="373">
        <v>1</v>
      </c>
      <c r="C26" s="373">
        <v>2</v>
      </c>
      <c r="D26" s="373">
        <v>3</v>
      </c>
      <c r="E26" s="373">
        <v>4</v>
      </c>
      <c r="F26" s="373">
        <v>5</v>
      </c>
      <c r="G26" s="373">
        <v>6</v>
      </c>
      <c r="H26" s="373">
        <v>7</v>
      </c>
      <c r="I26" s="373">
        <v>8</v>
      </c>
      <c r="J26" s="373">
        <v>9</v>
      </c>
      <c r="K26" s="373">
        <v>10</v>
      </c>
      <c r="L26" s="373">
        <v>11</v>
      </c>
      <c r="M26" s="373">
        <v>12</v>
      </c>
      <c r="N26" s="373">
        <v>13</v>
      </c>
      <c r="O26" s="373">
        <v>14</v>
      </c>
      <c r="P26" s="373">
        <v>15</v>
      </c>
      <c r="Q26" s="373">
        <v>16</v>
      </c>
      <c r="R26" s="373">
        <v>17</v>
      </c>
      <c r="S26" s="373">
        <v>18</v>
      </c>
      <c r="T26" s="373">
        <v>19</v>
      </c>
      <c r="U26" s="373">
        <v>20</v>
      </c>
      <c r="V26" s="374"/>
    </row>
    <row r="27" spans="1:24">
      <c r="A27" s="3848"/>
      <c r="B27" s="3113" t="s">
        <v>175</v>
      </c>
      <c r="C27" s="3113" t="s">
        <v>177</v>
      </c>
      <c r="D27" s="3113" t="s">
        <v>179</v>
      </c>
      <c r="E27" s="3113" t="s">
        <v>180</v>
      </c>
      <c r="F27" s="3113" t="s">
        <v>181</v>
      </c>
      <c r="G27" s="3113" t="s">
        <v>182</v>
      </c>
      <c r="H27" s="3114" t="s">
        <v>183</v>
      </c>
      <c r="I27" s="3113" t="s">
        <v>184</v>
      </c>
      <c r="J27" s="3113" t="s">
        <v>185</v>
      </c>
      <c r="K27" s="3113" t="s">
        <v>186</v>
      </c>
      <c r="L27" s="3113" t="s">
        <v>187</v>
      </c>
      <c r="M27" s="3113" t="s">
        <v>189</v>
      </c>
      <c r="N27" s="3113" t="s">
        <v>190</v>
      </c>
      <c r="O27" s="3113" t="s">
        <v>681</v>
      </c>
      <c r="P27" s="3113" t="s">
        <v>192</v>
      </c>
      <c r="Q27" s="3113" t="s">
        <v>115</v>
      </c>
      <c r="R27" s="3113" t="s">
        <v>194</v>
      </c>
      <c r="S27" s="3113" t="s">
        <v>195</v>
      </c>
      <c r="T27" s="3113" t="s">
        <v>191</v>
      </c>
      <c r="U27" s="3113" t="s">
        <v>110</v>
      </c>
      <c r="V27" s="3116" t="s">
        <v>118</v>
      </c>
    </row>
    <row r="28" spans="1:24">
      <c r="A28" s="2887" t="s">
        <v>412</v>
      </c>
      <c r="B28" s="3117">
        <v>4576.2172399999981</v>
      </c>
      <c r="C28" s="3117">
        <v>71591</v>
      </c>
      <c r="D28" s="3117">
        <v>111314.74394999997</v>
      </c>
      <c r="E28" s="3117">
        <v>9235.9889999999978</v>
      </c>
      <c r="F28" s="3117">
        <v>3998</v>
      </c>
      <c r="G28" s="3117">
        <v>35470.872924293399</v>
      </c>
      <c r="H28" s="3118">
        <v>442930</v>
      </c>
      <c r="I28" s="3117">
        <v>30909.073029999992</v>
      </c>
      <c r="J28" s="3117"/>
      <c r="K28" s="3117">
        <v>31862.239679999999</v>
      </c>
      <c r="L28" s="3117">
        <v>92610.746889998991</v>
      </c>
      <c r="M28" s="3117"/>
      <c r="N28" s="3117">
        <v>1058</v>
      </c>
      <c r="O28" s="3117"/>
      <c r="P28" s="3117">
        <v>45621</v>
      </c>
      <c r="Q28" s="3117">
        <v>206881.33041999995</v>
      </c>
      <c r="R28" s="3117">
        <v>5879</v>
      </c>
      <c r="S28" s="3117">
        <v>47649.619230000055</v>
      </c>
      <c r="T28" s="3117">
        <v>3</v>
      </c>
      <c r="U28" s="3117"/>
      <c r="V28" s="3117">
        <f>SUM(B28:U28)</f>
        <v>1141590.8323642923</v>
      </c>
      <c r="W28" s="58"/>
    </row>
    <row r="29" spans="1:24">
      <c r="A29" s="2887" t="s">
        <v>413</v>
      </c>
      <c r="B29" s="3117">
        <v>9222.03125</v>
      </c>
      <c r="C29" s="3117">
        <v>9237</v>
      </c>
      <c r="D29" s="3117">
        <v>69548.184239999988</v>
      </c>
      <c r="E29" s="3117">
        <v>15738.094999999994</v>
      </c>
      <c r="F29" s="3117">
        <v>92641</v>
      </c>
      <c r="G29" s="3117">
        <v>1513.1036928860751</v>
      </c>
      <c r="H29" s="3117">
        <v>266899</v>
      </c>
      <c r="I29" s="3117">
        <v>10523.719789999997</v>
      </c>
      <c r="J29" s="3117"/>
      <c r="K29" s="3117">
        <v>5145.8688699999975</v>
      </c>
      <c r="L29" s="3117">
        <v>70225.275380000006</v>
      </c>
      <c r="M29" s="3117"/>
      <c r="N29" s="3117">
        <v>2656</v>
      </c>
      <c r="O29" s="3117"/>
      <c r="P29" s="3117">
        <v>8094</v>
      </c>
      <c r="Q29" s="3117">
        <v>133869.90681999997</v>
      </c>
      <c r="R29" s="3117">
        <v>0</v>
      </c>
      <c r="S29" s="3117">
        <v>107362.12702000003</v>
      </c>
      <c r="T29" s="3117">
        <v>2</v>
      </c>
      <c r="U29" s="3117"/>
      <c r="V29" s="3117">
        <f>SUM(B29:U29)</f>
        <v>802677.31206288608</v>
      </c>
      <c r="W29" s="58"/>
    </row>
    <row r="30" spans="1:24">
      <c r="A30" s="2887" t="s">
        <v>414</v>
      </c>
      <c r="B30" s="3120">
        <v>240669.23228</v>
      </c>
      <c r="C30" s="3120">
        <v>100932</v>
      </c>
      <c r="D30" s="3121">
        <v>1744259.8762700001</v>
      </c>
      <c r="E30" s="3120">
        <v>609412.68299999996</v>
      </c>
      <c r="F30" s="3120">
        <v>33533</v>
      </c>
      <c r="G30" s="3117">
        <v>517642.00178366603</v>
      </c>
      <c r="H30" s="3117">
        <v>5613160</v>
      </c>
      <c r="I30" s="3117">
        <v>581708.1924099999</v>
      </c>
      <c r="J30" s="3117"/>
      <c r="K30" s="3117">
        <v>1035090.14004</v>
      </c>
      <c r="L30" s="3117">
        <v>3545834.41431998</v>
      </c>
      <c r="M30" s="3117">
        <v>50594.218070000003</v>
      </c>
      <c r="N30" s="3117">
        <v>349902</v>
      </c>
      <c r="O30" s="3117"/>
      <c r="P30" s="3117">
        <v>1312591</v>
      </c>
      <c r="Q30" s="3117">
        <v>5739853.494380001</v>
      </c>
      <c r="R30" s="3117">
        <v>112175</v>
      </c>
      <c r="S30" s="3117">
        <v>1987683.4469299999</v>
      </c>
      <c r="T30" s="3117">
        <v>30</v>
      </c>
      <c r="U30" s="3117"/>
      <c r="V30" s="3117">
        <f>SUM(B30:U30)</f>
        <v>23575070.699483648</v>
      </c>
      <c r="W30" s="58"/>
    </row>
    <row r="31" spans="1:24">
      <c r="A31" s="2887" t="s">
        <v>701</v>
      </c>
      <c r="B31" s="3120">
        <v>4449</v>
      </c>
      <c r="C31" s="3120">
        <v>7623</v>
      </c>
      <c r="D31" s="3121">
        <v>13310.683964661497</v>
      </c>
      <c r="E31" s="3120">
        <v>4177.3700000000008</v>
      </c>
      <c r="F31" s="3120">
        <v>-118</v>
      </c>
      <c r="G31" s="3117">
        <v>385.5025901412705</v>
      </c>
      <c r="H31" s="3117">
        <v>54921</v>
      </c>
      <c r="I31" s="3117">
        <v>0</v>
      </c>
      <c r="J31" s="3117"/>
      <c r="K31" s="3117">
        <v>4689.0336699999998</v>
      </c>
      <c r="L31" s="3117">
        <v>0</v>
      </c>
      <c r="M31" s="3117"/>
      <c r="N31" s="3117">
        <v>0</v>
      </c>
      <c r="O31" s="3117"/>
      <c r="P31" s="3117">
        <v>0</v>
      </c>
      <c r="Q31" s="3117">
        <v>68525.751139999978</v>
      </c>
      <c r="R31" s="3117">
        <v>0</v>
      </c>
      <c r="S31" s="3117">
        <v>32019.204879999998</v>
      </c>
      <c r="T31" s="3117">
        <v>0</v>
      </c>
      <c r="U31" s="3117"/>
      <c r="V31" s="3117">
        <f>SUM(B31:U31)</f>
        <v>189982.54624480274</v>
      </c>
      <c r="W31" s="58"/>
    </row>
    <row r="32" spans="1:24">
      <c r="A32" s="2887" t="s">
        <v>416</v>
      </c>
      <c r="B32" s="3120">
        <v>88661.172119999974</v>
      </c>
      <c r="C32" s="3120">
        <v>147364</v>
      </c>
      <c r="D32" s="3121">
        <v>307297.38688533846</v>
      </c>
      <c r="E32" s="3120">
        <v>140432.51300000004</v>
      </c>
      <c r="F32" s="3120">
        <v>224997</v>
      </c>
      <c r="G32" s="3117">
        <v>16229.325792022566</v>
      </c>
      <c r="H32" s="3117">
        <v>1404997</v>
      </c>
      <c r="I32" s="3117">
        <v>105451.65486000001</v>
      </c>
      <c r="J32" s="3117"/>
      <c r="K32" s="3117">
        <v>85161.766959999979</v>
      </c>
      <c r="L32" s="3117">
        <v>524599.49359999993</v>
      </c>
      <c r="M32" s="3117"/>
      <c r="N32" s="3117">
        <v>34702.252620000014</v>
      </c>
      <c r="O32" s="3117"/>
      <c r="P32" s="3117">
        <v>111665</v>
      </c>
      <c r="Q32" s="3117">
        <v>1920732.3758600007</v>
      </c>
      <c r="R32" s="3117">
        <v>50110</v>
      </c>
      <c r="S32" s="3117">
        <v>945674.49907999998</v>
      </c>
      <c r="T32" s="3117">
        <v>0</v>
      </c>
      <c r="U32" s="3117"/>
      <c r="V32" s="3117">
        <f>SUM(B32:U32)</f>
        <v>6108075.4407773614</v>
      </c>
      <c r="W32" s="58"/>
    </row>
    <row r="33" spans="1:24">
      <c r="A33" s="3122" t="s">
        <v>118</v>
      </c>
      <c r="B33" s="3123">
        <f>SUM(B28:B32)</f>
        <v>347577.65288999997</v>
      </c>
      <c r="C33" s="3123">
        <f t="shared" ref="C33:V33" si="3">SUM(C28:C32)</f>
        <v>336747</v>
      </c>
      <c r="D33" s="3123">
        <f>SUM(D28:D32)</f>
        <v>2245730.87531</v>
      </c>
      <c r="E33" s="3123">
        <f t="shared" si="3"/>
        <v>778996.65</v>
      </c>
      <c r="F33" s="3123">
        <f>SUM(F28:F32)</f>
        <v>355051</v>
      </c>
      <c r="G33" s="3123">
        <f t="shared" si="3"/>
        <v>571240.80678300932</v>
      </c>
      <c r="H33" s="3123">
        <f t="shared" si="3"/>
        <v>7782907</v>
      </c>
      <c r="I33" s="3123">
        <f t="shared" si="3"/>
        <v>728592.64008999988</v>
      </c>
      <c r="J33" s="3123">
        <f t="shared" si="3"/>
        <v>0</v>
      </c>
      <c r="K33" s="3123">
        <f t="shared" si="3"/>
        <v>1161949.0492199999</v>
      </c>
      <c r="L33" s="3123">
        <f>SUM(L28:L32)</f>
        <v>4233269.9301899793</v>
      </c>
      <c r="M33" s="3123">
        <f t="shared" si="3"/>
        <v>50594.218070000003</v>
      </c>
      <c r="N33" s="3123">
        <f t="shared" si="3"/>
        <v>388318.25262000004</v>
      </c>
      <c r="O33" s="3123">
        <f t="shared" si="3"/>
        <v>0</v>
      </c>
      <c r="P33" s="3123">
        <f t="shared" si="3"/>
        <v>1477971</v>
      </c>
      <c r="Q33" s="3123">
        <f t="shared" si="3"/>
        <v>8069862.8586200019</v>
      </c>
      <c r="R33" s="3123">
        <f t="shared" si="3"/>
        <v>168164</v>
      </c>
      <c r="S33" s="3123">
        <f t="shared" si="3"/>
        <v>3120388.89714</v>
      </c>
      <c r="T33" s="3123">
        <f t="shared" si="3"/>
        <v>35</v>
      </c>
      <c r="U33" s="3123">
        <f t="shared" si="3"/>
        <v>0</v>
      </c>
      <c r="V33" s="3123">
        <f t="shared" si="3"/>
        <v>31817396.830932993</v>
      </c>
      <c r="W33" s="375" t="e">
        <f>+#REF!</f>
        <v>#REF!</v>
      </c>
      <c r="X33" s="14" t="e">
        <f>+V33-W33</f>
        <v>#REF!</v>
      </c>
    </row>
    <row r="34" spans="1:24">
      <c r="A34" s="44"/>
      <c r="B34" s="377"/>
      <c r="C34" s="377"/>
      <c r="D34" s="377"/>
      <c r="E34" s="378"/>
      <c r="F34" s="378"/>
    </row>
    <row r="36" spans="1:24">
      <c r="A36" s="3111" t="s">
        <v>712</v>
      </c>
      <c r="B36" s="3381"/>
      <c r="C36" s="3381"/>
      <c r="D36" s="3381"/>
      <c r="E36" s="3381"/>
      <c r="F36" s="3124"/>
    </row>
    <row r="37" spans="1:24">
      <c r="A37" s="3848" t="s">
        <v>709</v>
      </c>
      <c r="B37" s="373">
        <v>1</v>
      </c>
      <c r="C37" s="373">
        <v>2</v>
      </c>
      <c r="D37" s="373">
        <v>3</v>
      </c>
      <c r="E37" s="373">
        <v>4</v>
      </c>
      <c r="F37" s="373">
        <v>5</v>
      </c>
      <c r="G37" s="373">
        <v>6</v>
      </c>
      <c r="H37" s="373">
        <v>7</v>
      </c>
      <c r="I37" s="373">
        <v>8</v>
      </c>
      <c r="J37" s="373">
        <v>9</v>
      </c>
      <c r="K37" s="373">
        <v>10</v>
      </c>
      <c r="L37" s="373">
        <v>11</v>
      </c>
      <c r="M37" s="373">
        <v>12</v>
      </c>
      <c r="N37" s="373">
        <v>13</v>
      </c>
      <c r="O37" s="373">
        <v>14</v>
      </c>
      <c r="P37" s="373">
        <v>15</v>
      </c>
      <c r="Q37" s="373">
        <v>16</v>
      </c>
      <c r="R37" s="373">
        <v>17</v>
      </c>
      <c r="S37" s="373">
        <v>18</v>
      </c>
      <c r="T37" s="373">
        <v>19</v>
      </c>
      <c r="U37" s="373">
        <v>20</v>
      </c>
      <c r="V37" s="374"/>
    </row>
    <row r="38" spans="1:24">
      <c r="A38" s="3848"/>
      <c r="B38" s="3113" t="s">
        <v>175</v>
      </c>
      <c r="C38" s="3113" t="s">
        <v>177</v>
      </c>
      <c r="D38" s="3113" t="s">
        <v>179</v>
      </c>
      <c r="E38" s="3113" t="s">
        <v>180</v>
      </c>
      <c r="F38" s="3113" t="s">
        <v>181</v>
      </c>
      <c r="G38" s="3113" t="s">
        <v>182</v>
      </c>
      <c r="H38" s="3114" t="s">
        <v>183</v>
      </c>
      <c r="I38" s="3113" t="s">
        <v>184</v>
      </c>
      <c r="J38" s="3113" t="s">
        <v>185</v>
      </c>
      <c r="K38" s="3113" t="s">
        <v>186</v>
      </c>
      <c r="L38" s="3113" t="s">
        <v>187</v>
      </c>
      <c r="M38" s="3113" t="s">
        <v>189</v>
      </c>
      <c r="N38" s="3113" t="s">
        <v>190</v>
      </c>
      <c r="O38" s="3113" t="s">
        <v>681</v>
      </c>
      <c r="P38" s="3113" t="s">
        <v>192</v>
      </c>
      <c r="Q38" s="3113" t="s">
        <v>115</v>
      </c>
      <c r="R38" s="3113" t="s">
        <v>194</v>
      </c>
      <c r="S38" s="3113" t="s">
        <v>195</v>
      </c>
      <c r="T38" s="3113" t="s">
        <v>191</v>
      </c>
      <c r="U38" s="3113" t="s">
        <v>110</v>
      </c>
      <c r="V38" s="3116" t="s">
        <v>118</v>
      </c>
    </row>
    <row r="39" spans="1:24">
      <c r="A39" s="2887" t="s">
        <v>412</v>
      </c>
      <c r="B39" s="3117">
        <v>1228</v>
      </c>
      <c r="C39" s="3117">
        <v>96193</v>
      </c>
      <c r="D39" s="3117">
        <v>77802.732860000076</v>
      </c>
      <c r="E39" s="3117">
        <v>10377.061</v>
      </c>
      <c r="F39" s="3117">
        <v>16021</v>
      </c>
      <c r="G39" s="3117">
        <v>12977</v>
      </c>
      <c r="H39" s="3118">
        <v>384804</v>
      </c>
      <c r="I39" s="3117">
        <v>22163.706549999999</v>
      </c>
      <c r="J39" s="3117"/>
      <c r="K39" s="3117">
        <v>30327</v>
      </c>
      <c r="L39" s="3117">
        <v>83180.187950000036</v>
      </c>
      <c r="M39" s="3117"/>
      <c r="N39" s="3117">
        <v>628.73019999999838</v>
      </c>
      <c r="O39" s="3117"/>
      <c r="P39" s="3117">
        <v>7974</v>
      </c>
      <c r="Q39" s="3117">
        <v>299561.5532000002</v>
      </c>
      <c r="R39" s="3117">
        <v>5226</v>
      </c>
      <c r="S39" s="3117">
        <v>49722.125179999974</v>
      </c>
      <c r="T39" s="3117"/>
      <c r="U39" s="3117"/>
      <c r="V39" s="3117">
        <f>SUM(B39:U39)</f>
        <v>1098186.0969400003</v>
      </c>
      <c r="W39" s="58"/>
    </row>
    <row r="40" spans="1:24">
      <c r="A40" s="2887" t="s">
        <v>413</v>
      </c>
      <c r="B40" s="3117">
        <v>5810</v>
      </c>
      <c r="C40" s="3117">
        <v>7885</v>
      </c>
      <c r="D40" s="3117">
        <v>57221.429510000002</v>
      </c>
      <c r="E40" s="3117">
        <v>30924</v>
      </c>
      <c r="F40" s="3117">
        <v>59629</v>
      </c>
      <c r="G40" s="3117">
        <v>399.7399999999995</v>
      </c>
      <c r="H40" s="3117">
        <v>221194</v>
      </c>
      <c r="I40" s="3117">
        <v>9161.1163699999979</v>
      </c>
      <c r="J40" s="3117"/>
      <c r="K40" s="3117">
        <v>4347</v>
      </c>
      <c r="L40" s="3117">
        <v>53024.702639999996</v>
      </c>
      <c r="M40" s="3117"/>
      <c r="N40" s="3117">
        <v>2915.6246100000008</v>
      </c>
      <c r="O40" s="3117"/>
      <c r="P40" s="3117">
        <v>944</v>
      </c>
      <c r="Q40" s="3117">
        <v>124253.36211000005</v>
      </c>
      <c r="R40" s="3117">
        <v>0</v>
      </c>
      <c r="S40" s="3117">
        <v>96766.83063000004</v>
      </c>
      <c r="T40" s="3117"/>
      <c r="U40" s="3117"/>
      <c r="V40" s="3117">
        <f>SUM(B40:U40)</f>
        <v>674475.80587000004</v>
      </c>
      <c r="W40" s="58"/>
    </row>
    <row r="41" spans="1:24">
      <c r="A41" s="2887" t="s">
        <v>414</v>
      </c>
      <c r="B41" s="3120">
        <v>195929</v>
      </c>
      <c r="C41" s="3120">
        <v>71375</v>
      </c>
      <c r="D41" s="3121">
        <v>1277150.35537</v>
      </c>
      <c r="E41" s="3120">
        <v>444384.6</v>
      </c>
      <c r="F41" s="3120">
        <v>67181</v>
      </c>
      <c r="G41" s="3117">
        <v>61955.084000000003</v>
      </c>
      <c r="H41" s="3117">
        <v>5295407</v>
      </c>
      <c r="I41" s="3117">
        <v>425607.61602000002</v>
      </c>
      <c r="J41" s="3117"/>
      <c r="K41" s="3117">
        <v>769922</v>
      </c>
      <c r="L41" s="3117">
        <v>3177981.5238199998</v>
      </c>
      <c r="M41" s="3117"/>
      <c r="N41" s="3117">
        <v>310691.52703</v>
      </c>
      <c r="O41" s="3117"/>
      <c r="P41" s="3117">
        <v>191685</v>
      </c>
      <c r="Q41" s="3117">
        <v>4305077.0586300008</v>
      </c>
      <c r="R41" s="3117">
        <v>91789</v>
      </c>
      <c r="S41" s="3117">
        <v>1670750.9310699997</v>
      </c>
      <c r="T41" s="3117"/>
      <c r="U41" s="3117"/>
      <c r="V41" s="3117">
        <f>SUM(B41:U41)</f>
        <v>18356886.695939999</v>
      </c>
      <c r="W41" s="58"/>
    </row>
    <row r="42" spans="1:24">
      <c r="A42" s="2887" t="s">
        <v>701</v>
      </c>
      <c r="B42" s="3120">
        <v>0</v>
      </c>
      <c r="C42" s="3120">
        <v>5117</v>
      </c>
      <c r="D42" s="3121">
        <v>35833.748161499519</v>
      </c>
      <c r="E42" s="3120">
        <v>3587.8</v>
      </c>
      <c r="F42" s="3120">
        <v>1918</v>
      </c>
      <c r="G42" s="3117">
        <v>0</v>
      </c>
      <c r="H42" s="3117">
        <v>93179</v>
      </c>
      <c r="I42" s="3117">
        <v>0</v>
      </c>
      <c r="J42" s="3117"/>
      <c r="K42" s="3117">
        <v>4484</v>
      </c>
      <c r="L42" s="3117">
        <v>0</v>
      </c>
      <c r="M42" s="3117"/>
      <c r="N42" s="3117">
        <v>0</v>
      </c>
      <c r="O42" s="3117"/>
      <c r="P42" s="3117">
        <v>0</v>
      </c>
      <c r="Q42" s="3117">
        <v>79320.056850000008</v>
      </c>
      <c r="R42" s="3117">
        <v>0</v>
      </c>
      <c r="S42" s="3117">
        <v>27349.42931</v>
      </c>
      <c r="T42" s="3117"/>
      <c r="U42" s="3117"/>
      <c r="V42" s="3117">
        <f>SUM(B42:U42)</f>
        <v>250789.03432149955</v>
      </c>
      <c r="W42" s="58"/>
    </row>
    <row r="43" spans="1:24">
      <c r="A43" s="2887" t="s">
        <v>416</v>
      </c>
      <c r="B43" s="3120">
        <v>74894</v>
      </c>
      <c r="C43" s="3120">
        <v>112867</v>
      </c>
      <c r="D43" s="3121">
        <v>597887.92689850053</v>
      </c>
      <c r="E43" s="3120">
        <v>224261.9</v>
      </c>
      <c r="F43" s="3120">
        <v>287484</v>
      </c>
      <c r="G43" s="3117">
        <v>2111.336000000003</v>
      </c>
      <c r="H43" s="3117">
        <v>1254576</v>
      </c>
      <c r="I43" s="3117">
        <v>87365.471450000026</v>
      </c>
      <c r="J43" s="3117"/>
      <c r="K43" s="3117">
        <v>49997</v>
      </c>
      <c r="L43" s="3117">
        <v>483805.63531000004</v>
      </c>
      <c r="M43" s="3117"/>
      <c r="N43" s="3117">
        <v>22862.317689999996</v>
      </c>
      <c r="O43" s="3117"/>
      <c r="P43" s="3117">
        <v>30865</v>
      </c>
      <c r="Q43" s="3117">
        <v>1225973.8938278002</v>
      </c>
      <c r="R43" s="3117">
        <v>97669</v>
      </c>
      <c r="S43" s="3117">
        <v>478738.84320000012</v>
      </c>
      <c r="T43" s="3117"/>
      <c r="U43" s="3117"/>
      <c r="V43" s="3117">
        <f>SUM(B43:U43)</f>
        <v>5031359.3243763</v>
      </c>
      <c r="W43" s="58"/>
    </row>
    <row r="44" spans="1:24">
      <c r="A44" s="3122" t="s">
        <v>118</v>
      </c>
      <c r="B44" s="3123">
        <f>SUM(B39:B43)</f>
        <v>277861</v>
      </c>
      <c r="C44" s="3123">
        <f t="shared" ref="C44:V44" si="4">SUM(C39:C43)</f>
        <v>293437</v>
      </c>
      <c r="D44" s="3123">
        <f>SUM(D39:D43)</f>
        <v>2045896.1928000003</v>
      </c>
      <c r="E44" s="3123">
        <f t="shared" si="4"/>
        <v>713535.36099999992</v>
      </c>
      <c r="F44" s="3123">
        <f t="shared" si="4"/>
        <v>432233</v>
      </c>
      <c r="G44" s="3123">
        <f t="shared" si="4"/>
        <v>77443.16</v>
      </c>
      <c r="H44" s="3123">
        <f>SUM(H39:H43)</f>
        <v>7249160</v>
      </c>
      <c r="I44" s="3123">
        <f t="shared" si="4"/>
        <v>544297.91039000009</v>
      </c>
      <c r="J44" s="3123">
        <f t="shared" si="4"/>
        <v>0</v>
      </c>
      <c r="K44" s="3123">
        <f t="shared" si="4"/>
        <v>859077</v>
      </c>
      <c r="L44" s="3123">
        <f t="shared" si="4"/>
        <v>3797992.0497199995</v>
      </c>
      <c r="M44" s="3123">
        <f t="shared" si="4"/>
        <v>0</v>
      </c>
      <c r="N44" s="3123">
        <f t="shared" si="4"/>
        <v>337098.19952999998</v>
      </c>
      <c r="O44" s="3123">
        <f t="shared" si="4"/>
        <v>0</v>
      </c>
      <c r="P44" s="3123">
        <f t="shared" si="4"/>
        <v>231468</v>
      </c>
      <c r="Q44" s="3123">
        <f t="shared" si="4"/>
        <v>6034185.9246178009</v>
      </c>
      <c r="R44" s="3123">
        <f t="shared" si="4"/>
        <v>194684</v>
      </c>
      <c r="S44" s="3123">
        <f t="shared" si="4"/>
        <v>2323328.1593899997</v>
      </c>
      <c r="T44" s="3123">
        <f t="shared" si="4"/>
        <v>0</v>
      </c>
      <c r="U44" s="3123">
        <f t="shared" si="4"/>
        <v>0</v>
      </c>
      <c r="V44" s="3123">
        <f t="shared" si="4"/>
        <v>25411696.957447797</v>
      </c>
      <c r="W44" s="375" t="e">
        <f>+#REF!</f>
        <v>#REF!</v>
      </c>
      <c r="X44" s="14" t="e">
        <f>+V44-W44</f>
        <v>#REF!</v>
      </c>
    </row>
    <row r="47" spans="1:24">
      <c r="A47" s="3111" t="s">
        <v>713</v>
      </c>
      <c r="B47" s="3381"/>
      <c r="C47" s="3381"/>
      <c r="D47" s="3381"/>
      <c r="E47" s="3381"/>
      <c r="F47" s="3124"/>
    </row>
    <row r="48" spans="1:24">
      <c r="A48" s="3848" t="s">
        <v>709</v>
      </c>
      <c r="B48" s="373">
        <v>1</v>
      </c>
      <c r="C48" s="373">
        <v>2</v>
      </c>
      <c r="D48" s="373">
        <v>3</v>
      </c>
      <c r="E48" s="373">
        <v>4</v>
      </c>
      <c r="F48" s="373">
        <v>5</v>
      </c>
      <c r="G48" s="373">
        <v>6</v>
      </c>
      <c r="H48" s="373">
        <v>7</v>
      </c>
      <c r="I48" s="373">
        <v>8</v>
      </c>
      <c r="J48" s="373">
        <v>9</v>
      </c>
      <c r="K48" s="373">
        <v>10</v>
      </c>
      <c r="L48" s="373">
        <v>11</v>
      </c>
      <c r="M48" s="373">
        <v>12</v>
      </c>
      <c r="N48" s="373">
        <v>13</v>
      </c>
      <c r="O48" s="373">
        <v>14</v>
      </c>
      <c r="P48" s="373">
        <v>15</v>
      </c>
      <c r="Q48" s="373">
        <v>16</v>
      </c>
      <c r="R48" s="373">
        <v>17</v>
      </c>
      <c r="S48" s="373">
        <v>18</v>
      </c>
      <c r="T48" s="373">
        <v>19</v>
      </c>
      <c r="U48" s="373">
        <v>20</v>
      </c>
      <c r="V48" s="374"/>
    </row>
    <row r="49" spans="1:24">
      <c r="A49" s="3848"/>
      <c r="B49" s="3113" t="s">
        <v>175</v>
      </c>
      <c r="C49" s="3113" t="s">
        <v>177</v>
      </c>
      <c r="D49" s="3113" t="s">
        <v>179</v>
      </c>
      <c r="E49" s="3113" t="s">
        <v>180</v>
      </c>
      <c r="F49" s="3113" t="s">
        <v>181</v>
      </c>
      <c r="G49" s="3113" t="s">
        <v>182</v>
      </c>
      <c r="H49" s="3114" t="s">
        <v>183</v>
      </c>
      <c r="I49" s="3113" t="s">
        <v>184</v>
      </c>
      <c r="J49" s="3113" t="s">
        <v>185</v>
      </c>
      <c r="K49" s="3113" t="s">
        <v>186</v>
      </c>
      <c r="L49" s="3113" t="s">
        <v>187</v>
      </c>
      <c r="M49" s="3113" t="s">
        <v>189</v>
      </c>
      <c r="N49" s="3113" t="s">
        <v>190</v>
      </c>
      <c r="O49" s="3113" t="s">
        <v>681</v>
      </c>
      <c r="P49" s="3113" t="s">
        <v>192</v>
      </c>
      <c r="Q49" s="3113" t="s">
        <v>115</v>
      </c>
      <c r="R49" s="3113" t="s">
        <v>194</v>
      </c>
      <c r="S49" s="3113" t="s">
        <v>195</v>
      </c>
      <c r="T49" s="3113" t="s">
        <v>191</v>
      </c>
      <c r="U49" s="3113" t="s">
        <v>110</v>
      </c>
      <c r="V49" s="3116" t="s">
        <v>118</v>
      </c>
    </row>
    <row r="50" spans="1:24">
      <c r="A50" s="2887" t="s">
        <v>412</v>
      </c>
      <c r="B50" s="3117">
        <v>5176</v>
      </c>
      <c r="C50" s="3117">
        <v>68601</v>
      </c>
      <c r="D50" s="3117">
        <v>69460</v>
      </c>
      <c r="E50" s="3117">
        <v>12752</v>
      </c>
      <c r="F50" s="3117">
        <v>19719</v>
      </c>
      <c r="G50" s="3117"/>
      <c r="H50" s="3118">
        <v>381908</v>
      </c>
      <c r="I50" s="3117">
        <v>21455.616030000001</v>
      </c>
      <c r="J50" s="3117">
        <v>-2096.9499999999998</v>
      </c>
      <c r="K50" s="3117">
        <v>29370</v>
      </c>
      <c r="L50" s="3117">
        <v>125641</v>
      </c>
      <c r="M50" s="3117"/>
      <c r="N50" s="3117">
        <v>10096.02855784364</v>
      </c>
      <c r="O50" s="3117"/>
      <c r="P50" s="3117"/>
      <c r="Q50" s="3117">
        <v>390632.6245200003</v>
      </c>
      <c r="R50" s="3117">
        <v>2360</v>
      </c>
      <c r="S50" s="3117">
        <v>64083.609249999994</v>
      </c>
      <c r="T50" s="3117"/>
      <c r="U50" s="3117"/>
      <c r="V50" s="3117">
        <f>SUM(B50:U50)</f>
        <v>1199157.928357844</v>
      </c>
      <c r="W50" s="58"/>
      <c r="X50" s="58"/>
    </row>
    <row r="51" spans="1:24">
      <c r="A51" s="2887" t="s">
        <v>413</v>
      </c>
      <c r="B51" s="3117">
        <v>10089</v>
      </c>
      <c r="C51" s="3117">
        <v>7748</v>
      </c>
      <c r="D51" s="3117">
        <v>33867</v>
      </c>
      <c r="E51" s="3117">
        <v>16555</v>
      </c>
      <c r="F51" s="3117">
        <v>35728</v>
      </c>
      <c r="G51" s="3117"/>
      <c r="H51" s="3117">
        <v>172084</v>
      </c>
      <c r="I51" s="3117">
        <v>7821.7777000000006</v>
      </c>
      <c r="J51" s="3117">
        <v>32.299999999999997</v>
      </c>
      <c r="K51" s="3117">
        <v>4002</v>
      </c>
      <c r="L51" s="3117">
        <v>57180</v>
      </c>
      <c r="M51" s="3117"/>
      <c r="N51" s="3117">
        <v>9162.8504104176427</v>
      </c>
      <c r="O51" s="3117"/>
      <c r="P51" s="3117"/>
      <c r="Q51" s="3117">
        <v>129858.24541000005</v>
      </c>
      <c r="R51" s="3117">
        <v>0</v>
      </c>
      <c r="S51" s="3117">
        <v>96204.737120000005</v>
      </c>
      <c r="T51" s="3117"/>
      <c r="U51" s="3117"/>
      <c r="V51" s="3117">
        <f>SUM(B51:U51)</f>
        <v>580332.9106404176</v>
      </c>
      <c r="W51" s="58"/>
      <c r="X51" s="58"/>
    </row>
    <row r="52" spans="1:24">
      <c r="A52" s="2887" t="s">
        <v>414</v>
      </c>
      <c r="B52" s="3120">
        <v>218930</v>
      </c>
      <c r="C52" s="3120">
        <v>54282</v>
      </c>
      <c r="D52" s="3121">
        <v>798850</v>
      </c>
      <c r="E52" s="3120">
        <v>321752</v>
      </c>
      <c r="F52" s="3120">
        <v>86454</v>
      </c>
      <c r="G52" s="3117"/>
      <c r="H52" s="3117">
        <v>5671501</v>
      </c>
      <c r="I52" s="3117">
        <v>403418.15091000003</v>
      </c>
      <c r="J52" s="3117">
        <v>79524.38</v>
      </c>
      <c r="K52" s="3117">
        <v>614442</v>
      </c>
      <c r="L52" s="3117">
        <v>2830132</v>
      </c>
      <c r="M52" s="3117"/>
      <c r="N52" s="3117">
        <v>166844.13816718207</v>
      </c>
      <c r="O52" s="3117"/>
      <c r="P52" s="3117"/>
      <c r="Q52" s="3117">
        <v>4696672.8619799996</v>
      </c>
      <c r="R52" s="3117">
        <v>78964</v>
      </c>
      <c r="S52" s="3117">
        <v>1571815.4141500001</v>
      </c>
      <c r="T52" s="3117"/>
      <c r="U52" s="3117"/>
      <c r="V52" s="3117">
        <f>SUM(B52:U52)</f>
        <v>17593581.945207182</v>
      </c>
      <c r="W52" s="58"/>
      <c r="X52" s="58"/>
    </row>
    <row r="53" spans="1:24">
      <c r="A53" s="2887" t="s">
        <v>701</v>
      </c>
      <c r="B53" s="3120">
        <v>0</v>
      </c>
      <c r="C53" s="3120">
        <v>0</v>
      </c>
      <c r="D53" s="3121">
        <v>2957.5775193798449</v>
      </c>
      <c r="E53" s="3120">
        <v>3593</v>
      </c>
      <c r="F53" s="3120">
        <v>1914</v>
      </c>
      <c r="G53" s="3117"/>
      <c r="H53" s="3117">
        <v>95839</v>
      </c>
      <c r="I53" s="3117">
        <v>0</v>
      </c>
      <c r="J53" s="3117">
        <v>0</v>
      </c>
      <c r="K53" s="3117">
        <v>3844</v>
      </c>
      <c r="L53" s="3117">
        <v>0</v>
      </c>
      <c r="M53" s="3117"/>
      <c r="N53" s="3117">
        <v>0</v>
      </c>
      <c r="O53" s="3117"/>
      <c r="P53" s="3117"/>
      <c r="Q53" s="3117">
        <v>68705.563810000007</v>
      </c>
      <c r="R53" s="3117">
        <v>0</v>
      </c>
      <c r="S53" s="3117">
        <v>28216.531650000004</v>
      </c>
      <c r="T53" s="3117"/>
      <c r="U53" s="3117"/>
      <c r="V53" s="3117">
        <f>SUM(B53:U53)</f>
        <v>205069.67297937989</v>
      </c>
      <c r="W53" s="58"/>
      <c r="X53" s="58"/>
    </row>
    <row r="54" spans="1:24">
      <c r="A54" s="2887" t="s">
        <v>416</v>
      </c>
      <c r="B54" s="3120">
        <v>78356</v>
      </c>
      <c r="C54" s="3120">
        <v>134443</v>
      </c>
      <c r="D54" s="3121">
        <v>366817.42248062015</v>
      </c>
      <c r="E54" s="3120">
        <v>259399</v>
      </c>
      <c r="F54" s="3120">
        <v>255391</v>
      </c>
      <c r="G54" s="3117"/>
      <c r="H54" s="3117">
        <v>1370063</v>
      </c>
      <c r="I54" s="3117">
        <v>101449.98006999999</v>
      </c>
      <c r="J54" s="3117">
        <v>7455.99</v>
      </c>
      <c r="K54" s="3117">
        <v>24281</v>
      </c>
      <c r="L54" s="3117">
        <v>559798</v>
      </c>
      <c r="M54" s="3117"/>
      <c r="N54" s="3117">
        <v>14038.982864556649</v>
      </c>
      <c r="O54" s="3117"/>
      <c r="P54" s="3117"/>
      <c r="Q54" s="3117">
        <v>1306670.4812964997</v>
      </c>
      <c r="R54" s="3117">
        <v>73901</v>
      </c>
      <c r="S54" s="3117">
        <v>443077</v>
      </c>
      <c r="T54" s="3117"/>
      <c r="U54" s="3117"/>
      <c r="V54" s="3117">
        <f>SUM(B54:U54)</f>
        <v>4995141.8567116773</v>
      </c>
      <c r="W54" s="58"/>
      <c r="X54" s="58"/>
    </row>
    <row r="55" spans="1:24">
      <c r="A55" s="3122" t="s">
        <v>118</v>
      </c>
      <c r="B55" s="3123">
        <f>SUM(B50:B54)</f>
        <v>312551</v>
      </c>
      <c r="C55" s="3123">
        <f t="shared" ref="C55:V55" si="5">SUM(C50:C54)</f>
        <v>265074</v>
      </c>
      <c r="D55" s="3123">
        <f>SUM(D50:D54)</f>
        <v>1271952</v>
      </c>
      <c r="E55" s="3123">
        <f t="shared" si="5"/>
        <v>614051</v>
      </c>
      <c r="F55" s="3123">
        <f t="shared" si="5"/>
        <v>399206</v>
      </c>
      <c r="G55" s="3123">
        <f t="shared" si="5"/>
        <v>0</v>
      </c>
      <c r="H55" s="3123">
        <f t="shared" si="5"/>
        <v>7691395</v>
      </c>
      <c r="I55" s="3123">
        <f t="shared" si="5"/>
        <v>534145.52471000003</v>
      </c>
      <c r="J55" s="3123">
        <f t="shared" si="5"/>
        <v>84915.720000000016</v>
      </c>
      <c r="K55" s="3123">
        <f t="shared" si="5"/>
        <v>675939</v>
      </c>
      <c r="L55" s="3123">
        <f t="shared" si="5"/>
        <v>3572751</v>
      </c>
      <c r="M55" s="3123">
        <f t="shared" si="5"/>
        <v>0</v>
      </c>
      <c r="N55" s="3123">
        <f t="shared" si="5"/>
        <v>200142</v>
      </c>
      <c r="O55" s="3123">
        <f t="shared" si="5"/>
        <v>0</v>
      </c>
      <c r="P55" s="3123">
        <f t="shared" si="5"/>
        <v>0</v>
      </c>
      <c r="Q55" s="3123">
        <f t="shared" si="5"/>
        <v>6592539.7770165</v>
      </c>
      <c r="R55" s="3123">
        <f t="shared" si="5"/>
        <v>155225</v>
      </c>
      <c r="S55" s="3123">
        <f t="shared" si="5"/>
        <v>2203397.2921700003</v>
      </c>
      <c r="T55" s="3123">
        <f t="shared" si="5"/>
        <v>0</v>
      </c>
      <c r="U55" s="3123">
        <f t="shared" si="5"/>
        <v>0</v>
      </c>
      <c r="V55" s="3123">
        <f t="shared" si="5"/>
        <v>24573284.313896503</v>
      </c>
      <c r="W55" s="375" t="e">
        <f>+#REF!</f>
        <v>#REF!</v>
      </c>
      <c r="X55" s="58" t="e">
        <f>+V55-W55</f>
        <v>#REF!</v>
      </c>
    </row>
    <row r="58" spans="1:24">
      <c r="A58" s="3111" t="s">
        <v>714</v>
      </c>
      <c r="B58" s="3381"/>
      <c r="C58" s="3381"/>
      <c r="D58" s="3381"/>
      <c r="E58" s="3381"/>
      <c r="F58" s="3124"/>
    </row>
    <row r="59" spans="1:24">
      <c r="A59" s="3848" t="s">
        <v>709</v>
      </c>
      <c r="B59" s="373">
        <v>1</v>
      </c>
      <c r="C59" s="373">
        <v>2</v>
      </c>
      <c r="D59" s="373">
        <v>3</v>
      </c>
      <c r="E59" s="373">
        <v>4</v>
      </c>
      <c r="F59" s="373">
        <v>5</v>
      </c>
      <c r="G59" s="373">
        <v>6</v>
      </c>
      <c r="H59" s="373">
        <v>7</v>
      </c>
      <c r="I59" s="373">
        <v>8</v>
      </c>
      <c r="J59" s="373">
        <v>9</v>
      </c>
      <c r="K59" s="373">
        <v>10</v>
      </c>
      <c r="L59" s="373">
        <v>11</v>
      </c>
      <c r="M59" s="373">
        <v>12</v>
      </c>
      <c r="N59" s="373">
        <v>13</v>
      </c>
      <c r="O59" s="373">
        <v>14</v>
      </c>
      <c r="P59" s="373">
        <v>15</v>
      </c>
      <c r="Q59" s="373">
        <v>16</v>
      </c>
      <c r="R59" s="373">
        <v>17</v>
      </c>
      <c r="S59" s="373">
        <v>18</v>
      </c>
      <c r="T59" s="373">
        <v>19</v>
      </c>
      <c r="U59" s="373">
        <v>20</v>
      </c>
      <c r="V59" s="374"/>
    </row>
    <row r="60" spans="1:24">
      <c r="A60" s="3848"/>
      <c r="B60" s="3113" t="s">
        <v>175</v>
      </c>
      <c r="C60" s="3113" t="s">
        <v>177</v>
      </c>
      <c r="D60" s="3113" t="s">
        <v>179</v>
      </c>
      <c r="E60" s="3113" t="s">
        <v>180</v>
      </c>
      <c r="F60" s="3113" t="s">
        <v>181</v>
      </c>
      <c r="G60" s="3113" t="s">
        <v>182</v>
      </c>
      <c r="H60" s="3114" t="s">
        <v>183</v>
      </c>
      <c r="I60" s="3113" t="s">
        <v>184</v>
      </c>
      <c r="J60" s="3125" t="s">
        <v>185</v>
      </c>
      <c r="K60" s="3113" t="s">
        <v>186</v>
      </c>
      <c r="L60" s="3113" t="s">
        <v>187</v>
      </c>
      <c r="M60" s="3113" t="s">
        <v>189</v>
      </c>
      <c r="N60" s="3113" t="s">
        <v>190</v>
      </c>
      <c r="O60" s="3113" t="s">
        <v>681</v>
      </c>
      <c r="P60" s="3113" t="s">
        <v>192</v>
      </c>
      <c r="Q60" s="3113" t="s">
        <v>115</v>
      </c>
      <c r="R60" s="3113" t="s">
        <v>194</v>
      </c>
      <c r="S60" s="3113" t="s">
        <v>195</v>
      </c>
      <c r="T60" s="3113" t="s">
        <v>191</v>
      </c>
      <c r="U60" s="3113" t="s">
        <v>110</v>
      </c>
      <c r="V60" s="3116" t="s">
        <v>118</v>
      </c>
    </row>
    <row r="61" spans="1:24">
      <c r="A61" s="2887" t="s">
        <v>412</v>
      </c>
      <c r="B61" s="3117">
        <v>15244</v>
      </c>
      <c r="C61" s="3117">
        <v>36636</v>
      </c>
      <c r="D61" s="3117">
        <v>104034</v>
      </c>
      <c r="E61" s="3117">
        <v>25230.1</v>
      </c>
      <c r="F61" s="3117">
        <v>8168</v>
      </c>
      <c r="G61" s="3117"/>
      <c r="H61" s="3118">
        <v>266403</v>
      </c>
      <c r="I61" s="3117">
        <v>18414.564799999993</v>
      </c>
      <c r="J61" s="3126">
        <v>512</v>
      </c>
      <c r="K61" s="3117">
        <v>17764</v>
      </c>
      <c r="L61" s="3117">
        <v>59149</v>
      </c>
      <c r="M61" s="3117"/>
      <c r="N61" s="3117">
        <v>16852.511971785523</v>
      </c>
      <c r="O61" s="3117"/>
      <c r="P61" s="3117"/>
      <c r="Q61" s="3117">
        <v>438753.46662999998</v>
      </c>
      <c r="R61" s="3117">
        <v>548</v>
      </c>
      <c r="S61" s="3117">
        <v>61012</v>
      </c>
      <c r="T61" s="3117"/>
      <c r="U61" s="3117"/>
      <c r="V61" s="3117">
        <f>SUM(B61:U61)</f>
        <v>1068720.6434017855</v>
      </c>
      <c r="W61" s="58"/>
      <c r="X61" s="58"/>
    </row>
    <row r="62" spans="1:24">
      <c r="A62" s="2887" t="s">
        <v>413</v>
      </c>
      <c r="B62" s="3117">
        <v>14121</v>
      </c>
      <c r="C62" s="3117">
        <v>7828</v>
      </c>
      <c r="D62" s="3117">
        <v>36397</v>
      </c>
      <c r="E62" s="3117">
        <v>31383</v>
      </c>
      <c r="F62" s="3117">
        <v>40200</v>
      </c>
      <c r="G62" s="3117"/>
      <c r="H62" s="3117">
        <v>237355</v>
      </c>
      <c r="I62" s="3117">
        <v>5564.9803199999997</v>
      </c>
      <c r="J62" s="3126">
        <v>35</v>
      </c>
      <c r="K62" s="3117">
        <v>2517</v>
      </c>
      <c r="L62" s="3117">
        <v>60093</v>
      </c>
      <c r="M62" s="3117"/>
      <c r="N62" s="3117">
        <v>17187.29102294465</v>
      </c>
      <c r="O62" s="3117"/>
      <c r="P62" s="3117"/>
      <c r="Q62" s="3117">
        <v>146511.31724</v>
      </c>
      <c r="R62" s="3117">
        <v>0</v>
      </c>
      <c r="S62" s="3117">
        <v>93583</v>
      </c>
      <c r="T62" s="3117"/>
      <c r="U62" s="3117"/>
      <c r="V62" s="3117">
        <f>SUM(B62:U62)</f>
        <v>692775.58858294459</v>
      </c>
      <c r="W62" s="58"/>
      <c r="X62" s="58"/>
    </row>
    <row r="63" spans="1:24">
      <c r="A63" s="2887" t="s">
        <v>414</v>
      </c>
      <c r="B63" s="3120">
        <v>161626</v>
      </c>
      <c r="C63" s="3120">
        <v>36989</v>
      </c>
      <c r="D63" s="3121">
        <v>706275</v>
      </c>
      <c r="E63" s="3120">
        <v>314517.40000000002</v>
      </c>
      <c r="F63" s="3120">
        <v>94667</v>
      </c>
      <c r="G63" s="3117"/>
      <c r="H63" s="3117">
        <v>5617686</v>
      </c>
      <c r="I63" s="3117">
        <v>276945.14418</v>
      </c>
      <c r="J63" s="3126">
        <v>56097</v>
      </c>
      <c r="K63" s="3117">
        <v>505150</v>
      </c>
      <c r="L63" s="3117">
        <v>2715434</v>
      </c>
      <c r="M63" s="3117"/>
      <c r="N63" s="3117">
        <v>99494.269287876683</v>
      </c>
      <c r="O63" s="3117"/>
      <c r="P63" s="3117"/>
      <c r="Q63" s="3117">
        <v>4588131.2424700009</v>
      </c>
      <c r="R63" s="3117">
        <v>79080</v>
      </c>
      <c r="S63" s="3117">
        <v>1344582</v>
      </c>
      <c r="T63" s="3117"/>
      <c r="U63" s="3117"/>
      <c r="V63" s="3117">
        <f>SUM(B63:U63)</f>
        <v>16596674.055937879</v>
      </c>
      <c r="W63" s="58"/>
      <c r="X63" s="58"/>
    </row>
    <row r="64" spans="1:24">
      <c r="A64" s="2887" t="s">
        <v>701</v>
      </c>
      <c r="B64" s="3120">
        <v>0</v>
      </c>
      <c r="C64" s="3120">
        <v>0</v>
      </c>
      <c r="D64" s="3121">
        <v>6184.6497261946979</v>
      </c>
      <c r="E64" s="3120">
        <v>3116</v>
      </c>
      <c r="F64" s="3120">
        <v>5352</v>
      </c>
      <c r="G64" s="3117"/>
      <c r="H64" s="3117">
        <v>97916</v>
      </c>
      <c r="I64" s="3117">
        <v>0</v>
      </c>
      <c r="J64" s="3126">
        <v>0</v>
      </c>
      <c r="K64" s="3117">
        <v>1648</v>
      </c>
      <c r="L64" s="3117">
        <v>0</v>
      </c>
      <c r="M64" s="3117"/>
      <c r="N64" s="3117">
        <v>0</v>
      </c>
      <c r="O64" s="3117"/>
      <c r="P64" s="3117"/>
      <c r="Q64" s="3117">
        <v>341416.30569000001</v>
      </c>
      <c r="R64" s="3117">
        <v>0</v>
      </c>
      <c r="S64" s="3117">
        <v>26083</v>
      </c>
      <c r="T64" s="3117"/>
      <c r="U64" s="3117"/>
      <c r="V64" s="3117">
        <f>SUM(B64:U64)</f>
        <v>481715.95541619469</v>
      </c>
      <c r="W64" s="58"/>
      <c r="X64" s="58"/>
    </row>
    <row r="65" spans="1:24">
      <c r="A65" s="2887" t="s">
        <v>416</v>
      </c>
      <c r="B65" s="3120">
        <v>52623</v>
      </c>
      <c r="C65" s="3120">
        <v>33783</v>
      </c>
      <c r="D65" s="3121">
        <v>280423.35027380532</v>
      </c>
      <c r="E65" s="3120">
        <v>185317</v>
      </c>
      <c r="F65" s="3120">
        <v>213757</v>
      </c>
      <c r="G65" s="3117"/>
      <c r="H65" s="3117">
        <v>2225836</v>
      </c>
      <c r="I65" s="3117">
        <v>85570.234909999999</v>
      </c>
      <c r="J65" s="3126">
        <v>14286</v>
      </c>
      <c r="K65" s="3117">
        <v>14384</v>
      </c>
      <c r="L65" s="3117">
        <v>333303</v>
      </c>
      <c r="M65" s="3117"/>
      <c r="N65" s="3117">
        <v>83494.927717393148</v>
      </c>
      <c r="O65" s="3117"/>
      <c r="P65" s="3117"/>
      <c r="Q65" s="3117">
        <v>963287.96403999976</v>
      </c>
      <c r="R65" s="3117">
        <v>77267</v>
      </c>
      <c r="S65" s="3117">
        <v>441157</v>
      </c>
      <c r="T65" s="3117"/>
      <c r="U65" s="3117"/>
      <c r="V65" s="3117">
        <f>SUM(B65:U65)</f>
        <v>5004489.4769411981</v>
      </c>
      <c r="W65" s="58"/>
      <c r="X65" s="58"/>
    </row>
    <row r="66" spans="1:24">
      <c r="A66" s="3122" t="s">
        <v>118</v>
      </c>
      <c r="B66" s="3123">
        <f>SUM(B61:B65)</f>
        <v>243614</v>
      </c>
      <c r="C66" s="3123">
        <f t="shared" ref="C66:V66" si="6">SUM(C61:C65)</f>
        <v>115236</v>
      </c>
      <c r="D66" s="3123">
        <f>SUM(D61:D65)</f>
        <v>1133314</v>
      </c>
      <c r="E66" s="3123">
        <f t="shared" si="6"/>
        <v>559563.5</v>
      </c>
      <c r="F66" s="3123">
        <f t="shared" si="6"/>
        <v>362144</v>
      </c>
      <c r="G66" s="3123">
        <f t="shared" si="6"/>
        <v>0</v>
      </c>
      <c r="H66" s="3123">
        <f t="shared" si="6"/>
        <v>8445196</v>
      </c>
      <c r="I66" s="3123">
        <f t="shared" si="6"/>
        <v>386494.92420999997</v>
      </c>
      <c r="J66" s="3127">
        <f t="shared" si="6"/>
        <v>70930</v>
      </c>
      <c r="K66" s="3123">
        <f t="shared" si="6"/>
        <v>541463</v>
      </c>
      <c r="L66" s="3123">
        <f t="shared" si="6"/>
        <v>3167979</v>
      </c>
      <c r="M66" s="3123">
        <f t="shared" si="6"/>
        <v>0</v>
      </c>
      <c r="N66" s="3123">
        <f t="shared" si="6"/>
        <v>217029</v>
      </c>
      <c r="O66" s="3123">
        <f t="shared" si="6"/>
        <v>0</v>
      </c>
      <c r="P66" s="3123">
        <f t="shared" si="6"/>
        <v>0</v>
      </c>
      <c r="Q66" s="3123">
        <f t="shared" si="6"/>
        <v>6478100.2960700002</v>
      </c>
      <c r="R66" s="3123">
        <f t="shared" si="6"/>
        <v>156895</v>
      </c>
      <c r="S66" s="3123">
        <f t="shared" si="6"/>
        <v>1966417</v>
      </c>
      <c r="T66" s="3123">
        <f t="shared" si="6"/>
        <v>0</v>
      </c>
      <c r="U66" s="3123">
        <f t="shared" si="6"/>
        <v>0</v>
      </c>
      <c r="V66" s="3123">
        <f t="shared" si="6"/>
        <v>23844375.720280003</v>
      </c>
      <c r="W66" s="375" t="e">
        <f>+#REF!</f>
        <v>#REF!</v>
      </c>
      <c r="X66" s="58" t="e">
        <f>+V66-W66</f>
        <v>#REF!</v>
      </c>
    </row>
    <row r="69" spans="1:24">
      <c r="A69" s="3111" t="s">
        <v>715</v>
      </c>
      <c r="B69" s="3381"/>
      <c r="C69" s="3381"/>
      <c r="D69" s="3381"/>
      <c r="E69" s="3381"/>
      <c r="F69" s="3124"/>
    </row>
    <row r="70" spans="1:24">
      <c r="A70" s="3848" t="s">
        <v>709</v>
      </c>
      <c r="B70" s="373">
        <v>1</v>
      </c>
      <c r="C70" s="373">
        <v>2</v>
      </c>
      <c r="D70" s="373">
        <v>3</v>
      </c>
      <c r="E70" s="373">
        <v>4</v>
      </c>
      <c r="F70" s="373">
        <v>5</v>
      </c>
      <c r="G70" s="373">
        <v>6</v>
      </c>
      <c r="H70" s="373">
        <v>7</v>
      </c>
      <c r="I70" s="373">
        <v>8</v>
      </c>
      <c r="J70" s="373">
        <v>9</v>
      </c>
      <c r="K70" s="373">
        <v>10</v>
      </c>
      <c r="L70" s="373">
        <v>11</v>
      </c>
      <c r="M70" s="373">
        <v>12</v>
      </c>
      <c r="N70" s="373">
        <v>13</v>
      </c>
      <c r="O70" s="373">
        <v>14</v>
      </c>
      <c r="P70" s="373">
        <v>15</v>
      </c>
      <c r="Q70" s="373">
        <v>16</v>
      </c>
      <c r="R70" s="373">
        <v>17</v>
      </c>
      <c r="S70" s="373">
        <v>18</v>
      </c>
      <c r="T70" s="373">
        <v>19</v>
      </c>
      <c r="U70" s="373">
        <v>20</v>
      </c>
      <c r="V70" s="374"/>
    </row>
    <row r="71" spans="1:24">
      <c r="A71" s="3848"/>
      <c r="B71" s="3113" t="s">
        <v>175</v>
      </c>
      <c r="C71" s="3113" t="s">
        <v>177</v>
      </c>
      <c r="D71" s="3113" t="s">
        <v>179</v>
      </c>
      <c r="E71" s="3113" t="s">
        <v>180</v>
      </c>
      <c r="F71" s="3113" t="s">
        <v>181</v>
      </c>
      <c r="G71" s="3113" t="s">
        <v>182</v>
      </c>
      <c r="H71" s="3114" t="s">
        <v>183</v>
      </c>
      <c r="I71" s="3113" t="s">
        <v>184</v>
      </c>
      <c r="J71" s="3125" t="s">
        <v>185</v>
      </c>
      <c r="K71" s="3113" t="s">
        <v>186</v>
      </c>
      <c r="L71" s="3113" t="s">
        <v>187</v>
      </c>
      <c r="M71" s="3113" t="s">
        <v>189</v>
      </c>
      <c r="N71" s="3113" t="s">
        <v>190</v>
      </c>
      <c r="O71" s="3113" t="s">
        <v>681</v>
      </c>
      <c r="P71" s="3113" t="s">
        <v>192</v>
      </c>
      <c r="Q71" s="3113" t="s">
        <v>115</v>
      </c>
      <c r="R71" s="3113" t="s">
        <v>194</v>
      </c>
      <c r="S71" s="3113" t="s">
        <v>195</v>
      </c>
      <c r="T71" s="3113" t="s">
        <v>191</v>
      </c>
      <c r="U71" s="3113" t="s">
        <v>110</v>
      </c>
      <c r="V71" s="3116" t="s">
        <v>118</v>
      </c>
    </row>
    <row r="72" spans="1:24">
      <c r="A72" s="2887" t="s">
        <v>412</v>
      </c>
      <c r="B72" s="3117">
        <v>15988</v>
      </c>
      <c r="C72" s="3117">
        <v>11178</v>
      </c>
      <c r="D72" s="3117">
        <v>66265</v>
      </c>
      <c r="E72" s="3117">
        <v>17761.400000000001</v>
      </c>
      <c r="F72" s="3117">
        <v>67080</v>
      </c>
      <c r="G72" s="3117"/>
      <c r="H72" s="3118">
        <v>230687.18722584992</v>
      </c>
      <c r="I72" s="3117">
        <v>14872.558330000002</v>
      </c>
      <c r="J72" s="3126">
        <v>31</v>
      </c>
      <c r="K72" s="3117">
        <v>13492</v>
      </c>
      <c r="L72" s="3117">
        <v>68155</v>
      </c>
      <c r="M72" s="3117"/>
      <c r="N72" s="3117">
        <v>14442.310492152768</v>
      </c>
      <c r="O72" s="3117"/>
      <c r="P72" s="3117"/>
      <c r="Q72" s="3117">
        <v>446842.85505999968</v>
      </c>
      <c r="R72" s="3128">
        <v>3788</v>
      </c>
      <c r="S72" s="3117">
        <v>65078</v>
      </c>
      <c r="T72" s="3117"/>
      <c r="U72" s="3117"/>
      <c r="V72" s="3117">
        <f>SUM(B72:U72)</f>
        <v>1035661.3111080024</v>
      </c>
      <c r="W72" s="58"/>
      <c r="X72" s="58"/>
    </row>
    <row r="73" spans="1:24">
      <c r="A73" s="2887" t="s">
        <v>413</v>
      </c>
      <c r="B73" s="3117">
        <v>18159</v>
      </c>
      <c r="C73" s="3117">
        <v>3603</v>
      </c>
      <c r="D73" s="3117">
        <v>30738</v>
      </c>
      <c r="E73" s="3117">
        <v>22795</v>
      </c>
      <c r="F73" s="3117">
        <v>52254</v>
      </c>
      <c r="G73" s="3117"/>
      <c r="H73" s="3117">
        <v>196443.63270492404</v>
      </c>
      <c r="I73" s="3117">
        <v>2857.4866200000001</v>
      </c>
      <c r="J73" s="3126">
        <v>50</v>
      </c>
      <c r="K73" s="3117">
        <v>2443</v>
      </c>
      <c r="L73" s="3117">
        <v>66942</v>
      </c>
      <c r="M73" s="3117"/>
      <c r="N73" s="3117">
        <v>9149.4443240807341</v>
      </c>
      <c r="O73" s="3117"/>
      <c r="P73" s="3117"/>
      <c r="Q73" s="3117">
        <v>48826.194859999945</v>
      </c>
      <c r="R73" s="3128"/>
      <c r="S73" s="3117">
        <v>90331</v>
      </c>
      <c r="T73" s="3117"/>
      <c r="U73" s="3117"/>
      <c r="V73" s="3117">
        <f>SUM(B73:U73)</f>
        <v>544591.75850900472</v>
      </c>
      <c r="W73" s="58"/>
      <c r="X73" s="58"/>
    </row>
    <row r="74" spans="1:24">
      <c r="A74" s="2887" t="s">
        <v>414</v>
      </c>
      <c r="B74" s="3120">
        <v>128034</v>
      </c>
      <c r="C74" s="3120">
        <v>18279</v>
      </c>
      <c r="D74" s="3121">
        <v>502808</v>
      </c>
      <c r="E74" s="3120">
        <v>255776.5</v>
      </c>
      <c r="F74" s="3120">
        <v>45337</v>
      </c>
      <c r="G74" s="3117"/>
      <c r="H74" s="3117">
        <v>5332662.0767864073</v>
      </c>
      <c r="I74" s="3117">
        <v>133802.97913999998</v>
      </c>
      <c r="J74" s="3126">
        <v>14023</v>
      </c>
      <c r="K74" s="3117">
        <v>440430</v>
      </c>
      <c r="L74" s="3117">
        <v>2354098</v>
      </c>
      <c r="M74" s="3117"/>
      <c r="N74" s="3117">
        <v>48781.9290499259</v>
      </c>
      <c r="O74" s="3117"/>
      <c r="P74" s="3117"/>
      <c r="Q74" s="3117">
        <v>3752908.851929999</v>
      </c>
      <c r="R74" s="3128">
        <v>49247</v>
      </c>
      <c r="S74" s="3117">
        <v>1074681</v>
      </c>
      <c r="T74" s="3117"/>
      <c r="U74" s="3117"/>
      <c r="V74" s="3117">
        <f>SUM(B74:U74)</f>
        <v>14150869.336906333</v>
      </c>
      <c r="W74" s="58"/>
      <c r="X74" s="58"/>
    </row>
    <row r="75" spans="1:24">
      <c r="A75" s="2887" t="s">
        <v>701</v>
      </c>
      <c r="B75" s="3120">
        <v>0</v>
      </c>
      <c r="C75" s="3120">
        <v>0</v>
      </c>
      <c r="D75" s="3121">
        <v>7990.8405939620416</v>
      </c>
      <c r="E75" s="3120">
        <v>-116</v>
      </c>
      <c r="F75" s="3120">
        <v>2298</v>
      </c>
      <c r="G75" s="3117"/>
      <c r="H75" s="3117">
        <v>94996.697179710303</v>
      </c>
      <c r="I75" s="3117">
        <v>0</v>
      </c>
      <c r="J75" s="3126">
        <v>0</v>
      </c>
      <c r="K75" s="3117">
        <v>3150</v>
      </c>
      <c r="L75" s="3117">
        <v>0</v>
      </c>
      <c r="M75" s="3117"/>
      <c r="N75" s="3117">
        <v>0</v>
      </c>
      <c r="O75" s="3117"/>
      <c r="P75" s="3117"/>
      <c r="Q75" s="3117">
        <v>189354.35681999999</v>
      </c>
      <c r="R75" s="3128"/>
      <c r="S75" s="3117">
        <v>28813</v>
      </c>
      <c r="T75" s="3117"/>
      <c r="U75" s="3117"/>
      <c r="V75" s="3117">
        <f>SUM(B75:U75)</f>
        <v>326486.89459367236</v>
      </c>
      <c r="W75" s="58"/>
      <c r="X75" s="58"/>
    </row>
    <row r="76" spans="1:24">
      <c r="A76" s="2887" t="s">
        <v>416</v>
      </c>
      <c r="B76" s="3120">
        <v>44908</v>
      </c>
      <c r="C76" s="3120">
        <v>19711</v>
      </c>
      <c r="D76" s="3121">
        <v>205532.15940603797</v>
      </c>
      <c r="E76" s="3120">
        <v>97914</v>
      </c>
      <c r="F76" s="3120">
        <v>121752</v>
      </c>
      <c r="G76" s="3117"/>
      <c r="H76" s="3117">
        <v>1915808.7724936199</v>
      </c>
      <c r="I76" s="3117">
        <v>60975.116720000005</v>
      </c>
      <c r="J76" s="3126">
        <v>187</v>
      </c>
      <c r="K76" s="3117">
        <v>9080</v>
      </c>
      <c r="L76" s="3117">
        <v>450355</v>
      </c>
      <c r="M76" s="3117"/>
      <c r="N76" s="3117">
        <v>35456.316133840592</v>
      </c>
      <c r="O76" s="3117"/>
      <c r="P76" s="3117"/>
      <c r="Q76" s="3117">
        <v>824654.07839000016</v>
      </c>
      <c r="R76" s="3128">
        <v>73240</v>
      </c>
      <c r="S76" s="3117">
        <v>349852</v>
      </c>
      <c r="T76" s="3117"/>
      <c r="U76" s="3117"/>
      <c r="V76" s="3117">
        <f>SUM(B76:U76)</f>
        <v>4209425.4431434982</v>
      </c>
      <c r="W76" s="58"/>
      <c r="X76" s="58"/>
    </row>
    <row r="77" spans="1:24">
      <c r="A77" s="3122" t="s">
        <v>118</v>
      </c>
      <c r="B77" s="3123">
        <f>SUM(B72:B76)</f>
        <v>207089</v>
      </c>
      <c r="C77" s="3123">
        <f t="shared" ref="C77:V77" si="7">SUM(C72:C76)</f>
        <v>52771</v>
      </c>
      <c r="D77" s="3123">
        <f>SUM(D72:D76)</f>
        <v>813334</v>
      </c>
      <c r="E77" s="3123">
        <f t="shared" si="7"/>
        <v>394130.9</v>
      </c>
      <c r="F77" s="3123">
        <f t="shared" si="7"/>
        <v>288721</v>
      </c>
      <c r="G77" s="3123">
        <f t="shared" si="7"/>
        <v>0</v>
      </c>
      <c r="H77" s="3123">
        <f>SUM(H72:H76)</f>
        <v>7770598.3663905114</v>
      </c>
      <c r="I77" s="3123">
        <f t="shared" si="7"/>
        <v>212508.14081000001</v>
      </c>
      <c r="J77" s="3127">
        <f>SUM(J72:J76)</f>
        <v>14291</v>
      </c>
      <c r="K77" s="3123">
        <f t="shared" si="7"/>
        <v>468595</v>
      </c>
      <c r="L77" s="3123">
        <f t="shared" si="7"/>
        <v>2939550</v>
      </c>
      <c r="M77" s="3123">
        <f t="shared" si="7"/>
        <v>0</v>
      </c>
      <c r="N77" s="3123">
        <f t="shared" si="7"/>
        <v>107830</v>
      </c>
      <c r="O77" s="3123">
        <f t="shared" si="7"/>
        <v>0</v>
      </c>
      <c r="P77" s="3123">
        <f t="shared" si="7"/>
        <v>0</v>
      </c>
      <c r="Q77" s="3123">
        <f t="shared" si="7"/>
        <v>5262586.3370599989</v>
      </c>
      <c r="R77" s="3129">
        <f t="shared" si="7"/>
        <v>126275</v>
      </c>
      <c r="S77" s="3123">
        <f t="shared" si="7"/>
        <v>1608755</v>
      </c>
      <c r="T77" s="3123">
        <f t="shared" si="7"/>
        <v>0</v>
      </c>
      <c r="U77" s="3123">
        <f t="shared" si="7"/>
        <v>0</v>
      </c>
      <c r="V77" s="3123">
        <f t="shared" si="7"/>
        <v>20267034.744260512</v>
      </c>
      <c r="W77" s="375" t="e">
        <f>+#REF!</f>
        <v>#REF!</v>
      </c>
      <c r="X77" s="58" t="e">
        <f>+V77-W77</f>
        <v>#REF!</v>
      </c>
    </row>
    <row r="80" spans="1:24">
      <c r="J80" s="347"/>
    </row>
    <row r="81" spans="10:10">
      <c r="J81" s="347"/>
    </row>
    <row r="82" spans="10:10">
      <c r="J82" s="347"/>
    </row>
    <row r="83" spans="10:10">
      <c r="J83" s="347"/>
    </row>
    <row r="84" spans="10:10">
      <c r="J84" s="347"/>
    </row>
  </sheetData>
  <customSheetViews>
    <customSheetView guid="{5E394B0B-7867-4722-9497-A93AB2A9A773}" showPageBreaks="1" printArea="1" state="hidden">
      <pane xSplit="1" ySplit="5" topLeftCell="B39" activePane="bottomRight" state="frozen"/>
      <selection pane="bottomRight" activeCell="H57" sqref="H57"/>
      <colBreaks count="1" manualBreakCount="1">
        <brk id="22" max="1048575" man="1"/>
      </colBreaks>
      <pageMargins left="0" right="0" top="0" bottom="0" header="0" footer="0"/>
      <pageSetup scale="43" orientation="landscape" r:id="rId1"/>
    </customSheetView>
    <customSheetView guid="{B1E1B596-A9A1-411D-A882-A48CB025B978}" showPageBreaks="1" printArea="1" state="hidden">
      <pane xSplit="1" ySplit="5" topLeftCell="B39" activePane="bottomRight" state="frozen"/>
      <selection pane="bottomRight" activeCell="H57" sqref="H57"/>
      <colBreaks count="1" manualBreakCount="1">
        <brk id="22" max="1048575" man="1"/>
      </colBreaks>
      <pageMargins left="0" right="0" top="0" bottom="0" header="0" footer="0"/>
      <pageSetup scale="43" orientation="landscape" r:id="rId2"/>
    </customSheetView>
    <customSheetView guid="{46F31544-8E6F-41C5-8628-1D6EE074AF15}" state="hidden">
      <pane xSplit="1" ySplit="5" topLeftCell="B39" activePane="bottomRight" state="frozen"/>
      <selection pane="bottomRight" activeCell="H57" sqref="H57"/>
      <colBreaks count="1" manualBreakCount="1">
        <brk id="22" max="1048575" man="1"/>
      </colBreaks>
      <pageMargins left="0" right="0" top="0" bottom="0" header="0" footer="0"/>
      <pageSetup scale="43" orientation="landscape" r:id="rId3"/>
    </customSheetView>
    <customSheetView guid="{B2E1A0C6-5BA1-4CF1-B412-16D81FCDF11F}" showPageBreaks="1" printArea="1" state="hidden">
      <pane xSplit="1" ySplit="5" topLeftCell="B39" activePane="bottomRight" state="frozen"/>
      <selection pane="bottomRight" activeCell="H57" sqref="H57"/>
      <colBreaks count="1" manualBreakCount="1">
        <brk id="22" max="1048575" man="1"/>
      </colBreaks>
      <pageMargins left="0" right="0" top="0" bottom="0" header="0" footer="0"/>
      <pageSetup scale="43" orientation="landscape" r:id="rId4"/>
    </customSheetView>
    <customSheetView guid="{967E0446-E234-427F-8E57-7FE287052E2E}" showPageBreaks="1" printArea="1" state="hidden">
      <pane xSplit="1" ySplit="5" topLeftCell="B39" activePane="bottomRight" state="frozen"/>
      <selection pane="bottomRight" activeCell="H57" sqref="H57"/>
      <colBreaks count="1" manualBreakCount="1">
        <brk id="22" max="1048575" man="1"/>
      </colBreaks>
      <pageMargins left="0" right="0" top="0" bottom="0" header="0" footer="0"/>
      <pageSetup scale="43" orientation="landscape" r:id="rId5"/>
    </customSheetView>
    <customSheetView guid="{2ACFE167-4169-43A6-9AB2-59D5A2DA2DB4}" showPageBreaks="1" printArea="1" state="hidden">
      <pane xSplit="1" ySplit="5" topLeftCell="B39" activePane="bottomRight" state="frozen"/>
      <selection pane="bottomRight" activeCell="H57" sqref="H57"/>
      <colBreaks count="1" manualBreakCount="1">
        <brk id="22" max="1048575" man="1"/>
      </colBreaks>
      <pageMargins left="0" right="0" top="0" bottom="0" header="0" footer="0"/>
      <pageSetup scale="43" orientation="landscape" r:id="rId6"/>
    </customSheetView>
  </customSheetViews>
  <mergeCells count="7">
    <mergeCell ref="A70:A71"/>
    <mergeCell ref="A4:A5"/>
    <mergeCell ref="A15:A16"/>
    <mergeCell ref="A26:A27"/>
    <mergeCell ref="A37:A38"/>
    <mergeCell ref="A48:A49"/>
    <mergeCell ref="A59:A60"/>
  </mergeCells>
  <pageMargins left="0.7" right="0.7" top="0.75" bottom="0.75" header="0.3" footer="0.3"/>
  <pageSetup scale="43" orientation="landscape" r:id="rId7"/>
  <colBreaks count="1" manualBreakCount="1">
    <brk id="22"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tabColor rgb="FF00B050"/>
  </sheetPr>
  <dimension ref="B1:R61"/>
  <sheetViews>
    <sheetView topLeftCell="A4" workbookViewId="0">
      <selection activeCell="H11" sqref="H11"/>
    </sheetView>
  </sheetViews>
  <sheetFormatPr defaultColWidth="9.140625" defaultRowHeight="14.25"/>
  <cols>
    <col min="1" max="1" width="3.42578125" style="28" customWidth="1"/>
    <col min="2" max="2" width="19.85546875" style="28" customWidth="1"/>
    <col min="3" max="3" width="15.42578125" style="28" hidden="1" customWidth="1"/>
    <col min="4" max="4" width="14.7109375" style="28" customWidth="1"/>
    <col min="5" max="5" width="14.42578125" style="28" customWidth="1"/>
    <col min="6" max="8" width="14.7109375" style="28" customWidth="1"/>
    <col min="9" max="16384" width="9.140625" style="28"/>
  </cols>
  <sheetData>
    <row r="1" spans="2:8">
      <c r="B1" s="217"/>
      <c r="C1" s="217"/>
    </row>
    <row r="2" spans="2:8">
      <c r="B2" s="205"/>
      <c r="C2" s="205"/>
      <c r="D2" s="1"/>
      <c r="E2" s="1"/>
      <c r="F2" s="1"/>
      <c r="G2" s="1"/>
      <c r="H2" s="1"/>
    </row>
    <row r="3" spans="2:8" ht="22.5" customHeight="1">
      <c r="B3" s="295" t="s">
        <v>716</v>
      </c>
      <c r="C3" s="295"/>
      <c r="D3" s="1"/>
      <c r="E3" s="1"/>
      <c r="F3" s="1"/>
      <c r="G3" s="1"/>
      <c r="H3" s="1"/>
    </row>
    <row r="4" spans="2:8">
      <c r="B4" s="3473"/>
      <c r="C4" s="3473"/>
      <c r="D4" s="3473"/>
      <c r="E4" s="3473"/>
      <c r="F4" s="3473"/>
      <c r="G4" s="214"/>
      <c r="H4" s="214"/>
    </row>
    <row r="5" spans="2:8" ht="23.25" customHeight="1">
      <c r="B5" s="3850" t="s">
        <v>506</v>
      </c>
      <c r="C5" s="3382"/>
      <c r="D5" s="3851"/>
      <c r="E5" s="3851"/>
      <c r="F5" s="3851"/>
      <c r="G5" s="3852"/>
      <c r="H5" s="3130"/>
    </row>
    <row r="6" spans="2:8" ht="21.75" customHeight="1">
      <c r="B6" s="3850"/>
      <c r="C6" s="216">
        <v>2008</v>
      </c>
      <c r="D6" s="216">
        <v>2009</v>
      </c>
      <c r="E6" s="216">
        <v>2010</v>
      </c>
      <c r="F6" s="216">
        <v>2011</v>
      </c>
      <c r="G6" s="3130" t="s">
        <v>206</v>
      </c>
      <c r="H6" s="3130" t="s">
        <v>207</v>
      </c>
    </row>
    <row r="7" spans="2:8" ht="20.100000000000001" customHeight="1">
      <c r="B7" s="3131" t="s">
        <v>412</v>
      </c>
      <c r="C7" s="3132">
        <v>6826563</v>
      </c>
      <c r="D7" s="3133">
        <v>7049399.2442600001</v>
      </c>
      <c r="E7" s="3134">
        <v>5012443.2580499994</v>
      </c>
      <c r="F7" s="3134">
        <v>5376093.8802377321</v>
      </c>
      <c r="G7" s="3134">
        <v>5421687.973005834</v>
      </c>
      <c r="H7" s="3134">
        <v>5421687.973005834</v>
      </c>
    </row>
    <row r="8" spans="2:8" ht="20.100000000000001" customHeight="1">
      <c r="B8" s="3131" t="s">
        <v>413</v>
      </c>
      <c r="C8" s="3132">
        <v>1826549</v>
      </c>
      <c r="D8" s="3133">
        <v>1442728.8245599996</v>
      </c>
      <c r="E8" s="3134">
        <v>1498831.91619</v>
      </c>
      <c r="F8" s="3134">
        <v>1678026.6338499999</v>
      </c>
      <c r="G8" s="3134">
        <v>1912657.304248</v>
      </c>
      <c r="H8" s="3134">
        <v>1912657.304248</v>
      </c>
    </row>
    <row r="9" spans="2:8" ht="20.100000000000001" customHeight="1">
      <c r="B9" s="3131" t="s">
        <v>414</v>
      </c>
      <c r="C9" s="3132">
        <v>18717735</v>
      </c>
      <c r="D9" s="3133">
        <v>17897763.373280004</v>
      </c>
      <c r="E9" s="3134">
        <v>20948781.925040003</v>
      </c>
      <c r="F9" s="3134">
        <v>27141118.776317582</v>
      </c>
      <c r="G9" s="3134">
        <v>31616009.404492173</v>
      </c>
      <c r="H9" s="3134">
        <v>31616009.404492173</v>
      </c>
    </row>
    <row r="10" spans="2:8" ht="20.100000000000001" customHeight="1">
      <c r="B10" s="3131" t="s">
        <v>416</v>
      </c>
      <c r="C10" s="3132">
        <v>7187417</v>
      </c>
      <c r="D10" s="3133">
        <v>7158375.0159819005</v>
      </c>
      <c r="E10" s="3134">
        <v>7641389.9556278009</v>
      </c>
      <c r="F10" s="3134">
        <v>9133584.4088065419</v>
      </c>
      <c r="G10" s="3134">
        <v>10732881.208458049</v>
      </c>
      <c r="H10" s="3134">
        <v>10732881.208458049</v>
      </c>
    </row>
    <row r="11" spans="2:8" ht="20.100000000000001" customHeight="1">
      <c r="B11" s="3135" t="s">
        <v>118</v>
      </c>
      <c r="C11" s="3136">
        <f t="shared" ref="C11:H11" si="0">SUM(C7:C10)</f>
        <v>34558264</v>
      </c>
      <c r="D11" s="3137">
        <f t="shared" si="0"/>
        <v>33548266.458081905</v>
      </c>
      <c r="E11" s="3137">
        <f t="shared" si="0"/>
        <v>35101447.054907806</v>
      </c>
      <c r="F11" s="3137">
        <f t="shared" si="0"/>
        <v>43328823.699211851</v>
      </c>
      <c r="G11" s="3137">
        <f t="shared" si="0"/>
        <v>49683235.890204057</v>
      </c>
      <c r="H11" s="3137">
        <f t="shared" si="0"/>
        <v>49683235.890204057</v>
      </c>
    </row>
    <row r="12" spans="2:8">
      <c r="B12" s="36"/>
      <c r="C12" s="36"/>
      <c r="D12" s="36"/>
      <c r="E12" s="36"/>
      <c r="F12" s="36"/>
      <c r="G12" s="36"/>
      <c r="H12" s="36"/>
    </row>
    <row r="13" spans="2:8" ht="23.25" customHeight="1">
      <c r="B13" s="3850" t="s">
        <v>506</v>
      </c>
      <c r="C13" s="3382"/>
      <c r="D13" s="3851"/>
      <c r="E13" s="3851"/>
      <c r="F13" s="3851"/>
      <c r="G13" s="3852"/>
      <c r="H13" s="3130"/>
    </row>
    <row r="14" spans="2:8" ht="23.25" customHeight="1">
      <c r="B14" s="3850"/>
      <c r="C14" s="216"/>
      <c r="D14" s="216">
        <v>2009</v>
      </c>
      <c r="E14" s="216">
        <v>2010</v>
      </c>
      <c r="F14" s="216">
        <v>2011</v>
      </c>
      <c r="G14" s="3130" t="s">
        <v>206</v>
      </c>
      <c r="H14" s="3130" t="s">
        <v>207</v>
      </c>
    </row>
    <row r="15" spans="2:8" ht="20.100000000000001" customHeight="1">
      <c r="B15" s="3131" t="s">
        <v>412</v>
      </c>
      <c r="C15" s="3131"/>
      <c r="D15" s="3138">
        <f>(D7-C7)/C7*100</f>
        <v>3.2642523662346643</v>
      </c>
      <c r="E15" s="3138">
        <f>((E7-D7)/D7)*100</f>
        <v>-28.895454997368748</v>
      </c>
      <c r="F15" s="3138">
        <f>((F7-E7)/E7)*100</f>
        <v>7.2549573823845028</v>
      </c>
      <c r="G15" s="3138">
        <f>((G7-F7)/F7)*100</f>
        <v>0.848089594114115</v>
      </c>
      <c r="H15" s="3138">
        <f>((H7-G7)/G7)*100</f>
        <v>0</v>
      </c>
    </row>
    <row r="16" spans="2:8" ht="20.100000000000001" customHeight="1">
      <c r="B16" s="3131" t="s">
        <v>413</v>
      </c>
      <c r="C16" s="3131"/>
      <c r="D16" s="3138">
        <f>(D8-C8)/C8*100</f>
        <v>-21.013407000852446</v>
      </c>
      <c r="E16" s="3138">
        <f t="shared" ref="E16:H18" si="1">((E8-D8)/D8)*100</f>
        <v>3.8886789169898641</v>
      </c>
      <c r="F16" s="3138">
        <f t="shared" si="1"/>
        <v>11.955624625041954</v>
      </c>
      <c r="G16" s="3138">
        <f t="shared" si="1"/>
        <v>13.982535536976107</v>
      </c>
      <c r="H16" s="3138">
        <f t="shared" si="1"/>
        <v>0</v>
      </c>
    </row>
    <row r="17" spans="2:18" ht="20.100000000000001" customHeight="1">
      <c r="B17" s="3131" t="s">
        <v>414</v>
      </c>
      <c r="C17" s="3131"/>
      <c r="D17" s="3138">
        <f>(D9-C9)/C9*100</f>
        <v>-4.3807203527563372</v>
      </c>
      <c r="E17" s="3138">
        <f t="shared" si="1"/>
        <v>17.046926412687618</v>
      </c>
      <c r="F17" s="3138">
        <f t="shared" si="1"/>
        <v>29.559412444290619</v>
      </c>
      <c r="G17" s="3138">
        <f t="shared" si="1"/>
        <v>16.487495099425413</v>
      </c>
      <c r="H17" s="3138">
        <f t="shared" si="1"/>
        <v>0</v>
      </c>
    </row>
    <row r="18" spans="2:18" ht="20.100000000000001" customHeight="1">
      <c r="B18" s="3131" t="s">
        <v>416</v>
      </c>
      <c r="C18" s="3131"/>
      <c r="D18" s="3138">
        <f>(D10-C10)/C10*100</f>
        <v>-0.4040670524348246</v>
      </c>
      <c r="E18" s="3138">
        <f t="shared" si="1"/>
        <v>6.7475500873803576</v>
      </c>
      <c r="F18" s="3138">
        <f t="shared" si="1"/>
        <v>19.527788293015409</v>
      </c>
      <c r="G18" s="3138">
        <f t="shared" si="1"/>
        <v>17.510067549268783</v>
      </c>
      <c r="H18" s="3138">
        <f t="shared" si="1"/>
        <v>0</v>
      </c>
    </row>
    <row r="19" spans="2:18" ht="20.100000000000001" customHeight="1">
      <c r="B19" s="3135" t="s">
        <v>118</v>
      </c>
      <c r="C19" s="3135"/>
      <c r="D19" s="3139">
        <f>SUM(D15:D18)</f>
        <v>-22.533942039808945</v>
      </c>
      <c r="E19" s="3139">
        <f>SUM(E15:E18)</f>
        <v>-1.2122995803109085</v>
      </c>
      <c r="F19" s="3139">
        <f>SUM(F15:F18)</f>
        <v>68.297782744732487</v>
      </c>
      <c r="G19" s="3139">
        <f>SUM(G15:G18)</f>
        <v>48.828187779784415</v>
      </c>
      <c r="H19" s="3139">
        <f>SUM(H15:H18)</f>
        <v>0</v>
      </c>
    </row>
    <row r="20" spans="2:18">
      <c r="B20" s="36"/>
      <c r="C20" s="36"/>
      <c r="D20" s="36"/>
      <c r="E20" s="36"/>
      <c r="F20" s="36"/>
      <c r="G20" s="36"/>
      <c r="H20" s="36"/>
    </row>
    <row r="21" spans="2:18" ht="24" customHeight="1">
      <c r="B21" s="3850" t="s">
        <v>506</v>
      </c>
      <c r="C21" s="3382"/>
      <c r="D21" s="3851"/>
      <c r="E21" s="3851"/>
      <c r="F21" s="3851"/>
      <c r="G21" s="3852"/>
      <c r="H21" s="3130"/>
    </row>
    <row r="22" spans="2:18" ht="21.75" customHeight="1">
      <c r="B22" s="3850"/>
      <c r="C22" s="216"/>
      <c r="D22" s="216">
        <v>2009</v>
      </c>
      <c r="E22" s="216">
        <v>2010</v>
      </c>
      <c r="F22" s="216">
        <v>2011</v>
      </c>
      <c r="G22" s="3130" t="s">
        <v>206</v>
      </c>
      <c r="H22" s="3130" t="s">
        <v>207</v>
      </c>
    </row>
    <row r="23" spans="2:18" ht="20.100000000000001" customHeight="1">
      <c r="B23" s="3131" t="s">
        <v>412</v>
      </c>
      <c r="C23" s="3131"/>
      <c r="D23" s="3140">
        <f>(D7/D$11)*100</f>
        <v>21.012707923576698</v>
      </c>
      <c r="E23" s="3140">
        <f t="shared" ref="E23:F26" si="2">(E7/E$11)*100</f>
        <v>14.279876411389058</v>
      </c>
      <c r="F23" s="3140">
        <f>(F7/F$11)*100</f>
        <v>12.40766173935048</v>
      </c>
      <c r="G23" s="3140">
        <f>(G7/G$11)*100</f>
        <v>10.912509774901391</v>
      </c>
      <c r="H23" s="3140">
        <f>(H7/H$11)*100</f>
        <v>10.912509774901391</v>
      </c>
    </row>
    <row r="24" spans="2:18" ht="20.100000000000001" customHeight="1">
      <c r="B24" s="3131" t="s">
        <v>413</v>
      </c>
      <c r="C24" s="3131"/>
      <c r="D24" s="3140">
        <f>(D8/D$11)*100</f>
        <v>4.3004571528685966</v>
      </c>
      <c r="E24" s="3140">
        <f t="shared" si="2"/>
        <v>4.2700003616530005</v>
      </c>
      <c r="F24" s="3140">
        <f t="shared" si="2"/>
        <v>3.8727721885524509</v>
      </c>
      <c r="G24" s="3140">
        <f t="shared" ref="G24:H26" si="3">(G8/G$11)*100</f>
        <v>3.8497035669633481</v>
      </c>
      <c r="H24" s="3140">
        <f t="shared" si="3"/>
        <v>3.8497035669633481</v>
      </c>
    </row>
    <row r="25" spans="2:18" ht="20.100000000000001" customHeight="1">
      <c r="B25" s="3131" t="s">
        <v>414</v>
      </c>
      <c r="C25" s="3131"/>
      <c r="D25" s="3140">
        <f>(D9/D$11)*100</f>
        <v>53.349294204643961</v>
      </c>
      <c r="E25" s="3140">
        <f t="shared" si="2"/>
        <v>59.68067895397774</v>
      </c>
      <c r="F25" s="3140">
        <f t="shared" si="2"/>
        <v>62.639869858297757</v>
      </c>
      <c r="G25" s="3140">
        <f t="shared" si="3"/>
        <v>63.635165540265945</v>
      </c>
      <c r="H25" s="3140">
        <f t="shared" si="3"/>
        <v>63.635165540265945</v>
      </c>
    </row>
    <row r="26" spans="2:18" ht="20.100000000000001" customHeight="1">
      <c r="B26" s="3131" t="s">
        <v>416</v>
      </c>
      <c r="C26" s="3131"/>
      <c r="D26" s="3140">
        <f>(D10/D$11)*100</f>
        <v>21.337540718910741</v>
      </c>
      <c r="E26" s="3140">
        <f t="shared" si="2"/>
        <v>21.769444272980191</v>
      </c>
      <c r="F26" s="3140">
        <f>(F10/F$11)*100</f>
        <v>21.079696213799316</v>
      </c>
      <c r="G26" s="3140">
        <f t="shared" si="3"/>
        <v>21.602621117869315</v>
      </c>
      <c r="H26" s="3140">
        <f t="shared" si="3"/>
        <v>21.602621117869315</v>
      </c>
    </row>
    <row r="27" spans="2:18" ht="20.100000000000001" customHeight="1">
      <c r="B27" s="3135" t="s">
        <v>118</v>
      </c>
      <c r="C27" s="3135"/>
      <c r="D27" s="3141">
        <f>SUM(D23:D26)</f>
        <v>100</v>
      </c>
      <c r="E27" s="3141">
        <f>SUM(E23:E26)</f>
        <v>100</v>
      </c>
      <c r="F27" s="3141">
        <f>SUM(F23:F26)</f>
        <v>100</v>
      </c>
      <c r="G27" s="3141">
        <f>SUM(G23:G26)</f>
        <v>100</v>
      </c>
      <c r="H27" s="3141">
        <f>SUM(H23:H26)</f>
        <v>100</v>
      </c>
      <c r="I27" s="175"/>
      <c r="J27" s="175"/>
      <c r="K27" s="175"/>
      <c r="L27" s="175"/>
      <c r="M27" s="175"/>
      <c r="N27"/>
      <c r="O27" s="14"/>
      <c r="P27"/>
      <c r="Q27" s="14"/>
      <c r="R27"/>
    </row>
    <row r="28" spans="2:18" ht="20.100000000000001" customHeight="1">
      <c r="B28" s="218"/>
      <c r="C28" s="218"/>
      <c r="D28" s="219"/>
      <c r="E28" s="219"/>
      <c r="F28" s="219"/>
      <c r="G28" s="219"/>
      <c r="H28" s="219"/>
      <c r="I28" s="175"/>
      <c r="J28" s="175"/>
      <c r="K28" s="175"/>
      <c r="L28" s="175"/>
      <c r="M28" s="175"/>
      <c r="N28"/>
      <c r="O28" s="14"/>
      <c r="P28"/>
      <c r="Q28" s="14"/>
      <c r="R28"/>
    </row>
    <row r="29" spans="2:18" s="258" customFormat="1" ht="20.100000000000001" customHeight="1">
      <c r="B29" s="3142" t="s">
        <v>717</v>
      </c>
      <c r="C29" s="3142"/>
      <c r="D29" s="3138">
        <f>+D19</f>
        <v>-22.533942039808945</v>
      </c>
      <c r="E29" s="3138">
        <f>+E19</f>
        <v>-1.2122995803109085</v>
      </c>
      <c r="F29" s="3138">
        <f>+F19</f>
        <v>68.297782744732487</v>
      </c>
      <c r="G29" s="3138">
        <f>+G19</f>
        <v>48.828187779784415</v>
      </c>
      <c r="H29" s="3138">
        <f>+H19</f>
        <v>0</v>
      </c>
      <c r="I29" s="3839"/>
      <c r="J29" s="3839"/>
      <c r="K29" s="3839"/>
      <c r="L29" s="3839"/>
      <c r="M29" s="3839"/>
      <c r="N29" s="3839"/>
      <c r="O29" s="3839"/>
      <c r="P29" s="3839"/>
      <c r="Q29" s="3839"/>
      <c r="R29" s="3839"/>
    </row>
    <row r="30" spans="2:18">
      <c r="I30" s="3839"/>
      <c r="J30" s="3839"/>
      <c r="K30" s="3839"/>
      <c r="L30" s="3839"/>
      <c r="M30" s="3839"/>
      <c r="N30" s="3839"/>
      <c r="O30" s="3839"/>
      <c r="P30" s="3839"/>
      <c r="Q30" s="3839"/>
      <c r="R30" s="3839"/>
    </row>
    <row r="31" spans="2:18" ht="15">
      <c r="B31" s="204" t="s">
        <v>612</v>
      </c>
      <c r="C31" s="204"/>
      <c r="D31"/>
      <c r="E31"/>
      <c r="F31"/>
      <c r="G31"/>
      <c r="H31"/>
      <c r="I31" s="3840"/>
      <c r="J31" s="3840"/>
      <c r="K31" s="3840"/>
      <c r="L31" s="3840"/>
      <c r="M31" s="3840"/>
      <c r="N31" s="3840"/>
      <c r="O31" s="3840"/>
      <c r="P31" s="3840"/>
      <c r="Q31" s="3840"/>
      <c r="R31" s="3840"/>
    </row>
    <row r="32" spans="2:18" ht="33.75" customHeight="1">
      <c r="B32" s="294" t="s">
        <v>613</v>
      </c>
      <c r="C32" s="294"/>
      <c r="D32"/>
      <c r="E32"/>
      <c r="F32"/>
      <c r="G32"/>
      <c r="H32"/>
      <c r="I32" s="3841"/>
      <c r="J32" s="3841"/>
      <c r="K32" s="3841"/>
      <c r="L32" s="3841"/>
      <c r="M32" s="3841"/>
      <c r="N32" s="3841"/>
      <c r="O32" s="3841"/>
      <c r="P32" s="3841"/>
      <c r="Q32" s="3841"/>
      <c r="R32" s="3841"/>
    </row>
    <row r="33" spans="2:13" ht="15">
      <c r="B33" s="200" t="s">
        <v>147</v>
      </c>
      <c r="C33" s="200"/>
      <c r="D33" s="175"/>
      <c r="E33" s="175"/>
      <c r="F33" s="175"/>
      <c r="G33" s="175"/>
      <c r="H33" s="175"/>
      <c r="I33"/>
      <c r="J33" s="14"/>
      <c r="K33"/>
    </row>
    <row r="34" spans="2:13" ht="15">
      <c r="B34" s="208"/>
      <c r="C34" s="208"/>
      <c r="D34" s="175"/>
      <c r="E34" s="175"/>
      <c r="F34" s="175"/>
      <c r="G34" s="175"/>
      <c r="H34" s="175"/>
      <c r="I34"/>
      <c r="J34" s="14"/>
      <c r="K34"/>
    </row>
    <row r="35" spans="2:13" ht="14.25" customHeight="1">
      <c r="B35" s="3448" t="s">
        <v>689</v>
      </c>
      <c r="C35" s="3448"/>
      <c r="D35" s="3448"/>
      <c r="E35" s="3448"/>
      <c r="F35" s="3448"/>
      <c r="G35" s="3448"/>
      <c r="H35" s="329"/>
      <c r="I35" s="224"/>
      <c r="J35" s="224"/>
      <c r="K35" s="224"/>
    </row>
    <row r="36" spans="2:13" ht="30.75" customHeight="1">
      <c r="B36" s="3448"/>
      <c r="C36" s="3448"/>
      <c r="D36" s="3448"/>
      <c r="E36" s="3448"/>
      <c r="F36" s="3448"/>
      <c r="G36" s="3448"/>
      <c r="H36" s="329"/>
      <c r="I36" s="224"/>
      <c r="J36" s="224"/>
      <c r="K36" s="224"/>
    </row>
    <row r="37" spans="2:13" ht="36.75" customHeight="1">
      <c r="B37" s="3449" t="s">
        <v>149</v>
      </c>
      <c r="C37" s="3449"/>
      <c r="D37" s="3449"/>
      <c r="E37" s="3449"/>
      <c r="F37" s="3449"/>
      <c r="G37" s="3449"/>
      <c r="H37" s="330"/>
      <c r="I37" s="222"/>
      <c r="J37" s="222"/>
      <c r="K37" s="222"/>
    </row>
    <row r="38" spans="2:13" ht="54.75" customHeight="1">
      <c r="B38" s="3849" t="s">
        <v>718</v>
      </c>
      <c r="C38" s="3849"/>
      <c r="D38" s="3849"/>
      <c r="E38" s="3849"/>
      <c r="F38" s="3849"/>
      <c r="G38" s="3849"/>
      <c r="H38" s="331"/>
      <c r="I38" s="223"/>
      <c r="J38" s="223"/>
      <c r="K38" s="223"/>
    </row>
    <row r="42" spans="2:13">
      <c r="I42" s="3839"/>
      <c r="J42" s="3839"/>
      <c r="K42" s="3839"/>
      <c r="L42" s="3839"/>
      <c r="M42" s="3839"/>
    </row>
    <row r="43" spans="2:13">
      <c r="I43" s="3839"/>
      <c r="J43" s="3839"/>
      <c r="K43" s="3839"/>
      <c r="L43" s="3839"/>
      <c r="M43" s="3839"/>
    </row>
    <row r="44" spans="2:13" hidden="1">
      <c r="I44" s="3840"/>
      <c r="J44" s="3840"/>
      <c r="K44" s="3840"/>
      <c r="L44" s="3840"/>
      <c r="M44" s="3840"/>
    </row>
    <row r="45" spans="2:13" hidden="1">
      <c r="I45" s="3840"/>
      <c r="J45" s="3840"/>
      <c r="K45" s="3840"/>
      <c r="L45" s="3840"/>
      <c r="M45" s="3840"/>
    </row>
    <row r="46" spans="2:13" ht="15" hidden="1">
      <c r="B46" s="28" t="s">
        <v>719</v>
      </c>
      <c r="I46" s="3841"/>
      <c r="J46" s="3841"/>
      <c r="K46" s="3841"/>
      <c r="L46" s="3841"/>
      <c r="M46" s="3841"/>
    </row>
    <row r="47" spans="2:13" hidden="1"/>
    <row r="48" spans="2:13" hidden="1"/>
    <row r="49" spans="4:8" hidden="1"/>
    <row r="50" spans="4:8" hidden="1"/>
    <row r="51" spans="4:8" hidden="1"/>
    <row r="52" spans="4:8" hidden="1"/>
    <row r="53" spans="4:8" hidden="1"/>
    <row r="54" spans="4:8" hidden="1">
      <c r="D54" s="220" t="e">
        <f>+#REF!</f>
        <v>#REF!</v>
      </c>
      <c r="E54" s="220" t="e">
        <f>+#REF!</f>
        <v>#REF!</v>
      </c>
      <c r="F54" s="220" t="e">
        <f>+#REF!</f>
        <v>#REF!</v>
      </c>
      <c r="G54" s="220"/>
      <c r="H54" s="220"/>
    </row>
    <row r="55" spans="4:8" hidden="1">
      <c r="D55" s="221" t="e">
        <f>+D11-D54</f>
        <v>#REF!</v>
      </c>
      <c r="E55" s="221" t="e">
        <f>+E11-E54</f>
        <v>#REF!</v>
      </c>
      <c r="F55" s="221" t="e">
        <f>+F11-F54</f>
        <v>#REF!</v>
      </c>
      <c r="G55" s="221"/>
      <c r="H55" s="221"/>
    </row>
    <row r="56" spans="4:8" hidden="1"/>
    <row r="57" spans="4:8" hidden="1"/>
    <row r="58" spans="4:8" hidden="1"/>
    <row r="59" spans="4:8" hidden="1"/>
    <row r="60" spans="4:8" hidden="1"/>
    <row r="61" spans="4:8" hidden="1"/>
  </sheetData>
  <customSheetViews>
    <customSheetView guid="{5E394B0B-7867-4722-9497-A93AB2A9A773}" showPageBreaks="1" printArea="1" hiddenRows="1" hiddenColumns="1" state="hidden" topLeftCell="A4">
      <selection activeCell="H11" sqref="H11"/>
      <pageMargins left="0" right="0" top="0" bottom="0" header="0" footer="0"/>
      <pageSetup scale="88" orientation="portrait" r:id="rId1"/>
    </customSheetView>
    <customSheetView guid="{B1E1B596-A9A1-411D-A882-A48CB025B978}" showPageBreaks="1" printArea="1" hiddenRows="1" hiddenColumns="1" state="hidden" topLeftCell="A4">
      <selection activeCell="H11" sqref="H11"/>
      <pageMargins left="0" right="0" top="0" bottom="0" header="0" footer="0"/>
      <pageSetup scale="88" orientation="portrait" r:id="rId2"/>
    </customSheetView>
    <customSheetView guid="{E82B35BE-4719-4C53-A9EF-1CC6F153A6F3}" showPageBreaks="1" printArea="1" hiddenRows="1" hiddenColumns="1">
      <selection activeCell="D3" sqref="D3"/>
      <pageMargins left="0" right="0" top="0" bottom="0" header="0" footer="0"/>
      <pageSetup scale="88" orientation="portrait" r:id="rId3"/>
    </customSheetView>
    <customSheetView guid="{B4A67912-05A8-4D20-958A-E8812294BB39}">
      <selection activeCell="B4" sqref="B4"/>
      <pageMargins left="0" right="0" top="0" bottom="0" header="0" footer="0"/>
      <pageSetup orientation="landscape" r:id="rId4"/>
    </customSheetView>
    <customSheetView guid="{F7C0CA98-A3B8-42B1-9940-E27294444C95}" topLeftCell="A10">
      <selection activeCell="G24" sqref="G24"/>
      <pageMargins left="0" right="0" top="0" bottom="0" header="0" footer="0"/>
      <pageSetup orientation="landscape" r:id="rId5"/>
    </customSheetView>
    <customSheetView guid="{B8318771-9061-42D8-AFEA-0FF27D639C94}" topLeftCell="A10">
      <selection activeCell="J8" sqref="J8"/>
      <pageMargins left="0" right="0" top="0" bottom="0" header="0" footer="0"/>
      <pageSetup orientation="landscape" r:id="rId6"/>
    </customSheetView>
    <customSheetView guid="{3199A5C7-1303-43ED-A74D-8C27C3B99779}">
      <selection activeCell="J8" sqref="J8"/>
      <pageMargins left="0" right="0" top="0" bottom="0" header="0" footer="0"/>
      <pageSetup orientation="landscape" r:id="rId7"/>
    </customSheetView>
    <customSheetView guid="{C4538C36-F6A2-4603-9311-8D97FB7695CB}" topLeftCell="A4">
      <selection activeCell="J8" sqref="J8"/>
      <pageMargins left="0" right="0" top="0" bottom="0" header="0" footer="0"/>
      <pageSetup orientation="landscape" r:id="rId8"/>
    </customSheetView>
    <customSheetView guid="{F66B1C5E-2E3D-4890-AA4B-3A6E976CA29E}">
      <selection activeCell="J8" sqref="J8"/>
      <pageMargins left="0" right="0" top="0" bottom="0" header="0" footer="0"/>
      <pageSetup orientation="landscape" r:id="rId9"/>
    </customSheetView>
    <customSheetView guid="{D020F570-D9CD-4C16-921E-7638848CF929}">
      <selection activeCell="J8" sqref="J8"/>
      <pageMargins left="0" right="0" top="0" bottom="0" header="0" footer="0"/>
      <pageSetup orientation="landscape" r:id="rId10"/>
    </customSheetView>
    <customSheetView guid="{46F31544-8E6F-41C5-8628-1D6EE074AF15}" hiddenRows="1" hiddenColumns="1" state="hidden" topLeftCell="A4">
      <selection activeCell="H11" sqref="H11"/>
      <pageMargins left="0" right="0" top="0" bottom="0" header="0" footer="0"/>
      <pageSetup scale="88" orientation="portrait" r:id="rId11"/>
    </customSheetView>
    <customSheetView guid="{B2E1A0C6-5BA1-4CF1-B412-16D81FCDF11F}" showPageBreaks="1" printArea="1" hiddenRows="1" hiddenColumns="1" state="hidden" topLeftCell="A4">
      <selection activeCell="H11" sqref="H11"/>
      <pageMargins left="0" right="0" top="0" bottom="0" header="0" footer="0"/>
      <pageSetup scale="88" orientation="portrait" r:id="rId12"/>
    </customSheetView>
    <customSheetView guid="{967E0446-E234-427F-8E57-7FE287052E2E}" showPageBreaks="1" printArea="1" hiddenRows="1" hiddenColumns="1" state="hidden" topLeftCell="A4">
      <selection activeCell="H11" sqref="H11"/>
      <pageMargins left="0" right="0" top="0" bottom="0" header="0" footer="0"/>
      <pageSetup scale="88" orientation="portrait" r:id="rId13"/>
    </customSheetView>
    <customSheetView guid="{2ACFE167-4169-43A6-9AB2-59D5A2DA2DB4}" showPageBreaks="1" printArea="1" hiddenRows="1" hiddenColumns="1" state="hidden" topLeftCell="A4">
      <selection activeCell="H11" sqref="H11"/>
      <pageMargins left="0" right="0" top="0" bottom="0" header="0" footer="0"/>
      <pageSetup scale="88" orientation="portrait" r:id="rId14"/>
    </customSheetView>
  </customSheetViews>
  <mergeCells count="16">
    <mergeCell ref="I29:R30"/>
    <mergeCell ref="I31:R31"/>
    <mergeCell ref="I32:R32"/>
    <mergeCell ref="B4:F4"/>
    <mergeCell ref="B21:B22"/>
    <mergeCell ref="B13:B14"/>
    <mergeCell ref="B5:B6"/>
    <mergeCell ref="D5:G5"/>
    <mergeCell ref="D13:G13"/>
    <mergeCell ref="D21:G21"/>
    <mergeCell ref="I42:M43"/>
    <mergeCell ref="I44:M45"/>
    <mergeCell ref="I46:M46"/>
    <mergeCell ref="B35:G36"/>
    <mergeCell ref="B37:G37"/>
    <mergeCell ref="B38:G38"/>
  </mergeCells>
  <pageMargins left="0.37" right="0.7" top="0.75" bottom="0.75" header="0.3" footer="0.3"/>
  <pageSetup scale="88" orientation="portrait" r:id="rId15"/>
  <ignoredErrors>
    <ignoredError sqref="E12:F12" formulaRange="1"/>
    <ignoredError sqref="E20:F20 E28 E26 E23 E24:F24 E25:F25" evalError="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3:X62"/>
  <sheetViews>
    <sheetView zoomScaleNormal="100" workbookViewId="0">
      <pane xSplit="1" ySplit="5" topLeftCell="P42" activePane="bottomRight" state="frozen"/>
      <selection pane="topRight" activeCell="B1" sqref="B1"/>
      <selection pane="bottomLeft" activeCell="A6" sqref="A6"/>
      <selection pane="bottomRight" activeCell="S54" sqref="S54"/>
    </sheetView>
  </sheetViews>
  <sheetFormatPr defaultColWidth="9.140625" defaultRowHeight="15"/>
  <cols>
    <col min="1" max="1" width="19" customWidth="1"/>
    <col min="2" max="2" width="12.5703125" customWidth="1"/>
    <col min="3" max="4" width="12.7109375" customWidth="1"/>
    <col min="5" max="5" width="12.5703125" customWidth="1"/>
    <col min="6" max="6" width="11.42578125" customWidth="1"/>
    <col min="7" max="7" width="12.7109375" customWidth="1"/>
    <col min="8" max="8" width="13.5703125" customWidth="1"/>
    <col min="9" max="9" width="12.7109375" customWidth="1"/>
    <col min="10" max="10" width="10.28515625" customWidth="1"/>
    <col min="11" max="11" width="14.28515625" customWidth="1"/>
    <col min="12" max="12" width="14.5703125" customWidth="1"/>
    <col min="13" max="13" width="11.28515625" customWidth="1"/>
    <col min="14" max="14" width="12" customWidth="1"/>
    <col min="15" max="15" width="9.28515625" bestFit="1" customWidth="1"/>
    <col min="16" max="16" width="13.7109375" customWidth="1"/>
    <col min="17" max="17" width="13.28515625" customWidth="1"/>
    <col min="18" max="18" width="11.5703125" customWidth="1"/>
    <col min="19" max="19" width="14.5703125" bestFit="1" customWidth="1"/>
    <col min="20" max="20" width="11" customWidth="1"/>
    <col min="21" max="21" width="11.140625" customWidth="1"/>
    <col min="22" max="22" width="14.7109375" customWidth="1"/>
    <col min="23" max="23" width="14.5703125" bestFit="1" customWidth="1"/>
    <col min="24" max="24" width="14.5703125" customWidth="1"/>
  </cols>
  <sheetData>
    <row r="3" spans="1:24" ht="15" customHeight="1">
      <c r="A3" s="3111" t="s">
        <v>708</v>
      </c>
      <c r="B3" s="3380"/>
      <c r="C3" s="3380"/>
      <c r="D3" s="3380"/>
      <c r="E3" s="3380"/>
      <c r="F3" s="3112"/>
    </row>
    <row r="4" spans="1:24">
      <c r="A4" s="3848" t="s">
        <v>709</v>
      </c>
      <c r="B4" s="373">
        <v>1</v>
      </c>
      <c r="C4" s="373">
        <v>2</v>
      </c>
      <c r="D4" s="373">
        <v>3</v>
      </c>
      <c r="E4" s="373">
        <v>4</v>
      </c>
      <c r="F4" s="373">
        <v>5</v>
      </c>
      <c r="G4" s="373">
        <v>6</v>
      </c>
      <c r="H4" s="373">
        <v>7</v>
      </c>
      <c r="I4" s="373">
        <v>8</v>
      </c>
      <c r="J4" s="373">
        <v>9</v>
      </c>
      <c r="K4" s="373">
        <v>10</v>
      </c>
      <c r="L4" s="373">
        <v>11</v>
      </c>
      <c r="M4" s="373">
        <v>12</v>
      </c>
      <c r="N4" s="373">
        <v>13</v>
      </c>
      <c r="O4" s="373">
        <v>14</v>
      </c>
      <c r="P4" s="373">
        <v>15</v>
      </c>
      <c r="Q4" s="373">
        <v>16</v>
      </c>
      <c r="R4" s="373">
        <v>17</v>
      </c>
      <c r="S4" s="373">
        <v>18</v>
      </c>
      <c r="T4" s="373">
        <v>19</v>
      </c>
      <c r="U4" s="373">
        <v>20</v>
      </c>
      <c r="V4" s="374"/>
    </row>
    <row r="5" spans="1:24">
      <c r="A5" s="3848"/>
      <c r="B5" s="3113" t="s">
        <v>175</v>
      </c>
      <c r="C5" s="3113" t="s">
        <v>177</v>
      </c>
      <c r="D5" s="3113" t="s">
        <v>179</v>
      </c>
      <c r="E5" s="3113" t="s">
        <v>180</v>
      </c>
      <c r="F5" s="3113" t="s">
        <v>181</v>
      </c>
      <c r="G5" s="3113" t="s">
        <v>182</v>
      </c>
      <c r="H5" s="3114" t="s">
        <v>183</v>
      </c>
      <c r="I5" s="3113" t="s">
        <v>184</v>
      </c>
      <c r="J5" s="3113" t="s">
        <v>185</v>
      </c>
      <c r="K5" s="3113" t="s">
        <v>186</v>
      </c>
      <c r="L5" s="3113" t="s">
        <v>187</v>
      </c>
      <c r="M5" s="3113" t="s">
        <v>189</v>
      </c>
      <c r="N5" s="3113" t="s">
        <v>190</v>
      </c>
      <c r="O5" s="3113" t="s">
        <v>681</v>
      </c>
      <c r="P5" s="3113" t="s">
        <v>192</v>
      </c>
      <c r="Q5" s="3115" t="s">
        <v>115</v>
      </c>
      <c r="R5" s="3113" t="s">
        <v>194</v>
      </c>
      <c r="S5" s="3113" t="s">
        <v>195</v>
      </c>
      <c r="T5" s="3113" t="s">
        <v>191</v>
      </c>
      <c r="U5" s="3113" t="s">
        <v>110</v>
      </c>
      <c r="V5" s="3116" t="s">
        <v>118</v>
      </c>
    </row>
    <row r="6" spans="1:24">
      <c r="A6" s="2887" t="s">
        <v>412</v>
      </c>
      <c r="B6" s="3117">
        <f>+'[17]Sheet 2 - General Insurance'!$C$39</f>
        <v>11991</v>
      </c>
      <c r="C6" s="3117">
        <f>+'[18]Sheet 2 - General Insurance'!$C$39</f>
        <v>75109.039999999935</v>
      </c>
      <c r="D6" s="3117">
        <f>+'[19]Sheet 2 - General Insurance'!$C$39</f>
        <v>100496.28347000002</v>
      </c>
      <c r="E6" s="3117">
        <f>+'[20]Sheet 2 - General Insurance'!$C$39</f>
        <v>14436.836329999825</v>
      </c>
      <c r="F6" s="3117">
        <f>+'[21]Sheet 2 - General Insurance'!$C$39</f>
        <v>15127.189258330027</v>
      </c>
      <c r="G6" s="3117">
        <f>+'[22]Sheet 2 - General Insurance'!$C$39</f>
        <v>61590.31917408156</v>
      </c>
      <c r="H6" s="3118">
        <f>+'[23]Sheet 2 - General Insurance'!$C$39</f>
        <v>596457</v>
      </c>
      <c r="I6" s="3117">
        <f>+'[24]Sheet 2 - General Insurance'!$C$39</f>
        <v>31114.921959999996</v>
      </c>
      <c r="J6" s="3117"/>
      <c r="K6" s="3117">
        <f>+'[25]Sheet 2 - General Insurance'!$C$39</f>
        <v>35595.95800000005</v>
      </c>
      <c r="L6" s="3117">
        <f>+'[26]Sheet 2 - General Insurance'!$C$39/1000</f>
        <v>138182.99955335006</v>
      </c>
      <c r="M6" s="3119">
        <f>+'[27]Sheet 2 - General Insurance'!$C$39</f>
        <v>6625.9590400000025</v>
      </c>
      <c r="N6" s="3117">
        <f>+'[28]Sheet 2 - General Insurance'!$C$39</f>
        <v>2184.6448099999989</v>
      </c>
      <c r="O6" s="3117"/>
      <c r="P6" s="3117">
        <f>+'[29]Sheet 2 - General Insurance'!$C$39</f>
        <v>120714.60952999997</v>
      </c>
      <c r="Q6" s="3117">
        <f>+'[30]Sheet 2 - General Insurance'!$C$39</f>
        <v>144613.37762999948</v>
      </c>
      <c r="R6" s="3117">
        <f>+'[31]Sheet 2 - General Insurance'!$C$39</f>
        <v>9323.4402658333311</v>
      </c>
      <c r="S6" s="3117">
        <f>+'[32]Sheet 2 - General Insurance'!$C$39</f>
        <v>58842.492000000108</v>
      </c>
      <c r="T6" s="3117">
        <f>+'[33]Sheet 2 - General Insurance'!$C$39</f>
        <v>1724.0207270586238</v>
      </c>
      <c r="U6" s="3117"/>
      <c r="V6" s="3117">
        <f>SUM(B6:U6)</f>
        <v>1424130.0917486532</v>
      </c>
      <c r="W6" s="58"/>
    </row>
    <row r="7" spans="1:24">
      <c r="A7" s="2887" t="s">
        <v>413</v>
      </c>
      <c r="B7" s="3117">
        <f>+'[17]Sheet 2 - General Insurance'!$D$39</f>
        <v>21118</v>
      </c>
      <c r="C7" s="3117">
        <f>+'[18]Sheet 2 - General Insurance'!$D$39</f>
        <v>13851.700000000004</v>
      </c>
      <c r="D7" s="3117">
        <f>+'[19]Sheet 2 - General Insurance'!$D$39</f>
        <v>68831.139480000013</v>
      </c>
      <c r="E7" s="3117">
        <f>+'[20]Sheet 2 - General Insurance'!$D$39</f>
        <v>15153.229149999905</v>
      </c>
      <c r="F7" s="3117">
        <f>+'[21]Sheet 2 - General Insurance'!$D$39</f>
        <v>60314.486887784209</v>
      </c>
      <c r="G7" s="3117">
        <f>+'[22]Sheet 2 - General Insurance'!$D$39</f>
        <v>4245.2549987940383</v>
      </c>
      <c r="H7" s="3117">
        <f>+'[23]Sheet 2 - General Insurance'!$D$39</f>
        <v>244495</v>
      </c>
      <c r="I7" s="3117">
        <f>+'[24]Sheet 2 - General Insurance'!$D$39</f>
        <v>13658.40065</v>
      </c>
      <c r="J7" s="3117"/>
      <c r="K7" s="3117">
        <f>+'[25]Sheet 2 - General Insurance'!$D$39</f>
        <v>3555.5901499999959</v>
      </c>
      <c r="L7" s="3117">
        <f>+'[26]Sheet 2 - General Insurance'!$D$39/1000</f>
        <v>84813.788031039992</v>
      </c>
      <c r="M7" s="3117">
        <f>+'[27]Sheet 2 - General Insurance'!$D$39</f>
        <v>77.86503999999951</v>
      </c>
      <c r="N7" s="3117">
        <f>+'[28]Sheet 2 - General Insurance'!$D$39</f>
        <v>8112.2656100000004</v>
      </c>
      <c r="O7" s="3117"/>
      <c r="P7" s="3117">
        <f>+'[29]Sheet 2 - General Insurance'!$D$39</f>
        <v>1537.9186100000002</v>
      </c>
      <c r="Q7" s="3117">
        <f>+'[30]Sheet 2 - General Insurance'!$D$39</f>
        <v>165892.7511100001</v>
      </c>
      <c r="R7" s="3117">
        <v>0</v>
      </c>
      <c r="S7" s="3117">
        <f>+'[32]Sheet 2 - General Insurance'!$D$39</f>
        <v>124989.71577999997</v>
      </c>
      <c r="T7" s="3117">
        <f>+'[33]Sheet 2 - General Insurance'!$D$39</f>
        <v>2544.5641891080459</v>
      </c>
      <c r="U7" s="3117"/>
      <c r="V7" s="3117">
        <f>SUM(B7:U7)</f>
        <v>833191.66968672629</v>
      </c>
      <c r="W7" s="58"/>
    </row>
    <row r="8" spans="1:24">
      <c r="A8" s="2887" t="s">
        <v>414</v>
      </c>
      <c r="B8" s="3120">
        <f>+'[17]Sheet 2 - General Insurance'!$E$39</f>
        <v>554625</v>
      </c>
      <c r="C8" s="3120">
        <f>+'[18]Sheet 2 - General Insurance'!$E$39</f>
        <v>275603.28000000003</v>
      </c>
      <c r="D8" s="3121">
        <f>+'[19]Sheet 2 - General Insurance'!$E$39</f>
        <v>1402339.5508399999</v>
      </c>
      <c r="E8" s="3120">
        <f>+'[20]Sheet 2 - General Insurance'!$E$39</f>
        <v>894902.863955818</v>
      </c>
      <c r="F8" s="3120">
        <f>+'[21]Sheet 2 - General Insurance'!$E$39</f>
        <v>15615.582827194963</v>
      </c>
      <c r="G8" s="3117">
        <f>+'[22]Sheet 2 - General Insurance'!$E$39</f>
        <v>907309.60939319828</v>
      </c>
      <c r="H8" s="3117">
        <f>+'[23]Sheet 2 - General Insurance'!$E$39</f>
        <v>6124855</v>
      </c>
      <c r="I8" s="3117">
        <f>+'[24]Sheet 2 - General Insurance'!$E$39</f>
        <v>994227.09907</v>
      </c>
      <c r="J8" s="3117"/>
      <c r="K8" s="3117">
        <f>+'[25]Sheet 2 - General Insurance'!$E$39</f>
        <v>1185627.1847099999</v>
      </c>
      <c r="L8" s="3117">
        <f>+'[26]Sheet 2 - General Insurance'!$E$39/1000</f>
        <v>4501945.9990615994</v>
      </c>
      <c r="M8" s="3117">
        <f>+'[27]Sheet 2 - General Insurance'!$E$39</f>
        <v>1237163.7800499999</v>
      </c>
      <c r="N8" s="3117">
        <f>+'[28]Sheet 2 - General Insurance'!$E$39</f>
        <v>788630.40683999995</v>
      </c>
      <c r="O8" s="3117"/>
      <c r="P8" s="3117">
        <f>+'[29]Sheet 2 - General Insurance'!$E$39</f>
        <v>2517533.4318400002</v>
      </c>
      <c r="Q8" s="3117">
        <f>+'[30]Sheet 2 - General Insurance'!$E$39</f>
        <v>7302050.8899200037</v>
      </c>
      <c r="R8" s="3117">
        <f>+'[31]Sheet 2 - General Insurance'!$E$39</f>
        <v>149168.55084708333</v>
      </c>
      <c r="S8" s="3117">
        <f>+'[32]Sheet 2 - General Insurance'!$E$39</f>
        <v>2403174.0531899999</v>
      </c>
      <c r="T8" s="3117">
        <f>+'[33]Sheet 2 - General Insurance'!$E$39</f>
        <v>233615.15584124965</v>
      </c>
      <c r="U8" s="3117"/>
      <c r="V8" s="3117">
        <f>SUM(B8:U8)</f>
        <v>31488387.438386142</v>
      </c>
      <c r="W8" s="58"/>
    </row>
    <row r="9" spans="1:24">
      <c r="A9" s="2887" t="s">
        <v>701</v>
      </c>
      <c r="B9" s="3120">
        <f>+'[17]Sheet 2 - General Insurance'!$F$39</f>
        <v>7656</v>
      </c>
      <c r="C9" s="3120">
        <f>+'[18]Sheet 2 - General Insurance'!$F$39</f>
        <v>9759.41</v>
      </c>
      <c r="D9" s="3121">
        <f>+'[19]Sheet 2 - General Insurance'!$F$39</f>
        <v>1171.9387873595697</v>
      </c>
      <c r="E9" s="3120">
        <f>+'[20]Sheet 2 - General Insurance'!$F$39</f>
        <v>5536.0702599999995</v>
      </c>
      <c r="F9" s="3120">
        <f>+'[21]Sheet 2 - General Insurance'!$F$39</f>
        <v>644.87829908176025</v>
      </c>
      <c r="G9" s="3117">
        <f>+'[22]Sheet 2 - General Insurance'!$F$39</f>
        <v>1160.6031782236407</v>
      </c>
      <c r="H9" s="3117">
        <f>+'[23]Sheet 2 - General Insurance'!$F$39</f>
        <v>86399</v>
      </c>
      <c r="I9" s="3117">
        <v>0</v>
      </c>
      <c r="J9" s="3117"/>
      <c r="K9" s="3117">
        <f>+'[25]Sheet 2 - General Insurance'!$F$39</f>
        <v>3844.1516399999996</v>
      </c>
      <c r="L9" s="3117">
        <v>0</v>
      </c>
      <c r="M9" s="3117">
        <f>+'[27]Sheet 2 - General Insurance'!$F$39</f>
        <v>-1186.9653400000025</v>
      </c>
      <c r="N9" s="3117">
        <v>0</v>
      </c>
      <c r="O9" s="3117"/>
      <c r="P9" s="3117">
        <v>0</v>
      </c>
      <c r="Q9" s="3117">
        <f>+'[30]Sheet 2 - General Insurance'!$F$39</f>
        <v>79915.650380000006</v>
      </c>
      <c r="R9" s="3117">
        <f>+'[31]Sheet 2 - General Insurance'!$F$39</f>
        <v>0.39600000000000002</v>
      </c>
      <c r="S9" s="3117">
        <f>+'[32]Sheet 2 - General Insurance'!$F$39</f>
        <v>35622.643089999998</v>
      </c>
      <c r="T9" s="3117">
        <v>0</v>
      </c>
      <c r="U9" s="3117"/>
      <c r="V9" s="3117">
        <f>SUM(B9:U9)</f>
        <v>230523.77629466497</v>
      </c>
      <c r="W9" s="58"/>
    </row>
    <row r="10" spans="1:24">
      <c r="A10" s="2887" t="s">
        <v>416</v>
      </c>
      <c r="B10" s="3120">
        <f>+'[17]Sheet 2 - General Insurance'!$G$39</f>
        <v>387274</v>
      </c>
      <c r="C10" s="3120">
        <f>+'[18]Sheet 2 - General Insurance'!$G$39</f>
        <v>309985.77</v>
      </c>
      <c r="D10" s="3121">
        <f>+'[19]Sheet 2 - General Insurance'!$G$39</f>
        <v>307812.08301</v>
      </c>
      <c r="E10" s="3120">
        <f>+'[20]Sheet 2 - General Insurance'!$G$39</f>
        <v>167842.33261999997</v>
      </c>
      <c r="F10" s="3120">
        <f>+'[21]Sheet 2 - General Insurance'!$G$39</f>
        <v>280598.72018289129</v>
      </c>
      <c r="G10" s="3117">
        <f>+'[22]Sheet 2 - General Insurance'!$G$39</f>
        <v>16094.054978796923</v>
      </c>
      <c r="H10" s="3117">
        <f>+'[23]Sheet 2 - General Insurance'!$G$39</f>
        <v>1790506</v>
      </c>
      <c r="I10" s="3117">
        <f>+'[24]Sheet 2 - General Insurance'!$G$39</f>
        <v>118133.94250999999</v>
      </c>
      <c r="J10" s="3117"/>
      <c r="K10" s="3117">
        <f>+'[25]Sheet 2 - General Insurance'!$G$39</f>
        <v>127809.91972999999</v>
      </c>
      <c r="L10" s="3117">
        <f>+'[26]Sheet 2 - General Insurance'!$G$39/1000</f>
        <v>646346.99948333995</v>
      </c>
      <c r="M10" s="3117">
        <f>+'[27]Sheet 2 - General Insurance'!$G$39</f>
        <v>-4730.1627099999996</v>
      </c>
      <c r="N10" s="3117">
        <f>+'[28]Sheet 2 - General Insurance'!$G$39</f>
        <v>199322.15664000003</v>
      </c>
      <c r="O10" s="3117"/>
      <c r="P10" s="3117">
        <f>+'[29]Sheet 2 - General Insurance'!$G$39</f>
        <v>160694.91036000001</v>
      </c>
      <c r="Q10" s="3117">
        <f>+'[30]Sheet 2 - General Insurance'!$G$39</f>
        <v>2190254.8430200014</v>
      </c>
      <c r="R10" s="3117">
        <f>+'[31]Sheet 2 - General Insurance'!$G$39</f>
        <v>78619.38594708337</v>
      </c>
      <c r="S10" s="3117">
        <f>+'[32]Sheet 2 - General Insurance'!$G$39</f>
        <v>1369705.1760500001</v>
      </c>
      <c r="T10" s="3117">
        <f>+'[33]Sheet 2 - General Insurance'!$G$39</f>
        <v>60668.30536728922</v>
      </c>
      <c r="U10" s="3117"/>
      <c r="V10" s="3117">
        <f>SUM(B10:U10)</f>
        <v>8206938.4371894021</v>
      </c>
      <c r="W10" s="58"/>
    </row>
    <row r="11" spans="1:24">
      <c r="A11" s="3122" t="s">
        <v>118</v>
      </c>
      <c r="B11" s="3123">
        <f t="shared" ref="B11:L11" si="0">SUM(B6:B10)</f>
        <v>982664</v>
      </c>
      <c r="C11" s="3123">
        <f t="shared" si="0"/>
        <v>684309.2</v>
      </c>
      <c r="D11" s="3123">
        <f t="shared" si="0"/>
        <v>1880650.9955873594</v>
      </c>
      <c r="E11" s="3123">
        <f t="shared" si="0"/>
        <v>1097871.3323158177</v>
      </c>
      <c r="F11" s="3123">
        <f t="shared" si="0"/>
        <v>372300.85745528224</v>
      </c>
      <c r="G11" s="3123">
        <f t="shared" si="0"/>
        <v>990399.84172309446</v>
      </c>
      <c r="H11" s="3123">
        <f t="shared" si="0"/>
        <v>8842712</v>
      </c>
      <c r="I11" s="3123">
        <f t="shared" si="0"/>
        <v>1157134.3641900001</v>
      </c>
      <c r="J11" s="3123">
        <f t="shared" si="0"/>
        <v>0</v>
      </c>
      <c r="K11" s="3123">
        <f t="shared" si="0"/>
        <v>1356432.8042299999</v>
      </c>
      <c r="L11" s="3123">
        <f t="shared" si="0"/>
        <v>5371289.7861293294</v>
      </c>
      <c r="M11" s="3123">
        <f t="shared" ref="M11:U11" si="1">SUM(M6:M10)</f>
        <v>1237950.4760799997</v>
      </c>
      <c r="N11" s="3123">
        <f t="shared" si="1"/>
        <v>998249.47389999998</v>
      </c>
      <c r="O11" s="3123">
        <f t="shared" si="1"/>
        <v>0</v>
      </c>
      <c r="P11" s="3123">
        <f t="shared" si="1"/>
        <v>2800480.8703400004</v>
      </c>
      <c r="Q11" s="3123">
        <f t="shared" si="1"/>
        <v>9882727.5120600052</v>
      </c>
      <c r="R11" s="3123">
        <f t="shared" si="1"/>
        <v>237111.77306000004</v>
      </c>
      <c r="S11" s="3123">
        <f t="shared" si="1"/>
        <v>3992334.0801100004</v>
      </c>
      <c r="T11" s="3123">
        <f t="shared" si="1"/>
        <v>298552.04612470552</v>
      </c>
      <c r="U11" s="3123">
        <f t="shared" si="1"/>
        <v>0</v>
      </c>
      <c r="V11" s="3123">
        <f>SUM(V6:V10)</f>
        <v>42183171.413305588</v>
      </c>
      <c r="W11" s="375">
        <f>+'[1]P &amp; L - GI - 2013'!H13</f>
        <v>42183171.414035596</v>
      </c>
      <c r="X11" s="14">
        <f>+V11-W11</f>
        <v>-7.3000788688659668E-4</v>
      </c>
    </row>
    <row r="12" spans="1:24">
      <c r="A12" s="46"/>
      <c r="B12" s="376"/>
      <c r="C12" s="376"/>
      <c r="D12" s="376"/>
      <c r="E12" s="376"/>
      <c r="F12" s="376"/>
      <c r="G12" s="376"/>
      <c r="H12" s="376"/>
      <c r="I12" s="376"/>
      <c r="J12" s="376"/>
      <c r="K12" s="376"/>
      <c r="L12" s="376"/>
      <c r="M12" s="376"/>
      <c r="N12" s="376"/>
      <c r="O12" s="376"/>
      <c r="P12" s="376"/>
      <c r="Q12" s="376"/>
      <c r="R12" s="376"/>
      <c r="S12" s="376"/>
      <c r="T12" s="376"/>
      <c r="U12" s="376"/>
      <c r="V12" s="376"/>
      <c r="W12" s="376"/>
      <c r="X12" s="14"/>
    </row>
    <row r="14" spans="1:24" ht="15" customHeight="1">
      <c r="A14" s="3111" t="s">
        <v>710</v>
      </c>
      <c r="B14" s="3380"/>
      <c r="C14" s="3380"/>
      <c r="D14" s="3380"/>
      <c r="E14" s="3380"/>
      <c r="F14" s="3112"/>
    </row>
    <row r="15" spans="1:24">
      <c r="A15" s="3848" t="s">
        <v>709</v>
      </c>
      <c r="B15" s="373">
        <v>1</v>
      </c>
      <c r="C15" s="373">
        <v>2</v>
      </c>
      <c r="D15" s="373">
        <v>3</v>
      </c>
      <c r="E15" s="373">
        <v>4</v>
      </c>
      <c r="F15" s="373">
        <v>5</v>
      </c>
      <c r="G15" s="373">
        <v>6</v>
      </c>
      <c r="H15" s="373">
        <v>7</v>
      </c>
      <c r="I15" s="373">
        <v>8</v>
      </c>
      <c r="J15" s="373">
        <v>9</v>
      </c>
      <c r="K15" s="373">
        <v>10</v>
      </c>
      <c r="L15" s="373">
        <v>11</v>
      </c>
      <c r="M15" s="373">
        <v>12</v>
      </c>
      <c r="N15" s="373">
        <v>13</v>
      </c>
      <c r="O15" s="373">
        <v>14</v>
      </c>
      <c r="P15" s="373">
        <v>15</v>
      </c>
      <c r="Q15" s="373">
        <v>16</v>
      </c>
      <c r="R15" s="373">
        <v>17</v>
      </c>
      <c r="S15" s="373">
        <v>18</v>
      </c>
      <c r="T15" s="373">
        <v>19</v>
      </c>
      <c r="U15" s="373">
        <v>20</v>
      </c>
      <c r="V15" s="374"/>
    </row>
    <row r="16" spans="1:24">
      <c r="A16" s="3848"/>
      <c r="B16" s="3113" t="s">
        <v>175</v>
      </c>
      <c r="C16" s="3113" t="s">
        <v>177</v>
      </c>
      <c r="D16" s="3113" t="s">
        <v>179</v>
      </c>
      <c r="E16" s="3113" t="s">
        <v>180</v>
      </c>
      <c r="F16" s="3113" t="s">
        <v>181</v>
      </c>
      <c r="G16" s="3113" t="s">
        <v>182</v>
      </c>
      <c r="H16" s="3114" t="s">
        <v>183</v>
      </c>
      <c r="I16" s="3113" t="s">
        <v>184</v>
      </c>
      <c r="J16" s="3113" t="s">
        <v>185</v>
      </c>
      <c r="K16" s="3113" t="s">
        <v>186</v>
      </c>
      <c r="L16" s="3113" t="s">
        <v>187</v>
      </c>
      <c r="M16" s="3113" t="s">
        <v>189</v>
      </c>
      <c r="N16" s="3113" t="s">
        <v>190</v>
      </c>
      <c r="O16" s="3113" t="s">
        <v>681</v>
      </c>
      <c r="P16" s="3113" t="s">
        <v>192</v>
      </c>
      <c r="Q16" s="3115" t="s">
        <v>115</v>
      </c>
      <c r="R16" s="3113" t="s">
        <v>194</v>
      </c>
      <c r="S16" s="3113" t="s">
        <v>195</v>
      </c>
      <c r="T16" s="3113" t="s">
        <v>191</v>
      </c>
      <c r="U16" s="3113" t="s">
        <v>110</v>
      </c>
      <c r="V16" s="3116" t="s">
        <v>118</v>
      </c>
    </row>
    <row r="17" spans="1:24">
      <c r="A17" s="2887" t="s">
        <v>412</v>
      </c>
      <c r="B17" s="3117">
        <f>+'[17]Sheet 2 - General Insurance'!$C$159</f>
        <v>9185.9460699999727</v>
      </c>
      <c r="C17" s="3117">
        <f>+'[18]Sheet 2 - General Insurance'!$C$157</f>
        <v>56046</v>
      </c>
      <c r="D17" s="3117">
        <f>+'[19]Sheet 2 - General Insurance'!$C$177</f>
        <v>127977.13802000001</v>
      </c>
      <c r="E17" s="3117">
        <f>+'[20]Sheet 2 - General Insurance'!$C$161</f>
        <v>7684.5690000000068</v>
      </c>
      <c r="F17" s="3117">
        <f>+'[21]Sheet 2 - General Insurance'!$C$157</f>
        <v>15034.93374</v>
      </c>
      <c r="G17" s="3117">
        <f>+'[22]Sheet 2 - General Insurance'!$C$172</f>
        <v>51972.113134867264</v>
      </c>
      <c r="H17" s="3118">
        <f>+'[1]P &amp; L - GI - 2012 '!C278</f>
        <v>516418</v>
      </c>
      <c r="I17" s="3117">
        <f>+'[24]Sheet 2 - General Insurance'!$C$157</f>
        <v>31180.10871</v>
      </c>
      <c r="J17" s="3117"/>
      <c r="K17" s="3117">
        <f>+'[25]Sheet 2 - General Insurance'!$C$166</f>
        <v>33549.44299000004</v>
      </c>
      <c r="L17" s="3117">
        <f>+'[26]Sheet 2 - General Insurance'!$C$160</f>
        <v>111866.73726999905</v>
      </c>
      <c r="M17" s="3117">
        <f>+'[27]Sheet 2 - General Insurance'!$C$157</f>
        <v>-17648.952170000004</v>
      </c>
      <c r="N17" s="3117">
        <f>+'[28]Sheet 2 - General Insurance'!$C$157</f>
        <v>6128.9368600000016</v>
      </c>
      <c r="O17" s="3117"/>
      <c r="P17" s="3117">
        <f>+'[29]Sheet 2 - General Insurance'!$C$162</f>
        <v>111189.66164999998</v>
      </c>
      <c r="Q17" s="3117">
        <f>+'[1]P &amp; L - GI - 2012 '!C608</f>
        <v>211402.43547999993</v>
      </c>
      <c r="R17" s="3117">
        <f>+'[31]Sheet 2 - General Insurance'!$C$157</f>
        <v>2766.1209099999987</v>
      </c>
      <c r="S17" s="3117">
        <f>+'[32]Sheet 2 - General Insurance'!$C$157</f>
        <v>125135.56500000002</v>
      </c>
      <c r="T17" s="3117">
        <f>+'[33]Sheet 2 - General Insurance'!$C$157</f>
        <v>919.59053914250148</v>
      </c>
      <c r="U17" s="3117"/>
      <c r="V17" s="3117">
        <f>SUM(B17:U17)</f>
        <v>1400808.3472040088</v>
      </c>
      <c r="W17" s="58"/>
    </row>
    <row r="18" spans="1:24">
      <c r="A18" s="2887" t="s">
        <v>413</v>
      </c>
      <c r="B18" s="3117">
        <f>+'[17]Sheet 2 - General Insurance'!$D$159</f>
        <v>24449.195810000005</v>
      </c>
      <c r="C18" s="3117">
        <f>+'[18]Sheet 2 - General Insurance'!$D$157</f>
        <v>10804.21</v>
      </c>
      <c r="D18" s="3117">
        <f>+'[19]Sheet 2 - General Insurance'!$D$177</f>
        <v>74019.987599999993</v>
      </c>
      <c r="E18" s="3117">
        <f>+'[20]Sheet 2 - General Insurance'!$D$161</f>
        <v>15606.681000000002</v>
      </c>
      <c r="F18" s="3117">
        <f>+'[21]Sheet 2 - General Insurance'!$D$157</f>
        <v>5062.196369999996</v>
      </c>
      <c r="G18" s="3117">
        <f>+'[22]Sheet 2 - General Insurance'!$D$172</f>
        <v>1991.9227454172162</v>
      </c>
      <c r="H18" s="3117">
        <f>+'[23]Sheet 2 - General Insurance'!$D$171</f>
        <v>249074</v>
      </c>
      <c r="I18" s="3117">
        <f>+'[24]Sheet 2 - General Insurance'!$D$157</f>
        <v>11456.661589999998</v>
      </c>
      <c r="J18" s="3117"/>
      <c r="K18" s="3117">
        <f>+'[25]Sheet 2 - General Insurance'!$D$166</f>
        <v>4250.1385900000041</v>
      </c>
      <c r="L18" s="3117">
        <f>+'[26]Sheet 2 - General Insurance'!$D$160</f>
        <v>85932.345170000015</v>
      </c>
      <c r="M18" s="3117">
        <f>+'[27]Sheet 2 - General Insurance'!$D$157</f>
        <v>-6118.17839</v>
      </c>
      <c r="N18" s="3117">
        <f>+'[28]Sheet 2 - General Insurance'!$D$157</f>
        <v>8356.355109999995</v>
      </c>
      <c r="O18" s="3117"/>
      <c r="P18" s="3117">
        <f>+'[29]Sheet 2 - General Insurance'!$D$162</f>
        <v>8727.9344600000004</v>
      </c>
      <c r="Q18" s="3117">
        <f>+'[1]P &amp; L - GI - 2012 '!D608</f>
        <v>-17720.445320000021</v>
      </c>
      <c r="R18" s="3117">
        <f>+'[31]Sheet 2 - General Insurance'!$D$157</f>
        <v>0</v>
      </c>
      <c r="S18" s="3117">
        <f>+'[32]Sheet 2 - General Insurance'!$D$157</f>
        <v>59769.151319999903</v>
      </c>
      <c r="T18" s="3117">
        <f>+'[33]Sheet 2 - General Insurance'!$D$157</f>
        <v>1410.5920268613863</v>
      </c>
      <c r="U18" s="3117"/>
      <c r="V18" s="3117">
        <f>SUM(B18:U18)</f>
        <v>537072.74808227841</v>
      </c>
      <c r="W18" s="58"/>
    </row>
    <row r="19" spans="1:24">
      <c r="A19" s="2887" t="s">
        <v>414</v>
      </c>
      <c r="B19" s="3120">
        <f>+'[17]Sheet 2 - General Insurance'!$E$159</f>
        <v>434907.48022000003</v>
      </c>
      <c r="C19" s="3120">
        <f>+'[18]Sheet 2 - General Insurance'!$E$157</f>
        <v>144016</v>
      </c>
      <c r="D19" s="3121">
        <f>+'[19]Sheet 2 - General Insurance'!$E$177</f>
        <v>1446848.9569999999</v>
      </c>
      <c r="E19" s="3120">
        <f>+'[20]Sheet 2 - General Insurance'!$E$161</f>
        <v>786224.00400000007</v>
      </c>
      <c r="F19" s="3120">
        <f>+'[21]Sheet 2 - General Insurance'!$E$157</f>
        <v>50340.718390000002</v>
      </c>
      <c r="G19" s="3117">
        <f>+'[22]Sheet 2 - General Insurance'!$E$172</f>
        <v>925439.04323602375</v>
      </c>
      <c r="H19" s="3117">
        <f>+'[23]Sheet 2 - General Insurance'!$E$171</f>
        <v>6327616</v>
      </c>
      <c r="I19" s="3117">
        <f>+'[24]Sheet 2 - General Insurance'!$E$157</f>
        <v>823724.38667000004</v>
      </c>
      <c r="J19" s="3117"/>
      <c r="K19" s="3117">
        <f>+'[25]Sheet 2 - General Insurance'!$E$166</f>
        <v>1174170.6146</v>
      </c>
      <c r="L19" s="3117">
        <f>+'[26]Sheet 2 - General Insurance'!$E$160</f>
        <v>4042847.8693500198</v>
      </c>
      <c r="M19" s="3117">
        <f>+'[27]Sheet 2 - General Insurance'!$E$157</f>
        <v>854754.57689000014</v>
      </c>
      <c r="N19" s="3117">
        <f>+'[28]Sheet 2 - General Insurance'!$E$157</f>
        <v>589982.99858000013</v>
      </c>
      <c r="O19" s="3117"/>
      <c r="P19" s="3117">
        <f>+'[29]Sheet 2 - General Insurance'!$E$162</f>
        <v>2195967.22358</v>
      </c>
      <c r="Q19" s="3117">
        <f>+'[1]P &amp; L - GI - 2012 '!E608</f>
        <v>7118266.2959499974</v>
      </c>
      <c r="R19" s="3117">
        <f>+'[31]Sheet 2 - General Insurance'!$E$157</f>
        <v>161159.57548999999</v>
      </c>
      <c r="S19" s="3117">
        <f>+'[32]Sheet 2 - General Insurance'!$E$157</f>
        <v>2135046.1623499999</v>
      </c>
      <c r="T19" s="3117">
        <f>+'[33]Sheet 2 - General Insurance'!$E$157</f>
        <v>81797.987727887725</v>
      </c>
      <c r="U19" s="3117"/>
      <c r="V19" s="3117">
        <f>SUM(B19:U19)</f>
        <v>29293109.894033927</v>
      </c>
      <c r="W19" s="58"/>
    </row>
    <row r="20" spans="1:24">
      <c r="A20" s="2887" t="s">
        <v>701</v>
      </c>
      <c r="B20" s="3120">
        <f>+'[17]Sheet 2 - General Insurance'!$F$159</f>
        <v>4970.9151399999992</v>
      </c>
      <c r="C20" s="3120">
        <f>+'[18]Sheet 2 - General Insurance'!$F$157</f>
        <v>8397</v>
      </c>
      <c r="D20" s="3121">
        <f>+'[19]Sheet 2 - General Insurance'!$F$177</f>
        <v>19455</v>
      </c>
      <c r="E20" s="3120">
        <f>+'[20]Sheet 2 - General Insurance'!$F$161</f>
        <v>4865.4969999999994</v>
      </c>
      <c r="F20" s="3120">
        <f>+'[21]Sheet 2 - General Insurance'!$F$157</f>
        <v>1073.2673599999996</v>
      </c>
      <c r="G20" s="3117">
        <f>+'[22]Sheet 2 - General Insurance'!$F$172</f>
        <v>782.44109013554055</v>
      </c>
      <c r="H20" s="3117">
        <f>+'[23]Sheet 2 - General Insurance'!$F$171</f>
        <v>86800</v>
      </c>
      <c r="I20" s="3117">
        <v>0</v>
      </c>
      <c r="J20" s="3117"/>
      <c r="K20" s="3117">
        <f>+'[25]Sheet 2 - General Insurance'!$F$166</f>
        <v>3573.4422999999997</v>
      </c>
      <c r="L20" s="3117">
        <v>0</v>
      </c>
      <c r="M20" s="3117">
        <f>+'[27]Sheet 2 - General Insurance'!$F$157</f>
        <v>511.07972999999981</v>
      </c>
      <c r="N20" s="3117">
        <v>0</v>
      </c>
      <c r="O20" s="3117"/>
      <c r="P20" s="3117">
        <v>0</v>
      </c>
      <c r="Q20" s="3117">
        <f>+'[1]P &amp; L - GI - 2012 '!F608</f>
        <v>81464.675830000022</v>
      </c>
      <c r="R20" s="3117">
        <f>+'[31]Sheet 2 - General Insurance'!$F$157</f>
        <v>0</v>
      </c>
      <c r="S20" s="3117">
        <f>+'[32]Sheet 2 - General Insurance'!$F$157</f>
        <v>33395.974390000003</v>
      </c>
      <c r="T20" s="3117">
        <f>+'[33]Sheet 2 - General Insurance'!$F$157</f>
        <v>0</v>
      </c>
      <c r="U20" s="3117"/>
      <c r="V20" s="3117">
        <f>SUM(B20:U20)</f>
        <v>245289.29284013557</v>
      </c>
      <c r="W20" s="58"/>
    </row>
    <row r="21" spans="1:24">
      <c r="A21" s="2887" t="s">
        <v>416</v>
      </c>
      <c r="B21" s="3120">
        <f>+'[17]Sheet 2 - General Insurance'!$G$159</f>
        <v>211880.42155000003</v>
      </c>
      <c r="C21" s="3120">
        <f>+'[18]Sheet 2 - General Insurance'!$G$157</f>
        <v>216298.16999999998</v>
      </c>
      <c r="D21" s="3121">
        <f>+'[19]Sheet 2 - General Insurance'!$G$177</f>
        <v>299489.78647000022</v>
      </c>
      <c r="E21" s="3120">
        <f>+'[20]Sheet 2 - General Insurance'!$G$161</f>
        <v>154998.67699999991</v>
      </c>
      <c r="F21" s="3120">
        <f>+'[21]Sheet 2 - General Insurance'!$G$157</f>
        <v>316325.48613000027</v>
      </c>
      <c r="G21" s="3117">
        <f>+'[22]Sheet 2 - General Insurance'!$G$172</f>
        <v>23140.302350180227</v>
      </c>
      <c r="H21" s="3117">
        <f>+'[23]Sheet 2 - General Insurance'!$G$171</f>
        <v>1442245</v>
      </c>
      <c r="I21" s="3117">
        <f>+'[24]Sheet 2 - General Insurance'!$G$157</f>
        <v>135022.10180999999</v>
      </c>
      <c r="J21" s="3117"/>
      <c r="K21" s="3117">
        <f>+'[25]Sheet 2 - General Insurance'!$G$166</f>
        <v>109528.20471999998</v>
      </c>
      <c r="L21" s="3117">
        <f>+'[26]Sheet 2 - General Insurance'!$G$160</f>
        <v>611959.9632</v>
      </c>
      <c r="M21" s="3117">
        <f>+'[27]Sheet 2 - General Insurance'!$G$157</f>
        <v>-9878.1185899999982</v>
      </c>
      <c r="N21" s="3117">
        <f>+'[28]Sheet 2 - General Insurance'!$G$157</f>
        <v>118820.44835000001</v>
      </c>
      <c r="O21" s="3117"/>
      <c r="P21" s="3117">
        <f>+'[29]Sheet 2 - General Insurance'!$G$162</f>
        <v>132355</v>
      </c>
      <c r="Q21" s="3117">
        <f>+'[1]P &amp; L - GI - 2012 '!G608</f>
        <v>1965098.9336100011</v>
      </c>
      <c r="R21" s="3117">
        <f>+'[31]Sheet 2 - General Insurance'!$G$157</f>
        <v>52386.550160000035</v>
      </c>
      <c r="S21" s="3117">
        <f>+'[32]Sheet 2 - General Insurance'!$G$157</f>
        <v>1175064.1522499998</v>
      </c>
      <c r="T21" s="3117">
        <f>+'[33]Sheet 2 - General Insurance'!$G$157</f>
        <v>22586.550192785209</v>
      </c>
      <c r="U21" s="3117"/>
      <c r="V21" s="3117">
        <f>SUM(B21:U21)</f>
        <v>6977321.6292029666</v>
      </c>
      <c r="W21" s="58"/>
    </row>
    <row r="22" spans="1:24">
      <c r="A22" s="3122" t="s">
        <v>118</v>
      </c>
      <c r="B22" s="3123">
        <f>SUM(B17:B21)</f>
        <v>685393.95879000006</v>
      </c>
      <c r="C22" s="3123">
        <f>SUM(C17:C21)</f>
        <v>435561.38</v>
      </c>
      <c r="D22" s="3123">
        <f>SUM(D17:D21)</f>
        <v>1967790.8690900002</v>
      </c>
      <c r="E22" s="3123">
        <f>SUM(E17:E21)</f>
        <v>969379.42799999996</v>
      </c>
      <c r="F22" s="3123">
        <f>SUM(F17:F21)</f>
        <v>387836.60199000023</v>
      </c>
      <c r="G22" s="3123">
        <f t="shared" ref="G22:V22" si="2">SUM(G17:G21)</f>
        <v>1003325.822556624</v>
      </c>
      <c r="H22" s="3123">
        <f t="shared" si="2"/>
        <v>8622153</v>
      </c>
      <c r="I22" s="3123">
        <f t="shared" si="2"/>
        <v>1001383.25878</v>
      </c>
      <c r="J22" s="3123">
        <f t="shared" si="2"/>
        <v>0</v>
      </c>
      <c r="K22" s="3123">
        <f t="shared" si="2"/>
        <v>1325071.8432</v>
      </c>
      <c r="L22" s="3123">
        <f>SUM(L17:L21)</f>
        <v>4852606.9149900191</v>
      </c>
      <c r="M22" s="3123">
        <f t="shared" si="2"/>
        <v>821620.40747000021</v>
      </c>
      <c r="N22" s="3123">
        <f t="shared" si="2"/>
        <v>723288.73890000011</v>
      </c>
      <c r="O22" s="3123">
        <f t="shared" si="2"/>
        <v>0</v>
      </c>
      <c r="P22" s="3123">
        <f t="shared" si="2"/>
        <v>2448239.8196899998</v>
      </c>
      <c r="Q22" s="3123">
        <f t="shared" si="2"/>
        <v>9358511.8955499977</v>
      </c>
      <c r="R22" s="3123">
        <f t="shared" si="2"/>
        <v>216312.24656000003</v>
      </c>
      <c r="S22" s="3123">
        <f t="shared" si="2"/>
        <v>3528411.0053099999</v>
      </c>
      <c r="T22" s="3123">
        <f t="shared" si="2"/>
        <v>106714.72048667682</v>
      </c>
      <c r="U22" s="3123">
        <f t="shared" si="2"/>
        <v>0</v>
      </c>
      <c r="V22" s="3123">
        <f t="shared" si="2"/>
        <v>38453601.911363319</v>
      </c>
      <c r="W22" s="375">
        <f>+'[1]P &amp; L - GI - 2012 '!H13</f>
        <v>38453601.911363319</v>
      </c>
      <c r="X22" s="14">
        <f>+V22-W22</f>
        <v>0</v>
      </c>
    </row>
    <row r="25" spans="1:24" ht="15" customHeight="1">
      <c r="A25" s="3111" t="s">
        <v>711</v>
      </c>
      <c r="B25" s="3380"/>
      <c r="C25" s="3380"/>
      <c r="D25" s="3380"/>
      <c r="E25" s="3380"/>
      <c r="F25" s="3112"/>
    </row>
    <row r="26" spans="1:24">
      <c r="A26" s="3848" t="s">
        <v>709</v>
      </c>
      <c r="B26" s="373">
        <v>1</v>
      </c>
      <c r="C26" s="373">
        <v>2</v>
      </c>
      <c r="D26" s="373">
        <v>3</v>
      </c>
      <c r="E26" s="373">
        <v>4</v>
      </c>
      <c r="F26" s="373">
        <v>5</v>
      </c>
      <c r="G26" s="373">
        <v>6</v>
      </c>
      <c r="H26" s="373">
        <v>7</v>
      </c>
      <c r="I26" s="373">
        <v>8</v>
      </c>
      <c r="J26" s="373">
        <v>9</v>
      </c>
      <c r="K26" s="373">
        <v>10</v>
      </c>
      <c r="L26" s="373">
        <v>11</v>
      </c>
      <c r="M26" s="373">
        <v>12</v>
      </c>
      <c r="N26" s="373">
        <v>13</v>
      </c>
      <c r="O26" s="373">
        <v>14</v>
      </c>
      <c r="P26" s="373">
        <v>15</v>
      </c>
      <c r="Q26" s="373">
        <v>16</v>
      </c>
      <c r="R26" s="373">
        <v>17</v>
      </c>
      <c r="S26" s="373">
        <v>18</v>
      </c>
      <c r="T26" s="373">
        <v>19</v>
      </c>
      <c r="U26" s="373">
        <v>20</v>
      </c>
      <c r="V26" s="374"/>
    </row>
    <row r="27" spans="1:24">
      <c r="A27" s="3848"/>
      <c r="B27" s="3113" t="s">
        <v>175</v>
      </c>
      <c r="C27" s="3113" t="s">
        <v>177</v>
      </c>
      <c r="D27" s="3113" t="s">
        <v>179</v>
      </c>
      <c r="E27" s="3113" t="s">
        <v>180</v>
      </c>
      <c r="F27" s="3113" t="s">
        <v>181</v>
      </c>
      <c r="G27" s="3113" t="s">
        <v>182</v>
      </c>
      <c r="H27" s="3114" t="s">
        <v>183</v>
      </c>
      <c r="I27" s="3113" t="s">
        <v>184</v>
      </c>
      <c r="J27" s="3113" t="s">
        <v>185</v>
      </c>
      <c r="K27" s="3113" t="s">
        <v>186</v>
      </c>
      <c r="L27" s="3113" t="s">
        <v>187</v>
      </c>
      <c r="M27" s="3113" t="s">
        <v>189</v>
      </c>
      <c r="N27" s="3113" t="s">
        <v>190</v>
      </c>
      <c r="O27" s="3113" t="s">
        <v>681</v>
      </c>
      <c r="P27" s="3113" t="s">
        <v>192</v>
      </c>
      <c r="Q27" s="3113" t="s">
        <v>115</v>
      </c>
      <c r="R27" s="3113" t="s">
        <v>194</v>
      </c>
      <c r="S27" s="3113" t="s">
        <v>195</v>
      </c>
      <c r="T27" s="3113" t="s">
        <v>191</v>
      </c>
      <c r="U27" s="3113" t="s">
        <v>110</v>
      </c>
      <c r="V27" s="3116" t="s">
        <v>118</v>
      </c>
    </row>
    <row r="28" spans="1:24">
      <c r="A28" s="2887" t="s">
        <v>412</v>
      </c>
      <c r="B28" s="3117">
        <v>4576.2172399999981</v>
      </c>
      <c r="C28" s="3117">
        <v>71591</v>
      </c>
      <c r="D28" s="3117">
        <v>111314.74394999997</v>
      </c>
      <c r="E28" s="3117">
        <v>9235.9889999999978</v>
      </c>
      <c r="F28" s="3117">
        <v>3998</v>
      </c>
      <c r="G28" s="3117">
        <v>35470.872924293399</v>
      </c>
      <c r="H28" s="3118">
        <v>442930</v>
      </c>
      <c r="I28" s="3117">
        <v>30909.073029999992</v>
      </c>
      <c r="J28" s="3117"/>
      <c r="K28" s="3117">
        <v>31862.239679999999</v>
      </c>
      <c r="L28" s="3117">
        <v>92610.746889998991</v>
      </c>
      <c r="M28" s="3117"/>
      <c r="N28" s="3117">
        <v>1058</v>
      </c>
      <c r="O28" s="3117"/>
      <c r="P28" s="3117">
        <v>45621</v>
      </c>
      <c r="Q28" s="3117">
        <v>206881.33041999995</v>
      </c>
      <c r="R28" s="3117">
        <v>5879</v>
      </c>
      <c r="S28" s="3117">
        <v>47649.619230000055</v>
      </c>
      <c r="T28" s="3117">
        <v>3</v>
      </c>
      <c r="U28" s="3117"/>
      <c r="V28" s="3117">
        <f>SUM(B28:U28)</f>
        <v>1141590.8323642923</v>
      </c>
      <c r="W28" s="58"/>
    </row>
    <row r="29" spans="1:24">
      <c r="A29" s="2887" t="s">
        <v>413</v>
      </c>
      <c r="B29" s="3117">
        <v>9222.03125</v>
      </c>
      <c r="C29" s="3117">
        <v>9237</v>
      </c>
      <c r="D29" s="3117">
        <v>69548.184239999988</v>
      </c>
      <c r="E29" s="3117">
        <v>15738.094999999994</v>
      </c>
      <c r="F29" s="3117">
        <v>92641</v>
      </c>
      <c r="G29" s="3117">
        <v>1513.1036928860751</v>
      </c>
      <c r="H29" s="3117">
        <v>266899</v>
      </c>
      <c r="I29" s="3117">
        <v>10523.719789999997</v>
      </c>
      <c r="J29" s="3117"/>
      <c r="K29" s="3117">
        <v>5145.8688699999975</v>
      </c>
      <c r="L29" s="3117">
        <v>70225.275380000006</v>
      </c>
      <c r="M29" s="3117"/>
      <c r="N29" s="3117">
        <v>2656</v>
      </c>
      <c r="O29" s="3117"/>
      <c r="P29" s="3117">
        <v>8094</v>
      </c>
      <c r="Q29" s="3117">
        <v>133869.90681999997</v>
      </c>
      <c r="R29" s="3117">
        <v>0</v>
      </c>
      <c r="S29" s="3117">
        <v>107362.12702000003</v>
      </c>
      <c r="T29" s="3117">
        <v>2</v>
      </c>
      <c r="U29" s="3117"/>
      <c r="V29" s="3117">
        <f>SUM(B29:U29)</f>
        <v>802677.31206288608</v>
      </c>
      <c r="W29" s="58"/>
    </row>
    <row r="30" spans="1:24">
      <c r="A30" s="2887" t="s">
        <v>414</v>
      </c>
      <c r="B30" s="3120">
        <v>240669.23228</v>
      </c>
      <c r="C30" s="3120">
        <v>100932</v>
      </c>
      <c r="D30" s="3121">
        <v>1744259.8762700001</v>
      </c>
      <c r="E30" s="3120">
        <v>609412.68299999996</v>
      </c>
      <c r="F30" s="3120">
        <v>33533</v>
      </c>
      <c r="G30" s="3117">
        <v>517642.00178366603</v>
      </c>
      <c r="H30" s="3117">
        <v>5613160</v>
      </c>
      <c r="I30" s="3117">
        <v>581708.1924099999</v>
      </c>
      <c r="J30" s="3117"/>
      <c r="K30" s="3117">
        <v>1035090.14004</v>
      </c>
      <c r="L30" s="3117">
        <v>3545834.41431998</v>
      </c>
      <c r="M30" s="3117">
        <v>50594.218070000003</v>
      </c>
      <c r="N30" s="3117">
        <v>349902</v>
      </c>
      <c r="O30" s="3117"/>
      <c r="P30" s="3117">
        <v>1312591</v>
      </c>
      <c r="Q30" s="3117">
        <v>5739853.494380001</v>
      </c>
      <c r="R30" s="3117">
        <v>112175</v>
      </c>
      <c r="S30" s="3117">
        <v>1987683.4469299999</v>
      </c>
      <c r="T30" s="3117">
        <v>30</v>
      </c>
      <c r="U30" s="3117"/>
      <c r="V30" s="3117">
        <f>SUM(B30:U30)</f>
        <v>23575070.699483648</v>
      </c>
      <c r="W30" s="58"/>
    </row>
    <row r="31" spans="1:24">
      <c r="A31" s="2887" t="s">
        <v>701</v>
      </c>
      <c r="B31" s="3120">
        <v>4449</v>
      </c>
      <c r="C31" s="3120">
        <v>7623</v>
      </c>
      <c r="D31" s="3121">
        <v>13310.683964661497</v>
      </c>
      <c r="E31" s="3120">
        <v>4177.3700000000008</v>
      </c>
      <c r="F31" s="3120">
        <v>-118</v>
      </c>
      <c r="G31" s="3117">
        <v>385.5025901412705</v>
      </c>
      <c r="H31" s="3117">
        <v>54921</v>
      </c>
      <c r="I31" s="3117">
        <v>0</v>
      </c>
      <c r="J31" s="3117"/>
      <c r="K31" s="3117">
        <v>4689.0336699999998</v>
      </c>
      <c r="L31" s="3117">
        <v>0</v>
      </c>
      <c r="M31" s="3117"/>
      <c r="N31" s="3117">
        <v>0</v>
      </c>
      <c r="O31" s="3117"/>
      <c r="P31" s="3117">
        <v>0</v>
      </c>
      <c r="Q31" s="3117">
        <v>68525.751139999978</v>
      </c>
      <c r="R31" s="3117">
        <v>0</v>
      </c>
      <c r="S31" s="3117">
        <v>32019.204879999998</v>
      </c>
      <c r="T31" s="3117">
        <v>0</v>
      </c>
      <c r="U31" s="3117"/>
      <c r="V31" s="3117">
        <f>SUM(B31:U31)</f>
        <v>189982.54624480274</v>
      </c>
      <c r="W31" s="58"/>
    </row>
    <row r="32" spans="1:24">
      <c r="A32" s="2887" t="s">
        <v>416</v>
      </c>
      <c r="B32" s="3120">
        <v>88661.172119999974</v>
      </c>
      <c r="C32" s="3120">
        <v>147364</v>
      </c>
      <c r="D32" s="3121">
        <v>307297.38688533846</v>
      </c>
      <c r="E32" s="3120">
        <v>140432.51300000004</v>
      </c>
      <c r="F32" s="3120">
        <v>224997</v>
      </c>
      <c r="G32" s="3117">
        <v>16229.325792022566</v>
      </c>
      <c r="H32" s="3117">
        <v>1404997</v>
      </c>
      <c r="I32" s="3117">
        <v>105451.65486000001</v>
      </c>
      <c r="J32" s="3117"/>
      <c r="K32" s="3117">
        <v>85161.766959999979</v>
      </c>
      <c r="L32" s="3117">
        <v>524599.49359999993</v>
      </c>
      <c r="M32" s="3117"/>
      <c r="N32" s="3117">
        <v>34702.252620000014</v>
      </c>
      <c r="O32" s="3117"/>
      <c r="P32" s="3117">
        <v>111665</v>
      </c>
      <c r="Q32" s="3117">
        <v>1920732.3758600007</v>
      </c>
      <c r="R32" s="3117">
        <v>50110</v>
      </c>
      <c r="S32" s="3117">
        <v>945674.49907999998</v>
      </c>
      <c r="T32" s="3117">
        <v>0</v>
      </c>
      <c r="U32" s="3117"/>
      <c r="V32" s="3117">
        <f>SUM(B32:U32)</f>
        <v>6108075.4407773614</v>
      </c>
      <c r="W32" s="58"/>
    </row>
    <row r="33" spans="1:24">
      <c r="A33" s="3122" t="s">
        <v>118</v>
      </c>
      <c r="B33" s="3123">
        <f>SUM(B28:B32)</f>
        <v>347577.65288999997</v>
      </c>
      <c r="C33" s="3123">
        <f t="shared" ref="C33:V33" si="3">SUM(C28:C32)</f>
        <v>336747</v>
      </c>
      <c r="D33" s="3123">
        <f>SUM(D28:D32)</f>
        <v>2245730.87531</v>
      </c>
      <c r="E33" s="3123">
        <f t="shared" si="3"/>
        <v>778996.65</v>
      </c>
      <c r="F33" s="3123">
        <f>SUM(F28:F32)</f>
        <v>355051</v>
      </c>
      <c r="G33" s="3123">
        <f t="shared" si="3"/>
        <v>571240.80678300932</v>
      </c>
      <c r="H33" s="3123">
        <f t="shared" si="3"/>
        <v>7782907</v>
      </c>
      <c r="I33" s="3123">
        <f t="shared" si="3"/>
        <v>728592.64008999988</v>
      </c>
      <c r="J33" s="3123">
        <f t="shared" si="3"/>
        <v>0</v>
      </c>
      <c r="K33" s="3123">
        <f t="shared" si="3"/>
        <v>1161949.0492199999</v>
      </c>
      <c r="L33" s="3123">
        <f>SUM(L28:L32)</f>
        <v>4233269.9301899793</v>
      </c>
      <c r="M33" s="3123">
        <f t="shared" si="3"/>
        <v>50594.218070000003</v>
      </c>
      <c r="N33" s="3123">
        <f t="shared" si="3"/>
        <v>388318.25262000004</v>
      </c>
      <c r="O33" s="3123">
        <f t="shared" si="3"/>
        <v>0</v>
      </c>
      <c r="P33" s="3123">
        <f t="shared" si="3"/>
        <v>1477971</v>
      </c>
      <c r="Q33" s="3123">
        <f t="shared" si="3"/>
        <v>8069862.8586200019</v>
      </c>
      <c r="R33" s="3123">
        <f t="shared" si="3"/>
        <v>168164</v>
      </c>
      <c r="S33" s="3123">
        <f t="shared" si="3"/>
        <v>3120388.89714</v>
      </c>
      <c r="T33" s="3123">
        <f t="shared" si="3"/>
        <v>35</v>
      </c>
      <c r="U33" s="3123">
        <f t="shared" si="3"/>
        <v>0</v>
      </c>
      <c r="V33" s="3123">
        <f t="shared" si="3"/>
        <v>31817396.830932993</v>
      </c>
      <c r="W33" s="375" t="e">
        <f>+#REF!</f>
        <v>#REF!</v>
      </c>
      <c r="X33" s="14" t="e">
        <f>+V33-W33</f>
        <v>#REF!</v>
      </c>
    </row>
    <row r="34" spans="1:24">
      <c r="A34" s="44"/>
      <c r="B34" s="377"/>
      <c r="C34" s="377"/>
      <c r="D34" s="377"/>
      <c r="E34" s="378"/>
      <c r="F34" s="378"/>
    </row>
    <row r="36" spans="1:24">
      <c r="A36" s="3111" t="s">
        <v>712</v>
      </c>
      <c r="B36" s="3381"/>
      <c r="C36" s="3381"/>
      <c r="D36" s="3381"/>
      <c r="E36" s="3381"/>
      <c r="F36" s="3124"/>
    </row>
    <row r="37" spans="1:24">
      <c r="A37" s="3848" t="s">
        <v>709</v>
      </c>
      <c r="B37" s="373">
        <v>1</v>
      </c>
      <c r="C37" s="373">
        <v>2</v>
      </c>
      <c r="D37" s="373">
        <v>3</v>
      </c>
      <c r="E37" s="373">
        <v>4</v>
      </c>
      <c r="F37" s="373">
        <v>5</v>
      </c>
      <c r="G37" s="373">
        <v>6</v>
      </c>
      <c r="H37" s="373">
        <v>7</v>
      </c>
      <c r="I37" s="373">
        <v>8</v>
      </c>
      <c r="J37" s="373">
        <v>9</v>
      </c>
      <c r="K37" s="373">
        <v>10</v>
      </c>
      <c r="L37" s="373">
        <v>11</v>
      </c>
      <c r="M37" s="373">
        <v>12</v>
      </c>
      <c r="N37" s="373">
        <v>13</v>
      </c>
      <c r="O37" s="373">
        <v>14</v>
      </c>
      <c r="P37" s="373">
        <v>15</v>
      </c>
      <c r="Q37" s="373">
        <v>16</v>
      </c>
      <c r="R37" s="373">
        <v>17</v>
      </c>
      <c r="S37" s="373">
        <v>18</v>
      </c>
      <c r="T37" s="373">
        <v>19</v>
      </c>
      <c r="U37" s="373">
        <v>20</v>
      </c>
      <c r="V37" s="374"/>
    </row>
    <row r="38" spans="1:24">
      <c r="A38" s="3848"/>
      <c r="B38" s="3113" t="s">
        <v>175</v>
      </c>
      <c r="C38" s="3113" t="s">
        <v>177</v>
      </c>
      <c r="D38" s="3113" t="s">
        <v>179</v>
      </c>
      <c r="E38" s="3113" t="s">
        <v>180</v>
      </c>
      <c r="F38" s="3113" t="s">
        <v>181</v>
      </c>
      <c r="G38" s="3113" t="s">
        <v>182</v>
      </c>
      <c r="H38" s="3114" t="s">
        <v>183</v>
      </c>
      <c r="I38" s="3113" t="s">
        <v>184</v>
      </c>
      <c r="J38" s="3113" t="s">
        <v>185</v>
      </c>
      <c r="K38" s="3113" t="s">
        <v>186</v>
      </c>
      <c r="L38" s="3113" t="s">
        <v>187</v>
      </c>
      <c r="M38" s="3113" t="s">
        <v>189</v>
      </c>
      <c r="N38" s="3113" t="s">
        <v>190</v>
      </c>
      <c r="O38" s="3113" t="s">
        <v>681</v>
      </c>
      <c r="P38" s="3113" t="s">
        <v>192</v>
      </c>
      <c r="Q38" s="3113" t="s">
        <v>115</v>
      </c>
      <c r="R38" s="3113" t="s">
        <v>194</v>
      </c>
      <c r="S38" s="3113" t="s">
        <v>195</v>
      </c>
      <c r="T38" s="3113" t="s">
        <v>191</v>
      </c>
      <c r="U38" s="3113" t="s">
        <v>110</v>
      </c>
      <c r="V38" s="3116" t="s">
        <v>118</v>
      </c>
    </row>
    <row r="39" spans="1:24">
      <c r="A39" s="2887" t="s">
        <v>412</v>
      </c>
      <c r="B39" s="3117">
        <v>1228</v>
      </c>
      <c r="C39" s="3117">
        <v>96193</v>
      </c>
      <c r="D39" s="3117">
        <v>77802.732860000076</v>
      </c>
      <c r="E39" s="3117">
        <v>10377.061</v>
      </c>
      <c r="F39" s="3117">
        <v>16021</v>
      </c>
      <c r="G39" s="3117">
        <v>12977</v>
      </c>
      <c r="H39" s="3118">
        <v>384804</v>
      </c>
      <c r="I39" s="3117">
        <v>22163.706549999999</v>
      </c>
      <c r="J39" s="3117"/>
      <c r="K39" s="3117">
        <v>30327</v>
      </c>
      <c r="L39" s="3117">
        <v>83180.187950000036</v>
      </c>
      <c r="M39" s="3117"/>
      <c r="N39" s="3117">
        <v>628.73019999999838</v>
      </c>
      <c r="O39" s="3117"/>
      <c r="P39" s="3117">
        <v>7974</v>
      </c>
      <c r="Q39" s="3117">
        <v>299561.5532000002</v>
      </c>
      <c r="R39" s="3117">
        <v>5226</v>
      </c>
      <c r="S39" s="3117">
        <v>49722.125179999974</v>
      </c>
      <c r="T39" s="3117"/>
      <c r="U39" s="3117"/>
      <c r="V39" s="3117">
        <f>SUM(B39:U39)</f>
        <v>1098186.0969400003</v>
      </c>
      <c r="W39" s="58"/>
    </row>
    <row r="40" spans="1:24">
      <c r="A40" s="2887" t="s">
        <v>413</v>
      </c>
      <c r="B40" s="3117">
        <v>5810</v>
      </c>
      <c r="C40" s="3117">
        <v>7885</v>
      </c>
      <c r="D40" s="3117">
        <v>57221.429510000002</v>
      </c>
      <c r="E40" s="3117">
        <v>30924</v>
      </c>
      <c r="F40" s="3117">
        <v>59629</v>
      </c>
      <c r="G40" s="3117">
        <v>399.7399999999995</v>
      </c>
      <c r="H40" s="3117">
        <v>221194</v>
      </c>
      <c r="I40" s="3117">
        <v>9161.1163699999979</v>
      </c>
      <c r="J40" s="3117"/>
      <c r="K40" s="3117">
        <v>4347</v>
      </c>
      <c r="L40" s="3117">
        <v>53024.702639999996</v>
      </c>
      <c r="M40" s="3117"/>
      <c r="N40" s="3117">
        <v>2915.6246100000008</v>
      </c>
      <c r="O40" s="3117"/>
      <c r="P40" s="3117">
        <v>944</v>
      </c>
      <c r="Q40" s="3117">
        <v>124253.36211000005</v>
      </c>
      <c r="R40" s="3117">
        <v>0</v>
      </c>
      <c r="S40" s="3117">
        <v>96766.83063000004</v>
      </c>
      <c r="T40" s="3117"/>
      <c r="U40" s="3117"/>
      <c r="V40" s="3117">
        <f>SUM(B40:U40)</f>
        <v>674475.80587000004</v>
      </c>
      <c r="W40" s="58"/>
    </row>
    <row r="41" spans="1:24">
      <c r="A41" s="2887" t="s">
        <v>414</v>
      </c>
      <c r="B41" s="3120">
        <v>195929</v>
      </c>
      <c r="C41" s="3120">
        <v>71375</v>
      </c>
      <c r="D41" s="3121">
        <v>1277150.35537</v>
      </c>
      <c r="E41" s="3120">
        <v>444384.6</v>
      </c>
      <c r="F41" s="3120">
        <v>67181</v>
      </c>
      <c r="G41" s="3117">
        <v>61955.084000000003</v>
      </c>
      <c r="H41" s="3117">
        <v>5295407</v>
      </c>
      <c r="I41" s="3117">
        <v>425607.61602000002</v>
      </c>
      <c r="J41" s="3117"/>
      <c r="K41" s="3117">
        <v>769922</v>
      </c>
      <c r="L41" s="3117">
        <v>3177981.5238199998</v>
      </c>
      <c r="M41" s="3117"/>
      <c r="N41" s="3117">
        <v>310691.52703</v>
      </c>
      <c r="O41" s="3117"/>
      <c r="P41" s="3117">
        <v>191685</v>
      </c>
      <c r="Q41" s="3117">
        <v>4305077.0586300008</v>
      </c>
      <c r="R41" s="3117">
        <v>91789</v>
      </c>
      <c r="S41" s="3117">
        <v>1670750.9310699997</v>
      </c>
      <c r="T41" s="3117"/>
      <c r="U41" s="3117"/>
      <c r="V41" s="3117">
        <f>SUM(B41:U41)</f>
        <v>18356886.695939999</v>
      </c>
      <c r="W41" s="58"/>
    </row>
    <row r="42" spans="1:24">
      <c r="A42" s="2887" t="s">
        <v>701</v>
      </c>
      <c r="B42" s="3120">
        <v>0</v>
      </c>
      <c r="C42" s="3120">
        <v>5117</v>
      </c>
      <c r="D42" s="3121">
        <v>35833.748161499519</v>
      </c>
      <c r="E42" s="3120">
        <v>3587.8</v>
      </c>
      <c r="F42" s="3120">
        <v>1918</v>
      </c>
      <c r="G42" s="3117">
        <v>0</v>
      </c>
      <c r="H42" s="3117">
        <v>93179</v>
      </c>
      <c r="I42" s="3117">
        <v>0</v>
      </c>
      <c r="J42" s="3117"/>
      <c r="K42" s="3117">
        <v>4484</v>
      </c>
      <c r="L42" s="3117">
        <v>0</v>
      </c>
      <c r="M42" s="3117"/>
      <c r="N42" s="3117">
        <v>0</v>
      </c>
      <c r="O42" s="3117"/>
      <c r="P42" s="3117">
        <v>0</v>
      </c>
      <c r="Q42" s="3117">
        <v>79320.056850000008</v>
      </c>
      <c r="R42" s="3117">
        <v>0</v>
      </c>
      <c r="S42" s="3117">
        <v>27349.42931</v>
      </c>
      <c r="T42" s="3117"/>
      <c r="U42" s="3117"/>
      <c r="V42" s="3117">
        <f>SUM(B42:U42)</f>
        <v>250789.03432149955</v>
      </c>
      <c r="W42" s="58"/>
    </row>
    <row r="43" spans="1:24">
      <c r="A43" s="2887" t="s">
        <v>416</v>
      </c>
      <c r="B43" s="3120">
        <v>74894</v>
      </c>
      <c r="C43" s="3120">
        <v>112867</v>
      </c>
      <c r="D43" s="3121">
        <v>597887.92689850053</v>
      </c>
      <c r="E43" s="3120">
        <v>224261.9</v>
      </c>
      <c r="F43" s="3120">
        <v>287484</v>
      </c>
      <c r="G43" s="3117">
        <v>2111.336000000003</v>
      </c>
      <c r="H43" s="3117">
        <v>1254576</v>
      </c>
      <c r="I43" s="3117">
        <v>87365.471450000026</v>
      </c>
      <c r="J43" s="3117"/>
      <c r="K43" s="3117">
        <v>49997</v>
      </c>
      <c r="L43" s="3117">
        <v>483805.63531000004</v>
      </c>
      <c r="M43" s="3117"/>
      <c r="N43" s="3117">
        <v>22862.317689999996</v>
      </c>
      <c r="O43" s="3117"/>
      <c r="P43" s="3117">
        <v>30865</v>
      </c>
      <c r="Q43" s="3117">
        <v>1225973.8938278002</v>
      </c>
      <c r="R43" s="3117">
        <v>97669</v>
      </c>
      <c r="S43" s="3117">
        <v>478738.84320000012</v>
      </c>
      <c r="T43" s="3117"/>
      <c r="U43" s="3117"/>
      <c r="V43" s="3117">
        <f>SUM(B43:U43)</f>
        <v>5031359.3243763</v>
      </c>
      <c r="W43" s="58"/>
    </row>
    <row r="44" spans="1:24">
      <c r="A44" s="3122" t="s">
        <v>118</v>
      </c>
      <c r="B44" s="3123">
        <f>SUM(B39:B43)</f>
        <v>277861</v>
      </c>
      <c r="C44" s="3123">
        <f t="shared" ref="C44:V44" si="4">SUM(C39:C43)</f>
        <v>293437</v>
      </c>
      <c r="D44" s="3123">
        <f>SUM(D39:D43)</f>
        <v>2045896.1928000003</v>
      </c>
      <c r="E44" s="3123">
        <f t="shared" si="4"/>
        <v>713535.36099999992</v>
      </c>
      <c r="F44" s="3123">
        <f t="shared" si="4"/>
        <v>432233</v>
      </c>
      <c r="G44" s="3123">
        <f t="shared" si="4"/>
        <v>77443.16</v>
      </c>
      <c r="H44" s="3123">
        <f>SUM(H39:H43)</f>
        <v>7249160</v>
      </c>
      <c r="I44" s="3123">
        <f t="shared" si="4"/>
        <v>544297.91039000009</v>
      </c>
      <c r="J44" s="3123">
        <f t="shared" si="4"/>
        <v>0</v>
      </c>
      <c r="K44" s="3123">
        <f t="shared" si="4"/>
        <v>859077</v>
      </c>
      <c r="L44" s="3123">
        <f t="shared" si="4"/>
        <v>3797992.0497199995</v>
      </c>
      <c r="M44" s="3123">
        <f t="shared" si="4"/>
        <v>0</v>
      </c>
      <c r="N44" s="3123">
        <f t="shared" si="4"/>
        <v>337098.19952999998</v>
      </c>
      <c r="O44" s="3123">
        <f t="shared" si="4"/>
        <v>0</v>
      </c>
      <c r="P44" s="3123">
        <f t="shared" si="4"/>
        <v>231468</v>
      </c>
      <c r="Q44" s="3123">
        <f t="shared" si="4"/>
        <v>6034185.9246178009</v>
      </c>
      <c r="R44" s="3123">
        <f t="shared" si="4"/>
        <v>194684</v>
      </c>
      <c r="S44" s="3123">
        <f t="shared" si="4"/>
        <v>2323328.1593899997</v>
      </c>
      <c r="T44" s="3123">
        <f t="shared" si="4"/>
        <v>0</v>
      </c>
      <c r="U44" s="3123">
        <f t="shared" si="4"/>
        <v>0</v>
      </c>
      <c r="V44" s="3123">
        <f t="shared" si="4"/>
        <v>25411696.957447797</v>
      </c>
      <c r="W44" s="375" t="e">
        <f>+#REF!</f>
        <v>#REF!</v>
      </c>
      <c r="X44" s="14" t="e">
        <f>+V44-W44</f>
        <v>#REF!</v>
      </c>
    </row>
    <row r="47" spans="1:24">
      <c r="A47" s="3111" t="s">
        <v>713</v>
      </c>
      <c r="B47" s="3381"/>
      <c r="C47" s="3381"/>
      <c r="D47" s="3381"/>
      <c r="E47" s="3381"/>
      <c r="F47" s="3124"/>
    </row>
    <row r="48" spans="1:24">
      <c r="A48" s="3848" t="s">
        <v>709</v>
      </c>
      <c r="B48" s="373">
        <v>1</v>
      </c>
      <c r="C48" s="373">
        <v>2</v>
      </c>
      <c r="D48" s="373">
        <v>3</v>
      </c>
      <c r="E48" s="373">
        <v>4</v>
      </c>
      <c r="F48" s="373">
        <v>5</v>
      </c>
      <c r="G48" s="373">
        <v>6</v>
      </c>
      <c r="H48" s="373">
        <v>7</v>
      </c>
      <c r="I48" s="373">
        <v>8</v>
      </c>
      <c r="J48" s="373">
        <v>9</v>
      </c>
      <c r="K48" s="373">
        <v>10</v>
      </c>
      <c r="L48" s="373">
        <v>11</v>
      </c>
      <c r="M48" s="373">
        <v>12</v>
      </c>
      <c r="N48" s="373">
        <v>13</v>
      </c>
      <c r="O48" s="373">
        <v>14</v>
      </c>
      <c r="P48" s="373">
        <v>15</v>
      </c>
      <c r="Q48" s="373">
        <v>16</v>
      </c>
      <c r="R48" s="373">
        <v>17</v>
      </c>
      <c r="S48" s="373">
        <v>18</v>
      </c>
      <c r="T48" s="373">
        <v>19</v>
      </c>
      <c r="U48" s="373">
        <v>20</v>
      </c>
      <c r="V48" s="374"/>
    </row>
    <row r="49" spans="1:24">
      <c r="A49" s="3848"/>
      <c r="B49" s="3113" t="s">
        <v>175</v>
      </c>
      <c r="C49" s="3113" t="s">
        <v>177</v>
      </c>
      <c r="D49" s="3113" t="s">
        <v>179</v>
      </c>
      <c r="E49" s="3113" t="s">
        <v>180</v>
      </c>
      <c r="F49" s="3113" t="s">
        <v>181</v>
      </c>
      <c r="G49" s="3113" t="s">
        <v>182</v>
      </c>
      <c r="H49" s="3114" t="s">
        <v>183</v>
      </c>
      <c r="I49" s="3113" t="s">
        <v>184</v>
      </c>
      <c r="J49" s="3113" t="s">
        <v>185</v>
      </c>
      <c r="K49" s="3113" t="s">
        <v>186</v>
      </c>
      <c r="L49" s="3113" t="s">
        <v>187</v>
      </c>
      <c r="M49" s="3113" t="s">
        <v>189</v>
      </c>
      <c r="N49" s="3113" t="s">
        <v>190</v>
      </c>
      <c r="O49" s="3113" t="s">
        <v>681</v>
      </c>
      <c r="P49" s="3113" t="s">
        <v>192</v>
      </c>
      <c r="Q49" s="3113" t="s">
        <v>115</v>
      </c>
      <c r="R49" s="3113" t="s">
        <v>194</v>
      </c>
      <c r="S49" s="3113" t="s">
        <v>195</v>
      </c>
      <c r="T49" s="3113" t="s">
        <v>191</v>
      </c>
      <c r="U49" s="3113" t="s">
        <v>110</v>
      </c>
      <c r="V49" s="3116" t="s">
        <v>118</v>
      </c>
    </row>
    <row r="50" spans="1:24">
      <c r="A50" s="2887" t="s">
        <v>412</v>
      </c>
      <c r="B50" s="3117">
        <v>5176</v>
      </c>
      <c r="C50" s="3117">
        <v>68601</v>
      </c>
      <c r="D50" s="3117">
        <v>69460</v>
      </c>
      <c r="E50" s="3117">
        <v>12752</v>
      </c>
      <c r="F50" s="3117">
        <v>19719</v>
      </c>
      <c r="G50" s="3117"/>
      <c r="H50" s="3118">
        <v>381908</v>
      </c>
      <c r="I50" s="3117">
        <v>21455.616030000001</v>
      </c>
      <c r="J50" s="3117">
        <v>-2096.9499999999998</v>
      </c>
      <c r="K50" s="3117">
        <v>29370</v>
      </c>
      <c r="L50" s="3117">
        <v>125641</v>
      </c>
      <c r="M50" s="3117"/>
      <c r="N50" s="3117">
        <v>10096.02855784364</v>
      </c>
      <c r="O50" s="3117"/>
      <c r="P50" s="3117"/>
      <c r="Q50" s="3117">
        <v>390632.6245200003</v>
      </c>
      <c r="R50" s="3117">
        <v>2360</v>
      </c>
      <c r="S50" s="3117">
        <v>64083.609249999994</v>
      </c>
      <c r="T50" s="3117"/>
      <c r="U50" s="3117"/>
      <c r="V50" s="3117">
        <f>SUM(B50:U50)</f>
        <v>1199157.928357844</v>
      </c>
      <c r="W50" s="58"/>
      <c r="X50" s="58"/>
    </row>
    <row r="51" spans="1:24">
      <c r="A51" s="2887" t="s">
        <v>413</v>
      </c>
      <c r="B51" s="3117">
        <v>10089</v>
      </c>
      <c r="C51" s="3117">
        <v>7748</v>
      </c>
      <c r="D51" s="3117">
        <v>33867</v>
      </c>
      <c r="E51" s="3117">
        <v>16555</v>
      </c>
      <c r="F51" s="3117">
        <v>35728</v>
      </c>
      <c r="G51" s="3117"/>
      <c r="H51" s="3117">
        <v>172084</v>
      </c>
      <c r="I51" s="3117">
        <v>7821.7777000000006</v>
      </c>
      <c r="J51" s="3117">
        <v>32.299999999999997</v>
      </c>
      <c r="K51" s="3117">
        <v>4002</v>
      </c>
      <c r="L51" s="3117">
        <v>57180</v>
      </c>
      <c r="M51" s="3117"/>
      <c r="N51" s="3117">
        <v>9162.8504104176427</v>
      </c>
      <c r="O51" s="3117"/>
      <c r="P51" s="3117"/>
      <c r="Q51" s="3117">
        <v>129858.24541000005</v>
      </c>
      <c r="R51" s="3117">
        <v>0</v>
      </c>
      <c r="S51" s="3117">
        <v>96204.737120000005</v>
      </c>
      <c r="T51" s="3117"/>
      <c r="U51" s="3117"/>
      <c r="V51" s="3117">
        <f>SUM(B51:U51)</f>
        <v>580332.9106404176</v>
      </c>
      <c r="W51" s="58"/>
      <c r="X51" s="58"/>
    </row>
    <row r="52" spans="1:24">
      <c r="A52" s="2887" t="s">
        <v>414</v>
      </c>
      <c r="B52" s="3120">
        <v>218930</v>
      </c>
      <c r="C52" s="3120">
        <v>54282</v>
      </c>
      <c r="D52" s="3121">
        <v>798850</v>
      </c>
      <c r="E52" s="3120">
        <v>321752</v>
      </c>
      <c r="F52" s="3120">
        <v>86454</v>
      </c>
      <c r="G52" s="3117"/>
      <c r="H52" s="3117">
        <v>5671501</v>
      </c>
      <c r="I52" s="3117">
        <v>403418.15091000003</v>
      </c>
      <c r="J52" s="3117">
        <v>79524.38</v>
      </c>
      <c r="K52" s="3117">
        <v>614442</v>
      </c>
      <c r="L52" s="3117">
        <v>2830132</v>
      </c>
      <c r="M52" s="3117"/>
      <c r="N52" s="3117">
        <v>166844.13816718207</v>
      </c>
      <c r="O52" s="3117"/>
      <c r="P52" s="3117"/>
      <c r="Q52" s="3117">
        <v>4696672.8619799996</v>
      </c>
      <c r="R52" s="3117">
        <v>78964</v>
      </c>
      <c r="S52" s="3117">
        <v>1571815.4141500001</v>
      </c>
      <c r="T52" s="3117"/>
      <c r="U52" s="3117"/>
      <c r="V52" s="3117">
        <f>SUM(B52:U52)</f>
        <v>17593581.945207182</v>
      </c>
      <c r="W52" s="58"/>
      <c r="X52" s="58"/>
    </row>
    <row r="53" spans="1:24">
      <c r="A53" s="2887" t="s">
        <v>701</v>
      </c>
      <c r="B53" s="3120">
        <v>0</v>
      </c>
      <c r="C53" s="3120">
        <v>0</v>
      </c>
      <c r="D53" s="3121">
        <v>2957.5775193798449</v>
      </c>
      <c r="E53" s="3120">
        <v>3593</v>
      </c>
      <c r="F53" s="3120">
        <v>1914</v>
      </c>
      <c r="G53" s="3117"/>
      <c r="H53" s="3117">
        <v>95839</v>
      </c>
      <c r="I53" s="3117">
        <v>0</v>
      </c>
      <c r="J53" s="3117">
        <v>0</v>
      </c>
      <c r="K53" s="3117">
        <v>3844</v>
      </c>
      <c r="L53" s="3117">
        <v>0</v>
      </c>
      <c r="M53" s="3117"/>
      <c r="N53" s="3117">
        <v>0</v>
      </c>
      <c r="O53" s="3117"/>
      <c r="P53" s="3117"/>
      <c r="Q53" s="3117">
        <v>68705.563810000007</v>
      </c>
      <c r="R53" s="3117">
        <v>0</v>
      </c>
      <c r="S53" s="3117">
        <v>28216.531650000004</v>
      </c>
      <c r="T53" s="3117"/>
      <c r="U53" s="3117"/>
      <c r="V53" s="3117">
        <f>SUM(B53:U53)</f>
        <v>205069.67297937989</v>
      </c>
      <c r="W53" s="58"/>
      <c r="X53" s="58"/>
    </row>
    <row r="54" spans="1:24">
      <c r="A54" s="2887" t="s">
        <v>416</v>
      </c>
      <c r="B54" s="3120">
        <v>78356</v>
      </c>
      <c r="C54" s="3120">
        <v>134443</v>
      </c>
      <c r="D54" s="3121">
        <v>366817.42248062015</v>
      </c>
      <c r="E54" s="3120" t="s">
        <v>720</v>
      </c>
      <c r="F54" s="3120">
        <v>255391</v>
      </c>
      <c r="G54" s="3117"/>
      <c r="H54" s="3117">
        <v>1370063</v>
      </c>
      <c r="I54" s="3117">
        <v>101449.98006999999</v>
      </c>
      <c r="J54" s="3117">
        <v>7455.99</v>
      </c>
      <c r="K54" s="3117">
        <v>24281</v>
      </c>
      <c r="L54" s="3117">
        <v>559798</v>
      </c>
      <c r="M54" s="3117"/>
      <c r="N54" s="3117">
        <v>14038.982864556649</v>
      </c>
      <c r="O54" s="3117"/>
      <c r="P54" s="3117"/>
      <c r="Q54" s="3117">
        <v>1306670.4812964997</v>
      </c>
      <c r="R54" s="3117">
        <v>73901</v>
      </c>
      <c r="S54" s="3117">
        <v>443077</v>
      </c>
      <c r="T54" s="3117"/>
      <c r="U54" s="3117"/>
      <c r="V54" s="3117">
        <f>SUM(B54:U54)</f>
        <v>4735742.8567116773</v>
      </c>
      <c r="W54" s="58"/>
      <c r="X54" s="58"/>
    </row>
    <row r="55" spans="1:24">
      <c r="A55" s="3122" t="s">
        <v>118</v>
      </c>
      <c r="B55" s="3123">
        <f>SUM(B50:B54)</f>
        <v>312551</v>
      </c>
      <c r="C55" s="3123">
        <f t="shared" ref="C55:V55" si="5">SUM(C50:C54)</f>
        <v>265074</v>
      </c>
      <c r="D55" s="3123">
        <f>SUM(D50:D54)</f>
        <v>1271952</v>
      </c>
      <c r="E55" s="3123">
        <f t="shared" si="5"/>
        <v>354652</v>
      </c>
      <c r="F55" s="3123">
        <f t="shared" si="5"/>
        <v>399206</v>
      </c>
      <c r="G55" s="3123">
        <f t="shared" si="5"/>
        <v>0</v>
      </c>
      <c r="H55" s="3123">
        <f t="shared" si="5"/>
        <v>7691395</v>
      </c>
      <c r="I55" s="3123">
        <f t="shared" si="5"/>
        <v>534145.52471000003</v>
      </c>
      <c r="J55" s="3123">
        <f t="shared" si="5"/>
        <v>84915.720000000016</v>
      </c>
      <c r="K55" s="3123">
        <f t="shared" si="5"/>
        <v>675939</v>
      </c>
      <c r="L55" s="3123">
        <f t="shared" si="5"/>
        <v>3572751</v>
      </c>
      <c r="M55" s="3123">
        <f t="shared" si="5"/>
        <v>0</v>
      </c>
      <c r="N55" s="3123">
        <f t="shared" si="5"/>
        <v>200142</v>
      </c>
      <c r="O55" s="3123">
        <f t="shared" si="5"/>
        <v>0</v>
      </c>
      <c r="P55" s="3123">
        <f t="shared" si="5"/>
        <v>0</v>
      </c>
      <c r="Q55" s="3123">
        <f t="shared" si="5"/>
        <v>6592539.7770165</v>
      </c>
      <c r="R55" s="3123">
        <f t="shared" si="5"/>
        <v>155225</v>
      </c>
      <c r="S55" s="3123">
        <f t="shared" si="5"/>
        <v>2203397.2921700003</v>
      </c>
      <c r="T55" s="3123">
        <f t="shared" si="5"/>
        <v>0</v>
      </c>
      <c r="U55" s="3123">
        <f t="shared" si="5"/>
        <v>0</v>
      </c>
      <c r="V55" s="3123">
        <f t="shared" si="5"/>
        <v>24313885.313896503</v>
      </c>
      <c r="W55" s="375" t="e">
        <f>+#REF!</f>
        <v>#REF!</v>
      </c>
      <c r="X55" s="58" t="e">
        <f>+V55-W55</f>
        <v>#REF!</v>
      </c>
    </row>
    <row r="58" spans="1:24">
      <c r="J58" s="347"/>
    </row>
    <row r="59" spans="1:24">
      <c r="J59" s="347"/>
    </row>
    <row r="60" spans="1:24">
      <c r="J60" s="347"/>
    </row>
    <row r="61" spans="1:24">
      <c r="J61" s="347"/>
    </row>
    <row r="62" spans="1:24">
      <c r="J62" s="347"/>
    </row>
  </sheetData>
  <customSheetViews>
    <customSheetView guid="{5E394B0B-7867-4722-9497-A93AB2A9A773}" showPageBreaks="1" printArea="1" state="hidden">
      <pane xSplit="1" ySplit="5" topLeftCell="P42" activePane="bottomRight" state="frozen"/>
      <selection pane="bottomRight" activeCell="S54" sqref="S54"/>
      <colBreaks count="1" manualBreakCount="1">
        <brk id="22" max="1048575" man="1"/>
      </colBreaks>
      <pageMargins left="0" right="0" top="0" bottom="0" header="0" footer="0"/>
      <pageSetup scale="43" orientation="landscape" r:id="rId1"/>
    </customSheetView>
    <customSheetView guid="{B1E1B596-A9A1-411D-A882-A48CB025B978}" showPageBreaks="1" printArea="1" state="hidden">
      <pane xSplit="1" ySplit="5" topLeftCell="P42" activePane="bottomRight" state="frozen"/>
      <selection pane="bottomRight" activeCell="S54" sqref="S54"/>
      <colBreaks count="1" manualBreakCount="1">
        <brk id="22" max="1048575" man="1"/>
      </colBreaks>
      <pageMargins left="0" right="0" top="0" bottom="0" header="0" footer="0"/>
      <pageSetup scale="43" orientation="landscape" r:id="rId2"/>
    </customSheetView>
    <customSheetView guid="{46F31544-8E6F-41C5-8628-1D6EE074AF15}" state="hidden">
      <pane xSplit="1" ySplit="5" topLeftCell="P42" activePane="bottomRight" state="frozen"/>
      <selection pane="bottomRight" activeCell="S54" sqref="S54"/>
      <colBreaks count="1" manualBreakCount="1">
        <brk id="22" max="1048575" man="1"/>
      </colBreaks>
      <pageMargins left="0" right="0" top="0" bottom="0" header="0" footer="0"/>
      <pageSetup scale="43" orientation="landscape" r:id="rId3"/>
    </customSheetView>
    <customSheetView guid="{B2E1A0C6-5BA1-4CF1-B412-16D81FCDF11F}" showPageBreaks="1" printArea="1" state="hidden">
      <pane xSplit="1" ySplit="5" topLeftCell="P42" activePane="bottomRight" state="frozen"/>
      <selection pane="bottomRight" activeCell="S54" sqref="S54"/>
      <colBreaks count="1" manualBreakCount="1">
        <brk id="22" max="1048575" man="1"/>
      </colBreaks>
      <pageMargins left="0" right="0" top="0" bottom="0" header="0" footer="0"/>
      <pageSetup scale="43" orientation="landscape" r:id="rId4"/>
    </customSheetView>
    <customSheetView guid="{967E0446-E234-427F-8E57-7FE287052E2E}" showPageBreaks="1" printArea="1" state="hidden">
      <pane xSplit="1" ySplit="5" topLeftCell="P42" activePane="bottomRight" state="frozen"/>
      <selection pane="bottomRight" activeCell="S54" sqref="S54"/>
      <colBreaks count="1" manualBreakCount="1">
        <brk id="22" max="1048575" man="1"/>
      </colBreaks>
      <pageMargins left="0" right="0" top="0" bottom="0" header="0" footer="0"/>
      <pageSetup scale="43" orientation="landscape" r:id="rId5"/>
    </customSheetView>
    <customSheetView guid="{2ACFE167-4169-43A6-9AB2-59D5A2DA2DB4}" showPageBreaks="1" printArea="1" state="hidden">
      <pane xSplit="1" ySplit="5" topLeftCell="P42" activePane="bottomRight" state="frozen"/>
      <selection pane="bottomRight" activeCell="S54" sqref="S54"/>
      <colBreaks count="1" manualBreakCount="1">
        <brk id="22" max="1048575" man="1"/>
      </colBreaks>
      <pageMargins left="0" right="0" top="0" bottom="0" header="0" footer="0"/>
      <pageSetup scale="43" orientation="landscape" r:id="rId6"/>
    </customSheetView>
  </customSheetViews>
  <mergeCells count="5">
    <mergeCell ref="A4:A5"/>
    <mergeCell ref="A15:A16"/>
    <mergeCell ref="A26:A27"/>
    <mergeCell ref="A37:A38"/>
    <mergeCell ref="A48:A49"/>
  </mergeCells>
  <pageMargins left="0.7" right="0.7" top="0.75" bottom="0.75" header="0.3" footer="0.3"/>
  <pageSetup scale="43" orientation="landscape" r:id="rId7"/>
  <colBreaks count="1" manualBreakCount="1">
    <brk id="22"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J28"/>
  <sheetViews>
    <sheetView workbookViewId="0">
      <selection activeCell="F4" sqref="F4:H4"/>
    </sheetView>
  </sheetViews>
  <sheetFormatPr defaultRowHeight="15"/>
  <cols>
    <col min="2" max="2" width="13.42578125" bestFit="1" customWidth="1"/>
    <col min="3" max="3" width="17" customWidth="1"/>
    <col min="4" max="4" width="16.5703125" customWidth="1"/>
    <col min="5" max="5" width="12.7109375" customWidth="1"/>
    <col min="6" max="6" width="13.85546875" bestFit="1" customWidth="1"/>
    <col min="7" max="7" width="14.28515625" bestFit="1" customWidth="1"/>
    <col min="8" max="8" width="13.140625" customWidth="1"/>
  </cols>
  <sheetData>
    <row r="2" spans="1:10">
      <c r="B2" s="15" t="s">
        <v>120</v>
      </c>
      <c r="C2" s="15"/>
      <c r="D2" s="15"/>
      <c r="E2" s="15"/>
    </row>
    <row r="4" spans="1:10" ht="90">
      <c r="B4" s="1997" t="s">
        <v>83</v>
      </c>
      <c r="C4" s="1998" t="s">
        <v>121</v>
      </c>
      <c r="D4" s="1998" t="s">
        <v>122</v>
      </c>
      <c r="E4" s="1998" t="s">
        <v>123</v>
      </c>
      <c r="F4" s="1998" t="s">
        <v>88</v>
      </c>
      <c r="G4" s="1998" t="s">
        <v>89</v>
      </c>
      <c r="H4" s="1998" t="s">
        <v>90</v>
      </c>
    </row>
    <row r="5" spans="1:10" s="39" customFormat="1" ht="20.100000000000001" customHeight="1">
      <c r="A5" s="39">
        <v>1</v>
      </c>
      <c r="B5" s="1999" t="s">
        <v>124</v>
      </c>
      <c r="C5" s="2000">
        <v>2034084</v>
      </c>
      <c r="D5" s="2000">
        <v>1133240.01455</v>
      </c>
      <c r="E5" s="2000">
        <f>+C5+D5</f>
        <v>3167324.01455</v>
      </c>
      <c r="F5" s="2001">
        <f>+C5/$C$26*100</f>
        <v>5.428766541838435</v>
      </c>
      <c r="G5" s="2001">
        <f>+D5/$D$26*100</f>
        <v>2.2809303666419174</v>
      </c>
      <c r="H5" s="2001">
        <f>+E5/$E$26*100</f>
        <v>3.6342587537996711</v>
      </c>
    </row>
    <row r="6" spans="1:10" s="39" customFormat="1" ht="20.100000000000001" customHeight="1">
      <c r="A6" s="39">
        <v>2</v>
      </c>
      <c r="B6" s="1999" t="s">
        <v>96</v>
      </c>
      <c r="C6" s="2002">
        <v>100279.87854770001</v>
      </c>
      <c r="D6" s="2002">
        <v>0</v>
      </c>
      <c r="E6" s="2002">
        <f t="shared" ref="E6:E25" si="0">+C6+D6</f>
        <v>100279.87854770001</v>
      </c>
      <c r="F6" s="2001">
        <f t="shared" ref="F6:F25" si="1">+C6/$C$26*100</f>
        <v>0.26763695573996726</v>
      </c>
      <c r="G6" s="2001">
        <f t="shared" ref="G6:G25" si="2">+D6/$D$26*100</f>
        <v>0</v>
      </c>
      <c r="H6" s="2001">
        <f t="shared" ref="H6:H16" si="3">+E6/$E$26*100</f>
        <v>0.11506338624270027</v>
      </c>
    </row>
    <row r="7" spans="1:10" s="39" customFormat="1" ht="20.100000000000001" customHeight="1">
      <c r="A7" s="39">
        <v>3</v>
      </c>
      <c r="B7" s="2003" t="s">
        <v>92</v>
      </c>
      <c r="C7" s="2000">
        <v>0</v>
      </c>
      <c r="D7" s="2000">
        <v>1397128</v>
      </c>
      <c r="E7" s="2000">
        <f t="shared" si="0"/>
        <v>1397128</v>
      </c>
      <c r="F7" s="2001">
        <f t="shared" si="1"/>
        <v>0</v>
      </c>
      <c r="G7" s="2001">
        <f t="shared" si="2"/>
        <v>2.8120712650189295</v>
      </c>
      <c r="H7" s="2001">
        <f t="shared" si="3"/>
        <v>1.6030960649600672</v>
      </c>
    </row>
    <row r="8" spans="1:10" s="39" customFormat="1" ht="20.100000000000001" customHeight="1">
      <c r="A8" s="39">
        <v>4</v>
      </c>
      <c r="B8" s="1999" t="s">
        <v>93</v>
      </c>
      <c r="C8" s="2000">
        <v>532141.81854000001</v>
      </c>
      <c r="D8" s="2000">
        <v>0</v>
      </c>
      <c r="E8" s="2000">
        <f t="shared" si="0"/>
        <v>532141.81854000001</v>
      </c>
      <c r="F8" s="2001">
        <f t="shared" si="1"/>
        <v>1.4202332352071063</v>
      </c>
      <c r="G8" s="2001">
        <f t="shared" si="2"/>
        <v>0</v>
      </c>
      <c r="H8" s="2001">
        <f t="shared" si="3"/>
        <v>0.61059148145493336</v>
      </c>
    </row>
    <row r="9" spans="1:10" s="39" customFormat="1" ht="20.100000000000001" customHeight="1">
      <c r="A9" s="39">
        <v>5</v>
      </c>
      <c r="B9" s="1999" t="s">
        <v>125</v>
      </c>
      <c r="C9" s="2000">
        <v>6495863</v>
      </c>
      <c r="D9" s="2000">
        <v>2143252.6117200004</v>
      </c>
      <c r="E9" s="2000">
        <f>+C9+D9</f>
        <v>8639115.6117199995</v>
      </c>
      <c r="F9" s="2001">
        <f>+C9/$C$26*100</f>
        <v>17.336807975858541</v>
      </c>
      <c r="G9" s="2001">
        <f t="shared" si="2"/>
        <v>4.3138345828689895</v>
      </c>
      <c r="H9" s="2001">
        <f t="shared" si="3"/>
        <v>9.9127154003666202</v>
      </c>
    </row>
    <row r="10" spans="1:10" s="39" customFormat="1" ht="20.100000000000001" customHeight="1">
      <c r="A10" s="39">
        <v>6</v>
      </c>
      <c r="B10" s="1999" t="s">
        <v>126</v>
      </c>
      <c r="C10" s="2000">
        <v>359918.88299999997</v>
      </c>
      <c r="D10" s="2000">
        <v>1125837.3460000001</v>
      </c>
      <c r="E10" s="2000">
        <f>+C10+D10</f>
        <v>1485756.2290000001</v>
      </c>
      <c r="F10" s="2001">
        <f t="shared" si="1"/>
        <v>0.96058746335267475</v>
      </c>
      <c r="G10" s="2001">
        <f t="shared" si="2"/>
        <v>2.2660306355407482</v>
      </c>
      <c r="H10" s="2001">
        <f t="shared" si="3"/>
        <v>1.7047900866633614</v>
      </c>
      <c r="J10" s="197"/>
    </row>
    <row r="11" spans="1:10" s="39" customFormat="1" ht="20.100000000000001" customHeight="1">
      <c r="A11" s="39">
        <v>7</v>
      </c>
      <c r="B11" s="2003" t="s">
        <v>127</v>
      </c>
      <c r="C11" s="2000">
        <v>0</v>
      </c>
      <c r="D11" s="2000">
        <v>819447.65761999995</v>
      </c>
      <c r="E11" s="2000">
        <f t="shared" si="0"/>
        <v>819447.65761999995</v>
      </c>
      <c r="F11" s="2001">
        <f t="shared" si="1"/>
        <v>0</v>
      </c>
      <c r="G11" s="2001">
        <f t="shared" si="2"/>
        <v>1.6493443773085013</v>
      </c>
      <c r="H11" s="2001">
        <f t="shared" si="3"/>
        <v>0.94025265786052992</v>
      </c>
    </row>
    <row r="12" spans="1:10" s="39" customFormat="1" ht="20.100000000000001" customHeight="1">
      <c r="A12" s="39">
        <v>8</v>
      </c>
      <c r="B12" s="2003" t="s">
        <v>99</v>
      </c>
      <c r="C12" s="2004">
        <v>0</v>
      </c>
      <c r="D12" s="2004">
        <v>1545225.9585578861</v>
      </c>
      <c r="E12" s="2004">
        <f t="shared" si="0"/>
        <v>1545225.9585578861</v>
      </c>
      <c r="F12" s="2001">
        <f t="shared" si="1"/>
        <v>0</v>
      </c>
      <c r="G12" s="2001">
        <f t="shared" si="2"/>
        <v>3.110155630709543</v>
      </c>
      <c r="H12" s="2001">
        <f t="shared" si="3"/>
        <v>1.7730269908256757</v>
      </c>
    </row>
    <row r="13" spans="1:10" s="39" customFormat="1" ht="20.100000000000001" customHeight="1">
      <c r="A13" s="39">
        <v>9</v>
      </c>
      <c r="B13" s="1999" t="s">
        <v>128</v>
      </c>
      <c r="C13" s="2000">
        <v>10829470.126840003</v>
      </c>
      <c r="D13" s="2005">
        <v>10434917</v>
      </c>
      <c r="E13" s="2006">
        <f t="shared" si="0"/>
        <v>21264387.126840003</v>
      </c>
      <c r="F13" s="2001">
        <f t="shared" si="1"/>
        <v>28.902771513087878</v>
      </c>
      <c r="G13" s="2001">
        <f t="shared" si="2"/>
        <v>21.002893255705658</v>
      </c>
      <c r="H13" s="2001">
        <f t="shared" si="3"/>
        <v>24.399235665468531</v>
      </c>
    </row>
    <row r="14" spans="1:10" s="39" customFormat="1" ht="20.100000000000001" customHeight="1">
      <c r="A14" s="39">
        <v>10</v>
      </c>
      <c r="B14" s="1999" t="s">
        <v>129</v>
      </c>
      <c r="C14" s="2004">
        <v>312055.98389999999</v>
      </c>
      <c r="D14" s="2004">
        <v>1135015.19615</v>
      </c>
      <c r="E14" s="2004">
        <f>+C14+D14</f>
        <v>1447071.1800500001</v>
      </c>
      <c r="F14" s="2001">
        <f t="shared" si="1"/>
        <v>0.83284617772756353</v>
      </c>
      <c r="G14" s="2001">
        <f t="shared" si="2"/>
        <v>2.2845033657998686</v>
      </c>
      <c r="H14" s="2001">
        <f t="shared" si="3"/>
        <v>1.6604019921261874</v>
      </c>
    </row>
    <row r="15" spans="1:10" s="39" customFormat="1" ht="28.5" customHeight="1">
      <c r="A15" s="39">
        <v>11</v>
      </c>
      <c r="B15" s="2003" t="s">
        <v>130</v>
      </c>
      <c r="C15" s="2007">
        <v>0</v>
      </c>
      <c r="D15" s="2007">
        <v>0</v>
      </c>
      <c r="E15" s="2007">
        <f t="shared" si="0"/>
        <v>0</v>
      </c>
      <c r="F15" s="2001">
        <f t="shared" si="1"/>
        <v>0</v>
      </c>
      <c r="G15" s="2001">
        <f t="shared" si="2"/>
        <v>0</v>
      </c>
      <c r="H15" s="2001">
        <f t="shared" si="3"/>
        <v>0</v>
      </c>
    </row>
    <row r="16" spans="1:10" s="39" customFormat="1" ht="20.100000000000001" customHeight="1">
      <c r="A16" s="39">
        <v>12</v>
      </c>
      <c r="B16" s="1999" t="s">
        <v>131</v>
      </c>
      <c r="C16" s="2004">
        <v>1500027.7209900001</v>
      </c>
      <c r="D16" s="2004">
        <v>1635305.00976</v>
      </c>
      <c r="E16" s="2004">
        <f t="shared" si="0"/>
        <v>3135332.7307500001</v>
      </c>
      <c r="F16" s="2001">
        <f t="shared" si="1"/>
        <v>4.003423803314254</v>
      </c>
      <c r="G16" s="2001">
        <f t="shared" si="2"/>
        <v>3.2914623624231969</v>
      </c>
      <c r="H16" s="2001">
        <f t="shared" si="3"/>
        <v>3.5975512358250832</v>
      </c>
    </row>
    <row r="17" spans="1:8" s="39" customFormat="1" ht="20.100000000000001" customHeight="1">
      <c r="A17" s="39">
        <v>13</v>
      </c>
      <c r="B17" s="1999" t="s">
        <v>132</v>
      </c>
      <c r="C17" s="2004">
        <v>2025075.1086100002</v>
      </c>
      <c r="D17" s="2004">
        <v>5773429.4972300194</v>
      </c>
      <c r="E17" s="2004">
        <f t="shared" si="0"/>
        <v>7798504.6058400199</v>
      </c>
      <c r="F17" s="2001">
        <f t="shared" si="1"/>
        <v>5.4047227126961337</v>
      </c>
      <c r="G17" s="2001">
        <f t="shared" si="2"/>
        <v>11.620478001853247</v>
      </c>
      <c r="H17" s="2001">
        <f t="shared" ref="H17:H25" si="4">+E17/$E$26*100</f>
        <v>8.9481794411071114</v>
      </c>
    </row>
    <row r="18" spans="1:8" s="39" customFormat="1" ht="20.100000000000001" customHeight="1">
      <c r="A18" s="39">
        <v>14</v>
      </c>
      <c r="B18" s="1999" t="s">
        <v>106</v>
      </c>
      <c r="C18" s="2004">
        <v>301721</v>
      </c>
      <c r="D18" s="2004">
        <v>0</v>
      </c>
      <c r="E18" s="2004">
        <f t="shared" si="0"/>
        <v>301721</v>
      </c>
      <c r="F18" s="2001">
        <f t="shared" si="1"/>
        <v>0.80526314044554426</v>
      </c>
      <c r="G18" s="2001">
        <f t="shared" si="2"/>
        <v>0</v>
      </c>
      <c r="H18" s="2001">
        <f t="shared" si="4"/>
        <v>0.3462014559981737</v>
      </c>
    </row>
    <row r="19" spans="1:8" s="39" customFormat="1" ht="20.100000000000001" customHeight="1">
      <c r="A19" s="39">
        <v>15</v>
      </c>
      <c r="B19" s="1999" t="s">
        <v>133</v>
      </c>
      <c r="C19" s="2004">
        <v>106237.90670000001</v>
      </c>
      <c r="D19" s="2004">
        <v>1295132.6255799995</v>
      </c>
      <c r="E19" s="2004">
        <f t="shared" si="0"/>
        <v>1401370.5322799995</v>
      </c>
      <c r="F19" s="2001">
        <f t="shared" si="1"/>
        <v>0.28353833635578146</v>
      </c>
      <c r="G19" s="2001">
        <f t="shared" si="2"/>
        <v>2.6067799376879117</v>
      </c>
      <c r="H19" s="2001">
        <f t="shared" si="4"/>
        <v>1.6079640418408778</v>
      </c>
    </row>
    <row r="20" spans="1:8" s="39" customFormat="1" ht="20.100000000000001" customHeight="1">
      <c r="A20" s="39">
        <v>16</v>
      </c>
      <c r="B20" s="1999" t="s">
        <v>109</v>
      </c>
      <c r="C20" s="2004">
        <v>192780.04339000001</v>
      </c>
      <c r="D20" s="2004">
        <v>1049146.7334</v>
      </c>
      <c r="E20" s="2004">
        <f t="shared" si="0"/>
        <v>1241926.77679</v>
      </c>
      <c r="F20" s="2001">
        <f t="shared" si="1"/>
        <v>0.51451063451155099</v>
      </c>
      <c r="G20" s="2001">
        <f t="shared" si="2"/>
        <v>2.1116715016681473</v>
      </c>
      <c r="H20" s="2001">
        <f t="shared" si="4"/>
        <v>1.4250146936004351</v>
      </c>
    </row>
    <row r="21" spans="1:8" s="39" customFormat="1" ht="20.100000000000001" customHeight="1">
      <c r="A21" s="39">
        <v>17</v>
      </c>
      <c r="B21" s="2003" t="s">
        <v>111</v>
      </c>
      <c r="C21" s="2002">
        <v>0</v>
      </c>
      <c r="D21" s="2002">
        <v>308546.43002615747</v>
      </c>
      <c r="E21" s="2002">
        <f t="shared" si="0"/>
        <v>308546.43002615747</v>
      </c>
      <c r="F21" s="2001">
        <f t="shared" si="1"/>
        <v>0</v>
      </c>
      <c r="G21" s="2001">
        <f t="shared" si="2"/>
        <v>0.62102724288735978</v>
      </c>
      <c r="H21" s="2001">
        <f>+E21/$E$26*100</f>
        <v>0.35403310779857661</v>
      </c>
    </row>
    <row r="22" spans="1:8" s="39" customFormat="1" ht="20.100000000000001" customHeight="1">
      <c r="A22" s="39">
        <v>18</v>
      </c>
      <c r="B22" s="2003" t="s">
        <v>112</v>
      </c>
      <c r="C22" s="2002">
        <v>0</v>
      </c>
      <c r="D22" s="2002">
        <v>2795447.79213</v>
      </c>
      <c r="E22" s="2002">
        <f t="shared" si="0"/>
        <v>2795447.79213</v>
      </c>
      <c r="F22" s="2001">
        <f t="shared" si="1"/>
        <v>0</v>
      </c>
      <c r="G22" s="2001">
        <f>+D22/$D$26*100</f>
        <v>5.6265413112537885</v>
      </c>
      <c r="H22" s="2001">
        <f>+E22/$E$26*100</f>
        <v>3.2075596189933284</v>
      </c>
    </row>
    <row r="23" spans="1:8" s="39" customFormat="1" ht="20.100000000000001" customHeight="1">
      <c r="A23" s="39">
        <v>19</v>
      </c>
      <c r="B23" s="1999" t="s">
        <v>115</v>
      </c>
      <c r="C23" s="2002">
        <v>7369027.3364199987</v>
      </c>
      <c r="D23" s="2002">
        <v>12359087.420689998</v>
      </c>
      <c r="E23" s="2002">
        <f t="shared" si="0"/>
        <v>19728114.757109996</v>
      </c>
      <c r="F23" s="2001">
        <f t="shared" si="1"/>
        <v>19.667196167832639</v>
      </c>
      <c r="G23" s="2001">
        <f t="shared" si="2"/>
        <v>24.875769863304768</v>
      </c>
      <c r="H23" s="2001">
        <f>+E23/$E$26*100</f>
        <v>22.636482223678623</v>
      </c>
    </row>
    <row r="24" spans="1:8" s="39" customFormat="1" ht="20.100000000000001" customHeight="1">
      <c r="A24" s="39">
        <v>20</v>
      </c>
      <c r="B24" s="1999" t="s">
        <v>134</v>
      </c>
      <c r="C24" s="2008">
        <v>203615.92</v>
      </c>
      <c r="D24" s="2008">
        <v>297025</v>
      </c>
      <c r="E24" s="2008">
        <f t="shared" si="0"/>
        <v>500640.92000000004</v>
      </c>
      <c r="F24" s="2001">
        <f t="shared" si="1"/>
        <v>0.54343050428677053</v>
      </c>
      <c r="G24" s="2001">
        <f t="shared" si="2"/>
        <v>0.59783746907387691</v>
      </c>
      <c r="H24" s="2001">
        <f>+E24/$E$26*100</f>
        <v>0.57444664254813294</v>
      </c>
    </row>
    <row r="25" spans="1:8" s="39" customFormat="1" ht="20.100000000000001" customHeight="1">
      <c r="A25" s="39">
        <v>21</v>
      </c>
      <c r="B25" s="1999" t="s">
        <v>135</v>
      </c>
      <c r="C25" s="2002">
        <v>5106323</v>
      </c>
      <c r="D25" s="2002">
        <v>4436051.5967899989</v>
      </c>
      <c r="E25" s="2002">
        <f t="shared" si="0"/>
        <v>9542374.5967899989</v>
      </c>
      <c r="F25" s="2001">
        <f t="shared" si="1"/>
        <v>13.628264837745178</v>
      </c>
      <c r="G25" s="2001">
        <f t="shared" si="2"/>
        <v>8.9286688302535584</v>
      </c>
      <c r="H25" s="2001">
        <f t="shared" si="4"/>
        <v>10.94913505884139</v>
      </c>
    </row>
    <row r="26" spans="1:8" s="39" customFormat="1" ht="20.100000000000001" customHeight="1">
      <c r="B26" s="2009" t="s">
        <v>118</v>
      </c>
      <c r="C26" s="2010">
        <f>SUM(C5:C25)</f>
        <v>37468621.726937696</v>
      </c>
      <c r="D26" s="2010">
        <f>SUM(D5:D25)</f>
        <v>49683235.890204057</v>
      </c>
      <c r="E26" s="2011">
        <f>+C26+D26</f>
        <v>87151857.617141753</v>
      </c>
      <c r="F26" s="2012">
        <f>+C26/$C$26*100</f>
        <v>100</v>
      </c>
      <c r="G26" s="2012">
        <f>+D26/$D$26*100</f>
        <v>100</v>
      </c>
      <c r="H26" s="2012">
        <f>+E26/$E$26*100</f>
        <v>100</v>
      </c>
    </row>
    <row r="28" spans="1:8">
      <c r="E28" s="272"/>
    </row>
  </sheetData>
  <customSheetViews>
    <customSheetView guid="{5E394B0B-7867-4722-9497-A93AB2A9A773}" showPageBreaks="1" state="hidden">
      <selection activeCell="F4" sqref="F4:H4"/>
      <pageMargins left="0" right="0" top="0" bottom="0" header="0" footer="0"/>
      <pageSetup scale="89" orientation="landscape" r:id="rId1"/>
    </customSheetView>
    <customSheetView guid="{B1E1B596-A9A1-411D-A882-A48CB025B978}" state="hidden">
      <selection activeCell="F4" sqref="F4:H4"/>
      <pageMargins left="0" right="0" top="0" bottom="0" header="0" footer="0"/>
      <pageSetup scale="89" orientation="landscape" r:id="rId2"/>
    </customSheetView>
    <customSheetView guid="{E82B35BE-4719-4C53-A9EF-1CC6F153A6F3}">
      <selection activeCell="E13" sqref="E13"/>
      <pageMargins left="0" right="0" top="0" bottom="0" header="0" footer="0"/>
      <pageSetup scale="89" orientation="landscape" r:id="rId3"/>
    </customSheetView>
    <customSheetView guid="{46F31544-8E6F-41C5-8628-1D6EE074AF15}" state="hidden">
      <selection activeCell="F4" sqref="F4:H4"/>
      <pageMargins left="0" right="0" top="0" bottom="0" header="0" footer="0"/>
      <pageSetup scale="89" orientation="landscape" r:id="rId4"/>
    </customSheetView>
    <customSheetView guid="{B2E1A0C6-5BA1-4CF1-B412-16D81FCDF11F}" state="hidden">
      <selection activeCell="F4" sqref="F4:H4"/>
      <pageMargins left="0" right="0" top="0" bottom="0" header="0" footer="0"/>
      <pageSetup scale="89" orientation="landscape" r:id="rId5"/>
    </customSheetView>
    <customSheetView guid="{967E0446-E234-427F-8E57-7FE287052E2E}" showPageBreaks="1" state="hidden">
      <selection activeCell="F4" sqref="F4:H4"/>
      <pageMargins left="0" right="0" top="0" bottom="0" header="0" footer="0"/>
      <pageSetup scale="89" orientation="landscape" r:id="rId6"/>
    </customSheetView>
    <customSheetView guid="{2ACFE167-4169-43A6-9AB2-59D5A2DA2DB4}" showPageBreaks="1" state="hidden">
      <selection activeCell="F4" sqref="F4:H4"/>
      <pageMargins left="0" right="0" top="0" bottom="0" header="0" footer="0"/>
      <pageSetup scale="89" orientation="landscape" r:id="rId7"/>
    </customSheetView>
  </customSheetViews>
  <pageMargins left="0.7" right="0.7" top="0.75" bottom="0.75" header="0.3" footer="0.3"/>
  <pageSetup scale="89" orientation="landscape" r:id="rId8"/>
  <legacyDrawing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tabColor rgb="FF00B050"/>
  </sheetPr>
  <dimension ref="B1:H49"/>
  <sheetViews>
    <sheetView topLeftCell="A28" workbookViewId="0">
      <selection activeCell="G4" sqref="G4"/>
    </sheetView>
  </sheetViews>
  <sheetFormatPr defaultColWidth="9.140625" defaultRowHeight="15"/>
  <cols>
    <col min="1" max="1" width="2.85546875" customWidth="1"/>
    <col min="2" max="2" width="22" customWidth="1"/>
    <col min="3" max="3" width="15.42578125" hidden="1" customWidth="1"/>
    <col min="4" max="5" width="15.7109375" customWidth="1"/>
    <col min="6" max="6" width="19.140625" customWidth="1"/>
    <col min="7" max="7" width="14.42578125" customWidth="1"/>
    <col min="8" max="8" width="12.42578125" customWidth="1"/>
  </cols>
  <sheetData>
    <row r="1" spans="2:8">
      <c r="B1" s="202"/>
    </row>
    <row r="2" spans="2:8">
      <c r="B2" s="205"/>
      <c r="C2" s="1"/>
      <c r="D2" s="2"/>
      <c r="E2" s="2"/>
      <c r="F2" s="2"/>
      <c r="G2" s="2"/>
    </row>
    <row r="3" spans="2:8">
      <c r="C3" s="1"/>
      <c r="D3" s="2"/>
      <c r="E3" s="2"/>
      <c r="F3" s="2"/>
      <c r="G3" s="2"/>
    </row>
    <row r="4" spans="2:8">
      <c r="B4" s="3853" t="s">
        <v>721</v>
      </c>
      <c r="C4" s="3854"/>
      <c r="D4" s="3854"/>
      <c r="E4" s="3854"/>
      <c r="F4" s="3854"/>
      <c r="G4" s="215"/>
    </row>
    <row r="5" spans="2:8">
      <c r="B5" s="3855" t="s">
        <v>506</v>
      </c>
      <c r="C5" s="3857" t="s">
        <v>722</v>
      </c>
      <c r="D5" s="3858"/>
      <c r="E5" s="3858"/>
      <c r="F5" s="3858"/>
      <c r="G5" s="3859"/>
      <c r="H5" s="2922"/>
    </row>
    <row r="6" spans="2:8">
      <c r="B6" s="3856"/>
      <c r="C6" s="3130">
        <v>2007</v>
      </c>
      <c r="D6" s="3130">
        <v>2009</v>
      </c>
      <c r="E6" s="3130">
        <v>2010</v>
      </c>
      <c r="F6" s="3130">
        <v>2011</v>
      </c>
      <c r="G6" s="3130" t="s">
        <v>206</v>
      </c>
      <c r="H6" s="3130" t="s">
        <v>207</v>
      </c>
    </row>
    <row r="7" spans="2:8" ht="20.100000000000001" customHeight="1">
      <c r="B7" s="3142" t="s">
        <v>412</v>
      </c>
      <c r="C7" s="3143" t="e">
        <f>+#REF!</f>
        <v>#REF!</v>
      </c>
      <c r="D7" s="3133">
        <v>1199157.928357844</v>
      </c>
      <c r="E7" s="3134">
        <v>1098186.0969400003</v>
      </c>
      <c r="F7" s="3134">
        <v>1141590.8323642923</v>
      </c>
      <c r="G7" s="3134">
        <v>1413295.7525181728</v>
      </c>
      <c r="H7" s="2928"/>
    </row>
    <row r="8" spans="2:8" ht="20.100000000000001" customHeight="1">
      <c r="B8" s="3142" t="s">
        <v>413</v>
      </c>
      <c r="C8" s="3143" t="e">
        <f>+#REF!</f>
        <v>#REF!</v>
      </c>
      <c r="D8" s="3133">
        <v>580332.9106404176</v>
      </c>
      <c r="E8" s="3134">
        <v>674475.80587000004</v>
      </c>
      <c r="F8" s="3134">
        <v>802677.31206288608</v>
      </c>
      <c r="G8" s="3134">
        <v>546600.03501427849</v>
      </c>
      <c r="H8" s="2928"/>
    </row>
    <row r="9" spans="2:8" ht="20.100000000000001" customHeight="1">
      <c r="B9" s="3142" t="s">
        <v>414</v>
      </c>
      <c r="C9" s="3143" t="e">
        <f>+#REF!</f>
        <v>#REF!</v>
      </c>
      <c r="D9" s="3133">
        <v>17593581.945207182</v>
      </c>
      <c r="E9" s="3134">
        <v>18356886.695939999</v>
      </c>
      <c r="F9" s="3134">
        <v>23575070.699483648</v>
      </c>
      <c r="G9" s="3134">
        <v>29291164.102288961</v>
      </c>
      <c r="H9" s="2928"/>
    </row>
    <row r="10" spans="2:8" ht="20.100000000000001" customHeight="1">
      <c r="B10" s="3142" t="s">
        <v>416</v>
      </c>
      <c r="C10" s="3143" t="e">
        <f>+#REF!+#REF!</f>
        <v>#REF!</v>
      </c>
      <c r="D10" s="3133">
        <v>5200211.5296910573</v>
      </c>
      <c r="E10" s="3134">
        <v>5282148.3586978</v>
      </c>
      <c r="F10" s="3134">
        <v>6298057.9870221643</v>
      </c>
      <c r="G10" s="3134">
        <v>7166796.3648550538</v>
      </c>
      <c r="H10" s="2928"/>
    </row>
    <row r="11" spans="2:8" ht="20.100000000000001" customHeight="1">
      <c r="B11" s="3135" t="s">
        <v>723</v>
      </c>
      <c r="C11" s="3144" t="e">
        <f>SUM(C7:C10)-1</f>
        <v>#REF!</v>
      </c>
      <c r="D11" s="3144">
        <f>SUM(D7:D10)+1</f>
        <v>24573285.3138965</v>
      </c>
      <c r="E11" s="3144">
        <f>SUM(E7:E10)</f>
        <v>25411696.957447797</v>
      </c>
      <c r="F11" s="3144">
        <f>SUM(F7:F10)</f>
        <v>31817396.830932993</v>
      </c>
      <c r="G11" s="3144">
        <f>SUM(G7:G10)</f>
        <v>38417856.254676469</v>
      </c>
      <c r="H11" s="3144">
        <f>SUM(H7:H10)</f>
        <v>0</v>
      </c>
    </row>
    <row r="12" spans="2:8" ht="20.100000000000001" customHeight="1">
      <c r="B12" s="36"/>
      <c r="C12" s="36"/>
      <c r="D12" s="36"/>
      <c r="E12" s="36"/>
      <c r="F12" s="36"/>
      <c r="G12" s="36"/>
    </row>
    <row r="13" spans="2:8" ht="20.100000000000001" customHeight="1">
      <c r="B13" s="3855" t="s">
        <v>506</v>
      </c>
      <c r="C13" s="3857" t="s">
        <v>724</v>
      </c>
      <c r="D13" s="3858"/>
      <c r="E13" s="3858"/>
      <c r="F13" s="3858"/>
      <c r="G13" s="3859"/>
      <c r="H13" s="2922"/>
    </row>
    <row r="14" spans="2:8" ht="20.100000000000001" customHeight="1">
      <c r="B14" s="3856"/>
      <c r="C14" s="3130" t="s">
        <v>725</v>
      </c>
      <c r="D14" s="3130">
        <v>2009</v>
      </c>
      <c r="E14" s="3130">
        <v>2010</v>
      </c>
      <c r="F14" s="3130">
        <v>2011</v>
      </c>
      <c r="G14" s="3130" t="s">
        <v>206</v>
      </c>
      <c r="H14" s="3130" t="s">
        <v>207</v>
      </c>
    </row>
    <row r="15" spans="2:8" ht="20.100000000000001" customHeight="1">
      <c r="B15" s="3142" t="s">
        <v>412</v>
      </c>
      <c r="C15" s="3143" t="e">
        <f>+#REF!</f>
        <v>#REF!</v>
      </c>
      <c r="D15" s="3133">
        <v>953478.09152000002</v>
      </c>
      <c r="E15" s="3134">
        <v>529448.11176999996</v>
      </c>
      <c r="F15" s="3134">
        <v>482646.26023494534</v>
      </c>
      <c r="G15" s="3134">
        <v>379090.86330623692</v>
      </c>
      <c r="H15" s="2928"/>
    </row>
    <row r="16" spans="2:8" ht="20.100000000000001" customHeight="1">
      <c r="B16" s="3142" t="s">
        <v>413</v>
      </c>
      <c r="C16" s="3143" t="e">
        <f>+#REF!</f>
        <v>#REF!</v>
      </c>
      <c r="D16" s="3133">
        <v>221209.63957000003</v>
      </c>
      <c r="E16" s="3134">
        <v>216143.14510999998</v>
      </c>
      <c r="F16" s="3134">
        <v>232189.29115742102</v>
      </c>
      <c r="G16" s="3134">
        <v>343195.37001479609</v>
      </c>
      <c r="H16" s="2928"/>
    </row>
    <row r="17" spans="2:8" ht="20.100000000000001" customHeight="1">
      <c r="B17" s="3142" t="s">
        <v>414</v>
      </c>
      <c r="C17" s="3143" t="e">
        <f>+#REF!</f>
        <v>#REF!</v>
      </c>
      <c r="D17" s="3133">
        <v>11680228.84001</v>
      </c>
      <c r="E17" s="3134">
        <v>11733878.64562</v>
      </c>
      <c r="F17" s="3134">
        <v>15416752.648560412</v>
      </c>
      <c r="G17" s="3134">
        <v>17963038.369464502</v>
      </c>
      <c r="H17" s="2928"/>
    </row>
    <row r="18" spans="2:8" ht="20.100000000000001" customHeight="1">
      <c r="B18" s="3142" t="s">
        <v>416</v>
      </c>
      <c r="C18" s="3143" t="e">
        <f>+#REF!+#REF!</f>
        <v>#REF!</v>
      </c>
      <c r="D18" s="3133">
        <v>4166756.830658</v>
      </c>
      <c r="E18" s="3134">
        <v>3091110.0239269999</v>
      </c>
      <c r="F18" s="3134">
        <v>4160145.4303535232</v>
      </c>
      <c r="G18" s="3134">
        <v>4583942.5431417534</v>
      </c>
      <c r="H18" s="2928"/>
    </row>
    <row r="19" spans="2:8" ht="20.100000000000001" customHeight="1">
      <c r="B19" s="3135" t="s">
        <v>723</v>
      </c>
      <c r="C19" s="3144" t="e">
        <f>SUM(C15:C18)</f>
        <v>#REF!</v>
      </c>
      <c r="D19" s="3144">
        <f>SUM(D15:D18)+1</f>
        <v>17021674.401758</v>
      </c>
      <c r="E19" s="3145">
        <f>SUM(E15:E18)</f>
        <v>15570579.926426999</v>
      </c>
      <c r="F19" s="3144">
        <f>SUM(F15:F18)</f>
        <v>20291733.630306304</v>
      </c>
      <c r="G19" s="3144">
        <f>SUM(G15:G18)</f>
        <v>23269267.145927288</v>
      </c>
      <c r="H19" s="3144">
        <f>SUM(H15:H18)</f>
        <v>0</v>
      </c>
    </row>
    <row r="20" spans="2:8" ht="20.100000000000001" customHeight="1">
      <c r="B20" s="36"/>
      <c r="C20" s="36"/>
      <c r="D20" s="36"/>
      <c r="E20" s="36"/>
      <c r="F20" s="36"/>
      <c r="G20" s="36"/>
    </row>
    <row r="21" spans="2:8" ht="20.100000000000001" customHeight="1">
      <c r="B21" s="3855" t="s">
        <v>506</v>
      </c>
      <c r="C21" s="3857" t="s">
        <v>510</v>
      </c>
      <c r="D21" s="3858"/>
      <c r="E21" s="3858"/>
      <c r="F21" s="3858"/>
      <c r="G21" s="3859"/>
      <c r="H21" s="2922"/>
    </row>
    <row r="22" spans="2:8" ht="20.100000000000001" customHeight="1">
      <c r="B22" s="3856"/>
      <c r="C22" s="3130">
        <v>2007</v>
      </c>
      <c r="D22" s="3130">
        <v>2009</v>
      </c>
      <c r="E22" s="3130">
        <v>2010</v>
      </c>
      <c r="F22" s="3130">
        <v>2011</v>
      </c>
      <c r="G22" s="3130" t="s">
        <v>206</v>
      </c>
      <c r="H22" s="3130" t="s">
        <v>207</v>
      </c>
    </row>
    <row r="23" spans="2:8" ht="20.100000000000001" customHeight="1">
      <c r="B23" s="3142" t="s">
        <v>412</v>
      </c>
      <c r="C23" s="3146" t="e">
        <f>(C15/C7)*100</f>
        <v>#REF!</v>
      </c>
      <c r="D23" s="3147">
        <f>D15/D7*100</f>
        <v>79.512303506654547</v>
      </c>
      <c r="E23" s="3147">
        <f>E15/E7*100</f>
        <v>48.211146839798914</v>
      </c>
      <c r="F23" s="3147">
        <f>F15/F7*100</f>
        <v>42.278393146812554</v>
      </c>
      <c r="G23" s="3147">
        <f>G15/G7*100</f>
        <v>26.823179977070112</v>
      </c>
      <c r="H23" s="3147" t="e">
        <f>H15/H7*100</f>
        <v>#DIV/0!</v>
      </c>
    </row>
    <row r="24" spans="2:8" ht="20.100000000000001" customHeight="1">
      <c r="B24" s="3142" t="s">
        <v>413</v>
      </c>
      <c r="C24" s="3146" t="e">
        <f>(C16/C8)*100</f>
        <v>#REF!</v>
      </c>
      <c r="D24" s="3147">
        <f t="shared" ref="D24:F26" si="0">D16/D8*100</f>
        <v>38.117714076544011</v>
      </c>
      <c r="E24" s="3147">
        <f t="shared" si="0"/>
        <v>32.046093162852443</v>
      </c>
      <c r="F24" s="3147">
        <f t="shared" si="0"/>
        <v>28.926853626981554</v>
      </c>
      <c r="G24" s="3147">
        <f t="shared" ref="G24:H26" si="1">G16/G8*100</f>
        <v>62.787293821858427</v>
      </c>
      <c r="H24" s="3147" t="e">
        <f t="shared" si="1"/>
        <v>#DIV/0!</v>
      </c>
    </row>
    <row r="25" spans="2:8" ht="20.100000000000001" customHeight="1">
      <c r="B25" s="3142" t="s">
        <v>414</v>
      </c>
      <c r="C25" s="3146" t="e">
        <f>(C17/C9)*100</f>
        <v>#REF!</v>
      </c>
      <c r="D25" s="3147">
        <f t="shared" si="0"/>
        <v>66.389146203351217</v>
      </c>
      <c r="E25" s="3147">
        <f t="shared" si="0"/>
        <v>63.920853464848079</v>
      </c>
      <c r="F25" s="3147">
        <f t="shared" si="0"/>
        <v>65.394300806478924</v>
      </c>
      <c r="G25" s="3147">
        <f t="shared" si="1"/>
        <v>61.325791992202795</v>
      </c>
      <c r="H25" s="3147" t="e">
        <f t="shared" si="1"/>
        <v>#DIV/0!</v>
      </c>
    </row>
    <row r="26" spans="2:8" ht="20.100000000000001" customHeight="1">
      <c r="B26" s="3142" t="s">
        <v>416</v>
      </c>
      <c r="C26" s="3146" t="e">
        <f>(C18/C10)*100</f>
        <v>#REF!</v>
      </c>
      <c r="D26" s="3147">
        <f t="shared" si="0"/>
        <v>80.126679595003807</v>
      </c>
      <c r="E26" s="3147">
        <f t="shared" si="0"/>
        <v>58.519939502211301</v>
      </c>
      <c r="F26" s="3147">
        <f t="shared" si="0"/>
        <v>66.054416122016619</v>
      </c>
      <c r="G26" s="3147">
        <f t="shared" si="1"/>
        <v>63.960831447936116</v>
      </c>
      <c r="H26" s="3147" t="e">
        <f t="shared" si="1"/>
        <v>#DIV/0!</v>
      </c>
    </row>
    <row r="27" spans="2:8" ht="20.100000000000001" customHeight="1">
      <c r="B27" s="3135" t="s">
        <v>723</v>
      </c>
      <c r="C27" s="3148" t="e">
        <f>(C19/C11)*100</f>
        <v>#REF!</v>
      </c>
      <c r="D27" s="3149">
        <f>(D19/D11)*100</f>
        <v>69.269021965622272</v>
      </c>
      <c r="E27" s="3149">
        <f>(E19/E11)*100</f>
        <v>61.273278807393815</v>
      </c>
      <c r="F27" s="3149">
        <f>(F19/F11)*100</f>
        <v>63.775593390401454</v>
      </c>
      <c r="G27" s="3149">
        <f>(G19/G11)*100</f>
        <v>60.568884925990119</v>
      </c>
      <c r="H27" s="3149" t="e">
        <f>(H19/H11)*100</f>
        <v>#DIV/0!</v>
      </c>
    </row>
    <row r="28" spans="2:8" ht="20.100000000000001" customHeight="1"/>
    <row r="29" spans="2:8" ht="20.100000000000001" customHeight="1">
      <c r="D29" s="3383">
        <v>2009</v>
      </c>
      <c r="E29" s="3383">
        <v>2010</v>
      </c>
      <c r="F29" s="3383">
        <v>2011</v>
      </c>
      <c r="G29" s="3383" t="s">
        <v>206</v>
      </c>
      <c r="H29" s="3383" t="s">
        <v>726</v>
      </c>
    </row>
    <row r="30" spans="2:8" ht="20.100000000000001" customHeight="1">
      <c r="B30" s="3150" t="s">
        <v>727</v>
      </c>
      <c r="C30" s="2928"/>
      <c r="D30" s="3151">
        <v>12907013.425590001</v>
      </c>
      <c r="E30" s="3151">
        <v>10058322.2279128</v>
      </c>
      <c r="F30" s="3151">
        <v>12105102.366882445</v>
      </c>
      <c r="G30" s="3151">
        <v>14662230.002650199</v>
      </c>
      <c r="H30" s="3151">
        <v>14662230.00265019</v>
      </c>
    </row>
    <row r="31" spans="2:8" ht="20.100000000000001" customHeight="1">
      <c r="B31" s="2009" t="s">
        <v>514</v>
      </c>
      <c r="C31" s="2928"/>
      <c r="D31" s="2012">
        <f>+D30/D11*100</f>
        <v>52.524573986413301</v>
      </c>
      <c r="E31" s="2012">
        <f>+E30/E11*100</f>
        <v>39.581466144333397</v>
      </c>
      <c r="F31" s="2012">
        <f>+F30/F11*100</f>
        <v>38.045546061498719</v>
      </c>
      <c r="G31" s="2012">
        <f>+G30/G11*100</f>
        <v>38.165143587014747</v>
      </c>
      <c r="H31" s="2009" t="e">
        <f>+H30/H11*100</f>
        <v>#DIV/0!</v>
      </c>
    </row>
    <row r="32" spans="2:8" ht="20.100000000000001" customHeight="1">
      <c r="B32" s="39"/>
      <c r="D32" s="89"/>
      <c r="E32" s="89"/>
      <c r="F32" s="89"/>
      <c r="G32" s="89"/>
    </row>
    <row r="33" spans="2:8" ht="20.100000000000001" customHeight="1">
      <c r="B33" s="2009" t="s">
        <v>517</v>
      </c>
      <c r="C33" s="2928"/>
      <c r="D33" s="2012">
        <f>+D27+D31</f>
        <v>121.79359595203557</v>
      </c>
      <c r="E33" s="2012">
        <f>+E27+E31</f>
        <v>100.85474495172721</v>
      </c>
      <c r="F33" s="3152">
        <f>+F27+F31</f>
        <v>101.82113945190017</v>
      </c>
      <c r="G33" s="2012">
        <f>+G27+G31</f>
        <v>98.734028513004858</v>
      </c>
      <c r="H33" s="2012" t="e">
        <f>+H27+H31</f>
        <v>#DIV/0!</v>
      </c>
    </row>
    <row r="36" spans="2:8" ht="15" customHeight="1">
      <c r="B36" s="204" t="s">
        <v>612</v>
      </c>
    </row>
    <row r="37" spans="2:8" ht="15" customHeight="1">
      <c r="B37" s="204" t="s">
        <v>613</v>
      </c>
      <c r="C37" s="42"/>
    </row>
    <row r="38" spans="2:8" ht="15" customHeight="1">
      <c r="B38" s="200" t="s">
        <v>147</v>
      </c>
      <c r="C38" s="175"/>
      <c r="D38" s="175"/>
      <c r="E38" s="175"/>
      <c r="F38" s="175"/>
      <c r="G38" s="175"/>
      <c r="H38" s="175"/>
    </row>
    <row r="39" spans="2:8">
      <c r="B39" s="208"/>
      <c r="C39" s="175"/>
      <c r="D39" s="175"/>
      <c r="E39" s="175"/>
      <c r="F39" s="175"/>
      <c r="G39" s="175"/>
      <c r="H39" s="175"/>
    </row>
    <row r="40" spans="2:8">
      <c r="B40" s="3839" t="s">
        <v>689</v>
      </c>
      <c r="C40" s="3839"/>
      <c r="D40" s="3839"/>
      <c r="E40" s="3839"/>
      <c r="F40" s="3839"/>
      <c r="G40" s="211"/>
      <c r="H40" s="224"/>
    </row>
    <row r="41" spans="2:8" ht="33.75" customHeight="1">
      <c r="B41" s="3839"/>
      <c r="C41" s="3839"/>
      <c r="D41" s="3839"/>
      <c r="E41" s="3839"/>
      <c r="F41" s="3839"/>
      <c r="G41" s="211"/>
      <c r="H41" s="224"/>
    </row>
    <row r="42" spans="2:8" ht="34.5" customHeight="1">
      <c r="B42" s="3840" t="s">
        <v>149</v>
      </c>
      <c r="C42" s="3840"/>
      <c r="D42" s="3840"/>
      <c r="E42" s="3840"/>
      <c r="F42" s="3840"/>
      <c r="G42" s="212"/>
      <c r="H42" s="222"/>
    </row>
    <row r="43" spans="2:8" ht="53.25" customHeight="1">
      <c r="B43" s="3841" t="s">
        <v>718</v>
      </c>
      <c r="C43" s="3841"/>
      <c r="D43" s="3841"/>
      <c r="E43" s="3841"/>
      <c r="F43" s="3841"/>
      <c r="G43" s="213"/>
      <c r="H43" s="223"/>
    </row>
    <row r="46" spans="2:8">
      <c r="B46" s="3839"/>
      <c r="C46" s="3839"/>
      <c r="D46" s="3839"/>
      <c r="E46" s="3839"/>
      <c r="F46" s="3839"/>
      <c r="G46" s="3839"/>
      <c r="H46" s="3839"/>
    </row>
    <row r="47" spans="2:8">
      <c r="B47" s="3839"/>
      <c r="C47" s="3839"/>
      <c r="D47" s="3839"/>
      <c r="E47" s="3839"/>
      <c r="F47" s="3839"/>
      <c r="G47" s="3839"/>
      <c r="H47" s="3839"/>
    </row>
    <row r="48" spans="2:8">
      <c r="B48" s="3840"/>
      <c r="C48" s="3840"/>
      <c r="D48" s="3840"/>
      <c r="E48" s="3840"/>
      <c r="F48" s="3840"/>
      <c r="G48" s="3840"/>
      <c r="H48" s="3840"/>
    </row>
    <row r="49" spans="2:8">
      <c r="B49" s="3841"/>
      <c r="C49" s="3841"/>
      <c r="D49" s="3841"/>
      <c r="E49" s="3841"/>
      <c r="F49" s="3841"/>
      <c r="G49" s="3841"/>
      <c r="H49" s="3841"/>
    </row>
  </sheetData>
  <customSheetViews>
    <customSheetView guid="{5E394B0B-7867-4722-9497-A93AB2A9A773}" showPageBreaks="1" printArea="1" hiddenColumns="1" state="hidden" topLeftCell="A28">
      <selection activeCell="G4" sqref="G4"/>
      <colBreaks count="1" manualBreakCount="1">
        <brk id="7" max="1048575" man="1"/>
      </colBreaks>
      <pageMargins left="0" right="0" top="0" bottom="0" header="0" footer="0"/>
      <pageSetup scale="90" orientation="portrait" r:id="rId1"/>
    </customSheetView>
    <customSheetView guid="{B1E1B596-A9A1-411D-A882-A48CB025B978}" showPageBreaks="1" printArea="1" hiddenColumns="1" state="hidden" topLeftCell="A28">
      <selection activeCell="G4" sqref="G4"/>
      <colBreaks count="1" manualBreakCount="1">
        <brk id="7" max="1048575" man="1"/>
      </colBreaks>
      <pageMargins left="0" right="0" top="0" bottom="0" header="0" footer="0"/>
      <pageSetup scale="90" orientation="portrait" r:id="rId2"/>
    </customSheetView>
    <customSheetView guid="{E82B35BE-4719-4C53-A9EF-1CC6F153A6F3}" showPageBreaks="1" printArea="1" hiddenColumns="1" topLeftCell="A16">
      <selection activeCell="B2" sqref="B2"/>
      <colBreaks count="2" manualBreakCount="2">
        <brk id="8" max="1048575" man="1"/>
        <brk id="9" max="27" man="1"/>
      </colBreaks>
      <pageMargins left="0" right="0" top="0" bottom="0" header="0" footer="0"/>
      <pageSetup scale="90" orientation="portrait" r:id="rId3"/>
    </customSheetView>
    <customSheetView guid="{B4A67912-05A8-4D20-958A-E8812294BB39}">
      <selection activeCell="B4" sqref="B4:I27"/>
      <pageMargins left="0" right="0" top="0" bottom="0" header="0" footer="0"/>
    </customSheetView>
    <customSheetView guid="{F7C0CA98-A3B8-42B1-9940-E27294444C95}" topLeftCell="A13">
      <selection activeCell="I15" sqref="I15"/>
      <pageMargins left="0" right="0" top="0" bottom="0" header="0" footer="0"/>
      <pageSetup orientation="portrait" r:id="rId4"/>
    </customSheetView>
    <customSheetView guid="{B8318771-9061-42D8-AFEA-0FF27D639C94}" topLeftCell="A7">
      <selection activeCell="I11" sqref="I11"/>
      <pageMargins left="0" right="0" top="0" bottom="0" header="0" footer="0"/>
    </customSheetView>
    <customSheetView guid="{3199A5C7-1303-43ED-A74D-8C27C3B99779}">
      <selection activeCell="I11" sqref="I11"/>
      <pageMargins left="0" right="0" top="0" bottom="0" header="0" footer="0"/>
    </customSheetView>
    <customSheetView guid="{C4538C36-F6A2-4603-9311-8D97FB7695CB}">
      <selection activeCell="I11" sqref="I11"/>
      <pageMargins left="0" right="0" top="0" bottom="0" header="0" footer="0"/>
    </customSheetView>
    <customSheetView guid="{F66B1C5E-2E3D-4890-AA4B-3A6E976CA29E}" topLeftCell="A13">
      <selection activeCell="I11" sqref="I11"/>
      <pageMargins left="0" right="0" top="0" bottom="0" header="0" footer="0"/>
    </customSheetView>
    <customSheetView guid="{D020F570-D9CD-4C16-921E-7638848CF929}" topLeftCell="A13">
      <selection activeCell="I11" sqref="I11"/>
      <pageMargins left="0" right="0" top="0" bottom="0" header="0" footer="0"/>
    </customSheetView>
    <customSheetView guid="{46F31544-8E6F-41C5-8628-1D6EE074AF15}" hiddenColumns="1" state="hidden" topLeftCell="A28">
      <selection activeCell="G4" sqref="G4"/>
      <colBreaks count="1" manualBreakCount="1">
        <brk id="7" max="1048575" man="1"/>
      </colBreaks>
      <pageMargins left="0" right="0" top="0" bottom="0" header="0" footer="0"/>
      <pageSetup scale="90" orientation="portrait" r:id="rId5"/>
    </customSheetView>
    <customSheetView guid="{B2E1A0C6-5BA1-4CF1-B412-16D81FCDF11F}" showPageBreaks="1" printArea="1" hiddenColumns="1" state="hidden" topLeftCell="A28">
      <selection activeCell="G4" sqref="G4"/>
      <colBreaks count="1" manualBreakCount="1">
        <brk id="7" max="1048575" man="1"/>
      </colBreaks>
      <pageMargins left="0" right="0" top="0" bottom="0" header="0" footer="0"/>
      <pageSetup scale="90" orientation="portrait" r:id="rId6"/>
    </customSheetView>
    <customSheetView guid="{967E0446-E234-427F-8E57-7FE287052E2E}" showPageBreaks="1" printArea="1" hiddenColumns="1" state="hidden" topLeftCell="A28">
      <selection activeCell="G4" sqref="G4"/>
      <colBreaks count="1" manualBreakCount="1">
        <brk id="7" max="1048575" man="1"/>
      </colBreaks>
      <pageMargins left="0" right="0" top="0" bottom="0" header="0" footer="0"/>
      <pageSetup scale="90" orientation="portrait" r:id="rId7"/>
    </customSheetView>
    <customSheetView guid="{2ACFE167-4169-43A6-9AB2-59D5A2DA2DB4}" showPageBreaks="1" printArea="1" hiddenColumns="1" state="hidden" topLeftCell="A28">
      <selection activeCell="G4" sqref="G4"/>
      <colBreaks count="1" manualBreakCount="1">
        <brk id="7" max="1048575" man="1"/>
      </colBreaks>
      <pageMargins left="0" right="0" top="0" bottom="0" header="0" footer="0"/>
      <pageSetup scale="90" orientation="portrait" r:id="rId8"/>
    </customSheetView>
  </customSheetViews>
  <mergeCells count="13">
    <mergeCell ref="B4:F4"/>
    <mergeCell ref="B5:B6"/>
    <mergeCell ref="B13:B14"/>
    <mergeCell ref="B21:B22"/>
    <mergeCell ref="C5:G5"/>
    <mergeCell ref="C13:G13"/>
    <mergeCell ref="C21:G21"/>
    <mergeCell ref="B46:H47"/>
    <mergeCell ref="B48:H48"/>
    <mergeCell ref="B49:H49"/>
    <mergeCell ref="B40:F41"/>
    <mergeCell ref="B42:F42"/>
    <mergeCell ref="B43:F43"/>
  </mergeCells>
  <pageMargins left="0.7" right="0.7" top="0.75" bottom="0.75" header="0.3" footer="0.3"/>
  <pageSetup scale="90" orientation="portrait" r:id="rId9"/>
  <colBreaks count="1" manualBreakCount="1">
    <brk id="7" max="1048575" man="1"/>
  </colBreaks>
  <ignoredErrors>
    <ignoredError sqref="F32:G32" evalError="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3:X60"/>
  <sheetViews>
    <sheetView zoomScaleNormal="100" workbookViewId="0">
      <pane xSplit="1" ySplit="5" topLeftCell="P45" activePane="bottomRight" state="frozen"/>
      <selection pane="topRight" activeCell="B1" sqref="B1"/>
      <selection pane="bottomLeft" activeCell="A6" sqref="A6"/>
      <selection pane="bottomRight" activeCell="S54" sqref="S54"/>
    </sheetView>
  </sheetViews>
  <sheetFormatPr defaultColWidth="9.140625" defaultRowHeight="15"/>
  <cols>
    <col min="1" max="1" width="19" customWidth="1"/>
    <col min="2" max="2" width="12.5703125" customWidth="1"/>
    <col min="3" max="4" width="12.7109375" customWidth="1"/>
    <col min="5" max="5" width="12.5703125" customWidth="1"/>
    <col min="6" max="6" width="11.42578125" customWidth="1"/>
    <col min="7" max="7" width="12.7109375" customWidth="1"/>
    <col min="8" max="8" width="13.5703125" customWidth="1"/>
    <col min="9" max="9" width="12.7109375" customWidth="1"/>
    <col min="10" max="10" width="10.28515625" customWidth="1"/>
    <col min="11" max="11" width="14.28515625" customWidth="1"/>
    <col min="12" max="12" width="14.5703125" customWidth="1"/>
    <col min="13" max="13" width="11.28515625" customWidth="1"/>
    <col min="14" max="14" width="12" customWidth="1"/>
    <col min="15" max="15" width="9.28515625" bestFit="1" customWidth="1"/>
    <col min="16" max="16" width="13.7109375" customWidth="1"/>
    <col min="17" max="17" width="13.28515625" customWidth="1"/>
    <col min="18" max="18" width="11.5703125" customWidth="1"/>
    <col min="19" max="19" width="14.5703125" bestFit="1" customWidth="1"/>
    <col min="20" max="20" width="11" customWidth="1"/>
    <col min="21" max="21" width="11.140625" customWidth="1"/>
    <col min="22" max="22" width="14.7109375" customWidth="1"/>
    <col min="23" max="23" width="14.5703125" bestFit="1" customWidth="1"/>
    <col min="24" max="24" width="14.5703125" customWidth="1"/>
  </cols>
  <sheetData>
    <row r="3" spans="1:24" ht="15" customHeight="1">
      <c r="A3" s="3111" t="s">
        <v>708</v>
      </c>
      <c r="B3" s="3380"/>
      <c r="C3" s="3380"/>
      <c r="D3" s="3380"/>
      <c r="E3" s="3380"/>
      <c r="F3" s="3112"/>
    </row>
    <row r="4" spans="1:24">
      <c r="A4" s="3848" t="s">
        <v>709</v>
      </c>
      <c r="B4" s="373">
        <v>1</v>
      </c>
      <c r="C4" s="373">
        <v>2</v>
      </c>
      <c r="D4" s="373">
        <v>3</v>
      </c>
      <c r="E4" s="373">
        <v>4</v>
      </c>
      <c r="F4" s="373">
        <v>5</v>
      </c>
      <c r="G4" s="373">
        <v>6</v>
      </c>
      <c r="H4" s="373">
        <v>7</v>
      </c>
      <c r="I4" s="373">
        <v>8</v>
      </c>
      <c r="J4" s="373">
        <v>9</v>
      </c>
      <c r="K4" s="373">
        <v>10</v>
      </c>
      <c r="L4" s="373">
        <v>11</v>
      </c>
      <c r="M4" s="373">
        <v>12</v>
      </c>
      <c r="N4" s="373">
        <v>13</v>
      </c>
      <c r="O4" s="373">
        <v>14</v>
      </c>
      <c r="P4" s="373">
        <v>15</v>
      </c>
      <c r="Q4" s="373">
        <v>16</v>
      </c>
      <c r="R4" s="373">
        <v>17</v>
      </c>
      <c r="S4" s="373">
        <v>18</v>
      </c>
      <c r="T4" s="373">
        <v>19</v>
      </c>
      <c r="U4" s="373">
        <v>20</v>
      </c>
      <c r="V4" s="374"/>
    </row>
    <row r="5" spans="1:24">
      <c r="A5" s="3848"/>
      <c r="B5" s="3113" t="s">
        <v>175</v>
      </c>
      <c r="C5" s="3113" t="s">
        <v>177</v>
      </c>
      <c r="D5" s="3113" t="s">
        <v>179</v>
      </c>
      <c r="E5" s="3113" t="s">
        <v>180</v>
      </c>
      <c r="F5" s="3113" t="s">
        <v>181</v>
      </c>
      <c r="G5" s="3113" t="s">
        <v>182</v>
      </c>
      <c r="H5" s="3114" t="s">
        <v>183</v>
      </c>
      <c r="I5" s="3113" t="s">
        <v>184</v>
      </c>
      <c r="J5" s="3113" t="s">
        <v>185</v>
      </c>
      <c r="K5" s="3113" t="s">
        <v>186</v>
      </c>
      <c r="L5" s="3113" t="s">
        <v>187</v>
      </c>
      <c r="M5" s="3113" t="s">
        <v>189</v>
      </c>
      <c r="N5" s="3113" t="s">
        <v>190</v>
      </c>
      <c r="O5" s="3113" t="s">
        <v>681</v>
      </c>
      <c r="P5" s="3113" t="s">
        <v>192</v>
      </c>
      <c r="Q5" s="3115" t="s">
        <v>115</v>
      </c>
      <c r="R5" s="3113" t="s">
        <v>194</v>
      </c>
      <c r="S5" s="3113" t="s">
        <v>195</v>
      </c>
      <c r="T5" s="3113" t="s">
        <v>191</v>
      </c>
      <c r="U5" s="3113" t="s">
        <v>110</v>
      </c>
      <c r="V5" s="3116" t="s">
        <v>118</v>
      </c>
    </row>
    <row r="6" spans="1:24">
      <c r="A6" s="2887" t="s">
        <v>412</v>
      </c>
      <c r="B6" s="3153">
        <f>+'[17]Sheet 2 - General Insurance'!$C$39</f>
        <v>11991</v>
      </c>
      <c r="C6" s="3153">
        <f>+'[18]Sheet 2 - General Insurance'!$C$39</f>
        <v>75109.039999999935</v>
      </c>
      <c r="D6" s="3153">
        <f>+'[19]Sheet 2 - General Insurance'!$C$39</f>
        <v>100496.28347000002</v>
      </c>
      <c r="E6" s="3153">
        <f>+'[20]Sheet 2 - General Insurance'!$C$39</f>
        <v>14436.836329999825</v>
      </c>
      <c r="F6" s="3153">
        <f>+'[21]Sheet 2 - General Insurance'!$C$39</f>
        <v>15127.189258330027</v>
      </c>
      <c r="G6" s="3153">
        <f>+'[22]Sheet 2 - General Insurance'!$C$39</f>
        <v>61590.31917408156</v>
      </c>
      <c r="H6" s="3154">
        <f>+'[23]Sheet 2 - General Insurance'!$C$39</f>
        <v>596457</v>
      </c>
      <c r="I6" s="3153">
        <f>+'[24]Sheet 2 - General Insurance'!$C$39</f>
        <v>31114.921959999996</v>
      </c>
      <c r="J6" s="3153"/>
      <c r="K6" s="3153">
        <f>+'[25]Sheet 2 - General Insurance'!$C$39</f>
        <v>35595.95800000005</v>
      </c>
      <c r="L6" s="3153">
        <f>+'[26]Sheet 2 - General Insurance'!$C$39/1000</f>
        <v>138182.99955335006</v>
      </c>
      <c r="M6" s="3155">
        <f>+'[27]Sheet 2 - General Insurance'!$C$39</f>
        <v>6625.9590400000025</v>
      </c>
      <c r="N6" s="3153">
        <f>+'[28]Sheet 2 - General Insurance'!$C$39</f>
        <v>2184.6448099999989</v>
      </c>
      <c r="O6" s="3153"/>
      <c r="P6" s="3153">
        <f>+'[29]Sheet 2 - General Insurance'!$C$39</f>
        <v>120714.60952999997</v>
      </c>
      <c r="Q6" s="3153">
        <f>+'[30]Sheet 2 - General Insurance'!$C$39</f>
        <v>144613.37762999948</v>
      </c>
      <c r="R6" s="3153">
        <f>+'[31]Sheet 2 - General Insurance'!$C$39</f>
        <v>9323.4402658333311</v>
      </c>
      <c r="S6" s="3153">
        <f>+'[32]Sheet 2 - General Insurance'!$C$39</f>
        <v>58842.492000000108</v>
      </c>
      <c r="T6" s="3153">
        <f>+'[33]Sheet 2 - General Insurance'!$C$39</f>
        <v>1724.0207270586238</v>
      </c>
      <c r="U6" s="3153"/>
      <c r="V6" s="3153">
        <f>SUM(B6:U6)</f>
        <v>1424130.0917486532</v>
      </c>
      <c r="W6" s="58"/>
    </row>
    <row r="7" spans="1:24">
      <c r="A7" s="2887" t="s">
        <v>413</v>
      </c>
      <c r="B7" s="3117">
        <f>+'[17]Sheet 2 - General Insurance'!$D$39</f>
        <v>21118</v>
      </c>
      <c r="C7" s="3117">
        <v>9906</v>
      </c>
      <c r="D7" s="3117">
        <v>74019.987599999993</v>
      </c>
      <c r="E7" s="3117">
        <v>15826.114000000001</v>
      </c>
      <c r="F7" s="3117">
        <v>5062.196369999996</v>
      </c>
      <c r="G7" s="3117">
        <f>+'[22]Sheet 2 - General Insurance'!$D$39</f>
        <v>4245.2549987940383</v>
      </c>
      <c r="H7" s="3117">
        <f>+'[23]Sheet 2 - General Insurance'!$D$39</f>
        <v>244495</v>
      </c>
      <c r="I7" s="3117">
        <f>+'[24]Sheet 2 - General Insurance'!$D$39</f>
        <v>13658.40065</v>
      </c>
      <c r="J7" s="3117"/>
      <c r="K7" s="3117">
        <f>+'[25]Sheet 2 - General Insurance'!$D$39</f>
        <v>3555.5901499999959</v>
      </c>
      <c r="L7" s="3117">
        <f>+'[26]Sheet 2 - General Insurance'!$D$39/1000</f>
        <v>84813.788031039992</v>
      </c>
      <c r="M7" s="3117">
        <f>+'[27]Sheet 2 - General Insurance'!$D$39</f>
        <v>77.86503999999951</v>
      </c>
      <c r="N7" s="3117">
        <f>+'[28]Sheet 2 - General Insurance'!$D$39</f>
        <v>8112.2656100000004</v>
      </c>
      <c r="O7" s="3117"/>
      <c r="P7" s="3117">
        <f>+'[29]Sheet 2 - General Insurance'!$D$39</f>
        <v>1537.9186100000002</v>
      </c>
      <c r="Q7" s="3117">
        <f>+'[30]Sheet 2 - General Insurance'!$D$39</f>
        <v>165892.7511100001</v>
      </c>
      <c r="R7" s="3117">
        <v>0</v>
      </c>
      <c r="S7" s="3117">
        <f>+'[32]Sheet 2 - General Insurance'!$D$39</f>
        <v>124989.71577999997</v>
      </c>
      <c r="T7" s="3117">
        <f>+'[33]Sheet 2 - General Insurance'!$D$39</f>
        <v>2544.5641891080459</v>
      </c>
      <c r="U7" s="3117"/>
      <c r="V7" s="3117">
        <f>SUM(B7:U7)</f>
        <v>779855.41213894216</v>
      </c>
      <c r="W7" s="58"/>
    </row>
    <row r="8" spans="1:24">
      <c r="A8" s="2887" t="s">
        <v>414</v>
      </c>
      <c r="B8" s="3120">
        <f>+'[17]Sheet 2 - General Insurance'!$E$39</f>
        <v>554625</v>
      </c>
      <c r="C8" s="3120">
        <f>+'[18]Sheet 2 - General Insurance'!$E$39</f>
        <v>275603.28000000003</v>
      </c>
      <c r="D8" s="3121">
        <f>+'[19]Sheet 2 - General Insurance'!$E$39</f>
        <v>1402339.5508399999</v>
      </c>
      <c r="E8" s="3120">
        <f>+'[20]Sheet 2 - General Insurance'!$E$39</f>
        <v>894902.863955818</v>
      </c>
      <c r="F8" s="3120">
        <f>+'[21]Sheet 2 - General Insurance'!$E$39</f>
        <v>15615.582827194963</v>
      </c>
      <c r="G8" s="3117">
        <f>+'[22]Sheet 2 - General Insurance'!$E$39</f>
        <v>907309.60939319828</v>
      </c>
      <c r="H8" s="3117">
        <f>+'[23]Sheet 2 - General Insurance'!$E$39</f>
        <v>6124855</v>
      </c>
      <c r="I8" s="3117">
        <f>+'[24]Sheet 2 - General Insurance'!$E$39</f>
        <v>994227.09907</v>
      </c>
      <c r="J8" s="3117"/>
      <c r="K8" s="3117">
        <f>+'[25]Sheet 2 - General Insurance'!$E$39</f>
        <v>1185627.1847099999</v>
      </c>
      <c r="L8" s="3117">
        <f>+'[26]Sheet 2 - General Insurance'!$E$39/1000</f>
        <v>4501945.9990615994</v>
      </c>
      <c r="M8" s="3117">
        <f>+'[27]Sheet 2 - General Insurance'!$E$39</f>
        <v>1237163.7800499999</v>
      </c>
      <c r="N8" s="3117">
        <f>+'[28]Sheet 2 - General Insurance'!$E$39</f>
        <v>788630.40683999995</v>
      </c>
      <c r="O8" s="3117"/>
      <c r="P8" s="3117">
        <f>+'[29]Sheet 2 - General Insurance'!$E$39</f>
        <v>2517533.4318400002</v>
      </c>
      <c r="Q8" s="3117">
        <f>+'[30]Sheet 2 - General Insurance'!$E$39</f>
        <v>7302050.8899200037</v>
      </c>
      <c r="R8" s="3117">
        <f>+'[31]Sheet 2 - General Insurance'!$E$39</f>
        <v>149168.55084708333</v>
      </c>
      <c r="S8" s="3117">
        <f>+'[32]Sheet 2 - General Insurance'!$E$39</f>
        <v>2403174.0531899999</v>
      </c>
      <c r="T8" s="3117">
        <f>+'[33]Sheet 2 - General Insurance'!$E$39</f>
        <v>233615.15584124965</v>
      </c>
      <c r="U8" s="3117"/>
      <c r="V8" s="3117">
        <f>SUM(B8:U8)</f>
        <v>31488387.438386142</v>
      </c>
      <c r="W8" s="58"/>
    </row>
    <row r="9" spans="1:24">
      <c r="A9" s="2887" t="s">
        <v>701</v>
      </c>
      <c r="B9" s="3120">
        <f>+'[17]Sheet 2 - General Insurance'!$F$39</f>
        <v>7656</v>
      </c>
      <c r="C9" s="3120">
        <f>+'[18]Sheet 2 - General Insurance'!$F$39</f>
        <v>9759.41</v>
      </c>
      <c r="D9" s="3121">
        <f>+'[19]Sheet 2 - General Insurance'!$F$39</f>
        <v>1171.9387873595697</v>
      </c>
      <c r="E9" s="3120">
        <f>+'[20]Sheet 2 - General Insurance'!$F$39</f>
        <v>5536.0702599999995</v>
      </c>
      <c r="F9" s="3120">
        <f>+'[21]Sheet 2 - General Insurance'!$F$39</f>
        <v>644.87829908176025</v>
      </c>
      <c r="G9" s="3117">
        <f>+'[22]Sheet 2 - General Insurance'!$F$39</f>
        <v>1160.6031782236407</v>
      </c>
      <c r="H9" s="3117">
        <f>+'[23]Sheet 2 - General Insurance'!$F$39</f>
        <v>86399</v>
      </c>
      <c r="I9" s="3117">
        <v>0</v>
      </c>
      <c r="J9" s="3117"/>
      <c r="K9" s="3117">
        <f>+'[25]Sheet 2 - General Insurance'!$F$39</f>
        <v>3844.1516399999996</v>
      </c>
      <c r="L9" s="3117">
        <v>0</v>
      </c>
      <c r="M9" s="3117">
        <f>+'[27]Sheet 2 - General Insurance'!$F$39</f>
        <v>-1186.9653400000025</v>
      </c>
      <c r="N9" s="3117">
        <v>0</v>
      </c>
      <c r="O9" s="3117"/>
      <c r="P9" s="3117">
        <v>0</v>
      </c>
      <c r="Q9" s="3117">
        <f>+'[30]Sheet 2 - General Insurance'!$F$39</f>
        <v>79915.650380000006</v>
      </c>
      <c r="R9" s="3117">
        <f>+'[31]Sheet 2 - General Insurance'!$F$39</f>
        <v>0.39600000000000002</v>
      </c>
      <c r="S9" s="3117">
        <f>+'[32]Sheet 2 - General Insurance'!$F$39</f>
        <v>35622.643089999998</v>
      </c>
      <c r="T9" s="3117">
        <v>0</v>
      </c>
      <c r="U9" s="3117"/>
      <c r="V9" s="3117">
        <f>SUM(B9:U9)</f>
        <v>230523.77629466497</v>
      </c>
      <c r="W9" s="58"/>
    </row>
    <row r="10" spans="1:24">
      <c r="A10" s="2887" t="s">
        <v>416</v>
      </c>
      <c r="B10" s="3120">
        <f>+'[17]Sheet 2 - General Insurance'!$G$39</f>
        <v>387274</v>
      </c>
      <c r="C10" s="3120">
        <f>+'[18]Sheet 2 - General Insurance'!$G$39</f>
        <v>309985.77</v>
      </c>
      <c r="D10" s="3121">
        <f>+'[19]Sheet 2 - General Insurance'!$G$39</f>
        <v>307812.08301</v>
      </c>
      <c r="E10" s="3120">
        <f>+'[20]Sheet 2 - General Insurance'!$G$39</f>
        <v>167842.33261999997</v>
      </c>
      <c r="F10" s="3120">
        <f>+'[21]Sheet 2 - General Insurance'!$G$39</f>
        <v>280598.72018289129</v>
      </c>
      <c r="G10" s="3117">
        <f>+'[22]Sheet 2 - General Insurance'!$G$39</f>
        <v>16094.054978796923</v>
      </c>
      <c r="H10" s="3117">
        <f>+'[23]Sheet 2 - General Insurance'!$G$39</f>
        <v>1790506</v>
      </c>
      <c r="I10" s="3117">
        <f>+'[24]Sheet 2 - General Insurance'!$G$39</f>
        <v>118133.94250999999</v>
      </c>
      <c r="J10" s="3117"/>
      <c r="K10" s="3117">
        <f>+'[25]Sheet 2 - General Insurance'!$G$39</f>
        <v>127809.91972999999</v>
      </c>
      <c r="L10" s="3117">
        <f>+'[26]Sheet 2 - General Insurance'!$G$39/1000</f>
        <v>646346.99948333995</v>
      </c>
      <c r="M10" s="3117">
        <f>+'[27]Sheet 2 - General Insurance'!$G$39</f>
        <v>-4730.1627099999996</v>
      </c>
      <c r="N10" s="3117">
        <f>+'[28]Sheet 2 - General Insurance'!$G$39</f>
        <v>199322.15664000003</v>
      </c>
      <c r="O10" s="3117"/>
      <c r="P10" s="3117">
        <f>+'[29]Sheet 2 - General Insurance'!$G$39</f>
        <v>160694.91036000001</v>
      </c>
      <c r="Q10" s="3117">
        <f>+'[30]Sheet 2 - General Insurance'!$G$39</f>
        <v>2190254.8430200014</v>
      </c>
      <c r="R10" s="3117">
        <f>+'[31]Sheet 2 - General Insurance'!$G$39</f>
        <v>78619.38594708337</v>
      </c>
      <c r="S10" s="3117">
        <f>+'[32]Sheet 2 - General Insurance'!$G$39</f>
        <v>1369705.1760500001</v>
      </c>
      <c r="T10" s="3117">
        <f>+'[33]Sheet 2 - General Insurance'!$G$39</f>
        <v>60668.30536728922</v>
      </c>
      <c r="U10" s="3117"/>
      <c r="V10" s="3117">
        <f>SUM(B10:U10)</f>
        <v>8206938.4371894021</v>
      </c>
      <c r="W10" s="58"/>
    </row>
    <row r="11" spans="1:24">
      <c r="A11" s="3122" t="s">
        <v>118</v>
      </c>
      <c r="B11" s="3123">
        <f t="shared" ref="B11:L11" si="0">SUM(B6:B10)</f>
        <v>982664</v>
      </c>
      <c r="C11" s="3123">
        <f t="shared" si="0"/>
        <v>680363.5</v>
      </c>
      <c r="D11" s="3123">
        <f t="shared" si="0"/>
        <v>1885839.8437073594</v>
      </c>
      <c r="E11" s="3123">
        <f t="shared" si="0"/>
        <v>1098544.2171658177</v>
      </c>
      <c r="F11" s="3123">
        <f t="shared" si="0"/>
        <v>317048.56693749805</v>
      </c>
      <c r="G11" s="3123">
        <f t="shared" si="0"/>
        <v>990399.84172309446</v>
      </c>
      <c r="H11" s="3123">
        <f t="shared" si="0"/>
        <v>8842712</v>
      </c>
      <c r="I11" s="3123">
        <f t="shared" si="0"/>
        <v>1157134.3641900001</v>
      </c>
      <c r="J11" s="3123">
        <f t="shared" si="0"/>
        <v>0</v>
      </c>
      <c r="K11" s="3123">
        <f t="shared" si="0"/>
        <v>1356432.8042299999</v>
      </c>
      <c r="L11" s="3123">
        <f t="shared" si="0"/>
        <v>5371289.7861293294</v>
      </c>
      <c r="M11" s="3123">
        <f t="shared" ref="M11:U11" si="1">SUM(M6:M10)</f>
        <v>1237950.4760799997</v>
      </c>
      <c r="N11" s="3123">
        <f t="shared" si="1"/>
        <v>998249.47389999998</v>
      </c>
      <c r="O11" s="3123">
        <f t="shared" si="1"/>
        <v>0</v>
      </c>
      <c r="P11" s="3123">
        <f t="shared" si="1"/>
        <v>2800480.8703400004</v>
      </c>
      <c r="Q11" s="3123">
        <f t="shared" si="1"/>
        <v>9882727.5120600052</v>
      </c>
      <c r="R11" s="3123">
        <f t="shared" si="1"/>
        <v>237111.77306000004</v>
      </c>
      <c r="S11" s="3123">
        <f t="shared" si="1"/>
        <v>3992334.0801100004</v>
      </c>
      <c r="T11" s="3123">
        <f t="shared" si="1"/>
        <v>298552.04612470552</v>
      </c>
      <c r="U11" s="3123">
        <f t="shared" si="1"/>
        <v>0</v>
      </c>
      <c r="V11" s="3123">
        <f>SUM(V6:V10)</f>
        <v>42129835.1557578</v>
      </c>
      <c r="W11" s="375">
        <f>+'[1]P &amp; L - GI - 2013'!H13</f>
        <v>42183171.414035596</v>
      </c>
      <c r="X11" s="14">
        <f>+V11-W11</f>
        <v>-53336.258277796209</v>
      </c>
    </row>
    <row r="12" spans="1:24">
      <c r="A12" s="46"/>
      <c r="B12" s="376"/>
      <c r="C12" s="376"/>
      <c r="D12" s="376"/>
      <c r="E12" s="376"/>
      <c r="F12" s="376"/>
      <c r="G12" s="376"/>
      <c r="H12" s="376"/>
      <c r="I12" s="376"/>
      <c r="J12" s="376"/>
      <c r="K12" s="376"/>
      <c r="L12" s="376"/>
      <c r="M12" s="376"/>
      <c r="N12" s="376"/>
      <c r="O12" s="376"/>
      <c r="P12" s="376"/>
      <c r="Q12" s="376"/>
      <c r="R12" s="376"/>
      <c r="S12" s="376"/>
      <c r="T12" s="376"/>
      <c r="U12" s="376"/>
      <c r="V12" s="376"/>
      <c r="W12" s="376"/>
      <c r="X12" s="14"/>
    </row>
    <row r="14" spans="1:24" ht="15" customHeight="1">
      <c r="A14" s="3111" t="s">
        <v>710</v>
      </c>
      <c r="B14" s="3380"/>
      <c r="C14" s="3380"/>
      <c r="D14" s="3380"/>
      <c r="E14" s="3380"/>
      <c r="F14" s="3112"/>
    </row>
    <row r="15" spans="1:24">
      <c r="A15" s="3848" t="s">
        <v>709</v>
      </c>
      <c r="B15" s="373">
        <v>1</v>
      </c>
      <c r="C15" s="373">
        <v>2</v>
      </c>
      <c r="D15" s="373">
        <v>3</v>
      </c>
      <c r="E15" s="373">
        <v>4</v>
      </c>
      <c r="F15" s="373">
        <v>5</v>
      </c>
      <c r="G15" s="373">
        <v>6</v>
      </c>
      <c r="H15" s="373">
        <v>7</v>
      </c>
      <c r="I15" s="373">
        <v>8</v>
      </c>
      <c r="J15" s="373">
        <v>9</v>
      </c>
      <c r="K15" s="373">
        <v>10</v>
      </c>
      <c r="L15" s="373">
        <v>11</v>
      </c>
      <c r="M15" s="373">
        <v>12</v>
      </c>
      <c r="N15" s="373">
        <v>13</v>
      </c>
      <c r="O15" s="373">
        <v>14</v>
      </c>
      <c r="P15" s="373">
        <v>15</v>
      </c>
      <c r="Q15" s="373">
        <v>16</v>
      </c>
      <c r="R15" s="373">
        <v>17</v>
      </c>
      <c r="S15" s="373">
        <v>18</v>
      </c>
      <c r="T15" s="373">
        <v>19</v>
      </c>
      <c r="U15" s="373">
        <v>20</v>
      </c>
      <c r="V15" s="374"/>
    </row>
    <row r="16" spans="1:24">
      <c r="A16" s="3848"/>
      <c r="B16" s="3113" t="s">
        <v>175</v>
      </c>
      <c r="C16" s="3113" t="s">
        <v>177</v>
      </c>
      <c r="D16" s="3113" t="s">
        <v>179</v>
      </c>
      <c r="E16" s="3113" t="s">
        <v>180</v>
      </c>
      <c r="F16" s="3113" t="s">
        <v>181</v>
      </c>
      <c r="G16" s="3113" t="s">
        <v>182</v>
      </c>
      <c r="H16" s="3114" t="s">
        <v>183</v>
      </c>
      <c r="I16" s="3113" t="s">
        <v>184</v>
      </c>
      <c r="J16" s="3113" t="s">
        <v>185</v>
      </c>
      <c r="K16" s="3113" t="s">
        <v>186</v>
      </c>
      <c r="L16" s="3113" t="s">
        <v>187</v>
      </c>
      <c r="M16" s="3113" t="s">
        <v>189</v>
      </c>
      <c r="N16" s="3113" t="s">
        <v>190</v>
      </c>
      <c r="O16" s="3113" t="s">
        <v>681</v>
      </c>
      <c r="P16" s="3113" t="s">
        <v>192</v>
      </c>
      <c r="Q16" s="3115" t="s">
        <v>115</v>
      </c>
      <c r="R16" s="3113" t="s">
        <v>194</v>
      </c>
      <c r="S16" s="3113" t="s">
        <v>195</v>
      </c>
      <c r="T16" s="3113" t="s">
        <v>191</v>
      </c>
      <c r="U16" s="3113" t="s">
        <v>110</v>
      </c>
      <c r="V16" s="3116" t="s">
        <v>118</v>
      </c>
    </row>
    <row r="17" spans="1:24">
      <c r="A17" s="2887" t="s">
        <v>412</v>
      </c>
      <c r="B17" s="3117">
        <f>+'[17]Sheet 2 - General Insurance'!$C$159</f>
        <v>9185.9460699999727</v>
      </c>
      <c r="C17" s="3117">
        <f>+'[18]Sheet 2 - General Insurance'!$C$157</f>
        <v>56046</v>
      </c>
      <c r="D17" s="3117">
        <f>+'[19]Sheet 2 - General Insurance'!$C$177</f>
        <v>127977.13802000001</v>
      </c>
      <c r="E17" s="3117">
        <f>+'[20]Sheet 2 - General Insurance'!$C$161</f>
        <v>7684.5690000000068</v>
      </c>
      <c r="F17" s="3117">
        <f>+'[21]Sheet 2 - General Insurance'!$C$157</f>
        <v>15034.93374</v>
      </c>
      <c r="G17" s="3117">
        <f>+'[22]Sheet 2 - General Insurance'!$C$172</f>
        <v>51972.113134867264</v>
      </c>
      <c r="H17" s="3118">
        <f>+'[1]P &amp; L - GI - 2012 '!C278</f>
        <v>516418</v>
      </c>
      <c r="I17" s="3117">
        <f>+'[24]Sheet 2 - General Insurance'!$C$157</f>
        <v>31180.10871</v>
      </c>
      <c r="J17" s="3117"/>
      <c r="K17" s="3117">
        <f>+'[25]Sheet 2 - General Insurance'!$C$166</f>
        <v>33549.44299000004</v>
      </c>
      <c r="L17" s="3117">
        <f>+'[26]Sheet 2 - General Insurance'!$C$160</f>
        <v>111866.73726999905</v>
      </c>
      <c r="M17" s="3117">
        <f>+'[27]Sheet 2 - General Insurance'!$C$157</f>
        <v>-17648.952170000004</v>
      </c>
      <c r="N17" s="3117">
        <f>+'[28]Sheet 2 - General Insurance'!$C$157</f>
        <v>6128.9368600000016</v>
      </c>
      <c r="O17" s="3117"/>
      <c r="P17" s="3117">
        <f>+'[29]Sheet 2 - General Insurance'!$C$162</f>
        <v>111189.66164999998</v>
      </c>
      <c r="Q17" s="3117">
        <f>+'[1]P &amp; L - GI - 2012 '!C608</f>
        <v>211402.43547999993</v>
      </c>
      <c r="R17" s="3117">
        <f>+'[31]Sheet 2 - General Insurance'!$C$157</f>
        <v>2766.1209099999987</v>
      </c>
      <c r="S17" s="3117">
        <f>+'[32]Sheet 2 - General Insurance'!$C$157</f>
        <v>125135.56500000002</v>
      </c>
      <c r="T17" s="3117">
        <f>+'[33]Sheet 2 - General Insurance'!$C$157</f>
        <v>919.59053914250148</v>
      </c>
      <c r="U17" s="3117"/>
      <c r="V17" s="3117">
        <f>SUM(B17:U17)</f>
        <v>1400808.3472040088</v>
      </c>
      <c r="W17" s="58"/>
    </row>
    <row r="18" spans="1:24">
      <c r="A18" s="2887" t="s">
        <v>413</v>
      </c>
      <c r="B18" s="3117">
        <f>+'[17]Sheet 2 - General Insurance'!$D$159</f>
        <v>24449.195810000005</v>
      </c>
      <c r="C18" s="3117">
        <f>+'[18]Sheet 2 - General Insurance'!$D$157</f>
        <v>10804.21</v>
      </c>
      <c r="D18" s="3117">
        <f>+'[19]Sheet 2 - General Insurance'!$D$177</f>
        <v>74019.987599999993</v>
      </c>
      <c r="E18" s="3117">
        <f>+'[20]Sheet 2 - General Insurance'!$D$161</f>
        <v>15606.681000000002</v>
      </c>
      <c r="F18" s="3117">
        <f>+'[21]Sheet 2 - General Insurance'!$D$157</f>
        <v>5062.196369999996</v>
      </c>
      <c r="G18" s="3117">
        <f>+'[22]Sheet 2 - General Insurance'!$D$172</f>
        <v>1991.9227454172162</v>
      </c>
      <c r="H18" s="3117">
        <f>+'[23]Sheet 2 - General Insurance'!$D$171</f>
        <v>249074</v>
      </c>
      <c r="I18" s="3117">
        <f>+'[24]Sheet 2 - General Insurance'!$D$157</f>
        <v>11456.661589999998</v>
      </c>
      <c r="J18" s="3117"/>
      <c r="K18" s="3117">
        <f>+'[25]Sheet 2 - General Insurance'!$D$166</f>
        <v>4250.1385900000041</v>
      </c>
      <c r="L18" s="3117">
        <f>+'[26]Sheet 2 - General Insurance'!$D$160</f>
        <v>85932.345170000015</v>
      </c>
      <c r="M18" s="3117">
        <f>+'[27]Sheet 2 - General Insurance'!$D$157</f>
        <v>-6118.17839</v>
      </c>
      <c r="N18" s="3117">
        <f>+'[28]Sheet 2 - General Insurance'!$D$157</f>
        <v>8356.355109999995</v>
      </c>
      <c r="O18" s="3117"/>
      <c r="P18" s="3117">
        <f>+'[29]Sheet 2 - General Insurance'!$D$162</f>
        <v>8727.9344600000004</v>
      </c>
      <c r="Q18" s="3117">
        <f>+'[1]P &amp; L - GI - 2012 '!D608</f>
        <v>-17720.445320000021</v>
      </c>
      <c r="R18" s="3117">
        <f>+'[31]Sheet 2 - General Insurance'!$D$157</f>
        <v>0</v>
      </c>
      <c r="S18" s="3117">
        <f>+'[32]Sheet 2 - General Insurance'!$D$157</f>
        <v>59769.151319999903</v>
      </c>
      <c r="T18" s="3117">
        <f>+'[33]Sheet 2 - General Insurance'!$D$157</f>
        <v>1410.5920268613863</v>
      </c>
      <c r="U18" s="3117"/>
      <c r="V18" s="3117">
        <f>SUM(B18:U18)</f>
        <v>537072.74808227841</v>
      </c>
      <c r="W18" s="58"/>
    </row>
    <row r="19" spans="1:24">
      <c r="A19" s="2887" t="s">
        <v>414</v>
      </c>
      <c r="B19" s="3120">
        <f>+'[17]Sheet 2 - General Insurance'!$E$159</f>
        <v>434907.48022000003</v>
      </c>
      <c r="C19" s="3120">
        <f>+'[18]Sheet 2 - General Insurance'!$E$157</f>
        <v>144016</v>
      </c>
      <c r="D19" s="3121">
        <f>+'[19]Sheet 2 - General Insurance'!$E$177</f>
        <v>1446848.9569999999</v>
      </c>
      <c r="E19" s="3120">
        <f>+'[20]Sheet 2 - General Insurance'!$E$161</f>
        <v>786224.00400000007</v>
      </c>
      <c r="F19" s="3120">
        <f>+'[21]Sheet 2 - General Insurance'!$E$157</f>
        <v>50340.718390000002</v>
      </c>
      <c r="G19" s="3117">
        <f>+'[22]Sheet 2 - General Insurance'!$E$172</f>
        <v>925439.04323602375</v>
      </c>
      <c r="H19" s="3117">
        <f>+'[23]Sheet 2 - General Insurance'!$E$171</f>
        <v>6327616</v>
      </c>
      <c r="I19" s="3117">
        <f>+'[24]Sheet 2 - General Insurance'!$E$157</f>
        <v>823724.38667000004</v>
      </c>
      <c r="J19" s="3117"/>
      <c r="K19" s="3117">
        <f>+'[25]Sheet 2 - General Insurance'!$E$166</f>
        <v>1174170.6146</v>
      </c>
      <c r="L19" s="3117">
        <f>+'[26]Sheet 2 - General Insurance'!$E$160</f>
        <v>4042847.8693500198</v>
      </c>
      <c r="M19" s="3117">
        <f>+'[27]Sheet 2 - General Insurance'!$E$157</f>
        <v>854754.57689000014</v>
      </c>
      <c r="N19" s="3117">
        <f>+'[28]Sheet 2 - General Insurance'!$E$157</f>
        <v>589982.99858000013</v>
      </c>
      <c r="O19" s="3117"/>
      <c r="P19" s="3117">
        <f>+'[29]Sheet 2 - General Insurance'!$E$162</f>
        <v>2195967.22358</v>
      </c>
      <c r="Q19" s="3117">
        <f>+'[1]P &amp; L - GI - 2012 '!E608</f>
        <v>7118266.2959499974</v>
      </c>
      <c r="R19" s="3117">
        <f>+'[31]Sheet 2 - General Insurance'!$E$157</f>
        <v>161159.57548999999</v>
      </c>
      <c r="S19" s="3117">
        <f>+'[32]Sheet 2 - General Insurance'!$E$157</f>
        <v>2135046.1623499999</v>
      </c>
      <c r="T19" s="3117">
        <f>+'[33]Sheet 2 - General Insurance'!$E$157</f>
        <v>81797.987727887725</v>
      </c>
      <c r="U19" s="3117"/>
      <c r="V19" s="3117">
        <f>SUM(B19:U19)</f>
        <v>29293109.894033927</v>
      </c>
      <c r="W19" s="58"/>
    </row>
    <row r="20" spans="1:24">
      <c r="A20" s="2887" t="s">
        <v>701</v>
      </c>
      <c r="B20" s="3120">
        <f>+'[17]Sheet 2 - General Insurance'!$F$159</f>
        <v>4970.9151399999992</v>
      </c>
      <c r="C20" s="3120">
        <f>+'[18]Sheet 2 - General Insurance'!$F$157</f>
        <v>8397</v>
      </c>
      <c r="D20" s="3121">
        <f>+'[19]Sheet 2 - General Insurance'!$F$177</f>
        <v>19455</v>
      </c>
      <c r="E20" s="3120">
        <f>+'[20]Sheet 2 - General Insurance'!$F$161</f>
        <v>4865.4969999999994</v>
      </c>
      <c r="F20" s="3120">
        <f>+'[21]Sheet 2 - General Insurance'!$F$157</f>
        <v>1073.2673599999996</v>
      </c>
      <c r="G20" s="3117">
        <f>+'[22]Sheet 2 - General Insurance'!$F$172</f>
        <v>782.44109013554055</v>
      </c>
      <c r="H20" s="3117">
        <f>+'[23]Sheet 2 - General Insurance'!$F$171</f>
        <v>86800</v>
      </c>
      <c r="I20" s="3117">
        <v>0</v>
      </c>
      <c r="J20" s="3117"/>
      <c r="K20" s="3117">
        <f>+'[25]Sheet 2 - General Insurance'!$F$166</f>
        <v>3573.4422999999997</v>
      </c>
      <c r="L20" s="3117">
        <v>0</v>
      </c>
      <c r="M20" s="3117">
        <f>+'[27]Sheet 2 - General Insurance'!$F$157</f>
        <v>511.07972999999981</v>
      </c>
      <c r="N20" s="3117">
        <v>0</v>
      </c>
      <c r="O20" s="3117"/>
      <c r="P20" s="3117">
        <v>0</v>
      </c>
      <c r="Q20" s="3117">
        <f>+'[1]P &amp; L - GI - 2012 '!F608</f>
        <v>81464.675830000022</v>
      </c>
      <c r="R20" s="3117">
        <f>+'[31]Sheet 2 - General Insurance'!$F$157</f>
        <v>0</v>
      </c>
      <c r="S20" s="3117">
        <f>+'[32]Sheet 2 - General Insurance'!$F$157</f>
        <v>33395.974390000003</v>
      </c>
      <c r="T20" s="3117">
        <f>+'[33]Sheet 2 - General Insurance'!$F$157</f>
        <v>0</v>
      </c>
      <c r="U20" s="3117"/>
      <c r="V20" s="3117">
        <f>SUM(B20:U20)</f>
        <v>245289.29284013557</v>
      </c>
      <c r="W20" s="58"/>
    </row>
    <row r="21" spans="1:24">
      <c r="A21" s="2887" t="s">
        <v>416</v>
      </c>
      <c r="B21" s="3120">
        <f>+'[17]Sheet 2 - General Insurance'!$G$159</f>
        <v>211880.42155000003</v>
      </c>
      <c r="C21" s="3120">
        <f>+'[18]Sheet 2 - General Insurance'!$G$157</f>
        <v>216298.16999999998</v>
      </c>
      <c r="D21" s="3121">
        <f>+'[19]Sheet 2 - General Insurance'!$G$177</f>
        <v>299489.78647000022</v>
      </c>
      <c r="E21" s="3120">
        <f>+'[20]Sheet 2 - General Insurance'!$G$161</f>
        <v>154998.67699999991</v>
      </c>
      <c r="F21" s="3120">
        <f>+'[21]Sheet 2 - General Insurance'!$G$157</f>
        <v>316325.48613000027</v>
      </c>
      <c r="G21" s="3117">
        <f>+'[22]Sheet 2 - General Insurance'!$G$172</f>
        <v>23140.302350180227</v>
      </c>
      <c r="H21" s="3117">
        <f>+'[23]Sheet 2 - General Insurance'!$G$171</f>
        <v>1442245</v>
      </c>
      <c r="I21" s="3117">
        <f>+'[24]Sheet 2 - General Insurance'!$G$157</f>
        <v>135022.10180999999</v>
      </c>
      <c r="J21" s="3117"/>
      <c r="K21" s="3117">
        <f>+'[25]Sheet 2 - General Insurance'!$G$166</f>
        <v>109528.20471999998</v>
      </c>
      <c r="L21" s="3117">
        <f>+'[26]Sheet 2 - General Insurance'!$G$160</f>
        <v>611959.9632</v>
      </c>
      <c r="M21" s="3117">
        <f>+'[27]Sheet 2 - General Insurance'!$G$157</f>
        <v>-9878.1185899999982</v>
      </c>
      <c r="N21" s="3117">
        <f>+'[28]Sheet 2 - General Insurance'!$G$157</f>
        <v>118820.44835000001</v>
      </c>
      <c r="O21" s="3117"/>
      <c r="P21" s="3117">
        <f>+'[29]Sheet 2 - General Insurance'!$G$162</f>
        <v>132355</v>
      </c>
      <c r="Q21" s="3117">
        <f>+'[1]P &amp; L - GI - 2012 '!G608</f>
        <v>1965098.9336100011</v>
      </c>
      <c r="R21" s="3117">
        <f>+'[31]Sheet 2 - General Insurance'!$G$157</f>
        <v>52386.550160000035</v>
      </c>
      <c r="S21" s="3117">
        <f>+'[32]Sheet 2 - General Insurance'!$G$157</f>
        <v>1175064.1522499998</v>
      </c>
      <c r="T21" s="3117">
        <f>+'[33]Sheet 2 - General Insurance'!$G$157</f>
        <v>22586.550192785209</v>
      </c>
      <c r="U21" s="3117"/>
      <c r="V21" s="3117">
        <f>SUM(B21:U21)</f>
        <v>6977321.6292029666</v>
      </c>
      <c r="W21" s="58"/>
    </row>
    <row r="22" spans="1:24">
      <c r="A22" s="3122" t="s">
        <v>118</v>
      </c>
      <c r="B22" s="3123">
        <f>SUM(B17:B21)</f>
        <v>685393.95879000006</v>
      </c>
      <c r="C22" s="3123">
        <f>SUM(C17:C21)</f>
        <v>435561.38</v>
      </c>
      <c r="D22" s="3123">
        <f>SUM(D17:D21)</f>
        <v>1967790.8690900002</v>
      </c>
      <c r="E22" s="3123">
        <f>SUM(E17:E21)</f>
        <v>969379.42799999996</v>
      </c>
      <c r="F22" s="3123">
        <f>SUM(F17:F21)</f>
        <v>387836.60199000023</v>
      </c>
      <c r="G22" s="3123">
        <f t="shared" ref="G22:V22" si="2">SUM(G17:G21)</f>
        <v>1003325.822556624</v>
      </c>
      <c r="H22" s="3123">
        <f t="shared" si="2"/>
        <v>8622153</v>
      </c>
      <c r="I22" s="3123">
        <f t="shared" si="2"/>
        <v>1001383.25878</v>
      </c>
      <c r="J22" s="3123">
        <f t="shared" si="2"/>
        <v>0</v>
      </c>
      <c r="K22" s="3123">
        <f t="shared" si="2"/>
        <v>1325071.8432</v>
      </c>
      <c r="L22" s="3123">
        <f>SUM(L17:L21)</f>
        <v>4852606.9149900191</v>
      </c>
      <c r="M22" s="3123">
        <f t="shared" si="2"/>
        <v>821620.40747000021</v>
      </c>
      <c r="N22" s="3123">
        <f t="shared" si="2"/>
        <v>723288.73890000011</v>
      </c>
      <c r="O22" s="3123">
        <f t="shared" si="2"/>
        <v>0</v>
      </c>
      <c r="P22" s="3123">
        <f t="shared" si="2"/>
        <v>2448239.8196899998</v>
      </c>
      <c r="Q22" s="3123">
        <f t="shared" si="2"/>
        <v>9358511.8955499977</v>
      </c>
      <c r="R22" s="3123">
        <f t="shared" si="2"/>
        <v>216312.24656000003</v>
      </c>
      <c r="S22" s="3123">
        <f t="shared" si="2"/>
        <v>3528411.0053099999</v>
      </c>
      <c r="T22" s="3123">
        <f t="shared" si="2"/>
        <v>106714.72048667682</v>
      </c>
      <c r="U22" s="3123">
        <f t="shared" si="2"/>
        <v>0</v>
      </c>
      <c r="V22" s="3123">
        <f t="shared" si="2"/>
        <v>38453601.911363319</v>
      </c>
      <c r="W22" s="375">
        <f>+'[1]P &amp; L - GI - 2012 '!H13</f>
        <v>38453601.911363319</v>
      </c>
      <c r="X22" s="14">
        <f>+V22-W22</f>
        <v>0</v>
      </c>
    </row>
    <row r="25" spans="1:24" ht="15" customHeight="1">
      <c r="A25" s="3111" t="s">
        <v>711</v>
      </c>
      <c r="B25" s="3380"/>
      <c r="C25" s="3380"/>
      <c r="D25" s="3380"/>
      <c r="E25" s="3380"/>
      <c r="F25" s="3112"/>
    </row>
    <row r="26" spans="1:24">
      <c r="A26" s="3848" t="s">
        <v>709</v>
      </c>
      <c r="B26" s="373">
        <v>1</v>
      </c>
      <c r="C26" s="373">
        <v>2</v>
      </c>
      <c r="D26" s="373">
        <v>3</v>
      </c>
      <c r="E26" s="373">
        <v>4</v>
      </c>
      <c r="F26" s="373">
        <v>5</v>
      </c>
      <c r="G26" s="373">
        <v>6</v>
      </c>
      <c r="H26" s="373">
        <v>7</v>
      </c>
      <c r="I26" s="373">
        <v>8</v>
      </c>
      <c r="J26" s="373">
        <v>9</v>
      </c>
      <c r="K26" s="373">
        <v>10</v>
      </c>
      <c r="L26" s="373">
        <v>11</v>
      </c>
      <c r="M26" s="373">
        <v>12</v>
      </c>
      <c r="N26" s="373">
        <v>13</v>
      </c>
      <c r="O26" s="373">
        <v>14</v>
      </c>
      <c r="P26" s="373">
        <v>15</v>
      </c>
      <c r="Q26" s="373">
        <v>16</v>
      </c>
      <c r="R26" s="373">
        <v>17</v>
      </c>
      <c r="S26" s="373">
        <v>18</v>
      </c>
      <c r="T26" s="373">
        <v>19</v>
      </c>
      <c r="U26" s="373">
        <v>20</v>
      </c>
      <c r="V26" s="374"/>
    </row>
    <row r="27" spans="1:24">
      <c r="A27" s="3848"/>
      <c r="B27" s="3113" t="s">
        <v>175</v>
      </c>
      <c r="C27" s="3113" t="s">
        <v>177</v>
      </c>
      <c r="D27" s="3113" t="s">
        <v>179</v>
      </c>
      <c r="E27" s="3113" t="s">
        <v>180</v>
      </c>
      <c r="F27" s="3113" t="s">
        <v>181</v>
      </c>
      <c r="G27" s="3113" t="s">
        <v>182</v>
      </c>
      <c r="H27" s="3114" t="s">
        <v>183</v>
      </c>
      <c r="I27" s="3113" t="s">
        <v>184</v>
      </c>
      <c r="J27" s="3113" t="s">
        <v>185</v>
      </c>
      <c r="K27" s="3113" t="s">
        <v>186</v>
      </c>
      <c r="L27" s="3113" t="s">
        <v>187</v>
      </c>
      <c r="M27" s="3113" t="s">
        <v>189</v>
      </c>
      <c r="N27" s="3113" t="s">
        <v>190</v>
      </c>
      <c r="O27" s="3113" t="s">
        <v>681</v>
      </c>
      <c r="P27" s="3113" t="s">
        <v>192</v>
      </c>
      <c r="Q27" s="3113" t="s">
        <v>115</v>
      </c>
      <c r="R27" s="3113" t="s">
        <v>194</v>
      </c>
      <c r="S27" s="3113" t="s">
        <v>195</v>
      </c>
      <c r="T27" s="3113" t="s">
        <v>191</v>
      </c>
      <c r="U27" s="3113" t="s">
        <v>110</v>
      </c>
      <c r="V27" s="3116" t="s">
        <v>118</v>
      </c>
    </row>
    <row r="28" spans="1:24">
      <c r="A28" s="2887" t="s">
        <v>412</v>
      </c>
      <c r="B28" s="3117">
        <v>4576.2172399999981</v>
      </c>
      <c r="C28" s="3117">
        <v>71591</v>
      </c>
      <c r="D28" s="3117">
        <v>111314.74394999997</v>
      </c>
      <c r="E28" s="3117">
        <v>9235.9889999999978</v>
      </c>
      <c r="F28" s="3117">
        <v>3998</v>
      </c>
      <c r="G28" s="3117">
        <v>35470.872924293399</v>
      </c>
      <c r="H28" s="3118">
        <v>442930</v>
      </c>
      <c r="I28" s="3117">
        <v>30909.073029999992</v>
      </c>
      <c r="J28" s="3117"/>
      <c r="K28" s="3117">
        <v>31862.239679999999</v>
      </c>
      <c r="L28" s="3117">
        <v>92610.746889998991</v>
      </c>
      <c r="M28" s="3117"/>
      <c r="N28" s="3117">
        <v>1058</v>
      </c>
      <c r="O28" s="3117"/>
      <c r="P28" s="3117">
        <v>45621</v>
      </c>
      <c r="Q28" s="3117">
        <v>206881.33041999995</v>
      </c>
      <c r="R28" s="3117">
        <v>5879</v>
      </c>
      <c r="S28" s="3117">
        <v>47649.619230000055</v>
      </c>
      <c r="T28" s="3117">
        <v>3</v>
      </c>
      <c r="U28" s="3117"/>
      <c r="V28" s="3117">
        <f>SUM(B28:U28)</f>
        <v>1141590.8323642923</v>
      </c>
      <c r="W28" s="58"/>
    </row>
    <row r="29" spans="1:24">
      <c r="A29" s="2887" t="s">
        <v>413</v>
      </c>
      <c r="B29" s="3117">
        <v>9222.03125</v>
      </c>
      <c r="C29" s="3117">
        <v>9237</v>
      </c>
      <c r="D29" s="3117">
        <v>69548.184239999988</v>
      </c>
      <c r="E29" s="3117">
        <v>15738.094999999994</v>
      </c>
      <c r="F29" s="3117">
        <v>92641</v>
      </c>
      <c r="G29" s="3117">
        <v>1513.1036928860751</v>
      </c>
      <c r="H29" s="3117">
        <v>266899</v>
      </c>
      <c r="I29" s="3117">
        <v>10523.719789999997</v>
      </c>
      <c r="J29" s="3117"/>
      <c r="K29" s="3117">
        <v>5145.8688699999975</v>
      </c>
      <c r="L29" s="3117">
        <v>70225.275380000006</v>
      </c>
      <c r="M29" s="3117"/>
      <c r="N29" s="3117">
        <v>2656</v>
      </c>
      <c r="O29" s="3117"/>
      <c r="P29" s="3117">
        <v>8094</v>
      </c>
      <c r="Q29" s="3117">
        <v>133869.90681999997</v>
      </c>
      <c r="R29" s="3117">
        <v>0</v>
      </c>
      <c r="S29" s="3117">
        <v>107362.12702000003</v>
      </c>
      <c r="T29" s="3117">
        <v>2</v>
      </c>
      <c r="U29" s="3117"/>
      <c r="V29" s="3117">
        <f>SUM(B29:U29)</f>
        <v>802677.31206288608</v>
      </c>
      <c r="W29" s="58"/>
    </row>
    <row r="30" spans="1:24">
      <c r="A30" s="2887" t="s">
        <v>414</v>
      </c>
      <c r="B30" s="3120">
        <v>240669.23228</v>
      </c>
      <c r="C30" s="3120">
        <v>100932</v>
      </c>
      <c r="D30" s="3121">
        <v>1744259.8762700001</v>
      </c>
      <c r="E30" s="3120">
        <v>609412.68299999996</v>
      </c>
      <c r="F30" s="3120">
        <v>33533</v>
      </c>
      <c r="G30" s="3117">
        <v>517642.00178366603</v>
      </c>
      <c r="H30" s="3117">
        <v>5613160</v>
      </c>
      <c r="I30" s="3117">
        <v>581708.1924099999</v>
      </c>
      <c r="J30" s="3117"/>
      <c r="K30" s="3117">
        <v>1035090.14004</v>
      </c>
      <c r="L30" s="3117">
        <v>3545834.41431998</v>
      </c>
      <c r="M30" s="3117">
        <v>50594.218070000003</v>
      </c>
      <c r="N30" s="3117">
        <v>349902</v>
      </c>
      <c r="O30" s="3117"/>
      <c r="P30" s="3117">
        <v>1312591</v>
      </c>
      <c r="Q30" s="3117">
        <v>5739853.494380001</v>
      </c>
      <c r="R30" s="3117">
        <v>112175</v>
      </c>
      <c r="S30" s="3117">
        <v>1987683.4469299999</v>
      </c>
      <c r="T30" s="3117">
        <v>30</v>
      </c>
      <c r="U30" s="3117"/>
      <c r="V30" s="3117">
        <f>SUM(B30:U30)</f>
        <v>23575070.699483648</v>
      </c>
      <c r="W30" s="58"/>
    </row>
    <row r="31" spans="1:24">
      <c r="A31" s="2887" t="s">
        <v>701</v>
      </c>
      <c r="B31" s="3120">
        <v>4449</v>
      </c>
      <c r="C31" s="3120">
        <v>7623</v>
      </c>
      <c r="D31" s="3121">
        <v>13310.683964661497</v>
      </c>
      <c r="E31" s="3120">
        <v>4177.3700000000008</v>
      </c>
      <c r="F31" s="3120">
        <v>-118</v>
      </c>
      <c r="G31" s="3117">
        <v>385.5025901412705</v>
      </c>
      <c r="H31" s="3117">
        <v>54921</v>
      </c>
      <c r="I31" s="3117">
        <v>0</v>
      </c>
      <c r="J31" s="3117"/>
      <c r="K31" s="3117">
        <v>4689.0336699999998</v>
      </c>
      <c r="L31" s="3117">
        <v>0</v>
      </c>
      <c r="M31" s="3117"/>
      <c r="N31" s="3117">
        <v>0</v>
      </c>
      <c r="O31" s="3117"/>
      <c r="P31" s="3117">
        <v>0</v>
      </c>
      <c r="Q31" s="3117">
        <v>68525.751139999978</v>
      </c>
      <c r="R31" s="3117">
        <v>0</v>
      </c>
      <c r="S31" s="3117">
        <v>32019.204879999998</v>
      </c>
      <c r="T31" s="3117">
        <v>0</v>
      </c>
      <c r="U31" s="3117"/>
      <c r="V31" s="3117">
        <f>SUM(B31:U31)</f>
        <v>189982.54624480274</v>
      </c>
      <c r="W31" s="58"/>
    </row>
    <row r="32" spans="1:24">
      <c r="A32" s="2887" t="s">
        <v>416</v>
      </c>
      <c r="B32" s="3120">
        <v>88661.172119999974</v>
      </c>
      <c r="C32" s="3120">
        <v>147364</v>
      </c>
      <c r="D32" s="3121">
        <v>307297.38688533846</v>
      </c>
      <c r="E32" s="3120">
        <v>140432.51300000004</v>
      </c>
      <c r="F32" s="3120">
        <v>224997</v>
      </c>
      <c r="G32" s="3117">
        <v>16229.325792022566</v>
      </c>
      <c r="H32" s="3117">
        <v>1404997</v>
      </c>
      <c r="I32" s="3117">
        <v>105451.65486000001</v>
      </c>
      <c r="J32" s="3117"/>
      <c r="K32" s="3117">
        <v>85161.766959999979</v>
      </c>
      <c r="L32" s="3117">
        <v>524599.49359999993</v>
      </c>
      <c r="M32" s="3117"/>
      <c r="N32" s="3117">
        <v>34702.252620000014</v>
      </c>
      <c r="O32" s="3117"/>
      <c r="P32" s="3117">
        <v>111665</v>
      </c>
      <c r="Q32" s="3117">
        <v>1920732.3758600007</v>
      </c>
      <c r="R32" s="3117">
        <v>50110</v>
      </c>
      <c r="S32" s="3117">
        <v>945674.49907999998</v>
      </c>
      <c r="T32" s="3117">
        <v>0</v>
      </c>
      <c r="U32" s="3117"/>
      <c r="V32" s="3117">
        <f>SUM(B32:U32)</f>
        <v>6108075.4407773614</v>
      </c>
      <c r="W32" s="58"/>
    </row>
    <row r="33" spans="1:24">
      <c r="A33" s="3122" t="s">
        <v>118</v>
      </c>
      <c r="B33" s="3123">
        <f>SUM(B28:B32)</f>
        <v>347577.65288999997</v>
      </c>
      <c r="C33" s="3123">
        <f t="shared" ref="C33:V33" si="3">SUM(C28:C32)</f>
        <v>336747</v>
      </c>
      <c r="D33" s="3123">
        <f>SUM(D28:D32)</f>
        <v>2245730.87531</v>
      </c>
      <c r="E33" s="3123">
        <f t="shared" si="3"/>
        <v>778996.65</v>
      </c>
      <c r="F33" s="3123">
        <f>SUM(F28:F32)</f>
        <v>355051</v>
      </c>
      <c r="G33" s="3123">
        <f t="shared" si="3"/>
        <v>571240.80678300932</v>
      </c>
      <c r="H33" s="3123">
        <f t="shared" si="3"/>
        <v>7782907</v>
      </c>
      <c r="I33" s="3123">
        <f t="shared" si="3"/>
        <v>728592.64008999988</v>
      </c>
      <c r="J33" s="3123">
        <f t="shared" si="3"/>
        <v>0</v>
      </c>
      <c r="K33" s="3123">
        <f t="shared" si="3"/>
        <v>1161949.0492199999</v>
      </c>
      <c r="L33" s="3123">
        <f>SUM(L28:L32)</f>
        <v>4233269.9301899793</v>
      </c>
      <c r="M33" s="3123">
        <f t="shared" si="3"/>
        <v>50594.218070000003</v>
      </c>
      <c r="N33" s="3123">
        <f t="shared" si="3"/>
        <v>388318.25262000004</v>
      </c>
      <c r="O33" s="3123">
        <f t="shared" si="3"/>
        <v>0</v>
      </c>
      <c r="P33" s="3123">
        <f t="shared" si="3"/>
        <v>1477971</v>
      </c>
      <c r="Q33" s="3123">
        <f t="shared" si="3"/>
        <v>8069862.8586200019</v>
      </c>
      <c r="R33" s="3123">
        <f t="shared" si="3"/>
        <v>168164</v>
      </c>
      <c r="S33" s="3123">
        <f t="shared" si="3"/>
        <v>3120388.89714</v>
      </c>
      <c r="T33" s="3123">
        <f t="shared" si="3"/>
        <v>35</v>
      </c>
      <c r="U33" s="3123">
        <f t="shared" si="3"/>
        <v>0</v>
      </c>
      <c r="V33" s="3123">
        <f t="shared" si="3"/>
        <v>31817396.830932993</v>
      </c>
      <c r="W33" s="375" t="e">
        <f>+#REF!</f>
        <v>#REF!</v>
      </c>
      <c r="X33" s="14" t="e">
        <f>+V33-W33</f>
        <v>#REF!</v>
      </c>
    </row>
    <row r="34" spans="1:24">
      <c r="A34" s="44"/>
      <c r="B34" s="377"/>
      <c r="C34" s="377"/>
      <c r="D34" s="377"/>
      <c r="E34" s="378"/>
      <c r="F34" s="378"/>
    </row>
    <row r="36" spans="1:24">
      <c r="A36" s="3111" t="s">
        <v>712</v>
      </c>
      <c r="B36" s="3381"/>
      <c r="C36" s="3381"/>
      <c r="D36" s="3381"/>
      <c r="E36" s="3381"/>
      <c r="F36" s="3124"/>
    </row>
    <row r="37" spans="1:24">
      <c r="A37" s="3848" t="s">
        <v>709</v>
      </c>
      <c r="B37" s="373">
        <v>1</v>
      </c>
      <c r="C37" s="373">
        <v>2</v>
      </c>
      <c r="D37" s="373">
        <v>3</v>
      </c>
      <c r="E37" s="373">
        <v>4</v>
      </c>
      <c r="F37" s="373">
        <v>5</v>
      </c>
      <c r="G37" s="373">
        <v>6</v>
      </c>
      <c r="H37" s="373">
        <v>7</v>
      </c>
      <c r="I37" s="373">
        <v>8</v>
      </c>
      <c r="J37" s="373">
        <v>9</v>
      </c>
      <c r="K37" s="373">
        <v>10</v>
      </c>
      <c r="L37" s="373">
        <v>11</v>
      </c>
      <c r="M37" s="373">
        <v>12</v>
      </c>
      <c r="N37" s="373">
        <v>13</v>
      </c>
      <c r="O37" s="373">
        <v>14</v>
      </c>
      <c r="P37" s="373">
        <v>15</v>
      </c>
      <c r="Q37" s="373">
        <v>16</v>
      </c>
      <c r="R37" s="373">
        <v>17</v>
      </c>
      <c r="S37" s="373">
        <v>18</v>
      </c>
      <c r="T37" s="373">
        <v>19</v>
      </c>
      <c r="U37" s="373">
        <v>20</v>
      </c>
      <c r="V37" s="374"/>
    </row>
    <row r="38" spans="1:24">
      <c r="A38" s="3848"/>
      <c r="B38" s="3113" t="s">
        <v>175</v>
      </c>
      <c r="C38" s="3113" t="s">
        <v>177</v>
      </c>
      <c r="D38" s="3113" t="s">
        <v>179</v>
      </c>
      <c r="E38" s="3113" t="s">
        <v>180</v>
      </c>
      <c r="F38" s="3113" t="s">
        <v>181</v>
      </c>
      <c r="G38" s="3113" t="s">
        <v>182</v>
      </c>
      <c r="H38" s="3114" t="s">
        <v>183</v>
      </c>
      <c r="I38" s="3113" t="s">
        <v>184</v>
      </c>
      <c r="J38" s="3113" t="s">
        <v>185</v>
      </c>
      <c r="K38" s="3113" t="s">
        <v>186</v>
      </c>
      <c r="L38" s="3113" t="s">
        <v>187</v>
      </c>
      <c r="M38" s="3113" t="s">
        <v>189</v>
      </c>
      <c r="N38" s="3113" t="s">
        <v>190</v>
      </c>
      <c r="O38" s="3113" t="s">
        <v>681</v>
      </c>
      <c r="P38" s="3113" t="s">
        <v>192</v>
      </c>
      <c r="Q38" s="3113" t="s">
        <v>115</v>
      </c>
      <c r="R38" s="3113" t="s">
        <v>194</v>
      </c>
      <c r="S38" s="3113" t="s">
        <v>195</v>
      </c>
      <c r="T38" s="3113" t="s">
        <v>191</v>
      </c>
      <c r="U38" s="3113" t="s">
        <v>110</v>
      </c>
      <c r="V38" s="3116" t="s">
        <v>118</v>
      </c>
    </row>
    <row r="39" spans="1:24">
      <c r="A39" s="2887" t="s">
        <v>412</v>
      </c>
      <c r="B39" s="3117">
        <v>1228</v>
      </c>
      <c r="C39" s="3117">
        <v>96193</v>
      </c>
      <c r="D39" s="3117">
        <v>77802.732860000076</v>
      </c>
      <c r="E39" s="3117">
        <v>10377.061</v>
      </c>
      <c r="F39" s="3117">
        <v>16021</v>
      </c>
      <c r="G39" s="3117">
        <v>12977</v>
      </c>
      <c r="H39" s="3118">
        <v>384804</v>
      </c>
      <c r="I39" s="3117">
        <v>22163.706549999999</v>
      </c>
      <c r="J39" s="3117"/>
      <c r="K39" s="3117">
        <v>30327</v>
      </c>
      <c r="L39" s="3117">
        <v>83180.187950000036</v>
      </c>
      <c r="M39" s="3117"/>
      <c r="N39" s="3117">
        <v>628.73019999999838</v>
      </c>
      <c r="O39" s="3117"/>
      <c r="P39" s="3117">
        <v>7974</v>
      </c>
      <c r="Q39" s="3117">
        <v>299561.5532000002</v>
      </c>
      <c r="R39" s="3117">
        <v>5226</v>
      </c>
      <c r="S39" s="3117">
        <v>49722.125179999974</v>
      </c>
      <c r="T39" s="3117"/>
      <c r="U39" s="3117"/>
      <c r="V39" s="3117">
        <f>SUM(B39:U39)</f>
        <v>1098186.0969400003</v>
      </c>
      <c r="W39" s="58"/>
    </row>
    <row r="40" spans="1:24">
      <c r="A40" s="2887" t="s">
        <v>413</v>
      </c>
      <c r="B40" s="3117">
        <v>5810</v>
      </c>
      <c r="C40" s="3117">
        <v>7885</v>
      </c>
      <c r="D40" s="3117">
        <v>57221.429510000002</v>
      </c>
      <c r="E40" s="3117">
        <v>30924</v>
      </c>
      <c r="F40" s="3117">
        <v>59629</v>
      </c>
      <c r="G40" s="3117">
        <v>399.7399999999995</v>
      </c>
      <c r="H40" s="3117">
        <v>221194</v>
      </c>
      <c r="I40" s="3117">
        <v>9161.1163699999979</v>
      </c>
      <c r="J40" s="3117"/>
      <c r="K40" s="3117">
        <v>4347</v>
      </c>
      <c r="L40" s="3117">
        <v>53024.702639999996</v>
      </c>
      <c r="M40" s="3117"/>
      <c r="N40" s="3117">
        <v>2915.6246100000008</v>
      </c>
      <c r="O40" s="3117"/>
      <c r="P40" s="3117">
        <v>944</v>
      </c>
      <c r="Q40" s="3117">
        <v>124253.36211000005</v>
      </c>
      <c r="R40" s="3117">
        <v>0</v>
      </c>
      <c r="S40" s="3117">
        <v>96766.83063000004</v>
      </c>
      <c r="T40" s="3117"/>
      <c r="U40" s="3117"/>
      <c r="V40" s="3117">
        <f>SUM(B40:U40)</f>
        <v>674475.80587000004</v>
      </c>
      <c r="W40" s="58"/>
    </row>
    <row r="41" spans="1:24">
      <c r="A41" s="2887" t="s">
        <v>414</v>
      </c>
      <c r="B41" s="3120">
        <v>195929</v>
      </c>
      <c r="C41" s="3120">
        <v>71375</v>
      </c>
      <c r="D41" s="3121">
        <v>1277150.35537</v>
      </c>
      <c r="E41" s="3120">
        <v>444384.6</v>
      </c>
      <c r="F41" s="3120">
        <v>67181</v>
      </c>
      <c r="G41" s="3117">
        <v>61955.084000000003</v>
      </c>
      <c r="H41" s="3117">
        <v>5295407</v>
      </c>
      <c r="I41" s="3117">
        <v>425607.61602000002</v>
      </c>
      <c r="J41" s="3117"/>
      <c r="K41" s="3117">
        <v>769922</v>
      </c>
      <c r="L41" s="3117">
        <v>3177981.5238199998</v>
      </c>
      <c r="M41" s="3117"/>
      <c r="N41" s="3117">
        <v>310691.52703</v>
      </c>
      <c r="O41" s="3117"/>
      <c r="P41" s="3117">
        <v>191685</v>
      </c>
      <c r="Q41" s="3117">
        <v>4305077.0586300008</v>
      </c>
      <c r="R41" s="3117">
        <v>91789</v>
      </c>
      <c r="S41" s="3117">
        <v>1670750.9310699997</v>
      </c>
      <c r="T41" s="3117"/>
      <c r="U41" s="3117"/>
      <c r="V41" s="3117">
        <f>SUM(B41:U41)</f>
        <v>18356886.695939999</v>
      </c>
      <c r="W41" s="58"/>
    </row>
    <row r="42" spans="1:24">
      <c r="A42" s="2887" t="s">
        <v>701</v>
      </c>
      <c r="B42" s="3120">
        <v>0</v>
      </c>
      <c r="C42" s="3120">
        <v>5117</v>
      </c>
      <c r="D42" s="3121">
        <v>35833.748161499519</v>
      </c>
      <c r="E42" s="3120">
        <v>3587.8</v>
      </c>
      <c r="F42" s="3120">
        <v>1918</v>
      </c>
      <c r="G42" s="3117">
        <v>0</v>
      </c>
      <c r="H42" s="3117">
        <v>93179</v>
      </c>
      <c r="I42" s="3117">
        <v>0</v>
      </c>
      <c r="J42" s="3117"/>
      <c r="K42" s="3117">
        <v>4484</v>
      </c>
      <c r="L42" s="3117">
        <v>0</v>
      </c>
      <c r="M42" s="3117"/>
      <c r="N42" s="3117">
        <v>0</v>
      </c>
      <c r="O42" s="3117"/>
      <c r="P42" s="3117">
        <v>0</v>
      </c>
      <c r="Q42" s="3117">
        <v>79320.056850000008</v>
      </c>
      <c r="R42" s="3117">
        <v>0</v>
      </c>
      <c r="S42" s="3117">
        <v>27349.42931</v>
      </c>
      <c r="T42" s="3117"/>
      <c r="U42" s="3117"/>
      <c r="V42" s="3117">
        <f>SUM(B42:U42)</f>
        <v>250789.03432149955</v>
      </c>
      <c r="W42" s="58"/>
    </row>
    <row r="43" spans="1:24">
      <c r="A43" s="2887" t="s">
        <v>416</v>
      </c>
      <c r="B43" s="3120">
        <v>74894</v>
      </c>
      <c r="C43" s="3120">
        <v>112867</v>
      </c>
      <c r="D43" s="3121">
        <v>597887.92689850053</v>
      </c>
      <c r="E43" s="3120">
        <v>224261.9</v>
      </c>
      <c r="F43" s="3120">
        <v>287484</v>
      </c>
      <c r="G43" s="3117">
        <v>2111.336000000003</v>
      </c>
      <c r="H43" s="3117">
        <v>1254576</v>
      </c>
      <c r="I43" s="3117">
        <v>87365.471450000026</v>
      </c>
      <c r="J43" s="3117"/>
      <c r="K43" s="3117">
        <v>49997</v>
      </c>
      <c r="L43" s="3117">
        <v>483805.63531000004</v>
      </c>
      <c r="M43" s="3117"/>
      <c r="N43" s="3117">
        <v>22862.317689999996</v>
      </c>
      <c r="O43" s="3117"/>
      <c r="P43" s="3117">
        <v>30865</v>
      </c>
      <c r="Q43" s="3117">
        <v>1225973.8938278002</v>
      </c>
      <c r="R43" s="3117">
        <v>97669</v>
      </c>
      <c r="S43" s="3117">
        <v>478738.84320000012</v>
      </c>
      <c r="T43" s="3117"/>
      <c r="U43" s="3117"/>
      <c r="V43" s="3117">
        <f>SUM(B43:U43)</f>
        <v>5031359.3243763</v>
      </c>
      <c r="W43" s="58"/>
    </row>
    <row r="44" spans="1:24">
      <c r="A44" s="3122" t="s">
        <v>118</v>
      </c>
      <c r="B44" s="3123">
        <f>SUM(B39:B43)</f>
        <v>277861</v>
      </c>
      <c r="C44" s="3123">
        <f t="shared" ref="C44:V44" si="4">SUM(C39:C43)</f>
        <v>293437</v>
      </c>
      <c r="D44" s="3123">
        <f>SUM(D39:D43)</f>
        <v>2045896.1928000003</v>
      </c>
      <c r="E44" s="3123">
        <f t="shared" si="4"/>
        <v>713535.36099999992</v>
      </c>
      <c r="F44" s="3123">
        <f t="shared" si="4"/>
        <v>432233</v>
      </c>
      <c r="G44" s="3123">
        <f t="shared" si="4"/>
        <v>77443.16</v>
      </c>
      <c r="H44" s="3123">
        <f>SUM(H39:H43)</f>
        <v>7249160</v>
      </c>
      <c r="I44" s="3123">
        <f t="shared" si="4"/>
        <v>544297.91039000009</v>
      </c>
      <c r="J44" s="3123">
        <f t="shared" si="4"/>
        <v>0</v>
      </c>
      <c r="K44" s="3123">
        <f t="shared" si="4"/>
        <v>859077</v>
      </c>
      <c r="L44" s="3123">
        <f t="shared" si="4"/>
        <v>3797992.0497199995</v>
      </c>
      <c r="M44" s="3123">
        <f t="shared" si="4"/>
        <v>0</v>
      </c>
      <c r="N44" s="3123">
        <f t="shared" si="4"/>
        <v>337098.19952999998</v>
      </c>
      <c r="O44" s="3123">
        <f t="shared" si="4"/>
        <v>0</v>
      </c>
      <c r="P44" s="3123">
        <f t="shared" si="4"/>
        <v>231468</v>
      </c>
      <c r="Q44" s="3123">
        <f t="shared" si="4"/>
        <v>6034185.9246178009</v>
      </c>
      <c r="R44" s="3123">
        <f t="shared" si="4"/>
        <v>194684</v>
      </c>
      <c r="S44" s="3123">
        <f t="shared" si="4"/>
        <v>2323328.1593899997</v>
      </c>
      <c r="T44" s="3123">
        <f t="shared" si="4"/>
        <v>0</v>
      </c>
      <c r="U44" s="3123">
        <f t="shared" si="4"/>
        <v>0</v>
      </c>
      <c r="V44" s="3123">
        <f t="shared" si="4"/>
        <v>25411696.957447797</v>
      </c>
      <c r="W44" s="375" t="e">
        <f>+#REF!</f>
        <v>#REF!</v>
      </c>
      <c r="X44" s="14" t="e">
        <f>+V44-W44</f>
        <v>#REF!</v>
      </c>
    </row>
    <row r="47" spans="1:24">
      <c r="A47" s="3111" t="s">
        <v>713</v>
      </c>
      <c r="B47" s="3381"/>
      <c r="C47" s="3381"/>
      <c r="D47" s="3381"/>
      <c r="E47" s="3381"/>
      <c r="F47" s="3124"/>
    </row>
    <row r="48" spans="1:24">
      <c r="A48" s="3848" t="s">
        <v>709</v>
      </c>
      <c r="B48" s="373">
        <v>1</v>
      </c>
      <c r="C48" s="373">
        <v>2</v>
      </c>
      <c r="D48" s="373">
        <v>3</v>
      </c>
      <c r="E48" s="373">
        <v>4</v>
      </c>
      <c r="F48" s="373">
        <v>5</v>
      </c>
      <c r="G48" s="373">
        <v>6</v>
      </c>
      <c r="H48" s="373">
        <v>7</v>
      </c>
      <c r="I48" s="373">
        <v>8</v>
      </c>
      <c r="J48" s="373">
        <v>9</v>
      </c>
      <c r="K48" s="373">
        <v>10</v>
      </c>
      <c r="L48" s="373">
        <v>11</v>
      </c>
      <c r="M48" s="373">
        <v>12</v>
      </c>
      <c r="N48" s="373">
        <v>13</v>
      </c>
      <c r="O48" s="373">
        <v>14</v>
      </c>
      <c r="P48" s="373">
        <v>15</v>
      </c>
      <c r="Q48" s="373">
        <v>16</v>
      </c>
      <c r="R48" s="373">
        <v>17</v>
      </c>
      <c r="S48" s="373">
        <v>18</v>
      </c>
      <c r="T48" s="373">
        <v>19</v>
      </c>
      <c r="U48" s="373">
        <v>20</v>
      </c>
      <c r="V48" s="374"/>
    </row>
    <row r="49" spans="1:24">
      <c r="A49" s="3848"/>
      <c r="B49" s="3113" t="s">
        <v>175</v>
      </c>
      <c r="C49" s="3113" t="s">
        <v>177</v>
      </c>
      <c r="D49" s="3113" t="s">
        <v>179</v>
      </c>
      <c r="E49" s="3113" t="s">
        <v>180</v>
      </c>
      <c r="F49" s="3113" t="s">
        <v>181</v>
      </c>
      <c r="G49" s="3113" t="s">
        <v>182</v>
      </c>
      <c r="H49" s="3114" t="s">
        <v>183</v>
      </c>
      <c r="I49" s="3113" t="s">
        <v>184</v>
      </c>
      <c r="J49" s="3113" t="s">
        <v>185</v>
      </c>
      <c r="K49" s="3113" t="s">
        <v>186</v>
      </c>
      <c r="L49" s="3113" t="s">
        <v>187</v>
      </c>
      <c r="M49" s="3113" t="s">
        <v>189</v>
      </c>
      <c r="N49" s="3113" t="s">
        <v>190</v>
      </c>
      <c r="O49" s="3113" t="s">
        <v>681</v>
      </c>
      <c r="P49" s="3113" t="s">
        <v>192</v>
      </c>
      <c r="Q49" s="3113" t="s">
        <v>115</v>
      </c>
      <c r="R49" s="3113" t="s">
        <v>194</v>
      </c>
      <c r="S49" s="3113" t="s">
        <v>195</v>
      </c>
      <c r="T49" s="3113" t="s">
        <v>191</v>
      </c>
      <c r="U49" s="3113" t="s">
        <v>110</v>
      </c>
      <c r="V49" s="3116" t="s">
        <v>118</v>
      </c>
    </row>
    <row r="50" spans="1:24">
      <c r="A50" s="2887" t="s">
        <v>412</v>
      </c>
      <c r="B50" s="3117">
        <v>5176</v>
      </c>
      <c r="C50" s="3117">
        <v>68601</v>
      </c>
      <c r="D50" s="3117">
        <v>69460</v>
      </c>
      <c r="E50" s="3117">
        <v>12752</v>
      </c>
      <c r="F50" s="3117">
        <v>19719</v>
      </c>
      <c r="G50" s="3117"/>
      <c r="H50" s="3118">
        <v>381908</v>
      </c>
      <c r="I50" s="3117">
        <v>21455.616030000001</v>
      </c>
      <c r="J50" s="3117">
        <v>-2096.9499999999998</v>
      </c>
      <c r="K50" s="3117">
        <v>29370</v>
      </c>
      <c r="L50" s="3117">
        <v>125641</v>
      </c>
      <c r="M50" s="3117"/>
      <c r="N50" s="3117">
        <v>10096.02855784364</v>
      </c>
      <c r="O50" s="3117"/>
      <c r="P50" s="3117"/>
      <c r="Q50" s="3117">
        <v>390632.6245200003</v>
      </c>
      <c r="R50" s="3117">
        <v>2360</v>
      </c>
      <c r="S50" s="3117">
        <v>64083.609249999994</v>
      </c>
      <c r="T50" s="3117"/>
      <c r="U50" s="3117"/>
      <c r="V50" s="3117">
        <f>SUM(B50:U50)</f>
        <v>1199157.928357844</v>
      </c>
      <c r="W50" s="58"/>
      <c r="X50" s="58"/>
    </row>
    <row r="51" spans="1:24">
      <c r="A51" s="2887" t="s">
        <v>413</v>
      </c>
      <c r="B51" s="3117">
        <v>10089</v>
      </c>
      <c r="C51" s="3117">
        <v>7748</v>
      </c>
      <c r="D51" s="3117">
        <v>33867</v>
      </c>
      <c r="E51" s="3117">
        <v>16555</v>
      </c>
      <c r="F51" s="3117">
        <v>35728</v>
      </c>
      <c r="G51" s="3117"/>
      <c r="H51" s="3117">
        <v>172084</v>
      </c>
      <c r="I51" s="3117">
        <v>7821.7777000000006</v>
      </c>
      <c r="J51" s="3117">
        <v>32.299999999999997</v>
      </c>
      <c r="K51" s="3117">
        <v>4002</v>
      </c>
      <c r="L51" s="3117">
        <v>57180</v>
      </c>
      <c r="M51" s="3117"/>
      <c r="N51" s="3117">
        <v>9162.8504104176427</v>
      </c>
      <c r="O51" s="3117"/>
      <c r="P51" s="3117"/>
      <c r="Q51" s="3117">
        <v>129858.24541000005</v>
      </c>
      <c r="R51" s="3117">
        <v>0</v>
      </c>
      <c r="S51" s="3117">
        <v>96204.737120000005</v>
      </c>
      <c r="T51" s="3117"/>
      <c r="U51" s="3117"/>
      <c r="V51" s="3117">
        <f>SUM(B51:U51)</f>
        <v>580332.9106404176</v>
      </c>
      <c r="W51" s="58"/>
      <c r="X51" s="58"/>
    </row>
    <row r="52" spans="1:24">
      <c r="A52" s="2887" t="s">
        <v>414</v>
      </c>
      <c r="B52" s="3120">
        <v>218930</v>
      </c>
      <c r="C52" s="3120">
        <v>54282</v>
      </c>
      <c r="D52" s="3121">
        <v>798850</v>
      </c>
      <c r="E52" s="3120">
        <v>321752</v>
      </c>
      <c r="F52" s="3120">
        <v>86454</v>
      </c>
      <c r="G52" s="3117"/>
      <c r="H52" s="3117">
        <v>5671501</v>
      </c>
      <c r="I52" s="3117">
        <v>403418.15091000003</v>
      </c>
      <c r="J52" s="3117">
        <v>79524.38</v>
      </c>
      <c r="K52" s="3117">
        <v>614442</v>
      </c>
      <c r="L52" s="3117">
        <v>2830132</v>
      </c>
      <c r="M52" s="3117"/>
      <c r="N52" s="3117">
        <v>166844.13816718207</v>
      </c>
      <c r="O52" s="3117"/>
      <c r="P52" s="3117"/>
      <c r="Q52" s="3117">
        <v>4696672.8619799996</v>
      </c>
      <c r="R52" s="3117">
        <v>78964</v>
      </c>
      <c r="S52" s="3117">
        <v>1571815.4141500001</v>
      </c>
      <c r="T52" s="3117"/>
      <c r="U52" s="3117"/>
      <c r="V52" s="3117">
        <f>SUM(B52:U52)</f>
        <v>17593581.945207182</v>
      </c>
      <c r="W52" s="58"/>
      <c r="X52" s="58"/>
    </row>
    <row r="53" spans="1:24">
      <c r="A53" s="2887" t="s">
        <v>701</v>
      </c>
      <c r="B53" s="3120">
        <v>0</v>
      </c>
      <c r="C53" s="3120">
        <v>0</v>
      </c>
      <c r="D53" s="3121">
        <v>2957.5775193798449</v>
      </c>
      <c r="E53" s="3120">
        <v>3593</v>
      </c>
      <c r="F53" s="3120">
        <v>1914</v>
      </c>
      <c r="G53" s="3117"/>
      <c r="H53" s="3117">
        <v>95839</v>
      </c>
      <c r="I53" s="3117">
        <v>0</v>
      </c>
      <c r="J53" s="3117">
        <v>0</v>
      </c>
      <c r="K53" s="3117">
        <v>3844</v>
      </c>
      <c r="L53" s="3117">
        <v>0</v>
      </c>
      <c r="M53" s="3117"/>
      <c r="N53" s="3117">
        <v>0</v>
      </c>
      <c r="O53" s="3117"/>
      <c r="P53" s="3117"/>
      <c r="Q53" s="3117">
        <v>68705.563810000007</v>
      </c>
      <c r="R53" s="3117">
        <v>0</v>
      </c>
      <c r="S53" s="3117">
        <v>28216.531650000004</v>
      </c>
      <c r="T53" s="3117"/>
      <c r="U53" s="3117"/>
      <c r="V53" s="3117">
        <f>SUM(B53:U53)</f>
        <v>205069.67297937989</v>
      </c>
      <c r="W53" s="58"/>
      <c r="X53" s="58"/>
    </row>
    <row r="54" spans="1:24">
      <c r="A54" s="2887" t="s">
        <v>416</v>
      </c>
      <c r="B54" s="3120">
        <v>78356</v>
      </c>
      <c r="C54" s="3120">
        <v>134443</v>
      </c>
      <c r="D54" s="3121">
        <v>366817.42248062015</v>
      </c>
      <c r="E54" s="3120">
        <v>259399</v>
      </c>
      <c r="F54" s="3120">
        <v>255391</v>
      </c>
      <c r="G54" s="3117"/>
      <c r="H54" s="3117">
        <v>1370063</v>
      </c>
      <c r="I54" s="3117">
        <v>101449.98006999999</v>
      </c>
      <c r="J54" s="3117">
        <v>7455.99</v>
      </c>
      <c r="K54" s="3117">
        <v>24281</v>
      </c>
      <c r="L54" s="3117">
        <v>559798</v>
      </c>
      <c r="M54" s="3117"/>
      <c r="N54" s="3117">
        <v>14038.982864556649</v>
      </c>
      <c r="O54" s="3117"/>
      <c r="P54" s="3117"/>
      <c r="Q54" s="3117">
        <v>1306670.4812964997</v>
      </c>
      <c r="R54" s="3117">
        <v>73901</v>
      </c>
      <c r="S54" s="3117">
        <v>443077</v>
      </c>
      <c r="T54" s="3117"/>
      <c r="U54" s="3117"/>
      <c r="V54" s="3117">
        <f>SUM(B54:U54)</f>
        <v>4995141.8567116773</v>
      </c>
      <c r="W54" s="58"/>
      <c r="X54" s="58"/>
    </row>
    <row r="55" spans="1:24">
      <c r="A55" s="3122" t="s">
        <v>118</v>
      </c>
      <c r="B55" s="3123">
        <f>SUM(B50:B54)</f>
        <v>312551</v>
      </c>
      <c r="C55" s="3123">
        <f t="shared" ref="C55:V55" si="5">SUM(C50:C54)</f>
        <v>265074</v>
      </c>
      <c r="D55" s="3123">
        <f>SUM(D50:D54)</f>
        <v>1271952</v>
      </c>
      <c r="E55" s="3123">
        <f t="shared" si="5"/>
        <v>614051</v>
      </c>
      <c r="F55" s="3123">
        <f t="shared" si="5"/>
        <v>399206</v>
      </c>
      <c r="G55" s="3123">
        <f t="shared" si="5"/>
        <v>0</v>
      </c>
      <c r="H55" s="3123">
        <f t="shared" si="5"/>
        <v>7691395</v>
      </c>
      <c r="I55" s="3123">
        <f t="shared" si="5"/>
        <v>534145.52471000003</v>
      </c>
      <c r="J55" s="3123">
        <f t="shared" si="5"/>
        <v>84915.720000000016</v>
      </c>
      <c r="K55" s="3123">
        <f t="shared" si="5"/>
        <v>675939</v>
      </c>
      <c r="L55" s="3123">
        <f t="shared" si="5"/>
        <v>3572751</v>
      </c>
      <c r="M55" s="3123">
        <f t="shared" si="5"/>
        <v>0</v>
      </c>
      <c r="N55" s="3123">
        <f t="shared" si="5"/>
        <v>200142</v>
      </c>
      <c r="O55" s="3123">
        <f t="shared" si="5"/>
        <v>0</v>
      </c>
      <c r="P55" s="3123">
        <f t="shared" si="5"/>
        <v>0</v>
      </c>
      <c r="Q55" s="3123">
        <f t="shared" si="5"/>
        <v>6592539.7770165</v>
      </c>
      <c r="R55" s="3123">
        <f t="shared" si="5"/>
        <v>155225</v>
      </c>
      <c r="S55" s="3123">
        <f t="shared" si="5"/>
        <v>2203397.2921700003</v>
      </c>
      <c r="T55" s="3123">
        <f t="shared" si="5"/>
        <v>0</v>
      </c>
      <c r="U55" s="3123">
        <f t="shared" si="5"/>
        <v>0</v>
      </c>
      <c r="V55" s="3123">
        <f t="shared" si="5"/>
        <v>24573284.313896503</v>
      </c>
      <c r="W55" s="375" t="e">
        <f>+#REF!</f>
        <v>#REF!</v>
      </c>
      <c r="X55" s="58" t="e">
        <f>+V55-W55</f>
        <v>#REF!</v>
      </c>
    </row>
    <row r="58" spans="1:24">
      <c r="J58" s="347"/>
    </row>
    <row r="59" spans="1:24">
      <c r="J59" s="347"/>
    </row>
    <row r="60" spans="1:24">
      <c r="J60" s="347"/>
    </row>
  </sheetData>
  <customSheetViews>
    <customSheetView guid="{5E394B0B-7867-4722-9497-A93AB2A9A773}" showPageBreaks="1" printArea="1" state="hidden">
      <pane xSplit="1" ySplit="5" topLeftCell="P45" activePane="bottomRight" state="frozen"/>
      <selection pane="bottomRight" activeCell="S54" sqref="S54"/>
      <colBreaks count="1" manualBreakCount="1">
        <brk id="22" max="1048575" man="1"/>
      </colBreaks>
      <pageMargins left="0" right="0" top="0" bottom="0" header="0" footer="0"/>
      <pageSetup scale="43" orientation="landscape" r:id="rId1"/>
    </customSheetView>
    <customSheetView guid="{B1E1B596-A9A1-411D-A882-A48CB025B978}" showPageBreaks="1" printArea="1" state="hidden">
      <pane xSplit="1" ySplit="5" topLeftCell="P45" activePane="bottomRight" state="frozen"/>
      <selection pane="bottomRight" activeCell="S54" sqref="S54"/>
      <colBreaks count="1" manualBreakCount="1">
        <brk id="22" max="1048575" man="1"/>
      </colBreaks>
      <pageMargins left="0" right="0" top="0" bottom="0" header="0" footer="0"/>
      <pageSetup scale="43" orientation="landscape" r:id="rId2"/>
    </customSheetView>
    <customSheetView guid="{46F31544-8E6F-41C5-8628-1D6EE074AF15}" state="hidden">
      <pane xSplit="1" ySplit="5" topLeftCell="P45" activePane="bottomRight" state="frozen"/>
      <selection pane="bottomRight" activeCell="S54" sqref="S54"/>
      <colBreaks count="1" manualBreakCount="1">
        <brk id="22" max="1048575" man="1"/>
      </colBreaks>
      <pageMargins left="0" right="0" top="0" bottom="0" header="0" footer="0"/>
      <pageSetup scale="43" orientation="landscape" r:id="rId3"/>
    </customSheetView>
    <customSheetView guid="{B2E1A0C6-5BA1-4CF1-B412-16D81FCDF11F}" showPageBreaks="1" printArea="1" state="hidden">
      <pane xSplit="1" ySplit="5" topLeftCell="P45" activePane="bottomRight" state="frozen"/>
      <selection pane="bottomRight" activeCell="S54" sqref="S54"/>
      <colBreaks count="1" manualBreakCount="1">
        <brk id="22" max="1048575" man="1"/>
      </colBreaks>
      <pageMargins left="0" right="0" top="0" bottom="0" header="0" footer="0"/>
      <pageSetup scale="43" orientation="landscape" r:id="rId4"/>
    </customSheetView>
    <customSheetView guid="{967E0446-E234-427F-8E57-7FE287052E2E}" showPageBreaks="1" printArea="1" state="hidden">
      <pane xSplit="1" ySplit="5" topLeftCell="P45" activePane="bottomRight" state="frozen"/>
      <selection pane="bottomRight" activeCell="S54" sqref="S54"/>
      <colBreaks count="1" manualBreakCount="1">
        <brk id="22" max="1048575" man="1"/>
      </colBreaks>
      <pageMargins left="0" right="0" top="0" bottom="0" header="0" footer="0"/>
      <pageSetup scale="43" orientation="landscape" r:id="rId5"/>
    </customSheetView>
    <customSheetView guid="{2ACFE167-4169-43A6-9AB2-59D5A2DA2DB4}" showPageBreaks="1" printArea="1" state="hidden">
      <pane xSplit="1" ySplit="5" topLeftCell="P45" activePane="bottomRight" state="frozen"/>
      <selection pane="bottomRight" activeCell="S54" sqref="S54"/>
      <colBreaks count="1" manualBreakCount="1">
        <brk id="22" max="1048575" man="1"/>
      </colBreaks>
      <pageMargins left="0" right="0" top="0" bottom="0" header="0" footer="0"/>
      <pageSetup scale="43" orientation="landscape" r:id="rId6"/>
    </customSheetView>
  </customSheetViews>
  <mergeCells count="5">
    <mergeCell ref="A4:A5"/>
    <mergeCell ref="A15:A16"/>
    <mergeCell ref="A26:A27"/>
    <mergeCell ref="A37:A38"/>
    <mergeCell ref="A48:A49"/>
  </mergeCells>
  <pageMargins left="0.7" right="0.7" top="0.75" bottom="0.75" header="0.3" footer="0.3"/>
  <pageSetup scale="43" orientation="landscape" r:id="rId7"/>
  <colBreaks count="1" manualBreakCount="1">
    <brk id="22"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3:AB55"/>
  <sheetViews>
    <sheetView workbookViewId="0">
      <pane xSplit="1" ySplit="5" topLeftCell="O42" activePane="bottomRight" state="frozen"/>
      <selection pane="topRight" activeCell="B1" sqref="B1"/>
      <selection pane="bottomLeft" activeCell="A6" sqref="A6"/>
      <selection pane="bottomRight" activeCell="W54" sqref="W54"/>
    </sheetView>
  </sheetViews>
  <sheetFormatPr defaultColWidth="9.140625" defaultRowHeight="15"/>
  <cols>
    <col min="1" max="1" width="19" customWidth="1"/>
    <col min="2" max="2" width="12.5703125" customWidth="1"/>
    <col min="3" max="4" width="12.7109375" customWidth="1"/>
    <col min="5" max="5" width="12.5703125" customWidth="1"/>
    <col min="6" max="6" width="11.42578125" customWidth="1"/>
    <col min="7" max="7" width="10.42578125" customWidth="1"/>
    <col min="8" max="8" width="12.7109375" customWidth="1"/>
    <col min="9" max="9" width="11.28515625" customWidth="1"/>
    <col min="10" max="10" width="10.28515625" customWidth="1"/>
    <col min="11" max="11" width="14" customWidth="1"/>
    <col min="12" max="12" width="13.28515625" bestFit="1" customWidth="1"/>
    <col min="13" max="13" width="15.140625" customWidth="1"/>
    <col min="14" max="14" width="15.28515625" customWidth="1"/>
    <col min="15" max="15" width="13" customWidth="1"/>
    <col min="16" max="16" width="14.85546875" customWidth="1"/>
    <col min="17" max="17" width="13.42578125" customWidth="1"/>
    <col min="18" max="18" width="11.28515625" customWidth="1"/>
    <col min="19" max="19" width="13.5703125" style="12" customWidth="1"/>
    <col min="20" max="20" width="11.140625" customWidth="1"/>
    <col min="21" max="21" width="11.85546875" customWidth="1"/>
    <col min="22" max="22" width="14.7109375" customWidth="1"/>
    <col min="23" max="23" width="13.140625" customWidth="1"/>
    <col min="24" max="24" width="14.5703125" customWidth="1"/>
  </cols>
  <sheetData>
    <row r="3" spans="1:24" ht="15" customHeight="1">
      <c r="A3" s="3111" t="s">
        <v>728</v>
      </c>
      <c r="B3" s="3380"/>
      <c r="C3" s="3380"/>
      <c r="D3" s="3380"/>
      <c r="E3" s="3380"/>
      <c r="F3" s="3112"/>
    </row>
    <row r="4" spans="1:24">
      <c r="A4" s="3848" t="s">
        <v>709</v>
      </c>
      <c r="B4" s="373">
        <v>1</v>
      </c>
      <c r="C4" s="373">
        <v>2</v>
      </c>
      <c r="D4" s="373">
        <v>3</v>
      </c>
      <c r="E4" s="373">
        <v>4</v>
      </c>
      <c r="F4" s="373">
        <v>5</v>
      </c>
      <c r="G4" s="373">
        <v>6</v>
      </c>
      <c r="H4" s="373">
        <v>7</v>
      </c>
      <c r="I4" s="373">
        <v>8</v>
      </c>
      <c r="J4" s="373">
        <v>9</v>
      </c>
      <c r="K4" s="373">
        <v>10</v>
      </c>
      <c r="L4" s="373">
        <v>11</v>
      </c>
      <c r="M4" s="373">
        <v>12</v>
      </c>
      <c r="N4" s="373">
        <v>13</v>
      </c>
      <c r="O4" s="373">
        <v>14</v>
      </c>
      <c r="P4" s="373">
        <v>15</v>
      </c>
      <c r="Q4" s="373">
        <v>16</v>
      </c>
      <c r="R4" s="373">
        <v>17</v>
      </c>
      <c r="S4" s="379">
        <v>18</v>
      </c>
      <c r="T4" s="373">
        <v>19</v>
      </c>
      <c r="U4" s="373">
        <v>20</v>
      </c>
      <c r="V4" s="374"/>
    </row>
    <row r="5" spans="1:24">
      <c r="A5" s="3848"/>
      <c r="B5" s="3113" t="s">
        <v>175</v>
      </c>
      <c r="C5" s="3113" t="s">
        <v>177</v>
      </c>
      <c r="D5" s="3113" t="s">
        <v>179</v>
      </c>
      <c r="E5" s="3113" t="s">
        <v>180</v>
      </c>
      <c r="F5" s="3113" t="s">
        <v>181</v>
      </c>
      <c r="G5" s="3113" t="s">
        <v>182</v>
      </c>
      <c r="H5" s="3114" t="s">
        <v>183</v>
      </c>
      <c r="I5" s="3113" t="s">
        <v>184</v>
      </c>
      <c r="J5" s="3113" t="s">
        <v>185</v>
      </c>
      <c r="K5" s="3113" t="s">
        <v>186</v>
      </c>
      <c r="L5" s="3113" t="s">
        <v>187</v>
      </c>
      <c r="M5" s="3113" t="s">
        <v>189</v>
      </c>
      <c r="N5" s="3113" t="s">
        <v>190</v>
      </c>
      <c r="O5" s="3113" t="s">
        <v>681</v>
      </c>
      <c r="P5" s="3113" t="s">
        <v>192</v>
      </c>
      <c r="Q5" s="3115" t="s">
        <v>115</v>
      </c>
      <c r="R5" s="3113" t="s">
        <v>194</v>
      </c>
      <c r="S5" s="3082" t="s">
        <v>195</v>
      </c>
      <c r="T5" s="3113" t="s">
        <v>191</v>
      </c>
      <c r="U5" s="3113" t="s">
        <v>110</v>
      </c>
      <c r="V5" s="3116" t="s">
        <v>118</v>
      </c>
    </row>
    <row r="6" spans="1:24">
      <c r="A6" s="2887" t="s">
        <v>412</v>
      </c>
      <c r="B6" s="3117">
        <f>-'[17]Sheet 2 - General Insurance'!$C$42</f>
        <v>-1275</v>
      </c>
      <c r="C6" s="3117">
        <f>-'[18]Sheet 2 - General Insurance'!$C$42</f>
        <v>31408.5</v>
      </c>
      <c r="D6" s="3117">
        <f>-'[19]Sheet 2 - General Insurance'!$C$42</f>
        <v>43896</v>
      </c>
      <c r="E6" s="3117">
        <f>-'[20]Sheet 2 - General Insurance'!$C$42</f>
        <v>12307.508</v>
      </c>
      <c r="F6" s="3117">
        <f>-'[21]Sheet 2 - General Insurance'!$C$42</f>
        <v>20367.842560000008</v>
      </c>
      <c r="G6" s="3117">
        <f>-'[22]Sheet 2 - General Insurance'!$C$42</f>
        <v>-304.41413000001603</v>
      </c>
      <c r="H6" s="3118">
        <f>-'[23]Sheet 2 - General Insurance'!$C$42</f>
        <v>363088</v>
      </c>
      <c r="I6" s="3117">
        <f>-'[24]Sheet 2 - General Insurance'!$C$42</f>
        <v>19309.381980000002</v>
      </c>
      <c r="J6" s="3117"/>
      <c r="K6" s="3117">
        <f>-'[25]Sheet 2 - General Insurance'!$C$42</f>
        <v>6964.969730000018</v>
      </c>
      <c r="L6" s="3156">
        <f>-'[34]Sheet 2 - General Insurance'!$C$43-'[34]Sheet 2 - General Insurance'!$C$44</f>
        <v>-97.297640000091633</v>
      </c>
      <c r="M6" s="3117">
        <f>-'[27]Sheet 2 - General Insurance'!$C$42</f>
        <v>7140.2960400000002</v>
      </c>
      <c r="N6" s="3117">
        <f>+'[28]Sheet 2 - General Insurance'!$C$42</f>
        <v>7490.1331100000007</v>
      </c>
      <c r="O6" s="3117"/>
      <c r="P6" s="3117">
        <f>-'[29]Sheet 2 - General Insurance'!$C$42</f>
        <v>56830.059180000004</v>
      </c>
      <c r="Q6" s="3117">
        <f>-'[30]Sheet 2 - General Insurance'!$C$42</f>
        <v>-36881.427980000022</v>
      </c>
      <c r="R6" s="3157">
        <f>-'[35]Sheet 2 - General Insurance'!$C$42</f>
        <v>-3327.4462400000002</v>
      </c>
      <c r="S6" s="3158">
        <f>-'[32]Sheet 2 - General Insurance'!$C$42</f>
        <v>23137</v>
      </c>
      <c r="T6" s="3117">
        <f>-'[33]Sheet 2 - General Insurance'!$C$42</f>
        <v>442.56733200000002</v>
      </c>
      <c r="U6" s="3117"/>
      <c r="V6" s="3117">
        <f>SUM(B6:U6)</f>
        <v>550496.67194199993</v>
      </c>
      <c r="W6" s="58"/>
      <c r="X6" s="58"/>
    </row>
    <row r="7" spans="1:24">
      <c r="A7" s="2887" t="s">
        <v>413</v>
      </c>
      <c r="B7" s="3117">
        <f>-'[17]Sheet 2 - General Insurance'!$D$42</f>
        <v>15791</v>
      </c>
      <c r="C7" s="3117">
        <f>-'[18]Sheet 2 - General Insurance'!$D$42</f>
        <v>9661.9</v>
      </c>
      <c r="D7" s="3117">
        <f>-'[19]Sheet 2 - General Insurance'!$D$42</f>
        <v>24932</v>
      </c>
      <c r="E7" s="3117">
        <f>-'[20]Sheet 2 - General Insurance'!$D$42</f>
        <v>6905.174</v>
      </c>
      <c r="F7" s="3117">
        <f>-'[21]Sheet 2 - General Insurance'!$D$42</f>
        <v>302.95558000000449</v>
      </c>
      <c r="G7" s="3117">
        <f>-'[22]Sheet 2 - General Insurance'!$D$42</f>
        <v>1549.4693300000001</v>
      </c>
      <c r="H7" s="3117">
        <f>-'[23]Sheet 2 - General Insurance'!$D$42</f>
        <v>115153</v>
      </c>
      <c r="I7" s="3117">
        <f>-'[24]Sheet 2 - General Insurance'!$D$42</f>
        <v>13281.660260000001</v>
      </c>
      <c r="J7" s="3117"/>
      <c r="K7" s="3117">
        <f>-'[25]Sheet 2 - General Insurance'!$D$42</f>
        <v>1235.2764800000002</v>
      </c>
      <c r="L7" s="3156">
        <f>-'[34]Sheet 2 - General Insurance'!$D$43-'[34]Sheet 2 - General Insurance'!$D$44</f>
        <v>33150.096209999996</v>
      </c>
      <c r="M7" s="3117">
        <f>-'[27]Sheet 2 - General Insurance'!$D$42</f>
        <v>2942.90895</v>
      </c>
      <c r="N7" s="3117">
        <f>+'[28]Sheet 2 - General Insurance'!$D$42</f>
        <v>6053.0590399999992</v>
      </c>
      <c r="O7" s="3117"/>
      <c r="P7" s="3117">
        <f>-'[29]Sheet 2 - General Insurance'!$D$42</f>
        <v>1506.1048099999996</v>
      </c>
      <c r="Q7" s="3117">
        <f>-'[30]Sheet 2 - General Insurance'!$D$42</f>
        <v>99422.367870000002</v>
      </c>
      <c r="R7" s="3157">
        <v>0</v>
      </c>
      <c r="S7" s="3158">
        <f>-'[32]Sheet 2 - General Insurance'!$D$42</f>
        <v>59830</v>
      </c>
      <c r="T7" s="3117">
        <f>-'[33]Sheet 2 - General Insurance'!$D$42</f>
        <v>636.58943299999999</v>
      </c>
      <c r="U7" s="3117"/>
      <c r="V7" s="3117">
        <f>SUM(B7:U7)</f>
        <v>392353.56196299999</v>
      </c>
      <c r="W7" s="58"/>
      <c r="X7" s="58"/>
    </row>
    <row r="8" spans="1:24">
      <c r="A8" s="2887" t="s">
        <v>414</v>
      </c>
      <c r="B8" s="3120">
        <f>-'[17]Sheet 2 - General Insurance'!$E$42</f>
        <v>554409</v>
      </c>
      <c r="C8" s="3120">
        <f>-'[18]Sheet 2 - General Insurance'!$E$42</f>
        <v>151394.93</v>
      </c>
      <c r="D8" s="3121">
        <f>-'[19]Sheet 2 - General Insurance'!$E$42</f>
        <v>825791</v>
      </c>
      <c r="E8" s="3120">
        <f>-'[20]Sheet 2 - General Insurance'!$E$42</f>
        <v>492573.55099999998</v>
      </c>
      <c r="F8" s="3120">
        <f>-'[21]Sheet 2 - General Insurance'!$E$42</f>
        <v>19858.493759999896</v>
      </c>
      <c r="G8" s="3117">
        <f>-'[22]Sheet 2 - General Insurance'!$E$42</f>
        <v>606505.65050999995</v>
      </c>
      <c r="H8" s="3118">
        <f>-'[23]Sheet 2 - General Insurance'!$E$42</f>
        <v>3403107</v>
      </c>
      <c r="I8" s="3117">
        <f>-'[24]Sheet 2 - General Insurance'!$E$42</f>
        <v>569075.66184000007</v>
      </c>
      <c r="J8" s="3117"/>
      <c r="K8" s="3117">
        <f>-'[25]Sheet 2 - General Insurance'!$E$42</f>
        <v>776450.46227999986</v>
      </c>
      <c r="L8" s="3156">
        <f>-'[34]Sheet 2 - General Insurance'!$E$43</f>
        <v>2771306.27672</v>
      </c>
      <c r="M8" s="3117">
        <f>-'[27]Sheet 2 - General Insurance'!$E$42</f>
        <v>631710.04827999999</v>
      </c>
      <c r="N8" s="3117">
        <f>+'[28]Sheet 2 - General Insurance'!$E$42</f>
        <v>629740.41785999993</v>
      </c>
      <c r="O8" s="3117"/>
      <c r="P8" s="3117">
        <f>-'[29]Sheet 2 - General Insurance'!$E$42</f>
        <v>1908846.3736100004</v>
      </c>
      <c r="Q8" s="3117">
        <f>-'[30]Sheet 2 - General Insurance'!$E$42</f>
        <v>3889709.5711300005</v>
      </c>
      <c r="R8" s="3157">
        <f>-'[35]Sheet 2 - General Insurance'!$E$42</f>
        <v>8107.1067699999994</v>
      </c>
      <c r="S8" s="3158">
        <f>-'[32]Sheet 2 - General Insurance'!$E$42</f>
        <v>1649504</v>
      </c>
      <c r="T8" s="3117">
        <f>-'[33]Sheet 2 - General Insurance'!$E$42</f>
        <v>163657.96072725</v>
      </c>
      <c r="U8" s="3117"/>
      <c r="V8" s="3117">
        <f>SUM(B8:U8)</f>
        <v>19051747.50448725</v>
      </c>
      <c r="W8" s="58"/>
      <c r="X8" s="58"/>
    </row>
    <row r="9" spans="1:24">
      <c r="A9" s="2887" t="s">
        <v>701</v>
      </c>
      <c r="B9" s="3120">
        <f>-'[17]Sheet 2 - General Insurance'!$F$42</f>
        <v>2802</v>
      </c>
      <c r="C9" s="3120">
        <f>-'[18]Sheet 2 - General Insurance'!$F$42</f>
        <v>3319.28</v>
      </c>
      <c r="D9" s="3121">
        <f>-'[19]Sheet 2 - General Insurance'!$F$42</f>
        <v>8296</v>
      </c>
      <c r="E9" s="3120">
        <f>-'[20]Sheet 2 - General Insurance'!$F$42</f>
        <v>2933.2139999999999</v>
      </c>
      <c r="F9" s="3120">
        <f>-'[21]Sheet 2 - General Insurance'!$F$42</f>
        <v>227.33267999999993</v>
      </c>
      <c r="G9" s="3117">
        <f>-'[22]Sheet 2 - General Insurance'!$F$42</f>
        <v>122.39278999999999</v>
      </c>
      <c r="H9" s="3117">
        <f>-'[23]Sheet 2 - General Insurance'!$F$42</f>
        <v>27758</v>
      </c>
      <c r="I9" s="3117">
        <v>0</v>
      </c>
      <c r="J9" s="3117"/>
      <c r="K9" s="3117">
        <f>-'[25]Sheet 2 - General Insurance'!$F$42</f>
        <v>1936.75684</v>
      </c>
      <c r="L9" s="3156">
        <v>0</v>
      </c>
      <c r="M9" s="3117">
        <f>-'[27]Sheet 2 - General Insurance'!$F$42</f>
        <v>4224.6822199999997</v>
      </c>
      <c r="N9" s="3117">
        <v>0</v>
      </c>
      <c r="O9" s="3117"/>
      <c r="P9" s="3117">
        <v>0</v>
      </c>
      <c r="Q9" s="3117">
        <f>-'[30]Sheet 2 - General Insurance'!$F$42</f>
        <v>18695.285229999998</v>
      </c>
      <c r="R9" s="3157">
        <f>-'[35]Sheet 2 - General Insurance'!$F$42</f>
        <v>0</v>
      </c>
      <c r="S9" s="3158">
        <f>-'[32]Sheet 2 - General Insurance'!$F$42</f>
        <v>13611</v>
      </c>
      <c r="T9" s="3117">
        <v>0</v>
      </c>
      <c r="U9" s="3117"/>
      <c r="V9" s="3117">
        <f>SUM(B9:U9)</f>
        <v>83925.943759999995</v>
      </c>
      <c r="W9" s="58"/>
      <c r="X9" s="58"/>
    </row>
    <row r="10" spans="1:24">
      <c r="A10" s="2887" t="s">
        <v>416</v>
      </c>
      <c r="B10" s="3120">
        <f>-'[17]Sheet 2 - General Insurance'!$G$42</f>
        <v>338597</v>
      </c>
      <c r="C10" s="3120">
        <f>-'[18]Sheet 2 - General Insurance'!$G$42</f>
        <v>122053.68</v>
      </c>
      <c r="D10" s="3121">
        <f>-'[19]Sheet 2 - General Insurance'!$G$42</f>
        <v>194915</v>
      </c>
      <c r="E10" s="3120">
        <f>-'[20]Sheet 2 - General Insurance'!$G$42</f>
        <v>80170.148000000001</v>
      </c>
      <c r="F10" s="3120">
        <f>-'[21]Sheet 2 - General Insurance'!$G$42</f>
        <v>86394.209889999998</v>
      </c>
      <c r="G10" s="3117">
        <f>-'[22]Sheet 2 - General Insurance'!$G$42</f>
        <v>11767.767270000002</v>
      </c>
      <c r="H10" s="3118">
        <f>-'[23]Sheet 2 - General Insurance'!$G$42</f>
        <v>732627</v>
      </c>
      <c r="I10" s="3117">
        <f>-'[24]Sheet 2 - General Insurance'!$G$42</f>
        <v>31521.974879999998</v>
      </c>
      <c r="J10" s="3117"/>
      <c r="K10" s="3117">
        <f>-'[25]Sheet 2 - General Insurance'!$G$42</f>
        <v>102486.29117999997</v>
      </c>
      <c r="L10" s="3156">
        <f>-'[34]Sheet 2 - General Insurance'!$G$43-'[34]Sheet 2 - General Insurance'!$G$44</f>
        <v>454306.45480000001</v>
      </c>
      <c r="M10" s="3117">
        <f>-'[27]Sheet 2 - General Insurance'!$G$42</f>
        <v>1270.81774</v>
      </c>
      <c r="N10" s="3117">
        <f>+'[28]Sheet 2 - General Insurance'!$G$42</f>
        <v>178368.91123</v>
      </c>
      <c r="O10" s="3117"/>
      <c r="P10" s="3117">
        <f>-'[29]Sheet 2 - General Insurance'!$G$42</f>
        <v>153036.22787</v>
      </c>
      <c r="Q10" s="3117">
        <f>-'[30]Sheet 2 - General Insurance'!$G$42</f>
        <v>1012886.7282900001</v>
      </c>
      <c r="R10" s="3157">
        <f>-'[35]Sheet 2 - General Insurance'!$G$42</f>
        <v>75868.370810000008</v>
      </c>
      <c r="S10" s="3158">
        <f>-'[32]Sheet 2 - General Insurance'!$G$42</f>
        <v>1053175</v>
      </c>
      <c r="T10" s="3117">
        <f>-'[33]Sheet 2 - General Insurance'!$G$42</f>
        <v>32512.326285162999</v>
      </c>
      <c r="U10" s="3117"/>
      <c r="V10" s="3117">
        <f>SUM(B10:U10)</f>
        <v>4661957.908245163</v>
      </c>
      <c r="W10" s="58"/>
      <c r="X10" s="58"/>
    </row>
    <row r="11" spans="1:24">
      <c r="A11" s="3122" t="s">
        <v>118</v>
      </c>
      <c r="B11" s="3123">
        <f t="shared" ref="B11:H11" si="0">SUM(B6:B10)</f>
        <v>910324</v>
      </c>
      <c r="C11" s="3123">
        <f t="shared" si="0"/>
        <v>317838.28999999998</v>
      </c>
      <c r="D11" s="3123">
        <f t="shared" si="0"/>
        <v>1097830</v>
      </c>
      <c r="E11" s="3123">
        <f t="shared" si="0"/>
        <v>594889.59499999997</v>
      </c>
      <c r="F11" s="3123">
        <f t="shared" si="0"/>
        <v>127150.83446999991</v>
      </c>
      <c r="G11" s="3123">
        <f t="shared" si="0"/>
        <v>619640.8657699998</v>
      </c>
      <c r="H11" s="3123">
        <f t="shared" si="0"/>
        <v>4641733</v>
      </c>
      <c r="I11" s="3123">
        <f t="shared" ref="I11:V11" si="1">SUM(I6:I10)</f>
        <v>633188.67896000005</v>
      </c>
      <c r="J11" s="3123">
        <f t="shared" si="1"/>
        <v>0</v>
      </c>
      <c r="K11" s="3123">
        <f t="shared" si="1"/>
        <v>889073.75650999986</v>
      </c>
      <c r="L11" s="3123">
        <f t="shared" si="1"/>
        <v>3258665.53009</v>
      </c>
      <c r="M11" s="3123">
        <f t="shared" si="1"/>
        <v>647288.75322999991</v>
      </c>
      <c r="N11" s="3123">
        <f t="shared" si="1"/>
        <v>821652.52123999991</v>
      </c>
      <c r="O11" s="3123">
        <f t="shared" si="1"/>
        <v>0</v>
      </c>
      <c r="P11" s="3123">
        <f t="shared" si="1"/>
        <v>2120218.7654700004</v>
      </c>
      <c r="Q11" s="3123">
        <f t="shared" si="1"/>
        <v>4983832.5245400006</v>
      </c>
      <c r="R11" s="3123">
        <f t="shared" si="1"/>
        <v>80648.031340000001</v>
      </c>
      <c r="S11" s="3159">
        <f t="shared" si="1"/>
        <v>2799257</v>
      </c>
      <c r="T11" s="3123">
        <f t="shared" si="1"/>
        <v>197249.44377741299</v>
      </c>
      <c r="U11" s="3123">
        <f t="shared" si="1"/>
        <v>0</v>
      </c>
      <c r="V11" s="3123">
        <f t="shared" si="1"/>
        <v>24740481.59039741</v>
      </c>
      <c r="W11" s="375">
        <f>+'[1]P &amp; L - GI - 2013'!H16</f>
        <v>-24740481.590397414</v>
      </c>
      <c r="X11" s="58">
        <f>+V11+W11</f>
        <v>0</v>
      </c>
    </row>
    <row r="14" spans="1:24" ht="15" customHeight="1">
      <c r="A14" s="3111" t="s">
        <v>729</v>
      </c>
      <c r="B14" s="3380"/>
      <c r="C14" s="3380"/>
      <c r="D14" s="3380"/>
      <c r="E14" s="3380"/>
      <c r="F14" s="3112"/>
    </row>
    <row r="15" spans="1:24">
      <c r="A15" s="3848" t="s">
        <v>709</v>
      </c>
      <c r="B15" s="373">
        <v>1</v>
      </c>
      <c r="C15" s="373">
        <v>2</v>
      </c>
      <c r="D15" s="373">
        <v>3</v>
      </c>
      <c r="E15" s="373">
        <v>4</v>
      </c>
      <c r="F15" s="373">
        <v>5</v>
      </c>
      <c r="G15" s="373">
        <v>6</v>
      </c>
      <c r="H15" s="373">
        <v>7</v>
      </c>
      <c r="I15" s="373">
        <v>8</v>
      </c>
      <c r="J15" s="373">
        <v>9</v>
      </c>
      <c r="K15" s="373">
        <v>10</v>
      </c>
      <c r="L15" s="373">
        <v>11</v>
      </c>
      <c r="M15" s="373">
        <v>12</v>
      </c>
      <c r="N15" s="373">
        <v>13</v>
      </c>
      <c r="O15" s="373">
        <v>14</v>
      </c>
      <c r="P15" s="373">
        <v>15</v>
      </c>
      <c r="Q15" s="373">
        <v>16</v>
      </c>
      <c r="R15" s="373">
        <v>17</v>
      </c>
      <c r="S15" s="379">
        <v>18</v>
      </c>
      <c r="T15" s="373">
        <v>19</v>
      </c>
      <c r="U15" s="373">
        <v>20</v>
      </c>
      <c r="V15" s="374"/>
    </row>
    <row r="16" spans="1:24">
      <c r="A16" s="3848"/>
      <c r="B16" s="3113" t="s">
        <v>175</v>
      </c>
      <c r="C16" s="3113" t="s">
        <v>177</v>
      </c>
      <c r="D16" s="3113" t="s">
        <v>179</v>
      </c>
      <c r="E16" s="3113" t="s">
        <v>180</v>
      </c>
      <c r="F16" s="3113" t="s">
        <v>181</v>
      </c>
      <c r="G16" s="3113" t="s">
        <v>182</v>
      </c>
      <c r="H16" s="3114" t="s">
        <v>183</v>
      </c>
      <c r="I16" s="3113" t="s">
        <v>184</v>
      </c>
      <c r="J16" s="3113" t="s">
        <v>185</v>
      </c>
      <c r="K16" s="3113" t="s">
        <v>186</v>
      </c>
      <c r="L16" s="3113" t="s">
        <v>187</v>
      </c>
      <c r="M16" s="3113" t="s">
        <v>189</v>
      </c>
      <c r="N16" s="3113" t="s">
        <v>190</v>
      </c>
      <c r="O16" s="3113" t="s">
        <v>681</v>
      </c>
      <c r="P16" s="3113" t="s">
        <v>192</v>
      </c>
      <c r="Q16" s="3115" t="s">
        <v>115</v>
      </c>
      <c r="R16" s="3113" t="s">
        <v>194</v>
      </c>
      <c r="S16" s="3082" t="s">
        <v>195</v>
      </c>
      <c r="T16" s="3113" t="s">
        <v>191</v>
      </c>
      <c r="U16" s="3113" t="s">
        <v>110</v>
      </c>
      <c r="V16" s="3116" t="s">
        <v>118</v>
      </c>
    </row>
    <row r="17" spans="1:24">
      <c r="A17" s="2887" t="s">
        <v>412</v>
      </c>
      <c r="B17" s="3117">
        <f>-'[17]Sheet 2 - General Insurance'!$C$162</f>
        <v>11256.1104</v>
      </c>
      <c r="C17" s="3117">
        <f>-'[18]Sheet 2 - General Insurance'!$C$160</f>
        <v>-13876</v>
      </c>
      <c r="D17" s="3117">
        <f>-'[19]Sheet 2 - General Insurance'!$C$180</f>
        <v>28582</v>
      </c>
      <c r="E17" s="3117">
        <f>-'[20]Sheet 2 - General Insurance'!$C$164</f>
        <v>2389.8817799999997</v>
      </c>
      <c r="F17" s="3117">
        <f>-'[21]Sheet 2 - General Insurance'!$C$160</f>
        <v>10664.864089999999</v>
      </c>
      <c r="G17" s="3117">
        <f>-'[22]Sheet 2 - General Insurance'!$C$175</f>
        <v>1655.2840000000001</v>
      </c>
      <c r="H17" s="3118">
        <f>-'[23]Sheet 2 - General Insurance'!$C$174</f>
        <v>416151</v>
      </c>
      <c r="I17" s="3117">
        <f>-'[24]Sheet 2 - General Insurance'!$C$160</f>
        <v>19076.350549999999</v>
      </c>
      <c r="J17" s="3117"/>
      <c r="K17" s="3117">
        <f>-'[25]Sheet 2 - General Insurance'!$C$169</f>
        <v>11492.697759999999</v>
      </c>
      <c r="L17" s="193">
        <f>-'[26]Sheet 2 - General Insurance'!$C$163</f>
        <v>69577.058980000002</v>
      </c>
      <c r="M17" s="3117">
        <f>-'[27]Sheet 2 - General Insurance'!$C$160</f>
        <v>5097.2243600000002</v>
      </c>
      <c r="N17" s="3117">
        <f>+'[28]Sheet 2 - General Insurance'!$C$160</f>
        <v>1413.8381999999992</v>
      </c>
      <c r="O17" s="3117"/>
      <c r="P17" s="3117">
        <f>-'[29]Sheet 2 - General Insurance'!$C$165</f>
        <v>69741</v>
      </c>
      <c r="Q17" s="3117">
        <f>-'[30]Sheet 2 - General Insurance'!$C$167</f>
        <v>-145917.17779000013</v>
      </c>
      <c r="R17" s="3157">
        <f>-'[35]Sheet 2 - General Insurance'!$C$162</f>
        <v>-3021.2354100000002</v>
      </c>
      <c r="S17" s="3158">
        <f>-'[32]Sheet 2 - General Insurance'!$C$160</f>
        <v>19790.06925</v>
      </c>
      <c r="T17" s="3117">
        <v>1027.7257870000001</v>
      </c>
      <c r="U17" s="3117"/>
      <c r="V17" s="3117">
        <f>SUM(B17:U17)</f>
        <v>505100.69195699977</v>
      </c>
      <c r="W17" s="58"/>
      <c r="X17" s="58"/>
    </row>
    <row r="18" spans="1:24">
      <c r="A18" s="2887" t="s">
        <v>413</v>
      </c>
      <c r="B18" s="3117">
        <f>-'[17]Sheet 2 - General Insurance'!$D$162</f>
        <v>7267.8534200000004</v>
      </c>
      <c r="C18" s="3117">
        <f>-'[18]Sheet 2 - General Insurance'!$D$160</f>
        <v>2400</v>
      </c>
      <c r="D18" s="3117">
        <f>-'[19]Sheet 2 - General Insurance'!$D$180</f>
        <v>54012</v>
      </c>
      <c r="E18" s="3117">
        <f>-'[20]Sheet 2 - General Insurance'!$D$164</f>
        <v>1487.52169</v>
      </c>
      <c r="F18" s="3117">
        <f>-'[21]Sheet 2 - General Insurance'!$D$160</f>
        <v>-998.19985000000202</v>
      </c>
      <c r="G18" s="3117">
        <f>-'[22]Sheet 2 - General Insurance'!$D$175</f>
        <v>872.505</v>
      </c>
      <c r="H18" s="3117">
        <f>-'[23]Sheet 2 - General Insurance'!$D$174</f>
        <v>107419</v>
      </c>
      <c r="I18" s="3117">
        <f>-'[24]Sheet 2 - General Insurance'!$D$160</f>
        <v>13742.62486</v>
      </c>
      <c r="J18" s="3117"/>
      <c r="K18" s="3117">
        <f>-'[25]Sheet 2 - General Insurance'!$D$169</f>
        <v>952.66656999999998</v>
      </c>
      <c r="L18" s="193">
        <f>-'[26]Sheet 2 - General Insurance'!$D$163</f>
        <v>46382.139680000008</v>
      </c>
      <c r="M18" s="3117">
        <f>-'[27]Sheet 2 - General Insurance'!$D$160</f>
        <v>134.80410999999998</v>
      </c>
      <c r="N18" s="3117">
        <f>+'[28]Sheet 2 - General Insurance'!$D$160</f>
        <v>2594.6787800000002</v>
      </c>
      <c r="O18" s="3117"/>
      <c r="P18" s="3117">
        <f>-'[29]Sheet 2 - General Insurance'!$D$165</f>
        <v>8142</v>
      </c>
      <c r="Q18" s="3117">
        <f>-'[30]Sheet 2 - General Insurance'!$D$167</f>
        <v>47642.551130000007</v>
      </c>
      <c r="R18" s="3157">
        <v>0</v>
      </c>
      <c r="S18" s="3158">
        <f>-'[32]Sheet 2 - General Insurance'!$D$160</f>
        <v>27018.348580000002</v>
      </c>
      <c r="T18" s="3117">
        <v>2006.6734819999999</v>
      </c>
      <c r="U18" s="3117"/>
      <c r="V18" s="3117">
        <f>SUM(B18:U18)</f>
        <v>321077.16745199997</v>
      </c>
      <c r="W18" s="58"/>
      <c r="X18" s="58"/>
    </row>
    <row r="19" spans="1:24">
      <c r="A19" s="2887" t="s">
        <v>414</v>
      </c>
      <c r="B19" s="3120">
        <f>-'[17]Sheet 2 - General Insurance'!$E$162</f>
        <v>319617.61462999997</v>
      </c>
      <c r="C19" s="3120">
        <f>-'[18]Sheet 2 - General Insurance'!$E$160</f>
        <v>73820</v>
      </c>
      <c r="D19" s="3121">
        <f>-'[19]Sheet 2 - General Insurance'!$E$180</f>
        <v>757719.09296000004</v>
      </c>
      <c r="E19" s="3120">
        <f>-'[20]Sheet 2 - General Insurance'!$E$164</f>
        <v>499551.01990000001</v>
      </c>
      <c r="F19" s="3120">
        <f>-'[21]Sheet 2 - General Insurance'!$E$160</f>
        <v>26222.239580000001</v>
      </c>
      <c r="G19" s="3117">
        <f>-'[22]Sheet 2 - General Insurance'!$E$175</f>
        <v>680751.36199999996</v>
      </c>
      <c r="H19" s="3118">
        <f>-'[23]Sheet 2 - General Insurance'!$E$174</f>
        <v>3343075</v>
      </c>
      <c r="I19" s="3117">
        <f>-'[24]Sheet 2 - General Insurance'!$E$160</f>
        <v>558930.50403999991</v>
      </c>
      <c r="J19" s="3117"/>
      <c r="K19" s="3117">
        <f>-'[25]Sheet 2 - General Insurance'!$E$169</f>
        <v>789174.7561</v>
      </c>
      <c r="L19" s="193">
        <f>-'[26]Sheet 2 - General Insurance'!$E$163</f>
        <v>2482500.2996299998</v>
      </c>
      <c r="M19" s="3117">
        <f>-'[27]Sheet 2 - General Insurance'!$E$160</f>
        <v>572345.57115999993</v>
      </c>
      <c r="N19" s="3117">
        <f>+'[28]Sheet 2 - General Insurance'!$E$160</f>
        <v>381705.73232000001</v>
      </c>
      <c r="O19" s="3117"/>
      <c r="P19" s="3117">
        <f>-'[29]Sheet 2 - General Insurance'!$E$165</f>
        <v>1730598</v>
      </c>
      <c r="Q19" s="3117">
        <f>-'[30]Sheet 2 - General Insurance'!$E$167</f>
        <v>4431042.8633000003</v>
      </c>
      <c r="R19" s="3157">
        <f>-'[35]Sheet 2 - General Insurance'!$E$162</f>
        <v>8768.7502599999989</v>
      </c>
      <c r="S19" s="3158">
        <f>-'[32]Sheet 2 - General Insurance'!$E$160</f>
        <v>1489946.1674800001</v>
      </c>
      <c r="T19" s="3117">
        <v>89852.766674500002</v>
      </c>
      <c r="U19" s="3117"/>
      <c r="V19" s="3117">
        <f>SUM(B19:U19)</f>
        <v>18235621.740034498</v>
      </c>
      <c r="W19" s="58"/>
      <c r="X19" s="58"/>
    </row>
    <row r="20" spans="1:24">
      <c r="A20" s="2887" t="s">
        <v>701</v>
      </c>
      <c r="B20" s="3120">
        <f>-'[17]Sheet 2 - General Insurance'!$F$162</f>
        <v>3864.8829900000001</v>
      </c>
      <c r="C20" s="3120">
        <f>-'[18]Sheet 2 - General Insurance'!$F$160</f>
        <v>11233</v>
      </c>
      <c r="D20" s="3121">
        <f>-'[19]Sheet 2 - General Insurance'!$F$180</f>
        <v>8623.5023029276308</v>
      </c>
      <c r="E20" s="3120">
        <f>-'[20]Sheet 2 - General Insurance'!$F$164</f>
        <v>788.3</v>
      </c>
      <c r="F20" s="3120">
        <f>-'[21]Sheet 2 - General Insurance'!$F$160</f>
        <v>-33.220950000000002</v>
      </c>
      <c r="G20" s="3117">
        <f>-'[22]Sheet 2 - General Insurance'!$F$175</f>
        <v>145.37326002713701</v>
      </c>
      <c r="H20" s="3117">
        <f>-'[23]Sheet 2 - General Insurance'!$F$174</f>
        <v>46216</v>
      </c>
      <c r="I20" s="3117">
        <v>0</v>
      </c>
      <c r="J20" s="3117"/>
      <c r="K20" s="3117">
        <f>-'[25]Sheet 2 - General Insurance'!$F$169</f>
        <v>2610.3094299999998</v>
      </c>
      <c r="L20" s="193">
        <v>0</v>
      </c>
      <c r="M20" s="3117">
        <f>-'[27]Sheet 2 - General Insurance'!$F$160</f>
        <v>280.86914000000002</v>
      </c>
      <c r="N20" s="3117">
        <v>0</v>
      </c>
      <c r="O20" s="3117"/>
      <c r="P20" s="3117">
        <v>0</v>
      </c>
      <c r="Q20" s="3117">
        <f>-'[30]Sheet 2 - General Insurance'!$F$167</f>
        <v>34413.345319999993</v>
      </c>
      <c r="R20" s="3157">
        <v>0</v>
      </c>
      <c r="S20" s="3158">
        <f>-'[32]Sheet 2 - General Insurance'!$F$160</f>
        <v>13488.727339999999</v>
      </c>
      <c r="T20" s="3117">
        <v>0</v>
      </c>
      <c r="U20" s="3117"/>
      <c r="V20" s="3117">
        <f>SUM(B20:U20)</f>
        <v>121631.08883295475</v>
      </c>
      <c r="W20" s="58"/>
      <c r="X20" s="58"/>
    </row>
    <row r="21" spans="1:24">
      <c r="A21" s="2887" t="s">
        <v>416</v>
      </c>
      <c r="B21" s="3120">
        <f>-'[17]Sheet 2 - General Insurance'!$G$162</f>
        <v>174678.35973000003</v>
      </c>
      <c r="C21" s="3120">
        <f>-'[18]Sheet 2 - General Insurance'!$G$160</f>
        <v>90260</v>
      </c>
      <c r="D21" s="3121">
        <f>-'[19]Sheet 2 - General Insurance'!$G$180</f>
        <v>171422</v>
      </c>
      <c r="E21" s="3120">
        <f>-'[20]Sheet 2 - General Insurance'!$G$164</f>
        <v>73696.855009999999</v>
      </c>
      <c r="F21" s="3120">
        <f>-'[21]Sheet 2 - General Insurance'!$G$160</f>
        <v>48890.976499999997</v>
      </c>
      <c r="G21" s="3117">
        <f>-'[22]Sheet 2 - General Insurance'!$G$175</f>
        <v>16925.331301092701</v>
      </c>
      <c r="H21" s="3118">
        <f>-'[23]Sheet 2 - General Insurance'!$G$174</f>
        <v>643567</v>
      </c>
      <c r="I21" s="3117">
        <f>-'[24]Sheet 2 - General Insurance'!$G$160</f>
        <v>48908.440419999999</v>
      </c>
      <c r="J21" s="3117"/>
      <c r="K21" s="3117">
        <f>-'[25]Sheet 2 - General Insurance'!$G$169</f>
        <v>88520.033630000005</v>
      </c>
      <c r="L21" s="193">
        <f>-'[26]Sheet 2 - General Insurance'!$G$163</f>
        <v>432294.01051999995</v>
      </c>
      <c r="M21" s="3117">
        <f>-'[27]Sheet 2 - General Insurance'!$G$160</f>
        <v>528.57628</v>
      </c>
      <c r="N21" s="3117">
        <f>+'[28]Sheet 2 - General Insurance'!$G$160</f>
        <v>79749.784169999984</v>
      </c>
      <c r="O21" s="3117"/>
      <c r="P21" s="3117">
        <f>-'[29]Sheet 2 - General Insurance'!$G$165</f>
        <v>161568</v>
      </c>
      <c r="Q21" s="3117">
        <f>-'[30]Sheet 2 - General Insurance'!$G$167</f>
        <v>1698124.2565500007</v>
      </c>
      <c r="R21" s="3157">
        <f>-'[35]Sheet 2 - General Insurance'!$G$162</f>
        <v>63876.173649999997</v>
      </c>
      <c r="S21" s="3158">
        <f>-'[32]Sheet 2 - General Insurance'!$G$160</f>
        <v>769860.47753999999</v>
      </c>
      <c r="T21" s="3117">
        <v>21117.5518906322</v>
      </c>
      <c r="U21" s="3117"/>
      <c r="V21" s="3117">
        <f>SUM(B21:U21)</f>
        <v>4583987.8271917254</v>
      </c>
      <c r="W21" s="58"/>
      <c r="X21" s="58"/>
    </row>
    <row r="22" spans="1:24">
      <c r="A22" s="3122" t="s">
        <v>118</v>
      </c>
      <c r="B22" s="3123">
        <f t="shared" ref="B22:V22" si="2">SUM(B17:B21)</f>
        <v>516684.82117000001</v>
      </c>
      <c r="C22" s="3123">
        <f t="shared" si="2"/>
        <v>163837</v>
      </c>
      <c r="D22" s="3123">
        <f t="shared" si="2"/>
        <v>1020358.5952629277</v>
      </c>
      <c r="E22" s="3123">
        <f t="shared" si="2"/>
        <v>577913.57838000008</v>
      </c>
      <c r="F22" s="3123">
        <f t="shared" si="2"/>
        <v>84746.659369999994</v>
      </c>
      <c r="G22" s="3123">
        <f t="shared" si="2"/>
        <v>700349.85556111985</v>
      </c>
      <c r="H22" s="3123">
        <f t="shared" si="2"/>
        <v>4556428</v>
      </c>
      <c r="I22" s="3123">
        <f>SUM(I17:I21)</f>
        <v>640657.91986999987</v>
      </c>
      <c r="J22" s="3123">
        <f t="shared" si="2"/>
        <v>0</v>
      </c>
      <c r="K22" s="3123">
        <f>SUM(K17:K21)</f>
        <v>892750.46348999999</v>
      </c>
      <c r="L22" s="3123">
        <f>SUM(L17:L21)</f>
        <v>3030753.50881</v>
      </c>
      <c r="M22" s="3123">
        <f>SUM(M17:M21)</f>
        <v>578387.04504999996</v>
      </c>
      <c r="N22" s="3123">
        <f t="shared" si="2"/>
        <v>465464.03347000002</v>
      </c>
      <c r="O22" s="3123">
        <f t="shared" si="2"/>
        <v>0</v>
      </c>
      <c r="P22" s="3123">
        <f t="shared" si="2"/>
        <v>1970049</v>
      </c>
      <c r="Q22" s="3123">
        <f>SUM(Q17:Q21)</f>
        <v>6065305.8385100011</v>
      </c>
      <c r="R22" s="3123">
        <f t="shared" si="2"/>
        <v>69623.688499999989</v>
      </c>
      <c r="S22" s="3159">
        <f t="shared" si="2"/>
        <v>2320103.7901900001</v>
      </c>
      <c r="T22" s="3123">
        <f t="shared" si="2"/>
        <v>114004.7178341322</v>
      </c>
      <c r="U22" s="3123">
        <f t="shared" si="2"/>
        <v>0</v>
      </c>
      <c r="V22" s="3123">
        <f t="shared" si="2"/>
        <v>23767418.51546818</v>
      </c>
      <c r="W22" s="375">
        <f>+'[1]P &amp; L - GI - 2012 '!H16</f>
        <v>-23767418.515468184</v>
      </c>
      <c r="X22" s="58">
        <f>+V22+W22</f>
        <v>0</v>
      </c>
    </row>
    <row r="25" spans="1:24" ht="15" customHeight="1">
      <c r="A25" s="3111" t="s">
        <v>730</v>
      </c>
      <c r="B25" s="3380"/>
      <c r="C25" s="3380"/>
      <c r="D25" s="3380"/>
      <c r="E25" s="3380"/>
      <c r="F25" s="3112"/>
    </row>
    <row r="26" spans="1:24">
      <c r="A26" s="3848" t="s">
        <v>709</v>
      </c>
      <c r="B26" s="373">
        <v>1</v>
      </c>
      <c r="C26" s="373">
        <v>2</v>
      </c>
      <c r="D26" s="373">
        <v>3</v>
      </c>
      <c r="E26" s="373">
        <v>4</v>
      </c>
      <c r="F26" s="373">
        <v>5</v>
      </c>
      <c r="G26" s="373">
        <v>6</v>
      </c>
      <c r="H26" s="373">
        <v>7</v>
      </c>
      <c r="I26" s="373">
        <v>8</v>
      </c>
      <c r="J26" s="373">
        <v>9</v>
      </c>
      <c r="K26" s="373">
        <v>10</v>
      </c>
      <c r="L26" s="373">
        <v>11</v>
      </c>
      <c r="M26" s="373">
        <v>12</v>
      </c>
      <c r="N26" s="373">
        <v>13</v>
      </c>
      <c r="O26" s="373">
        <v>14</v>
      </c>
      <c r="P26" s="373">
        <v>15</v>
      </c>
      <c r="Q26" s="373">
        <v>16</v>
      </c>
      <c r="R26" s="373">
        <v>17</v>
      </c>
      <c r="S26" s="379">
        <v>18</v>
      </c>
      <c r="T26" s="373">
        <v>19</v>
      </c>
      <c r="U26" s="373">
        <v>20</v>
      </c>
      <c r="V26" s="374"/>
    </row>
    <row r="27" spans="1:24">
      <c r="A27" s="3848"/>
      <c r="B27" s="3113" t="s">
        <v>175</v>
      </c>
      <c r="C27" s="3113" t="s">
        <v>177</v>
      </c>
      <c r="D27" s="3113" t="s">
        <v>179</v>
      </c>
      <c r="E27" s="3113" t="s">
        <v>180</v>
      </c>
      <c r="F27" s="3113" t="s">
        <v>181</v>
      </c>
      <c r="G27" s="3113" t="s">
        <v>182</v>
      </c>
      <c r="H27" s="3114" t="s">
        <v>183</v>
      </c>
      <c r="I27" s="3113" t="s">
        <v>184</v>
      </c>
      <c r="J27" s="3113" t="s">
        <v>185</v>
      </c>
      <c r="K27" s="3113" t="s">
        <v>186</v>
      </c>
      <c r="L27" s="3113" t="s">
        <v>187</v>
      </c>
      <c r="M27" s="3113" t="s">
        <v>189</v>
      </c>
      <c r="N27" s="3113" t="s">
        <v>190</v>
      </c>
      <c r="O27" s="3113" t="s">
        <v>681</v>
      </c>
      <c r="P27" s="3113" t="s">
        <v>192</v>
      </c>
      <c r="Q27" s="3113" t="s">
        <v>115</v>
      </c>
      <c r="R27" s="3113" t="s">
        <v>194</v>
      </c>
      <c r="S27" s="3082" t="s">
        <v>195</v>
      </c>
      <c r="T27" s="3113" t="s">
        <v>191</v>
      </c>
      <c r="U27" s="3113" t="s">
        <v>110</v>
      </c>
      <c r="V27" s="3116" t="s">
        <v>118</v>
      </c>
    </row>
    <row r="28" spans="1:24">
      <c r="A28" s="2887" t="s">
        <v>412</v>
      </c>
      <c r="B28" s="3117">
        <v>2708.7705000000001</v>
      </c>
      <c r="C28" s="3117">
        <v>353</v>
      </c>
      <c r="D28" s="3117">
        <v>33518.797019999998</v>
      </c>
      <c r="E28" s="3117">
        <v>1808.13</v>
      </c>
      <c r="F28" s="3117">
        <v>5246</v>
      </c>
      <c r="G28" s="3117">
        <v>4198.0330149453875</v>
      </c>
      <c r="H28" s="3118">
        <v>272249</v>
      </c>
      <c r="I28" s="3117">
        <v>11272.75614</v>
      </c>
      <c r="J28" s="3117"/>
      <c r="K28" s="3117">
        <v>10654</v>
      </c>
      <c r="L28" s="3117">
        <v>36644</v>
      </c>
      <c r="M28" s="3117"/>
      <c r="N28" s="3117">
        <v>920.13</v>
      </c>
      <c r="O28" s="3117"/>
      <c r="P28" s="3117">
        <v>27693</v>
      </c>
      <c r="Q28" s="3117">
        <v>30751.659199999929</v>
      </c>
      <c r="R28" s="3117">
        <v>4206</v>
      </c>
      <c r="S28" s="3158">
        <v>40422.984360000002</v>
      </c>
      <c r="T28" s="3117">
        <v>0</v>
      </c>
      <c r="U28" s="3117"/>
      <c r="V28" s="3117">
        <f>SUM(B28:U28)</f>
        <v>482646.26023494534</v>
      </c>
      <c r="W28" s="58"/>
      <c r="X28" s="58"/>
    </row>
    <row r="29" spans="1:24">
      <c r="A29" s="2887" t="s">
        <v>413</v>
      </c>
      <c r="B29" s="3117">
        <v>3645.7168300000003</v>
      </c>
      <c r="C29" s="3117">
        <v>-1892</v>
      </c>
      <c r="D29" s="3117">
        <v>16567.098620000001</v>
      </c>
      <c r="E29" s="3117">
        <v>4225.03</v>
      </c>
      <c r="F29" s="3117">
        <v>20836</v>
      </c>
      <c r="G29" s="3117">
        <v>1576.9208974210192</v>
      </c>
      <c r="H29" s="3117">
        <v>90766</v>
      </c>
      <c r="I29" s="3117">
        <v>7877.8940199999997</v>
      </c>
      <c r="J29" s="3117"/>
      <c r="K29" s="3117">
        <v>2109</v>
      </c>
      <c r="L29" s="3117">
        <v>11813</v>
      </c>
      <c r="M29" s="3117"/>
      <c r="N29" s="3117">
        <v>2926.55</v>
      </c>
      <c r="O29" s="3117"/>
      <c r="P29" s="3117">
        <v>2167</v>
      </c>
      <c r="Q29" s="3117">
        <v>41622.506370000017</v>
      </c>
      <c r="R29" s="3117">
        <v>0</v>
      </c>
      <c r="S29" s="3158">
        <v>27948.574420000001</v>
      </c>
      <c r="T29" s="3117"/>
      <c r="U29" s="3117"/>
      <c r="V29" s="3117">
        <f>SUM(B29:U29)</f>
        <v>232189.29115742102</v>
      </c>
      <c r="W29" s="58"/>
      <c r="X29" s="58"/>
    </row>
    <row r="30" spans="1:24">
      <c r="A30" s="2887" t="s">
        <v>414</v>
      </c>
      <c r="B30" s="3120">
        <v>199138.94341000001</v>
      </c>
      <c r="C30" s="3120">
        <v>77391</v>
      </c>
      <c r="D30" s="3121">
        <v>1219697.69909</v>
      </c>
      <c r="E30" s="3120">
        <v>388161.37599999999</v>
      </c>
      <c r="F30" s="3120">
        <v>36785</v>
      </c>
      <c r="G30" s="3117">
        <v>410331.38888041372</v>
      </c>
      <c r="H30" s="3118">
        <v>3410950</v>
      </c>
      <c r="I30" s="3117">
        <v>310637.05819000001</v>
      </c>
      <c r="J30" s="3117"/>
      <c r="K30" s="3117">
        <v>695731</v>
      </c>
      <c r="L30" s="3117">
        <v>2175490</v>
      </c>
      <c r="M30" s="3117">
        <v>49165.581109999992</v>
      </c>
      <c r="N30" s="3117">
        <v>246749.81</v>
      </c>
      <c r="O30" s="3117"/>
      <c r="P30" s="3117">
        <v>1089576</v>
      </c>
      <c r="Q30" s="3117">
        <v>3611684.3965400001</v>
      </c>
      <c r="R30" s="3117">
        <v>38637.4</v>
      </c>
      <c r="S30" s="3158">
        <v>1456555.9953399999</v>
      </c>
      <c r="T30" s="3117">
        <v>70</v>
      </c>
      <c r="U30" s="3117"/>
      <c r="V30" s="3117">
        <f>SUM(B30:U30)</f>
        <v>15416752.648560412</v>
      </c>
      <c r="W30" s="58"/>
      <c r="X30" s="58"/>
    </row>
    <row r="31" spans="1:24">
      <c r="A31" s="2887" t="s">
        <v>701</v>
      </c>
      <c r="B31" s="3120">
        <v>0</v>
      </c>
      <c r="C31" s="3120">
        <v>3733</v>
      </c>
      <c r="D31" s="3121">
        <v>4001</v>
      </c>
      <c r="E31" s="3120">
        <v>1440.2</v>
      </c>
      <c r="F31" s="3120">
        <v>774</v>
      </c>
      <c r="G31" s="3117">
        <v>5835.9078803712127</v>
      </c>
      <c r="H31" s="3117">
        <v>22936</v>
      </c>
      <c r="I31" s="3117">
        <v>0</v>
      </c>
      <c r="J31" s="3117"/>
      <c r="K31" s="3117">
        <v>3638</v>
      </c>
      <c r="L31" s="3117">
        <v>0</v>
      </c>
      <c r="M31" s="3117"/>
      <c r="N31" s="3117">
        <v>909.09</v>
      </c>
      <c r="O31" s="3117"/>
      <c r="P31" s="3117">
        <v>0</v>
      </c>
      <c r="Q31" s="3117">
        <v>-4528.6878799999949</v>
      </c>
      <c r="R31" s="3117">
        <v>0</v>
      </c>
      <c r="S31" s="3158">
        <v>11286.894839999999</v>
      </c>
      <c r="T31" s="3117"/>
      <c r="U31" s="3117"/>
      <c r="V31" s="3117">
        <f>SUM(B31:U31)</f>
        <v>50025.404840371215</v>
      </c>
      <c r="W31" s="58"/>
      <c r="X31" s="58"/>
    </row>
    <row r="32" spans="1:24">
      <c r="A32" s="2887" t="s">
        <v>416</v>
      </c>
      <c r="B32" s="3120">
        <v>68873.469389999998</v>
      </c>
      <c r="C32" s="3120">
        <v>59582</v>
      </c>
      <c r="D32" s="3121">
        <v>181198.90882000019</v>
      </c>
      <c r="E32" s="3120">
        <v>109324.493</v>
      </c>
      <c r="F32" s="3120">
        <v>75796</v>
      </c>
      <c r="G32" s="3117">
        <v>421942.25067315134</v>
      </c>
      <c r="H32" s="3118">
        <v>806900</v>
      </c>
      <c r="I32" s="3117">
        <v>16187.211369999997</v>
      </c>
      <c r="J32" s="3117"/>
      <c r="K32" s="3117">
        <v>90240</v>
      </c>
      <c r="L32" s="3117">
        <v>416711</v>
      </c>
      <c r="M32" s="3117"/>
      <c r="N32" s="3117">
        <v>27635.22</v>
      </c>
      <c r="O32" s="3117"/>
      <c r="P32" s="3117">
        <v>115778</v>
      </c>
      <c r="Q32" s="3117">
        <v>1077642.00648</v>
      </c>
      <c r="R32" s="3117">
        <v>13962.95</v>
      </c>
      <c r="S32" s="3158">
        <v>628346.51578000002</v>
      </c>
      <c r="T32" s="3117"/>
      <c r="U32" s="3117"/>
      <c r="V32" s="3117">
        <f>SUM(B32:U32)</f>
        <v>4110120.0255131521</v>
      </c>
      <c r="W32" s="58"/>
      <c r="X32" s="58"/>
    </row>
    <row r="33" spans="1:24">
      <c r="A33" s="3122" t="s">
        <v>118</v>
      </c>
      <c r="B33" s="3123">
        <f>SUM(B28:B32)</f>
        <v>274366.90013000002</v>
      </c>
      <c r="C33" s="3123">
        <f t="shared" ref="C33:V33" si="3">SUM(C28:C32)</f>
        <v>139167</v>
      </c>
      <c r="D33" s="3123">
        <f>SUM(D28:D32)</f>
        <v>1454983.5035500003</v>
      </c>
      <c r="E33" s="3123">
        <f t="shared" si="3"/>
        <v>504959.22899999999</v>
      </c>
      <c r="F33" s="3123">
        <f>SUM(F28:F32)</f>
        <v>139437</v>
      </c>
      <c r="G33" s="3123">
        <f>SUM(G28:G32)</f>
        <v>843884.50134630268</v>
      </c>
      <c r="H33" s="3123">
        <f t="shared" si="3"/>
        <v>4603801</v>
      </c>
      <c r="I33" s="3123">
        <f>SUM(I28:I32)</f>
        <v>345974.91972000001</v>
      </c>
      <c r="J33" s="3123">
        <f t="shared" si="3"/>
        <v>0</v>
      </c>
      <c r="K33" s="3123">
        <f t="shared" si="3"/>
        <v>802372</v>
      </c>
      <c r="L33" s="3123">
        <f t="shared" si="3"/>
        <v>2640658</v>
      </c>
      <c r="M33" s="3123">
        <f t="shared" si="3"/>
        <v>49165.581109999992</v>
      </c>
      <c r="N33" s="3123">
        <f t="shared" si="3"/>
        <v>279140.8</v>
      </c>
      <c r="O33" s="3123">
        <f t="shared" si="3"/>
        <v>0</v>
      </c>
      <c r="P33" s="3123">
        <f t="shared" si="3"/>
        <v>1235214</v>
      </c>
      <c r="Q33" s="3123">
        <f t="shared" si="3"/>
        <v>4757171.8807100002</v>
      </c>
      <c r="R33" s="3123">
        <f t="shared" si="3"/>
        <v>56806.350000000006</v>
      </c>
      <c r="S33" s="3159">
        <f>SUM(S28:S32)</f>
        <v>2164560.9647399997</v>
      </c>
      <c r="T33" s="3123">
        <f t="shared" si="3"/>
        <v>70</v>
      </c>
      <c r="U33" s="3123">
        <f t="shared" si="3"/>
        <v>0</v>
      </c>
      <c r="V33" s="3123">
        <f t="shared" si="3"/>
        <v>20291733.630306304</v>
      </c>
      <c r="W33" s="375" t="e">
        <f>+#REF!</f>
        <v>#REF!</v>
      </c>
      <c r="X33" s="58" t="e">
        <f>+V33-W33</f>
        <v>#REF!</v>
      </c>
    </row>
    <row r="34" spans="1:24">
      <c r="A34" s="44"/>
      <c r="B34" s="377"/>
      <c r="C34" s="377"/>
      <c r="D34" s="377"/>
      <c r="E34" s="378"/>
      <c r="F34" s="378"/>
      <c r="L34" s="193">
        <f>+'[7]AR6&amp;7 Support II'!$L$21</f>
        <v>2640658</v>
      </c>
      <c r="W34">
        <v>20291734</v>
      </c>
    </row>
    <row r="35" spans="1:24">
      <c r="L35" s="14">
        <f>+L33-L34</f>
        <v>0</v>
      </c>
      <c r="W35" s="14" t="e">
        <f>+W33-W34</f>
        <v>#REF!</v>
      </c>
    </row>
    <row r="36" spans="1:24">
      <c r="A36" s="3111" t="s">
        <v>731</v>
      </c>
      <c r="B36" s="3381"/>
      <c r="C36" s="3381"/>
      <c r="D36" s="3381"/>
      <c r="E36" s="3381"/>
      <c r="F36" s="3124"/>
    </row>
    <row r="37" spans="1:24">
      <c r="A37" s="3848" t="s">
        <v>709</v>
      </c>
      <c r="B37" s="373">
        <v>1</v>
      </c>
      <c r="C37" s="373">
        <v>2</v>
      </c>
      <c r="D37" s="373">
        <v>3</v>
      </c>
      <c r="E37" s="373">
        <v>4</v>
      </c>
      <c r="F37" s="373">
        <v>5</v>
      </c>
      <c r="G37" s="373">
        <v>6</v>
      </c>
      <c r="H37" s="373">
        <v>7</v>
      </c>
      <c r="I37" s="373">
        <v>8</v>
      </c>
      <c r="J37" s="373">
        <v>9</v>
      </c>
      <c r="K37" s="373">
        <v>10</v>
      </c>
      <c r="L37" s="373">
        <v>11</v>
      </c>
      <c r="M37" s="373">
        <v>12</v>
      </c>
      <c r="N37" s="373">
        <v>13</v>
      </c>
      <c r="O37" s="373">
        <v>14</v>
      </c>
      <c r="P37" s="373">
        <v>15</v>
      </c>
      <c r="Q37" s="373">
        <v>16</v>
      </c>
      <c r="R37" s="373">
        <v>17</v>
      </c>
      <c r="S37" s="379">
        <v>18</v>
      </c>
      <c r="T37" s="373">
        <v>19</v>
      </c>
      <c r="U37" s="373">
        <v>20</v>
      </c>
      <c r="V37" s="374"/>
    </row>
    <row r="38" spans="1:24">
      <c r="A38" s="3848"/>
      <c r="B38" s="3113" t="s">
        <v>175</v>
      </c>
      <c r="C38" s="3113" t="s">
        <v>177</v>
      </c>
      <c r="D38" s="3113" t="s">
        <v>179</v>
      </c>
      <c r="E38" s="3113" t="s">
        <v>180</v>
      </c>
      <c r="F38" s="3113" t="s">
        <v>181</v>
      </c>
      <c r="G38" s="3113" t="s">
        <v>182</v>
      </c>
      <c r="H38" s="3114" t="s">
        <v>183</v>
      </c>
      <c r="I38" s="3113" t="s">
        <v>184</v>
      </c>
      <c r="J38" s="3113" t="s">
        <v>185</v>
      </c>
      <c r="K38" s="3113" t="s">
        <v>186</v>
      </c>
      <c r="L38" s="3113" t="s">
        <v>187</v>
      </c>
      <c r="M38" s="3113" t="s">
        <v>189</v>
      </c>
      <c r="N38" s="3113" t="s">
        <v>190</v>
      </c>
      <c r="O38" s="3113" t="s">
        <v>681</v>
      </c>
      <c r="P38" s="3113" t="s">
        <v>192</v>
      </c>
      <c r="Q38" s="3113" t="s">
        <v>115</v>
      </c>
      <c r="R38" s="3113" t="s">
        <v>194</v>
      </c>
      <c r="S38" s="3114" t="s">
        <v>195</v>
      </c>
      <c r="T38" s="3113" t="s">
        <v>191</v>
      </c>
      <c r="U38" s="3113" t="s">
        <v>110</v>
      </c>
      <c r="V38" s="3116" t="s">
        <v>118</v>
      </c>
    </row>
    <row r="39" spans="1:24">
      <c r="A39" s="2887" t="s">
        <v>412</v>
      </c>
      <c r="B39" s="3117">
        <v>5415</v>
      </c>
      <c r="C39" s="3117">
        <v>46112</v>
      </c>
      <c r="D39" s="3117">
        <v>82929</v>
      </c>
      <c r="E39" s="3117">
        <v>7050</v>
      </c>
      <c r="F39" s="3117">
        <v>5452</v>
      </c>
      <c r="G39" s="3117">
        <v>1439.681</v>
      </c>
      <c r="H39" s="3118">
        <v>308133</v>
      </c>
      <c r="I39" s="3117">
        <v>18674.191199999997</v>
      </c>
      <c r="J39" s="3117"/>
      <c r="K39" s="3117">
        <v>11194</v>
      </c>
      <c r="L39" s="3117">
        <v>36644</v>
      </c>
      <c r="M39" s="3117"/>
      <c r="N39" s="3117">
        <v>6067</v>
      </c>
      <c r="O39" s="3117"/>
      <c r="P39" s="3117">
        <v>2474</v>
      </c>
      <c r="Q39" s="3117">
        <v>-34050.587520000074</v>
      </c>
      <c r="R39" s="3117">
        <v>1748</v>
      </c>
      <c r="S39" s="3118">
        <v>30166.827090000006</v>
      </c>
      <c r="T39" s="3117"/>
      <c r="U39" s="3117"/>
      <c r="V39" s="3117">
        <f>SUM(B39:U39)</f>
        <v>529448.11176999996</v>
      </c>
      <c r="W39" s="58"/>
      <c r="X39" s="58"/>
    </row>
    <row r="40" spans="1:24">
      <c r="A40" s="2887" t="s">
        <v>413</v>
      </c>
      <c r="B40" s="3117">
        <v>2255</v>
      </c>
      <c r="C40" s="3117">
        <v>2834</v>
      </c>
      <c r="D40" s="3117">
        <v>25849</v>
      </c>
      <c r="E40" s="3117">
        <v>5384</v>
      </c>
      <c r="F40" s="3117">
        <v>8470</v>
      </c>
      <c r="G40" s="3117">
        <v>161.87</v>
      </c>
      <c r="H40" s="3117">
        <v>94798</v>
      </c>
      <c r="I40" s="3117">
        <v>6238.4151999999995</v>
      </c>
      <c r="J40" s="3117"/>
      <c r="K40" s="3117">
        <v>1475</v>
      </c>
      <c r="L40" s="3117">
        <v>11813</v>
      </c>
      <c r="M40" s="3117"/>
      <c r="N40" s="3117">
        <v>2142</v>
      </c>
      <c r="O40" s="3117"/>
      <c r="P40" s="3117">
        <v>1609</v>
      </c>
      <c r="Q40" s="3117">
        <v>19053.029089999996</v>
      </c>
      <c r="R40" s="3117">
        <v>0</v>
      </c>
      <c r="S40" s="3118">
        <v>34060.830819999996</v>
      </c>
      <c r="T40" s="3117"/>
      <c r="U40" s="3117"/>
      <c r="V40" s="3117">
        <f>SUM(B40:U40)</f>
        <v>216143.14510999998</v>
      </c>
      <c r="W40" s="58"/>
      <c r="X40" s="58"/>
    </row>
    <row r="41" spans="1:24">
      <c r="A41" s="2887" t="s">
        <v>414</v>
      </c>
      <c r="B41" s="3120">
        <v>155456</v>
      </c>
      <c r="C41" s="3120">
        <v>59496</v>
      </c>
      <c r="D41" s="3121">
        <v>920441</v>
      </c>
      <c r="E41" s="3120">
        <v>296052</v>
      </c>
      <c r="F41" s="3120">
        <v>62275</v>
      </c>
      <c r="G41" s="3117">
        <v>64834.57</v>
      </c>
      <c r="H41" s="3117">
        <v>3377784</v>
      </c>
      <c r="I41" s="3117">
        <v>221730.46049</v>
      </c>
      <c r="J41" s="3117"/>
      <c r="K41" s="3117">
        <v>501527</v>
      </c>
      <c r="L41" s="3117">
        <v>2175490</v>
      </c>
      <c r="M41" s="3117"/>
      <c r="N41" s="3117">
        <v>124711</v>
      </c>
      <c r="O41" s="3117"/>
      <c r="P41" s="3117">
        <v>201401</v>
      </c>
      <c r="Q41" s="3117">
        <v>2248189.7924700007</v>
      </c>
      <c r="R41" s="3117">
        <v>36467</v>
      </c>
      <c r="S41" s="3118">
        <v>1288023.8226600001</v>
      </c>
      <c r="T41" s="3117"/>
      <c r="U41" s="3117"/>
      <c r="V41" s="3117">
        <f>SUM(B41:U41)</f>
        <v>11733878.64562</v>
      </c>
      <c r="W41" s="58"/>
      <c r="X41" s="58"/>
    </row>
    <row r="42" spans="1:24">
      <c r="A42" s="2887" t="s">
        <v>701</v>
      </c>
      <c r="B42" s="3120">
        <v>0</v>
      </c>
      <c r="C42" s="3120">
        <v>450</v>
      </c>
      <c r="D42" s="3121">
        <v>3274</v>
      </c>
      <c r="E42" s="3120">
        <v>1808</v>
      </c>
      <c r="F42" s="3120">
        <v>-480</v>
      </c>
      <c r="G42" s="3117"/>
      <c r="H42" s="3117">
        <v>42711</v>
      </c>
      <c r="I42" s="3117">
        <v>0</v>
      </c>
      <c r="J42" s="3117"/>
      <c r="K42" s="3117">
        <v>3268</v>
      </c>
      <c r="L42" s="3117">
        <v>0</v>
      </c>
      <c r="M42" s="3117"/>
      <c r="N42" s="3117">
        <v>0</v>
      </c>
      <c r="O42" s="3117"/>
      <c r="P42" s="3117">
        <v>0</v>
      </c>
      <c r="Q42" s="3117">
        <v>19692.680039999992</v>
      </c>
      <c r="R42" s="3117">
        <v>0</v>
      </c>
      <c r="S42" s="3118">
        <v>14438.688029999999</v>
      </c>
      <c r="T42" s="3117"/>
      <c r="U42" s="3117"/>
      <c r="V42" s="3117">
        <f>SUM(B42:U42)</f>
        <v>85162.368069999997</v>
      </c>
      <c r="W42" s="58"/>
      <c r="X42" s="58"/>
    </row>
    <row r="43" spans="1:24">
      <c r="A43" s="2887" t="s">
        <v>416</v>
      </c>
      <c r="B43" s="3120">
        <v>83222</v>
      </c>
      <c r="C43" s="3120">
        <v>63862</v>
      </c>
      <c r="D43" s="3121">
        <v>586689</v>
      </c>
      <c r="E43" s="3120">
        <v>136675</v>
      </c>
      <c r="F43" s="3120">
        <v>63183</v>
      </c>
      <c r="G43" s="3117">
        <v>40.896000000000001</v>
      </c>
      <c r="H43" s="3117">
        <v>516438</v>
      </c>
      <c r="I43" s="3117">
        <v>17151.539510000002</v>
      </c>
      <c r="J43" s="3117"/>
      <c r="K43" s="3117">
        <v>70773</v>
      </c>
      <c r="L43" s="3117">
        <v>416711</v>
      </c>
      <c r="M43" s="3117"/>
      <c r="N43" s="3117">
        <v>61402</v>
      </c>
      <c r="O43" s="3117"/>
      <c r="P43" s="3117">
        <v>16380</v>
      </c>
      <c r="Q43" s="3117">
        <v>632608.1692870002</v>
      </c>
      <c r="R43" s="3117">
        <v>29965</v>
      </c>
      <c r="S43" s="3118">
        <v>310847.05105999997</v>
      </c>
      <c r="T43" s="3117"/>
      <c r="U43" s="3117"/>
      <c r="V43" s="3117">
        <f>SUM(B43:U43)</f>
        <v>3005947.655857</v>
      </c>
      <c r="W43" s="58"/>
      <c r="X43" s="58"/>
    </row>
    <row r="44" spans="1:24">
      <c r="A44" s="3122" t="s">
        <v>118</v>
      </c>
      <c r="B44" s="3123">
        <f>SUM(B39:B43)</f>
        <v>246348</v>
      </c>
      <c r="C44" s="3123">
        <f t="shared" ref="C44:U44" si="4">SUM(C39:C43)</f>
        <v>172754</v>
      </c>
      <c r="D44" s="3123">
        <f>SUM(D39:D43)</f>
        <v>1619182</v>
      </c>
      <c r="E44" s="3123">
        <f t="shared" si="4"/>
        <v>446969</v>
      </c>
      <c r="F44" s="3123">
        <f>SUM(F39:F43)</f>
        <v>138900</v>
      </c>
      <c r="G44" s="3123">
        <f>SUM(G39:G43)</f>
        <v>66477.016999999993</v>
      </c>
      <c r="H44" s="3123">
        <f t="shared" si="4"/>
        <v>4339864</v>
      </c>
      <c r="I44" s="3123">
        <f>SUM(I39:I43)</f>
        <v>263794.60639999999</v>
      </c>
      <c r="J44" s="3123">
        <f t="shared" si="4"/>
        <v>0</v>
      </c>
      <c r="K44" s="3123">
        <f t="shared" si="4"/>
        <v>588237</v>
      </c>
      <c r="L44" s="3123">
        <f t="shared" si="4"/>
        <v>2640658</v>
      </c>
      <c r="M44" s="3123">
        <f t="shared" si="4"/>
        <v>0</v>
      </c>
      <c r="N44" s="3123">
        <f t="shared" si="4"/>
        <v>194322</v>
      </c>
      <c r="O44" s="3123">
        <f t="shared" si="4"/>
        <v>0</v>
      </c>
      <c r="P44" s="3123">
        <f t="shared" si="4"/>
        <v>221864</v>
      </c>
      <c r="Q44" s="3123">
        <f t="shared" si="4"/>
        <v>2885493.0833670008</v>
      </c>
      <c r="R44" s="3123">
        <f t="shared" si="4"/>
        <v>68180</v>
      </c>
      <c r="S44" s="3160">
        <f>SUM(S39:S43)</f>
        <v>1677537.2196600002</v>
      </c>
      <c r="T44" s="3123">
        <f t="shared" si="4"/>
        <v>0</v>
      </c>
      <c r="U44" s="3123">
        <f t="shared" si="4"/>
        <v>0</v>
      </c>
      <c r="V44" s="3123">
        <f>SUM(V39:V43)</f>
        <v>15570579.926427001</v>
      </c>
      <c r="W44" s="375" t="e">
        <f>+#REF!</f>
        <v>#REF!</v>
      </c>
      <c r="X44" s="58" t="e">
        <f>+V44-W44</f>
        <v>#REF!</v>
      </c>
    </row>
    <row r="47" spans="1:24">
      <c r="A47" s="3111" t="s">
        <v>732</v>
      </c>
      <c r="B47" s="3381"/>
      <c r="C47" s="3381"/>
      <c r="D47" s="3381"/>
      <c r="E47" s="3381"/>
      <c r="F47" s="3124"/>
    </row>
    <row r="48" spans="1:24">
      <c r="A48" s="3848" t="s">
        <v>709</v>
      </c>
      <c r="B48" s="373">
        <v>1</v>
      </c>
      <c r="C48" s="373">
        <v>2</v>
      </c>
      <c r="D48" s="373">
        <v>3</v>
      </c>
      <c r="E48" s="373">
        <v>4</v>
      </c>
      <c r="F48" s="373">
        <v>5</v>
      </c>
      <c r="G48" s="373">
        <v>6</v>
      </c>
      <c r="H48" s="373">
        <v>7</v>
      </c>
      <c r="I48" s="373">
        <v>8</v>
      </c>
      <c r="J48" s="373">
        <v>9</v>
      </c>
      <c r="K48" s="373">
        <v>10</v>
      </c>
      <c r="L48" s="373">
        <v>11</v>
      </c>
      <c r="M48" s="373">
        <v>12</v>
      </c>
      <c r="N48" s="373">
        <v>13</v>
      </c>
      <c r="O48" s="373">
        <v>14</v>
      </c>
      <c r="P48" s="373">
        <v>15</v>
      </c>
      <c r="Q48" s="373">
        <v>16</v>
      </c>
      <c r="R48" s="373">
        <v>17</v>
      </c>
      <c r="S48" s="379">
        <v>18</v>
      </c>
      <c r="T48" s="373">
        <v>19</v>
      </c>
      <c r="U48" s="373">
        <v>20</v>
      </c>
      <c r="V48" s="374"/>
    </row>
    <row r="49" spans="1:28">
      <c r="A49" s="3848"/>
      <c r="B49" s="3113" t="s">
        <v>175</v>
      </c>
      <c r="C49" s="3113" t="s">
        <v>177</v>
      </c>
      <c r="D49" s="3113" t="s">
        <v>179</v>
      </c>
      <c r="E49" s="3113" t="s">
        <v>180</v>
      </c>
      <c r="F49" s="3113" t="s">
        <v>181</v>
      </c>
      <c r="G49" s="3113" t="s">
        <v>182</v>
      </c>
      <c r="H49" s="3114" t="s">
        <v>183</v>
      </c>
      <c r="I49" s="3113" t="s">
        <v>184</v>
      </c>
      <c r="J49" s="3113" t="s">
        <v>185</v>
      </c>
      <c r="K49" s="3113" t="s">
        <v>186</v>
      </c>
      <c r="L49" s="3113" t="s">
        <v>187</v>
      </c>
      <c r="M49" s="3113" t="s">
        <v>189</v>
      </c>
      <c r="N49" s="3113" t="s">
        <v>190</v>
      </c>
      <c r="O49" s="3113" t="s">
        <v>681</v>
      </c>
      <c r="P49" s="3113" t="s">
        <v>192</v>
      </c>
      <c r="Q49" s="3113" t="s">
        <v>115</v>
      </c>
      <c r="R49" s="3113" t="s">
        <v>194</v>
      </c>
      <c r="S49" s="3114" t="s">
        <v>195</v>
      </c>
      <c r="T49" s="3113" t="s">
        <v>191</v>
      </c>
      <c r="U49" s="3113" t="s">
        <v>110</v>
      </c>
      <c r="V49" s="3116" t="s">
        <v>118</v>
      </c>
    </row>
    <row r="50" spans="1:28">
      <c r="A50" s="2887" t="s">
        <v>412</v>
      </c>
      <c r="B50" s="3117">
        <v>6829</v>
      </c>
      <c r="C50" s="3117">
        <v>30299</v>
      </c>
      <c r="D50" s="3117">
        <v>21132</v>
      </c>
      <c r="E50" s="3117">
        <v>8606</v>
      </c>
      <c r="F50" s="3117">
        <v>7830</v>
      </c>
      <c r="G50" s="3117"/>
      <c r="H50" s="3118">
        <v>387274</v>
      </c>
      <c r="I50" s="3117">
        <v>16799.92841</v>
      </c>
      <c r="J50" s="3117">
        <v>123.3</v>
      </c>
      <c r="K50" s="3117">
        <v>4882</v>
      </c>
      <c r="L50" s="3117">
        <v>42240</v>
      </c>
      <c r="M50" s="3117"/>
      <c r="N50" s="3117">
        <v>-2067</v>
      </c>
      <c r="O50" s="3117"/>
      <c r="P50" s="3117"/>
      <c r="Q50" s="3117">
        <v>414358.86310999998</v>
      </c>
      <c r="R50" s="3117">
        <v>203</v>
      </c>
      <c r="S50" s="3118">
        <v>14968</v>
      </c>
      <c r="T50" s="3117"/>
      <c r="U50" s="3117"/>
      <c r="V50" s="3117">
        <f>SUM(B50:U50)</f>
        <v>953478.09152000002</v>
      </c>
      <c r="W50" s="58"/>
      <c r="X50" s="58"/>
      <c r="Y50" s="58"/>
      <c r="Z50" s="58"/>
      <c r="AA50" s="58"/>
      <c r="AB50" s="58"/>
    </row>
    <row r="51" spans="1:28">
      <c r="A51" s="2887" t="s">
        <v>413</v>
      </c>
      <c r="B51" s="3117">
        <v>3019</v>
      </c>
      <c r="C51" s="3117">
        <v>1745</v>
      </c>
      <c r="D51" s="3117">
        <v>20570</v>
      </c>
      <c r="E51" s="3117">
        <v>6485</v>
      </c>
      <c r="F51" s="3117">
        <v>11821</v>
      </c>
      <c r="G51" s="3117"/>
      <c r="H51" s="3117">
        <v>73680</v>
      </c>
      <c r="I51" s="3117">
        <v>7318.3052300000008</v>
      </c>
      <c r="J51" s="3117">
        <v>3.66</v>
      </c>
      <c r="K51" s="3117">
        <v>465</v>
      </c>
      <c r="L51" s="3117">
        <v>14768</v>
      </c>
      <c r="M51" s="3117"/>
      <c r="N51" s="3117">
        <v>21293</v>
      </c>
      <c r="O51" s="3117"/>
      <c r="P51" s="3117"/>
      <c r="Q51" s="3117">
        <v>31806.674340000023</v>
      </c>
      <c r="R51" s="3117">
        <v>0</v>
      </c>
      <c r="S51" s="3118">
        <v>28235</v>
      </c>
      <c r="T51" s="3117"/>
      <c r="U51" s="3117"/>
      <c r="V51" s="3117">
        <f>SUM(B51:U51)</f>
        <v>221209.63957000003</v>
      </c>
      <c r="W51" s="58"/>
      <c r="X51" s="58"/>
      <c r="Y51" s="58"/>
      <c r="Z51" s="58"/>
      <c r="AA51" s="58"/>
      <c r="AB51" s="58"/>
    </row>
    <row r="52" spans="1:28">
      <c r="A52" s="2887" t="s">
        <v>414</v>
      </c>
      <c r="B52" s="3120">
        <v>183052</v>
      </c>
      <c r="C52" s="3120">
        <v>36789</v>
      </c>
      <c r="D52" s="3121">
        <v>557346</v>
      </c>
      <c r="E52" s="3120">
        <v>237666</v>
      </c>
      <c r="F52" s="3120">
        <v>62172</v>
      </c>
      <c r="G52" s="3117"/>
      <c r="H52" s="3117">
        <v>3569344</v>
      </c>
      <c r="I52" s="3117">
        <v>269616.61432999989</v>
      </c>
      <c r="J52" s="3117">
        <v>48823.26</v>
      </c>
      <c r="K52" s="3117">
        <v>403859</v>
      </c>
      <c r="L52" s="3117">
        <v>1867902</v>
      </c>
      <c r="M52" s="3117"/>
      <c r="N52" s="3117">
        <v>82614</v>
      </c>
      <c r="O52" s="3117"/>
      <c r="P52" s="3117"/>
      <c r="Q52" s="3117">
        <v>3083705.9656799999</v>
      </c>
      <c r="R52" s="3117">
        <v>28284</v>
      </c>
      <c r="S52" s="3118">
        <v>1249055</v>
      </c>
      <c r="T52" s="3117"/>
      <c r="U52" s="3117"/>
      <c r="V52" s="3117">
        <f>SUM(B52:U52)</f>
        <v>11680228.84001</v>
      </c>
      <c r="W52" s="58"/>
      <c r="X52" s="58"/>
      <c r="Y52" s="58"/>
      <c r="Z52" s="58"/>
      <c r="AA52" s="58"/>
      <c r="AB52" s="58"/>
    </row>
    <row r="53" spans="1:28">
      <c r="A53" s="2887" t="s">
        <v>701</v>
      </c>
      <c r="B53" s="3120">
        <v>0</v>
      </c>
      <c r="C53" s="3120">
        <v>0</v>
      </c>
      <c r="D53" s="3121">
        <v>1976</v>
      </c>
      <c r="E53" s="3120">
        <v>1335</v>
      </c>
      <c r="F53" s="3120">
        <v>-828</v>
      </c>
      <c r="G53" s="3117"/>
      <c r="H53" s="3117">
        <v>45188</v>
      </c>
      <c r="I53" s="3117">
        <v>0</v>
      </c>
      <c r="J53" s="3117">
        <v>0</v>
      </c>
      <c r="K53" s="3117">
        <v>664</v>
      </c>
      <c r="L53" s="3117">
        <v>0</v>
      </c>
      <c r="M53" s="3117"/>
      <c r="N53" s="3117">
        <v>0</v>
      </c>
      <c r="O53" s="3117"/>
      <c r="P53" s="3117"/>
      <c r="Q53" s="3117">
        <v>51017.744579999984</v>
      </c>
      <c r="R53" s="3117">
        <v>0</v>
      </c>
      <c r="S53" s="3118">
        <v>10338</v>
      </c>
      <c r="T53" s="3117"/>
      <c r="U53" s="3117"/>
      <c r="V53" s="3117">
        <f>SUM(B53:U53)</f>
        <v>109690.74457999998</v>
      </c>
      <c r="W53" s="58"/>
      <c r="X53" s="58"/>
      <c r="Y53" s="58"/>
      <c r="Z53" s="58"/>
      <c r="AA53" s="58"/>
      <c r="AB53" s="58"/>
    </row>
    <row r="54" spans="1:28">
      <c r="A54" s="2887" t="s">
        <v>416</v>
      </c>
      <c r="B54" s="3120">
        <v>82635</v>
      </c>
      <c r="C54" s="3120">
        <v>81865</v>
      </c>
      <c r="D54" s="3121">
        <v>301629</v>
      </c>
      <c r="E54" s="3120">
        <v>150412</v>
      </c>
      <c r="F54" s="3120">
        <v>155065</v>
      </c>
      <c r="G54" s="3117"/>
      <c r="H54" s="3117">
        <v>601541</v>
      </c>
      <c r="I54" s="3117">
        <v>37657.867020000012</v>
      </c>
      <c r="J54" s="3117">
        <v>2688.34</v>
      </c>
      <c r="K54" s="3117">
        <v>38340</v>
      </c>
      <c r="L54" s="3117">
        <v>375575</v>
      </c>
      <c r="M54" s="3117"/>
      <c r="N54" s="3117">
        <v>22554</v>
      </c>
      <c r="O54" s="3117"/>
      <c r="P54" s="3117"/>
      <c r="Q54" s="3117">
        <v>1798317.8790579997</v>
      </c>
      <c r="R54" s="3117">
        <v>68095</v>
      </c>
      <c r="S54" s="3118">
        <v>340691</v>
      </c>
      <c r="T54" s="3117"/>
      <c r="U54" s="3117"/>
      <c r="V54" s="3117">
        <f>SUM(B54:U54)</f>
        <v>4057066.0860779998</v>
      </c>
      <c r="W54" s="58"/>
      <c r="X54" s="58"/>
      <c r="Y54" s="58"/>
      <c r="Z54" s="58"/>
      <c r="AA54" s="58"/>
      <c r="AB54" s="58"/>
    </row>
    <row r="55" spans="1:28">
      <c r="A55" s="3122" t="s">
        <v>118</v>
      </c>
      <c r="B55" s="3123">
        <f>SUM(B50:B54)</f>
        <v>275535</v>
      </c>
      <c r="C55" s="3123">
        <f t="shared" ref="C55:V55" si="5">SUM(C50:C54)</f>
        <v>150698</v>
      </c>
      <c r="D55" s="3123">
        <f>SUM(D50:D54)</f>
        <v>902653</v>
      </c>
      <c r="E55" s="3123">
        <f t="shared" si="5"/>
        <v>404504</v>
      </c>
      <c r="F55" s="3123">
        <f>SUM(F50:F54)</f>
        <v>236060</v>
      </c>
      <c r="G55" s="3123">
        <f t="shared" si="5"/>
        <v>0</v>
      </c>
      <c r="H55" s="3123">
        <f t="shared" si="5"/>
        <v>4677027</v>
      </c>
      <c r="I55" s="3123">
        <f t="shared" si="5"/>
        <v>331392.71498999989</v>
      </c>
      <c r="J55" s="3123">
        <f t="shared" si="5"/>
        <v>51638.559999999998</v>
      </c>
      <c r="K55" s="3123">
        <f t="shared" si="5"/>
        <v>448210</v>
      </c>
      <c r="L55" s="3123">
        <f t="shared" si="5"/>
        <v>2300485</v>
      </c>
      <c r="M55" s="3123">
        <f t="shared" si="5"/>
        <v>0</v>
      </c>
      <c r="N55" s="3123">
        <f t="shared" si="5"/>
        <v>124394</v>
      </c>
      <c r="O55" s="3123">
        <f t="shared" si="5"/>
        <v>0</v>
      </c>
      <c r="P55" s="3123">
        <f t="shared" si="5"/>
        <v>0</v>
      </c>
      <c r="Q55" s="3123">
        <f t="shared" si="5"/>
        <v>5379207.1267680004</v>
      </c>
      <c r="R55" s="3123">
        <f t="shared" si="5"/>
        <v>96582</v>
      </c>
      <c r="S55" s="3160">
        <f t="shared" si="5"/>
        <v>1643287</v>
      </c>
      <c r="T55" s="3123">
        <f t="shared" si="5"/>
        <v>0</v>
      </c>
      <c r="U55" s="3123">
        <f t="shared" si="5"/>
        <v>0</v>
      </c>
      <c r="V55" s="3123">
        <f t="shared" si="5"/>
        <v>17021673.401758</v>
      </c>
      <c r="W55" s="375" t="e">
        <f>+#REF!</f>
        <v>#REF!</v>
      </c>
      <c r="X55" s="58" t="e">
        <f>+V55-W55</f>
        <v>#REF!</v>
      </c>
      <c r="Y55" s="58"/>
      <c r="Z55" s="58"/>
      <c r="AA55" s="58"/>
      <c r="AB55" s="58"/>
    </row>
  </sheetData>
  <customSheetViews>
    <customSheetView guid="{5E394B0B-7867-4722-9497-A93AB2A9A773}" showPageBreaks="1" state="hidden">
      <pane xSplit="1" ySplit="5" topLeftCell="O42" activePane="bottomRight" state="frozen"/>
      <selection pane="bottomRight" activeCell="W54" sqref="W54"/>
      <pageMargins left="0" right="0" top="0" bottom="0" header="0" footer="0"/>
      <pageSetup orientation="portrait" r:id="rId1"/>
    </customSheetView>
    <customSheetView guid="{B1E1B596-A9A1-411D-A882-A48CB025B978}" state="hidden">
      <pane xSplit="1" ySplit="5" topLeftCell="O42" activePane="bottomRight" state="frozen"/>
      <selection pane="bottomRight" activeCell="W54" sqref="W54"/>
      <pageMargins left="0" right="0" top="0" bottom="0" header="0" footer="0"/>
      <pageSetup orientation="portrait" r:id="rId2"/>
    </customSheetView>
    <customSheetView guid="{46F31544-8E6F-41C5-8628-1D6EE074AF15}" state="hidden">
      <pane xSplit="1" ySplit="5" topLeftCell="O42" activePane="bottomRight" state="frozen"/>
      <selection pane="bottomRight" activeCell="W54" sqref="W54"/>
      <pageMargins left="0" right="0" top="0" bottom="0" header="0" footer="0"/>
      <pageSetup orientation="portrait" r:id="rId3"/>
    </customSheetView>
    <customSheetView guid="{B2E1A0C6-5BA1-4CF1-B412-16D81FCDF11F}" state="hidden">
      <pane xSplit="1" ySplit="5" topLeftCell="O42" activePane="bottomRight" state="frozen"/>
      <selection pane="bottomRight" activeCell="W54" sqref="W54"/>
      <pageMargins left="0" right="0" top="0" bottom="0" header="0" footer="0"/>
      <pageSetup orientation="portrait" r:id="rId4"/>
    </customSheetView>
    <customSheetView guid="{967E0446-E234-427F-8E57-7FE287052E2E}" showPageBreaks="1" state="hidden">
      <pane xSplit="1" ySplit="5" topLeftCell="O42" activePane="bottomRight" state="frozen"/>
      <selection pane="bottomRight" activeCell="W54" sqref="W54"/>
      <pageMargins left="0" right="0" top="0" bottom="0" header="0" footer="0"/>
      <pageSetup orientation="portrait" r:id="rId5"/>
    </customSheetView>
    <customSheetView guid="{2ACFE167-4169-43A6-9AB2-59D5A2DA2DB4}" showPageBreaks="1" state="hidden">
      <pane xSplit="1" ySplit="5" topLeftCell="O42" activePane="bottomRight" state="frozen"/>
      <selection pane="bottomRight" activeCell="W54" sqref="W54"/>
      <pageMargins left="0" right="0" top="0" bottom="0" header="0" footer="0"/>
      <pageSetup orientation="portrait" r:id="rId6"/>
    </customSheetView>
  </customSheetViews>
  <mergeCells count="5">
    <mergeCell ref="A4:A5"/>
    <mergeCell ref="A15:A16"/>
    <mergeCell ref="A26:A27"/>
    <mergeCell ref="A37:A38"/>
    <mergeCell ref="A48:A49"/>
  </mergeCells>
  <pageMargins left="0.7" right="0.7" top="0.75" bottom="0.75" header="0.3" footer="0.3"/>
  <pageSetup orientation="portrait" r:id="rId7"/>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tabColor rgb="FF00B050"/>
  </sheetPr>
  <dimension ref="B1:I63"/>
  <sheetViews>
    <sheetView workbookViewId="0">
      <selection activeCell="H83" sqref="H83"/>
    </sheetView>
  </sheetViews>
  <sheetFormatPr defaultColWidth="9.140625" defaultRowHeight="15"/>
  <cols>
    <col min="2" max="2" width="30.85546875" customWidth="1"/>
    <col min="3" max="3" width="16.28515625" hidden="1" customWidth="1"/>
    <col min="4" max="4" width="17.28515625" hidden="1" customWidth="1"/>
    <col min="5" max="6" width="15.28515625" customWidth="1"/>
    <col min="7" max="8" width="16.140625" customWidth="1"/>
    <col min="9" max="9" width="14.28515625" customWidth="1"/>
  </cols>
  <sheetData>
    <row r="1" spans="2:9">
      <c r="B1" s="202"/>
    </row>
    <row r="2" spans="2:9">
      <c r="B2" s="205"/>
      <c r="C2" s="1"/>
      <c r="D2" s="1"/>
      <c r="E2" s="1"/>
      <c r="F2" s="1"/>
      <c r="G2" s="1"/>
      <c r="H2" s="1"/>
    </row>
    <row r="3" spans="2:9">
      <c r="B3" s="1"/>
      <c r="C3" s="1"/>
      <c r="D3" s="1"/>
      <c r="E3" s="1"/>
      <c r="F3" s="1"/>
      <c r="G3" s="1"/>
      <c r="H3" s="1"/>
    </row>
    <row r="4" spans="2:9">
      <c r="B4" s="29" t="s">
        <v>733</v>
      </c>
      <c r="C4" s="36"/>
      <c r="D4" s="36"/>
      <c r="E4" s="36"/>
      <c r="F4" s="36"/>
      <c r="G4" s="36"/>
      <c r="H4" s="36"/>
    </row>
    <row r="5" spans="2:9">
      <c r="B5" s="3850" t="s">
        <v>506</v>
      </c>
      <c r="C5" s="3860" t="s">
        <v>545</v>
      </c>
      <c r="D5" s="3861"/>
      <c r="E5" s="3861"/>
      <c r="F5" s="3861"/>
      <c r="G5" s="3861"/>
      <c r="H5" s="3862"/>
      <c r="I5" s="3161"/>
    </row>
    <row r="6" spans="2:9">
      <c r="B6" s="3850"/>
      <c r="C6" s="3130">
        <v>2007</v>
      </c>
      <c r="D6" s="3130">
        <v>2008</v>
      </c>
      <c r="E6" s="3130">
        <v>2009</v>
      </c>
      <c r="F6" s="3130">
        <v>2010</v>
      </c>
      <c r="G6" s="3130">
        <v>2011</v>
      </c>
      <c r="H6" s="3130" t="s">
        <v>206</v>
      </c>
      <c r="I6" s="3130" t="s">
        <v>207</v>
      </c>
    </row>
    <row r="7" spans="2:9" s="39" customFormat="1" ht="20.100000000000001" customHeight="1">
      <c r="B7" s="2127" t="s">
        <v>412</v>
      </c>
      <c r="C7" s="2128" t="e">
        <f>+'GWP - Class wise - GI'!#REF!</f>
        <v>#REF!</v>
      </c>
      <c r="D7" s="2128">
        <v>6826563.0578100001</v>
      </c>
      <c r="E7" s="2128">
        <v>7049399.2442600001</v>
      </c>
      <c r="F7" s="2128">
        <v>5012443.2580499994</v>
      </c>
      <c r="G7" s="2128">
        <v>5376093.8802377321</v>
      </c>
      <c r="H7" s="2128">
        <v>5421687.973005834</v>
      </c>
      <c r="I7" s="3161"/>
    </row>
    <row r="8" spans="2:9" s="39" customFormat="1" ht="20.100000000000001" customHeight="1">
      <c r="B8" s="2127" t="s">
        <v>413</v>
      </c>
      <c r="C8" s="2128" t="e">
        <f>+'GWP - Class wise - GI'!#REF!</f>
        <v>#REF!</v>
      </c>
      <c r="D8" s="2128">
        <v>1826548.8305200001</v>
      </c>
      <c r="E8" s="2128">
        <v>1442728.8245599996</v>
      </c>
      <c r="F8" s="2128">
        <v>1498831.91619</v>
      </c>
      <c r="G8" s="2128">
        <v>1678026.6338499999</v>
      </c>
      <c r="H8" s="2128">
        <v>1912657.304248</v>
      </c>
      <c r="I8" s="3161"/>
    </row>
    <row r="9" spans="2:9" s="39" customFormat="1" ht="20.100000000000001" customHeight="1">
      <c r="B9" s="2127" t="s">
        <v>414</v>
      </c>
      <c r="C9" s="2128" t="e">
        <f>+'GWP - Class wise - GI'!#REF!</f>
        <v>#REF!</v>
      </c>
      <c r="D9" s="2128">
        <v>18717735.317540001</v>
      </c>
      <c r="E9" s="2128">
        <v>17897763.373280004</v>
      </c>
      <c r="F9" s="2128">
        <v>20948781.925040003</v>
      </c>
      <c r="G9" s="2128">
        <v>27141118.776317582</v>
      </c>
      <c r="H9" s="2128">
        <v>31616009.404492173</v>
      </c>
      <c r="I9" s="3161"/>
    </row>
    <row r="10" spans="2:9" s="39" customFormat="1" ht="20.100000000000001" customHeight="1">
      <c r="B10" s="2127" t="s">
        <v>416</v>
      </c>
      <c r="C10" s="2128" t="e">
        <f>+'GWP - Class wise - GI'!#REF!</f>
        <v>#REF!</v>
      </c>
      <c r="D10" s="2128">
        <v>7187416.5000399994</v>
      </c>
      <c r="E10" s="2128">
        <v>7158375.0159819005</v>
      </c>
      <c r="F10" s="2128">
        <v>7641389.9556278009</v>
      </c>
      <c r="G10" s="2128">
        <v>9133584.4088065419</v>
      </c>
      <c r="H10" s="2128">
        <v>10732881.208458049</v>
      </c>
      <c r="I10" s="3161"/>
    </row>
    <row r="11" spans="2:9" s="39" customFormat="1" ht="20.100000000000001" customHeight="1">
      <c r="B11" s="3162" t="s">
        <v>734</v>
      </c>
      <c r="C11" s="2132" t="e">
        <f>SUM(C7:C10)+1</f>
        <v>#REF!</v>
      </c>
      <c r="D11" s="2132">
        <f t="shared" ref="D11:I11" si="0">SUM(D7:D10)</f>
        <v>34558263.705910005</v>
      </c>
      <c r="E11" s="2096">
        <f t="shared" si="0"/>
        <v>33548266.458081905</v>
      </c>
      <c r="F11" s="2096">
        <f t="shared" si="0"/>
        <v>35101447.054907806</v>
      </c>
      <c r="G11" s="2132">
        <f t="shared" si="0"/>
        <v>43328823.699211851</v>
      </c>
      <c r="H11" s="2132">
        <f t="shared" si="0"/>
        <v>49683235.890204057</v>
      </c>
      <c r="I11" s="2132">
        <f t="shared" si="0"/>
        <v>0</v>
      </c>
    </row>
    <row r="12" spans="2:9">
      <c r="B12" s="3"/>
      <c r="C12" s="3"/>
      <c r="D12" s="3"/>
      <c r="E12" s="3"/>
      <c r="F12" s="3"/>
      <c r="G12" s="3"/>
      <c r="H12" s="3"/>
    </row>
    <row r="13" spans="2:9">
      <c r="B13" s="3850" t="s">
        <v>506</v>
      </c>
      <c r="C13" s="3860" t="s">
        <v>735</v>
      </c>
      <c r="D13" s="3861"/>
      <c r="E13" s="3861"/>
      <c r="F13" s="3861"/>
      <c r="G13" s="3861"/>
      <c r="H13" s="3862"/>
      <c r="I13" s="3161"/>
    </row>
    <row r="14" spans="2:9">
      <c r="B14" s="3850"/>
      <c r="C14" s="3130">
        <v>2007</v>
      </c>
      <c r="D14" s="3130">
        <v>2008</v>
      </c>
      <c r="E14" s="3130">
        <v>2009</v>
      </c>
      <c r="F14" s="3130">
        <v>2010</v>
      </c>
      <c r="G14" s="3130">
        <v>2011</v>
      </c>
      <c r="H14" s="3130" t="s">
        <v>206</v>
      </c>
      <c r="I14" s="3130" t="s">
        <v>207</v>
      </c>
    </row>
    <row r="15" spans="2:9" s="39" customFormat="1" ht="20.100000000000001" customHeight="1">
      <c r="B15" s="2127" t="s">
        <v>412</v>
      </c>
      <c r="C15" s="2128" t="e">
        <f>+#REF!</f>
        <v>#REF!</v>
      </c>
      <c r="D15" s="2128">
        <v>5861973.4802581202</v>
      </c>
      <c r="E15" s="2090">
        <v>5904806.1771299997</v>
      </c>
      <c r="F15" s="2128">
        <v>4233235.7054299898</v>
      </c>
      <c r="G15" s="2128">
        <v>4090136.2933443608</v>
      </c>
      <c r="H15" s="2128">
        <v>4140881.0490299161</v>
      </c>
      <c r="I15" s="3150"/>
    </row>
    <row r="16" spans="2:9" s="39" customFormat="1" ht="20.100000000000001" customHeight="1">
      <c r="B16" s="2127" t="s">
        <v>413</v>
      </c>
      <c r="C16" s="2128" t="e">
        <f>+#REF!</f>
        <v>#REF!</v>
      </c>
      <c r="D16" s="2128">
        <v>1174808.7523220747</v>
      </c>
      <c r="E16" s="2090">
        <v>892411.17481</v>
      </c>
      <c r="F16" s="2128">
        <v>813665.10982999997</v>
      </c>
      <c r="G16" s="2128">
        <v>847391.90944199672</v>
      </c>
      <c r="H16" s="2128">
        <v>1322354.9349075204</v>
      </c>
      <c r="I16" s="3150"/>
    </row>
    <row r="17" spans="2:9" s="39" customFormat="1" ht="20.100000000000001" customHeight="1">
      <c r="B17" s="2127" t="s">
        <v>414</v>
      </c>
      <c r="C17" s="2128" t="e">
        <f>+#REF!</f>
        <v>#REF!</v>
      </c>
      <c r="D17" s="2128">
        <v>655219.61676169874</v>
      </c>
      <c r="E17" s="2090">
        <v>533720.11443000007</v>
      </c>
      <c r="F17" s="2128">
        <v>316593.51908</v>
      </c>
      <c r="G17" s="2128">
        <v>387210.78660637117</v>
      </c>
      <c r="H17" s="2128">
        <v>478481.39734921709</v>
      </c>
      <c r="I17" s="3150"/>
    </row>
    <row r="18" spans="2:9" s="39" customFormat="1" ht="20.100000000000001" customHeight="1">
      <c r="B18" s="2127" t="s">
        <v>416</v>
      </c>
      <c r="C18" s="2128" t="e">
        <f>+#REF!+#REF!</f>
        <v>#REF!</v>
      </c>
      <c r="D18" s="2128">
        <v>2482404.7649781075</v>
      </c>
      <c r="E18" s="2090">
        <v>1918389.4750553998</v>
      </c>
      <c r="F18" s="2128">
        <v>2020030.6331100098</v>
      </c>
      <c r="G18" s="2128">
        <v>2302941.8301478899</v>
      </c>
      <c r="H18" s="2128">
        <v>2764138.7229544409</v>
      </c>
      <c r="I18" s="3150"/>
    </row>
    <row r="19" spans="2:9" s="39" customFormat="1" ht="20.100000000000001" customHeight="1">
      <c r="B19" s="3162" t="s">
        <v>551</v>
      </c>
      <c r="C19" s="2132" t="e">
        <f>SUM(C15:C18)-1</f>
        <v>#REF!</v>
      </c>
      <c r="D19" s="2132">
        <f>SUM(D15:D18)</f>
        <v>10174406.614320001</v>
      </c>
      <c r="E19" s="3163">
        <f>SUM(E15:E18)-1</f>
        <v>9249325.9414253999</v>
      </c>
      <c r="F19" s="2096">
        <f>SUM(F15:F18)+1</f>
        <v>7383525.9674499994</v>
      </c>
      <c r="G19" s="2132">
        <f>SUM(G15:G18)</f>
        <v>7627680.819540618</v>
      </c>
      <c r="H19" s="2132">
        <f>SUM(H15:H18)</f>
        <v>8705856.1042410955</v>
      </c>
      <c r="I19" s="2132">
        <f>SUM(I15:I18)</f>
        <v>0</v>
      </c>
    </row>
    <row r="20" spans="2:9">
      <c r="B20" s="3"/>
      <c r="C20" s="3"/>
      <c r="D20" s="3"/>
      <c r="E20" s="3"/>
      <c r="F20" s="3"/>
      <c r="G20" s="3"/>
      <c r="H20" s="3"/>
    </row>
    <row r="21" spans="2:9">
      <c r="B21" s="3850" t="s">
        <v>506</v>
      </c>
      <c r="C21" s="3860" t="s">
        <v>552</v>
      </c>
      <c r="D21" s="3861"/>
      <c r="E21" s="3861"/>
      <c r="F21" s="3861"/>
      <c r="G21" s="3861"/>
      <c r="H21" s="3862"/>
      <c r="I21" s="3161"/>
    </row>
    <row r="22" spans="2:9">
      <c r="B22" s="3850"/>
      <c r="C22" s="3130">
        <v>2007</v>
      </c>
      <c r="D22" s="3130">
        <v>2008</v>
      </c>
      <c r="E22" s="3130">
        <v>2009</v>
      </c>
      <c r="F22" s="3130">
        <v>2010</v>
      </c>
      <c r="G22" s="3130">
        <v>2011</v>
      </c>
      <c r="H22" s="3130" t="s">
        <v>206</v>
      </c>
      <c r="I22" s="3130" t="s">
        <v>207</v>
      </c>
    </row>
    <row r="23" spans="2:9" s="39" customFormat="1" ht="20.100000000000001" customHeight="1">
      <c r="B23" s="2127" t="s">
        <v>412</v>
      </c>
      <c r="C23" s="2128" t="e">
        <f>C7-C15</f>
        <v>#REF!</v>
      </c>
      <c r="D23" s="2128">
        <v>964589.57755187992</v>
      </c>
      <c r="E23" s="2128">
        <v>1144593.0671300003</v>
      </c>
      <c r="F23" s="2128">
        <v>779207.55262000952</v>
      </c>
      <c r="G23" s="2128">
        <v>1285957.5868933713</v>
      </c>
      <c r="H23" s="2128">
        <v>1280806.923975918</v>
      </c>
      <c r="I23" s="3150"/>
    </row>
    <row r="24" spans="2:9" s="39" customFormat="1" ht="20.100000000000001" customHeight="1">
      <c r="B24" s="2127" t="s">
        <v>413</v>
      </c>
      <c r="C24" s="2128" t="e">
        <f>C8-C16</f>
        <v>#REF!</v>
      </c>
      <c r="D24" s="2128">
        <v>651740.07819792535</v>
      </c>
      <c r="E24" s="2128">
        <v>550317.64974999963</v>
      </c>
      <c r="F24" s="2128">
        <v>685166.80636000005</v>
      </c>
      <c r="G24" s="2128">
        <v>830634.72440800315</v>
      </c>
      <c r="H24" s="2128">
        <v>590302.36934047961</v>
      </c>
      <c r="I24" s="3150"/>
    </row>
    <row r="25" spans="2:9" s="39" customFormat="1" ht="20.100000000000001" customHeight="1">
      <c r="B25" s="2127" t="s">
        <v>414</v>
      </c>
      <c r="C25" s="2128" t="e">
        <f>C9-C17</f>
        <v>#REF!</v>
      </c>
      <c r="D25" s="2128">
        <v>18062515.700778302</v>
      </c>
      <c r="E25" s="2128">
        <v>17364043.258850005</v>
      </c>
      <c r="F25" s="2128">
        <v>20632188.405960001</v>
      </c>
      <c r="G25" s="2128">
        <v>26753907.98971121</v>
      </c>
      <c r="H25" s="2128">
        <v>31137528.007142957</v>
      </c>
      <c r="I25" s="3150"/>
    </row>
    <row r="26" spans="2:9" s="39" customFormat="1" ht="20.100000000000001" customHeight="1">
      <c r="B26" s="2127" t="s">
        <v>416</v>
      </c>
      <c r="C26" s="2128" t="e">
        <f>C10-C18</f>
        <v>#REF!</v>
      </c>
      <c r="D26" s="2128">
        <v>4705011.7350618914</v>
      </c>
      <c r="E26" s="2128">
        <v>5239985.5409265012</v>
      </c>
      <c r="F26" s="2128">
        <v>5621359.3225177908</v>
      </c>
      <c r="G26" s="2128">
        <v>6830642.5786586516</v>
      </c>
      <c r="H26" s="2128">
        <v>7968742.4855036084</v>
      </c>
      <c r="I26" s="3150"/>
    </row>
    <row r="27" spans="2:9" s="39" customFormat="1" ht="20.100000000000001" customHeight="1">
      <c r="B27" s="3162" t="s">
        <v>553</v>
      </c>
      <c r="C27" s="2132" t="e">
        <f>SUM(C23:C26)</f>
        <v>#REF!</v>
      </c>
      <c r="D27" s="2132">
        <f>SUM(D23:D26)+1</f>
        <v>24383858.091589998</v>
      </c>
      <c r="E27" s="2132">
        <f>SUM(E23:E26)</f>
        <v>24298939.516656507</v>
      </c>
      <c r="F27" s="2132">
        <f>SUM(F23:F26)</f>
        <v>27717922.087457802</v>
      </c>
      <c r="G27" s="2132">
        <f>SUM(G23:G26)</f>
        <v>35701142.879671231</v>
      </c>
      <c r="H27" s="2132">
        <f>SUM(H23:H26)</f>
        <v>40977379.785962962</v>
      </c>
      <c r="I27" s="2132">
        <f>SUM(I23:I26)</f>
        <v>0</v>
      </c>
    </row>
    <row r="28" spans="2:9">
      <c r="B28" s="3"/>
      <c r="C28" s="3"/>
      <c r="D28" s="3"/>
      <c r="E28" s="3"/>
      <c r="F28" s="3"/>
      <c r="G28" s="3"/>
      <c r="H28" s="3"/>
    </row>
    <row r="29" spans="2:9">
      <c r="B29" s="3850" t="s">
        <v>506</v>
      </c>
      <c r="C29" s="3860" t="s">
        <v>736</v>
      </c>
      <c r="D29" s="3861"/>
      <c r="E29" s="3861"/>
      <c r="F29" s="3861"/>
      <c r="G29" s="3861"/>
      <c r="H29" s="3862"/>
      <c r="I29" s="3161"/>
    </row>
    <row r="30" spans="2:9">
      <c r="B30" s="3850"/>
      <c r="C30" s="3130">
        <v>2007</v>
      </c>
      <c r="D30" s="3130">
        <v>2008</v>
      </c>
      <c r="E30" s="3130">
        <v>2009</v>
      </c>
      <c r="F30" s="3130">
        <v>2010</v>
      </c>
      <c r="G30" s="3130">
        <v>2011</v>
      </c>
      <c r="H30" s="3130">
        <v>2012</v>
      </c>
      <c r="I30" s="2988">
        <v>2013</v>
      </c>
    </row>
    <row r="31" spans="2:9" s="39" customFormat="1" ht="20.100000000000001" customHeight="1">
      <c r="B31" s="2127" t="s">
        <v>412</v>
      </c>
      <c r="C31" s="3164" t="e">
        <f t="shared" ref="C31:G35" si="1">C23/C7*100</f>
        <v>#REF!</v>
      </c>
      <c r="D31" s="3164">
        <f>D23/D7*100</f>
        <v>14.129944591199978</v>
      </c>
      <c r="E31" s="3164">
        <f t="shared" si="1"/>
        <v>16.23674624560369</v>
      </c>
      <c r="F31" s="3164">
        <f t="shared" si="1"/>
        <v>15.545463808864065</v>
      </c>
      <c r="G31" s="3164">
        <f>G23/G7*100</f>
        <v>23.919924308250845</v>
      </c>
      <c r="H31" s="3164">
        <f>H23/H7*100</f>
        <v>23.623766811239541</v>
      </c>
      <c r="I31" s="3164" t="e">
        <f>I23/I7*100</f>
        <v>#DIV/0!</v>
      </c>
    </row>
    <row r="32" spans="2:9" s="39" customFormat="1" ht="20.100000000000001" customHeight="1">
      <c r="B32" s="2127" t="s">
        <v>413</v>
      </c>
      <c r="C32" s="3164" t="e">
        <f t="shared" si="1"/>
        <v>#REF!</v>
      </c>
      <c r="D32" s="3164">
        <f t="shared" si="1"/>
        <v>35.681503133556056</v>
      </c>
      <c r="E32" s="3164">
        <f t="shared" si="1"/>
        <v>38.144219508321967</v>
      </c>
      <c r="F32" s="3164">
        <f t="shared" si="1"/>
        <v>45.713385134050256</v>
      </c>
      <c r="G32" s="3164">
        <f t="shared" si="1"/>
        <v>49.500687751434953</v>
      </c>
      <c r="H32" s="3164">
        <f t="shared" ref="H32:I35" si="2">H24/H8*100</f>
        <v>30.862944868870219</v>
      </c>
      <c r="I32" s="3164" t="e">
        <f t="shared" si="2"/>
        <v>#DIV/0!</v>
      </c>
    </row>
    <row r="33" spans="2:9" s="39" customFormat="1" ht="20.100000000000001" customHeight="1">
      <c r="B33" s="2127" t="s">
        <v>414</v>
      </c>
      <c r="C33" s="3164" t="e">
        <f t="shared" si="1"/>
        <v>#REF!</v>
      </c>
      <c r="D33" s="3164">
        <f t="shared" si="1"/>
        <v>96.499471727502709</v>
      </c>
      <c r="E33" s="3164">
        <f t="shared" si="1"/>
        <v>97.017950772403211</v>
      </c>
      <c r="F33" s="3164">
        <f t="shared" si="1"/>
        <v>98.488725882904063</v>
      </c>
      <c r="G33" s="3164">
        <f t="shared" si="1"/>
        <v>98.573342573688464</v>
      </c>
      <c r="H33" s="3164">
        <f t="shared" si="2"/>
        <v>98.486585099252807</v>
      </c>
      <c r="I33" s="3164" t="e">
        <f t="shared" si="2"/>
        <v>#DIV/0!</v>
      </c>
    </row>
    <row r="34" spans="2:9" s="39" customFormat="1" ht="20.100000000000001" customHeight="1">
      <c r="B34" s="2127" t="s">
        <v>416</v>
      </c>
      <c r="C34" s="3164" t="e">
        <f t="shared" si="1"/>
        <v>#REF!</v>
      </c>
      <c r="D34" s="3164">
        <f t="shared" si="1"/>
        <v>65.461793330548019</v>
      </c>
      <c r="E34" s="3164">
        <f t="shared" si="1"/>
        <v>73.200768739101079</v>
      </c>
      <c r="F34" s="3164">
        <f t="shared" si="1"/>
        <v>73.564617892294848</v>
      </c>
      <c r="G34" s="3164">
        <f t="shared" si="1"/>
        <v>74.786001562240898</v>
      </c>
      <c r="H34" s="3164">
        <f t="shared" si="2"/>
        <v>74.246069911067679</v>
      </c>
      <c r="I34" s="3164" t="e">
        <f t="shared" si="2"/>
        <v>#DIV/0!</v>
      </c>
    </row>
    <row r="35" spans="2:9" s="39" customFormat="1" ht="20.100000000000001" customHeight="1">
      <c r="B35" s="2095" t="s">
        <v>737</v>
      </c>
      <c r="C35" s="3165" t="e">
        <f t="shared" si="1"/>
        <v>#REF!</v>
      </c>
      <c r="D35" s="3165">
        <f t="shared" si="1"/>
        <v>70.558689808886371</v>
      </c>
      <c r="E35" s="3166">
        <f t="shared" si="1"/>
        <v>72.429791706279957</v>
      </c>
      <c r="F35" s="3166">
        <f t="shared" si="1"/>
        <v>78.965183526763866</v>
      </c>
      <c r="G35" s="3166">
        <f>G27/G11*100</f>
        <v>82.395827607756246</v>
      </c>
      <c r="H35" s="3166">
        <f t="shared" si="2"/>
        <v>82.477276392623992</v>
      </c>
      <c r="I35" s="3165" t="e">
        <f t="shared" si="2"/>
        <v>#DIV/0!</v>
      </c>
    </row>
    <row r="36" spans="2:9">
      <c r="B36" s="2"/>
      <c r="C36" s="2"/>
      <c r="D36" s="2"/>
      <c r="E36" s="2"/>
      <c r="F36" s="2"/>
      <c r="G36" s="2"/>
      <c r="H36" s="2"/>
    </row>
    <row r="37" spans="2:9" ht="26.25" customHeight="1">
      <c r="B37" s="204" t="s">
        <v>612</v>
      </c>
    </row>
    <row r="38" spans="2:9" ht="15" customHeight="1">
      <c r="B38" s="204" t="s">
        <v>613</v>
      </c>
      <c r="C38" s="42"/>
    </row>
    <row r="39" spans="2:9" ht="30.75" customHeight="1">
      <c r="B39" s="200" t="s">
        <v>147</v>
      </c>
      <c r="C39" s="175"/>
      <c r="D39" s="175"/>
      <c r="E39" s="175"/>
      <c r="F39" s="175"/>
      <c r="G39" s="175"/>
      <c r="H39" s="175"/>
    </row>
    <row r="40" spans="2:9">
      <c r="B40" s="208"/>
      <c r="C40" s="175"/>
      <c r="D40" s="175"/>
      <c r="E40" s="175"/>
      <c r="F40" s="175"/>
      <c r="G40" s="175"/>
      <c r="H40" s="175"/>
    </row>
    <row r="41" spans="2:9" ht="15" customHeight="1">
      <c r="B41" s="3839" t="s">
        <v>689</v>
      </c>
      <c r="C41" s="3839"/>
      <c r="D41" s="3839"/>
      <c r="E41" s="3839"/>
      <c r="F41" s="3839"/>
      <c r="G41" s="3839"/>
      <c r="H41" s="211"/>
    </row>
    <row r="42" spans="2:9">
      <c r="B42" s="3839"/>
      <c r="C42" s="3839"/>
      <c r="D42" s="3839"/>
      <c r="E42" s="3839"/>
      <c r="F42" s="3839"/>
      <c r="G42" s="3839"/>
      <c r="H42" s="211"/>
    </row>
    <row r="43" spans="2:9" ht="15" customHeight="1">
      <c r="B43" s="3840" t="s">
        <v>149</v>
      </c>
      <c r="C43" s="3840"/>
      <c r="D43" s="3840"/>
      <c r="E43" s="3840"/>
      <c r="F43" s="3840"/>
      <c r="G43" s="3840"/>
      <c r="H43" s="212"/>
    </row>
    <row r="44" spans="2:9" ht="54" customHeight="1">
      <c r="B44" s="3841" t="s">
        <v>718</v>
      </c>
      <c r="C44" s="3841"/>
      <c r="D44" s="3841"/>
      <c r="E44" s="3841"/>
      <c r="F44" s="3841"/>
      <c r="G44" s="3841"/>
      <c r="H44" s="213"/>
    </row>
    <row r="45" spans="2:9">
      <c r="B45" s="2"/>
      <c r="C45" s="2"/>
      <c r="D45" s="2"/>
      <c r="E45" s="2"/>
      <c r="F45" s="2"/>
      <c r="G45" s="2"/>
      <c r="H45" s="2"/>
    </row>
    <row r="46" spans="2:9">
      <c r="B46" s="2"/>
      <c r="C46" s="2"/>
      <c r="D46" s="2"/>
      <c r="E46" s="2"/>
      <c r="F46" s="2"/>
      <c r="G46" s="2"/>
      <c r="H46" s="2"/>
    </row>
    <row r="47" spans="2:9">
      <c r="B47" s="2"/>
      <c r="C47" s="2"/>
      <c r="D47" s="2"/>
      <c r="E47" s="2"/>
      <c r="F47" s="2"/>
      <c r="G47" s="2"/>
      <c r="H47" s="2"/>
    </row>
    <row r="48" spans="2:9" ht="15" hidden="1" customHeight="1">
      <c r="B48" s="2"/>
      <c r="C48" s="2"/>
      <c r="D48" s="2"/>
      <c r="E48" s="2"/>
      <c r="F48" s="2"/>
      <c r="G48" s="2"/>
      <c r="H48" s="2"/>
    </row>
    <row r="49" spans="2:8" hidden="1">
      <c r="B49" s="2"/>
      <c r="C49" s="2"/>
      <c r="D49" s="2"/>
      <c r="E49" s="2"/>
      <c r="F49" s="225">
        <f>+F34-E34</f>
        <v>0.36384915319376887</v>
      </c>
      <c r="G49" s="2">
        <f>+F49/E34*100</f>
        <v>0.49705646465351183</v>
      </c>
      <c r="H49" s="2"/>
    </row>
    <row r="50" spans="2:8" hidden="1">
      <c r="B50" s="2083" t="s">
        <v>738</v>
      </c>
      <c r="D50" s="3384"/>
      <c r="E50" s="3384"/>
      <c r="F50" s="3384"/>
      <c r="G50" s="3167"/>
      <c r="H50" s="42"/>
    </row>
    <row r="51" spans="2:8" hidden="1">
      <c r="B51" s="3385" t="s">
        <v>709</v>
      </c>
      <c r="C51" s="2125">
        <v>2007</v>
      </c>
      <c r="D51" s="2125">
        <v>2008</v>
      </c>
      <c r="E51" s="2125">
        <v>2009</v>
      </c>
      <c r="F51" s="2125">
        <v>2010</v>
      </c>
      <c r="G51" s="2125">
        <v>2011</v>
      </c>
      <c r="H51" s="226">
        <v>2012</v>
      </c>
    </row>
    <row r="52" spans="2:8" hidden="1">
      <c r="B52" s="3162" t="s">
        <v>739</v>
      </c>
      <c r="C52" s="2132" t="e">
        <f t="shared" ref="C52:H52" si="3">+C19</f>
        <v>#REF!</v>
      </c>
      <c r="D52" s="2132">
        <f t="shared" si="3"/>
        <v>10174406.614320001</v>
      </c>
      <c r="E52" s="2132">
        <f t="shared" si="3"/>
        <v>9249325.9414253999</v>
      </c>
      <c r="F52" s="2132">
        <f t="shared" si="3"/>
        <v>7383525.9674499994</v>
      </c>
      <c r="G52" s="2132">
        <f t="shared" si="3"/>
        <v>7627680.819540618</v>
      </c>
      <c r="H52" s="2132">
        <f t="shared" si="3"/>
        <v>8705856.1042410955</v>
      </c>
    </row>
    <row r="53" spans="2:8" hidden="1">
      <c r="B53" s="3162" t="s">
        <v>740</v>
      </c>
      <c r="C53" s="2132" t="e">
        <f t="shared" ref="C53:H53" si="4">+C27</f>
        <v>#REF!</v>
      </c>
      <c r="D53" s="2132">
        <f t="shared" si="4"/>
        <v>24383858.091589998</v>
      </c>
      <c r="E53" s="2132">
        <f t="shared" si="4"/>
        <v>24298939.516656507</v>
      </c>
      <c r="F53" s="2132">
        <f t="shared" si="4"/>
        <v>27717922.087457802</v>
      </c>
      <c r="G53" s="2132">
        <f t="shared" si="4"/>
        <v>35701142.879671231</v>
      </c>
      <c r="H53" s="2132">
        <f t="shared" si="4"/>
        <v>40977379.785962962</v>
      </c>
    </row>
    <row r="54" spans="2:8" hidden="1"/>
    <row r="55" spans="2:8" hidden="1"/>
    <row r="56" spans="2:8" hidden="1"/>
    <row r="57" spans="2:8" hidden="1">
      <c r="B57" s="2089" t="s">
        <v>412</v>
      </c>
      <c r="F57" s="121">
        <f>+(F31-E31)/E31*100</f>
        <v>-4.2575182630990414</v>
      </c>
    </row>
    <row r="58" spans="2:8" hidden="1">
      <c r="B58" s="2089" t="s">
        <v>413</v>
      </c>
      <c r="F58" s="121">
        <f>+(F32-E32)/E32*100</f>
        <v>19.843545688690565</v>
      </c>
    </row>
    <row r="59" spans="2:8" hidden="1">
      <c r="B59" s="2089" t="s">
        <v>414</v>
      </c>
      <c r="F59" s="121">
        <f>+(F33-E33)/E33*100</f>
        <v>1.5159824535473647</v>
      </c>
    </row>
    <row r="60" spans="2:8" hidden="1">
      <c r="B60" s="2089" t="s">
        <v>741</v>
      </c>
      <c r="F60" s="121">
        <f>+(F34-E34)/E34*100</f>
        <v>0.49705646465351183</v>
      </c>
    </row>
    <row r="61" spans="2:8" hidden="1"/>
    <row r="62" spans="2:8" hidden="1"/>
    <row r="63" spans="2:8" hidden="1"/>
  </sheetData>
  <customSheetViews>
    <customSheetView guid="{5E394B0B-7867-4722-9497-A93AB2A9A773}" showPageBreaks="1" printArea="1" hiddenRows="1" hiddenColumns="1" state="hidden">
      <selection activeCell="H83" sqref="H83"/>
      <colBreaks count="1" manualBreakCount="1">
        <brk id="8" max="1048575" man="1"/>
      </colBreaks>
      <pageMargins left="0" right="0" top="0" bottom="0" header="0" footer="0"/>
      <pageSetup scale="75" orientation="portrait" r:id="rId1"/>
    </customSheetView>
    <customSheetView guid="{B1E1B596-A9A1-411D-A882-A48CB025B978}" showPageBreaks="1" printArea="1" hiddenRows="1" hiddenColumns="1" state="hidden">
      <selection activeCell="H83" sqref="H83"/>
      <colBreaks count="1" manualBreakCount="1">
        <brk id="8" max="1048575" man="1"/>
      </colBreaks>
      <pageMargins left="0" right="0" top="0" bottom="0" header="0" footer="0"/>
      <pageSetup scale="75" orientation="portrait" r:id="rId2"/>
    </customSheetView>
    <customSheetView guid="{E82B35BE-4719-4C53-A9EF-1CC6F153A6F3}" showPageBreaks="1" printArea="1" hiddenRows="1" hiddenColumns="1">
      <selection activeCell="C5" sqref="C5:H5"/>
      <colBreaks count="1" manualBreakCount="1">
        <brk id="8" max="1048575" man="1"/>
      </colBreaks>
      <pageMargins left="0" right="0" top="0" bottom="0" header="0" footer="0"/>
      <pageSetup scale="75" orientation="portrait" r:id="rId3"/>
    </customSheetView>
    <customSheetView guid="{B4A67912-05A8-4D20-958A-E8812294BB39}">
      <selection activeCell="K33" sqref="K33"/>
      <pageMargins left="0" right="0" top="0" bottom="0" header="0" footer="0"/>
      <pageSetup orientation="portrait" r:id="rId4"/>
    </customSheetView>
    <customSheetView guid="{F7C0CA98-A3B8-42B1-9940-E27294444C95}" topLeftCell="C22">
      <selection activeCell="K28" sqref="K28"/>
      <pageMargins left="0" right="0" top="0" bottom="0" header="0" footer="0"/>
      <pageSetup orientation="portrait" r:id="rId5"/>
    </customSheetView>
    <customSheetView guid="{B8318771-9061-42D8-AFEA-0FF27D639C94}" topLeftCell="D16">
      <selection activeCell="C30" sqref="C30"/>
      <pageMargins left="0" right="0" top="0" bottom="0" header="0" footer="0"/>
      <pageSetup orientation="portrait" r:id="rId6"/>
    </customSheetView>
    <customSheetView guid="{3199A5C7-1303-43ED-A74D-8C27C3B99779}">
      <selection activeCell="C30" sqref="C30"/>
      <pageMargins left="0" right="0" top="0" bottom="0" header="0" footer="0"/>
      <pageSetup orientation="portrait" r:id="rId7"/>
    </customSheetView>
    <customSheetView guid="{C4538C36-F6A2-4603-9311-8D97FB7695CB}" topLeftCell="A7">
      <selection activeCell="B37" sqref="B37"/>
      <pageMargins left="0" right="0" top="0" bottom="0" header="0" footer="0"/>
      <pageSetup orientation="portrait" r:id="rId8"/>
    </customSheetView>
    <customSheetView guid="{F66B1C5E-2E3D-4890-AA4B-3A6E976CA29E}">
      <selection activeCell="B37" sqref="B37"/>
      <pageMargins left="0" right="0" top="0" bottom="0" header="0" footer="0"/>
      <pageSetup orientation="portrait" r:id="rId9"/>
    </customSheetView>
    <customSheetView guid="{D020F570-D9CD-4C16-921E-7638848CF929}" topLeftCell="A25">
      <selection activeCell="B37" sqref="B37"/>
      <pageMargins left="0" right="0" top="0" bottom="0" header="0" footer="0"/>
      <pageSetup orientation="portrait" r:id="rId10"/>
    </customSheetView>
    <customSheetView guid="{46F31544-8E6F-41C5-8628-1D6EE074AF15}" hiddenRows="1" hiddenColumns="1" state="hidden">
      <selection activeCell="H83" sqref="H83"/>
      <colBreaks count="1" manualBreakCount="1">
        <brk id="8" max="1048575" man="1"/>
      </colBreaks>
      <pageMargins left="0" right="0" top="0" bottom="0" header="0" footer="0"/>
      <pageSetup scale="75" orientation="portrait" r:id="rId11"/>
    </customSheetView>
    <customSheetView guid="{B2E1A0C6-5BA1-4CF1-B412-16D81FCDF11F}" showPageBreaks="1" printArea="1" hiddenRows="1" hiddenColumns="1" state="hidden">
      <selection activeCell="H83" sqref="H83"/>
      <colBreaks count="1" manualBreakCount="1">
        <brk id="8" max="1048575" man="1"/>
      </colBreaks>
      <pageMargins left="0" right="0" top="0" bottom="0" header="0" footer="0"/>
      <pageSetup scale="75" orientation="portrait" r:id="rId12"/>
    </customSheetView>
    <customSheetView guid="{967E0446-E234-427F-8E57-7FE287052E2E}" showPageBreaks="1" printArea="1" hiddenRows="1" hiddenColumns="1" state="hidden">
      <selection activeCell="H83" sqref="H83"/>
      <colBreaks count="1" manualBreakCount="1">
        <brk id="8" max="1048575" man="1"/>
      </colBreaks>
      <pageMargins left="0" right="0" top="0" bottom="0" header="0" footer="0"/>
      <pageSetup scale="75" orientation="portrait" r:id="rId13"/>
    </customSheetView>
    <customSheetView guid="{2ACFE167-4169-43A6-9AB2-59D5A2DA2DB4}" showPageBreaks="1" printArea="1" hiddenRows="1" hiddenColumns="1" state="hidden">
      <selection activeCell="H83" sqref="H83"/>
      <colBreaks count="1" manualBreakCount="1">
        <brk id="8" max="1048575" man="1"/>
      </colBreaks>
      <pageMargins left="0" right="0" top="0" bottom="0" header="0" footer="0"/>
      <pageSetup scale="75" orientation="portrait" r:id="rId14"/>
    </customSheetView>
  </customSheetViews>
  <mergeCells count="11">
    <mergeCell ref="B41:G42"/>
    <mergeCell ref="B43:G43"/>
    <mergeCell ref="B44:G44"/>
    <mergeCell ref="B5:B6"/>
    <mergeCell ref="B29:B30"/>
    <mergeCell ref="B21:B22"/>
    <mergeCell ref="B13:B14"/>
    <mergeCell ref="C5:H5"/>
    <mergeCell ref="C13:H13"/>
    <mergeCell ref="C21:H21"/>
    <mergeCell ref="C29:H29"/>
  </mergeCells>
  <pageMargins left="0.7" right="0.7" top="0.75" bottom="0.75" header="0.3" footer="0.3"/>
  <pageSetup scale="75" orientation="portrait" r:id="rId15"/>
  <colBreaks count="1" manualBreakCount="1">
    <brk id="8" max="1048575" man="1"/>
  </colBreaks>
  <ignoredErrors>
    <ignoredError sqref="C12:G12 D19 E11:F11" formulaRange="1"/>
    <ignoredError sqref="G32:G34" evalError="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4:X61"/>
  <sheetViews>
    <sheetView topLeftCell="K43" workbookViewId="0">
      <selection activeCell="V67" sqref="V67"/>
    </sheetView>
  </sheetViews>
  <sheetFormatPr defaultColWidth="9.140625" defaultRowHeight="15"/>
  <cols>
    <col min="1" max="1" width="19" customWidth="1"/>
    <col min="2" max="2" width="12.5703125" customWidth="1"/>
    <col min="3" max="4" width="12.7109375" customWidth="1"/>
    <col min="5" max="5" width="12.5703125" customWidth="1"/>
    <col min="6" max="6" width="11.42578125" customWidth="1"/>
    <col min="7" max="7" width="10.42578125" customWidth="1"/>
    <col min="8" max="8" width="12.42578125" customWidth="1"/>
    <col min="9" max="9" width="11.28515625" customWidth="1"/>
    <col min="10" max="10" width="10.28515625" customWidth="1"/>
    <col min="11" max="11" width="10.42578125" customWidth="1"/>
    <col min="12" max="12" width="12" customWidth="1"/>
    <col min="13" max="13" width="11.28515625" customWidth="1"/>
    <col min="14" max="14" width="10.140625" customWidth="1"/>
    <col min="15" max="15" width="10.85546875" customWidth="1"/>
    <col min="16" max="16" width="11.42578125" customWidth="1"/>
    <col min="17" max="17" width="12.5703125" customWidth="1"/>
    <col min="18" max="18" width="11" customWidth="1"/>
    <col min="19" max="19" width="11.85546875" customWidth="1"/>
    <col min="20" max="21" width="9.28515625" bestFit="1" customWidth="1"/>
    <col min="22" max="22" width="14.7109375" customWidth="1"/>
    <col min="23" max="23" width="12.7109375" bestFit="1" customWidth="1"/>
    <col min="24" max="24" width="14.5703125" customWidth="1"/>
  </cols>
  <sheetData>
    <row r="4" spans="1:24" ht="15" customHeight="1">
      <c r="A4" s="3111" t="s">
        <v>742</v>
      </c>
      <c r="B4" s="3380"/>
      <c r="C4" s="3380"/>
      <c r="D4" s="3380"/>
      <c r="E4" s="3380"/>
      <c r="F4" s="3112"/>
    </row>
    <row r="5" spans="1:24">
      <c r="A5" s="3848" t="s">
        <v>709</v>
      </c>
      <c r="B5" s="373">
        <v>1</v>
      </c>
      <c r="C5" s="373">
        <v>2</v>
      </c>
      <c r="D5" s="373">
        <v>3</v>
      </c>
      <c r="E5" s="373">
        <v>4</v>
      </c>
      <c r="F5" s="373">
        <v>5</v>
      </c>
      <c r="G5" s="373">
        <v>6</v>
      </c>
      <c r="H5" s="373">
        <v>7</v>
      </c>
      <c r="I5" s="373">
        <v>8</v>
      </c>
      <c r="J5" s="373">
        <v>9</v>
      </c>
      <c r="K5" s="373">
        <v>10</v>
      </c>
      <c r="L5" s="373">
        <v>11</v>
      </c>
      <c r="M5" s="373">
        <v>12</v>
      </c>
      <c r="N5" s="373">
        <v>13</v>
      </c>
      <c r="O5" s="373">
        <v>14</v>
      </c>
      <c r="P5" s="373">
        <v>15</v>
      </c>
      <c r="Q5" s="373">
        <v>16</v>
      </c>
      <c r="R5" s="373">
        <v>17</v>
      </c>
      <c r="S5" s="373">
        <v>18</v>
      </c>
      <c r="T5" s="373">
        <v>19</v>
      </c>
      <c r="U5" s="373">
        <v>20</v>
      </c>
      <c r="V5" s="374"/>
    </row>
    <row r="6" spans="1:24">
      <c r="A6" s="3848"/>
      <c r="B6" s="3113" t="s">
        <v>175</v>
      </c>
      <c r="C6" s="3113" t="s">
        <v>177</v>
      </c>
      <c r="D6" s="3113" t="s">
        <v>179</v>
      </c>
      <c r="E6" s="3113" t="s">
        <v>180</v>
      </c>
      <c r="F6" s="3113" t="s">
        <v>181</v>
      </c>
      <c r="G6" s="3113" t="s">
        <v>182</v>
      </c>
      <c r="H6" s="3114" t="s">
        <v>183</v>
      </c>
      <c r="I6" s="3113" t="s">
        <v>184</v>
      </c>
      <c r="J6" s="3113" t="s">
        <v>185</v>
      </c>
      <c r="K6" s="3113" t="s">
        <v>186</v>
      </c>
      <c r="L6" s="3113" t="s">
        <v>187</v>
      </c>
      <c r="M6" s="3113" t="s">
        <v>189</v>
      </c>
      <c r="N6" s="3113" t="s">
        <v>190</v>
      </c>
      <c r="O6" s="3113" t="s">
        <v>681</v>
      </c>
      <c r="P6" s="3113" t="s">
        <v>192</v>
      </c>
      <c r="Q6" s="3113" t="s">
        <v>115</v>
      </c>
      <c r="R6" s="3113" t="s">
        <v>194</v>
      </c>
      <c r="S6" s="3113" t="s">
        <v>195</v>
      </c>
      <c r="T6" s="3113" t="s">
        <v>191</v>
      </c>
      <c r="U6" s="3113" t="s">
        <v>110</v>
      </c>
      <c r="V6" s="3116" t="s">
        <v>118</v>
      </c>
    </row>
    <row r="7" spans="1:24">
      <c r="A7" s="2887" t="s">
        <v>412</v>
      </c>
      <c r="B7" s="3117">
        <f>-'[1]P &amp; L - GI - 2013'!C44</f>
        <v>81144</v>
      </c>
      <c r="C7" s="3117">
        <f>-'[1]P &amp; L - GI - 2013'!C77</f>
        <v>566044.93000000005</v>
      </c>
      <c r="D7" s="3117">
        <f>-'[1]P &amp; L - GI - 2013'!C143</f>
        <v>253971</v>
      </c>
      <c r="E7" s="3117">
        <f>-'[1]P &amp; L - GI - 2013'!C176</f>
        <v>43147.651840000202</v>
      </c>
      <c r="F7" s="3117">
        <f>-'[1]P &amp; L - GI - 2013'!C209</f>
        <v>37799.38229621722</v>
      </c>
      <c r="G7" s="3117">
        <f>-'[1]P &amp; L - GI - 2013'!C242</f>
        <v>215042.12192999999</v>
      </c>
      <c r="H7" s="3118">
        <f>-'[1]P &amp; L - GI - 2013'!C275</f>
        <v>796213</v>
      </c>
      <c r="I7" s="3117">
        <f>-'[1]P &amp; L - GI - 2013'!C308</f>
        <v>20527.916550000002</v>
      </c>
      <c r="J7" s="3117"/>
      <c r="K7" s="3117">
        <f>-'[1]P &amp; L - GI - 2013'!C374</f>
        <v>199746.6642</v>
      </c>
      <c r="L7" s="3117">
        <f>-'[1]P &amp; L - GI - 2013'!C407</f>
        <v>371405.00045178999</v>
      </c>
      <c r="M7" s="3117">
        <f>-'[1]P &amp; L - GI - 2013'!C506</f>
        <v>34754.249620000002</v>
      </c>
      <c r="N7" s="3117">
        <f>-'[1]P &amp; L - GI - 2013'!C539</f>
        <v>44735.832649999902</v>
      </c>
      <c r="O7" s="3117"/>
      <c r="P7" s="3117">
        <f>-'[1]P &amp; L - GI - 2013'!C572</f>
        <v>89343.28559</v>
      </c>
      <c r="Q7" s="3117">
        <f>-'[1]P &amp; L - GI - 2013'!C605</f>
        <v>1425090.71692</v>
      </c>
      <c r="R7" s="3117">
        <f>-'[1]P &amp; L - GI - 2013'!C638</f>
        <v>15706.20901</v>
      </c>
      <c r="S7" s="3117">
        <f>-'[1]P &amp; L - GI - 2013'!C671</f>
        <v>586399.32802999998</v>
      </c>
      <c r="T7" s="3117">
        <f>-'[1]P &amp; L - GI - 2013'!C704</f>
        <v>18445.134309774701</v>
      </c>
      <c r="U7" s="3117"/>
      <c r="V7" s="3117">
        <f>SUM(B7:U7)</f>
        <v>4799516.4233977813</v>
      </c>
      <c r="W7" s="58"/>
      <c r="X7" s="58"/>
    </row>
    <row r="8" spans="1:24">
      <c r="A8" s="2887" t="s">
        <v>413</v>
      </c>
      <c r="B8" s="3117">
        <f>-'[1]P &amp; L - GI - 2013'!D44</f>
        <v>25246</v>
      </c>
      <c r="C8" s="3117">
        <f>-'[1]P &amp; L - GI - 2013'!D77</f>
        <v>29393.07</v>
      </c>
      <c r="D8" s="3117">
        <f>-'[1]P &amp; L - GI - 2013'!D143</f>
        <v>65209</v>
      </c>
      <c r="E8" s="3117">
        <f>-'[1]P &amp; L - GI - 2013'!D176</f>
        <v>20635.43446</v>
      </c>
      <c r="F8" s="3117">
        <f>-'[1]P &amp; L - GI - 2013'!D209</f>
        <v>58996.709129365787</v>
      </c>
      <c r="G8" s="3117">
        <f>-'[1]P &amp; L - GI - 2013'!D242</f>
        <v>16080.94526</v>
      </c>
      <c r="H8" s="3117">
        <f>-'[1]P &amp; L - GI - 2013'!D275</f>
        <v>138580</v>
      </c>
      <c r="I8" s="3117">
        <f>-'[1]P &amp; L - GI - 2013'!D308</f>
        <v>5699.4227499999997</v>
      </c>
      <c r="J8" s="3117"/>
      <c r="K8" s="3117">
        <f>-'[1]P &amp; L - GI - 2013'!D374</f>
        <v>19971.053090000001</v>
      </c>
      <c r="L8" s="3117">
        <f>-'[1]P &amp; L - GI - 2013'!D407</f>
        <v>99967</v>
      </c>
      <c r="M8" s="3117">
        <f>-'[1]P &amp; L - GI - 2013'!D506</f>
        <v>4428.9517900000001</v>
      </c>
      <c r="N8" s="3117">
        <f>-'[1]P &amp; L - GI - 2013'!D539</f>
        <v>21681.471120000002</v>
      </c>
      <c r="O8" s="3117"/>
      <c r="P8" s="3117">
        <f>-'[1]P &amp; L - GI - 2013'!D572</f>
        <v>3410.07512</v>
      </c>
      <c r="Q8" s="3117">
        <f>-'[1]P &amp; L - GI - 2013'!D605</f>
        <v>288740.77280999994</v>
      </c>
      <c r="R8" s="3117">
        <f>-'[1]P &amp; L - GI - 2013'!D638</f>
        <v>0</v>
      </c>
      <c r="S8" s="3117">
        <f>-'[1]P &amp; L - GI - 2013'!D671</f>
        <v>201204.67728</v>
      </c>
      <c r="T8" s="3117">
        <f>-'[1]P &amp; L - GI - 2013'!D704</f>
        <v>15461.836204225299</v>
      </c>
      <c r="U8" s="3117"/>
      <c r="V8" s="3117">
        <f>SUM(B8:U8)</f>
        <v>1014706.4190135911</v>
      </c>
      <c r="W8" s="58"/>
      <c r="X8" s="58"/>
    </row>
    <row r="9" spans="1:24">
      <c r="A9" s="2887" t="s">
        <v>414</v>
      </c>
      <c r="B9" s="3120">
        <f>-'[1]P &amp; L - GI - 2013'!E44</f>
        <v>51704</v>
      </c>
      <c r="C9" s="3120">
        <f>-'[1]P &amp; L - GI - 2013'!E77</f>
        <v>7957.11</v>
      </c>
      <c r="D9" s="3121">
        <f>-'[1]P &amp; L - GI - 2013'!E143</f>
        <v>9920</v>
      </c>
      <c r="E9" s="3120">
        <f>-'[1]P &amp; L - GI - 2013'!E176</f>
        <v>0</v>
      </c>
      <c r="F9" s="3120">
        <f>-'[1]P &amp; L - GI - 2013'!E209</f>
        <v>10703.527402805039</v>
      </c>
      <c r="G9" s="3117">
        <f>-'[1]P &amp; L - GI - 2013'!E242</f>
        <v>17797.102079999997</v>
      </c>
      <c r="H9" s="3117">
        <f>-'[1]P &amp; L - GI - 2013'!E275</f>
        <v>-223688</v>
      </c>
      <c r="I9" s="3117">
        <f>-'[1]P &amp; L - GI - 2013'!E308</f>
        <v>16146.39826</v>
      </c>
      <c r="J9" s="3117"/>
      <c r="K9" s="3117">
        <f>-'[1]P &amp; L - GI - 2013'!E374</f>
        <v>40378.636599999998</v>
      </c>
      <c r="L9" s="3117">
        <f>-'[1]P &amp; L - GI - 2013'!E407</f>
        <v>108916.00017037</v>
      </c>
      <c r="M9" s="3117">
        <f>-'[1]P &amp; L - GI - 2013'!E506</f>
        <v>51847.06119</v>
      </c>
      <c r="N9" s="3117">
        <f>-'[1]P &amp; L - GI - 2013'!E539</f>
        <v>39222.078590000005</v>
      </c>
      <c r="O9" s="3117"/>
      <c r="P9" s="3117">
        <f>-'[1]P &amp; L - GI - 2013'!E572</f>
        <v>36860.07548</v>
      </c>
      <c r="Q9" s="3117">
        <f>-'[1]P &amp; L - GI - 2013'!E605</f>
        <v>68485.939849999995</v>
      </c>
      <c r="R9" s="3117">
        <f>-'[1]P &amp; L - GI - 2013'!E638</f>
        <v>5913</v>
      </c>
      <c r="S9" s="3117">
        <f>-'[1]P &amp; L - GI - 2013'!E671</f>
        <v>55415.824820000002</v>
      </c>
      <c r="T9" s="3117">
        <f>-'[1]P &amp; L - GI - 2013'!E704</f>
        <v>6872.0366460585501</v>
      </c>
      <c r="U9" s="3117"/>
      <c r="V9" s="3117">
        <f>SUM(B9:U9)</f>
        <v>304450.79108923359</v>
      </c>
      <c r="W9" s="58"/>
      <c r="X9" s="58"/>
    </row>
    <row r="10" spans="1:24">
      <c r="A10" s="2887" t="s">
        <v>701</v>
      </c>
      <c r="B10" s="3120">
        <f>-'[1]P &amp; L - GI - 2013'!F44</f>
        <v>535</v>
      </c>
      <c r="C10" s="3120">
        <f>-'[1]P &amp; L - GI - 2013'!F77</f>
        <v>111.84</v>
      </c>
      <c r="D10" s="3121">
        <f>-'[1]P &amp; L - GI - 2013'!F143</f>
        <v>4695</v>
      </c>
      <c r="E10" s="3120">
        <f>-'[1]P &amp; L - GI - 2013'!F176</f>
        <v>79.730879999999999</v>
      </c>
      <c r="F10" s="3120">
        <f>-'[1]P &amp; L - GI - 2013'!F209</f>
        <v>1113.9020909182393</v>
      </c>
      <c r="G10" s="3117">
        <f>-'[1]P &amp; L - GI - 2013'!F242</f>
        <v>2936.4312907763597</v>
      </c>
      <c r="H10" s="3117">
        <f>-'[1]P &amp; L - GI - 2013'!F275</f>
        <v>10932</v>
      </c>
      <c r="I10" s="3117">
        <f>-'[1]P &amp; L - GI - 2013'!F308</f>
        <v>0</v>
      </c>
      <c r="J10" s="3117"/>
      <c r="K10" s="3117">
        <f>-'[1]P &amp; L - GI - 2013'!F374</f>
        <v>45.235800000000005</v>
      </c>
      <c r="L10" s="3117">
        <f>-'[1]P &amp; L - GI - 2013'!F407</f>
        <v>0</v>
      </c>
      <c r="M10" s="3117">
        <f>-'[1]P &amp; L - GI - 2013'!F506</f>
        <v>18978.975010000002</v>
      </c>
      <c r="N10" s="3117">
        <f>-'[1]P &amp; L - GI - 2013'!F539</f>
        <v>0</v>
      </c>
      <c r="O10" s="3117"/>
      <c r="P10" s="3117">
        <f>-'[1]P &amp; L - GI - 2013'!F572</f>
        <v>0</v>
      </c>
      <c r="Q10" s="3117">
        <f>-'[1]P &amp; L - GI - 2013'!F605</f>
        <v>0</v>
      </c>
      <c r="R10" s="3117">
        <f>-'[1]P &amp; L - GI - 2013'!F638</f>
        <v>-9.8000000000000004E-2</v>
      </c>
      <c r="S10" s="3117">
        <f>-'[1]P &amp; L - GI - 2013'!F671</f>
        <v>1593.29908</v>
      </c>
      <c r="T10" s="3117">
        <f>-'[1]P &amp; L - GI - 2013'!F704</f>
        <v>0</v>
      </c>
      <c r="U10" s="3117"/>
      <c r="V10" s="3117">
        <f>SUM(B10:U10)</f>
        <v>41021.316151694598</v>
      </c>
      <c r="W10" s="58"/>
      <c r="X10" s="58"/>
    </row>
    <row r="11" spans="1:24">
      <c r="A11" s="2887" t="s">
        <v>416</v>
      </c>
      <c r="B11" s="3120">
        <f>-'[1]P &amp; L - GI - 2013'!G44</f>
        <v>34931</v>
      </c>
      <c r="C11" s="3120">
        <f>-'[1]P &amp; L - GI - 2013'!G77</f>
        <v>113656.11</v>
      </c>
      <c r="D11" s="3121">
        <f>-'[1]P &amp; L - GI - 2013'!G143</f>
        <v>116334</v>
      </c>
      <c r="E11" s="3120">
        <f>-'[1]P &amp; L - GI - 2013'!G176</f>
        <v>32694.910319999999</v>
      </c>
      <c r="F11" s="3120">
        <f>-'[1]P &amp; L - GI - 2013'!G209</f>
        <v>340537.24858710868</v>
      </c>
      <c r="G11" s="3117">
        <f>-'[1]P &amp; L - GI - 2013'!G242</f>
        <v>103997.04106999999</v>
      </c>
      <c r="H11" s="3117">
        <f>-'[1]P &amp; L - GI - 2013'!G275</f>
        <v>381209</v>
      </c>
      <c r="I11" s="3117">
        <f>-'[1]P &amp; L - GI - 2013'!G308</f>
        <v>7152.4512300000006</v>
      </c>
      <c r="J11" s="3117"/>
      <c r="K11" s="3117">
        <f>-'[1]P &amp; L - GI - 2013'!G374</f>
        <v>68242.187819999992</v>
      </c>
      <c r="L11" s="3117">
        <f>-'[1]P &amp; L - GI - 2013'!G407</f>
        <v>182719.00043258999</v>
      </c>
      <c r="M11" s="3117">
        <f>-'[1]P &amp; L - GI - 2013'!G506</f>
        <v>9042.9609999999993</v>
      </c>
      <c r="N11" s="3117">
        <f>-'[1]P &amp; L - GI - 2013'!G539</f>
        <v>23909.909029999995</v>
      </c>
      <c r="O11" s="3117"/>
      <c r="P11" s="3117">
        <f>-'[1]P &amp; L - GI - 2013'!G572</f>
        <v>26273.20923</v>
      </c>
      <c r="Q11" s="3117">
        <f>-'[1]P &amp; L - GI - 2013'!G605</f>
        <v>964898.79269000003</v>
      </c>
      <c r="R11" s="3117">
        <f>-'[1]P &amp; L - GI - 2013'!G638</f>
        <v>54275.298059999994</v>
      </c>
      <c r="S11" s="3117">
        <f>-'[1]P &amp; L - GI - 2013'!G671</f>
        <v>136822.02947000001</v>
      </c>
      <c r="T11" s="3117">
        <f>-'[1]P &amp; L - GI - 2013'!G704</f>
        <v>36090.586557976101</v>
      </c>
      <c r="U11" s="3117"/>
      <c r="V11" s="3117">
        <f>SUM(B11:U11)</f>
        <v>2632785.7354976744</v>
      </c>
      <c r="W11" s="58"/>
      <c r="X11" s="58"/>
    </row>
    <row r="12" spans="1:24">
      <c r="A12" s="3122" t="s">
        <v>118</v>
      </c>
      <c r="B12" s="3123">
        <f>SUM(B7:B11)</f>
        <v>193560</v>
      </c>
      <c r="C12" s="3123">
        <f>SUM(C7:C11)</f>
        <v>717163.05999999994</v>
      </c>
      <c r="D12" s="3123">
        <f>SUM(D7:D11)</f>
        <v>450129</v>
      </c>
      <c r="E12" s="3123">
        <f>SUM(E7:E11)</f>
        <v>96557.727500000197</v>
      </c>
      <c r="F12" s="3123">
        <f>SUM(F7:F11)</f>
        <v>449150.76950641494</v>
      </c>
      <c r="G12" s="3123">
        <f t="shared" ref="G12:V12" si="0">SUM(G7:G11)</f>
        <v>355853.64163077634</v>
      </c>
      <c r="H12" s="3123">
        <f t="shared" si="0"/>
        <v>1103246</v>
      </c>
      <c r="I12" s="3123">
        <f t="shared" si="0"/>
        <v>49526.18879</v>
      </c>
      <c r="J12" s="3123">
        <f t="shared" si="0"/>
        <v>0</v>
      </c>
      <c r="K12" s="3123">
        <f t="shared" si="0"/>
        <v>328383.77750999999</v>
      </c>
      <c r="L12" s="3123">
        <f t="shared" si="0"/>
        <v>763007.00105475006</v>
      </c>
      <c r="M12" s="3123">
        <f t="shared" si="0"/>
        <v>119052.19861000001</v>
      </c>
      <c r="N12" s="3123">
        <f t="shared" si="0"/>
        <v>129549.29138999991</v>
      </c>
      <c r="O12" s="3123">
        <f t="shared" si="0"/>
        <v>0</v>
      </c>
      <c r="P12" s="3123">
        <f t="shared" si="0"/>
        <v>155886.64541999999</v>
      </c>
      <c r="Q12" s="3123">
        <f t="shared" si="0"/>
        <v>2747216.2222699998</v>
      </c>
      <c r="R12" s="3123">
        <f t="shared" si="0"/>
        <v>75894.409069999994</v>
      </c>
      <c r="S12" s="3123">
        <f t="shared" si="0"/>
        <v>981435.15867999988</v>
      </c>
      <c r="T12" s="3123">
        <f t="shared" si="0"/>
        <v>76869.593718034652</v>
      </c>
      <c r="U12" s="3123">
        <f t="shared" si="0"/>
        <v>0</v>
      </c>
      <c r="V12" s="3123">
        <f t="shared" si="0"/>
        <v>8792480.6851499751</v>
      </c>
      <c r="W12" s="375" t="e">
        <f>+#REF!</f>
        <v>#REF!</v>
      </c>
      <c r="X12" s="58" t="e">
        <f>+V12-W12</f>
        <v>#REF!</v>
      </c>
    </row>
    <row r="13" spans="1:24" s="186" customFormat="1">
      <c r="B13" s="186">
        <f>-'[1]P &amp; L - GI - 2013'!H44</f>
        <v>193560</v>
      </c>
      <c r="C13" s="186">
        <f>-'[1]P &amp; L - GI - 2013'!H77</f>
        <v>717163.05999999994</v>
      </c>
      <c r="D13" s="186">
        <f>-'[1]P &amp; L - GI - 2013'!H143</f>
        <v>450129</v>
      </c>
      <c r="E13" s="186">
        <f>-'[1]P &amp; L - GI - 2013'!H176</f>
        <v>96557.727500000197</v>
      </c>
      <c r="F13" s="186">
        <f>-'[1]P &amp; L - GI - 2013'!H209</f>
        <v>449150.76950641494</v>
      </c>
      <c r="G13" s="186">
        <f>-'[1]P &amp; L - GI - 2013'!H242</f>
        <v>355853.64163077634</v>
      </c>
      <c r="H13" s="186">
        <f>-'[1]P &amp; L - GI - 2013'!H275</f>
        <v>1103246</v>
      </c>
      <c r="I13" s="186">
        <f>-'[1]P &amp; L - GI - 2013'!H308</f>
        <v>49526.18879</v>
      </c>
      <c r="J13" s="186">
        <f>-'[1]P &amp; L - GI - 2013'!H341</f>
        <v>0</v>
      </c>
      <c r="K13" s="186">
        <f>-'[1]P &amp; L - GI - 2013'!H374</f>
        <v>328383.77750999999</v>
      </c>
      <c r="L13" s="186">
        <f>-'[1]P &amp; L - GI - 2013'!H407</f>
        <v>763007.00105475006</v>
      </c>
      <c r="M13" s="186">
        <f>-'[1]P &amp; L - GI - 2013'!H506</f>
        <v>119052.19861000001</v>
      </c>
      <c r="N13" s="186">
        <f>-'[1]P &amp; L - GI - 2013'!H539</f>
        <v>129549.29138999991</v>
      </c>
      <c r="O13" s="186">
        <f>-'[1]P &amp; L - GI - 2013'!H440</f>
        <v>0</v>
      </c>
      <c r="P13" s="186">
        <f>-'[1]P &amp; L - GI - 2013'!H572</f>
        <v>155886.64541999999</v>
      </c>
      <c r="Q13" s="186">
        <f>-'[1]P &amp; L - GI - 2013'!H605</f>
        <v>2747216.2222699998</v>
      </c>
      <c r="R13" s="186">
        <f>-'[1]P &amp; L - GI - 2013'!H638</f>
        <v>75894.409069999994</v>
      </c>
      <c r="S13" s="186">
        <f>-'[1]P &amp; L - GI - 2013'!H671</f>
        <v>981435.15867999988</v>
      </c>
      <c r="T13" s="186">
        <f>-'[1]P &amp; L - GI - 2013'!H704</f>
        <v>76869.593718034652</v>
      </c>
      <c r="U13" s="186">
        <f>-'[1]P &amp; L - GI - 2013'!H770</f>
        <v>0</v>
      </c>
      <c r="V13" s="186">
        <f>-'[1]P &amp; L - GI - 2013'!H10</f>
        <v>8792480.685149977</v>
      </c>
    </row>
    <row r="14" spans="1:24" s="186" customFormat="1">
      <c r="A14" s="193"/>
      <c r="B14" s="186">
        <f>+B12-B13</f>
        <v>0</v>
      </c>
      <c r="C14" s="186">
        <f>+C12-C13</f>
        <v>0</v>
      </c>
      <c r="D14" s="186">
        <f t="shared" ref="D14:V14" si="1">+D12-D13</f>
        <v>0</v>
      </c>
      <c r="E14" s="186">
        <f t="shared" si="1"/>
        <v>0</v>
      </c>
      <c r="F14" s="186">
        <f t="shared" si="1"/>
        <v>0</v>
      </c>
      <c r="G14" s="186">
        <f t="shared" si="1"/>
        <v>0</v>
      </c>
      <c r="H14" s="186">
        <f t="shared" si="1"/>
        <v>0</v>
      </c>
      <c r="I14" s="186">
        <f t="shared" si="1"/>
        <v>0</v>
      </c>
      <c r="J14" s="186">
        <f t="shared" si="1"/>
        <v>0</v>
      </c>
      <c r="K14" s="186">
        <f t="shared" si="1"/>
        <v>0</v>
      </c>
      <c r="L14" s="186">
        <f t="shared" si="1"/>
        <v>0</v>
      </c>
      <c r="M14" s="186">
        <f t="shared" si="1"/>
        <v>0</v>
      </c>
      <c r="N14" s="186">
        <f t="shared" si="1"/>
        <v>0</v>
      </c>
      <c r="O14" s="186">
        <f t="shared" si="1"/>
        <v>0</v>
      </c>
      <c r="P14" s="186">
        <f t="shared" si="1"/>
        <v>0</v>
      </c>
      <c r="Q14" s="186">
        <f t="shared" si="1"/>
        <v>0</v>
      </c>
      <c r="R14" s="186">
        <f t="shared" si="1"/>
        <v>0</v>
      </c>
      <c r="S14" s="186">
        <f t="shared" si="1"/>
        <v>0</v>
      </c>
      <c r="T14" s="186">
        <f t="shared" si="1"/>
        <v>0</v>
      </c>
      <c r="U14" s="186">
        <f t="shared" si="1"/>
        <v>0</v>
      </c>
      <c r="V14" s="186">
        <f t="shared" si="1"/>
        <v>0</v>
      </c>
    </row>
    <row r="15" spans="1:24" ht="15" customHeight="1">
      <c r="A15" s="3111" t="s">
        <v>743</v>
      </c>
      <c r="B15" s="3380"/>
      <c r="C15" s="3380"/>
      <c r="D15" s="3380"/>
      <c r="E15" s="3380"/>
      <c r="F15" s="3112"/>
    </row>
    <row r="16" spans="1:24">
      <c r="A16" s="3848" t="s">
        <v>709</v>
      </c>
      <c r="B16" s="373">
        <v>1</v>
      </c>
      <c r="C16" s="373">
        <v>2</v>
      </c>
      <c r="D16" s="373">
        <v>3</v>
      </c>
      <c r="E16" s="373">
        <v>4</v>
      </c>
      <c r="F16" s="373">
        <v>5</v>
      </c>
      <c r="G16" s="373">
        <v>6</v>
      </c>
      <c r="H16" s="373">
        <v>7</v>
      </c>
      <c r="I16" s="373">
        <v>8</v>
      </c>
      <c r="J16" s="373">
        <v>9</v>
      </c>
      <c r="K16" s="373">
        <v>10</v>
      </c>
      <c r="L16" s="373">
        <v>11</v>
      </c>
      <c r="M16" s="373">
        <v>12</v>
      </c>
      <c r="N16" s="373">
        <v>13</v>
      </c>
      <c r="O16" s="373">
        <v>14</v>
      </c>
      <c r="P16" s="373">
        <v>15</v>
      </c>
      <c r="Q16" s="373">
        <v>16</v>
      </c>
      <c r="R16" s="373">
        <v>17</v>
      </c>
      <c r="S16" s="373">
        <v>18</v>
      </c>
      <c r="T16" s="373">
        <v>19</v>
      </c>
      <c r="U16" s="373">
        <v>20</v>
      </c>
      <c r="V16" s="374"/>
    </row>
    <row r="17" spans="1:24">
      <c r="A17" s="3848"/>
      <c r="B17" s="3113" t="s">
        <v>175</v>
      </c>
      <c r="C17" s="3113" t="s">
        <v>177</v>
      </c>
      <c r="D17" s="3113" t="s">
        <v>179</v>
      </c>
      <c r="E17" s="3113" t="s">
        <v>180</v>
      </c>
      <c r="F17" s="3113" t="s">
        <v>181</v>
      </c>
      <c r="G17" s="3113" t="s">
        <v>182</v>
      </c>
      <c r="H17" s="3114" t="s">
        <v>183</v>
      </c>
      <c r="I17" s="3113" t="s">
        <v>184</v>
      </c>
      <c r="J17" s="3113" t="s">
        <v>185</v>
      </c>
      <c r="K17" s="3113" t="s">
        <v>186</v>
      </c>
      <c r="L17" s="3113" t="s">
        <v>187</v>
      </c>
      <c r="M17" s="3113" t="s">
        <v>189</v>
      </c>
      <c r="N17" s="3113" t="s">
        <v>190</v>
      </c>
      <c r="O17" s="3113" t="s">
        <v>681</v>
      </c>
      <c r="P17" s="3113" t="s">
        <v>192</v>
      </c>
      <c r="Q17" s="3113" t="s">
        <v>115</v>
      </c>
      <c r="R17" s="3113" t="s">
        <v>194</v>
      </c>
      <c r="S17" s="3113" t="s">
        <v>195</v>
      </c>
      <c r="T17" s="3113" t="s">
        <v>191</v>
      </c>
      <c r="U17" s="3113" t="s">
        <v>110</v>
      </c>
      <c r="V17" s="3116" t="s">
        <v>118</v>
      </c>
    </row>
    <row r="18" spans="1:24">
      <c r="A18" s="2887" t="s">
        <v>412</v>
      </c>
      <c r="B18" s="3117">
        <f>-'[1]P &amp; L - GI - 2012 '!C44</f>
        <v>101703.41316000003</v>
      </c>
      <c r="C18" s="3117">
        <f>-'[1]P &amp; L - GI - 2012 '!C77</f>
        <v>693130</v>
      </c>
      <c r="D18" s="3117">
        <f>-'[1]P &amp; L - GI - 2012 '!C143</f>
        <v>206999.32515999989</v>
      </c>
      <c r="E18" s="3117">
        <f>-'[1]P &amp; L - GI - 2012 '!C176</f>
        <v>50980.593999999997</v>
      </c>
      <c r="F18" s="3117">
        <f>-'[1]P &amp; L - GI - 2012 '!C209</f>
        <v>73385.81823332209</v>
      </c>
      <c r="G18" s="3117">
        <f>-'[1]P &amp; L - GI - 2012 '!C242</f>
        <v>387454.08399659401</v>
      </c>
      <c r="H18" s="3118">
        <f>-'[1]P &amp; L - GI - 2012 '!C275</f>
        <v>922379</v>
      </c>
      <c r="I18" s="3117">
        <f>-'[1]P &amp; L - GI - 2012 '!C308</f>
        <v>19020.007000000001</v>
      </c>
      <c r="J18" s="3117"/>
      <c r="K18" s="3117">
        <f>-'[1]P &amp; L - GI - 2012 '!C374</f>
        <v>192599.49713999999</v>
      </c>
      <c r="L18" s="3117">
        <f>-'[1]P &amp; L - GI - 2012 '!C407</f>
        <v>298219.90360000002</v>
      </c>
      <c r="M18" s="3117">
        <f>-'[1]P &amp; L - GI - 2012 '!C506</f>
        <v>38163.098480000001</v>
      </c>
      <c r="N18" s="3117">
        <f>-'[1]P &amp; L - GI - 2012 '!C539</f>
        <v>41313.064200000001</v>
      </c>
      <c r="O18" s="3117"/>
      <c r="P18" s="3117">
        <f>-'[1]P &amp; L - GI - 2012 '!C572</f>
        <v>87261</v>
      </c>
      <c r="Q18" s="3117">
        <f>-'[1]P &amp; L - GI - 2012 '!C605</f>
        <v>958922.61083999998</v>
      </c>
      <c r="R18" s="3117">
        <f>-'[1]P &amp; L - GI - 2012 '!C638</f>
        <v>15464.611050000001</v>
      </c>
      <c r="S18" s="3117">
        <f>-'[1]P &amp; L - GI - 2012 '!C671</f>
        <v>39653.54800999997</v>
      </c>
      <c r="T18" s="3117">
        <f>-'[1]P &amp; L - GI - 2012 '!C704</f>
        <v>14227.08568</v>
      </c>
      <c r="U18" s="3117"/>
      <c r="V18" s="3117">
        <f>SUM(B18:U18)</f>
        <v>4140876.6605499163</v>
      </c>
      <c r="W18" s="58"/>
      <c r="X18" s="58"/>
    </row>
    <row r="19" spans="1:24">
      <c r="A19" s="2887" t="s">
        <v>413</v>
      </c>
      <c r="B19" s="3117">
        <f>-'[1]P &amp; L - GI - 2012 '!D44</f>
        <v>34862.898209999999</v>
      </c>
      <c r="C19" s="3117">
        <f>-'[1]P &amp; L - GI - 2012 '!D77</f>
        <v>22289</v>
      </c>
      <c r="D19" s="3117">
        <f>-'[1]P &amp; L - GI - 2012 '!D143</f>
        <v>71755.733789999998</v>
      </c>
      <c r="E19" s="3117">
        <f>-'[1]P &amp; L - GI - 2012 '!D176</f>
        <v>21371.361000000001</v>
      </c>
      <c r="F19" s="3117">
        <f>-'[1]P &amp; L - GI - 2012 '!D209</f>
        <v>87367.785373185296</v>
      </c>
      <c r="G19" s="3117">
        <f>-'[1]P &amp; L - GI - 2012 '!D242</f>
        <v>11665.429084335199</v>
      </c>
      <c r="H19" s="3117">
        <f>-'[1]P &amp; L - GI - 2012 '!D275</f>
        <v>153961</v>
      </c>
      <c r="I19" s="3117">
        <f>-'[1]P &amp; L - GI - 2012 '!D308</f>
        <v>8783.5409999999993</v>
      </c>
      <c r="J19" s="3117"/>
      <c r="K19" s="3117">
        <f>-'[1]P &amp; L - GI - 2012 '!D374</f>
        <v>20228.175439999999</v>
      </c>
      <c r="L19" s="3117">
        <f>-'[1]P &amp; L - GI - 2012 '!D407</f>
        <v>82864.578379999992</v>
      </c>
      <c r="M19" s="3117">
        <f>-'[1]P &amp; L - GI - 2012 '!D506</f>
        <v>6673.3667599999999</v>
      </c>
      <c r="N19" s="3117">
        <f>-'[1]P &amp; L - GI - 2012 '!D539</f>
        <v>21860.237260000005</v>
      </c>
      <c r="O19" s="3117"/>
      <c r="P19" s="3117">
        <f>-'[1]P &amp; L - GI - 2012 '!D572</f>
        <v>4223</v>
      </c>
      <c r="Q19" s="3117">
        <f>-'[1]P &amp; L - GI - 2012 '!D605</f>
        <v>250523.91595</v>
      </c>
      <c r="R19" s="3117">
        <f>-'[1]P &amp; L - GI - 2012 '!D638</f>
        <v>0</v>
      </c>
      <c r="S19" s="3117">
        <f>-'[1]P &amp; L - GI - 2012 '!D671</f>
        <v>516678.03612</v>
      </c>
      <c r="T19" s="3117">
        <f>-'[1]P &amp; L - GI - 2012 '!D704</f>
        <v>11260.621660000001</v>
      </c>
      <c r="U19" s="3117"/>
      <c r="V19" s="3117">
        <f>SUM(B19:U19)</f>
        <v>1326368.6800275205</v>
      </c>
      <c r="W19" s="58"/>
      <c r="X19" s="58"/>
    </row>
    <row r="20" spans="1:24">
      <c r="A20" s="2887" t="s">
        <v>414</v>
      </c>
      <c r="B20" s="3120">
        <f>-'[1]P &amp; L - GI - 2012 '!E44</f>
        <v>21822.90625</v>
      </c>
      <c r="C20" s="3120">
        <f>-'[1]P &amp; L - GI - 2012 '!E77</f>
        <v>3679</v>
      </c>
      <c r="D20" s="3121">
        <f>-'[1]P &amp; L - GI - 2012 '!E143</f>
        <v>-1.8189894035458565E-12</v>
      </c>
      <c r="E20" s="3120">
        <f>-'[1]P &amp; L - GI - 2012 '!E176</f>
        <v>499.7489999999998</v>
      </c>
      <c r="F20" s="3120">
        <f>-'[1]P &amp; L - GI - 2012 '!E209</f>
        <v>1590.3</v>
      </c>
      <c r="G20" s="3117">
        <f>-'[1]P &amp; L - GI - 2012 '!E242</f>
        <v>10633.263659976299</v>
      </c>
      <c r="H20" s="3117">
        <f>-'[1]P &amp; L - GI - 2012 '!E275</f>
        <v>40523</v>
      </c>
      <c r="I20" s="3117">
        <f>-'[1]P &amp; L - GI - 2012 '!E308</f>
        <v>18143.343000000001</v>
      </c>
      <c r="J20" s="3117"/>
      <c r="K20" s="3117">
        <f>-'[1]P &amp; L - GI - 2012 '!E374</f>
        <v>43410.974920000001</v>
      </c>
      <c r="L20" s="3117">
        <f>-'[1]P &amp; L - GI - 2012 '!E407</f>
        <v>85867.619449999998</v>
      </c>
      <c r="M20" s="3117">
        <f>-'[1]P &amp; L - GI - 2012 '!E506</f>
        <v>35979.782979999996</v>
      </c>
      <c r="N20" s="3117">
        <f>-'[1]P &amp; L - GI - 2012 '!E539</f>
        <v>15997.283530000001</v>
      </c>
      <c r="O20" s="3117"/>
      <c r="P20" s="3117">
        <f>-'[1]P &amp; L - GI - 2012 '!E572</f>
        <v>38273</v>
      </c>
      <c r="Q20" s="3117">
        <f>-'[1]P &amp; L - GI - 2012 '!E605</f>
        <v>57267.41455999999</v>
      </c>
      <c r="R20" s="3117">
        <f>-'[1]P &amp; L - GI - 2012 '!E638</f>
        <v>6054.7959900000005</v>
      </c>
      <c r="S20" s="3117">
        <f>-'[1]P &amp; L - GI - 2012 '!E671</f>
        <v>97080.020380000002</v>
      </c>
      <c r="T20" s="3117">
        <f>-'[1]P &amp; L - GI - 2012 '!E704</f>
        <v>1655.70334924074</v>
      </c>
      <c r="U20" s="3117"/>
      <c r="V20" s="3117">
        <f>SUM(B20:U20)</f>
        <v>478478.15706921712</v>
      </c>
      <c r="W20" s="58"/>
      <c r="X20" s="58"/>
    </row>
    <row r="21" spans="1:24">
      <c r="A21" s="2887" t="s">
        <v>701</v>
      </c>
      <c r="B21" s="3120">
        <f>-'[1]P &amp; L - GI - 2012 '!F44</f>
        <v>325.90153000000009</v>
      </c>
      <c r="C21" s="3120">
        <f>-'[1]P &amp; L - GI - 2012 '!F77</f>
        <v>3</v>
      </c>
      <c r="D21" s="3121">
        <f>-'[1]P &amp; L - GI - 2012 '!F143</f>
        <v>3751</v>
      </c>
      <c r="E21" s="3120">
        <f>-'[1]P &amp; L - GI - 2012 '!F176</f>
        <v>73.019000000000005</v>
      </c>
      <c r="F21" s="3120">
        <f>-'[1]P &amp; L - GI - 2012 '!F209</f>
        <v>1836.5482099999999</v>
      </c>
      <c r="G21" s="3117">
        <f>-'[1]P &amp; L - GI - 2012 '!F242</f>
        <v>2065.4242089644599</v>
      </c>
      <c r="H21" s="3117">
        <f>-'[1]P &amp; L - GI - 2012 '!F275</f>
        <v>8301</v>
      </c>
      <c r="I21" s="3117">
        <f>-'[1]P &amp; L - GI - 2012 '!F308</f>
        <v>0</v>
      </c>
      <c r="J21" s="3117"/>
      <c r="K21" s="3117">
        <f>-'[1]P &amp; L - GI - 2012 '!F374</f>
        <v>41.6121499999999</v>
      </c>
      <c r="L21" s="3117">
        <f>-'[1]P &amp; L - GI - 2012 '!F407</f>
        <v>0</v>
      </c>
      <c r="M21" s="3117">
        <f>-'[1]P &amp; L - GI - 2012 '!F506</f>
        <v>0</v>
      </c>
      <c r="N21" s="3117">
        <f>-'[1]P &amp; L - GI - 2012 '!F539</f>
        <v>0</v>
      </c>
      <c r="O21" s="3117"/>
      <c r="P21" s="3117">
        <f>-'[1]P &amp; L - GI - 2012 '!F572</f>
        <v>0</v>
      </c>
      <c r="Q21" s="3117">
        <f>-'[1]P &amp; L - GI - 2012 '!F605</f>
        <v>0</v>
      </c>
      <c r="R21" s="3117">
        <f>-'[1]P &amp; L - GI - 2012 '!F638</f>
        <v>0</v>
      </c>
      <c r="S21" s="3117">
        <f>-'[1]P &amp; L - GI - 2012 '!F671</f>
        <v>-9575.8992400000006</v>
      </c>
      <c r="T21" s="3117">
        <f>-'[1]P &amp; L - GI - 2012 '!F704</f>
        <v>0</v>
      </c>
      <c r="U21" s="3117"/>
      <c r="V21" s="3117">
        <f>SUM(B21:U21)</f>
        <v>6821.6058589644581</v>
      </c>
      <c r="W21" s="58"/>
      <c r="X21" s="58"/>
    </row>
    <row r="22" spans="1:24">
      <c r="A22" s="2887" t="s">
        <v>416</v>
      </c>
      <c r="B22" s="3120">
        <f>-'[1]P &amp; L - GI - 2012 '!G44</f>
        <v>18722.87905</v>
      </c>
      <c r="C22" s="3120">
        <f>-'[1]P &amp; L - GI - 2012 '!G77</f>
        <v>152341</v>
      </c>
      <c r="D22" s="3121">
        <f>-'[1]P &amp; L - GI - 2012 '!G143</f>
        <v>55393.793419999987</v>
      </c>
      <c r="E22" s="3120">
        <f>-'[1]P &amp; L - GI - 2012 '!G176</f>
        <v>30581.596000000001</v>
      </c>
      <c r="F22" s="3120">
        <f>-'[1]P &amp; L - GI - 2012 '!G209</f>
        <v>239620.83364729298</v>
      </c>
      <c r="G22" s="3117">
        <f>-'[1]P &amp; L - GI - 2012 '!G242</f>
        <v>72704.405930149907</v>
      </c>
      <c r="H22" s="3117">
        <f>-'[1]P &amp; L - GI - 2012 '!G275</f>
        <v>461670</v>
      </c>
      <c r="I22" s="3117">
        <f>-'[1]P &amp; L - GI - 2012 '!G308</f>
        <v>7413.5469999999996</v>
      </c>
      <c r="J22" s="3117"/>
      <c r="K22" s="3117">
        <f>-'[1]P &amp; L - GI - 2012 '!G374</f>
        <v>59454.026790000004</v>
      </c>
      <c r="L22" s="3117">
        <f>-'[1]P &amp; L - GI - 2012 '!G407</f>
        <v>132038.28727</v>
      </c>
      <c r="M22" s="3117">
        <f>-'[1]P &amp; L - GI - 2012 '!G506</f>
        <v>12443.95076</v>
      </c>
      <c r="N22" s="3117">
        <f>-'[1]P &amp; L - GI - 2012 '!G539</f>
        <v>31281.065399999999</v>
      </c>
      <c r="O22" s="3117"/>
      <c r="P22" s="3117">
        <f>-'[1]P &amp; L - GI - 2012 '!G572</f>
        <v>27862</v>
      </c>
      <c r="Q22" s="3117">
        <f>-'[1]P &amp; L - GI - 2012 '!G605</f>
        <v>1281244.2587899999</v>
      </c>
      <c r="R22" s="3117">
        <f>-'[1]P &amp; L - GI - 2012 '!G638</f>
        <v>56894.567619999994</v>
      </c>
      <c r="S22" s="3117">
        <f>-'[1]P &amp; L - GI - 2012 '!G671</f>
        <v>78061.272200000007</v>
      </c>
      <c r="T22" s="3117">
        <f>-'[1]P &amp; L - GI - 2012 '!G704</f>
        <v>28078.0645880335</v>
      </c>
      <c r="U22" s="3117"/>
      <c r="V22" s="3117">
        <f>SUM(B22:U22)</f>
        <v>2745805.5484654759</v>
      </c>
      <c r="W22" s="58"/>
      <c r="X22" s="58"/>
    </row>
    <row r="23" spans="1:24">
      <c r="A23" s="3122" t="s">
        <v>118</v>
      </c>
      <c r="B23" s="3123">
        <f>SUM(B18:B22)</f>
        <v>177437.9982</v>
      </c>
      <c r="C23" s="3123">
        <f t="shared" ref="C23:V23" si="2">SUM(C18:C22)</f>
        <v>871442</v>
      </c>
      <c r="D23" s="3123">
        <f>SUM(D18:D22)</f>
        <v>337899.85236999986</v>
      </c>
      <c r="E23" s="3123">
        <f>SUM(E18:E22)</f>
        <v>103506.319</v>
      </c>
      <c r="F23" s="3123">
        <f>SUM(F18:F22)</f>
        <v>403801.28546380036</v>
      </c>
      <c r="G23" s="3123">
        <f t="shared" si="2"/>
        <v>484522.60688001988</v>
      </c>
      <c r="H23" s="3123">
        <f t="shared" si="2"/>
        <v>1586834</v>
      </c>
      <c r="I23" s="3123">
        <f t="shared" si="2"/>
        <v>53360.438000000002</v>
      </c>
      <c r="J23" s="3123">
        <f t="shared" si="2"/>
        <v>0</v>
      </c>
      <c r="K23" s="3123">
        <f t="shared" si="2"/>
        <v>315734.28644</v>
      </c>
      <c r="L23" s="3123">
        <f t="shared" si="2"/>
        <v>598990.38870000001</v>
      </c>
      <c r="M23" s="3123">
        <f t="shared" si="2"/>
        <v>93260.198979999986</v>
      </c>
      <c r="N23" s="3123">
        <f t="shared" si="2"/>
        <v>110451.65039</v>
      </c>
      <c r="O23" s="3123">
        <f t="shared" si="2"/>
        <v>0</v>
      </c>
      <c r="P23" s="3123">
        <f t="shared" si="2"/>
        <v>157619</v>
      </c>
      <c r="Q23" s="3123">
        <f t="shared" si="2"/>
        <v>2547958.2001399999</v>
      </c>
      <c r="R23" s="3123">
        <f t="shared" si="2"/>
        <v>78413.974659999993</v>
      </c>
      <c r="S23" s="3123">
        <f t="shared" si="2"/>
        <v>721896.97746999993</v>
      </c>
      <c r="T23" s="3123">
        <f t="shared" si="2"/>
        <v>55221.475277274236</v>
      </c>
      <c r="U23" s="3123">
        <f t="shared" si="2"/>
        <v>0</v>
      </c>
      <c r="V23" s="3123">
        <f t="shared" si="2"/>
        <v>8698350.6519710943</v>
      </c>
      <c r="W23" s="375" t="e">
        <f>+#REF!</f>
        <v>#REF!</v>
      </c>
      <c r="X23" s="58" t="e">
        <f>+V23-W23</f>
        <v>#REF!</v>
      </c>
    </row>
    <row r="24" spans="1:24" s="193" customFormat="1">
      <c r="A24" s="380"/>
      <c r="B24" s="377">
        <f>-'[1]P &amp; L - GI - 2012 '!H44</f>
        <v>177437.9982</v>
      </c>
      <c r="C24" s="377">
        <f>-'[1]P &amp; L - GI - 2012 '!H77</f>
        <v>871442</v>
      </c>
      <c r="D24" s="377">
        <f>-'[1]P &amp; L - GI - 2012 '!H143</f>
        <v>337899.85236999986</v>
      </c>
      <c r="E24" s="378">
        <f>-'[1]P &amp; L - GI - 2012 '!H176</f>
        <v>103506.319</v>
      </c>
      <c r="F24" s="378">
        <f>-'[1]P &amp; L - GI - 2012 '!H209</f>
        <v>403801.28546380036</v>
      </c>
      <c r="G24" s="193">
        <f>-'[1]P &amp; L - GI - 2012 '!H242</f>
        <v>484522.60688001988</v>
      </c>
      <c r="H24" s="193">
        <f>-'[1]P &amp; L - GI - 2012 '!H275</f>
        <v>1586834</v>
      </c>
      <c r="I24" s="193">
        <f>-'[1]P &amp; L - GI - 2012 '!H308</f>
        <v>53360.438000000002</v>
      </c>
      <c r="J24" s="193">
        <f>-'[1]P &amp; L - GI - 2012 '!H341</f>
        <v>0</v>
      </c>
      <c r="K24" s="193">
        <f>-'[1]P &amp; L - GI - 2012 '!H374</f>
        <v>315734.28644</v>
      </c>
      <c r="L24" s="193">
        <f>-'[1]P &amp; L - GI - 2012 '!H407</f>
        <v>598990.38870000001</v>
      </c>
      <c r="M24" s="193">
        <f>-'[1]P &amp; L - GI - 2012 '!H506</f>
        <v>93260.198979999986</v>
      </c>
      <c r="N24" s="193">
        <f>-'[1]P &amp; L - GI - 2012 '!H539</f>
        <v>110451.65039</v>
      </c>
      <c r="P24" s="193">
        <f>-'[1]P &amp; L - GI - 2012 '!H572</f>
        <v>157619</v>
      </c>
      <c r="Q24" s="193">
        <f>-'[1]P &amp; L - GI - 2012 '!H605</f>
        <v>2547958.2001399999</v>
      </c>
      <c r="R24" s="193">
        <f>-'[1]P &amp; L - GI - 2012 '!H638</f>
        <v>78413.974659999993</v>
      </c>
      <c r="S24" s="193">
        <f>-'[1]P &amp; L - GI - 2012 '!H671</f>
        <v>721896.97746999993</v>
      </c>
      <c r="T24" s="193">
        <f>-'[1]P &amp; L - GI - 2012 '!H704</f>
        <v>55221.475277274236</v>
      </c>
      <c r="V24" s="193">
        <f>-'[1]P &amp; L - GI - 2012 '!H10</f>
        <v>8698350.6519710943</v>
      </c>
    </row>
    <row r="25" spans="1:24" s="186" customFormat="1">
      <c r="B25" s="186">
        <f>+B23-B24</f>
        <v>0</v>
      </c>
      <c r="C25" s="186">
        <f t="shared" ref="C25:V25" si="3">+C23-C24</f>
        <v>0</v>
      </c>
      <c r="D25" s="186">
        <f t="shared" si="3"/>
        <v>0</v>
      </c>
      <c r="E25" s="186">
        <f t="shared" si="3"/>
        <v>0</v>
      </c>
      <c r="F25" s="186">
        <f t="shared" si="3"/>
        <v>0</v>
      </c>
      <c r="G25" s="186">
        <f>+G23-G24</f>
        <v>0</v>
      </c>
      <c r="H25" s="186">
        <f t="shared" si="3"/>
        <v>0</v>
      </c>
      <c r="I25" s="186">
        <f t="shared" si="3"/>
        <v>0</v>
      </c>
      <c r="J25" s="186">
        <f t="shared" si="3"/>
        <v>0</v>
      </c>
      <c r="K25" s="186">
        <f t="shared" si="3"/>
        <v>0</v>
      </c>
      <c r="L25" s="186">
        <f t="shared" si="3"/>
        <v>0</v>
      </c>
      <c r="M25" s="186">
        <f t="shared" si="3"/>
        <v>0</v>
      </c>
      <c r="N25" s="186">
        <f t="shared" si="3"/>
        <v>0</v>
      </c>
      <c r="O25" s="186">
        <f t="shared" si="3"/>
        <v>0</v>
      </c>
      <c r="P25" s="186">
        <f t="shared" si="3"/>
        <v>0</v>
      </c>
      <c r="Q25" s="186">
        <f t="shared" si="3"/>
        <v>0</v>
      </c>
      <c r="R25" s="186">
        <f t="shared" si="3"/>
        <v>0</v>
      </c>
      <c r="S25" s="186">
        <f t="shared" si="3"/>
        <v>0</v>
      </c>
      <c r="T25" s="186">
        <f t="shared" si="3"/>
        <v>0</v>
      </c>
      <c r="U25" s="186">
        <f t="shared" si="3"/>
        <v>0</v>
      </c>
      <c r="V25" s="186">
        <f t="shared" si="3"/>
        <v>0</v>
      </c>
    </row>
    <row r="26" spans="1:24" s="186" customFormat="1"/>
    <row r="27" spans="1:24" s="186" customFormat="1">
      <c r="A27" s="186" t="s">
        <v>744</v>
      </c>
    </row>
    <row r="28" spans="1:24" s="186" customFormat="1">
      <c r="A28" s="3168" t="s">
        <v>709</v>
      </c>
      <c r="B28" s="3168">
        <v>1</v>
      </c>
      <c r="C28" s="3168">
        <v>2</v>
      </c>
      <c r="D28" s="3168">
        <v>3</v>
      </c>
      <c r="E28" s="3168">
        <v>4</v>
      </c>
      <c r="F28" s="3168">
        <v>5</v>
      </c>
      <c r="G28" s="3168">
        <v>6</v>
      </c>
      <c r="H28" s="3168">
        <v>7</v>
      </c>
      <c r="I28" s="3168">
        <v>8</v>
      </c>
      <c r="J28" s="3168">
        <v>9</v>
      </c>
      <c r="K28" s="3168">
        <v>10</v>
      </c>
      <c r="L28" s="3168">
        <v>11</v>
      </c>
      <c r="M28" s="3168">
        <v>12</v>
      </c>
      <c r="N28" s="3168">
        <v>13</v>
      </c>
      <c r="O28" s="3168">
        <v>14</v>
      </c>
      <c r="P28" s="3168">
        <v>15</v>
      </c>
      <c r="Q28" s="3168">
        <v>16</v>
      </c>
      <c r="R28" s="3168">
        <v>17</v>
      </c>
      <c r="S28" s="3168">
        <v>18</v>
      </c>
      <c r="T28" s="3168">
        <v>19</v>
      </c>
      <c r="U28" s="3168">
        <v>20</v>
      </c>
      <c r="V28" s="3168"/>
    </row>
    <row r="29" spans="1:24" s="186" customFormat="1">
      <c r="A29" s="3168"/>
      <c r="B29" s="3168" t="s">
        <v>175</v>
      </c>
      <c r="C29" s="3168" t="s">
        <v>177</v>
      </c>
      <c r="D29" s="3168" t="s">
        <v>179</v>
      </c>
      <c r="E29" s="3168" t="s">
        <v>180</v>
      </c>
      <c r="F29" s="3168" t="s">
        <v>181</v>
      </c>
      <c r="G29" s="3168" t="s">
        <v>182</v>
      </c>
      <c r="H29" s="3168" t="s">
        <v>183</v>
      </c>
      <c r="I29" s="3168" t="s">
        <v>184</v>
      </c>
      <c r="J29" s="3168" t="s">
        <v>185</v>
      </c>
      <c r="K29" s="3168" t="s">
        <v>186</v>
      </c>
      <c r="L29" s="3168" t="s">
        <v>187</v>
      </c>
      <c r="M29" s="3168" t="s">
        <v>189</v>
      </c>
      <c r="N29" s="3168" t="s">
        <v>190</v>
      </c>
      <c r="O29" s="3168" t="s">
        <v>681</v>
      </c>
      <c r="P29" s="3168" t="s">
        <v>192</v>
      </c>
      <c r="Q29" s="3168" t="s">
        <v>115</v>
      </c>
      <c r="R29" s="3168" t="s">
        <v>194</v>
      </c>
      <c r="S29" s="3168" t="s">
        <v>195</v>
      </c>
      <c r="T29" s="3168" t="s">
        <v>191</v>
      </c>
      <c r="U29" s="3168" t="s">
        <v>110</v>
      </c>
      <c r="V29" s="3168" t="s">
        <v>118</v>
      </c>
    </row>
    <row r="30" spans="1:24" s="186" customFormat="1">
      <c r="A30" s="3168" t="s">
        <v>412</v>
      </c>
      <c r="B30" s="3168">
        <v>54506.029209999993</v>
      </c>
      <c r="C30" s="3168">
        <v>588818</v>
      </c>
      <c r="D30" s="3168">
        <v>149559.23387000005</v>
      </c>
      <c r="E30" s="3168">
        <v>39208.227999999996</v>
      </c>
      <c r="F30" s="3168">
        <v>103607.59681</v>
      </c>
      <c r="G30" s="3168">
        <v>164462.350752061</v>
      </c>
      <c r="H30" s="3168">
        <v>807067</v>
      </c>
      <c r="I30" s="3168">
        <v>16297.667609999999</v>
      </c>
      <c r="J30" s="3168"/>
      <c r="K30" s="3168">
        <v>208036.72594999999</v>
      </c>
      <c r="L30" s="3168">
        <v>284428.36534229998</v>
      </c>
      <c r="M30" s="3168">
        <v>0</v>
      </c>
      <c r="N30" s="3168">
        <v>42490.38149</v>
      </c>
      <c r="O30" s="3168"/>
      <c r="P30" s="3168">
        <v>72549</v>
      </c>
      <c r="Q30" s="3168">
        <v>1203942.1456100002</v>
      </c>
      <c r="R30" s="3168">
        <v>12143</v>
      </c>
      <c r="S30" s="3168">
        <v>342970.57814</v>
      </c>
      <c r="T30" s="3168">
        <v>49.990560000000002</v>
      </c>
      <c r="U30" s="3168"/>
      <c r="V30" s="3168">
        <v>4090136.2933443608</v>
      </c>
    </row>
    <row r="31" spans="1:24" s="186" customFormat="1">
      <c r="A31" s="3168" t="s">
        <v>413</v>
      </c>
      <c r="B31" s="3168">
        <v>27890.197440000004</v>
      </c>
      <c r="C31" s="3168">
        <v>21947</v>
      </c>
      <c r="D31" s="3168">
        <v>55260.55068</v>
      </c>
      <c r="E31" s="3168">
        <v>19183.787</v>
      </c>
      <c r="F31" s="3168">
        <v>3682</v>
      </c>
      <c r="G31" s="3168">
        <v>7630.0935519967998</v>
      </c>
      <c r="H31" s="3168">
        <v>114505</v>
      </c>
      <c r="I31" s="3168">
        <v>8106.4849400000003</v>
      </c>
      <c r="J31" s="3168"/>
      <c r="K31" s="3168">
        <v>20181.906709999999</v>
      </c>
      <c r="L31" s="3168">
        <v>57352.552060000002</v>
      </c>
      <c r="M31" s="3168">
        <v>0</v>
      </c>
      <c r="N31" s="3168">
        <v>1774.3814899999998</v>
      </c>
      <c r="O31" s="3168"/>
      <c r="P31" s="3168">
        <v>3773</v>
      </c>
      <c r="Q31" s="3168">
        <v>313370.42121999996</v>
      </c>
      <c r="R31" s="3168">
        <v>0</v>
      </c>
      <c r="S31" s="3168">
        <v>192567.65934999997</v>
      </c>
      <c r="T31" s="3168">
        <v>166.875</v>
      </c>
      <c r="U31" s="3168"/>
      <c r="V31" s="3168">
        <v>847391.90944199672</v>
      </c>
    </row>
    <row r="32" spans="1:24" s="186" customFormat="1">
      <c r="A32" s="3168" t="s">
        <v>414</v>
      </c>
      <c r="B32" s="3168">
        <v>17865.76772</v>
      </c>
      <c r="C32" s="3168">
        <v>4641</v>
      </c>
      <c r="D32" s="3168">
        <v>0.49908000000141328</v>
      </c>
      <c r="E32" s="3168">
        <v>0.77700000000186265</v>
      </c>
      <c r="F32" s="3168">
        <v>1344.3832199999999</v>
      </c>
      <c r="G32" s="3168">
        <v>9449.6262563711898</v>
      </c>
      <c r="H32" s="3168">
        <v>87868</v>
      </c>
      <c r="I32" s="3168">
        <v>12417.44152</v>
      </c>
      <c r="J32" s="3168"/>
      <c r="K32" s="3168">
        <v>32567.107329999999</v>
      </c>
      <c r="L32" s="3168">
        <v>83286</v>
      </c>
      <c r="M32" s="3168">
        <v>13771.244939999999</v>
      </c>
      <c r="N32" s="3168">
        <v>6731.3814899999998</v>
      </c>
      <c r="O32" s="3168"/>
      <c r="P32" s="3168">
        <v>24990</v>
      </c>
      <c r="Q32" s="3168">
        <v>17161.277359999993</v>
      </c>
      <c r="R32" s="3168">
        <v>4653</v>
      </c>
      <c r="S32" s="3168">
        <v>70463.28069</v>
      </c>
      <c r="T32" s="3168">
        <v>0</v>
      </c>
      <c r="U32" s="3168"/>
      <c r="V32" s="3168">
        <v>387210.78660637117</v>
      </c>
    </row>
    <row r="33" spans="1:24" s="186" customFormat="1">
      <c r="A33" s="3168" t="s">
        <v>701</v>
      </c>
      <c r="B33" s="3168">
        <v>1557</v>
      </c>
      <c r="C33" s="3168">
        <v>0</v>
      </c>
      <c r="D33" s="3168">
        <v>2306</v>
      </c>
      <c r="E33" s="3168">
        <v>80</v>
      </c>
      <c r="F33" s="3168">
        <v>1970</v>
      </c>
      <c r="G33" s="3168">
        <v>2611.3111503653799</v>
      </c>
      <c r="H33" s="3168">
        <v>13620</v>
      </c>
      <c r="I33" s="3168">
        <v>0</v>
      </c>
      <c r="J33" s="3168"/>
      <c r="K33" s="3168">
        <v>81.653729999999996</v>
      </c>
      <c r="L33" s="3168">
        <v>0</v>
      </c>
      <c r="M33" s="3168">
        <v>0</v>
      </c>
      <c r="N33" s="3168">
        <v>0</v>
      </c>
      <c r="O33" s="3168"/>
      <c r="P33" s="3168">
        <v>0</v>
      </c>
      <c r="Q33" s="3168">
        <v>6208.5921399999997</v>
      </c>
      <c r="R33" s="3168">
        <v>0</v>
      </c>
      <c r="S33" s="3168">
        <v>1664.5118700000003</v>
      </c>
      <c r="T33" s="3168">
        <v>0</v>
      </c>
      <c r="U33" s="3168"/>
      <c r="V33" s="3168">
        <v>30099.068890365379</v>
      </c>
    </row>
    <row r="34" spans="1:24" s="186" customFormat="1">
      <c r="A34" s="3168" t="s">
        <v>416</v>
      </c>
      <c r="B34" s="3168">
        <v>19032.56294</v>
      </c>
      <c r="C34" s="3168">
        <v>343619</v>
      </c>
      <c r="D34" s="3168">
        <v>34250.334060000008</v>
      </c>
      <c r="E34" s="3168">
        <v>20779.353999999999</v>
      </c>
      <c r="F34" s="3168">
        <v>425317.66269999999</v>
      </c>
      <c r="G34" s="3168">
        <v>71799.099139824495</v>
      </c>
      <c r="H34" s="3168">
        <v>329990</v>
      </c>
      <c r="I34" s="3168">
        <v>4251.1868400000003</v>
      </c>
      <c r="J34" s="3168"/>
      <c r="K34" s="3168">
        <v>58743.803409999993</v>
      </c>
      <c r="L34" s="3168">
        <v>99213.870057700013</v>
      </c>
      <c r="M34" s="3168">
        <v>0</v>
      </c>
      <c r="N34" s="3168">
        <v>92786.465289999993</v>
      </c>
      <c r="O34" s="3168"/>
      <c r="P34" s="3168">
        <v>11280</v>
      </c>
      <c r="Q34" s="3168">
        <v>646085.77156000002</v>
      </c>
      <c r="R34" s="3168">
        <v>49726</v>
      </c>
      <c r="S34" s="3168">
        <v>65967.651260000013</v>
      </c>
      <c r="T34" s="3168">
        <v>0</v>
      </c>
      <c r="U34" s="3168"/>
      <c r="V34" s="3168">
        <v>2272842.7612575246</v>
      </c>
    </row>
    <row r="35" spans="1:24" s="186" customFormat="1">
      <c r="A35" s="3168" t="s">
        <v>118</v>
      </c>
      <c r="B35" s="3168">
        <v>120851.55731</v>
      </c>
      <c r="C35" s="3168">
        <v>959025</v>
      </c>
      <c r="D35" s="3168">
        <v>241376.61769000004</v>
      </c>
      <c r="E35" s="3168">
        <v>79252.146000000008</v>
      </c>
      <c r="F35" s="3168">
        <v>535921.64272999996</v>
      </c>
      <c r="G35" s="3168">
        <v>255952.48085061886</v>
      </c>
      <c r="H35" s="3168">
        <v>1353050</v>
      </c>
      <c r="I35" s="3168">
        <v>41072.780910000001</v>
      </c>
      <c r="J35" s="3168">
        <v>0</v>
      </c>
      <c r="K35" s="3168">
        <v>319611.19712999999</v>
      </c>
      <c r="L35" s="3168">
        <v>524280.78746000002</v>
      </c>
      <c r="M35" s="3168">
        <v>13771.244939999999</v>
      </c>
      <c r="N35" s="3168">
        <v>143782.60975999999</v>
      </c>
      <c r="O35" s="3168">
        <v>0</v>
      </c>
      <c r="P35" s="3168">
        <v>112592</v>
      </c>
      <c r="Q35" s="3168">
        <v>2186768.2078900002</v>
      </c>
      <c r="R35" s="3168">
        <v>66522</v>
      </c>
      <c r="S35" s="3168">
        <v>673633.68131000013</v>
      </c>
      <c r="T35" s="3168">
        <v>216.86556000000002</v>
      </c>
      <c r="U35" s="3168">
        <v>0</v>
      </c>
      <c r="V35" s="3168">
        <v>7627680.8195406189</v>
      </c>
      <c r="W35" s="186">
        <v>7627680.819540618</v>
      </c>
      <c r="X35" s="186">
        <v>0</v>
      </c>
    </row>
    <row r="36" spans="1:24" s="186" customFormat="1">
      <c r="A36" s="3168"/>
      <c r="B36" s="3168">
        <v>120851.55731</v>
      </c>
      <c r="C36" s="3168">
        <v>959025</v>
      </c>
      <c r="D36" s="3168">
        <v>241376.61769000004</v>
      </c>
      <c r="E36" s="3168">
        <v>79252.146000000008</v>
      </c>
      <c r="F36" s="3168">
        <v>535921.64272999996</v>
      </c>
      <c r="G36" s="3168">
        <v>255952.48085061886</v>
      </c>
      <c r="H36" s="3168">
        <v>1353050</v>
      </c>
      <c r="I36" s="3168">
        <v>41072.780910000001</v>
      </c>
      <c r="J36" s="3168">
        <v>0</v>
      </c>
      <c r="K36" s="3168">
        <v>319611.19712999999</v>
      </c>
      <c r="L36" s="3168">
        <v>524280.78746000002</v>
      </c>
      <c r="M36" s="3168">
        <v>13771.244939999999</v>
      </c>
      <c r="N36" s="3168">
        <v>143782.60975999999</v>
      </c>
      <c r="O36" s="3168"/>
      <c r="P36" s="3168">
        <v>112592</v>
      </c>
      <c r="Q36" s="3168">
        <v>2186768.2078900002</v>
      </c>
      <c r="R36" s="3168">
        <v>66522</v>
      </c>
      <c r="S36" s="3168">
        <v>673633.68131000013</v>
      </c>
      <c r="T36" s="3168">
        <v>216.86556000000002</v>
      </c>
      <c r="U36" s="3168"/>
      <c r="V36" s="3168">
        <v>7627680.8195406189</v>
      </c>
    </row>
    <row r="37" spans="1:24" s="186" customFormat="1">
      <c r="B37" s="186">
        <v>0</v>
      </c>
      <c r="C37" s="186">
        <v>0</v>
      </c>
      <c r="D37" s="186">
        <v>0</v>
      </c>
      <c r="E37" s="186">
        <v>0</v>
      </c>
      <c r="F37" s="186">
        <v>0</v>
      </c>
      <c r="G37" s="186">
        <v>0</v>
      </c>
      <c r="H37" s="186">
        <v>0</v>
      </c>
      <c r="I37" s="186">
        <v>0</v>
      </c>
      <c r="J37" s="186">
        <v>0</v>
      </c>
      <c r="K37" s="186">
        <v>0</v>
      </c>
      <c r="L37" s="186">
        <v>0</v>
      </c>
      <c r="M37" s="186">
        <v>0</v>
      </c>
      <c r="N37" s="186">
        <v>0</v>
      </c>
      <c r="O37" s="186">
        <v>0</v>
      </c>
      <c r="P37" s="186">
        <v>0</v>
      </c>
      <c r="Q37" s="186">
        <v>0</v>
      </c>
      <c r="R37" s="186">
        <v>0</v>
      </c>
      <c r="S37" s="186">
        <v>0</v>
      </c>
      <c r="T37" s="186">
        <v>0</v>
      </c>
      <c r="U37" s="186">
        <v>0</v>
      </c>
      <c r="V37" s="186">
        <v>0</v>
      </c>
    </row>
    <row r="38" spans="1:24" s="186" customFormat="1"/>
    <row r="39" spans="1:24">
      <c r="A39" s="3111" t="s">
        <v>745</v>
      </c>
      <c r="B39" s="3381"/>
      <c r="C39" s="3381"/>
      <c r="D39" s="3381"/>
      <c r="E39" s="3381"/>
      <c r="F39" s="3124"/>
    </row>
    <row r="40" spans="1:24">
      <c r="A40" s="3848" t="s">
        <v>709</v>
      </c>
      <c r="B40" s="373">
        <v>1</v>
      </c>
      <c r="C40" s="373">
        <v>2</v>
      </c>
      <c r="D40" s="373">
        <v>3</v>
      </c>
      <c r="E40" s="373">
        <v>4</v>
      </c>
      <c r="F40" s="373">
        <v>5</v>
      </c>
      <c r="G40" s="373">
        <v>6</v>
      </c>
      <c r="H40" s="373">
        <v>7</v>
      </c>
      <c r="I40" s="373">
        <v>8</v>
      </c>
      <c r="J40" s="373">
        <v>9</v>
      </c>
      <c r="K40" s="373">
        <v>10</v>
      </c>
      <c r="L40" s="373">
        <v>11</v>
      </c>
      <c r="M40" s="373">
        <v>12</v>
      </c>
      <c r="N40" s="373">
        <v>13</v>
      </c>
      <c r="O40" s="373">
        <v>14</v>
      </c>
      <c r="P40" s="373">
        <v>15</v>
      </c>
      <c r="Q40" s="373">
        <v>16</v>
      </c>
      <c r="R40" s="373">
        <v>17</v>
      </c>
      <c r="S40" s="373">
        <v>18</v>
      </c>
      <c r="T40" s="373">
        <v>19</v>
      </c>
      <c r="U40" s="373">
        <v>20</v>
      </c>
      <c r="V40" s="374"/>
    </row>
    <row r="41" spans="1:24">
      <c r="A41" s="3848"/>
      <c r="B41" s="3113" t="s">
        <v>175</v>
      </c>
      <c r="C41" s="3113" t="s">
        <v>177</v>
      </c>
      <c r="D41" s="3113" t="s">
        <v>179</v>
      </c>
      <c r="E41" s="3113" t="s">
        <v>180</v>
      </c>
      <c r="F41" s="3113" t="s">
        <v>181</v>
      </c>
      <c r="G41" s="3113" t="s">
        <v>182</v>
      </c>
      <c r="H41" s="3114" t="s">
        <v>183</v>
      </c>
      <c r="I41" s="3113" t="s">
        <v>184</v>
      </c>
      <c r="J41" s="3113" t="s">
        <v>185</v>
      </c>
      <c r="K41" s="3113" t="s">
        <v>186</v>
      </c>
      <c r="L41" s="3113" t="s">
        <v>187</v>
      </c>
      <c r="M41" s="3113" t="s">
        <v>189</v>
      </c>
      <c r="N41" s="3113" t="s">
        <v>190</v>
      </c>
      <c r="O41" s="3113" t="s">
        <v>681</v>
      </c>
      <c r="P41" s="3113" t="s">
        <v>192</v>
      </c>
      <c r="Q41" s="3113" t="s">
        <v>115</v>
      </c>
      <c r="R41" s="3113" t="s">
        <v>194</v>
      </c>
      <c r="S41" s="3113" t="s">
        <v>195</v>
      </c>
      <c r="T41" s="3113" t="s">
        <v>191</v>
      </c>
      <c r="U41" s="3113" t="s">
        <v>110</v>
      </c>
      <c r="V41" s="3116" t="s">
        <v>118</v>
      </c>
    </row>
    <row r="42" spans="1:24">
      <c r="A42" s="2887" t="s">
        <v>412</v>
      </c>
      <c r="B42" s="3117">
        <v>49113</v>
      </c>
      <c r="C42" s="3117">
        <v>876339</v>
      </c>
      <c r="D42" s="3117">
        <v>456692.80641999998</v>
      </c>
      <c r="E42" s="3117">
        <v>74963</v>
      </c>
      <c r="F42" s="3117">
        <v>123377</v>
      </c>
      <c r="G42" s="3117">
        <v>142204</v>
      </c>
      <c r="H42" s="3118">
        <v>702958</v>
      </c>
      <c r="I42" s="3117">
        <v>10043.938</v>
      </c>
      <c r="J42" s="3117"/>
      <c r="K42" s="3117">
        <v>177352</v>
      </c>
      <c r="L42" s="3117">
        <v>212683.34136999</v>
      </c>
      <c r="M42" s="3117"/>
      <c r="N42" s="3117">
        <v>8922.7250600000007</v>
      </c>
      <c r="O42" s="3117"/>
      <c r="P42" s="3117">
        <v>127207</v>
      </c>
      <c r="Q42" s="3117">
        <v>911518</v>
      </c>
      <c r="R42" s="3117">
        <v>8404</v>
      </c>
      <c r="S42" s="3117">
        <v>351457.89457999996</v>
      </c>
      <c r="T42" s="3117"/>
      <c r="U42" s="3117"/>
      <c r="V42" s="3117">
        <f>SUM(B42:U42)</f>
        <v>4233235.7054299898</v>
      </c>
    </row>
    <row r="43" spans="1:24">
      <c r="A43" s="2887" t="s">
        <v>413</v>
      </c>
      <c r="B43" s="3117">
        <v>21325</v>
      </c>
      <c r="C43" s="3117">
        <v>11714</v>
      </c>
      <c r="D43" s="3117">
        <v>78293.02612000001</v>
      </c>
      <c r="E43" s="3117">
        <v>58307</v>
      </c>
      <c r="F43" s="3117">
        <v>2904</v>
      </c>
      <c r="G43" s="3117">
        <v>4304.34</v>
      </c>
      <c r="H43" s="3117">
        <v>111570</v>
      </c>
      <c r="I43" s="3117">
        <v>8216.9590000000007</v>
      </c>
      <c r="J43" s="3117"/>
      <c r="K43" s="3117">
        <v>18160</v>
      </c>
      <c r="L43" s="3117">
        <v>56230.392950000001</v>
      </c>
      <c r="M43" s="3117"/>
      <c r="N43" s="3117">
        <v>10646.739439999999</v>
      </c>
      <c r="O43" s="3117"/>
      <c r="P43" s="3117">
        <v>3439</v>
      </c>
      <c r="Q43" s="3117">
        <v>261551</v>
      </c>
      <c r="R43" s="3117">
        <v>0</v>
      </c>
      <c r="S43" s="3117">
        <v>167003.65231999996</v>
      </c>
      <c r="T43" s="3117"/>
      <c r="U43" s="3117"/>
      <c r="V43" s="3117">
        <f>SUM(B43:U43)</f>
        <v>813665.10982999997</v>
      </c>
    </row>
    <row r="44" spans="1:24">
      <c r="A44" s="2887" t="s">
        <v>414</v>
      </c>
      <c r="B44" s="3120">
        <v>34419</v>
      </c>
      <c r="C44" s="3120">
        <v>4117</v>
      </c>
      <c r="D44" s="3121">
        <v>47141.208510000026</v>
      </c>
      <c r="E44" s="3120">
        <v>9682.4</v>
      </c>
      <c r="F44" s="3120">
        <v>0</v>
      </c>
      <c r="G44" s="3117">
        <v>10634.916000000001</v>
      </c>
      <c r="H44" s="3117">
        <v>29986</v>
      </c>
      <c r="I44" s="3117">
        <v>9085.9629999999997</v>
      </c>
      <c r="J44" s="3117"/>
      <c r="K44" s="3117">
        <v>30567</v>
      </c>
      <c r="L44" s="3117">
        <v>28776</v>
      </c>
      <c r="M44" s="3117"/>
      <c r="N44" s="3117">
        <v>10794.82027</v>
      </c>
      <c r="O44" s="3117"/>
      <c r="P44" s="3117">
        <v>21542</v>
      </c>
      <c r="Q44" s="3117">
        <v>6953</v>
      </c>
      <c r="R44" s="3117">
        <v>4840</v>
      </c>
      <c r="S44" s="3117">
        <v>68054.211299999995</v>
      </c>
      <c r="T44" s="3117"/>
      <c r="U44" s="3117"/>
      <c r="V44" s="3117">
        <f>SUM(B44:U44)</f>
        <v>316593.51908</v>
      </c>
    </row>
    <row r="45" spans="1:24">
      <c r="A45" s="2887" t="s">
        <v>701</v>
      </c>
      <c r="B45" s="3120">
        <v>0</v>
      </c>
      <c r="C45" s="3120">
        <v>326</v>
      </c>
      <c r="D45" s="3121">
        <v>4351</v>
      </c>
      <c r="E45" s="3120">
        <v>19.600000000000001</v>
      </c>
      <c r="F45" s="3120">
        <v>1352</v>
      </c>
      <c r="G45" s="3117">
        <v>0</v>
      </c>
      <c r="H45" s="3117">
        <v>8723</v>
      </c>
      <c r="I45" s="3117">
        <v>0</v>
      </c>
      <c r="J45" s="3117"/>
      <c r="K45" s="3117">
        <v>103</v>
      </c>
      <c r="L45" s="3117">
        <v>0</v>
      </c>
      <c r="M45" s="3117"/>
      <c r="N45" s="3117">
        <v>0</v>
      </c>
      <c r="O45" s="3117"/>
      <c r="P45" s="3117">
        <v>0</v>
      </c>
      <c r="Q45" s="3117">
        <v>0</v>
      </c>
      <c r="R45" s="3117">
        <v>0</v>
      </c>
      <c r="S45" s="3117">
        <v>1169.4492399999999</v>
      </c>
      <c r="T45" s="3117"/>
      <c r="U45" s="3117"/>
      <c r="V45" s="3117">
        <f>SUM(B45:U45)</f>
        <v>16044.04924</v>
      </c>
    </row>
    <row r="46" spans="1:24">
      <c r="A46" s="2887" t="s">
        <v>416</v>
      </c>
      <c r="B46" s="3120">
        <v>10193</v>
      </c>
      <c r="C46" s="3120">
        <v>158320</v>
      </c>
      <c r="D46" s="3121">
        <v>155572.15371999994</v>
      </c>
      <c r="E46" s="3120">
        <v>30865.1</v>
      </c>
      <c r="F46" s="3120">
        <v>301673</v>
      </c>
      <c r="G46" s="3117">
        <v>41157.843999999997</v>
      </c>
      <c r="H46" s="3117">
        <v>313148</v>
      </c>
      <c r="I46" s="3117">
        <v>7633.9679999999998</v>
      </c>
      <c r="J46" s="3117"/>
      <c r="K46" s="3117">
        <v>35569</v>
      </c>
      <c r="L46" s="3117">
        <v>108057.75382001001</v>
      </c>
      <c r="M46" s="3117"/>
      <c r="N46" s="3117">
        <v>68698.090129999997</v>
      </c>
      <c r="O46" s="3117"/>
      <c r="P46" s="3117">
        <v>20073</v>
      </c>
      <c r="Q46" s="3117">
        <v>618756</v>
      </c>
      <c r="R46" s="3117">
        <v>28397</v>
      </c>
      <c r="S46" s="3117">
        <v>105872.67420000002</v>
      </c>
      <c r="T46" s="3117"/>
      <c r="U46" s="3117"/>
      <c r="V46" s="3117">
        <f>SUM(B46:U46)</f>
        <v>2003986.5838700098</v>
      </c>
    </row>
    <row r="47" spans="1:24">
      <c r="A47" s="3122" t="s">
        <v>118</v>
      </c>
      <c r="B47" s="3123">
        <f>SUM(B42:B46)</f>
        <v>115050</v>
      </c>
      <c r="C47" s="3123">
        <f t="shared" ref="C47:V47" si="4">SUM(C42:C46)</f>
        <v>1050816</v>
      </c>
      <c r="D47" s="3123">
        <f>SUM(D42:D46)</f>
        <v>742050.19476999994</v>
      </c>
      <c r="E47" s="3123">
        <f t="shared" si="4"/>
        <v>173837.1</v>
      </c>
      <c r="F47" s="3123">
        <f t="shared" si="4"/>
        <v>429306</v>
      </c>
      <c r="G47" s="3123">
        <f t="shared" si="4"/>
        <v>198301.09999999998</v>
      </c>
      <c r="H47" s="3123">
        <f t="shared" si="4"/>
        <v>1166385</v>
      </c>
      <c r="I47" s="3123">
        <f t="shared" si="4"/>
        <v>34980.828000000001</v>
      </c>
      <c r="J47" s="3123">
        <f t="shared" si="4"/>
        <v>0</v>
      </c>
      <c r="K47" s="3123">
        <f t="shared" si="4"/>
        <v>261751</v>
      </c>
      <c r="L47" s="3123">
        <f t="shared" si="4"/>
        <v>405747.48813999997</v>
      </c>
      <c r="M47" s="3123">
        <f t="shared" si="4"/>
        <v>0</v>
      </c>
      <c r="N47" s="3123">
        <f t="shared" si="4"/>
        <v>99062.374899999995</v>
      </c>
      <c r="O47" s="3123">
        <f t="shared" si="4"/>
        <v>0</v>
      </c>
      <c r="P47" s="3123">
        <f t="shared" si="4"/>
        <v>172261</v>
      </c>
      <c r="Q47" s="3123">
        <f t="shared" si="4"/>
        <v>1798778</v>
      </c>
      <c r="R47" s="3123">
        <f t="shared" si="4"/>
        <v>41641</v>
      </c>
      <c r="S47" s="3123">
        <f t="shared" si="4"/>
        <v>693557.88163999992</v>
      </c>
      <c r="T47" s="3123">
        <f t="shared" si="4"/>
        <v>0</v>
      </c>
      <c r="U47" s="3123">
        <f t="shared" si="4"/>
        <v>0</v>
      </c>
      <c r="V47" s="3123">
        <f t="shared" si="4"/>
        <v>7383524.9674499985</v>
      </c>
      <c r="W47" s="375" t="e">
        <f>+#REF!</f>
        <v>#REF!</v>
      </c>
      <c r="X47" s="14" t="e">
        <f>+V47-W47</f>
        <v>#REF!</v>
      </c>
    </row>
    <row r="50" spans="1:24">
      <c r="A50" s="3111" t="s">
        <v>746</v>
      </c>
      <c r="B50" s="3381"/>
      <c r="C50" s="3381"/>
      <c r="D50" s="3381"/>
      <c r="E50" s="3381"/>
      <c r="F50" s="3124"/>
    </row>
    <row r="51" spans="1:24">
      <c r="A51" s="3848" t="s">
        <v>709</v>
      </c>
      <c r="B51" s="373">
        <v>1</v>
      </c>
      <c r="C51" s="373">
        <v>2</v>
      </c>
      <c r="D51" s="373">
        <v>3</v>
      </c>
      <c r="E51" s="373">
        <v>4</v>
      </c>
      <c r="F51" s="373">
        <v>5</v>
      </c>
      <c r="G51" s="373">
        <v>6</v>
      </c>
      <c r="H51" s="373">
        <v>7</v>
      </c>
      <c r="I51" s="373">
        <v>8</v>
      </c>
      <c r="J51" s="373">
        <v>9</v>
      </c>
      <c r="K51" s="373">
        <v>10</v>
      </c>
      <c r="L51" s="373">
        <v>11</v>
      </c>
      <c r="M51" s="373">
        <v>12</v>
      </c>
      <c r="N51" s="373">
        <v>13</v>
      </c>
      <c r="O51" s="373">
        <v>14</v>
      </c>
      <c r="P51" s="373">
        <v>15</v>
      </c>
      <c r="Q51" s="373">
        <v>16</v>
      </c>
      <c r="R51" s="373">
        <v>17</v>
      </c>
      <c r="S51" s="373">
        <v>18</v>
      </c>
      <c r="T51" s="373">
        <v>19</v>
      </c>
      <c r="U51" s="373">
        <v>20</v>
      </c>
      <c r="V51" s="374"/>
    </row>
    <row r="52" spans="1:24">
      <c r="A52" s="3848"/>
      <c r="B52" s="3113" t="s">
        <v>175</v>
      </c>
      <c r="C52" s="3113" t="s">
        <v>177</v>
      </c>
      <c r="D52" s="3113" t="s">
        <v>179</v>
      </c>
      <c r="E52" s="3113" t="s">
        <v>180</v>
      </c>
      <c r="F52" s="3113" t="s">
        <v>181</v>
      </c>
      <c r="G52" s="3113" t="s">
        <v>182</v>
      </c>
      <c r="H52" s="3114" t="s">
        <v>183</v>
      </c>
      <c r="I52" s="3113" t="s">
        <v>184</v>
      </c>
      <c r="J52" s="3113" t="s">
        <v>185</v>
      </c>
      <c r="K52" s="3113" t="s">
        <v>186</v>
      </c>
      <c r="L52" s="3113" t="s">
        <v>187</v>
      </c>
      <c r="M52" s="3113" t="s">
        <v>189</v>
      </c>
      <c r="N52" s="3113" t="s">
        <v>190</v>
      </c>
      <c r="O52" s="3113" t="s">
        <v>681</v>
      </c>
      <c r="P52" s="3113" t="s">
        <v>192</v>
      </c>
      <c r="Q52" s="3113" t="s">
        <v>115</v>
      </c>
      <c r="R52" s="3113" t="s">
        <v>194</v>
      </c>
      <c r="S52" s="3113" t="s">
        <v>195</v>
      </c>
      <c r="T52" s="3113" t="s">
        <v>191</v>
      </c>
      <c r="U52" s="3113" t="s">
        <v>110</v>
      </c>
      <c r="V52" s="3116" t="s">
        <v>118</v>
      </c>
    </row>
    <row r="53" spans="1:24">
      <c r="A53" s="2887" t="s">
        <v>412</v>
      </c>
      <c r="B53" s="3117">
        <v>101656</v>
      </c>
      <c r="C53" s="3117">
        <v>724174</v>
      </c>
      <c r="D53" s="3117">
        <v>532586</v>
      </c>
      <c r="E53" s="3117">
        <v>112477</v>
      </c>
      <c r="F53" s="3117">
        <v>184615</v>
      </c>
      <c r="G53" s="3117"/>
      <c r="H53" s="3118">
        <v>1502828</v>
      </c>
      <c r="I53" s="3117">
        <v>16996.87629</v>
      </c>
      <c r="J53" s="3117">
        <v>-74.69</v>
      </c>
      <c r="K53" s="3117">
        <v>273743</v>
      </c>
      <c r="L53" s="3117">
        <v>354053</v>
      </c>
      <c r="M53" s="3117"/>
      <c r="N53" s="3117">
        <v>2148</v>
      </c>
      <c r="O53" s="3117"/>
      <c r="P53" s="3117"/>
      <c r="Q53" s="3117">
        <v>1524534.9330699998</v>
      </c>
      <c r="R53" s="3117">
        <v>2935</v>
      </c>
      <c r="S53" s="3117">
        <v>572134.05776999996</v>
      </c>
      <c r="T53" s="3117"/>
      <c r="U53" s="3117"/>
      <c r="V53" s="3117">
        <f>SUM(B53:U53)</f>
        <v>5904806.1771299997</v>
      </c>
      <c r="W53" s="58"/>
      <c r="X53" s="58"/>
    </row>
    <row r="54" spans="1:24">
      <c r="A54" s="2887" t="s">
        <v>413</v>
      </c>
      <c r="B54" s="3117">
        <v>25245</v>
      </c>
      <c r="C54" s="3117">
        <v>7290</v>
      </c>
      <c r="D54" s="3117">
        <v>82283</v>
      </c>
      <c r="E54" s="3117">
        <v>84729</v>
      </c>
      <c r="F54" s="3117">
        <v>10066</v>
      </c>
      <c r="G54" s="3117"/>
      <c r="H54" s="3117">
        <v>212170</v>
      </c>
      <c r="I54" s="3117">
        <v>9842.5018900000014</v>
      </c>
      <c r="J54" s="3117">
        <v>27.3</v>
      </c>
      <c r="K54" s="3117">
        <v>18825</v>
      </c>
      <c r="L54" s="3117">
        <v>39987</v>
      </c>
      <c r="M54" s="3117"/>
      <c r="N54" s="3117">
        <v>128</v>
      </c>
      <c r="O54" s="3117"/>
      <c r="P54" s="3117"/>
      <c r="Q54" s="3117">
        <v>270785.40514999995</v>
      </c>
      <c r="R54" s="3117">
        <v>0</v>
      </c>
      <c r="S54" s="3117">
        <v>131032.96777</v>
      </c>
      <c r="T54" s="3117"/>
      <c r="U54" s="3117"/>
      <c r="V54" s="3117">
        <f>SUM(B54:U54)</f>
        <v>892411.17481</v>
      </c>
      <c r="W54" s="58"/>
      <c r="X54" s="58"/>
    </row>
    <row r="55" spans="1:24">
      <c r="A55" s="2887" t="s">
        <v>414</v>
      </c>
      <c r="B55" s="3120">
        <v>23774</v>
      </c>
      <c r="C55" s="3120">
        <v>13315</v>
      </c>
      <c r="D55" s="3121">
        <v>31173</v>
      </c>
      <c r="E55" s="3120">
        <v>10222</v>
      </c>
      <c r="F55" s="3120">
        <v>1995</v>
      </c>
      <c r="G55" s="3117"/>
      <c r="H55" s="3117">
        <v>155417</v>
      </c>
      <c r="I55" s="3117">
        <v>13189.420330000001</v>
      </c>
      <c r="J55" s="3117">
        <v>7646.57</v>
      </c>
      <c r="K55" s="3117">
        <v>37176</v>
      </c>
      <c r="L55" s="3117">
        <v>73432</v>
      </c>
      <c r="M55" s="3117"/>
      <c r="N55" s="3117">
        <v>5411</v>
      </c>
      <c r="O55" s="3117"/>
      <c r="P55" s="3117"/>
      <c r="Q55" s="3117">
        <v>77061.244300000006</v>
      </c>
      <c r="R55" s="3117">
        <v>3672</v>
      </c>
      <c r="S55" s="3117">
        <v>80235.879799999995</v>
      </c>
      <c r="T55" s="3117"/>
      <c r="U55" s="3117"/>
      <c r="V55" s="3117">
        <f>SUM(B55:U55)</f>
        <v>533720.11443000007</v>
      </c>
      <c r="W55" s="58"/>
      <c r="X55" s="58"/>
    </row>
    <row r="56" spans="1:24">
      <c r="A56" s="2887" t="s">
        <v>701</v>
      </c>
      <c r="B56" s="3120">
        <v>0</v>
      </c>
      <c r="C56" s="3120">
        <v>0</v>
      </c>
      <c r="D56" s="3121">
        <v>6280</v>
      </c>
      <c r="E56" s="3120">
        <v>544</v>
      </c>
      <c r="F56" s="3120">
        <v>663</v>
      </c>
      <c r="G56" s="3117"/>
      <c r="H56" s="3117">
        <v>9202</v>
      </c>
      <c r="I56" s="3117">
        <v>0</v>
      </c>
      <c r="J56" s="3117">
        <v>0</v>
      </c>
      <c r="K56" s="3117">
        <v>1206</v>
      </c>
      <c r="L56" s="3117">
        <v>0</v>
      </c>
      <c r="M56" s="3117"/>
      <c r="N56" s="3117"/>
      <c r="O56" s="3117"/>
      <c r="P56" s="3117"/>
      <c r="Q56" s="3117">
        <v>5706.1039000000001</v>
      </c>
      <c r="R56" s="3117"/>
      <c r="S56" s="3117">
        <v>13183.327020000001</v>
      </c>
      <c r="T56" s="3117"/>
      <c r="U56" s="3117"/>
      <c r="V56" s="3117">
        <f>SUM(B56:U56)</f>
        <v>36784.430919999999</v>
      </c>
      <c r="W56" s="58"/>
      <c r="X56" s="58"/>
    </row>
    <row r="57" spans="1:24">
      <c r="A57" s="2887" t="s">
        <v>416</v>
      </c>
      <c r="B57" s="3120">
        <v>29625</v>
      </c>
      <c r="C57" s="3120">
        <v>164969</v>
      </c>
      <c r="D57" s="3121">
        <v>142599</v>
      </c>
      <c r="E57" s="3120">
        <v>49285</v>
      </c>
      <c r="F57" s="3120">
        <v>240853</v>
      </c>
      <c r="G57" s="3117"/>
      <c r="H57" s="3117">
        <v>243258</v>
      </c>
      <c r="I57" s="3117">
        <v>4926.8659600000001</v>
      </c>
      <c r="J57" s="3117">
        <v>-280.12</v>
      </c>
      <c r="K57" s="3117">
        <v>29509</v>
      </c>
      <c r="L57" s="3117">
        <v>87742</v>
      </c>
      <c r="M57" s="3117"/>
      <c r="N57" s="3117">
        <v>-4701</v>
      </c>
      <c r="O57" s="3117"/>
      <c r="P57" s="3117"/>
      <c r="Q57" s="3117">
        <v>795389.87997540005</v>
      </c>
      <c r="R57" s="3117">
        <v>13123</v>
      </c>
      <c r="S57" s="3117">
        <v>85306.418199999986</v>
      </c>
      <c r="T57" s="3117"/>
      <c r="U57" s="3117"/>
      <c r="V57" s="3117">
        <f>SUM(B57:U57)</f>
        <v>1881605.0441353999</v>
      </c>
      <c r="W57" s="58"/>
      <c r="X57" s="58"/>
    </row>
    <row r="58" spans="1:24">
      <c r="A58" s="3122" t="s">
        <v>118</v>
      </c>
      <c r="B58" s="3123">
        <f>SUM(B53:B57)</f>
        <v>180300</v>
      </c>
      <c r="C58" s="3123">
        <f t="shared" ref="C58:V58" si="5">SUM(C53:C57)</f>
        <v>909748</v>
      </c>
      <c r="D58" s="3123">
        <f>SUM(D53:D57)</f>
        <v>794921</v>
      </c>
      <c r="E58" s="3123">
        <f t="shared" si="5"/>
        <v>257257</v>
      </c>
      <c r="F58" s="3123">
        <f t="shared" si="5"/>
        <v>438192</v>
      </c>
      <c r="G58" s="3123">
        <f t="shared" si="5"/>
        <v>0</v>
      </c>
      <c r="H58" s="3123">
        <f t="shared" si="5"/>
        <v>2122875</v>
      </c>
      <c r="I58" s="3123">
        <f t="shared" si="5"/>
        <v>44955.664470000003</v>
      </c>
      <c r="J58" s="3123">
        <f t="shared" si="5"/>
        <v>7319.0599999999995</v>
      </c>
      <c r="K58" s="3123">
        <f t="shared" si="5"/>
        <v>360459</v>
      </c>
      <c r="L58" s="3123">
        <f t="shared" si="5"/>
        <v>555214</v>
      </c>
      <c r="M58" s="3123">
        <f t="shared" si="5"/>
        <v>0</v>
      </c>
      <c r="N58" s="3123">
        <f t="shared" si="5"/>
        <v>2986</v>
      </c>
      <c r="O58" s="3123">
        <f t="shared" si="5"/>
        <v>0</v>
      </c>
      <c r="P58" s="3123">
        <f t="shared" si="5"/>
        <v>0</v>
      </c>
      <c r="Q58" s="3123">
        <f t="shared" si="5"/>
        <v>2673477.5663953996</v>
      </c>
      <c r="R58" s="3123">
        <f t="shared" si="5"/>
        <v>19730</v>
      </c>
      <c r="S58" s="3123">
        <f t="shared" si="5"/>
        <v>881892.65055999986</v>
      </c>
      <c r="T58" s="3123">
        <f t="shared" si="5"/>
        <v>0</v>
      </c>
      <c r="U58" s="3123">
        <f t="shared" si="5"/>
        <v>0</v>
      </c>
      <c r="V58" s="3123">
        <f t="shared" si="5"/>
        <v>9249326.9414253999</v>
      </c>
      <c r="W58" s="375" t="e">
        <f>+#REF!</f>
        <v>#REF!</v>
      </c>
      <c r="X58" s="58" t="e">
        <f>+V58-W58</f>
        <v>#REF!</v>
      </c>
    </row>
    <row r="61" spans="1:24">
      <c r="J61" s="14"/>
    </row>
  </sheetData>
  <customSheetViews>
    <customSheetView guid="{5E394B0B-7867-4722-9497-A93AB2A9A773}" showPageBreaks="1" state="hidden" topLeftCell="K43">
      <selection activeCell="V67" sqref="V67"/>
      <pageMargins left="0" right="0" top="0" bottom="0" header="0" footer="0"/>
      <pageSetup orientation="portrait" r:id="rId1"/>
    </customSheetView>
    <customSheetView guid="{B1E1B596-A9A1-411D-A882-A48CB025B978}" state="hidden" topLeftCell="K43">
      <selection activeCell="V67" sqref="V67"/>
      <pageMargins left="0" right="0" top="0" bottom="0" header="0" footer="0"/>
      <pageSetup orientation="portrait" r:id="rId2"/>
    </customSheetView>
    <customSheetView guid="{46F31544-8E6F-41C5-8628-1D6EE074AF15}" state="hidden" topLeftCell="K43">
      <selection activeCell="V67" sqref="V67"/>
      <pageMargins left="0" right="0" top="0" bottom="0" header="0" footer="0"/>
      <pageSetup orientation="portrait" r:id="rId3"/>
    </customSheetView>
    <customSheetView guid="{B2E1A0C6-5BA1-4CF1-B412-16D81FCDF11F}" state="hidden" topLeftCell="K43">
      <selection activeCell="V67" sqref="V67"/>
      <pageMargins left="0" right="0" top="0" bottom="0" header="0" footer="0"/>
      <pageSetup orientation="portrait" r:id="rId4"/>
    </customSheetView>
    <customSheetView guid="{967E0446-E234-427F-8E57-7FE287052E2E}" showPageBreaks="1" state="hidden" topLeftCell="K43">
      <selection activeCell="V67" sqref="V67"/>
      <pageMargins left="0" right="0" top="0" bottom="0" header="0" footer="0"/>
      <pageSetup orientation="portrait" r:id="rId5"/>
    </customSheetView>
    <customSheetView guid="{2ACFE167-4169-43A6-9AB2-59D5A2DA2DB4}" showPageBreaks="1" state="hidden" topLeftCell="K43">
      <selection activeCell="V67" sqref="V67"/>
      <pageMargins left="0" right="0" top="0" bottom="0" header="0" footer="0"/>
      <pageSetup orientation="portrait" r:id="rId6"/>
    </customSheetView>
  </customSheetViews>
  <mergeCells count="4">
    <mergeCell ref="A5:A6"/>
    <mergeCell ref="A16:A17"/>
    <mergeCell ref="A40:A41"/>
    <mergeCell ref="A51:A52"/>
  </mergeCells>
  <pageMargins left="0.7" right="0.7" top="0.75" bottom="0.75" header="0.3" footer="0.3"/>
  <pageSetup orientation="portrait" r:id="rId7"/>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dimension ref="A2:K421"/>
  <sheetViews>
    <sheetView view="pageBreakPreview" topLeftCell="C1" zoomScale="60" zoomScaleNormal="60" workbookViewId="0">
      <selection activeCell="F4" sqref="F4"/>
    </sheetView>
  </sheetViews>
  <sheetFormatPr defaultColWidth="9.140625" defaultRowHeight="15"/>
  <cols>
    <col min="1" max="1" width="3" hidden="1" customWidth="1"/>
    <col min="2" max="2" width="14.140625" hidden="1" customWidth="1"/>
    <col min="4" max="4" width="37.28515625" customWidth="1"/>
    <col min="5" max="5" width="15.42578125" customWidth="1"/>
    <col min="6" max="6" width="13.85546875" customWidth="1"/>
    <col min="7" max="7" width="12.28515625" bestFit="1" customWidth="1"/>
    <col min="8" max="8" width="14.7109375" customWidth="1"/>
    <col min="9" max="9" width="19" hidden="1" customWidth="1"/>
    <col min="10" max="10" width="14.7109375" hidden="1" customWidth="1"/>
    <col min="11" max="11" width="12.28515625" hidden="1" customWidth="1"/>
  </cols>
  <sheetData>
    <row r="2" spans="4:11">
      <c r="D2" s="259" t="s">
        <v>747</v>
      </c>
      <c r="E2" s="89"/>
    </row>
    <row r="3" spans="4:11">
      <c r="D3" s="89"/>
      <c r="E3" s="195" t="s">
        <v>748</v>
      </c>
      <c r="F3" t="s">
        <v>749</v>
      </c>
      <c r="G3" t="s">
        <v>750</v>
      </c>
    </row>
    <row r="4" spans="4:11">
      <c r="D4" s="2009" t="s">
        <v>222</v>
      </c>
      <c r="E4" s="3169">
        <f>+E5+E6+E7</f>
        <v>1903091.7616823949</v>
      </c>
      <c r="F4" s="3169" t="e">
        <f>+F5+F6+F7</f>
        <v>#REF!</v>
      </c>
      <c r="G4" s="14" t="e">
        <f>+E4+F4</f>
        <v>#REF!</v>
      </c>
      <c r="I4" t="s">
        <v>222</v>
      </c>
      <c r="J4" s="14">
        <f>+E4</f>
        <v>1903091.7616823949</v>
      </c>
      <c r="K4" s="9">
        <f t="shared" ref="K4:K9" si="0">+J4/$J$10*100</f>
        <v>56.203422813168082</v>
      </c>
    </row>
    <row r="5" spans="4:11">
      <c r="D5" s="3170" t="s">
        <v>628</v>
      </c>
      <c r="E5" s="3169">
        <f t="shared" ref="E5:E22" si="1">+E28+E50+E72+E94+E116+E138+E160+E182+E204+E226+E248+E270+E292+E314+E336+E358+E380+E402</f>
        <v>1230984.556053506</v>
      </c>
      <c r="F5" s="193" t="e">
        <f>VLOOKUP(D5,#REF!,11,0)</f>
        <v>#REF!</v>
      </c>
      <c r="G5" s="14" t="e">
        <f t="shared" ref="G5:G22" si="2">+E5+F5</f>
        <v>#REF!</v>
      </c>
      <c r="I5" t="s">
        <v>631</v>
      </c>
      <c r="J5" s="14">
        <f>+E8</f>
        <v>746090.20277000009</v>
      </c>
      <c r="K5" s="9">
        <f t="shared" si="0"/>
        <v>22.034052149947119</v>
      </c>
    </row>
    <row r="6" spans="4:11">
      <c r="D6" s="3170" t="s">
        <v>629</v>
      </c>
      <c r="E6" s="3169">
        <f t="shared" si="1"/>
        <v>419569.02813888894</v>
      </c>
      <c r="F6" s="193" t="e">
        <f>VLOOKUP(D6,#REF!,11,0)</f>
        <v>#REF!</v>
      </c>
      <c r="G6" s="14" t="e">
        <f t="shared" si="2"/>
        <v>#REF!</v>
      </c>
      <c r="I6" t="s">
        <v>634</v>
      </c>
      <c r="J6" s="14">
        <f>+E11</f>
        <v>276462.51550225273</v>
      </c>
      <c r="K6" s="9">
        <f t="shared" si="0"/>
        <v>8.1646823151758721</v>
      </c>
    </row>
    <row r="7" spans="4:11">
      <c r="D7" s="3170" t="s">
        <v>751</v>
      </c>
      <c r="E7" s="3169">
        <f t="shared" si="1"/>
        <v>252538.17748999997</v>
      </c>
      <c r="F7" s="193" t="e">
        <f>VLOOKUP(D7,#REF!,11,0)</f>
        <v>#REF!</v>
      </c>
      <c r="G7" s="14" t="e">
        <f t="shared" si="2"/>
        <v>#REF!</v>
      </c>
      <c r="I7" t="s">
        <v>639</v>
      </c>
      <c r="J7" s="14">
        <f>+E16</f>
        <v>420</v>
      </c>
      <c r="K7" s="9">
        <f t="shared" si="0"/>
        <v>1.2403730632863768E-2</v>
      </c>
    </row>
    <row r="8" spans="4:11">
      <c r="D8" s="3171" t="s">
        <v>631</v>
      </c>
      <c r="E8" s="3169">
        <f>+E9+E10</f>
        <v>746090.20277000009</v>
      </c>
      <c r="F8" s="3169" t="e">
        <f>+F9+F10</f>
        <v>#REF!</v>
      </c>
      <c r="G8" s="14" t="e">
        <f t="shared" si="2"/>
        <v>#REF!</v>
      </c>
      <c r="I8" t="s">
        <v>226</v>
      </c>
      <c r="J8" s="14">
        <f>+E17</f>
        <v>295890.64619</v>
      </c>
      <c r="K8" s="9">
        <f t="shared" si="0"/>
        <v>8.738447314582757</v>
      </c>
    </row>
    <row r="9" spans="4:11">
      <c r="D9" s="3170" t="s">
        <v>632</v>
      </c>
      <c r="E9" s="3169">
        <f t="shared" si="1"/>
        <v>123811.71694000004</v>
      </c>
      <c r="F9" s="193" t="e">
        <f>VLOOKUP(D9,#REF!,11,0)</f>
        <v>#REF!</v>
      </c>
      <c r="G9" s="14" t="e">
        <f t="shared" si="2"/>
        <v>#REF!</v>
      </c>
      <c r="I9" t="s">
        <v>752</v>
      </c>
      <c r="J9" s="14">
        <f>+E20+E21+E22</f>
        <v>164122.92111</v>
      </c>
      <c r="K9" s="9">
        <f t="shared" si="0"/>
        <v>4.8469916764933103</v>
      </c>
    </row>
    <row r="10" spans="4:11">
      <c r="D10" s="3170" t="s">
        <v>633</v>
      </c>
      <c r="E10" s="3169">
        <f t="shared" si="1"/>
        <v>622278.48583000002</v>
      </c>
      <c r="F10" s="193" t="e">
        <f>VLOOKUP(D10,#REF!,11,0)</f>
        <v>#REF!</v>
      </c>
      <c r="G10" s="14" t="e">
        <f t="shared" si="2"/>
        <v>#REF!</v>
      </c>
      <c r="J10" s="14">
        <f>SUM(J4:J9)</f>
        <v>3386078.0472546476</v>
      </c>
    </row>
    <row r="11" spans="4:11">
      <c r="D11" s="3171" t="s">
        <v>634</v>
      </c>
      <c r="E11" s="3169">
        <f>+E12+E13+E14+E15</f>
        <v>276462.51550225273</v>
      </c>
      <c r="F11" s="3169" t="e">
        <f>+F12+F13+F14+F15</f>
        <v>#REF!</v>
      </c>
      <c r="G11" s="14" t="e">
        <f t="shared" si="2"/>
        <v>#REF!</v>
      </c>
    </row>
    <row r="12" spans="4:11">
      <c r="D12" s="3170" t="s">
        <v>635</v>
      </c>
      <c r="E12" s="3169">
        <f t="shared" si="1"/>
        <v>207239.62583999999</v>
      </c>
      <c r="F12" s="193" t="e">
        <f>VLOOKUP(D12,#REF!,11,0)</f>
        <v>#REF!</v>
      </c>
      <c r="G12" s="14" t="e">
        <f t="shared" si="2"/>
        <v>#REF!</v>
      </c>
    </row>
    <row r="13" spans="4:11">
      <c r="D13" s="3170" t="s">
        <v>636</v>
      </c>
      <c r="E13" s="3169">
        <f t="shared" si="1"/>
        <v>36069.382442252747</v>
      </c>
      <c r="F13" s="193" t="e">
        <f>VLOOKUP(D13,#REF!,11,0)</f>
        <v>#REF!</v>
      </c>
      <c r="G13" s="14" t="e">
        <f t="shared" si="2"/>
        <v>#REF!</v>
      </c>
    </row>
    <row r="14" spans="4:11">
      <c r="D14" s="3170" t="s">
        <v>651</v>
      </c>
      <c r="E14" s="3169">
        <f t="shared" si="1"/>
        <v>0</v>
      </c>
      <c r="F14" s="193" t="e">
        <f>VLOOKUP(D14,#REF!,11,0)</f>
        <v>#REF!</v>
      </c>
      <c r="G14" s="14" t="e">
        <f t="shared" si="2"/>
        <v>#REF!</v>
      </c>
    </row>
    <row r="15" spans="4:11">
      <c r="D15" s="3170" t="s">
        <v>652</v>
      </c>
      <c r="E15" s="3169">
        <f t="shared" si="1"/>
        <v>33153.50722</v>
      </c>
      <c r="F15" s="193" t="e">
        <f>VLOOKUP(D15,#REF!,11,0)</f>
        <v>#REF!</v>
      </c>
      <c r="G15" s="14" t="e">
        <f t="shared" si="2"/>
        <v>#REF!</v>
      </c>
    </row>
    <row r="16" spans="4:11">
      <c r="D16" s="3171" t="s">
        <v>639</v>
      </c>
      <c r="E16" s="3169">
        <f>+E39+E61+E83+E105+E127+E149+E171+E193+E215+E237+E259+E281+E303+E325+E347+E369+E391+E413</f>
        <v>420</v>
      </c>
      <c r="F16" s="193" t="e">
        <f>VLOOKUP(D16,#REF!,11,0)</f>
        <v>#REF!</v>
      </c>
      <c r="G16" s="14" t="e">
        <f t="shared" si="2"/>
        <v>#REF!</v>
      </c>
    </row>
    <row r="17" spans="1:8">
      <c r="D17" s="3171" t="s">
        <v>226</v>
      </c>
      <c r="E17" s="3169">
        <f>+E18+E19</f>
        <v>295890.64619</v>
      </c>
      <c r="F17" s="3169" t="e">
        <f>+F18+F19</f>
        <v>#REF!</v>
      </c>
      <c r="G17" s="14" t="e">
        <f t="shared" si="2"/>
        <v>#REF!</v>
      </c>
    </row>
    <row r="18" spans="1:8">
      <c r="D18" s="3172" t="s">
        <v>641</v>
      </c>
      <c r="E18" s="3169">
        <f t="shared" si="1"/>
        <v>266970.12806999998</v>
      </c>
      <c r="F18" s="193" t="e">
        <f>VLOOKUP(D18,#REF!,11,0)</f>
        <v>#REF!</v>
      </c>
      <c r="G18" s="14" t="e">
        <f t="shared" si="2"/>
        <v>#REF!</v>
      </c>
    </row>
    <row r="19" spans="1:8">
      <c r="D19" s="3170" t="s">
        <v>642</v>
      </c>
      <c r="E19" s="3169">
        <f t="shared" si="1"/>
        <v>28920.518120000001</v>
      </c>
      <c r="F19" s="193" t="e">
        <f>VLOOKUP(D19,#REF!,11,0)</f>
        <v>#REF!</v>
      </c>
      <c r="G19" s="14" t="e">
        <f t="shared" si="2"/>
        <v>#REF!</v>
      </c>
    </row>
    <row r="20" spans="1:8">
      <c r="D20" s="3171" t="s">
        <v>643</v>
      </c>
      <c r="E20" s="3169">
        <f t="shared" si="1"/>
        <v>30015.711460000002</v>
      </c>
      <c r="F20" s="193" t="e">
        <f>VLOOKUP(D20,#REF!,11,0)</f>
        <v>#REF!</v>
      </c>
      <c r="G20" s="14" t="e">
        <f t="shared" si="2"/>
        <v>#REF!</v>
      </c>
    </row>
    <row r="21" spans="1:8">
      <c r="D21" s="3171" t="s">
        <v>644</v>
      </c>
      <c r="E21" s="3169">
        <f t="shared" si="1"/>
        <v>6369</v>
      </c>
      <c r="F21" s="193" t="e">
        <f>VLOOKUP(D21,#REF!,11,0)</f>
        <v>#REF!</v>
      </c>
      <c r="G21" s="14" t="e">
        <f t="shared" si="2"/>
        <v>#REF!</v>
      </c>
    </row>
    <row r="22" spans="1:8">
      <c r="D22" s="3171" t="s">
        <v>753</v>
      </c>
      <c r="E22" s="3169">
        <f t="shared" si="1"/>
        <v>127738.20965</v>
      </c>
      <c r="F22" s="193" t="e">
        <f>VLOOKUP(D22,#REF!,11,0)</f>
        <v>#REF!</v>
      </c>
      <c r="G22" s="14" t="e">
        <f t="shared" si="2"/>
        <v>#REF!</v>
      </c>
    </row>
    <row r="23" spans="1:8">
      <c r="D23" s="3173" t="s">
        <v>754</v>
      </c>
      <c r="E23" s="3169">
        <f>+E4+E8+E11+E16+E17+E20+E21+E22</f>
        <v>3386078.0472546476</v>
      </c>
      <c r="F23" s="14" t="e">
        <f>+F4+F8+F11+F16+F17+F20+F21+F22</f>
        <v>#REF!</v>
      </c>
      <c r="G23" s="14" t="e">
        <f>+G4+G8+G11+G16+G17+G20+G21+G22</f>
        <v>#REF!</v>
      </c>
      <c r="H23" s="193"/>
    </row>
    <row r="25" spans="1:8">
      <c r="A25" s="43">
        <v>1</v>
      </c>
      <c r="B25" s="2089" t="s">
        <v>175</v>
      </c>
      <c r="C25" s="3059" t="s">
        <v>755</v>
      </c>
      <c r="F25" s="193">
        <f>+'P &amp; L - GI - 2012 '!H24</f>
        <v>3386939.522284647</v>
      </c>
      <c r="G25" s="193">
        <f>+E23-F25</f>
        <v>-861.47502999939024</v>
      </c>
    </row>
    <row r="26" spans="1:8">
      <c r="D26" s="89"/>
      <c r="E26" s="195" t="s">
        <v>748</v>
      </c>
    </row>
    <row r="27" spans="1:8">
      <c r="D27" s="2009" t="s">
        <v>222</v>
      </c>
      <c r="E27" s="2980"/>
    </row>
    <row r="28" spans="1:8">
      <c r="D28" s="3170" t="s">
        <v>628</v>
      </c>
      <c r="E28" s="3174">
        <v>5679.0895</v>
      </c>
    </row>
    <row r="29" spans="1:8">
      <c r="D29" s="3170" t="s">
        <v>629</v>
      </c>
      <c r="E29" s="3174">
        <v>94.905000000000001</v>
      </c>
    </row>
    <row r="30" spans="1:8">
      <c r="D30" s="3170" t="s">
        <v>751</v>
      </c>
      <c r="E30" s="3174">
        <v>25639.571230000001</v>
      </c>
    </row>
    <row r="31" spans="1:8">
      <c r="D31" s="3171" t="s">
        <v>631</v>
      </c>
      <c r="E31" s="3174">
        <v>0</v>
      </c>
    </row>
    <row r="32" spans="1:8">
      <c r="D32" s="3170" t="s">
        <v>632</v>
      </c>
      <c r="E32" s="3174">
        <v>-275874.18642000004</v>
      </c>
    </row>
    <row r="33" spans="1:5">
      <c r="D33" s="3170" t="s">
        <v>633</v>
      </c>
      <c r="E33" s="3174">
        <v>34491.375030000003</v>
      </c>
    </row>
    <row r="34" spans="1:5">
      <c r="D34" s="3171" t="s">
        <v>634</v>
      </c>
      <c r="E34" s="3174">
        <v>0</v>
      </c>
    </row>
    <row r="35" spans="1:5">
      <c r="D35" s="3170" t="s">
        <v>635</v>
      </c>
      <c r="E35" s="3174">
        <v>0</v>
      </c>
    </row>
    <row r="36" spans="1:5">
      <c r="D36" s="3170" t="s">
        <v>636</v>
      </c>
      <c r="E36" s="3174">
        <v>13570.908359999999</v>
      </c>
    </row>
    <row r="37" spans="1:5">
      <c r="D37" s="3170" t="s">
        <v>651</v>
      </c>
      <c r="E37" s="3174">
        <v>0</v>
      </c>
    </row>
    <row r="38" spans="1:5">
      <c r="D38" s="3170" t="s">
        <v>652</v>
      </c>
      <c r="E38" s="3174">
        <v>0</v>
      </c>
    </row>
    <row r="39" spans="1:5">
      <c r="D39" s="3171" t="s">
        <v>639</v>
      </c>
      <c r="E39" s="3174">
        <v>0</v>
      </c>
    </row>
    <row r="40" spans="1:5">
      <c r="D40" s="3171" t="s">
        <v>226</v>
      </c>
      <c r="E40" s="3174">
        <v>0</v>
      </c>
    </row>
    <row r="41" spans="1:5">
      <c r="D41" s="3172" t="s">
        <v>641</v>
      </c>
      <c r="E41" s="3174">
        <v>765.70690999999999</v>
      </c>
    </row>
    <row r="42" spans="1:5">
      <c r="D42" s="3170" t="s">
        <v>642</v>
      </c>
      <c r="E42" s="3174">
        <v>0</v>
      </c>
    </row>
    <row r="43" spans="1:5">
      <c r="D43" s="3171" t="s">
        <v>643</v>
      </c>
      <c r="E43" s="3174">
        <v>0</v>
      </c>
    </row>
    <row r="44" spans="1:5">
      <c r="D44" s="3171" t="s">
        <v>644</v>
      </c>
      <c r="E44" s="3174">
        <v>0</v>
      </c>
    </row>
    <row r="45" spans="1:5">
      <c r="D45" s="3171" t="s">
        <v>753</v>
      </c>
      <c r="E45" s="3174">
        <v>0</v>
      </c>
    </row>
    <row r="46" spans="1:5">
      <c r="D46" s="3173" t="s">
        <v>754</v>
      </c>
      <c r="E46" s="3175">
        <f>SUM(E28:E45)</f>
        <v>-195632.63039000003</v>
      </c>
    </row>
    <row r="47" spans="1:5">
      <c r="A47" s="43">
        <v>2</v>
      </c>
      <c r="B47" s="2089" t="s">
        <v>177</v>
      </c>
      <c r="C47" s="3059" t="s">
        <v>756</v>
      </c>
    </row>
    <row r="48" spans="1:5">
      <c r="D48" s="89"/>
      <c r="E48" s="195" t="s">
        <v>748</v>
      </c>
    </row>
    <row r="49" spans="4:5">
      <c r="D49" s="2009" t="s">
        <v>222</v>
      </c>
      <c r="E49" s="2980"/>
    </row>
    <row r="50" spans="4:5">
      <c r="D50" s="3170" t="s">
        <v>628</v>
      </c>
      <c r="E50" s="3174">
        <v>94577</v>
      </c>
    </row>
    <row r="51" spans="4:5">
      <c r="D51" s="3170" t="s">
        <v>629</v>
      </c>
      <c r="E51" s="3174">
        <v>2136</v>
      </c>
    </row>
    <row r="52" spans="4:5">
      <c r="D52" s="3170" t="s">
        <v>751</v>
      </c>
      <c r="E52" s="3174">
        <v>3580</v>
      </c>
    </row>
    <row r="53" spans="4:5">
      <c r="D53" s="3171" t="s">
        <v>631</v>
      </c>
      <c r="E53" s="3174"/>
    </row>
    <row r="54" spans="4:5">
      <c r="D54" s="3170" t="s">
        <v>632</v>
      </c>
      <c r="E54" s="3174"/>
    </row>
    <row r="55" spans="4:5">
      <c r="D55" s="3170" t="s">
        <v>633</v>
      </c>
      <c r="E55" s="3174"/>
    </row>
    <row r="56" spans="4:5">
      <c r="D56" s="3171" t="s">
        <v>634</v>
      </c>
      <c r="E56" s="3174"/>
    </row>
    <row r="57" spans="4:5">
      <c r="D57" s="3170" t="s">
        <v>635</v>
      </c>
      <c r="E57" s="3174">
        <v>2300</v>
      </c>
    </row>
    <row r="58" spans="4:5">
      <c r="D58" s="3170" t="s">
        <v>636</v>
      </c>
      <c r="E58" s="3174">
        <v>575</v>
      </c>
    </row>
    <row r="59" spans="4:5">
      <c r="D59" s="3170" t="s">
        <v>651</v>
      </c>
      <c r="E59" s="3174"/>
    </row>
    <row r="60" spans="4:5">
      <c r="D60" s="3170" t="s">
        <v>652</v>
      </c>
      <c r="E60" s="3174"/>
    </row>
    <row r="61" spans="4:5">
      <c r="D61" s="3171" t="s">
        <v>639</v>
      </c>
      <c r="E61" s="3174"/>
    </row>
    <row r="62" spans="4:5">
      <c r="D62" s="3171" t="s">
        <v>226</v>
      </c>
      <c r="E62" s="3174"/>
    </row>
    <row r="63" spans="4:5">
      <c r="D63" s="3172" t="s">
        <v>641</v>
      </c>
      <c r="E63" s="3174">
        <v>2600</v>
      </c>
    </row>
    <row r="64" spans="4:5">
      <c r="D64" s="3170" t="s">
        <v>642</v>
      </c>
      <c r="E64" s="3174"/>
    </row>
    <row r="65" spans="1:5">
      <c r="D65" s="3171" t="s">
        <v>643</v>
      </c>
      <c r="E65" s="3174"/>
    </row>
    <row r="66" spans="1:5">
      <c r="D66" s="3171" t="s">
        <v>644</v>
      </c>
      <c r="E66" s="3174"/>
    </row>
    <row r="67" spans="1:5">
      <c r="D67" s="3171" t="s">
        <v>753</v>
      </c>
      <c r="E67" s="3174"/>
    </row>
    <row r="68" spans="1:5">
      <c r="D68" s="3173" t="s">
        <v>754</v>
      </c>
      <c r="E68" s="3175">
        <f>SUM(E50:E67)</f>
        <v>105768</v>
      </c>
    </row>
    <row r="69" spans="1:5">
      <c r="A69" s="43">
        <v>3</v>
      </c>
      <c r="B69" s="2089" t="s">
        <v>179</v>
      </c>
      <c r="C69" s="3059" t="s">
        <v>757</v>
      </c>
    </row>
    <row r="70" spans="1:5">
      <c r="D70" s="89"/>
      <c r="E70" s="195" t="s">
        <v>748</v>
      </c>
    </row>
    <row r="71" spans="1:5">
      <c r="D71" s="2009" t="s">
        <v>222</v>
      </c>
      <c r="E71" s="2980"/>
    </row>
    <row r="72" spans="1:5">
      <c r="D72" s="3170" t="s">
        <v>628</v>
      </c>
      <c r="E72" s="3174">
        <v>169070.06278000001</v>
      </c>
    </row>
    <row r="73" spans="1:5">
      <c r="D73" s="3170" t="s">
        <v>629</v>
      </c>
      <c r="E73" s="3174">
        <v>59498.034520000001</v>
      </c>
    </row>
    <row r="74" spans="1:5">
      <c r="D74" s="3170" t="s">
        <v>751</v>
      </c>
      <c r="E74" s="3174">
        <v>17823.08554</v>
      </c>
    </row>
    <row r="75" spans="1:5">
      <c r="D75" s="3171" t="s">
        <v>631</v>
      </c>
      <c r="E75" s="3174"/>
    </row>
    <row r="76" spans="1:5">
      <c r="D76" s="3170" t="s">
        <v>632</v>
      </c>
      <c r="E76" s="3174">
        <v>44241</v>
      </c>
    </row>
    <row r="77" spans="1:5">
      <c r="D77" s="3170" t="s">
        <v>633</v>
      </c>
      <c r="E77" s="3174">
        <v>11707.330099999999</v>
      </c>
    </row>
    <row r="78" spans="1:5">
      <c r="D78" s="3171" t="s">
        <v>634</v>
      </c>
      <c r="E78" s="3174"/>
    </row>
    <row r="79" spans="1:5">
      <c r="D79" s="3170" t="s">
        <v>635</v>
      </c>
      <c r="E79" s="3174">
        <v>9346.4383400000006</v>
      </c>
    </row>
    <row r="80" spans="1:5">
      <c r="D80" s="3170" t="s">
        <v>636</v>
      </c>
      <c r="E80" s="3174">
        <v>882.04908999999998</v>
      </c>
    </row>
    <row r="81" spans="1:5">
      <c r="D81" s="3170" t="s">
        <v>651</v>
      </c>
      <c r="E81" s="3174">
        <v>0</v>
      </c>
    </row>
    <row r="82" spans="1:5">
      <c r="D82" s="3170" t="s">
        <v>652</v>
      </c>
      <c r="E82" s="3174">
        <v>0</v>
      </c>
    </row>
    <row r="83" spans="1:5">
      <c r="D83" s="3171" t="s">
        <v>639</v>
      </c>
      <c r="E83" s="3174">
        <v>0</v>
      </c>
    </row>
    <row r="84" spans="1:5">
      <c r="D84" s="3171" t="s">
        <v>226</v>
      </c>
      <c r="E84" s="3174"/>
    </row>
    <row r="85" spans="1:5">
      <c r="D85" s="3172" t="s">
        <v>641</v>
      </c>
      <c r="E85" s="3174">
        <v>5193.6986399999996</v>
      </c>
    </row>
    <row r="86" spans="1:5">
      <c r="D86" s="3170" t="s">
        <v>642</v>
      </c>
      <c r="E86" s="3174">
        <v>0</v>
      </c>
    </row>
    <row r="87" spans="1:5">
      <c r="D87" s="3171" t="s">
        <v>643</v>
      </c>
      <c r="E87" s="3174"/>
    </row>
    <row r="88" spans="1:5">
      <c r="D88" s="3171" t="s">
        <v>644</v>
      </c>
      <c r="E88" s="3174">
        <v>0</v>
      </c>
    </row>
    <row r="89" spans="1:5">
      <c r="D89" s="3171" t="s">
        <v>753</v>
      </c>
      <c r="E89" s="3174"/>
    </row>
    <row r="90" spans="1:5">
      <c r="D90" s="3173" t="s">
        <v>754</v>
      </c>
      <c r="E90" s="3175">
        <f>SUM(E72:E89)</f>
        <v>317761.69901000004</v>
      </c>
    </row>
    <row r="91" spans="1:5">
      <c r="A91" s="43">
        <v>4</v>
      </c>
      <c r="B91" s="2089" t="s">
        <v>180</v>
      </c>
      <c r="C91" s="3059" t="s">
        <v>126</v>
      </c>
    </row>
    <row r="92" spans="1:5">
      <c r="D92" s="89"/>
      <c r="E92" s="195" t="s">
        <v>748</v>
      </c>
    </row>
    <row r="93" spans="1:5">
      <c r="D93" s="2009" t="s">
        <v>222</v>
      </c>
      <c r="E93" s="2980"/>
    </row>
    <row r="94" spans="1:5">
      <c r="D94" s="3170" t="s">
        <v>628</v>
      </c>
      <c r="E94" s="3174">
        <v>0</v>
      </c>
    </row>
    <row r="95" spans="1:5">
      <c r="D95" s="3170" t="s">
        <v>629</v>
      </c>
      <c r="E95" s="3174">
        <v>23027.239999999998</v>
      </c>
    </row>
    <row r="96" spans="1:5">
      <c r="D96" s="3170" t="s">
        <v>751</v>
      </c>
      <c r="E96" s="3174"/>
    </row>
    <row r="97" spans="4:5">
      <c r="D97" s="3171" t="s">
        <v>631</v>
      </c>
      <c r="E97" s="3174"/>
    </row>
    <row r="98" spans="4:5">
      <c r="D98" s="3170" t="s">
        <v>632</v>
      </c>
      <c r="E98" s="3174">
        <v>-44531.953000000001</v>
      </c>
    </row>
    <row r="99" spans="4:5">
      <c r="D99" s="3170" t="s">
        <v>633</v>
      </c>
      <c r="E99" s="3174">
        <v>31928.5</v>
      </c>
    </row>
    <row r="100" spans="4:5">
      <c r="D100" s="3171" t="s">
        <v>634</v>
      </c>
      <c r="E100" s="3174"/>
    </row>
    <row r="101" spans="4:5">
      <c r="D101" s="3170" t="s">
        <v>635</v>
      </c>
      <c r="E101" s="3174"/>
    </row>
    <row r="102" spans="4:5">
      <c r="D102" s="3170" t="s">
        <v>636</v>
      </c>
      <c r="E102" s="3174"/>
    </row>
    <row r="103" spans="4:5">
      <c r="D103" s="3170" t="s">
        <v>651</v>
      </c>
      <c r="E103" s="3174"/>
    </row>
    <row r="104" spans="4:5">
      <c r="D104" s="3170" t="s">
        <v>652</v>
      </c>
      <c r="E104" s="3174"/>
    </row>
    <row r="105" spans="4:5">
      <c r="D105" s="3171" t="s">
        <v>639</v>
      </c>
      <c r="E105" s="3174"/>
    </row>
    <row r="106" spans="4:5">
      <c r="D106" s="3171" t="s">
        <v>226</v>
      </c>
      <c r="E106" s="3174"/>
    </row>
    <row r="107" spans="4:5">
      <c r="D107" s="3172" t="s">
        <v>641</v>
      </c>
      <c r="E107" s="3174"/>
    </row>
    <row r="108" spans="4:5">
      <c r="D108" s="3170" t="s">
        <v>642</v>
      </c>
      <c r="E108" s="3174">
        <v>7890.5999999999995</v>
      </c>
    </row>
    <row r="109" spans="4:5">
      <c r="D109" s="3171" t="s">
        <v>643</v>
      </c>
      <c r="E109" s="3174"/>
    </row>
    <row r="110" spans="4:5">
      <c r="D110" s="3171" t="s">
        <v>644</v>
      </c>
      <c r="E110" s="3174">
        <v>6369</v>
      </c>
    </row>
    <row r="111" spans="4:5">
      <c r="D111" s="3171" t="s">
        <v>753</v>
      </c>
      <c r="E111" s="3174"/>
    </row>
    <row r="112" spans="4:5">
      <c r="D112" s="3173" t="s">
        <v>754</v>
      </c>
      <c r="E112" s="3175">
        <f>SUM(E93:E111)</f>
        <v>24683.386999999995</v>
      </c>
    </row>
    <row r="113" spans="1:5">
      <c r="A113" s="43">
        <v>5</v>
      </c>
      <c r="B113" s="2089" t="s">
        <v>181</v>
      </c>
      <c r="C113" s="3059" t="s">
        <v>127</v>
      </c>
    </row>
    <row r="114" spans="1:5">
      <c r="D114" s="89"/>
      <c r="E114" s="195" t="s">
        <v>748</v>
      </c>
    </row>
    <row r="115" spans="1:5">
      <c r="D115" s="2009" t="s">
        <v>222</v>
      </c>
      <c r="E115" s="2980"/>
    </row>
    <row r="116" spans="1:5">
      <c r="D116" s="3170" t="s">
        <v>628</v>
      </c>
      <c r="E116" s="3174">
        <v>32084.000000000004</v>
      </c>
    </row>
    <row r="117" spans="1:5">
      <c r="D117" s="3170" t="s">
        <v>629</v>
      </c>
      <c r="E117" s="3174">
        <v>0</v>
      </c>
    </row>
    <row r="118" spans="1:5">
      <c r="D118" s="3170" t="s">
        <v>751</v>
      </c>
      <c r="E118" s="3174">
        <v>0</v>
      </c>
    </row>
    <row r="119" spans="1:5">
      <c r="D119" s="3171" t="s">
        <v>631</v>
      </c>
      <c r="E119" s="3174"/>
    </row>
    <row r="120" spans="1:5">
      <c r="D120" s="3170" t="s">
        <v>632</v>
      </c>
      <c r="E120" s="3174">
        <v>0</v>
      </c>
    </row>
    <row r="121" spans="1:5">
      <c r="D121" s="3170" t="s">
        <v>633</v>
      </c>
      <c r="E121" s="3174">
        <v>0</v>
      </c>
    </row>
    <row r="122" spans="1:5">
      <c r="D122" s="3171" t="s">
        <v>634</v>
      </c>
      <c r="E122" s="3174"/>
    </row>
    <row r="123" spans="1:5">
      <c r="D123" s="3170" t="s">
        <v>635</v>
      </c>
      <c r="E123" s="3174">
        <v>0</v>
      </c>
    </row>
    <row r="124" spans="1:5">
      <c r="D124" s="3170" t="s">
        <v>636</v>
      </c>
      <c r="E124" s="3174">
        <v>0</v>
      </c>
    </row>
    <row r="125" spans="1:5">
      <c r="D125" s="3170" t="s">
        <v>651</v>
      </c>
      <c r="E125" s="3174">
        <v>0</v>
      </c>
    </row>
    <row r="126" spans="1:5">
      <c r="D126" s="3170" t="s">
        <v>652</v>
      </c>
      <c r="E126" s="3174">
        <v>0</v>
      </c>
    </row>
    <row r="127" spans="1:5">
      <c r="D127" s="3171" t="s">
        <v>639</v>
      </c>
      <c r="E127" s="3174">
        <v>0</v>
      </c>
    </row>
    <row r="128" spans="1:5">
      <c r="D128" s="3171" t="s">
        <v>226</v>
      </c>
      <c r="E128" s="3174"/>
    </row>
    <row r="129" spans="1:7">
      <c r="D129" s="3172" t="s">
        <v>641</v>
      </c>
      <c r="E129" s="3174">
        <v>2899</v>
      </c>
    </row>
    <row r="130" spans="1:7">
      <c r="D130" s="3170" t="s">
        <v>642</v>
      </c>
      <c r="E130" s="3174">
        <v>0</v>
      </c>
    </row>
    <row r="131" spans="1:7">
      <c r="D131" s="3171" t="s">
        <v>643</v>
      </c>
      <c r="E131" s="3174">
        <v>0</v>
      </c>
    </row>
    <row r="132" spans="1:7">
      <c r="D132" s="3171" t="s">
        <v>644</v>
      </c>
      <c r="E132" s="3174">
        <v>0</v>
      </c>
    </row>
    <row r="133" spans="1:7">
      <c r="D133" s="3171" t="s">
        <v>753</v>
      </c>
      <c r="E133" s="3174"/>
    </row>
    <row r="134" spans="1:7">
      <c r="D134" s="3173" t="s">
        <v>754</v>
      </c>
      <c r="E134" s="3175">
        <f>SUM(E115:E133)</f>
        <v>34983</v>
      </c>
      <c r="F134" t="s">
        <v>758</v>
      </c>
      <c r="G134">
        <v>863</v>
      </c>
    </row>
    <row r="135" spans="1:7">
      <c r="A135" s="43">
        <v>6</v>
      </c>
      <c r="B135" s="2089" t="s">
        <v>182</v>
      </c>
      <c r="C135" s="3059" t="s">
        <v>99</v>
      </c>
    </row>
    <row r="136" spans="1:7">
      <c r="D136" s="89"/>
      <c r="E136" s="195" t="s">
        <v>748</v>
      </c>
    </row>
    <row r="137" spans="1:7">
      <c r="D137" s="2009" t="s">
        <v>222</v>
      </c>
      <c r="E137" s="2980"/>
    </row>
    <row r="138" spans="1:7">
      <c r="D138" s="3170" t="s">
        <v>628</v>
      </c>
      <c r="E138" s="2140">
        <v>7826.8798635057819</v>
      </c>
    </row>
    <row r="139" spans="1:7">
      <c r="D139" s="3170" t="s">
        <v>629</v>
      </c>
      <c r="E139" s="2140">
        <v>31308.085238888889</v>
      </c>
    </row>
    <row r="140" spans="1:7">
      <c r="D140" s="3170" t="s">
        <v>751</v>
      </c>
      <c r="E140" s="2140">
        <v>0</v>
      </c>
    </row>
    <row r="141" spans="1:7">
      <c r="D141" s="3171" t="s">
        <v>631</v>
      </c>
      <c r="E141" s="2140">
        <v>0</v>
      </c>
    </row>
    <row r="142" spans="1:7">
      <c r="D142" s="3170" t="s">
        <v>632</v>
      </c>
      <c r="E142" s="2140">
        <v>41014.490210000004</v>
      </c>
    </row>
    <row r="143" spans="1:7">
      <c r="D143" s="3170" t="s">
        <v>633</v>
      </c>
      <c r="E143" s="2140">
        <v>2687.3735000000001</v>
      </c>
    </row>
    <row r="144" spans="1:7">
      <c r="D144" s="3171" t="s">
        <v>634</v>
      </c>
      <c r="E144" s="2140">
        <v>0</v>
      </c>
    </row>
    <row r="145" spans="1:5">
      <c r="D145" s="3170" t="s">
        <v>635</v>
      </c>
      <c r="E145" s="2140">
        <v>0</v>
      </c>
    </row>
    <row r="146" spans="1:5">
      <c r="D146" s="3170" t="s">
        <v>636</v>
      </c>
      <c r="E146" s="2140">
        <v>1479.3797222527471</v>
      </c>
    </row>
    <row r="147" spans="1:5">
      <c r="D147" s="3170" t="s">
        <v>651</v>
      </c>
      <c r="E147" s="2140">
        <v>0</v>
      </c>
    </row>
    <row r="148" spans="1:5">
      <c r="D148" s="3170" t="s">
        <v>652</v>
      </c>
      <c r="E148" s="2140">
        <v>0</v>
      </c>
    </row>
    <row r="149" spans="1:5">
      <c r="D149" s="3171" t="s">
        <v>639</v>
      </c>
      <c r="E149" s="2140">
        <v>0</v>
      </c>
    </row>
    <row r="150" spans="1:5">
      <c r="D150" s="3171" t="s">
        <v>226</v>
      </c>
      <c r="E150" s="2140">
        <v>0</v>
      </c>
    </row>
    <row r="151" spans="1:5">
      <c r="D151" s="3172" t="s">
        <v>641</v>
      </c>
      <c r="E151" s="2140">
        <v>1096.1093899999998</v>
      </c>
    </row>
    <row r="152" spans="1:5">
      <c r="D152" s="3170" t="s">
        <v>642</v>
      </c>
      <c r="E152" s="2140">
        <v>1064.9576600000003</v>
      </c>
    </row>
    <row r="153" spans="1:5">
      <c r="D153" s="3171" t="s">
        <v>643</v>
      </c>
      <c r="E153" s="2140">
        <v>0</v>
      </c>
    </row>
    <row r="154" spans="1:5">
      <c r="D154" s="3171" t="s">
        <v>644</v>
      </c>
      <c r="E154" s="2140">
        <v>0</v>
      </c>
    </row>
    <row r="155" spans="1:5">
      <c r="D155" s="3171" t="s">
        <v>753</v>
      </c>
      <c r="E155" s="2140">
        <v>0</v>
      </c>
    </row>
    <row r="156" spans="1:5">
      <c r="D156" s="3173" t="s">
        <v>754</v>
      </c>
      <c r="E156" s="3175">
        <f>SUM(E138:E155)</f>
        <v>86477.275584647432</v>
      </c>
    </row>
    <row r="157" spans="1:5">
      <c r="A157" s="43">
        <v>7</v>
      </c>
      <c r="B157" s="2089" t="s">
        <v>183</v>
      </c>
      <c r="C157" s="3059" t="s">
        <v>128</v>
      </c>
    </row>
    <row r="158" spans="1:5">
      <c r="D158" s="89"/>
      <c r="E158" s="195" t="s">
        <v>748</v>
      </c>
    </row>
    <row r="159" spans="1:5">
      <c r="D159" s="2009" t="s">
        <v>222</v>
      </c>
      <c r="E159" s="2980"/>
    </row>
    <row r="160" spans="1:5">
      <c r="D160" s="3170" t="s">
        <v>628</v>
      </c>
      <c r="E160" s="3174"/>
    </row>
    <row r="161" spans="4:5">
      <c r="D161" s="3170" t="s">
        <v>629</v>
      </c>
      <c r="E161" s="3174">
        <v>136460</v>
      </c>
    </row>
    <row r="162" spans="4:5">
      <c r="D162" s="3170" t="s">
        <v>751</v>
      </c>
      <c r="E162" s="3174"/>
    </row>
    <row r="163" spans="4:5">
      <c r="D163" s="3171" t="s">
        <v>631</v>
      </c>
      <c r="E163" s="3174"/>
    </row>
    <row r="164" spans="4:5">
      <c r="D164" s="3170" t="s">
        <v>632</v>
      </c>
      <c r="E164" s="3174"/>
    </row>
    <row r="165" spans="4:5">
      <c r="D165" s="3170" t="s">
        <v>633</v>
      </c>
      <c r="E165" s="3174">
        <v>67171</v>
      </c>
    </row>
    <row r="166" spans="4:5">
      <c r="D166" s="3171" t="s">
        <v>634</v>
      </c>
      <c r="E166" s="3174"/>
    </row>
    <row r="167" spans="4:5">
      <c r="D167" s="3170" t="s">
        <v>635</v>
      </c>
      <c r="E167" s="3174">
        <v>9162</v>
      </c>
    </row>
    <row r="168" spans="4:5">
      <c r="D168" s="3170" t="s">
        <v>636</v>
      </c>
      <c r="E168" s="3174">
        <v>-214</v>
      </c>
    </row>
    <row r="169" spans="4:5">
      <c r="D169" s="3170" t="s">
        <v>651</v>
      </c>
      <c r="E169" s="3174"/>
    </row>
    <row r="170" spans="4:5">
      <c r="D170" s="3170" t="s">
        <v>652</v>
      </c>
      <c r="E170" s="3174"/>
    </row>
    <row r="171" spans="4:5">
      <c r="D171" s="3171" t="s">
        <v>639</v>
      </c>
      <c r="E171" s="3174"/>
    </row>
    <row r="172" spans="4:5">
      <c r="D172" s="3171" t="s">
        <v>226</v>
      </c>
      <c r="E172" s="3174"/>
    </row>
    <row r="173" spans="4:5">
      <c r="D173" s="3172" t="s">
        <v>641</v>
      </c>
      <c r="E173" s="3174">
        <v>44435</v>
      </c>
    </row>
    <row r="174" spans="4:5">
      <c r="D174" s="3170" t="s">
        <v>642</v>
      </c>
      <c r="E174" s="3174"/>
    </row>
    <row r="175" spans="4:5">
      <c r="D175" s="3171" t="s">
        <v>643</v>
      </c>
      <c r="E175" s="3174"/>
    </row>
    <row r="176" spans="4:5">
      <c r="D176" s="3171" t="s">
        <v>644</v>
      </c>
      <c r="E176" s="3174"/>
    </row>
    <row r="177" spans="1:5">
      <c r="D177" s="3171" t="s">
        <v>753</v>
      </c>
      <c r="E177" s="3174">
        <v>788</v>
      </c>
    </row>
    <row r="178" spans="1:5">
      <c r="D178" s="3173" t="s">
        <v>754</v>
      </c>
      <c r="E178" s="3175">
        <f>SUM(E159:E177)</f>
        <v>257802</v>
      </c>
    </row>
    <row r="179" spans="1:5">
      <c r="A179" s="43">
        <v>8</v>
      </c>
      <c r="B179" s="2089" t="s">
        <v>184</v>
      </c>
      <c r="C179" s="3059" t="s">
        <v>129</v>
      </c>
    </row>
    <row r="180" spans="1:5">
      <c r="D180" s="89"/>
      <c r="E180" s="195" t="s">
        <v>748</v>
      </c>
    </row>
    <row r="181" spans="1:5">
      <c r="D181" s="2009" t="s">
        <v>222</v>
      </c>
      <c r="E181" s="2980"/>
    </row>
    <row r="182" spans="1:5">
      <c r="D182" s="3170" t="s">
        <v>628</v>
      </c>
      <c r="E182" s="3174">
        <v>17522.42236</v>
      </c>
    </row>
    <row r="183" spans="1:5">
      <c r="D183" s="3170" t="s">
        <v>629</v>
      </c>
      <c r="E183" s="3174">
        <v>19878.214359999998</v>
      </c>
    </row>
    <row r="184" spans="1:5">
      <c r="D184" s="3170" t="s">
        <v>751</v>
      </c>
      <c r="E184" s="3174">
        <v>21688.070869999996</v>
      </c>
    </row>
    <row r="185" spans="1:5">
      <c r="D185" s="3171" t="s">
        <v>631</v>
      </c>
      <c r="E185" s="3174">
        <v>0</v>
      </c>
    </row>
    <row r="186" spans="1:5">
      <c r="D186" s="3170" t="s">
        <v>632</v>
      </c>
      <c r="E186" s="3174">
        <v>0</v>
      </c>
    </row>
    <row r="187" spans="1:5">
      <c r="D187" s="3170" t="s">
        <v>633</v>
      </c>
      <c r="E187" s="3174">
        <v>0</v>
      </c>
    </row>
    <row r="188" spans="1:5">
      <c r="D188" s="3171" t="s">
        <v>634</v>
      </c>
      <c r="E188" s="3174">
        <v>0</v>
      </c>
    </row>
    <row r="189" spans="1:5">
      <c r="D189" s="3170" t="s">
        <v>635</v>
      </c>
      <c r="E189" s="3174">
        <v>2561.4623300000003</v>
      </c>
    </row>
    <row r="190" spans="1:5">
      <c r="D190" s="3170" t="s">
        <v>636</v>
      </c>
      <c r="E190" s="3174">
        <v>0</v>
      </c>
    </row>
    <row r="191" spans="1:5">
      <c r="D191" s="3170" t="s">
        <v>651</v>
      </c>
      <c r="E191" s="3174">
        <v>0</v>
      </c>
    </row>
    <row r="192" spans="1:5">
      <c r="D192" s="3170" t="s">
        <v>652</v>
      </c>
      <c r="E192" s="3174">
        <v>0</v>
      </c>
    </row>
    <row r="193" spans="1:5">
      <c r="D193" s="3171" t="s">
        <v>639</v>
      </c>
      <c r="E193" s="3174">
        <v>0</v>
      </c>
    </row>
    <row r="194" spans="1:5">
      <c r="D194" s="3171" t="s">
        <v>226</v>
      </c>
      <c r="E194" s="3174">
        <v>0</v>
      </c>
    </row>
    <row r="195" spans="1:5">
      <c r="D195" s="3172" t="s">
        <v>641</v>
      </c>
      <c r="E195" s="3174">
        <v>9580.1910100000005</v>
      </c>
    </row>
    <row r="196" spans="1:5">
      <c r="D196" s="3170" t="s">
        <v>642</v>
      </c>
      <c r="E196" s="3174">
        <v>20.861830000000001</v>
      </c>
    </row>
    <row r="197" spans="1:5">
      <c r="D197" s="3171" t="s">
        <v>643</v>
      </c>
      <c r="E197" s="3174">
        <v>0</v>
      </c>
    </row>
    <row r="198" spans="1:5">
      <c r="D198" s="3171" t="s">
        <v>644</v>
      </c>
      <c r="E198" s="3174">
        <v>0</v>
      </c>
    </row>
    <row r="199" spans="1:5">
      <c r="D199" s="3171" t="s">
        <v>753</v>
      </c>
      <c r="E199" s="3174">
        <v>0</v>
      </c>
    </row>
    <row r="200" spans="1:5">
      <c r="D200" s="3173" t="s">
        <v>754</v>
      </c>
      <c r="E200" s="3175">
        <f>SUM(E182:E199)</f>
        <v>71251.22275999999</v>
      </c>
    </row>
    <row r="201" spans="1:5">
      <c r="A201" s="43">
        <v>9</v>
      </c>
      <c r="B201" s="2089" t="s">
        <v>185</v>
      </c>
      <c r="C201" s="3059" t="s">
        <v>130</v>
      </c>
    </row>
    <row r="202" spans="1:5">
      <c r="D202" s="89"/>
      <c r="E202" s="195" t="s">
        <v>748</v>
      </c>
    </row>
    <row r="203" spans="1:5">
      <c r="D203" s="2009" t="s">
        <v>222</v>
      </c>
      <c r="E203" s="2980"/>
    </row>
    <row r="204" spans="1:5">
      <c r="D204" s="3170" t="s">
        <v>628</v>
      </c>
      <c r="E204" s="3174"/>
    </row>
    <row r="205" spans="1:5">
      <c r="D205" s="3170" t="s">
        <v>629</v>
      </c>
      <c r="E205" s="3174"/>
    </row>
    <row r="206" spans="1:5">
      <c r="D206" s="3170" t="s">
        <v>751</v>
      </c>
      <c r="E206" s="3174"/>
    </row>
    <row r="207" spans="1:5">
      <c r="D207" s="3171" t="s">
        <v>631</v>
      </c>
      <c r="E207" s="3174"/>
    </row>
    <row r="208" spans="1:5">
      <c r="D208" s="3170" t="s">
        <v>632</v>
      </c>
      <c r="E208" s="3174"/>
    </row>
    <row r="209" spans="1:5">
      <c r="D209" s="3170" t="s">
        <v>633</v>
      </c>
      <c r="E209" s="3174"/>
    </row>
    <row r="210" spans="1:5">
      <c r="D210" s="3171" t="s">
        <v>634</v>
      </c>
      <c r="E210" s="3174"/>
    </row>
    <row r="211" spans="1:5">
      <c r="D211" s="3170" t="s">
        <v>635</v>
      </c>
      <c r="E211" s="3174"/>
    </row>
    <row r="212" spans="1:5">
      <c r="D212" s="3170" t="s">
        <v>636</v>
      </c>
      <c r="E212" s="3174"/>
    </row>
    <row r="213" spans="1:5">
      <c r="D213" s="3170" t="s">
        <v>651</v>
      </c>
      <c r="E213" s="3174"/>
    </row>
    <row r="214" spans="1:5">
      <c r="D214" s="3170" t="s">
        <v>652</v>
      </c>
      <c r="E214" s="3174"/>
    </row>
    <row r="215" spans="1:5">
      <c r="D215" s="3171" t="s">
        <v>639</v>
      </c>
      <c r="E215" s="3174"/>
    </row>
    <row r="216" spans="1:5">
      <c r="D216" s="3171" t="s">
        <v>226</v>
      </c>
      <c r="E216" s="3174"/>
    </row>
    <row r="217" spans="1:5">
      <c r="D217" s="3172" t="s">
        <v>641</v>
      </c>
      <c r="E217" s="3174"/>
    </row>
    <row r="218" spans="1:5">
      <c r="D218" s="3170" t="s">
        <v>642</v>
      </c>
      <c r="E218" s="3174"/>
    </row>
    <row r="219" spans="1:5">
      <c r="D219" s="3171" t="s">
        <v>643</v>
      </c>
      <c r="E219" s="3174"/>
    </row>
    <row r="220" spans="1:5">
      <c r="D220" s="3171" t="s">
        <v>644</v>
      </c>
      <c r="E220" s="3174"/>
    </row>
    <row r="221" spans="1:5">
      <c r="D221" s="3171" t="s">
        <v>753</v>
      </c>
      <c r="E221" s="3174"/>
    </row>
    <row r="222" spans="1:5">
      <c r="D222" s="3173" t="s">
        <v>754</v>
      </c>
      <c r="E222" s="3175"/>
    </row>
    <row r="223" spans="1:5">
      <c r="A223" s="43">
        <v>10</v>
      </c>
      <c r="B223" s="2089" t="s">
        <v>186</v>
      </c>
      <c r="C223" s="3059" t="s">
        <v>759</v>
      </c>
    </row>
    <row r="224" spans="1:5">
      <c r="D224" s="89"/>
      <c r="E224" s="195" t="s">
        <v>748</v>
      </c>
    </row>
    <row r="225" spans="4:5">
      <c r="D225" s="2009" t="s">
        <v>222</v>
      </c>
      <c r="E225" s="2980"/>
    </row>
    <row r="226" spans="4:5">
      <c r="D226" s="3170" t="s">
        <v>628</v>
      </c>
      <c r="E226" s="3176">
        <v>38756.204519999999</v>
      </c>
    </row>
    <row r="227" spans="4:5">
      <c r="D227" s="3170" t="s">
        <v>629</v>
      </c>
      <c r="E227" s="3176">
        <v>30335.239020000001</v>
      </c>
    </row>
    <row r="228" spans="4:5">
      <c r="D228" s="3170" t="s">
        <v>751</v>
      </c>
      <c r="E228" s="3174">
        <f>+'[13]Sheet 2 - General Insurance'!$C$184+'[13]Sheet 2 - General Insurance'!$C$185</f>
        <v>11829.54952</v>
      </c>
    </row>
    <row r="229" spans="4:5">
      <c r="D229" s="3171" t="s">
        <v>631</v>
      </c>
      <c r="E229" s="3174"/>
    </row>
    <row r="230" spans="4:5">
      <c r="D230" s="3170" t="s">
        <v>632</v>
      </c>
      <c r="E230" s="3174">
        <v>-10447.07504</v>
      </c>
    </row>
    <row r="231" spans="4:5">
      <c r="D231" s="3170" t="s">
        <v>633</v>
      </c>
      <c r="E231" s="3176">
        <v>1495.5195800000001</v>
      </c>
    </row>
    <row r="232" spans="4:5">
      <c r="D232" s="3171" t="s">
        <v>634</v>
      </c>
      <c r="E232" s="3174"/>
    </row>
    <row r="233" spans="4:5">
      <c r="D233" s="3170" t="s">
        <v>635</v>
      </c>
      <c r="E233" s="3176">
        <v>17178.225999999999</v>
      </c>
    </row>
    <row r="234" spans="4:5">
      <c r="D234" s="3170" t="s">
        <v>636</v>
      </c>
      <c r="E234" s="3176">
        <v>2287.7883999999999</v>
      </c>
    </row>
    <row r="235" spans="4:5">
      <c r="D235" s="3170" t="s">
        <v>651</v>
      </c>
      <c r="E235" s="3176">
        <v>0</v>
      </c>
    </row>
    <row r="236" spans="4:5">
      <c r="D236" s="3170" t="s">
        <v>652</v>
      </c>
      <c r="E236" s="3176">
        <v>0</v>
      </c>
    </row>
    <row r="237" spans="4:5">
      <c r="D237" s="3171" t="s">
        <v>639</v>
      </c>
      <c r="E237" s="3174"/>
    </row>
    <row r="238" spans="4:5">
      <c r="D238" s="3171" t="s">
        <v>226</v>
      </c>
      <c r="E238" s="3174"/>
    </row>
    <row r="239" spans="4:5">
      <c r="D239" s="3172" t="s">
        <v>641</v>
      </c>
      <c r="E239" s="3176">
        <v>16718.564819999989</v>
      </c>
    </row>
    <row r="240" spans="4:5">
      <c r="D240" s="3170" t="s">
        <v>642</v>
      </c>
      <c r="E240" s="3176">
        <v>2693.962</v>
      </c>
    </row>
    <row r="241" spans="1:5">
      <c r="D241" s="3171" t="s">
        <v>643</v>
      </c>
      <c r="E241" s="3174">
        <f>+'[13]Sheet 2 - General Insurance'!$C$192</f>
        <v>2961</v>
      </c>
    </row>
    <row r="242" spans="1:5">
      <c r="D242" s="3171" t="s">
        <v>644</v>
      </c>
      <c r="E242" s="3174"/>
    </row>
    <row r="243" spans="1:5">
      <c r="D243" s="3171" t="s">
        <v>753</v>
      </c>
      <c r="E243" s="3174">
        <v>16672</v>
      </c>
    </row>
    <row r="244" spans="1:5">
      <c r="D244" s="3173" t="s">
        <v>754</v>
      </c>
      <c r="E244" s="3175">
        <f>SUM(E226:E243)</f>
        <v>130480.97881999999</v>
      </c>
    </row>
    <row r="245" spans="1:5">
      <c r="A245" s="43">
        <v>11</v>
      </c>
      <c r="B245" s="2089" t="s">
        <v>187</v>
      </c>
      <c r="C245" s="3059" t="s">
        <v>132</v>
      </c>
    </row>
    <row r="246" spans="1:5">
      <c r="D246" s="89"/>
      <c r="E246" s="195" t="s">
        <v>748</v>
      </c>
    </row>
    <row r="247" spans="1:5">
      <c r="D247" s="2009" t="s">
        <v>222</v>
      </c>
      <c r="E247" s="2980"/>
    </row>
    <row r="248" spans="1:5">
      <c r="D248" s="3170" t="s">
        <v>628</v>
      </c>
      <c r="E248" s="3174">
        <v>149781.302</v>
      </c>
    </row>
    <row r="249" spans="1:5">
      <c r="D249" s="3170" t="s">
        <v>629</v>
      </c>
      <c r="E249" s="3174"/>
    </row>
    <row r="250" spans="1:5">
      <c r="D250" s="3170" t="s">
        <v>751</v>
      </c>
      <c r="E250" s="3174">
        <v>37752.043859999998</v>
      </c>
    </row>
    <row r="251" spans="1:5">
      <c r="D251" s="3171" t="s">
        <v>631</v>
      </c>
      <c r="E251" s="3174"/>
    </row>
    <row r="252" spans="1:5">
      <c r="D252" s="3170" t="s">
        <v>632</v>
      </c>
      <c r="E252" s="3174"/>
    </row>
    <row r="253" spans="1:5">
      <c r="D253" s="3170" t="s">
        <v>633</v>
      </c>
      <c r="E253" s="3174">
        <v>117954.43897</v>
      </c>
    </row>
    <row r="254" spans="1:5">
      <c r="D254" s="3171" t="s">
        <v>634</v>
      </c>
      <c r="E254" s="3174"/>
    </row>
    <row r="255" spans="1:5">
      <c r="D255" s="3170" t="s">
        <v>635</v>
      </c>
      <c r="E255" s="3174">
        <v>34399.774189999996</v>
      </c>
    </row>
    <row r="256" spans="1:5">
      <c r="D256" s="3170" t="s">
        <v>636</v>
      </c>
      <c r="E256" s="3174">
        <v>6699.70921</v>
      </c>
    </row>
    <row r="257" spans="1:5">
      <c r="D257" s="3170" t="s">
        <v>651</v>
      </c>
      <c r="E257" s="3174"/>
    </row>
    <row r="258" spans="1:5">
      <c r="D258" s="3170" t="s">
        <v>652</v>
      </c>
      <c r="E258" s="3174">
        <v>27742.50722</v>
      </c>
    </row>
    <row r="259" spans="1:5">
      <c r="D259" s="3171" t="s">
        <v>639</v>
      </c>
      <c r="E259" s="3174">
        <v>420</v>
      </c>
    </row>
    <row r="260" spans="1:5">
      <c r="D260" s="3171" t="s">
        <v>226</v>
      </c>
      <c r="E260" s="3174"/>
    </row>
    <row r="261" spans="1:5">
      <c r="D261" s="3172" t="s">
        <v>641</v>
      </c>
      <c r="E261" s="3174">
        <v>43461.249060000002</v>
      </c>
    </row>
    <row r="262" spans="1:5">
      <c r="D262" s="3170" t="s">
        <v>642</v>
      </c>
      <c r="E262" s="3174">
        <v>17250.136630000001</v>
      </c>
    </row>
    <row r="263" spans="1:5">
      <c r="D263" s="3171" t="s">
        <v>643</v>
      </c>
      <c r="E263" s="3174">
        <v>27054.711460000002</v>
      </c>
    </row>
    <row r="264" spans="1:5">
      <c r="D264" s="3171" t="s">
        <v>644</v>
      </c>
      <c r="E264" s="3174"/>
    </row>
    <row r="265" spans="1:5">
      <c r="D265" s="3171" t="s">
        <v>753</v>
      </c>
      <c r="E265" s="3174">
        <v>110077.20965</v>
      </c>
    </row>
    <row r="266" spans="1:5">
      <c r="D266" s="3173" t="s">
        <v>754</v>
      </c>
      <c r="E266" s="3175">
        <f>SUM(E247:E265)</f>
        <v>572593.08225000009</v>
      </c>
    </row>
    <row r="267" spans="1:5">
      <c r="A267" s="43">
        <v>12</v>
      </c>
      <c r="B267" s="2089" t="s">
        <v>189</v>
      </c>
      <c r="C267" s="3059" t="s">
        <v>133</v>
      </c>
    </row>
    <row r="268" spans="1:5">
      <c r="D268" s="89"/>
      <c r="E268" s="195" t="s">
        <v>748</v>
      </c>
    </row>
    <row r="269" spans="1:5">
      <c r="D269" s="2009" t="s">
        <v>222</v>
      </c>
      <c r="E269" s="2980"/>
    </row>
    <row r="270" spans="1:5">
      <c r="D270" s="3170" t="s">
        <v>628</v>
      </c>
      <c r="E270" s="3174"/>
    </row>
    <row r="271" spans="1:5">
      <c r="D271" s="3170" t="s">
        <v>629</v>
      </c>
      <c r="E271" s="3174"/>
    </row>
    <row r="272" spans="1:5">
      <c r="D272" s="3170" t="s">
        <v>751</v>
      </c>
      <c r="E272" s="3177">
        <v>6713.5349699999997</v>
      </c>
    </row>
    <row r="273" spans="4:5">
      <c r="D273" s="3171" t="s">
        <v>631</v>
      </c>
      <c r="E273" s="3177"/>
    </row>
    <row r="274" spans="4:5">
      <c r="D274" s="3170" t="s">
        <v>632</v>
      </c>
      <c r="E274" s="3177"/>
    </row>
    <row r="275" spans="4:5">
      <c r="D275" s="3170" t="s">
        <v>633</v>
      </c>
      <c r="E275" s="3177"/>
    </row>
    <row r="276" spans="4:5">
      <c r="D276" s="3171" t="s">
        <v>634</v>
      </c>
      <c r="E276" s="3177"/>
    </row>
    <row r="277" spans="4:5">
      <c r="D277" s="3170" t="s">
        <v>635</v>
      </c>
      <c r="E277" s="3177"/>
    </row>
    <row r="278" spans="4:5">
      <c r="D278" s="3170" t="s">
        <v>636</v>
      </c>
      <c r="E278" s="3177"/>
    </row>
    <row r="279" spans="4:5">
      <c r="D279" s="3170" t="s">
        <v>651</v>
      </c>
      <c r="E279" s="3177"/>
    </row>
    <row r="280" spans="4:5">
      <c r="D280" s="3170" t="s">
        <v>652</v>
      </c>
      <c r="E280" s="3177"/>
    </row>
    <row r="281" spans="4:5">
      <c r="D281" s="3171" t="s">
        <v>639</v>
      </c>
      <c r="E281" s="3177"/>
    </row>
    <row r="282" spans="4:5">
      <c r="D282" s="3171" t="s">
        <v>226</v>
      </c>
      <c r="E282" s="3177"/>
    </row>
    <row r="283" spans="4:5">
      <c r="D283" s="3172" t="s">
        <v>641</v>
      </c>
      <c r="E283" s="3177">
        <v>5453.05843</v>
      </c>
    </row>
    <row r="284" spans="4:5">
      <c r="D284" s="3170" t="s">
        <v>642</v>
      </c>
      <c r="E284" s="3174"/>
    </row>
    <row r="285" spans="4:5">
      <c r="D285" s="3171" t="s">
        <v>643</v>
      </c>
      <c r="E285" s="3174"/>
    </row>
    <row r="286" spans="4:5">
      <c r="D286" s="3171" t="s">
        <v>644</v>
      </c>
      <c r="E286" s="3174"/>
    </row>
    <row r="287" spans="4:5">
      <c r="D287" s="3171" t="s">
        <v>753</v>
      </c>
      <c r="E287" s="3174"/>
    </row>
    <row r="288" spans="4:5">
      <c r="D288" s="3173" t="s">
        <v>754</v>
      </c>
      <c r="E288" s="3175"/>
    </row>
    <row r="289" spans="1:5">
      <c r="A289" s="43">
        <v>13</v>
      </c>
      <c r="B289" s="2089" t="s">
        <v>190</v>
      </c>
      <c r="C289" s="3059" t="s">
        <v>109</v>
      </c>
    </row>
    <row r="290" spans="1:5">
      <c r="D290" s="89"/>
      <c r="E290" s="195" t="s">
        <v>748</v>
      </c>
    </row>
    <row r="291" spans="1:5">
      <c r="D291" s="2009" t="s">
        <v>222</v>
      </c>
      <c r="E291" s="2980"/>
    </row>
    <row r="292" spans="1:5">
      <c r="D292" s="3170" t="s">
        <v>628</v>
      </c>
      <c r="E292" s="3178">
        <v>21019.735170000004</v>
      </c>
    </row>
    <row r="293" spans="1:5">
      <c r="D293" s="3170" t="s">
        <v>629</v>
      </c>
      <c r="E293" s="3178">
        <v>8963.5474800000011</v>
      </c>
    </row>
    <row r="294" spans="1:5">
      <c r="D294" s="3170" t="s">
        <v>751</v>
      </c>
      <c r="E294" s="3178">
        <v>1826.3819799999999</v>
      </c>
    </row>
    <row r="295" spans="1:5">
      <c r="D295" s="3171" t="s">
        <v>631</v>
      </c>
      <c r="E295" s="3178"/>
    </row>
    <row r="296" spans="1:5">
      <c r="D296" s="3170" t="s">
        <v>632</v>
      </c>
      <c r="E296" s="3178">
        <v>2945.0373500000001</v>
      </c>
    </row>
    <row r="297" spans="1:5">
      <c r="D297" s="3170" t="s">
        <v>633</v>
      </c>
      <c r="E297" s="3178">
        <v>557.73885999999993</v>
      </c>
    </row>
    <row r="298" spans="1:5">
      <c r="D298" s="3171" t="s">
        <v>634</v>
      </c>
      <c r="E298" s="3178">
        <v>0</v>
      </c>
    </row>
    <row r="299" spans="1:5">
      <c r="D299" s="3170" t="s">
        <v>635</v>
      </c>
      <c r="E299" s="3178">
        <v>1133.6118300000001</v>
      </c>
    </row>
    <row r="300" spans="1:5">
      <c r="D300" s="3170" t="s">
        <v>636</v>
      </c>
      <c r="E300" s="3178">
        <v>355.96497999999997</v>
      </c>
    </row>
    <row r="301" spans="1:5">
      <c r="D301" s="3170" t="s">
        <v>651</v>
      </c>
      <c r="E301" s="3178">
        <v>0</v>
      </c>
    </row>
    <row r="302" spans="1:5">
      <c r="D302" s="3170" t="s">
        <v>652</v>
      </c>
      <c r="E302" s="3178">
        <v>0</v>
      </c>
    </row>
    <row r="303" spans="1:5">
      <c r="D303" s="3171" t="s">
        <v>639</v>
      </c>
      <c r="E303" s="3178">
        <v>0</v>
      </c>
    </row>
    <row r="304" spans="1:5">
      <c r="D304" s="3171" t="s">
        <v>226</v>
      </c>
      <c r="E304" s="3178">
        <v>0</v>
      </c>
    </row>
    <row r="305" spans="1:5">
      <c r="D305" s="3172" t="s">
        <v>641</v>
      </c>
      <c r="E305" s="3178">
        <v>568.41273999999999</v>
      </c>
    </row>
    <row r="306" spans="1:5">
      <c r="D306" s="3170" t="s">
        <v>642</v>
      </c>
      <c r="E306" s="3178">
        <v>0</v>
      </c>
    </row>
    <row r="307" spans="1:5">
      <c r="D307" s="3171" t="s">
        <v>643</v>
      </c>
      <c r="E307" s="3178">
        <v>0</v>
      </c>
    </row>
    <row r="308" spans="1:5">
      <c r="D308" s="3171" t="s">
        <v>644</v>
      </c>
      <c r="E308" s="3178">
        <v>0</v>
      </c>
    </row>
    <row r="309" spans="1:5">
      <c r="D309" s="3171" t="s">
        <v>753</v>
      </c>
      <c r="E309" s="3178">
        <v>0</v>
      </c>
    </row>
    <row r="310" spans="1:5">
      <c r="D310" s="3173" t="s">
        <v>754</v>
      </c>
      <c r="E310" s="3175">
        <f>SUM(E292:E309)</f>
        <v>37370.430390000001</v>
      </c>
    </row>
    <row r="311" spans="1:5">
      <c r="A311" s="43">
        <v>14</v>
      </c>
      <c r="B311" s="2089" t="s">
        <v>191</v>
      </c>
      <c r="C311" s="3059" t="s">
        <v>111</v>
      </c>
    </row>
    <row r="312" spans="1:5">
      <c r="D312" s="89"/>
      <c r="E312" s="195" t="s">
        <v>748</v>
      </c>
    </row>
    <row r="313" spans="1:5">
      <c r="D313" s="2009" t="s">
        <v>222</v>
      </c>
      <c r="E313" s="2980"/>
    </row>
    <row r="314" spans="1:5">
      <c r="D314" s="3170" t="s">
        <v>628</v>
      </c>
      <c r="E314" s="3174"/>
    </row>
    <row r="315" spans="1:5">
      <c r="D315" s="3170" t="s">
        <v>629</v>
      </c>
      <c r="E315" s="3174"/>
    </row>
    <row r="316" spans="1:5">
      <c r="D316" s="3170" t="s">
        <v>751</v>
      </c>
      <c r="E316" s="3174">
        <f>+'[36]Sheet 2 - General Insurance'!$C$170</f>
        <v>19952.125469999999</v>
      </c>
    </row>
    <row r="317" spans="1:5">
      <c r="D317" s="3171" t="s">
        <v>631</v>
      </c>
      <c r="E317" s="3174"/>
    </row>
    <row r="318" spans="1:5">
      <c r="D318" s="3170" t="s">
        <v>632</v>
      </c>
      <c r="E318" s="3174"/>
    </row>
    <row r="319" spans="1:5">
      <c r="D319" s="3170" t="s">
        <v>633</v>
      </c>
      <c r="E319" s="3174"/>
    </row>
    <row r="320" spans="1:5">
      <c r="D320" s="3171" t="s">
        <v>634</v>
      </c>
      <c r="E320" s="3174"/>
    </row>
    <row r="321" spans="1:5">
      <c r="D321" s="3170" t="s">
        <v>635</v>
      </c>
      <c r="E321" s="3174"/>
    </row>
    <row r="322" spans="1:5">
      <c r="D322" s="3170" t="s">
        <v>636</v>
      </c>
      <c r="E322" s="3174"/>
    </row>
    <row r="323" spans="1:5">
      <c r="D323" s="3170" t="s">
        <v>651</v>
      </c>
      <c r="E323" s="3174"/>
    </row>
    <row r="324" spans="1:5">
      <c r="D324" s="3170" t="s">
        <v>652</v>
      </c>
      <c r="E324" s="3174"/>
    </row>
    <row r="325" spans="1:5">
      <c r="D325" s="3171" t="s">
        <v>639</v>
      </c>
      <c r="E325" s="3174"/>
    </row>
    <row r="326" spans="1:5">
      <c r="D326" s="3171" t="s">
        <v>226</v>
      </c>
      <c r="E326" s="3174"/>
    </row>
    <row r="327" spans="1:5">
      <c r="D327" s="3172" t="s">
        <v>641</v>
      </c>
      <c r="E327" s="3174">
        <f>+'[36]Sheet 2 - General Insurance'!$C$181</f>
        <v>2914.51253</v>
      </c>
    </row>
    <row r="328" spans="1:5">
      <c r="D328" s="3170" t="s">
        <v>642</v>
      </c>
      <c r="E328" s="3174"/>
    </row>
    <row r="329" spans="1:5">
      <c r="D329" s="3171" t="s">
        <v>643</v>
      </c>
      <c r="E329" s="3174"/>
    </row>
    <row r="330" spans="1:5">
      <c r="D330" s="3171" t="s">
        <v>644</v>
      </c>
      <c r="E330" s="3174"/>
    </row>
    <row r="331" spans="1:5">
      <c r="D331" s="3171" t="s">
        <v>753</v>
      </c>
      <c r="E331" s="3174"/>
    </row>
    <row r="332" spans="1:5">
      <c r="D332" s="3173" t="s">
        <v>754</v>
      </c>
      <c r="E332" s="3175">
        <f>SUM(E314:E331)</f>
        <v>22866.637999999999</v>
      </c>
    </row>
    <row r="333" spans="1:5">
      <c r="A333" s="43">
        <v>15</v>
      </c>
      <c r="B333" s="2089" t="s">
        <v>192</v>
      </c>
      <c r="C333" s="3059" t="s">
        <v>112</v>
      </c>
    </row>
    <row r="334" spans="1:5">
      <c r="D334" s="89"/>
      <c r="E334" s="195" t="s">
        <v>748</v>
      </c>
    </row>
    <row r="335" spans="1:5">
      <c r="D335" s="2009" t="s">
        <v>222</v>
      </c>
      <c r="E335" s="2980"/>
    </row>
    <row r="336" spans="1:5">
      <c r="D336" s="3170" t="s">
        <v>628</v>
      </c>
      <c r="E336" s="3174">
        <v>0</v>
      </c>
    </row>
    <row r="337" spans="4:5">
      <c r="D337" s="3170" t="s">
        <v>629</v>
      </c>
      <c r="E337" s="3174">
        <v>69666</v>
      </c>
    </row>
    <row r="338" spans="4:5">
      <c r="D338" s="3170" t="s">
        <v>751</v>
      </c>
      <c r="E338" s="3174">
        <v>12991</v>
      </c>
    </row>
    <row r="339" spans="4:5">
      <c r="D339" s="3171" t="s">
        <v>631</v>
      </c>
      <c r="E339" s="3174"/>
    </row>
    <row r="340" spans="4:5">
      <c r="D340" s="3170" t="s">
        <v>632</v>
      </c>
      <c r="E340" s="3174">
        <v>-2793</v>
      </c>
    </row>
    <row r="341" spans="4:5">
      <c r="D341" s="3170" t="s">
        <v>633</v>
      </c>
      <c r="E341" s="3174">
        <v>249</v>
      </c>
    </row>
    <row r="342" spans="4:5">
      <c r="D342" s="3171" t="s">
        <v>634</v>
      </c>
      <c r="E342" s="3174"/>
    </row>
    <row r="343" spans="4:5">
      <c r="D343" s="3170" t="s">
        <v>635</v>
      </c>
      <c r="E343" s="3174"/>
    </row>
    <row r="344" spans="4:5">
      <c r="D344" s="3170" t="s">
        <v>636</v>
      </c>
      <c r="E344" s="3174"/>
    </row>
    <row r="345" spans="4:5">
      <c r="D345" s="3170" t="s">
        <v>651</v>
      </c>
      <c r="E345" s="3174"/>
    </row>
    <row r="346" spans="4:5">
      <c r="D346" s="3170" t="s">
        <v>652</v>
      </c>
      <c r="E346" s="3174"/>
    </row>
    <row r="347" spans="4:5">
      <c r="D347" s="3171" t="s">
        <v>639</v>
      </c>
      <c r="E347" s="3174"/>
    </row>
    <row r="348" spans="4:5">
      <c r="D348" s="3171" t="s">
        <v>226</v>
      </c>
      <c r="E348" s="3174"/>
    </row>
    <row r="349" spans="4:5">
      <c r="D349" s="3172" t="s">
        <v>641</v>
      </c>
      <c r="E349" s="3174">
        <v>8665</v>
      </c>
    </row>
    <row r="350" spans="4:5">
      <c r="D350" s="3170" t="s">
        <v>642</v>
      </c>
      <c r="E350" s="3174"/>
    </row>
    <row r="351" spans="4:5">
      <c r="D351" s="3171" t="s">
        <v>643</v>
      </c>
      <c r="E351" s="3174"/>
    </row>
    <row r="352" spans="4:5">
      <c r="D352" s="3171" t="s">
        <v>644</v>
      </c>
      <c r="E352" s="3174"/>
    </row>
    <row r="353" spans="1:5">
      <c r="D353" s="3171" t="s">
        <v>753</v>
      </c>
      <c r="E353" s="3174">
        <v>201</v>
      </c>
    </row>
    <row r="354" spans="1:5">
      <c r="D354" s="3173" t="s">
        <v>754</v>
      </c>
      <c r="E354" s="3175">
        <f>SUM(E336:E353)</f>
        <v>88979</v>
      </c>
    </row>
    <row r="355" spans="1:5">
      <c r="A355" s="43">
        <v>16</v>
      </c>
      <c r="B355" s="2089" t="s">
        <v>193</v>
      </c>
      <c r="C355" s="3059" t="s">
        <v>115</v>
      </c>
    </row>
    <row r="356" spans="1:5">
      <c r="D356" s="89"/>
      <c r="E356" s="195" t="s">
        <v>748</v>
      </c>
    </row>
    <row r="357" spans="1:5">
      <c r="D357" s="2009" t="s">
        <v>222</v>
      </c>
      <c r="E357" s="2980"/>
    </row>
    <row r="358" spans="1:5">
      <c r="D358" s="3170" t="s">
        <v>628</v>
      </c>
      <c r="E358" s="3174">
        <v>365914.46322000003</v>
      </c>
    </row>
    <row r="359" spans="1:5">
      <c r="D359" s="3170" t="s">
        <v>629</v>
      </c>
      <c r="E359" s="3174">
        <v>8448.9742100000003</v>
      </c>
    </row>
    <row r="360" spans="1:5">
      <c r="D360" s="3170" t="s">
        <v>751</v>
      </c>
      <c r="E360" s="3174">
        <v>48755</v>
      </c>
    </row>
    <row r="361" spans="1:5">
      <c r="D361" s="3171" t="s">
        <v>631</v>
      </c>
      <c r="E361" s="3174">
        <v>0</v>
      </c>
    </row>
    <row r="362" spans="1:5">
      <c r="D362" s="3170" t="s">
        <v>632</v>
      </c>
      <c r="E362" s="3174">
        <v>388250.79091000004</v>
      </c>
    </row>
    <row r="363" spans="1:5">
      <c r="D363" s="3170" t="s">
        <v>633</v>
      </c>
      <c r="E363" s="3174">
        <v>352202.54345000006</v>
      </c>
    </row>
    <row r="364" spans="1:5">
      <c r="D364" s="3171" t="s">
        <v>634</v>
      </c>
      <c r="E364" s="3174">
        <v>0</v>
      </c>
    </row>
    <row r="365" spans="1:5">
      <c r="D365" s="3170" t="s">
        <v>635</v>
      </c>
      <c r="E365" s="3174">
        <v>93650.216339999999</v>
      </c>
    </row>
    <row r="366" spans="1:5">
      <c r="D366" s="3170" t="s">
        <v>636</v>
      </c>
      <c r="E366" s="3174">
        <v>1578.9041100000002</v>
      </c>
    </row>
    <row r="367" spans="1:5">
      <c r="D367" s="3170" t="s">
        <v>651</v>
      </c>
      <c r="E367" s="3174">
        <v>0</v>
      </c>
    </row>
    <row r="368" spans="1:5">
      <c r="D368" s="3170" t="s">
        <v>652</v>
      </c>
      <c r="E368" s="3174">
        <v>5411</v>
      </c>
    </row>
    <row r="369" spans="1:5">
      <c r="D369" s="3171" t="s">
        <v>639</v>
      </c>
      <c r="E369" s="3174"/>
    </row>
    <row r="370" spans="1:5">
      <c r="D370" s="3171" t="s">
        <v>226</v>
      </c>
      <c r="E370" s="3174">
        <v>0</v>
      </c>
    </row>
    <row r="371" spans="1:5">
      <c r="D371" s="3172" t="s">
        <v>641</v>
      </c>
      <c r="E371" s="3174">
        <v>107263</v>
      </c>
    </row>
    <row r="372" spans="1:5">
      <c r="D372" s="3170" t="s">
        <v>642</v>
      </c>
      <c r="E372" s="3174"/>
    </row>
    <row r="373" spans="1:5">
      <c r="D373" s="3171" t="s">
        <v>643</v>
      </c>
      <c r="E373" s="3174">
        <v>0</v>
      </c>
    </row>
    <row r="374" spans="1:5">
      <c r="D374" s="3171" t="s">
        <v>644</v>
      </c>
      <c r="E374" s="3174"/>
    </row>
    <row r="375" spans="1:5">
      <c r="D375" s="3171" t="s">
        <v>753</v>
      </c>
      <c r="E375" s="3174"/>
    </row>
    <row r="376" spans="1:5">
      <c r="D376" s="3173" t="s">
        <v>754</v>
      </c>
      <c r="E376" s="3175">
        <f>SUM(E358:E375)</f>
        <v>1371474.8922400002</v>
      </c>
    </row>
    <row r="377" spans="1:5">
      <c r="A377" s="43">
        <v>17</v>
      </c>
      <c r="B377" s="2089" t="s">
        <v>194</v>
      </c>
      <c r="C377" s="3059" t="s">
        <v>134</v>
      </c>
    </row>
    <row r="378" spans="1:5">
      <c r="D378" s="89"/>
      <c r="E378" s="195" t="s">
        <v>748</v>
      </c>
    </row>
    <row r="379" spans="1:5">
      <c r="D379" s="2009" t="s">
        <v>222</v>
      </c>
      <c r="E379" s="2980"/>
    </row>
    <row r="380" spans="1:5">
      <c r="D380" s="3170" t="s">
        <v>628</v>
      </c>
      <c r="E380" s="3174">
        <v>6229.8160000000007</v>
      </c>
    </row>
    <row r="381" spans="1:5">
      <c r="D381" s="3170" t="s">
        <v>629</v>
      </c>
      <c r="E381" s="3174">
        <v>9047.7420000000002</v>
      </c>
    </row>
    <row r="382" spans="1:5">
      <c r="D382" s="3170" t="s">
        <v>751</v>
      </c>
      <c r="E382" s="3174">
        <v>2186.9</v>
      </c>
    </row>
    <row r="383" spans="1:5">
      <c r="D383" s="3171" t="s">
        <v>631</v>
      </c>
      <c r="E383" s="3174"/>
    </row>
    <row r="384" spans="1:5">
      <c r="D384" s="3170" t="s">
        <v>632</v>
      </c>
      <c r="E384" s="3174"/>
    </row>
    <row r="385" spans="1:5">
      <c r="D385" s="3170" t="s">
        <v>633</v>
      </c>
      <c r="E385" s="3174">
        <v>762.20500000000004</v>
      </c>
    </row>
    <row r="386" spans="1:5">
      <c r="D386" s="3171" t="s">
        <v>634</v>
      </c>
      <c r="E386" s="3174"/>
    </row>
    <row r="387" spans="1:5">
      <c r="D387" s="3170" t="s">
        <v>635</v>
      </c>
      <c r="E387" s="3174">
        <v>481.99</v>
      </c>
    </row>
    <row r="388" spans="1:5">
      <c r="D388" s="3170" t="s">
        <v>636</v>
      </c>
      <c r="E388" s="3174">
        <v>2292.85</v>
      </c>
    </row>
    <row r="389" spans="1:5">
      <c r="D389" s="3170" t="s">
        <v>651</v>
      </c>
      <c r="E389" s="3174"/>
    </row>
    <row r="390" spans="1:5">
      <c r="D390" s="3170" t="s">
        <v>652</v>
      </c>
      <c r="E390" s="3174"/>
    </row>
    <row r="391" spans="1:5">
      <c r="D391" s="3171" t="s">
        <v>639</v>
      </c>
      <c r="E391" s="3174"/>
    </row>
    <row r="392" spans="1:5">
      <c r="D392" s="3171" t="s">
        <v>226</v>
      </c>
      <c r="E392" s="3174"/>
    </row>
    <row r="393" spans="1:5">
      <c r="D393" s="3172" t="s">
        <v>641</v>
      </c>
      <c r="E393" s="3174">
        <v>8867.9210000000003</v>
      </c>
    </row>
    <row r="394" spans="1:5">
      <c r="D394" s="3170" t="s">
        <v>642</v>
      </c>
      <c r="E394" s="3174"/>
    </row>
    <row r="395" spans="1:5">
      <c r="D395" s="3171" t="s">
        <v>643</v>
      </c>
      <c r="E395" s="3174"/>
    </row>
    <row r="396" spans="1:5">
      <c r="D396" s="3171" t="s">
        <v>644</v>
      </c>
      <c r="E396" s="3174"/>
    </row>
    <row r="397" spans="1:5">
      <c r="D397" s="3171" t="s">
        <v>753</v>
      </c>
      <c r="E397" s="3174"/>
    </row>
    <row r="398" spans="1:5">
      <c r="D398" s="3173" t="s">
        <v>754</v>
      </c>
      <c r="E398" s="3175">
        <f>SUM(E379:E397)</f>
        <v>29869.424000000006</v>
      </c>
    </row>
    <row r="399" spans="1:5">
      <c r="A399" s="43">
        <v>18</v>
      </c>
      <c r="B399" s="2089" t="s">
        <v>195</v>
      </c>
      <c r="C399" s="3059" t="s">
        <v>760</v>
      </c>
    </row>
    <row r="400" spans="1:5">
      <c r="D400" s="89"/>
      <c r="E400" s="195" t="s">
        <v>748</v>
      </c>
    </row>
    <row r="401" spans="4:5">
      <c r="D401" s="2009" t="s">
        <v>222</v>
      </c>
      <c r="E401" s="2980"/>
    </row>
    <row r="402" spans="4:5">
      <c r="D402" s="3170" t="s">
        <v>628</v>
      </c>
      <c r="E402" s="2140">
        <v>322523.58064</v>
      </c>
    </row>
    <row r="403" spans="4:5">
      <c r="D403" s="3170" t="s">
        <v>629</v>
      </c>
      <c r="E403" s="2140">
        <v>20705.046309999998</v>
      </c>
    </row>
    <row r="404" spans="4:5">
      <c r="D404" s="3170" t="s">
        <v>751</v>
      </c>
      <c r="E404" s="2140">
        <v>41800.914050000007</v>
      </c>
    </row>
    <row r="405" spans="4:5">
      <c r="D405" s="3171" t="s">
        <v>631</v>
      </c>
      <c r="E405" s="2140"/>
    </row>
    <row r="406" spans="4:5">
      <c r="D406" s="3170" t="s">
        <v>632</v>
      </c>
      <c r="E406" s="2140">
        <v>-18993.387070000001</v>
      </c>
    </row>
    <row r="407" spans="4:5">
      <c r="D407" s="3170" t="s">
        <v>633</v>
      </c>
      <c r="E407" s="2140">
        <v>1071.4613400000001</v>
      </c>
    </row>
    <row r="408" spans="4:5">
      <c r="D408" s="3171" t="s">
        <v>634</v>
      </c>
      <c r="E408" s="2140"/>
    </row>
    <row r="409" spans="4:5">
      <c r="D409" s="3170" t="s">
        <v>635</v>
      </c>
      <c r="E409" s="2140">
        <v>37025.90681</v>
      </c>
    </row>
    <row r="410" spans="4:5">
      <c r="D410" s="3170" t="s">
        <v>636</v>
      </c>
      <c r="E410" s="2140">
        <v>6560.8285700000006</v>
      </c>
    </row>
    <row r="411" spans="4:5">
      <c r="D411" s="3170" t="s">
        <v>651</v>
      </c>
      <c r="E411" s="2140"/>
    </row>
    <row r="412" spans="4:5">
      <c r="D412" s="3170" t="s">
        <v>652</v>
      </c>
      <c r="E412" s="2140"/>
    </row>
    <row r="413" spans="4:5">
      <c r="D413" s="3171" t="s">
        <v>639</v>
      </c>
      <c r="E413" s="2140"/>
    </row>
    <row r="414" spans="4:5">
      <c r="D414" s="3171" t="s">
        <v>226</v>
      </c>
      <c r="E414" s="2140"/>
    </row>
    <row r="415" spans="4:5">
      <c r="D415" s="3172" t="s">
        <v>641</v>
      </c>
      <c r="E415" s="2140">
        <v>6488.7035400000004</v>
      </c>
    </row>
    <row r="416" spans="4:5">
      <c r="D416" s="3170" t="s">
        <v>642</v>
      </c>
      <c r="E416" s="2140"/>
    </row>
    <row r="417" spans="2:5">
      <c r="D417" s="3171" t="s">
        <v>643</v>
      </c>
      <c r="E417" s="2140"/>
    </row>
    <row r="418" spans="2:5">
      <c r="D418" s="3171" t="s">
        <v>644</v>
      </c>
      <c r="E418" s="2140"/>
    </row>
    <row r="419" spans="2:5">
      <c r="D419" s="3171" t="s">
        <v>753</v>
      </c>
      <c r="E419" s="2140"/>
    </row>
    <row r="420" spans="2:5">
      <c r="D420" s="3173" t="s">
        <v>754</v>
      </c>
      <c r="E420" s="3175">
        <f>SUM(E401:E419)</f>
        <v>417183.05419000005</v>
      </c>
    </row>
    <row r="421" spans="2:5">
      <c r="B421" s="2094" t="s">
        <v>118</v>
      </c>
      <c r="C421" s="2094" t="s">
        <v>118</v>
      </c>
    </row>
  </sheetData>
  <customSheetViews>
    <customSheetView guid="{5E394B0B-7867-4722-9497-A93AB2A9A773}" scale="60" showPageBreaks="1" hiddenColumns="1" state="hidden" view="pageBreakPreview" topLeftCell="C1">
      <selection activeCell="F4" sqref="F4"/>
      <rowBreaks count="9" manualBreakCount="9">
        <brk id="46" max="16383" man="1"/>
        <brk id="90" max="16383" man="1"/>
        <brk id="134" max="16383" man="1"/>
        <brk id="178" max="16383" man="1"/>
        <brk id="222" max="16383" man="1"/>
        <brk id="266" max="16383" man="1"/>
        <brk id="310" max="16383" man="1"/>
        <brk id="354" max="16383" man="1"/>
        <brk id="398" max="16383" man="1"/>
      </rowBreaks>
      <pageMargins left="0" right="0" top="0" bottom="0" header="0" footer="0"/>
      <pageSetup orientation="portrait" r:id="rId1"/>
    </customSheetView>
    <customSheetView guid="{B1E1B596-A9A1-411D-A882-A48CB025B978}" scale="60" showPageBreaks="1" hiddenColumns="1" state="hidden" view="pageBreakPreview" topLeftCell="C1">
      <selection activeCell="F4" sqref="F4"/>
      <rowBreaks count="9" manualBreakCount="9">
        <brk id="46" max="16383" man="1"/>
        <brk id="90" max="16383" man="1"/>
        <brk id="134" max="16383" man="1"/>
        <brk id="178" max="16383" man="1"/>
        <brk id="222" max="16383" man="1"/>
        <brk id="266" max="16383" man="1"/>
        <brk id="310" max="16383" man="1"/>
        <brk id="354" max="16383" man="1"/>
        <brk id="398" max="16383" man="1"/>
      </rowBreaks>
      <pageMargins left="0" right="0" top="0" bottom="0" header="0" footer="0"/>
      <pageSetup orientation="portrait" r:id="rId2"/>
    </customSheetView>
    <customSheetView guid="{E82B35BE-4719-4C53-A9EF-1CC6F153A6F3}" scale="60" showPageBreaks="1" hiddenColumns="1" state="hidden" view="pageBreakPreview" topLeftCell="C1">
      <selection activeCell="F4" sqref="F4"/>
      <rowBreaks count="9" manualBreakCount="9">
        <brk id="46" max="16383" man="1"/>
        <brk id="90" max="16383" man="1"/>
        <brk id="134" max="16383" man="1"/>
        <brk id="178" max="16383" man="1"/>
        <brk id="222" max="16383" man="1"/>
        <brk id="266" max="16383" man="1"/>
        <brk id="310" max="16383" man="1"/>
        <brk id="354" max="16383" man="1"/>
        <brk id="398" max="16383" man="1"/>
      </rowBreaks>
      <pageMargins left="0" right="0" top="0" bottom="0" header="0" footer="0"/>
      <pageSetup orientation="portrait" r:id="rId3"/>
    </customSheetView>
    <customSheetView guid="{46F31544-8E6F-41C5-8628-1D6EE074AF15}" scale="60" hiddenColumns="1" state="hidden" topLeftCell="C1">
      <selection activeCell="F4" sqref="F4"/>
      <rowBreaks count="9" manualBreakCount="9">
        <brk id="46" max="16383" man="1"/>
        <brk id="90" max="16383" man="1"/>
        <brk id="134" max="16383" man="1"/>
        <brk id="178" max="16383" man="1"/>
        <brk id="222" max="16383" man="1"/>
        <brk id="266" max="16383" man="1"/>
        <brk id="310" max="16383" man="1"/>
        <brk id="354" max="16383" man="1"/>
        <brk id="398" max="16383" man="1"/>
      </rowBreaks>
      <pageMargins left="0" right="0" top="0" bottom="0" header="0" footer="0"/>
      <pageSetup orientation="portrait" r:id="rId4"/>
    </customSheetView>
    <customSheetView guid="{B2E1A0C6-5BA1-4CF1-B412-16D81FCDF11F}" scale="60" hiddenColumns="1" state="hidden" topLeftCell="C1">
      <selection activeCell="F4" sqref="F4"/>
      <rowBreaks count="9" manualBreakCount="9">
        <brk id="46" max="16383" man="1"/>
        <brk id="90" max="16383" man="1"/>
        <brk id="134" max="16383" man="1"/>
        <brk id="178" max="16383" man="1"/>
        <brk id="222" max="16383" man="1"/>
        <brk id="266" max="16383" man="1"/>
        <brk id="310" max="16383" man="1"/>
        <brk id="354" max="16383" man="1"/>
        <brk id="398" max="16383" man="1"/>
      </rowBreaks>
      <pageMargins left="0" right="0" top="0" bottom="0" header="0" footer="0"/>
      <pageSetup orientation="portrait" r:id="rId5"/>
    </customSheetView>
    <customSheetView guid="{967E0446-E234-427F-8E57-7FE287052E2E}" scale="60" hiddenColumns="1" state="hidden" topLeftCell="C1">
      <selection activeCell="F4" sqref="F4"/>
      <rowBreaks count="9" manualBreakCount="9">
        <brk id="46" max="16383" man="1"/>
        <brk id="90" max="16383" man="1"/>
        <brk id="134" max="16383" man="1"/>
        <brk id="178" max="16383" man="1"/>
        <brk id="222" max="16383" man="1"/>
        <brk id="266" max="16383" man="1"/>
        <brk id="310" max="16383" man="1"/>
        <brk id="354" max="16383" man="1"/>
        <brk id="398" max="16383" man="1"/>
      </rowBreaks>
      <pageMargins left="0" right="0" top="0" bottom="0" header="0" footer="0"/>
      <pageSetup orientation="portrait" r:id="rId6"/>
    </customSheetView>
    <customSheetView guid="{2ACFE167-4169-43A6-9AB2-59D5A2DA2DB4}" scale="60" hiddenColumns="1" state="hidden" topLeftCell="C1">
      <selection activeCell="F4" sqref="F4"/>
      <rowBreaks count="9" manualBreakCount="9">
        <brk id="46" max="16383" man="1"/>
        <brk id="90" max="16383" man="1"/>
        <brk id="134" max="16383" man="1"/>
        <brk id="178" max="16383" man="1"/>
        <brk id="222" max="16383" man="1"/>
        <brk id="266" max="16383" man="1"/>
        <brk id="310" max="16383" man="1"/>
        <brk id="354" max="16383" man="1"/>
        <brk id="398" max="16383" man="1"/>
      </rowBreaks>
      <pageMargins left="0" right="0" top="0" bottom="0" header="0" footer="0"/>
      <pageSetup orientation="portrait" r:id="rId7"/>
    </customSheetView>
  </customSheetViews>
  <pageMargins left="0.7" right="0.7" top="0.75" bottom="0.75" header="0.3" footer="0.3"/>
  <pageSetup orientation="portrait" r:id="rId8"/>
  <rowBreaks count="9" manualBreakCount="9">
    <brk id="46" max="16383" man="1"/>
    <brk id="90" max="16383" man="1"/>
    <brk id="134" max="16383" man="1"/>
    <brk id="178" max="16383" man="1"/>
    <brk id="222" max="16383" man="1"/>
    <brk id="266" max="16383" man="1"/>
    <brk id="310" max="16383" man="1"/>
    <brk id="354" max="16383" man="1"/>
    <brk id="398" max="16383" man="1"/>
  </rowBreaks>
  <ignoredErrors>
    <ignoredError sqref="E8:E17" formula="1"/>
  </ignoredErrors>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5"/>
  <dimension ref="A1:H180"/>
  <sheetViews>
    <sheetView workbookViewId="0">
      <selection activeCell="H83" sqref="H83"/>
    </sheetView>
  </sheetViews>
  <sheetFormatPr defaultColWidth="9.140625" defaultRowHeight="15"/>
  <cols>
    <col min="2" max="2" width="32.7109375" bestFit="1" customWidth="1"/>
    <col min="3" max="3" width="13" customWidth="1"/>
    <col min="4" max="4" width="13.28515625" customWidth="1"/>
    <col min="5" max="5" width="12.5703125" customWidth="1"/>
    <col min="6" max="6" width="13.140625" customWidth="1"/>
    <col min="7" max="7" width="12.85546875" customWidth="1"/>
    <col min="8" max="8" width="14.5703125" customWidth="1"/>
    <col min="9" max="11" width="8.85546875" customWidth="1"/>
  </cols>
  <sheetData>
    <row r="1" spans="1:8">
      <c r="B1" s="236" t="s">
        <v>761</v>
      </c>
    </row>
    <row r="2" spans="1:8">
      <c r="A2" s="76"/>
      <c r="G2" s="202"/>
    </row>
    <row r="3" spans="1:8" ht="25.5">
      <c r="A3" s="76"/>
      <c r="B3" s="3179" t="s">
        <v>762</v>
      </c>
      <c r="C3" s="2905" t="s">
        <v>763</v>
      </c>
      <c r="D3" s="2905" t="s">
        <v>657</v>
      </c>
      <c r="E3" s="2905" t="s">
        <v>658</v>
      </c>
      <c r="F3" s="2905" t="s">
        <v>764</v>
      </c>
      <c r="G3" s="2905" t="s">
        <v>765</v>
      </c>
      <c r="H3" s="2905" t="s">
        <v>661</v>
      </c>
    </row>
    <row r="4" spans="1:8">
      <c r="A4" s="297">
        <v>1</v>
      </c>
      <c r="B4" s="3026" t="s">
        <v>766</v>
      </c>
      <c r="C4" s="3180">
        <v>42883238.573771998</v>
      </c>
      <c r="D4" s="3180">
        <v>47969491.583116502</v>
      </c>
      <c r="E4" s="3180">
        <v>51386331.270086348</v>
      </c>
      <c r="F4" s="3180">
        <v>56757163.153614148</v>
      </c>
      <c r="G4" s="3180">
        <v>67337642.392237753</v>
      </c>
      <c r="H4" s="2928"/>
    </row>
    <row r="5" spans="1:8">
      <c r="A5" s="298">
        <v>2</v>
      </c>
      <c r="B5" s="3026" t="s">
        <v>767</v>
      </c>
      <c r="C5" s="3180">
        <f t="shared" ref="C5:H5" si="0">SUM(C6:C7)</f>
        <v>28754141.964156248</v>
      </c>
      <c r="D5" s="3180">
        <f t="shared" si="0"/>
        <v>31529731.12684251</v>
      </c>
      <c r="E5" s="3180">
        <f t="shared" si="0"/>
        <v>34396115.451945789</v>
      </c>
      <c r="F5" s="3180">
        <f t="shared" si="0"/>
        <v>37969857.406111829</v>
      </c>
      <c r="G5" s="3180">
        <f t="shared" si="0"/>
        <v>45002732.935120717</v>
      </c>
      <c r="H5" s="3180">
        <f t="shared" si="0"/>
        <v>0</v>
      </c>
    </row>
    <row r="6" spans="1:8" ht="26.25">
      <c r="A6" s="298"/>
      <c r="B6" s="3181" t="s">
        <v>768</v>
      </c>
      <c r="C6" s="3180">
        <v>21142877.199536249</v>
      </c>
      <c r="D6" s="3180">
        <v>23060246.55695251</v>
      </c>
      <c r="E6" s="3180">
        <v>25461259.134129602</v>
      </c>
      <c r="F6" s="3180">
        <v>31564754.814218275</v>
      </c>
      <c r="G6" s="3180">
        <v>33345981.360024761</v>
      </c>
      <c r="H6" s="2928"/>
    </row>
    <row r="7" spans="1:8">
      <c r="A7" s="298"/>
      <c r="B7" s="3026" t="s">
        <v>769</v>
      </c>
      <c r="C7" s="3180">
        <v>7611264.7646199986</v>
      </c>
      <c r="D7" s="3180">
        <v>8469484.5698899999</v>
      </c>
      <c r="E7" s="3180">
        <v>8934856.3178161848</v>
      </c>
      <c r="F7" s="3180">
        <v>6405102.5918935556</v>
      </c>
      <c r="G7" s="3180">
        <v>11656751.575095953</v>
      </c>
      <c r="H7" s="2928"/>
    </row>
    <row r="8" spans="1:8">
      <c r="A8" s="298">
        <v>3</v>
      </c>
      <c r="B8" s="3026" t="s">
        <v>770</v>
      </c>
      <c r="C8" s="3180">
        <v>14129096.609615751</v>
      </c>
      <c r="D8" s="3180">
        <v>16439760.401563991</v>
      </c>
      <c r="E8" s="3180">
        <v>15814935.439390555</v>
      </c>
      <c r="F8" s="3180">
        <v>16506379.610442314</v>
      </c>
      <c r="G8" s="3180">
        <v>22334909.31853703</v>
      </c>
      <c r="H8" s="2928"/>
    </row>
    <row r="9" spans="1:8">
      <c r="A9" s="298">
        <v>4</v>
      </c>
      <c r="B9" s="3026" t="s">
        <v>771</v>
      </c>
      <c r="C9" s="3180">
        <v>5438658.9222759996</v>
      </c>
      <c r="D9" s="3180">
        <v>5716640.0676380005</v>
      </c>
      <c r="E9" s="3180">
        <v>6710305.2888059998</v>
      </c>
      <c r="F9" s="3180">
        <v>8077740.8455428816</v>
      </c>
      <c r="G9" s="3180">
        <v>9094367.7783697769</v>
      </c>
      <c r="H9" s="2928"/>
    </row>
    <row r="10" spans="1:8">
      <c r="A10" s="299">
        <v>5</v>
      </c>
      <c r="B10" s="3026" t="s">
        <v>670</v>
      </c>
      <c r="C10" s="3182">
        <f t="shared" ref="C10:H10" si="1">C8/C9</f>
        <v>2.5979008449573686</v>
      </c>
      <c r="D10" s="3182">
        <f t="shared" si="1"/>
        <v>2.8757732176684976</v>
      </c>
      <c r="E10" s="3182">
        <f t="shared" si="1"/>
        <v>2.3568131044309895</v>
      </c>
      <c r="F10" s="3182">
        <f t="shared" si="1"/>
        <v>2.0434401060972598</v>
      </c>
      <c r="G10" s="3182">
        <f t="shared" si="1"/>
        <v>2.455905661926145</v>
      </c>
      <c r="H10" s="3182" t="e">
        <f t="shared" si="1"/>
        <v>#DIV/0!</v>
      </c>
    </row>
    <row r="11" spans="1:8">
      <c r="A11" s="300"/>
      <c r="B11" s="54"/>
      <c r="C11" s="301"/>
      <c r="D11" s="301"/>
      <c r="E11" s="301"/>
      <c r="F11" s="301"/>
      <c r="G11" s="301"/>
    </row>
    <row r="12" spans="1:8">
      <c r="A12" s="300"/>
      <c r="B12" s="54"/>
      <c r="C12" s="301"/>
      <c r="D12" s="301"/>
      <c r="E12" s="301"/>
      <c r="F12" s="301"/>
      <c r="G12" s="301"/>
    </row>
    <row r="13" spans="1:8" ht="22.5">
      <c r="A13" s="39">
        <v>1</v>
      </c>
      <c r="B13" s="3183" t="s">
        <v>125</v>
      </c>
      <c r="C13" s="2905" t="s">
        <v>772</v>
      </c>
      <c r="D13" s="2905" t="s">
        <v>671</v>
      </c>
      <c r="E13" s="2905" t="s">
        <v>672</v>
      </c>
      <c r="F13" s="2905" t="s">
        <v>673</v>
      </c>
      <c r="G13" s="2905" t="s">
        <v>765</v>
      </c>
      <c r="H13" s="2905" t="s">
        <v>661</v>
      </c>
    </row>
    <row r="14" spans="1:8">
      <c r="A14" s="261">
        <v>1</v>
      </c>
      <c r="B14" s="3026" t="s">
        <v>766</v>
      </c>
      <c r="C14" s="3033">
        <v>2514310</v>
      </c>
      <c r="D14" s="3033">
        <v>3678466</v>
      </c>
      <c r="E14" s="3033">
        <v>3956837</v>
      </c>
      <c r="F14" s="3033">
        <v>4964464</v>
      </c>
      <c r="G14" s="3033">
        <v>3547420</v>
      </c>
      <c r="H14" s="2928"/>
    </row>
    <row r="15" spans="1:8">
      <c r="A15" s="262">
        <v>2</v>
      </c>
      <c r="B15" s="3026" t="s">
        <v>767</v>
      </c>
      <c r="C15" s="3033">
        <f t="shared" ref="C15:H15" si="2">SUM(C16:C17)</f>
        <v>1725513</v>
      </c>
      <c r="D15" s="3033">
        <f t="shared" si="2"/>
        <v>2079423</v>
      </c>
      <c r="E15" s="3033">
        <f t="shared" si="2"/>
        <v>2234876</v>
      </c>
      <c r="F15" s="3033">
        <f t="shared" si="2"/>
        <v>2472458</v>
      </c>
      <c r="G15" s="3033">
        <f t="shared" si="2"/>
        <v>2183095</v>
      </c>
      <c r="H15" s="3033">
        <f t="shared" si="2"/>
        <v>0</v>
      </c>
    </row>
    <row r="16" spans="1:8" ht="26.25">
      <c r="A16" s="262"/>
      <c r="B16" s="3181" t="s">
        <v>768</v>
      </c>
      <c r="C16" s="3033">
        <v>1057476</v>
      </c>
      <c r="D16" s="3033">
        <v>1489125</v>
      </c>
      <c r="E16" s="3033">
        <v>1652459</v>
      </c>
      <c r="F16" s="3033">
        <v>1730784</v>
      </c>
      <c r="G16" s="3033">
        <v>1515737</v>
      </c>
      <c r="H16" s="2928"/>
    </row>
    <row r="17" spans="1:8">
      <c r="A17" s="262"/>
      <c r="B17" s="3026" t="s">
        <v>769</v>
      </c>
      <c r="C17" s="3033">
        <v>668037</v>
      </c>
      <c r="D17" s="3033">
        <v>590298</v>
      </c>
      <c r="E17" s="3033">
        <v>582417</v>
      </c>
      <c r="F17" s="3033">
        <v>741674</v>
      </c>
      <c r="G17" s="3033">
        <v>667358</v>
      </c>
      <c r="H17" s="2928"/>
    </row>
    <row r="18" spans="1:8">
      <c r="A18" s="262">
        <v>3</v>
      </c>
      <c r="B18" s="3026" t="s">
        <v>770</v>
      </c>
      <c r="C18" s="3033">
        <v>788797</v>
      </c>
      <c r="D18" s="3033">
        <v>1599043</v>
      </c>
      <c r="E18" s="3033">
        <v>1721961</v>
      </c>
      <c r="F18" s="3033">
        <v>2492006</v>
      </c>
      <c r="G18" s="3033">
        <v>1364325</v>
      </c>
      <c r="H18" s="2928"/>
    </row>
    <row r="19" spans="1:8">
      <c r="A19" s="262">
        <v>4</v>
      </c>
      <c r="B19" s="3026" t="s">
        <v>771</v>
      </c>
      <c r="C19" s="3033">
        <v>240193</v>
      </c>
      <c r="D19" s="3033">
        <v>341741</v>
      </c>
      <c r="E19" s="3033">
        <v>420950</v>
      </c>
      <c r="F19" s="3033">
        <v>442994</v>
      </c>
      <c r="G19" s="3033">
        <v>361071</v>
      </c>
      <c r="H19" s="2928"/>
    </row>
    <row r="20" spans="1:8">
      <c r="A20" s="303">
        <v>5</v>
      </c>
      <c r="B20" s="3026" t="s">
        <v>670</v>
      </c>
      <c r="C20" s="3038">
        <f t="shared" ref="C20:H20" si="3">C18/C19</f>
        <v>3.2840132726599025</v>
      </c>
      <c r="D20" s="3038">
        <f t="shared" si="3"/>
        <v>4.6791078623870126</v>
      </c>
      <c r="E20" s="3038">
        <f t="shared" si="3"/>
        <v>4.0906544720275564</v>
      </c>
      <c r="F20" s="3038">
        <f t="shared" si="3"/>
        <v>5.6253719011995651</v>
      </c>
      <c r="G20" s="3038">
        <f t="shared" si="3"/>
        <v>3.7785504789916664</v>
      </c>
      <c r="H20" s="3038" t="e">
        <f t="shared" si="3"/>
        <v>#DIV/0!</v>
      </c>
    </row>
    <row r="21" spans="1:8">
      <c r="A21" s="300"/>
      <c r="B21" s="54"/>
      <c r="C21" s="183"/>
      <c r="D21" s="183"/>
      <c r="E21" s="183"/>
      <c r="F21" s="183"/>
      <c r="G21" s="183"/>
    </row>
    <row r="22" spans="1:8">
      <c r="A22" s="300"/>
      <c r="B22" s="54"/>
      <c r="C22" s="183"/>
      <c r="D22" s="183"/>
      <c r="E22" s="183"/>
      <c r="F22" s="183"/>
      <c r="G22" s="183"/>
    </row>
    <row r="23" spans="1:8" ht="22.5">
      <c r="A23" s="39">
        <v>2</v>
      </c>
      <c r="B23" s="2127" t="s">
        <v>127</v>
      </c>
      <c r="C23" s="2905" t="s">
        <v>772</v>
      </c>
      <c r="D23" s="2905" t="s">
        <v>671</v>
      </c>
      <c r="E23" s="2905" t="s">
        <v>672</v>
      </c>
      <c r="F23" s="2905" t="s">
        <v>673</v>
      </c>
      <c r="G23" s="2905" t="s">
        <v>765</v>
      </c>
      <c r="H23" s="2905" t="s">
        <v>661</v>
      </c>
    </row>
    <row r="24" spans="1:8">
      <c r="A24" s="261">
        <v>1</v>
      </c>
      <c r="B24" s="3026" t="s">
        <v>766</v>
      </c>
      <c r="C24" s="3184">
        <v>675098</v>
      </c>
      <c r="D24" s="3184">
        <v>588028</v>
      </c>
      <c r="E24" s="3184">
        <v>649133</v>
      </c>
      <c r="F24" s="3184">
        <v>772722.54421401117</v>
      </c>
      <c r="G24" s="3184">
        <v>705867.22250597598</v>
      </c>
      <c r="H24" s="2928"/>
    </row>
    <row r="25" spans="1:8">
      <c r="A25" s="262">
        <v>2</v>
      </c>
      <c r="B25" s="3026" t="s">
        <v>767</v>
      </c>
      <c r="C25" s="3184">
        <f t="shared" ref="C25:H25" si="4">SUM(C26:C27)</f>
        <v>571542</v>
      </c>
      <c r="D25" s="3184">
        <f t="shared" si="4"/>
        <v>495842</v>
      </c>
      <c r="E25" s="3184">
        <f t="shared" si="4"/>
        <v>482842</v>
      </c>
      <c r="F25" s="3184">
        <f t="shared" si="4"/>
        <v>631972</v>
      </c>
      <c r="G25" s="3184">
        <f t="shared" si="4"/>
        <v>561348.46585580008</v>
      </c>
      <c r="H25" s="3184">
        <f t="shared" si="4"/>
        <v>0</v>
      </c>
    </row>
    <row r="26" spans="1:8" ht="26.25">
      <c r="A26" s="262"/>
      <c r="B26" s="3181" t="s">
        <v>768</v>
      </c>
      <c r="C26" s="3185">
        <v>571542</v>
      </c>
      <c r="D26" s="3185">
        <v>495842</v>
      </c>
      <c r="E26" s="3184">
        <v>252785</v>
      </c>
      <c r="F26" s="3184">
        <v>308930</v>
      </c>
      <c r="G26" s="3184">
        <v>304885.84989200009</v>
      </c>
      <c r="H26" s="2928"/>
    </row>
    <row r="27" spans="1:8">
      <c r="A27" s="262"/>
      <c r="B27" s="3026" t="s">
        <v>769</v>
      </c>
      <c r="C27" s="3185"/>
      <c r="D27" s="3185"/>
      <c r="E27" s="3184">
        <v>230057</v>
      </c>
      <c r="F27" s="3184">
        <v>323042</v>
      </c>
      <c r="G27" s="3184">
        <v>256462.61596379997</v>
      </c>
      <c r="H27" s="2928"/>
    </row>
    <row r="28" spans="1:8">
      <c r="A28" s="262">
        <v>3</v>
      </c>
      <c r="B28" s="3026" t="s">
        <v>770</v>
      </c>
      <c r="C28" s="3184">
        <v>103556</v>
      </c>
      <c r="D28" s="3184">
        <v>92186</v>
      </c>
      <c r="E28" s="3184">
        <v>166291</v>
      </c>
      <c r="F28" s="3184">
        <v>140750.54421401117</v>
      </c>
      <c r="G28" s="3184">
        <v>144518.7566501759</v>
      </c>
      <c r="H28" s="2928"/>
    </row>
    <row r="29" spans="1:8">
      <c r="A29" s="262">
        <v>4</v>
      </c>
      <c r="B29" s="3026" t="s">
        <v>771</v>
      </c>
      <c r="C29" s="3184">
        <v>77568</v>
      </c>
      <c r="D29" s="3184">
        <v>88219</v>
      </c>
      <c r="E29" s="3184">
        <v>92216</v>
      </c>
      <c r="F29" s="3184">
        <v>81395.680202000018</v>
      </c>
      <c r="G29" s="3184">
        <v>80552.962511999984</v>
      </c>
      <c r="H29" s="2928"/>
    </row>
    <row r="30" spans="1:8">
      <c r="A30" s="263">
        <v>5</v>
      </c>
      <c r="B30" s="3026" t="s">
        <v>670</v>
      </c>
      <c r="C30" s="3186">
        <f t="shared" ref="C30:H30" si="5">C28/C29</f>
        <v>1.3350350660066006</v>
      </c>
      <c r="D30" s="3186">
        <f t="shared" si="5"/>
        <v>1.044967637357032</v>
      </c>
      <c r="E30" s="3186">
        <f t="shared" si="5"/>
        <v>1.8032770885746507</v>
      </c>
      <c r="F30" s="3186">
        <f t="shared" si="5"/>
        <v>1.7292139320503241</v>
      </c>
      <c r="G30" s="3186">
        <f t="shared" si="5"/>
        <v>1.7940836952911188</v>
      </c>
      <c r="H30" s="3186" t="e">
        <f t="shared" si="5"/>
        <v>#DIV/0!</v>
      </c>
    </row>
    <row r="31" spans="1:8">
      <c r="A31" s="300"/>
      <c r="B31" s="54"/>
      <c r="C31" s="302"/>
      <c r="D31" s="302"/>
      <c r="E31" s="302"/>
      <c r="F31" s="302"/>
      <c r="G31" s="302"/>
    </row>
    <row r="32" spans="1:8">
      <c r="A32" s="300"/>
      <c r="B32" s="54"/>
      <c r="C32" s="302"/>
      <c r="D32" s="302"/>
      <c r="E32" s="302"/>
      <c r="F32" s="302"/>
      <c r="G32" s="302"/>
    </row>
    <row r="33" spans="1:8" ht="22.5">
      <c r="A33" s="39">
        <v>3</v>
      </c>
      <c r="B33" s="2052" t="s">
        <v>92</v>
      </c>
      <c r="C33" s="2905" t="s">
        <v>772</v>
      </c>
      <c r="D33" s="2905" t="s">
        <v>671</v>
      </c>
      <c r="E33" s="2905" t="s">
        <v>672</v>
      </c>
      <c r="F33" s="2905" t="s">
        <v>673</v>
      </c>
      <c r="G33" s="2905" t="s">
        <v>765</v>
      </c>
      <c r="H33" s="2905" t="s">
        <v>661</v>
      </c>
    </row>
    <row r="34" spans="1:8">
      <c r="A34" s="261">
        <v>1</v>
      </c>
      <c r="B34" s="3026" t="s">
        <v>766</v>
      </c>
      <c r="C34" s="3187">
        <v>574421</v>
      </c>
      <c r="D34" s="3187">
        <v>906991</v>
      </c>
      <c r="E34" s="3187">
        <v>1274325</v>
      </c>
      <c r="F34" s="3187">
        <v>1311097</v>
      </c>
      <c r="G34" s="3187">
        <v>1532568</v>
      </c>
      <c r="H34" s="2928"/>
    </row>
    <row r="35" spans="1:8">
      <c r="A35" s="262">
        <v>2</v>
      </c>
      <c r="B35" s="3026" t="s">
        <v>767</v>
      </c>
      <c r="C35" s="3187">
        <f t="shared" ref="C35:H35" si="6">SUM(C36:C37)</f>
        <v>307255</v>
      </c>
      <c r="D35" s="3187">
        <f t="shared" si="6"/>
        <v>607662</v>
      </c>
      <c r="E35" s="3187">
        <f t="shared" si="6"/>
        <v>800159</v>
      </c>
      <c r="F35" s="3187">
        <f t="shared" si="6"/>
        <v>706362</v>
      </c>
      <c r="G35" s="3187">
        <f t="shared" si="6"/>
        <v>899297</v>
      </c>
      <c r="H35" s="3187">
        <f t="shared" si="6"/>
        <v>0</v>
      </c>
    </row>
    <row r="36" spans="1:8" ht="26.25">
      <c r="A36" s="262"/>
      <c r="B36" s="3181" t="s">
        <v>768</v>
      </c>
      <c r="C36" s="3187">
        <v>158005</v>
      </c>
      <c r="D36" s="3187">
        <v>249268</v>
      </c>
      <c r="E36" s="3187">
        <v>333646</v>
      </c>
      <c r="F36" s="3187">
        <v>418054</v>
      </c>
      <c r="G36" s="3187">
        <v>486330</v>
      </c>
      <c r="H36" s="2928"/>
    </row>
    <row r="37" spans="1:8">
      <c r="A37" s="262"/>
      <c r="B37" s="3026" t="s">
        <v>769</v>
      </c>
      <c r="C37" s="3187">
        <v>149250</v>
      </c>
      <c r="D37" s="3187">
        <v>358394</v>
      </c>
      <c r="E37" s="3187">
        <v>466513</v>
      </c>
      <c r="F37" s="3187">
        <v>288308</v>
      </c>
      <c r="G37" s="3187">
        <v>412967</v>
      </c>
      <c r="H37" s="2928"/>
    </row>
    <row r="38" spans="1:8">
      <c r="A38" s="262">
        <v>3</v>
      </c>
      <c r="B38" s="3026" t="s">
        <v>770</v>
      </c>
      <c r="C38" s="3187">
        <v>267166</v>
      </c>
      <c r="D38" s="3187">
        <v>299329</v>
      </c>
      <c r="E38" s="3187">
        <v>474166</v>
      </c>
      <c r="F38" s="3187">
        <v>604735</v>
      </c>
      <c r="G38" s="3187">
        <v>633271</v>
      </c>
      <c r="H38" s="2928"/>
    </row>
    <row r="39" spans="1:8">
      <c r="A39" s="262">
        <v>4</v>
      </c>
      <c r="B39" s="3026" t="s">
        <v>771</v>
      </c>
      <c r="C39" s="3187">
        <v>50000</v>
      </c>
      <c r="D39" s="3187">
        <v>55563</v>
      </c>
      <c r="E39" s="3187">
        <v>61169</v>
      </c>
      <c r="F39" s="3187">
        <v>84076</v>
      </c>
      <c r="G39" s="3187">
        <v>104957</v>
      </c>
      <c r="H39" s="2928"/>
    </row>
    <row r="40" spans="1:8">
      <c r="A40" s="263">
        <v>5</v>
      </c>
      <c r="B40" s="3026" t="s">
        <v>670</v>
      </c>
      <c r="C40" s="3186">
        <f t="shared" ref="C40:H40" si="7">C38/C39</f>
        <v>5.3433200000000003</v>
      </c>
      <c r="D40" s="3186">
        <f t="shared" si="7"/>
        <v>5.387200115184565</v>
      </c>
      <c r="E40" s="3186">
        <f t="shared" si="7"/>
        <v>7.7517369909594729</v>
      </c>
      <c r="F40" s="3186">
        <f t="shared" si="7"/>
        <v>7.1927184927922356</v>
      </c>
      <c r="G40" s="3186">
        <f t="shared" si="7"/>
        <v>6.0336232933487048</v>
      </c>
      <c r="H40" s="3186" t="e">
        <f t="shared" si="7"/>
        <v>#DIV/0!</v>
      </c>
    </row>
    <row r="42" spans="1:8">
      <c r="A42" s="76"/>
      <c r="B42" s="236"/>
      <c r="C42" s="260"/>
      <c r="D42" s="260"/>
      <c r="E42" s="260"/>
      <c r="F42" s="260"/>
      <c r="G42" s="260"/>
    </row>
    <row r="43" spans="1:8" ht="22.5">
      <c r="A43" s="39">
        <v>4</v>
      </c>
      <c r="B43" s="2052" t="s">
        <v>126</v>
      </c>
      <c r="C43" s="2905" t="s">
        <v>772</v>
      </c>
      <c r="D43" s="2905" t="s">
        <v>671</v>
      </c>
      <c r="E43" s="2905" t="s">
        <v>672</v>
      </c>
      <c r="F43" s="2905" t="s">
        <v>673</v>
      </c>
      <c r="G43" s="2905" t="s">
        <v>765</v>
      </c>
      <c r="H43" s="2905" t="s">
        <v>661</v>
      </c>
    </row>
    <row r="44" spans="1:8">
      <c r="A44" s="261">
        <v>1</v>
      </c>
      <c r="B44" s="3026" t="s">
        <v>766</v>
      </c>
      <c r="C44" s="3184">
        <v>457912</v>
      </c>
      <c r="D44" s="3184">
        <v>460677</v>
      </c>
      <c r="E44" s="3184">
        <v>648667.60899999994</v>
      </c>
      <c r="F44" s="3184">
        <v>850762.53637273517</v>
      </c>
      <c r="G44" s="3184">
        <v>967551.48854433675</v>
      </c>
      <c r="H44" s="2928"/>
    </row>
    <row r="45" spans="1:8">
      <c r="A45" s="262">
        <v>2</v>
      </c>
      <c r="B45" s="3026" t="s">
        <v>767</v>
      </c>
      <c r="C45" s="3184">
        <f t="shared" ref="C45:H45" si="8">SUM(C46:C47)</f>
        <v>330754</v>
      </c>
      <c r="D45" s="3184">
        <f t="shared" si="8"/>
        <v>318691</v>
      </c>
      <c r="E45" s="3184">
        <f t="shared" si="8"/>
        <v>855746.52</v>
      </c>
      <c r="F45" s="3184">
        <f t="shared" si="8"/>
        <v>600677.77723999997</v>
      </c>
      <c r="G45" s="3184">
        <f t="shared" si="8"/>
        <v>589959.67290000001</v>
      </c>
      <c r="H45" s="3184">
        <f t="shared" si="8"/>
        <v>0</v>
      </c>
    </row>
    <row r="46" spans="1:8" ht="26.25">
      <c r="A46" s="262"/>
      <c r="B46" s="3181" t="s">
        <v>768</v>
      </c>
      <c r="C46" s="3184">
        <v>189277</v>
      </c>
      <c r="D46" s="3184">
        <v>295895</v>
      </c>
      <c r="E46" s="3184">
        <v>342520</v>
      </c>
      <c r="F46" s="3184">
        <v>401239.45699999994</v>
      </c>
      <c r="G46" s="3184">
        <v>476720.63</v>
      </c>
      <c r="H46" s="2928"/>
    </row>
    <row r="47" spans="1:8">
      <c r="A47" s="262"/>
      <c r="B47" s="3026" t="s">
        <v>769</v>
      </c>
      <c r="C47" s="3184">
        <v>141477</v>
      </c>
      <c r="D47" s="3184">
        <v>22796</v>
      </c>
      <c r="E47" s="3184">
        <v>513226.51999999996</v>
      </c>
      <c r="F47" s="3184">
        <v>199438.32024000003</v>
      </c>
      <c r="G47" s="3184">
        <v>113239.04290000003</v>
      </c>
      <c r="H47" s="2928"/>
    </row>
    <row r="48" spans="1:8">
      <c r="A48" s="262">
        <v>3</v>
      </c>
      <c r="B48" s="3026" t="s">
        <v>770</v>
      </c>
      <c r="C48" s="3184">
        <v>127158</v>
      </c>
      <c r="D48" s="3184">
        <v>141986</v>
      </c>
      <c r="E48" s="3184">
        <v>-207078.91100000008</v>
      </c>
      <c r="F48" s="3184">
        <v>250084.7591327352</v>
      </c>
      <c r="G48" s="3184">
        <v>377591.81564433675</v>
      </c>
      <c r="H48" s="2928"/>
    </row>
    <row r="49" spans="1:8">
      <c r="A49" s="262">
        <v>4</v>
      </c>
      <c r="B49" s="3026" t="s">
        <v>771</v>
      </c>
      <c r="C49" s="3184">
        <v>114873.8</v>
      </c>
      <c r="D49" s="3184">
        <v>139308.20000000001</v>
      </c>
      <c r="E49" s="3184">
        <v>146983.6</v>
      </c>
      <c r="F49" s="3184">
        <v>167500.40000000002</v>
      </c>
      <c r="G49" s="3184">
        <v>204437.26</v>
      </c>
      <c r="H49" s="2928"/>
    </row>
    <row r="50" spans="1:8">
      <c r="A50" s="263">
        <v>5</v>
      </c>
      <c r="B50" s="3026" t="s">
        <v>670</v>
      </c>
      <c r="C50" s="3186">
        <f t="shared" ref="C50:H50" si="9">C48/C49</f>
        <v>1.1069364815998077</v>
      </c>
      <c r="D50" s="3186">
        <f t="shared" si="9"/>
        <v>1.0192221276278064</v>
      </c>
      <c r="E50" s="3186">
        <f t="shared" si="9"/>
        <v>-1.4088572534622916</v>
      </c>
      <c r="F50" s="3186">
        <f t="shared" si="9"/>
        <v>1.4930397726377678</v>
      </c>
      <c r="G50" s="3186">
        <f t="shared" si="9"/>
        <v>1.8469813949000136</v>
      </c>
      <c r="H50" s="3186" t="e">
        <f t="shared" si="9"/>
        <v>#DIV/0!</v>
      </c>
    </row>
    <row r="51" spans="1:8">
      <c r="A51" s="300"/>
      <c r="B51" s="54"/>
      <c r="C51" s="302"/>
      <c r="D51" s="302"/>
      <c r="E51" s="302"/>
      <c r="F51" s="302"/>
      <c r="G51" s="302"/>
    </row>
    <row r="53" spans="1:8" ht="22.5">
      <c r="A53" s="304">
        <v>5</v>
      </c>
      <c r="B53" s="2052" t="s">
        <v>124</v>
      </c>
      <c r="C53" s="2905" t="s">
        <v>772</v>
      </c>
      <c r="D53" s="2905" t="s">
        <v>671</v>
      </c>
      <c r="E53" s="2905" t="s">
        <v>672</v>
      </c>
      <c r="F53" s="2905" t="s">
        <v>673</v>
      </c>
      <c r="G53" s="2905" t="s">
        <v>765</v>
      </c>
      <c r="H53" s="2905" t="s">
        <v>661</v>
      </c>
    </row>
    <row r="54" spans="1:8">
      <c r="A54" s="261">
        <v>1</v>
      </c>
      <c r="B54" s="3026" t="s">
        <v>766</v>
      </c>
      <c r="C54" s="3184">
        <v>648211</v>
      </c>
      <c r="D54" s="3184">
        <v>715779</v>
      </c>
      <c r="E54" s="3184">
        <v>1128716</v>
      </c>
      <c r="F54" s="3184">
        <v>1031026</v>
      </c>
      <c r="G54" s="3187">
        <v>1289432.13858</v>
      </c>
      <c r="H54" s="2928"/>
    </row>
    <row r="55" spans="1:8">
      <c r="A55" s="262">
        <v>2</v>
      </c>
      <c r="B55" s="3026" t="s">
        <v>767</v>
      </c>
      <c r="C55" s="3184">
        <f t="shared" ref="C55:H55" si="10">SUM(C56:C57)</f>
        <v>302209</v>
      </c>
      <c r="D55" s="3184">
        <f t="shared" si="10"/>
        <v>356908</v>
      </c>
      <c r="E55" s="3184">
        <f t="shared" si="10"/>
        <v>847264</v>
      </c>
      <c r="F55" s="3184">
        <f t="shared" si="10"/>
        <v>674686</v>
      </c>
      <c r="G55" s="3184">
        <f t="shared" si="10"/>
        <v>836682</v>
      </c>
      <c r="H55" s="3184">
        <f t="shared" si="10"/>
        <v>0</v>
      </c>
    </row>
    <row r="56" spans="1:8" ht="26.25">
      <c r="A56" s="262"/>
      <c r="B56" s="3181" t="s">
        <v>768</v>
      </c>
      <c r="C56" s="3184">
        <v>227693</v>
      </c>
      <c r="D56" s="3184">
        <v>246868</v>
      </c>
      <c r="E56" s="3184">
        <v>198119</v>
      </c>
      <c r="F56" s="3184">
        <v>323920</v>
      </c>
      <c r="G56" s="3187">
        <v>592088</v>
      </c>
      <c r="H56" s="2928"/>
    </row>
    <row r="57" spans="1:8">
      <c r="A57" s="262"/>
      <c r="B57" s="3026" t="s">
        <v>769</v>
      </c>
      <c r="C57" s="3184">
        <v>74516</v>
      </c>
      <c r="D57" s="3184">
        <v>110040</v>
      </c>
      <c r="E57" s="3184">
        <v>649145</v>
      </c>
      <c r="F57" s="3184">
        <v>350766</v>
      </c>
      <c r="G57" s="3187">
        <v>244594</v>
      </c>
      <c r="H57" s="2928"/>
    </row>
    <row r="58" spans="1:8">
      <c r="A58" s="262">
        <v>3</v>
      </c>
      <c r="B58" s="3026" t="s">
        <v>770</v>
      </c>
      <c r="C58" s="3184">
        <v>346002</v>
      </c>
      <c r="D58" s="3184">
        <v>358871</v>
      </c>
      <c r="E58" s="3184">
        <v>281452</v>
      </c>
      <c r="F58" s="3184">
        <v>356340</v>
      </c>
      <c r="G58" s="3187">
        <v>452750</v>
      </c>
      <c r="H58" s="2928"/>
    </row>
    <row r="59" spans="1:8">
      <c r="A59" s="262">
        <v>4</v>
      </c>
      <c r="B59" s="3026" t="s">
        <v>771</v>
      </c>
      <c r="C59" s="3184">
        <v>60020</v>
      </c>
      <c r="D59" s="3184">
        <v>63290</v>
      </c>
      <c r="E59" s="3184">
        <v>56548</v>
      </c>
      <c r="F59" s="3184">
        <v>92281.200000000012</v>
      </c>
      <c r="G59" s="3187">
        <v>191160</v>
      </c>
      <c r="H59" s="2928"/>
    </row>
    <row r="60" spans="1:8">
      <c r="A60" s="263">
        <v>5</v>
      </c>
      <c r="B60" s="3026" t="s">
        <v>670</v>
      </c>
      <c r="C60" s="3186">
        <f t="shared" ref="C60:H60" si="11">C58/C59</f>
        <v>5.7647784071976007</v>
      </c>
      <c r="D60" s="3186">
        <f t="shared" si="11"/>
        <v>5.6702638647495656</v>
      </c>
      <c r="E60" s="3186">
        <f t="shared" si="11"/>
        <v>4.977222890287897</v>
      </c>
      <c r="F60" s="3186">
        <f t="shared" si="11"/>
        <v>3.8614582385144534</v>
      </c>
      <c r="G60" s="3186">
        <f t="shared" si="11"/>
        <v>2.3684348189997908</v>
      </c>
      <c r="H60" s="3186" t="e">
        <f t="shared" si="11"/>
        <v>#DIV/0!</v>
      </c>
    </row>
    <row r="61" spans="1:8">
      <c r="A61" s="300"/>
      <c r="B61" s="54"/>
      <c r="C61" s="302"/>
      <c r="D61" s="302"/>
      <c r="E61" s="302"/>
      <c r="F61" s="302"/>
      <c r="G61" s="302"/>
    </row>
    <row r="63" spans="1:8" ht="22.5">
      <c r="A63" s="39">
        <v>6</v>
      </c>
      <c r="B63" s="2052" t="s">
        <v>128</v>
      </c>
      <c r="C63" s="2905" t="s">
        <v>772</v>
      </c>
      <c r="D63" s="2905" t="s">
        <v>671</v>
      </c>
      <c r="E63" s="2905" t="s">
        <v>672</v>
      </c>
      <c r="F63" s="2905" t="s">
        <v>673</v>
      </c>
      <c r="G63" s="2905" t="s">
        <v>765</v>
      </c>
      <c r="H63" s="2905" t="s">
        <v>661</v>
      </c>
    </row>
    <row r="64" spans="1:8">
      <c r="A64" s="261">
        <v>1</v>
      </c>
      <c r="B64" s="3026" t="s">
        <v>766</v>
      </c>
      <c r="C64" s="3184">
        <v>8497791</v>
      </c>
      <c r="D64" s="3184">
        <v>8824688</v>
      </c>
      <c r="E64" s="3184">
        <v>9622372</v>
      </c>
      <c r="F64" s="3184">
        <v>8304522</v>
      </c>
      <c r="G64" s="3184">
        <v>9253855</v>
      </c>
      <c r="H64" s="2928"/>
    </row>
    <row r="65" spans="1:8">
      <c r="A65" s="262">
        <v>2</v>
      </c>
      <c r="B65" s="3026" t="s">
        <v>767</v>
      </c>
      <c r="C65" s="3184">
        <f t="shared" ref="C65:H65" si="12">SUM(C66:C67)</f>
        <v>6046186</v>
      </c>
      <c r="D65" s="3184">
        <f t="shared" si="12"/>
        <v>5414226</v>
      </c>
      <c r="E65" s="3184">
        <f t="shared" si="12"/>
        <v>5616033</v>
      </c>
      <c r="F65" s="3184">
        <f t="shared" si="12"/>
        <v>6510054</v>
      </c>
      <c r="G65" s="3184">
        <f t="shared" si="12"/>
        <v>7249502</v>
      </c>
      <c r="H65" s="3184">
        <f t="shared" si="12"/>
        <v>0</v>
      </c>
    </row>
    <row r="66" spans="1:8" ht="26.25">
      <c r="A66" s="262"/>
      <c r="B66" s="3181" t="s">
        <v>768</v>
      </c>
      <c r="C66" s="3184">
        <v>4708226</v>
      </c>
      <c r="D66" s="3184">
        <v>3947707</v>
      </c>
      <c r="E66" s="3184">
        <v>4440609</v>
      </c>
      <c r="F66" s="3184">
        <v>5207922</v>
      </c>
      <c r="G66" s="3184">
        <v>5283307</v>
      </c>
      <c r="H66" s="2928"/>
    </row>
    <row r="67" spans="1:8">
      <c r="A67" s="262"/>
      <c r="B67" s="3026" t="s">
        <v>769</v>
      </c>
      <c r="C67" s="3184">
        <v>1337960</v>
      </c>
      <c r="D67" s="3184">
        <v>1466519</v>
      </c>
      <c r="E67" s="3184">
        <v>1175424</v>
      </c>
      <c r="F67" s="3184">
        <v>1302132</v>
      </c>
      <c r="G67" s="3184">
        <v>1966195</v>
      </c>
      <c r="H67" s="2928"/>
    </row>
    <row r="68" spans="1:8">
      <c r="A68" s="262">
        <v>3</v>
      </c>
      <c r="B68" s="3026" t="s">
        <v>770</v>
      </c>
      <c r="C68" s="3184">
        <f>+C64-C65</f>
        <v>2451605</v>
      </c>
      <c r="D68" s="3184">
        <f>+D64-D65</f>
        <v>3410462</v>
      </c>
      <c r="E68" s="3184">
        <f>+E64-E65</f>
        <v>4006339</v>
      </c>
      <c r="F68" s="3184">
        <f>+F64-F65</f>
        <v>1794468</v>
      </c>
      <c r="G68" s="3184">
        <f>+G64-G65</f>
        <v>2004353</v>
      </c>
      <c r="H68" s="2928"/>
    </row>
    <row r="69" spans="1:8">
      <c r="A69" s="262">
        <v>4</v>
      </c>
      <c r="B69" s="3026" t="s">
        <v>771</v>
      </c>
      <c r="C69" s="3184">
        <v>1737760</v>
      </c>
      <c r="D69" s="3184">
        <v>1391684</v>
      </c>
      <c r="E69" s="3184">
        <v>1511581</v>
      </c>
      <c r="F69" s="3184">
        <v>1641178</v>
      </c>
      <c r="G69" s="3184">
        <v>1769616</v>
      </c>
      <c r="H69" s="2928"/>
    </row>
    <row r="70" spans="1:8">
      <c r="A70" s="263">
        <v>5</v>
      </c>
      <c r="B70" s="3026" t="s">
        <v>670</v>
      </c>
      <c r="C70" s="3186">
        <f t="shared" ref="C70:H70" si="13">C68/C69</f>
        <v>1.4107845732437161</v>
      </c>
      <c r="D70" s="3186">
        <f t="shared" si="13"/>
        <v>2.4506008547917486</v>
      </c>
      <c r="E70" s="3186">
        <f t="shared" si="13"/>
        <v>2.6504295833303013</v>
      </c>
      <c r="F70" s="3186">
        <f t="shared" si="13"/>
        <v>1.09340242191889</v>
      </c>
      <c r="G70" s="3186">
        <f t="shared" si="13"/>
        <v>1.1326485520022422</v>
      </c>
      <c r="H70" s="3186" t="e">
        <f t="shared" si="13"/>
        <v>#DIV/0!</v>
      </c>
    </row>
    <row r="71" spans="1:8">
      <c r="A71" s="300"/>
      <c r="B71" s="54"/>
      <c r="C71" s="302"/>
      <c r="D71" s="302"/>
      <c r="E71" s="302"/>
      <c r="F71" s="302"/>
      <c r="G71" s="302"/>
    </row>
    <row r="72" spans="1:8">
      <c r="A72" s="76"/>
      <c r="B72" s="236"/>
      <c r="C72" s="260"/>
      <c r="D72" s="260"/>
      <c r="E72" s="260"/>
      <c r="F72" s="260"/>
      <c r="G72" s="260"/>
    </row>
    <row r="73" spans="1:8" ht="22.5">
      <c r="A73" s="39">
        <v>7</v>
      </c>
      <c r="B73" s="2052" t="s">
        <v>99</v>
      </c>
      <c r="C73" s="2905" t="s">
        <v>772</v>
      </c>
      <c r="D73" s="2905" t="s">
        <v>671</v>
      </c>
      <c r="E73" s="2905" t="s">
        <v>672</v>
      </c>
      <c r="F73" s="2905" t="s">
        <v>673</v>
      </c>
      <c r="G73" s="2905" t="s">
        <v>765</v>
      </c>
      <c r="H73" s="2905" t="s">
        <v>661</v>
      </c>
    </row>
    <row r="74" spans="1:8">
      <c r="A74" s="261">
        <v>1</v>
      </c>
      <c r="B74" s="3026" t="s">
        <v>766</v>
      </c>
      <c r="C74" s="3188"/>
      <c r="D74" s="3188"/>
      <c r="E74" s="3188">
        <v>603691</v>
      </c>
      <c r="F74" s="3188">
        <v>990534.68061416352</v>
      </c>
      <c r="G74" s="3188">
        <v>1127079.3780578277</v>
      </c>
      <c r="H74" s="2928"/>
    </row>
    <row r="75" spans="1:8">
      <c r="A75" s="262">
        <v>2</v>
      </c>
      <c r="B75" s="3026" t="s">
        <v>767</v>
      </c>
      <c r="C75" s="3188">
        <f t="shared" ref="C75:H75" si="14">+C76+C77</f>
        <v>0</v>
      </c>
      <c r="D75" s="3188">
        <f t="shared" si="14"/>
        <v>0</v>
      </c>
      <c r="E75" s="3188">
        <f t="shared" si="14"/>
        <v>344792</v>
      </c>
      <c r="F75" s="3188">
        <f t="shared" si="14"/>
        <v>737169.22448182781</v>
      </c>
      <c r="G75" s="3188">
        <f t="shared" si="14"/>
        <v>784969.66287163133</v>
      </c>
      <c r="H75" s="3188">
        <f t="shared" si="14"/>
        <v>0</v>
      </c>
    </row>
    <row r="76" spans="1:8" ht="26.25">
      <c r="A76" s="262"/>
      <c r="B76" s="3181" t="s">
        <v>768</v>
      </c>
      <c r="C76" s="3188"/>
      <c r="D76" s="3188"/>
      <c r="E76" s="3188">
        <v>222366.79824781598</v>
      </c>
      <c r="F76" s="3188">
        <v>573667.44348448655</v>
      </c>
      <c r="G76" s="3188">
        <v>619194.77793401096</v>
      </c>
      <c r="H76" s="2928"/>
    </row>
    <row r="77" spans="1:8">
      <c r="A77" s="262"/>
      <c r="B77" s="3026" t="s">
        <v>769</v>
      </c>
      <c r="C77" s="3188"/>
      <c r="D77" s="3188"/>
      <c r="E77" s="3188">
        <v>122425.20175218402</v>
      </c>
      <c r="F77" s="3188">
        <v>163501.78099734124</v>
      </c>
      <c r="G77" s="3188">
        <v>165774.88493762031</v>
      </c>
      <c r="H77" s="2928"/>
    </row>
    <row r="78" spans="1:8">
      <c r="A78" s="262">
        <v>3</v>
      </c>
      <c r="B78" s="3026" t="s">
        <v>770</v>
      </c>
      <c r="C78" s="3188"/>
      <c r="D78" s="3188"/>
      <c r="E78" s="3188">
        <v>258899</v>
      </c>
      <c r="F78" s="3188">
        <v>253365.45613233573</v>
      </c>
      <c r="G78" s="3188">
        <v>342109.71518619644</v>
      </c>
      <c r="H78" s="2928"/>
    </row>
    <row r="79" spans="1:8">
      <c r="A79" s="262">
        <v>4</v>
      </c>
      <c r="B79" s="3026" t="s">
        <v>771</v>
      </c>
      <c r="C79" s="3188"/>
      <c r="D79" s="3188"/>
      <c r="E79" s="3188">
        <v>50000</v>
      </c>
      <c r="F79" s="3188">
        <v>178633.62063288156</v>
      </c>
      <c r="G79" s="3188">
        <v>210849.28640000001</v>
      </c>
      <c r="H79" s="2928"/>
    </row>
    <row r="80" spans="1:8">
      <c r="A80" s="263">
        <v>5</v>
      </c>
      <c r="B80" s="3026" t="s">
        <v>670</v>
      </c>
      <c r="C80" s="3189"/>
      <c r="D80" s="3189"/>
      <c r="E80" s="3189">
        <f>E78/E79</f>
        <v>5.1779799999999998</v>
      </c>
      <c r="F80" s="3189">
        <f>F78/F79</f>
        <v>1.4183525768256084</v>
      </c>
      <c r="G80" s="3189">
        <f>G78/G79</f>
        <v>1.6225320039128974</v>
      </c>
      <c r="H80" s="3189" t="e">
        <f>H78/H79</f>
        <v>#DIV/0!</v>
      </c>
    </row>
    <row r="82" spans="1:8">
      <c r="A82" s="76"/>
      <c r="B82" s="236"/>
      <c r="C82" s="260"/>
      <c r="D82" s="260"/>
      <c r="E82" s="260"/>
      <c r="F82" s="260"/>
      <c r="G82" s="260"/>
    </row>
    <row r="83" spans="1:8" ht="22.5">
      <c r="A83" s="39">
        <v>8</v>
      </c>
      <c r="B83" s="2052" t="s">
        <v>129</v>
      </c>
      <c r="C83" s="2905" t="s">
        <v>772</v>
      </c>
      <c r="D83" s="2905" t="s">
        <v>671</v>
      </c>
      <c r="E83" s="2905" t="s">
        <v>672</v>
      </c>
      <c r="F83" s="2905" t="s">
        <v>673</v>
      </c>
      <c r="G83" s="2905" t="s">
        <v>765</v>
      </c>
      <c r="H83" s="2905" t="s">
        <v>661</v>
      </c>
    </row>
    <row r="84" spans="1:8">
      <c r="A84" s="261">
        <v>1</v>
      </c>
      <c r="B84" s="3026" t="s">
        <v>766</v>
      </c>
      <c r="C84" s="3188">
        <v>425583.21377200005</v>
      </c>
      <c r="D84" s="3188">
        <v>563039.77990599978</v>
      </c>
      <c r="E84" s="3188">
        <v>795155.47658999986</v>
      </c>
      <c r="F84" s="3188">
        <v>1103390.608</v>
      </c>
      <c r="G84" s="3188">
        <v>1340677.8407600005</v>
      </c>
      <c r="H84" s="2928"/>
    </row>
    <row r="85" spans="1:8">
      <c r="A85" s="262">
        <v>2</v>
      </c>
      <c r="B85" s="3026" t="s">
        <v>767</v>
      </c>
      <c r="C85" s="3188">
        <f t="shared" ref="C85:H85" si="15">SUM(C86:C87)</f>
        <v>318908.62415624998</v>
      </c>
      <c r="D85" s="3188">
        <f t="shared" si="15"/>
        <v>400153.12684250873</v>
      </c>
      <c r="E85" s="3188">
        <f t="shared" si="15"/>
        <v>466677.93194578745</v>
      </c>
      <c r="F85" s="3188">
        <f t="shared" si="15"/>
        <v>650961.37800000003</v>
      </c>
      <c r="G85" s="3188">
        <f t="shared" si="15"/>
        <v>852203.21797916654</v>
      </c>
      <c r="H85" s="3188">
        <f t="shared" si="15"/>
        <v>0</v>
      </c>
    </row>
    <row r="86" spans="1:8" ht="26.25">
      <c r="A86" s="262"/>
      <c r="B86" s="3181" t="s">
        <v>768</v>
      </c>
      <c r="C86" s="3188">
        <v>245459.15153624999</v>
      </c>
      <c r="D86" s="3188">
        <v>302463.55695250875</v>
      </c>
      <c r="E86" s="3188">
        <v>360509.33588178706</v>
      </c>
      <c r="F86" s="3188">
        <v>488561.27</v>
      </c>
      <c r="G86" s="3188">
        <v>634588.13927916659</v>
      </c>
      <c r="H86" s="2928"/>
    </row>
    <row r="87" spans="1:8">
      <c r="A87" s="262"/>
      <c r="B87" s="3026" t="s">
        <v>769</v>
      </c>
      <c r="C87" s="3188">
        <v>73449.47262</v>
      </c>
      <c r="D87" s="3188">
        <v>97689.569889999999</v>
      </c>
      <c r="E87" s="3188">
        <v>106168.59606400041</v>
      </c>
      <c r="F87" s="3188">
        <v>162400.10800000001</v>
      </c>
      <c r="G87" s="3188">
        <v>217615.07869999998</v>
      </c>
      <c r="H87" s="2928"/>
    </row>
    <row r="88" spans="1:8">
      <c r="A88" s="262">
        <v>3</v>
      </c>
      <c r="B88" s="3026" t="s">
        <v>770</v>
      </c>
      <c r="C88" s="3188">
        <v>106674.58961575007</v>
      </c>
      <c r="D88" s="3188">
        <v>162886.65306349105</v>
      </c>
      <c r="E88" s="3188">
        <v>328477.54464421241</v>
      </c>
      <c r="F88" s="3188">
        <v>452429.23</v>
      </c>
      <c r="G88" s="3188">
        <v>488474.62278083398</v>
      </c>
      <c r="H88" s="2928"/>
    </row>
    <row r="89" spans="1:8">
      <c r="A89" s="262">
        <v>4</v>
      </c>
      <c r="B89" s="3026" t="s">
        <v>771</v>
      </c>
      <c r="C89" s="3188">
        <v>96841.122276000009</v>
      </c>
      <c r="D89" s="3188">
        <v>110245.39841600001</v>
      </c>
      <c r="E89" s="3188">
        <v>121966.555582</v>
      </c>
      <c r="F89" s="3188">
        <v>176357.14799999999</v>
      </c>
      <c r="G89" s="3188">
        <v>216330.14456000002</v>
      </c>
      <c r="H89" s="2928"/>
    </row>
    <row r="90" spans="1:8">
      <c r="A90" s="263">
        <v>5</v>
      </c>
      <c r="B90" s="3026" t="s">
        <v>670</v>
      </c>
      <c r="C90" s="3189">
        <f t="shared" ref="C90:H90" si="16">C88/C89</f>
        <v>1.101542269530132</v>
      </c>
      <c r="D90" s="3189">
        <f t="shared" si="16"/>
        <v>1.4774916268963401</v>
      </c>
      <c r="E90" s="3189">
        <f t="shared" si="16"/>
        <v>2.69317718350562</v>
      </c>
      <c r="F90" s="3189">
        <f t="shared" si="16"/>
        <v>2.5654147571041466</v>
      </c>
      <c r="G90" s="3189">
        <f t="shared" si="16"/>
        <v>2.2580053453685629</v>
      </c>
      <c r="H90" s="3189" t="e">
        <f t="shared" si="16"/>
        <v>#DIV/0!</v>
      </c>
    </row>
    <row r="92" spans="1:8">
      <c r="A92" s="76"/>
      <c r="B92" s="236"/>
      <c r="C92" s="260"/>
      <c r="D92" s="260"/>
      <c r="E92" s="260"/>
      <c r="F92" s="260"/>
      <c r="G92" s="260"/>
    </row>
    <row r="93" spans="1:8" ht="22.5">
      <c r="A93" s="39">
        <v>9</v>
      </c>
      <c r="B93" s="2052" t="s">
        <v>131</v>
      </c>
      <c r="C93" s="2905" t="s">
        <v>772</v>
      </c>
      <c r="D93" s="2905" t="s">
        <v>671</v>
      </c>
      <c r="E93" s="2905" t="s">
        <v>672</v>
      </c>
      <c r="F93" s="2905" t="s">
        <v>673</v>
      </c>
      <c r="G93" s="2905" t="s">
        <v>773</v>
      </c>
      <c r="H93" s="2905" t="s">
        <v>661</v>
      </c>
    </row>
    <row r="94" spans="1:8">
      <c r="A94" s="261">
        <v>1</v>
      </c>
      <c r="B94" s="3026" t="s">
        <v>766</v>
      </c>
      <c r="C94" s="3190">
        <v>851614</v>
      </c>
      <c r="D94" s="3188">
        <v>1078537.8032105002</v>
      </c>
      <c r="E94" s="3188">
        <v>1300140.2531945</v>
      </c>
      <c r="F94" s="3188">
        <v>1927723.1090212879</v>
      </c>
      <c r="G94" s="3188">
        <v>2075641.29218067</v>
      </c>
      <c r="H94" s="2928"/>
    </row>
    <row r="95" spans="1:8">
      <c r="A95" s="262">
        <v>2</v>
      </c>
      <c r="B95" s="3026" t="s">
        <v>767</v>
      </c>
      <c r="C95" s="3190">
        <f t="shared" ref="C95:H95" si="17">+C96+C97</f>
        <v>591875</v>
      </c>
      <c r="D95" s="3190">
        <f t="shared" si="17"/>
        <v>793455</v>
      </c>
      <c r="E95" s="3190">
        <f t="shared" si="17"/>
        <v>901125</v>
      </c>
      <c r="F95" s="3190">
        <f t="shared" si="17"/>
        <v>1105779.30739</v>
      </c>
      <c r="G95" s="3190">
        <f t="shared" si="17"/>
        <v>1157259</v>
      </c>
      <c r="H95" s="3190">
        <f t="shared" si="17"/>
        <v>0</v>
      </c>
    </row>
    <row r="96" spans="1:8" ht="26.25">
      <c r="A96" s="262"/>
      <c r="B96" s="3181" t="s">
        <v>768</v>
      </c>
      <c r="C96" s="3190">
        <v>420934</v>
      </c>
      <c r="D96" s="3190">
        <v>550237</v>
      </c>
      <c r="E96" s="3190">
        <v>658899</v>
      </c>
      <c r="F96" s="3190">
        <v>834026.63296999992</v>
      </c>
      <c r="G96" s="3190">
        <v>855641</v>
      </c>
      <c r="H96" s="2928"/>
    </row>
    <row r="97" spans="1:8">
      <c r="A97" s="262"/>
      <c r="B97" s="3026" t="s">
        <v>769</v>
      </c>
      <c r="C97" s="3190">
        <v>170941</v>
      </c>
      <c r="D97" s="3190">
        <v>243218</v>
      </c>
      <c r="E97" s="3190">
        <v>242226</v>
      </c>
      <c r="F97" s="3190">
        <v>271752.67442</v>
      </c>
      <c r="G97" s="3190">
        <v>301618</v>
      </c>
      <c r="H97" s="2928"/>
    </row>
    <row r="98" spans="1:8">
      <c r="A98" s="262">
        <v>3</v>
      </c>
      <c r="B98" s="3026" t="s">
        <v>770</v>
      </c>
      <c r="C98" s="3190">
        <f>+C94-C95</f>
        <v>259739</v>
      </c>
      <c r="D98" s="3188">
        <v>285082.74850050011</v>
      </c>
      <c r="E98" s="3188">
        <v>399015.43405449996</v>
      </c>
      <c r="F98" s="3188">
        <v>821943.66457128804</v>
      </c>
      <c r="G98" s="3188">
        <v>918382.29218066996</v>
      </c>
      <c r="H98" s="2928"/>
    </row>
    <row r="99" spans="1:8">
      <c r="A99" s="262">
        <v>4</v>
      </c>
      <c r="B99" s="3026" t="s">
        <v>771</v>
      </c>
      <c r="C99" s="3190">
        <v>123150</v>
      </c>
      <c r="D99" s="3188">
        <v>154064.46922200004</v>
      </c>
      <c r="E99" s="3188">
        <v>198687.66480399991</v>
      </c>
      <c r="F99" s="3188">
        <v>260843.7840000001</v>
      </c>
      <c r="G99" s="3188">
        <v>263914.14463799994</v>
      </c>
      <c r="H99" s="2928"/>
    </row>
    <row r="100" spans="1:8">
      <c r="A100" s="263">
        <v>5</v>
      </c>
      <c r="B100" s="3026" t="s">
        <v>670</v>
      </c>
      <c r="C100" s="3191">
        <f t="shared" ref="C100:H100" si="18">+C98/C99</f>
        <v>2.1091270807957776</v>
      </c>
      <c r="D100" s="3191">
        <f t="shared" si="18"/>
        <v>1.8504120381559783</v>
      </c>
      <c r="E100" s="3191">
        <f t="shared" si="18"/>
        <v>2.0082546868126818</v>
      </c>
      <c r="F100" s="3191">
        <f t="shared" si="18"/>
        <v>3.1510954639857842</v>
      </c>
      <c r="G100" s="3191">
        <f t="shared" si="18"/>
        <v>3.4798524855133355</v>
      </c>
      <c r="H100" s="3191" t="e">
        <f t="shared" si="18"/>
        <v>#DIV/0!</v>
      </c>
    </row>
    <row r="102" spans="1:8">
      <c r="A102" s="76"/>
      <c r="B102" s="236"/>
      <c r="C102" s="260"/>
      <c r="D102" s="260"/>
      <c r="E102" s="260"/>
      <c r="F102" s="260"/>
      <c r="G102" s="260"/>
    </row>
    <row r="103" spans="1:8" ht="22.5">
      <c r="A103" s="39">
        <v>10</v>
      </c>
      <c r="B103" s="2052" t="s">
        <v>132</v>
      </c>
      <c r="C103" s="2905" t="s">
        <v>772</v>
      </c>
      <c r="D103" s="2905" t="s">
        <v>671</v>
      </c>
      <c r="E103" s="2905" t="s">
        <v>672</v>
      </c>
      <c r="F103" s="2905" t="s">
        <v>673</v>
      </c>
      <c r="G103" s="2905" t="s">
        <v>773</v>
      </c>
      <c r="H103" s="2905" t="s">
        <v>661</v>
      </c>
    </row>
    <row r="104" spans="1:8" ht="18" customHeight="1">
      <c r="A104" s="261">
        <v>1</v>
      </c>
      <c r="B104" s="3026" t="s">
        <v>766</v>
      </c>
      <c r="C104" s="3188">
        <f>+'[14]Sheet 2 - General Insurance'!$G$326/1000</f>
        <v>3125149</v>
      </c>
      <c r="D104" s="3188">
        <f>+'[14]Sheet 2 - General Insurance'!$F$326/1000</f>
        <v>4520969</v>
      </c>
      <c r="E104" s="3188">
        <f>+'[14]Sheet 2 - General Insurance'!$E$326/1000</f>
        <v>5574248.9313018434</v>
      </c>
      <c r="F104" s="3188">
        <f>+'[14]Sheet 2 - General Insurance'!$D$326/1000</f>
        <v>5617804.878176</v>
      </c>
      <c r="G104" s="3188">
        <f>+'[14]Sheet 2 - General Insurance'!$C$326/1000</f>
        <v>7026145.9678444006</v>
      </c>
      <c r="H104" s="2928"/>
    </row>
    <row r="105" spans="1:8">
      <c r="A105" s="262">
        <v>2</v>
      </c>
      <c r="B105" s="3026" t="s">
        <v>767</v>
      </c>
      <c r="C105" s="3188">
        <f t="shared" ref="C105:H105" si="19">SUM(C106:C107)</f>
        <v>3230414</v>
      </c>
      <c r="D105" s="3188">
        <f t="shared" si="19"/>
        <v>3404103</v>
      </c>
      <c r="E105" s="3188">
        <f t="shared" si="19"/>
        <v>3843100</v>
      </c>
      <c r="F105" s="3188">
        <f t="shared" si="19"/>
        <v>4256457.2351600006</v>
      </c>
      <c r="G105" s="3188">
        <f t="shared" si="19"/>
        <v>4706049.258820001</v>
      </c>
      <c r="H105" s="3188">
        <f t="shared" si="19"/>
        <v>0</v>
      </c>
    </row>
    <row r="106" spans="1:8" ht="26.25">
      <c r="A106" s="262"/>
      <c r="B106" s="3181" t="s">
        <v>768</v>
      </c>
      <c r="C106" s="3188">
        <f>+'[14]Sheet 2 - General Insurance'!$G$328/1000</f>
        <v>2215833</v>
      </c>
      <c r="D106" s="3188">
        <f>+'[14]Sheet 2 - General Insurance'!$F$328/1000</f>
        <v>2496519</v>
      </c>
      <c r="E106" s="3188">
        <f>+'[14]Sheet 2 - General Insurance'!$E$328/1000</f>
        <v>2819260</v>
      </c>
      <c r="F106" s="3188">
        <f>+'[14]Sheet 2 - General Insurance'!$D$328/1000</f>
        <v>3145394.3910937868</v>
      </c>
      <c r="G106" s="3188">
        <f>+'[14]Sheet 2 - General Insurance'!$C$328/1000</f>
        <v>3510173.8800599999</v>
      </c>
      <c r="H106" s="2928"/>
    </row>
    <row r="107" spans="1:8">
      <c r="A107" s="262"/>
      <c r="B107" s="3026" t="s">
        <v>769</v>
      </c>
      <c r="C107" s="3188">
        <f>+'[14]Sheet 2 - General Insurance'!$G$329/1000</f>
        <v>1014581</v>
      </c>
      <c r="D107" s="3188">
        <f>+'[14]Sheet 2 - General Insurance'!$F$329/1000</f>
        <v>907584</v>
      </c>
      <c r="E107" s="3188">
        <f>+'[14]Sheet 2 - General Insurance'!$E$329/1000</f>
        <v>1023840</v>
      </c>
      <c r="F107" s="3188">
        <f>+'[14]Sheet 2 - General Insurance'!$D$329/1000</f>
        <v>1111062.844066214</v>
      </c>
      <c r="G107" s="3188">
        <f>+'[14]Sheet 2 - General Insurance'!$C$329/1000</f>
        <v>1195875.3787600007</v>
      </c>
      <c r="H107" s="2928"/>
    </row>
    <row r="108" spans="1:8">
      <c r="A108" s="262">
        <v>3</v>
      </c>
      <c r="B108" s="3026" t="s">
        <v>770</v>
      </c>
      <c r="C108" s="3188">
        <f>+'[14]Sheet 2 - General Insurance'!$G$330/1000</f>
        <v>-105265</v>
      </c>
      <c r="D108" s="3188">
        <f>+'[14]Sheet 2 - General Insurance'!$F$330/1000</f>
        <v>1116866</v>
      </c>
      <c r="E108" s="3188">
        <f>+'[14]Sheet 2 - General Insurance'!$E$330/1000</f>
        <v>1731149.371691844</v>
      </c>
      <c r="F108" s="3188">
        <f>+'[14]Sheet 2 - General Insurance'!$D$330/1000</f>
        <v>1361347.6430159989</v>
      </c>
      <c r="G108" s="3188">
        <f>+'[14]Sheet 2 - General Insurance'!$C$330/1000</f>
        <v>2320096.7090244</v>
      </c>
      <c r="H108" s="2928"/>
    </row>
    <row r="109" spans="1:8">
      <c r="A109" s="262">
        <v>4</v>
      </c>
      <c r="B109" s="3026" t="s">
        <v>771</v>
      </c>
      <c r="C109" s="3188">
        <f>+'[14]Sheet 2 - General Insurance'!$G$331/1000</f>
        <v>662839</v>
      </c>
      <c r="D109" s="3188">
        <f>+'[14]Sheet 2 - General Insurance'!$F$331/1000</f>
        <v>743542</v>
      </c>
      <c r="E109" s="3188">
        <f>+'[14]Sheet 2 - General Insurance'!$E$331/1000</f>
        <v>783684.46842000005</v>
      </c>
      <c r="F109" s="3188">
        <f>+'[14]Sheet 2 - General Insurance'!$D$331/1000</f>
        <v>912385.49673400004</v>
      </c>
      <c r="G109" s="3188">
        <f>+'[14]Sheet 2 - General Insurance'!$C$331/1000</f>
        <v>1034815.557498</v>
      </c>
      <c r="H109" s="2928"/>
    </row>
    <row r="110" spans="1:8">
      <c r="A110" s="263">
        <v>5</v>
      </c>
      <c r="B110" s="3026" t="s">
        <v>670</v>
      </c>
      <c r="C110" s="3189">
        <f t="shared" ref="C110:H110" si="20">+C108/C109</f>
        <v>-0.15880930361671536</v>
      </c>
      <c r="D110" s="3189">
        <f t="shared" si="20"/>
        <v>1.5020886513472003</v>
      </c>
      <c r="E110" s="3189">
        <f t="shared" si="20"/>
        <v>2.2089877258663102</v>
      </c>
      <c r="F110" s="3189">
        <f t="shared" si="20"/>
        <v>1.4920750580638513</v>
      </c>
      <c r="G110" s="3189">
        <f t="shared" si="20"/>
        <v>2.2420388756369118</v>
      </c>
      <c r="H110" s="3189" t="e">
        <f t="shared" si="20"/>
        <v>#DIV/0!</v>
      </c>
    </row>
    <row r="112" spans="1:8">
      <c r="A112" s="76"/>
      <c r="B112" s="236"/>
      <c r="C112" s="260"/>
      <c r="D112" s="260"/>
      <c r="E112" s="260"/>
      <c r="F112" s="260"/>
      <c r="G112" s="260"/>
    </row>
    <row r="113" spans="1:8" ht="22.5">
      <c r="A113" s="39">
        <v>11</v>
      </c>
      <c r="B113" s="2127" t="s">
        <v>133</v>
      </c>
      <c r="C113" s="2905" t="s">
        <v>772</v>
      </c>
      <c r="D113" s="2905" t="s">
        <v>671</v>
      </c>
      <c r="E113" s="2905" t="s">
        <v>672</v>
      </c>
      <c r="F113" s="2905" t="s">
        <v>673</v>
      </c>
      <c r="G113" s="2905" t="s">
        <v>773</v>
      </c>
      <c r="H113" s="2905" t="s">
        <v>661</v>
      </c>
    </row>
    <row r="114" spans="1:8">
      <c r="A114" s="261">
        <v>1</v>
      </c>
      <c r="B114" s="3026" t="s">
        <v>766</v>
      </c>
      <c r="C114" s="3192"/>
      <c r="D114" s="3192"/>
      <c r="E114" s="3192"/>
      <c r="F114" s="3188">
        <v>443616.47788000002</v>
      </c>
      <c r="G114" s="3188">
        <v>1466373.3332069116</v>
      </c>
      <c r="H114" s="2928"/>
    </row>
    <row r="115" spans="1:8">
      <c r="A115" s="262">
        <v>2</v>
      </c>
      <c r="B115" s="3026" t="s">
        <v>767</v>
      </c>
      <c r="C115" s="3192"/>
      <c r="D115" s="3192"/>
      <c r="E115" s="3192"/>
      <c r="F115" s="3188">
        <f>SUM(F116:F117)</f>
        <v>357466.80938999995</v>
      </c>
      <c r="G115" s="3188">
        <f>SUM(G116:G117)</f>
        <v>1171302.0290299999</v>
      </c>
      <c r="H115" s="3188">
        <f>SUM(H116:H117)</f>
        <v>0</v>
      </c>
    </row>
    <row r="116" spans="1:8" ht="26.25">
      <c r="A116" s="262"/>
      <c r="B116" s="3181" t="s">
        <v>768</v>
      </c>
      <c r="C116" s="3192"/>
      <c r="D116" s="3192"/>
      <c r="E116" s="3192"/>
      <c r="F116" s="3188">
        <v>318331.61966999999</v>
      </c>
      <c r="G116" s="3190">
        <v>883882.81852999993</v>
      </c>
      <c r="H116" s="2928"/>
    </row>
    <row r="117" spans="1:8">
      <c r="A117" s="262"/>
      <c r="B117" s="3026" t="s">
        <v>769</v>
      </c>
      <c r="C117" s="3192"/>
      <c r="D117" s="3192"/>
      <c r="E117" s="3192"/>
      <c r="F117" s="3188">
        <v>39135.189719999995</v>
      </c>
      <c r="G117" s="3188">
        <v>287419.21049999999</v>
      </c>
      <c r="H117" s="2928"/>
    </row>
    <row r="118" spans="1:8">
      <c r="A118" s="262">
        <v>3</v>
      </c>
      <c r="B118" s="3026" t="s">
        <v>770</v>
      </c>
      <c r="C118" s="3192"/>
      <c r="D118" s="3192"/>
      <c r="E118" s="3192"/>
      <c r="F118" s="3188">
        <v>86149.668490000069</v>
      </c>
      <c r="G118" s="3190">
        <v>295071.30417691171</v>
      </c>
      <c r="H118" s="2928"/>
    </row>
    <row r="119" spans="1:8">
      <c r="A119" s="262">
        <v>4</v>
      </c>
      <c r="B119" s="3026" t="s">
        <v>771</v>
      </c>
      <c r="C119" s="3192"/>
      <c r="D119" s="3192"/>
      <c r="E119" s="3192"/>
      <c r="F119" s="3188">
        <v>70192.768309999999</v>
      </c>
      <c r="G119" s="3188">
        <v>240374.48532000001</v>
      </c>
      <c r="H119" s="2928"/>
    </row>
    <row r="120" spans="1:8">
      <c r="A120" s="263">
        <v>5</v>
      </c>
      <c r="B120" s="3026" t="s">
        <v>670</v>
      </c>
      <c r="C120" s="3193"/>
      <c r="D120" s="3193"/>
      <c r="E120" s="3193"/>
      <c r="F120" s="3189">
        <f>F118/F119</f>
        <v>1.2273296888580867</v>
      </c>
      <c r="G120" s="3189">
        <f>G118/G119</f>
        <v>1.2275483555756603</v>
      </c>
      <c r="H120" s="3189" t="e">
        <f>H118/H119</f>
        <v>#DIV/0!</v>
      </c>
    </row>
    <row r="122" spans="1:8">
      <c r="A122" s="76"/>
      <c r="B122" s="236"/>
      <c r="C122" s="260"/>
      <c r="D122" s="260"/>
      <c r="E122" s="260"/>
      <c r="F122" s="260"/>
      <c r="G122" s="260"/>
    </row>
    <row r="123" spans="1:8" ht="22.5">
      <c r="A123" s="39">
        <v>12</v>
      </c>
      <c r="B123" s="2127" t="s">
        <v>109</v>
      </c>
      <c r="C123" s="2905" t="s">
        <v>772</v>
      </c>
      <c r="D123" s="2905" t="s">
        <v>671</v>
      </c>
      <c r="E123" s="2905" t="s">
        <v>672</v>
      </c>
      <c r="F123" s="2905" t="s">
        <v>673</v>
      </c>
      <c r="G123" s="2905" t="s">
        <v>773</v>
      </c>
      <c r="H123" s="2905" t="s">
        <v>661</v>
      </c>
    </row>
    <row r="124" spans="1:8">
      <c r="A124" s="261">
        <v>1</v>
      </c>
      <c r="B124" s="3026" t="s">
        <v>766</v>
      </c>
      <c r="C124" s="3190">
        <v>236852.36</v>
      </c>
      <c r="D124" s="3188">
        <v>314253</v>
      </c>
      <c r="E124" s="3188">
        <v>467332</v>
      </c>
      <c r="F124" s="3188">
        <v>593188.32073880453</v>
      </c>
      <c r="G124" s="3188">
        <v>867778.63137713703</v>
      </c>
      <c r="H124" s="2928"/>
    </row>
    <row r="125" spans="1:8">
      <c r="A125" s="262">
        <v>2</v>
      </c>
      <c r="B125" s="3026" t="s">
        <v>767</v>
      </c>
      <c r="C125" s="3190">
        <f t="shared" ref="C125:H125" si="21">SUM(C126:C127)</f>
        <v>214014.34</v>
      </c>
      <c r="D125" s="3190">
        <f t="shared" si="21"/>
        <v>245306</v>
      </c>
      <c r="E125" s="3190">
        <f t="shared" si="21"/>
        <v>389419</v>
      </c>
      <c r="F125" s="3190">
        <f t="shared" si="21"/>
        <v>440448</v>
      </c>
      <c r="G125" s="3190">
        <f t="shared" si="21"/>
        <v>668338.75649000017</v>
      </c>
      <c r="H125" s="3190">
        <f t="shared" si="21"/>
        <v>0</v>
      </c>
    </row>
    <row r="126" spans="1:8" ht="26.25">
      <c r="A126" s="262"/>
      <c r="B126" s="3181" t="s">
        <v>768</v>
      </c>
      <c r="C126" s="3190">
        <v>108835.95</v>
      </c>
      <c r="D126" s="3188">
        <v>181568</v>
      </c>
      <c r="E126" s="3188">
        <v>233941</v>
      </c>
      <c r="F126" s="3188">
        <v>322967</v>
      </c>
      <c r="G126" s="3188">
        <v>518510.70156000019</v>
      </c>
      <c r="H126" s="2928"/>
    </row>
    <row r="127" spans="1:8">
      <c r="A127" s="262"/>
      <c r="B127" s="3026" t="s">
        <v>769</v>
      </c>
      <c r="C127" s="3190">
        <v>105178.39</v>
      </c>
      <c r="D127" s="3188">
        <v>63738</v>
      </c>
      <c r="E127" s="3188">
        <v>155478</v>
      </c>
      <c r="F127" s="3188">
        <v>117481</v>
      </c>
      <c r="G127" s="3188">
        <v>149828.05492999998</v>
      </c>
      <c r="H127" s="2928"/>
    </row>
    <row r="128" spans="1:8">
      <c r="A128" s="262">
        <v>3</v>
      </c>
      <c r="B128" s="3026" t="s">
        <v>770</v>
      </c>
      <c r="C128" s="3190">
        <v>22838.01999999999</v>
      </c>
      <c r="D128" s="3188">
        <f>+D124-D125</f>
        <v>68947</v>
      </c>
      <c r="E128" s="3188">
        <f>+E124-E125</f>
        <v>77913</v>
      </c>
      <c r="F128" s="3188">
        <f>+F124-F125</f>
        <v>152740.32073880453</v>
      </c>
      <c r="G128" s="3188">
        <f>+G124-G125</f>
        <v>199439.87488713686</v>
      </c>
      <c r="H128" s="2928"/>
    </row>
    <row r="129" spans="1:8">
      <c r="A129" s="262">
        <v>4</v>
      </c>
      <c r="B129" s="3026" t="s">
        <v>771</v>
      </c>
      <c r="C129" s="3190">
        <v>50000</v>
      </c>
      <c r="D129" s="3188">
        <v>54859</v>
      </c>
      <c r="E129" s="3188">
        <v>73709</v>
      </c>
      <c r="F129" s="3188">
        <v>99220</v>
      </c>
      <c r="G129" s="3188">
        <v>187715.94649199999</v>
      </c>
      <c r="H129" s="2928"/>
    </row>
    <row r="130" spans="1:8">
      <c r="A130" s="263">
        <v>5</v>
      </c>
      <c r="B130" s="3026" t="s">
        <v>670</v>
      </c>
      <c r="C130" s="3191">
        <f t="shared" ref="C130:H130" si="22">C128/C129</f>
        <v>0.45676039999999979</v>
      </c>
      <c r="D130" s="3191">
        <f t="shared" si="22"/>
        <v>1.2568038061211468</v>
      </c>
      <c r="E130" s="3191">
        <f t="shared" si="22"/>
        <v>1.0570350974779199</v>
      </c>
      <c r="F130" s="3191">
        <f t="shared" si="22"/>
        <v>1.5394106101471934</v>
      </c>
      <c r="G130" s="3191">
        <f t="shared" si="22"/>
        <v>1.0624556869793507</v>
      </c>
      <c r="H130" s="3191" t="e">
        <f t="shared" si="22"/>
        <v>#DIV/0!</v>
      </c>
    </row>
    <row r="132" spans="1:8">
      <c r="A132" s="76"/>
      <c r="B132" s="236"/>
      <c r="C132" s="260"/>
      <c r="D132" s="260"/>
      <c r="E132" s="260"/>
      <c r="F132" s="260"/>
      <c r="G132" s="260"/>
    </row>
    <row r="133" spans="1:8" ht="22.5">
      <c r="A133" s="39">
        <v>13</v>
      </c>
      <c r="B133" s="2052" t="s">
        <v>111</v>
      </c>
      <c r="C133" s="2905" t="s">
        <v>772</v>
      </c>
      <c r="D133" s="2905" t="s">
        <v>671</v>
      </c>
      <c r="E133" s="2905" t="s">
        <v>672</v>
      </c>
      <c r="F133" s="2905" t="s">
        <v>673</v>
      </c>
      <c r="G133" s="2905" t="s">
        <v>773</v>
      </c>
      <c r="H133" s="2905" t="s">
        <v>661</v>
      </c>
    </row>
    <row r="134" spans="1:8">
      <c r="A134" s="261">
        <v>1</v>
      </c>
      <c r="B134" s="3026" t="s">
        <v>766</v>
      </c>
      <c r="C134" s="3192"/>
      <c r="D134" s="3192"/>
      <c r="E134" s="3192"/>
      <c r="F134" s="3194">
        <v>746055</v>
      </c>
      <c r="G134" s="3194">
        <v>823961.48928387114</v>
      </c>
      <c r="H134" s="2928"/>
    </row>
    <row r="135" spans="1:8">
      <c r="A135" s="262">
        <v>2</v>
      </c>
      <c r="B135" s="3026" t="s">
        <v>767</v>
      </c>
      <c r="C135" s="3192"/>
      <c r="D135" s="3192"/>
      <c r="E135" s="3192"/>
      <c r="F135" s="3194">
        <f>+F136+F137</f>
        <v>43185</v>
      </c>
      <c r="G135" s="3194">
        <f>+G136+G137</f>
        <v>247772.26210453326</v>
      </c>
      <c r="H135" s="3194">
        <f>+H136+H137</f>
        <v>0</v>
      </c>
    </row>
    <row r="136" spans="1:8" ht="26.25">
      <c r="A136" s="262"/>
      <c r="B136" s="3181" t="s">
        <v>768</v>
      </c>
      <c r="C136" s="3192"/>
      <c r="D136" s="3192"/>
      <c r="E136" s="3192"/>
      <c r="F136" s="3194">
        <v>1498</v>
      </c>
      <c r="G136" s="3194">
        <v>165938.34723999997</v>
      </c>
      <c r="H136" s="2928"/>
    </row>
    <row r="137" spans="1:8">
      <c r="A137" s="262"/>
      <c r="B137" s="3026" t="s">
        <v>769</v>
      </c>
      <c r="C137" s="3192"/>
      <c r="D137" s="3192"/>
      <c r="E137" s="3192"/>
      <c r="F137" s="3194">
        <v>41687</v>
      </c>
      <c r="G137" s="3194">
        <v>81833.914864533275</v>
      </c>
      <c r="H137" s="2928"/>
    </row>
    <row r="138" spans="1:8">
      <c r="A138" s="262">
        <v>3</v>
      </c>
      <c r="B138" s="3026" t="s">
        <v>770</v>
      </c>
      <c r="C138" s="3192"/>
      <c r="D138" s="3192"/>
      <c r="E138" s="3192"/>
      <c r="F138" s="3194">
        <f>+F134-F135</f>
        <v>702870</v>
      </c>
      <c r="G138" s="3194">
        <f>+G134-G135</f>
        <v>576189.22717933787</v>
      </c>
      <c r="H138" s="2928"/>
    </row>
    <row r="139" spans="1:8">
      <c r="A139" s="262">
        <v>4</v>
      </c>
      <c r="B139" s="3026" t="s">
        <v>771</v>
      </c>
      <c r="C139" s="3192"/>
      <c r="D139" s="3192"/>
      <c r="E139" s="3192"/>
      <c r="F139" s="3194">
        <v>50000</v>
      </c>
      <c r="G139" s="3194">
        <v>50664.990949776642</v>
      </c>
      <c r="H139" s="2928"/>
    </row>
    <row r="140" spans="1:8">
      <c r="A140" s="263">
        <v>5</v>
      </c>
      <c r="B140" s="3026" t="s">
        <v>670</v>
      </c>
      <c r="C140" s="3193"/>
      <c r="D140" s="3193"/>
      <c r="E140" s="3193"/>
      <c r="F140" s="3195">
        <f>+F138/F139</f>
        <v>14.057399999999999</v>
      </c>
      <c r="G140" s="3195">
        <f>+G138/G139</f>
        <v>11.372531927431007</v>
      </c>
      <c r="H140" s="3195" t="e">
        <f>+H138/H139</f>
        <v>#DIV/0!</v>
      </c>
    </row>
    <row r="142" spans="1:8">
      <c r="A142" s="76"/>
      <c r="B142" s="236"/>
      <c r="C142" s="260"/>
      <c r="D142" s="260"/>
      <c r="E142" s="260"/>
      <c r="F142" s="260"/>
      <c r="G142" s="260"/>
    </row>
    <row r="143" spans="1:8" ht="22.5">
      <c r="A143" s="39">
        <v>14</v>
      </c>
      <c r="B143" s="2052" t="s">
        <v>112</v>
      </c>
      <c r="C143" s="2905" t="s">
        <v>772</v>
      </c>
      <c r="D143" s="2905" t="s">
        <v>671</v>
      </c>
      <c r="E143" s="2905" t="s">
        <v>672</v>
      </c>
      <c r="F143" s="2905" t="s">
        <v>673</v>
      </c>
      <c r="G143" s="2905" t="s">
        <v>773</v>
      </c>
      <c r="H143" s="2905" t="s">
        <v>661</v>
      </c>
    </row>
    <row r="144" spans="1:8">
      <c r="A144" s="261">
        <v>1</v>
      </c>
      <c r="B144" s="3026" t="s">
        <v>766</v>
      </c>
      <c r="C144" s="3192"/>
      <c r="D144" s="3192"/>
      <c r="E144" s="3194">
        <v>832428</v>
      </c>
      <c r="F144" s="3194">
        <v>2143830</v>
      </c>
      <c r="G144" s="3194">
        <v>2961699.6098966142</v>
      </c>
      <c r="H144" s="2928"/>
    </row>
    <row r="145" spans="1:8">
      <c r="A145" s="262">
        <v>2</v>
      </c>
      <c r="B145" s="3026" t="s">
        <v>767</v>
      </c>
      <c r="C145" s="3192"/>
      <c r="D145" s="3192"/>
      <c r="E145" s="3194">
        <f>SUM(E146:E147)</f>
        <v>650785</v>
      </c>
      <c r="F145" s="3194">
        <f>SUM(F146:F147)</f>
        <v>1658298</v>
      </c>
      <c r="G145" s="3194">
        <f>SUM(G146:G147)</f>
        <v>2163095</v>
      </c>
      <c r="H145" s="3194">
        <f>SUM(H146:H147)</f>
        <v>0</v>
      </c>
    </row>
    <row r="146" spans="1:8" ht="26.25">
      <c r="A146" s="262"/>
      <c r="B146" s="3181" t="s">
        <v>768</v>
      </c>
      <c r="C146" s="3192"/>
      <c r="D146" s="3192"/>
      <c r="E146" s="3194">
        <v>567648</v>
      </c>
      <c r="F146" s="3194">
        <v>1459227</v>
      </c>
      <c r="G146" s="3194">
        <v>1878856</v>
      </c>
      <c r="H146" s="2928"/>
    </row>
    <row r="147" spans="1:8">
      <c r="A147" s="262"/>
      <c r="B147" s="3026" t="s">
        <v>769</v>
      </c>
      <c r="C147" s="3192"/>
      <c r="D147" s="3192"/>
      <c r="E147" s="3194">
        <v>83137</v>
      </c>
      <c r="F147" s="3194">
        <v>199071</v>
      </c>
      <c r="G147" s="3194">
        <v>284239</v>
      </c>
      <c r="H147" s="2928"/>
    </row>
    <row r="148" spans="1:8">
      <c r="A148" s="262">
        <v>3</v>
      </c>
      <c r="B148" s="3026" t="s">
        <v>770</v>
      </c>
      <c r="C148" s="3192"/>
      <c r="D148" s="3192"/>
      <c r="E148" s="3194">
        <v>181643</v>
      </c>
      <c r="F148" s="3194">
        <v>485532</v>
      </c>
      <c r="G148" s="3194">
        <v>798604.60989661422</v>
      </c>
      <c r="H148" s="2928"/>
    </row>
    <row r="149" spans="1:8">
      <c r="A149" s="262">
        <v>4</v>
      </c>
      <c r="B149" s="3026" t="s">
        <v>771</v>
      </c>
      <c r="C149" s="3192"/>
      <c r="D149" s="3192"/>
      <c r="E149" s="3194">
        <v>152178</v>
      </c>
      <c r="F149" s="3194">
        <v>434397</v>
      </c>
      <c r="G149" s="3194">
        <v>527566</v>
      </c>
      <c r="H149" s="2928"/>
    </row>
    <row r="150" spans="1:8">
      <c r="A150" s="263">
        <v>5</v>
      </c>
      <c r="B150" s="3026" t="s">
        <v>670</v>
      </c>
      <c r="C150" s="3193"/>
      <c r="D150" s="3193"/>
      <c r="E150" s="3195">
        <f>E148/E149</f>
        <v>1.1936219427249668</v>
      </c>
      <c r="F150" s="3195">
        <f>F148/F149</f>
        <v>1.1177149013460037</v>
      </c>
      <c r="G150" s="3195">
        <f>G148/G149</f>
        <v>1.5137529899512367</v>
      </c>
      <c r="H150" s="3195" t="e">
        <f>H148/H149</f>
        <v>#DIV/0!</v>
      </c>
    </row>
    <row r="151" spans="1:8">
      <c r="A151" s="300"/>
      <c r="B151" s="54"/>
      <c r="C151" s="302"/>
      <c r="D151" s="302"/>
      <c r="E151" s="302"/>
      <c r="F151" s="302"/>
      <c r="G151" s="302"/>
    </row>
    <row r="153" spans="1:8" ht="22.5">
      <c r="A153" s="39">
        <v>15</v>
      </c>
      <c r="B153" s="2052" t="s">
        <v>134</v>
      </c>
      <c r="C153" s="3196" t="s">
        <v>772</v>
      </c>
      <c r="D153" s="3196" t="s">
        <v>671</v>
      </c>
      <c r="E153" s="3196" t="s">
        <v>672</v>
      </c>
      <c r="F153" s="3196" t="s">
        <v>673</v>
      </c>
      <c r="G153" s="3196" t="s">
        <v>773</v>
      </c>
      <c r="H153" s="2905" t="s">
        <v>661</v>
      </c>
    </row>
    <row r="154" spans="1:8">
      <c r="A154" s="261">
        <v>1</v>
      </c>
      <c r="B154" s="3026" t="s">
        <v>766</v>
      </c>
      <c r="C154" s="3194">
        <v>241493</v>
      </c>
      <c r="D154" s="3194">
        <v>247895</v>
      </c>
      <c r="E154" s="3194">
        <v>278832</v>
      </c>
      <c r="F154" s="3194">
        <v>248715</v>
      </c>
      <c r="G154" s="3194">
        <v>281996</v>
      </c>
      <c r="H154" s="2928"/>
    </row>
    <row r="155" spans="1:8">
      <c r="A155" s="262">
        <v>2</v>
      </c>
      <c r="B155" s="3026" t="s">
        <v>767</v>
      </c>
      <c r="C155" s="3194">
        <f t="shared" ref="C155:H155" si="23">SUM(C156:C157)</f>
        <v>156526</v>
      </c>
      <c r="D155" s="3194">
        <f t="shared" si="23"/>
        <v>146727</v>
      </c>
      <c r="E155" s="3194">
        <f t="shared" si="23"/>
        <v>159487</v>
      </c>
      <c r="F155" s="3194">
        <f t="shared" si="23"/>
        <v>187438</v>
      </c>
      <c r="G155" s="3194">
        <f t="shared" si="23"/>
        <v>207090.21552958334</v>
      </c>
      <c r="H155" s="3194">
        <f t="shared" si="23"/>
        <v>0</v>
      </c>
    </row>
    <row r="156" spans="1:8" ht="26.25">
      <c r="A156" s="262"/>
      <c r="B156" s="3181" t="s">
        <v>768</v>
      </c>
      <c r="C156" s="3194">
        <v>109026</v>
      </c>
      <c r="D156" s="3194">
        <v>118671</v>
      </c>
      <c r="E156" s="3194">
        <v>116561</v>
      </c>
      <c r="F156" s="3194">
        <v>118252</v>
      </c>
      <c r="G156" s="3194">
        <v>133417.21552958334</v>
      </c>
      <c r="H156" s="2928"/>
    </row>
    <row r="157" spans="1:8">
      <c r="A157" s="262"/>
      <c r="B157" s="3026" t="s">
        <v>769</v>
      </c>
      <c r="C157" s="3194">
        <v>47500</v>
      </c>
      <c r="D157" s="3194">
        <v>28056</v>
      </c>
      <c r="E157" s="3194">
        <v>42926</v>
      </c>
      <c r="F157" s="3194">
        <v>69186</v>
      </c>
      <c r="G157" s="3194">
        <v>73673</v>
      </c>
      <c r="H157" s="2928"/>
    </row>
    <row r="158" spans="1:8">
      <c r="A158" s="262">
        <v>3</v>
      </c>
      <c r="B158" s="3026" t="s">
        <v>770</v>
      </c>
      <c r="C158" s="3194">
        <v>84967</v>
      </c>
      <c r="D158" s="3194">
        <v>101168</v>
      </c>
      <c r="E158" s="3194">
        <v>119345</v>
      </c>
      <c r="F158" s="3194">
        <f>+F154-F155</f>
        <v>61277</v>
      </c>
      <c r="G158" s="3194">
        <v>74905.784470416664</v>
      </c>
      <c r="H158" s="2928"/>
    </row>
    <row r="159" spans="1:8">
      <c r="A159" s="262">
        <v>4</v>
      </c>
      <c r="B159" s="3026" t="s">
        <v>771</v>
      </c>
      <c r="C159" s="3194">
        <v>50000</v>
      </c>
      <c r="D159" s="3194">
        <v>50000</v>
      </c>
      <c r="E159" s="3194">
        <v>50000</v>
      </c>
      <c r="F159" s="3194">
        <v>50000</v>
      </c>
      <c r="G159" s="3194">
        <v>50000</v>
      </c>
      <c r="H159" s="2928"/>
    </row>
    <row r="160" spans="1:8">
      <c r="A160" s="263">
        <v>5</v>
      </c>
      <c r="B160" s="3026" t="s">
        <v>670</v>
      </c>
      <c r="C160" s="3195">
        <f t="shared" ref="C160:H160" si="24">C158/C159</f>
        <v>1.6993400000000001</v>
      </c>
      <c r="D160" s="3195">
        <f t="shared" si="24"/>
        <v>2.0233599999999998</v>
      </c>
      <c r="E160" s="3195">
        <f t="shared" si="24"/>
        <v>2.3868999999999998</v>
      </c>
      <c r="F160" s="3195">
        <f t="shared" si="24"/>
        <v>1.2255400000000001</v>
      </c>
      <c r="G160" s="3195">
        <f t="shared" si="24"/>
        <v>1.4981156894083332</v>
      </c>
      <c r="H160" s="3195" t="e">
        <f t="shared" si="24"/>
        <v>#DIV/0!</v>
      </c>
    </row>
    <row r="161" spans="1:8">
      <c r="A161" s="300"/>
      <c r="B161" s="54"/>
      <c r="C161" s="302"/>
      <c r="D161" s="302"/>
      <c r="E161" s="302"/>
      <c r="F161" s="301"/>
      <c r="G161" s="302"/>
    </row>
    <row r="162" spans="1:8">
      <c r="A162" s="76"/>
      <c r="B162" s="236"/>
      <c r="C162" s="260"/>
      <c r="D162" s="260"/>
      <c r="E162" s="260"/>
      <c r="F162" s="260"/>
      <c r="G162" s="260"/>
    </row>
    <row r="163" spans="1:8" ht="22.5">
      <c r="A163" s="39">
        <v>16</v>
      </c>
      <c r="B163" s="2127" t="s">
        <v>115</v>
      </c>
      <c r="C163" s="2905" t="s">
        <v>772</v>
      </c>
      <c r="D163" s="2905" t="s">
        <v>671</v>
      </c>
      <c r="E163" s="2905" t="s">
        <v>672</v>
      </c>
      <c r="F163" s="2905" t="s">
        <v>673</v>
      </c>
      <c r="G163" s="2905" t="s">
        <v>773</v>
      </c>
      <c r="H163" s="2905" t="s">
        <v>661</v>
      </c>
    </row>
    <row r="164" spans="1:8">
      <c r="A164" s="261">
        <v>1</v>
      </c>
      <c r="B164" s="3026" t="s">
        <v>766</v>
      </c>
      <c r="C164" s="3194">
        <v>21225670</v>
      </c>
      <c r="D164" s="3194">
        <v>22684845</v>
      </c>
      <c r="E164" s="3194">
        <v>19778468</v>
      </c>
      <c r="F164" s="3194">
        <v>20817021</v>
      </c>
      <c r="G164" s="3194">
        <v>26348453</v>
      </c>
      <c r="H164" s="2928"/>
    </row>
    <row r="165" spans="1:8">
      <c r="A165" s="262">
        <v>2</v>
      </c>
      <c r="B165" s="3026" t="s">
        <v>767</v>
      </c>
      <c r="C165" s="3194">
        <f t="shared" ref="C165:H165" si="25">SUM(C166:C167)</f>
        <v>12648357</v>
      </c>
      <c r="D165" s="3194">
        <f t="shared" si="25"/>
        <v>14595318</v>
      </c>
      <c r="E165" s="3194">
        <f t="shared" si="25"/>
        <v>13444195</v>
      </c>
      <c r="F165" s="3194">
        <f t="shared" si="25"/>
        <v>13359262</v>
      </c>
      <c r="G165" s="3194">
        <f t="shared" si="25"/>
        <v>16563152</v>
      </c>
      <c r="H165" s="3194">
        <f t="shared" si="25"/>
        <v>0</v>
      </c>
    </row>
    <row r="166" spans="1:8" ht="26.25">
      <c r="A166" s="262"/>
      <c r="B166" s="3181" t="s">
        <v>768</v>
      </c>
      <c r="C166" s="3194">
        <v>9590895.0980000012</v>
      </c>
      <c r="D166" s="3194">
        <v>10862239</v>
      </c>
      <c r="E166" s="3194">
        <v>11001617</v>
      </c>
      <c r="F166" s="3194">
        <v>13359262</v>
      </c>
      <c r="G166" s="3194">
        <v>12614203</v>
      </c>
      <c r="H166" s="2928"/>
    </row>
    <row r="167" spans="1:8">
      <c r="A167" s="262"/>
      <c r="B167" s="3026" t="s">
        <v>769</v>
      </c>
      <c r="C167" s="3194">
        <v>3057461.9019999988</v>
      </c>
      <c r="D167" s="3194">
        <v>3733079</v>
      </c>
      <c r="E167" s="3194">
        <v>2442578</v>
      </c>
      <c r="F167" s="3194"/>
      <c r="G167" s="3194">
        <v>3948949</v>
      </c>
      <c r="H167" s="2928"/>
    </row>
    <row r="168" spans="1:8">
      <c r="A168" s="262">
        <v>3</v>
      </c>
      <c r="B168" s="3026" t="s">
        <v>770</v>
      </c>
      <c r="C168" s="3194">
        <v>8577313</v>
      </c>
      <c r="D168" s="3194">
        <v>8089527</v>
      </c>
      <c r="E168" s="3194">
        <v>5158992</v>
      </c>
      <c r="F168" s="3194">
        <v>5176833</v>
      </c>
      <c r="G168" s="3194">
        <v>9785301</v>
      </c>
      <c r="H168" s="2928"/>
    </row>
    <row r="169" spans="1:8">
      <c r="A169" s="262">
        <v>4</v>
      </c>
      <c r="B169" s="3026" t="s">
        <v>771</v>
      </c>
      <c r="C169" s="3194">
        <v>1749589</v>
      </c>
      <c r="D169" s="3194">
        <v>2058459</v>
      </c>
      <c r="E169" s="3194">
        <v>2442578</v>
      </c>
      <c r="F169" s="3194">
        <v>2667495</v>
      </c>
      <c r="G169" s="3194">
        <v>2857512</v>
      </c>
      <c r="H169" s="2928"/>
    </row>
    <row r="170" spans="1:8">
      <c r="A170" s="263">
        <v>5</v>
      </c>
      <c r="B170" s="3026" t="s">
        <v>670</v>
      </c>
      <c r="C170" s="3197">
        <f t="shared" ref="C170:H170" si="26">C168/C169</f>
        <v>4.9024730951097659</v>
      </c>
      <c r="D170" s="3197">
        <f t="shared" si="26"/>
        <v>3.9298946444889116</v>
      </c>
      <c r="E170" s="3197">
        <f t="shared" si="26"/>
        <v>2.1121094188189691</v>
      </c>
      <c r="F170" s="3197">
        <f t="shared" si="26"/>
        <v>1.9407095420984857</v>
      </c>
      <c r="G170" s="3197">
        <f t="shared" si="26"/>
        <v>3.4244129158512719</v>
      </c>
      <c r="H170" s="3197" t="e">
        <f t="shared" si="26"/>
        <v>#DIV/0!</v>
      </c>
    </row>
    <row r="172" spans="1:8">
      <c r="A172" s="76"/>
      <c r="B172" s="236"/>
      <c r="C172" s="260"/>
      <c r="D172" s="260"/>
      <c r="E172" s="260"/>
      <c r="F172" s="260"/>
      <c r="G172" s="260"/>
    </row>
    <row r="173" spans="1:8" ht="22.5">
      <c r="A173" s="39">
        <v>17</v>
      </c>
      <c r="B173" s="2127" t="s">
        <v>135</v>
      </c>
      <c r="C173" s="2905" t="s">
        <v>772</v>
      </c>
      <c r="D173" s="2905" t="s">
        <v>671</v>
      </c>
      <c r="E173" s="2905" t="s">
        <v>672</v>
      </c>
      <c r="F173" s="2905" t="s">
        <v>673</v>
      </c>
      <c r="G173" s="2905" t="s">
        <v>773</v>
      </c>
      <c r="H173" s="2905" t="s">
        <v>661</v>
      </c>
    </row>
    <row r="174" spans="1:8">
      <c r="A174" s="261">
        <v>1</v>
      </c>
      <c r="B174" s="3026" t="s">
        <v>766</v>
      </c>
      <c r="C174" s="3194">
        <v>3409134</v>
      </c>
      <c r="D174" s="3194">
        <v>3385323</v>
      </c>
      <c r="E174" s="3194">
        <v>4475985</v>
      </c>
      <c r="F174" s="3194">
        <v>4890689.9985971432</v>
      </c>
      <c r="G174" s="3194">
        <v>5721142</v>
      </c>
      <c r="H174" s="2928"/>
    </row>
    <row r="175" spans="1:8">
      <c r="A175" s="262">
        <v>2</v>
      </c>
      <c r="B175" s="3026" t="s">
        <v>767</v>
      </c>
      <c r="C175" s="3194">
        <f t="shared" ref="C175:H175" si="27">SUM(C176:C177)</f>
        <v>2310588</v>
      </c>
      <c r="D175" s="3194">
        <f t="shared" si="27"/>
        <v>2671917</v>
      </c>
      <c r="E175" s="3194">
        <f t="shared" si="27"/>
        <v>3359614</v>
      </c>
      <c r="F175" s="3194">
        <f t="shared" si="27"/>
        <v>3577182.6744499998</v>
      </c>
      <c r="G175" s="3194">
        <f t="shared" si="27"/>
        <v>4161617.3935400001</v>
      </c>
      <c r="H175" s="3194">
        <f t="shared" si="27"/>
        <v>0</v>
      </c>
    </row>
    <row r="176" spans="1:8" ht="26.25">
      <c r="A176" s="262"/>
      <c r="B176" s="3181" t="s">
        <v>768</v>
      </c>
      <c r="C176" s="3194">
        <v>1539675</v>
      </c>
      <c r="D176" s="3194">
        <v>1823844</v>
      </c>
      <c r="E176" s="3194">
        <v>2260319</v>
      </c>
      <c r="F176" s="3194">
        <v>2552718</v>
      </c>
      <c r="G176" s="3194">
        <v>2872507</v>
      </c>
      <c r="H176" s="2928"/>
    </row>
    <row r="177" spans="1:8">
      <c r="A177" s="262"/>
      <c r="B177" s="3026" t="s">
        <v>769</v>
      </c>
      <c r="C177" s="3194">
        <v>770913</v>
      </c>
      <c r="D177" s="3194">
        <v>848073</v>
      </c>
      <c r="E177" s="3194">
        <v>1099295</v>
      </c>
      <c r="F177" s="3194">
        <v>1024464.6744499998</v>
      </c>
      <c r="G177" s="3194">
        <v>1289110.3935400001</v>
      </c>
      <c r="H177" s="2928"/>
    </row>
    <row r="178" spans="1:8">
      <c r="A178" s="262">
        <v>3</v>
      </c>
      <c r="B178" s="3026" t="s">
        <v>770</v>
      </c>
      <c r="C178" s="3194">
        <v>1098546</v>
      </c>
      <c r="D178" s="3194">
        <v>713406</v>
      </c>
      <c r="E178" s="3194">
        <v>1116371</v>
      </c>
      <c r="F178" s="3194">
        <v>1313507.3241471434</v>
      </c>
      <c r="G178" s="3194">
        <v>1559524.6064599999</v>
      </c>
      <c r="H178" s="2928"/>
    </row>
    <row r="179" spans="1:8">
      <c r="A179" s="262">
        <v>4</v>
      </c>
      <c r="B179" s="3026" t="s">
        <v>771</v>
      </c>
      <c r="C179" s="3194">
        <v>425825</v>
      </c>
      <c r="D179" s="3194">
        <v>465665</v>
      </c>
      <c r="E179" s="3194">
        <v>548054</v>
      </c>
      <c r="F179" s="3194">
        <v>668790.74766400002</v>
      </c>
      <c r="G179" s="3194">
        <v>742831</v>
      </c>
      <c r="H179" s="2928"/>
    </row>
    <row r="180" spans="1:8">
      <c r="A180" s="263">
        <v>5</v>
      </c>
      <c r="B180" s="3026" t="s">
        <v>670</v>
      </c>
      <c r="C180" s="3195">
        <f t="shared" ref="C180:H180" si="28">C178/C179</f>
        <v>2.5798062584394996</v>
      </c>
      <c r="D180" s="3195">
        <f t="shared" si="28"/>
        <v>1.5320155047083204</v>
      </c>
      <c r="E180" s="3195">
        <f t="shared" si="28"/>
        <v>2.0369726340835026</v>
      </c>
      <c r="F180" s="3195">
        <f t="shared" si="28"/>
        <v>1.9640034326656812</v>
      </c>
      <c r="G180" s="3195">
        <f t="shared" si="28"/>
        <v>2.0994339310825745</v>
      </c>
      <c r="H180" s="3195" t="e">
        <f t="shared" si="28"/>
        <v>#DIV/0!</v>
      </c>
    </row>
  </sheetData>
  <customSheetViews>
    <customSheetView guid="{5E394B0B-7867-4722-9497-A93AB2A9A773}" showPageBreaks="1" state="hidden">
      <selection activeCell="H83" sqref="H83"/>
      <rowBreaks count="3" manualBreakCount="3">
        <brk id="50" max="16383" man="1"/>
        <brk id="100" max="16383" man="1"/>
        <brk id="140" max="16383" man="1"/>
      </rowBreaks>
      <pageMargins left="0" right="0" top="0" bottom="0" header="0" footer="0"/>
      <pageSetup scale="79" orientation="portrait" r:id="rId1"/>
    </customSheetView>
    <customSheetView guid="{B1E1B596-A9A1-411D-A882-A48CB025B978}" showPageBreaks="1" state="hidden">
      <selection activeCell="H83" sqref="H83"/>
      <rowBreaks count="3" manualBreakCount="3">
        <brk id="50" max="16383" man="1"/>
        <brk id="100" max="16383" man="1"/>
        <brk id="140" max="16383" man="1"/>
      </rowBreaks>
      <pageMargins left="0" right="0" top="0" bottom="0" header="0" footer="0"/>
      <pageSetup scale="79" orientation="portrait" r:id="rId2"/>
    </customSheetView>
    <customSheetView guid="{E82B35BE-4719-4C53-A9EF-1CC6F153A6F3}" showPageBreaks="1" topLeftCell="A4">
      <selection activeCell="F3" sqref="F3"/>
      <rowBreaks count="3" manualBreakCount="3">
        <brk id="50" max="16383" man="1"/>
        <brk id="100" max="16383" man="1"/>
        <brk id="140" max="16383" man="1"/>
      </rowBreaks>
      <pageMargins left="0" right="0" top="0" bottom="0" header="0" footer="0"/>
      <pageSetup scale="79" orientation="portrait" r:id="rId3"/>
    </customSheetView>
    <customSheetView guid="{46F31544-8E6F-41C5-8628-1D6EE074AF15}" state="hidden">
      <selection activeCell="H83" sqref="H83"/>
      <rowBreaks count="3" manualBreakCount="3">
        <brk id="50" max="16383" man="1"/>
        <brk id="100" max="16383" man="1"/>
        <brk id="140" max="16383" man="1"/>
      </rowBreaks>
      <pageMargins left="0" right="0" top="0" bottom="0" header="0" footer="0"/>
      <pageSetup scale="79" orientation="portrait" r:id="rId4"/>
    </customSheetView>
    <customSheetView guid="{B2E1A0C6-5BA1-4CF1-B412-16D81FCDF11F}" showPageBreaks="1" state="hidden">
      <selection activeCell="H83" sqref="H83"/>
      <rowBreaks count="3" manualBreakCount="3">
        <brk id="50" max="16383" man="1"/>
        <brk id="100" max="16383" man="1"/>
        <brk id="140" max="16383" man="1"/>
      </rowBreaks>
      <pageMargins left="0" right="0" top="0" bottom="0" header="0" footer="0"/>
      <pageSetup scale="79" orientation="portrait" r:id="rId5"/>
    </customSheetView>
    <customSheetView guid="{967E0446-E234-427F-8E57-7FE287052E2E}" showPageBreaks="1" state="hidden">
      <selection activeCell="H83" sqref="H83"/>
      <rowBreaks count="3" manualBreakCount="3">
        <brk id="50" max="16383" man="1"/>
        <brk id="100" max="16383" man="1"/>
        <brk id="140" max="16383" man="1"/>
      </rowBreaks>
      <pageMargins left="0" right="0" top="0" bottom="0" header="0" footer="0"/>
      <pageSetup scale="79" orientation="portrait" r:id="rId6"/>
    </customSheetView>
    <customSheetView guid="{2ACFE167-4169-43A6-9AB2-59D5A2DA2DB4}" showPageBreaks="1" state="hidden">
      <selection activeCell="H83" sqref="H83"/>
      <rowBreaks count="3" manualBreakCount="3">
        <brk id="50" max="16383" man="1"/>
        <brk id="100" max="16383" man="1"/>
        <brk id="140" max="16383" man="1"/>
      </rowBreaks>
      <pageMargins left="0" right="0" top="0" bottom="0" header="0" footer="0"/>
      <pageSetup scale="79" orientation="portrait" r:id="rId7"/>
    </customSheetView>
  </customSheetViews>
  <pageMargins left="0.7" right="0.7" top="0.75" bottom="0.75" header="0.3" footer="0.3"/>
  <pageSetup scale="79" orientation="portrait" r:id="rId8"/>
  <rowBreaks count="3" manualBreakCount="3">
    <brk id="50" max="16383" man="1"/>
    <brk id="100" max="16383" man="1"/>
    <brk id="140" max="16383" man="1"/>
  </rowBreaks>
  <legacyDrawing r:id="rId9"/>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C000"/>
  </sheetPr>
  <dimension ref="A2:F245"/>
  <sheetViews>
    <sheetView topLeftCell="A121" workbookViewId="0">
      <selection activeCell="A2" sqref="A2"/>
    </sheetView>
  </sheetViews>
  <sheetFormatPr defaultColWidth="9.140625" defaultRowHeight="15"/>
  <cols>
    <col min="1" max="1" width="26.85546875" bestFit="1" customWidth="1"/>
    <col min="2" max="2" width="20" customWidth="1"/>
    <col min="3" max="3" width="16.28515625" customWidth="1"/>
    <col min="4" max="4" width="18.42578125" customWidth="1"/>
    <col min="5" max="6" width="16.7109375" customWidth="1"/>
    <col min="8" max="8" width="11.85546875" customWidth="1"/>
  </cols>
  <sheetData>
    <row r="2" spans="1:6">
      <c r="A2" s="82" t="s">
        <v>774</v>
      </c>
      <c r="B2" s="75"/>
      <c r="C2" s="75"/>
      <c r="D2" s="75"/>
      <c r="E2" s="75"/>
      <c r="F2" s="75"/>
    </row>
    <row r="3" spans="1:6">
      <c r="A3" s="83"/>
      <c r="B3" s="75"/>
      <c r="C3" s="75"/>
      <c r="D3" s="75"/>
      <c r="E3" s="75"/>
      <c r="F3" s="75"/>
    </row>
    <row r="4" spans="1:6">
      <c r="A4" s="3863" t="s">
        <v>775</v>
      </c>
      <c r="B4" s="3865" t="s">
        <v>776</v>
      </c>
      <c r="C4" s="3865"/>
      <c r="D4" s="3865"/>
      <c r="E4" s="3865"/>
      <c r="F4" s="3865"/>
    </row>
    <row r="5" spans="1:6">
      <c r="A5" s="3864"/>
      <c r="B5" s="2922">
        <v>2008</v>
      </c>
      <c r="C5" s="2922">
        <v>2009</v>
      </c>
      <c r="D5" s="2922">
        <v>2010</v>
      </c>
      <c r="E5" s="2922">
        <v>2011</v>
      </c>
      <c r="F5" s="2917">
        <v>2012</v>
      </c>
    </row>
    <row r="6" spans="1:6">
      <c r="A6" s="2887" t="s">
        <v>777</v>
      </c>
      <c r="B6" s="3198">
        <f>+B16/$B$21*100</f>
        <v>23.659062134947821</v>
      </c>
      <c r="C6" s="3198">
        <f>+C16/$C$21*100</f>
        <v>25.489895172144401</v>
      </c>
      <c r="D6" s="3198">
        <f>+D16/$D$21*100</f>
        <v>24.232418912218389</v>
      </c>
      <c r="E6" s="3198">
        <f>+E16/$E$21*100</f>
        <v>23.462655218384107</v>
      </c>
      <c r="F6" s="3198">
        <f>+F16/$F$21*100</f>
        <v>23.710184465086623</v>
      </c>
    </row>
    <row r="7" spans="1:6">
      <c r="A7" s="2887" t="s">
        <v>778</v>
      </c>
      <c r="B7" s="3198">
        <f>+B17/$B$21*100</f>
        <v>25.18072941386842</v>
      </c>
      <c r="C7" s="3198">
        <f>+C17/$C$21*100</f>
        <v>27.421939026681503</v>
      </c>
      <c r="D7" s="3198">
        <f>+D17/$D$21*100</f>
        <v>27.57170060230057</v>
      </c>
      <c r="E7" s="3198">
        <f>+E17/$E$21*100</f>
        <v>25.263880892554408</v>
      </c>
      <c r="F7" s="3198">
        <f>+F17/$F$21*100</f>
        <v>25.359014431262651</v>
      </c>
    </row>
    <row r="8" spans="1:6">
      <c r="A8" s="2887" t="s">
        <v>779</v>
      </c>
      <c r="B8" s="3198">
        <f>+B18/$B$21*100</f>
        <v>19.251080086647899</v>
      </c>
      <c r="C8" s="3198">
        <f>+C18/$C$21*100</f>
        <v>22.033294621205457</v>
      </c>
      <c r="D8" s="3198">
        <f>+D18/$D$21*100</f>
        <v>19.892628443293983</v>
      </c>
      <c r="E8" s="3198">
        <f>+E18/$E$21*100</f>
        <v>22.929884616075629</v>
      </c>
      <c r="F8" s="3198">
        <f>+F18/$F$21*100</f>
        <v>23.436597678156915</v>
      </c>
    </row>
    <row r="9" spans="1:6">
      <c r="A9" s="2887" t="s">
        <v>780</v>
      </c>
      <c r="B9" s="3198">
        <f>+(B19+B20)/B21*100</f>
        <v>31.909128364535878</v>
      </c>
      <c r="C9" s="3198">
        <f>+(C19+C20)/C21*100</f>
        <v>25.054871179968639</v>
      </c>
      <c r="D9" s="3198">
        <f>+(D19+D20)/D21*100</f>
        <v>28.303252042187072</v>
      </c>
      <c r="E9" s="3198">
        <f>+(E19+E20)/E21*100</f>
        <v>28.343579272985853</v>
      </c>
      <c r="F9" s="3198">
        <f>+(F19+F20)/F21*100</f>
        <v>27.494203425493811</v>
      </c>
    </row>
    <row r="10" spans="1:6" ht="15.75" thickBot="1">
      <c r="A10" s="76" t="s">
        <v>118</v>
      </c>
      <c r="B10" s="84">
        <f>SUM(B6:B9)</f>
        <v>100.00000000000001</v>
      </c>
      <c r="C10" s="84">
        <f>SUM(C6:C9)</f>
        <v>100</v>
      </c>
      <c r="D10" s="84">
        <f>SUM(D6:D9)</f>
        <v>100.00000000000001</v>
      </c>
      <c r="E10" s="84">
        <f>SUM(E6:E9)</f>
        <v>99.999999999999986</v>
      </c>
      <c r="F10" s="84">
        <f>SUM(F6:F9)</f>
        <v>100</v>
      </c>
    </row>
    <row r="11" spans="1:6" ht="15.75" thickTop="1"/>
    <row r="12" spans="1:6">
      <c r="A12" s="82" t="s">
        <v>781</v>
      </c>
      <c r="B12" s="75"/>
      <c r="C12" s="75"/>
      <c r="D12" s="75"/>
      <c r="E12" s="75"/>
      <c r="F12" s="75"/>
    </row>
    <row r="13" spans="1:6">
      <c r="A13" s="83"/>
      <c r="B13" s="75"/>
      <c r="C13" s="75"/>
      <c r="D13" s="75"/>
      <c r="E13" s="75"/>
      <c r="F13" s="75"/>
    </row>
    <row r="14" spans="1:6">
      <c r="A14" s="3863" t="s">
        <v>775</v>
      </c>
      <c r="B14" s="3865" t="s">
        <v>776</v>
      </c>
      <c r="C14" s="3865"/>
      <c r="D14" s="3865"/>
      <c r="E14" s="3865"/>
      <c r="F14" s="3865"/>
    </row>
    <row r="15" spans="1:6">
      <c r="A15" s="3864"/>
      <c r="B15" s="3199">
        <v>2008</v>
      </c>
      <c r="C15" s="3199">
        <v>2009</v>
      </c>
      <c r="D15" s="3199">
        <v>2010</v>
      </c>
      <c r="E15" s="3199">
        <v>2011</v>
      </c>
      <c r="F15" s="3200">
        <v>2012</v>
      </c>
    </row>
    <row r="16" spans="1:6">
      <c r="A16" s="2887" t="s">
        <v>777</v>
      </c>
      <c r="B16" s="3201">
        <f>+F30+F41+F52+F63+F74+F85+F96+F107+F118+F129+F140+F151+F162+F173+F184+F195+F206+F217+F228+F239</f>
        <v>7202349.178313015</v>
      </c>
      <c r="C16" s="3201">
        <f>+E30+E41+E52+E63+E74+E85+E96+E107+E118+E129+E140+E151+E162+E173+E184+E195+E206+E217+E228+E239</f>
        <v>8544198.7104313709</v>
      </c>
      <c r="D16" s="3201">
        <f>+D30+D41+D52+D63+D74+D85+D96+D107+D118+D129+D140+D151+D162+D173+D184+D195+D206+D217+D228+D239</f>
        <v>9044365.3892890457</v>
      </c>
      <c r="E16" s="3201">
        <f>+C30+C41+C52+C63+C74+C85+C96+C107+C118+C129+C140+C151+C162+C173+C184+C195+C206+C217+C228+C239</f>
        <v>10674329.371317729</v>
      </c>
      <c r="F16" s="3201">
        <f>+B30+B41+B52+B63+B74+B85+B96+B107+B118+B129+B140+B151+B162+B173+B184+B195+B206+B217+B228+B239</f>
        <v>12353267.745762428</v>
      </c>
    </row>
    <row r="17" spans="1:6">
      <c r="A17" s="2887" t="s">
        <v>778</v>
      </c>
      <c r="B17" s="3201">
        <f>+F31+F42+F53+F64+F75+F86+F97+F108+F119+F130+F141+F152+F163+F174+F185+F196+F207+F218+F229+F240</f>
        <v>7665578.8284778325</v>
      </c>
      <c r="C17" s="3201">
        <f>+E31+E42+E53+E64+E75+E86+E97+E108+E119+E130+E141+E152+E163+E174+E185+E196+E207+E218+E229+E240</f>
        <v>9191818.7378559094</v>
      </c>
      <c r="D17" s="3201">
        <f>+D31+D42+D53+D64+D75+D86+D97+D108+D119+D130+D141+D152+D163+D174+D185+D196+D207+D218+D229+D240</f>
        <v>10290699.230424389</v>
      </c>
      <c r="E17" s="3201">
        <f>+C31+C42+C53+C64+C75+C86+C97+C108+C119+C130+C141+C152+C163+C174+C185+C196+C207+C218+C229+C240</f>
        <v>11493796.560312709</v>
      </c>
      <c r="F17" s="3201">
        <f>+B31+B42+B53+B64+B75+B86+B97+B108+B119+B130+B141+B152+B163+B174+B185+B196+B207+B218+B229+B240</f>
        <v>13212326.352809602</v>
      </c>
    </row>
    <row r="18" spans="1:6">
      <c r="A18" s="2887" t="s">
        <v>779</v>
      </c>
      <c r="B18" s="3201">
        <f>+F32+F43+F54+F65+F76+F87+F98+F109+F120+F131+F142+F153+F164+F175+F186+F197+F208+F219+F230+F241</f>
        <v>5860460.5733249346</v>
      </c>
      <c r="C18" s="3201">
        <f>+E32+E43+E54+E65+E76+E87+E98+E109+E120+E131+E142+E153+E164+E175+E186+E197+E208+E219+E230+E241</f>
        <v>7385548.1247638483</v>
      </c>
      <c r="D18" s="3201">
        <f>+D32+D43+D54+D65+D76+D87+D98+D109+D120+D131+D142+D153+D164+D175+D186+D197+D208+D219+D230+D241</f>
        <v>7424607.5410902621</v>
      </c>
      <c r="E18" s="3201">
        <f>+C32+C43+C54+C65+C76+C87+C98+C109+C120+C131+C142+C153+C164+C175+C186+C197+C208+C219+C230+C241</f>
        <v>10431945.513418304</v>
      </c>
      <c r="F18" s="3201">
        <f>+B32+B43+B54+B65+B76+B87+B98+B109+B120+B131+B142+B153+B164+B175+B186+B197+B208+B219+B230+B241</f>
        <v>12210726.010769933</v>
      </c>
    </row>
    <row r="19" spans="1:6">
      <c r="A19" s="2887" t="s">
        <v>782</v>
      </c>
      <c r="B19" s="3201">
        <f>+F33+F44+F55+F66+F77+F88+F99+F110+F121+F132+F143+F154+F165+F176+F187+F198+F209+F220+F231+F242</f>
        <v>757601.41017000005</v>
      </c>
      <c r="C19" s="3201">
        <f>+E33+E44+E55+E66+E77+E88+E99+E110+E121+E132+E143+E154+E165+E176+E187+E198+E209+E220+E231+E242</f>
        <v>1062256.9287299989</v>
      </c>
      <c r="D19" s="3201">
        <f>+D33+D44+D55+D66+D77+D88+D99+D110+D121+D132+D143+D154+D165+D176+D187+D198+D209+D220+D231+D242</f>
        <v>1510608.5020135699</v>
      </c>
      <c r="E19" s="3201">
        <f>+C33+C44+C55+C66+C77+C88+C99+C110+C121+C132+C143+C154+C165+C176+C187+C198+C209+C220+C231+C242</f>
        <v>1801476.0055157265</v>
      </c>
      <c r="F19" s="3201">
        <f>+B33+B44+B55+B66+B77+B88+B99+B110+B121+B132+B143+B154+B165+B176+B187+B198+B209+B220+B231+B242</f>
        <v>1387460.8875148722</v>
      </c>
    </row>
    <row r="20" spans="1:6">
      <c r="A20" s="2887" t="s">
        <v>783</v>
      </c>
      <c r="B20" s="3201">
        <f>+F34+F45+F56+F67+F78+F89+F100+F111+F122+F133+F144+F155+F166+F177+F188+F199+F210+F221+F232+F243</f>
        <v>8956252.9745108467</v>
      </c>
      <c r="C20" s="3201">
        <f>+E34+E45+E56+E67+E78+E89+E100+E111+E122+E133+E144+E155+E166+E177+E188+E199+E210+E221+E232+E243</f>
        <v>7336121.9810371194</v>
      </c>
      <c r="D20" s="3201">
        <f>+D34+D45+D56+D67+D78+D89+D100+D111+D122+D133+D144+D155+D166+D177+D188+D199+D210+D221+D232+D243</f>
        <v>9053130.6815150455</v>
      </c>
      <c r="E20" s="3201">
        <f>+C34+C45+C56+C67+C78+C89+C100+C111+C122+C133+C144+C155+C166+C177+C188+C199+C210+C221+C232+C243</f>
        <v>11093428.595257847</v>
      </c>
      <c r="F20" s="3201">
        <f>+B34+B45+B56+B67+B78+B89+B100+B111+B122+B133+B144+B155+B166+B177+B188+B199+B210+B221+B232+B243</f>
        <v>12937322.492880592</v>
      </c>
    </row>
    <row r="21" spans="1:6">
      <c r="A21" s="76" t="s">
        <v>118</v>
      </c>
      <c r="B21" s="1321">
        <f>SUM(B16:B20)</f>
        <v>30442242.964796625</v>
      </c>
      <c r="C21" s="1321">
        <f>SUM(C16:C20)</f>
        <v>33519944.482818246</v>
      </c>
      <c r="D21" s="1321">
        <f>SUM(D16:D20)</f>
        <v>37323411.344332308</v>
      </c>
      <c r="E21" s="1321">
        <f>SUM(E16:E20)</f>
        <v>45494976.045822315</v>
      </c>
      <c r="F21" s="1321">
        <f>SUM(F16:F20)</f>
        <v>52101103.489737429</v>
      </c>
    </row>
    <row r="22" spans="1:6">
      <c r="A22" s="2887" t="s">
        <v>784</v>
      </c>
      <c r="B22" s="3201" t="e">
        <f>+#REF!</f>
        <v>#REF!</v>
      </c>
      <c r="C22" s="3201" t="e">
        <f>+#REF!</f>
        <v>#REF!</v>
      </c>
      <c r="D22" s="3201" t="e">
        <f>+#REF!</f>
        <v>#REF!</v>
      </c>
      <c r="E22" s="3201" t="e">
        <f>+#REF!</f>
        <v>#REF!</v>
      </c>
      <c r="F22" s="3201" t="e">
        <f>+#REF!</f>
        <v>#REF!</v>
      </c>
    </row>
    <row r="23" spans="1:6">
      <c r="A23" s="3202" t="s">
        <v>785</v>
      </c>
      <c r="B23" s="3145" t="e">
        <f>+B21-B22</f>
        <v>#REF!</v>
      </c>
      <c r="C23" s="3145" t="e">
        <f>+C21-C22</f>
        <v>#REF!</v>
      </c>
      <c r="D23" s="3145" t="e">
        <f>+D21-D22</f>
        <v>#REF!</v>
      </c>
      <c r="E23" s="3145" t="e">
        <f>+E21-E22</f>
        <v>#REF!</v>
      </c>
      <c r="F23" s="3145" t="e">
        <f>+F21-F22</f>
        <v>#REF!</v>
      </c>
    </row>
    <row r="24" spans="1:6" ht="31.5" customHeight="1">
      <c r="A24" s="3203" t="s">
        <v>786</v>
      </c>
      <c r="B24" s="3204"/>
      <c r="C24" s="3204"/>
      <c r="D24" s="3204"/>
      <c r="E24" s="3204">
        <f>+'Co Ins Outward'!J51</f>
        <v>-2166105.4411881268</v>
      </c>
      <c r="F24" s="3204">
        <f>+'Co Ins Outward'!J26</f>
        <v>589410.951128043</v>
      </c>
    </row>
    <row r="25" spans="1:6">
      <c r="B25" s="14"/>
      <c r="C25" s="14"/>
      <c r="D25" s="14"/>
      <c r="E25" s="14"/>
      <c r="F25" s="14"/>
    </row>
    <row r="26" spans="1:6">
      <c r="B26" s="14"/>
      <c r="C26" s="14"/>
      <c r="D26" s="14"/>
      <c r="E26" s="14"/>
      <c r="F26" s="14"/>
    </row>
    <row r="27" spans="1:6">
      <c r="A27">
        <v>1</v>
      </c>
      <c r="B27" s="2089" t="s">
        <v>175</v>
      </c>
    </row>
    <row r="28" spans="1:6">
      <c r="A28" s="3863" t="s">
        <v>775</v>
      </c>
      <c r="B28" s="3865" t="s">
        <v>776</v>
      </c>
      <c r="C28" s="3865"/>
      <c r="D28" s="3865"/>
      <c r="E28" s="3865"/>
      <c r="F28" s="3865"/>
    </row>
    <row r="29" spans="1:6">
      <c r="A29" s="3864"/>
      <c r="B29" s="2917">
        <v>2012</v>
      </c>
      <c r="C29" s="2922">
        <v>2011</v>
      </c>
      <c r="D29" s="2922">
        <v>2010</v>
      </c>
      <c r="E29" s="2922">
        <v>2009</v>
      </c>
      <c r="F29" s="2922">
        <v>2008</v>
      </c>
    </row>
    <row r="30" spans="1:6">
      <c r="A30" s="2887" t="s">
        <v>777</v>
      </c>
      <c r="B30" s="3201">
        <v>315794.83120999997</v>
      </c>
      <c r="C30" s="3201">
        <v>286752.49471</v>
      </c>
      <c r="D30" s="3201">
        <v>326282.27091000002</v>
      </c>
      <c r="E30" s="3201">
        <v>266545.51387999998</v>
      </c>
      <c r="F30" s="3201">
        <v>274710.02755</v>
      </c>
    </row>
    <row r="31" spans="1:6">
      <c r="A31" s="2887" t="s">
        <v>778</v>
      </c>
      <c r="B31" s="3201">
        <v>488967.15191000002</v>
      </c>
      <c r="C31" s="3201">
        <v>230501.57606999998</v>
      </c>
      <c r="D31" s="3201">
        <v>2973.1581299999998</v>
      </c>
      <c r="E31" s="3201">
        <v>69522.015440000003</v>
      </c>
      <c r="F31" s="3201">
        <v>74466.334470000002</v>
      </c>
    </row>
    <row r="32" spans="1:6">
      <c r="A32" s="2887" t="s">
        <v>779</v>
      </c>
      <c r="B32" s="3201">
        <v>385629.70668</v>
      </c>
      <c r="C32" s="3201">
        <v>110909.34813</v>
      </c>
      <c r="D32" s="3201">
        <v>101410.31981</v>
      </c>
      <c r="E32" s="3201">
        <v>160681.45756000001</v>
      </c>
      <c r="F32" s="3201">
        <v>110594.63798</v>
      </c>
    </row>
    <row r="33" spans="1:6">
      <c r="A33" s="2887" t="s">
        <v>782</v>
      </c>
      <c r="B33" s="3201">
        <v>0</v>
      </c>
      <c r="C33" s="3201">
        <v>0</v>
      </c>
      <c r="D33" s="3201">
        <v>0</v>
      </c>
      <c r="E33" s="3201">
        <v>0</v>
      </c>
      <c r="F33" s="3201">
        <v>0</v>
      </c>
    </row>
    <row r="34" spans="1:6">
      <c r="A34" s="2887" t="s">
        <v>783</v>
      </c>
      <c r="B34" s="3201">
        <v>0</v>
      </c>
      <c r="C34" s="3201">
        <v>0</v>
      </c>
      <c r="D34" s="3201">
        <v>0</v>
      </c>
      <c r="E34" s="3201">
        <v>0</v>
      </c>
      <c r="F34" s="3201">
        <v>0</v>
      </c>
    </row>
    <row r="35" spans="1:6" ht="15.75" thickBot="1">
      <c r="A35" s="76" t="s">
        <v>118</v>
      </c>
      <c r="B35" s="84">
        <f>SUM(B30:B34)</f>
        <v>1190391.6898000001</v>
      </c>
      <c r="C35" s="84">
        <f>SUM(C30:C34)</f>
        <v>628163.41891000001</v>
      </c>
      <c r="D35" s="84">
        <f>SUM(D30:D34)</f>
        <v>430665.74885000003</v>
      </c>
      <c r="E35" s="84">
        <f>SUM(E30:E34)</f>
        <v>496748.98687999998</v>
      </c>
      <c r="F35" s="84">
        <f>SUM(F30:F34)</f>
        <v>459771</v>
      </c>
    </row>
    <row r="36" spans="1:6" ht="15.75" thickTop="1">
      <c r="A36" s="76"/>
      <c r="B36" s="1321" t="e">
        <f>+#REF!</f>
        <v>#REF!</v>
      </c>
      <c r="C36" s="102" t="e">
        <f>+#REF!</f>
        <v>#REF!</v>
      </c>
      <c r="D36" s="102" t="e">
        <f>+#REF!</f>
        <v>#REF!</v>
      </c>
      <c r="E36" s="102" t="e">
        <f>+#REF!</f>
        <v>#REF!</v>
      </c>
      <c r="F36" s="102" t="e">
        <f>+#REF!</f>
        <v>#REF!</v>
      </c>
    </row>
    <row r="37" spans="1:6">
      <c r="A37" s="76"/>
      <c r="B37" s="1322" t="e">
        <f>+B35-B36</f>
        <v>#REF!</v>
      </c>
      <c r="C37" s="1322" t="e">
        <f>+C35-C36</f>
        <v>#REF!</v>
      </c>
      <c r="D37" s="1322" t="e">
        <f>+D35-D36</f>
        <v>#REF!</v>
      </c>
      <c r="E37" s="1322" t="e">
        <f>+E35-E36</f>
        <v>#REF!</v>
      </c>
      <c r="F37" s="1322" t="e">
        <f>+F35-F36</f>
        <v>#REF!</v>
      </c>
    </row>
    <row r="38" spans="1:6">
      <c r="A38">
        <v>2</v>
      </c>
      <c r="B38" s="2089" t="s">
        <v>177</v>
      </c>
    </row>
    <row r="39" spans="1:6">
      <c r="A39" s="3863" t="s">
        <v>775</v>
      </c>
      <c r="B39" s="3865" t="s">
        <v>776</v>
      </c>
      <c r="C39" s="3865"/>
      <c r="D39" s="3865"/>
      <c r="E39" s="3865"/>
      <c r="F39" s="3865"/>
    </row>
    <row r="40" spans="1:6">
      <c r="A40" s="3864"/>
      <c r="B40" s="2917">
        <v>2012</v>
      </c>
      <c r="C40" s="2922">
        <v>2011</v>
      </c>
      <c r="D40" s="2922">
        <v>2010</v>
      </c>
      <c r="E40" s="2922">
        <v>2009</v>
      </c>
      <c r="F40" s="2922">
        <v>2008</v>
      </c>
    </row>
    <row r="41" spans="1:6">
      <c r="A41" s="2887" t="s">
        <v>777</v>
      </c>
      <c r="B41" s="3205">
        <v>0</v>
      </c>
      <c r="C41" s="3205">
        <v>1713</v>
      </c>
      <c r="D41" s="3205">
        <v>2696</v>
      </c>
      <c r="E41" s="3205">
        <v>7455</v>
      </c>
      <c r="F41" s="3201">
        <v>3348</v>
      </c>
    </row>
    <row r="42" spans="1:6">
      <c r="A42" s="2887" t="s">
        <v>778</v>
      </c>
      <c r="B42" s="3205">
        <v>419314</v>
      </c>
      <c r="C42" s="3205">
        <v>380386</v>
      </c>
      <c r="D42" s="3205">
        <v>554286</v>
      </c>
      <c r="E42" s="3205">
        <v>472526</v>
      </c>
      <c r="F42" s="3201">
        <v>252838</v>
      </c>
    </row>
    <row r="43" spans="1:6">
      <c r="A43" s="2887" t="s">
        <v>779</v>
      </c>
      <c r="B43" s="3205">
        <v>629683</v>
      </c>
      <c r="C43" s="3205">
        <v>711345</v>
      </c>
      <c r="D43" s="3205">
        <v>493964</v>
      </c>
      <c r="E43" s="3205">
        <v>403547</v>
      </c>
      <c r="F43" s="3201">
        <v>184986</v>
      </c>
    </row>
    <row r="44" spans="1:6">
      <c r="A44" s="2887" t="s">
        <v>782</v>
      </c>
      <c r="B44" s="3205">
        <v>137899</v>
      </c>
      <c r="C44" s="3205">
        <v>89004</v>
      </c>
      <c r="D44" s="3205">
        <v>62887</v>
      </c>
      <c r="E44" s="3205">
        <v>42493</v>
      </c>
      <c r="F44" s="3201">
        <v>33299</v>
      </c>
    </row>
    <row r="45" spans="1:6">
      <c r="A45" s="2887" t="s">
        <v>783</v>
      </c>
      <c r="B45" s="3205">
        <v>335162</v>
      </c>
      <c r="C45" s="3205">
        <v>318852</v>
      </c>
      <c r="D45" s="3205">
        <v>355705</v>
      </c>
      <c r="E45" s="3205">
        <v>248801</v>
      </c>
      <c r="F45" s="3201">
        <v>126632</v>
      </c>
    </row>
    <row r="46" spans="1:6" ht="15.75" thickBot="1">
      <c r="A46" s="76" t="s">
        <v>118</v>
      </c>
      <c r="B46" s="84">
        <f>SUM(B41:B45)</f>
        <v>1522058</v>
      </c>
      <c r="C46" s="84">
        <f>SUM(C41:C45)</f>
        <v>1501300</v>
      </c>
      <c r="D46" s="84">
        <f>SUM(D41:D45)</f>
        <v>1469538</v>
      </c>
      <c r="E46" s="84">
        <f>SUM(E41:E45)</f>
        <v>1174822</v>
      </c>
      <c r="F46" s="84">
        <f>SUM(F41:F45)</f>
        <v>601103</v>
      </c>
    </row>
    <row r="47" spans="1:6" ht="15.75" thickTop="1">
      <c r="A47" s="76"/>
      <c r="B47" s="1321" t="e">
        <f>+#REF!</f>
        <v>#REF!</v>
      </c>
      <c r="C47" s="102" t="e">
        <f>+#REF!</f>
        <v>#REF!</v>
      </c>
      <c r="D47" s="102" t="e">
        <f>+#REF!</f>
        <v>#REF!</v>
      </c>
      <c r="E47" s="102" t="e">
        <f>+#REF!</f>
        <v>#REF!</v>
      </c>
      <c r="F47" s="102" t="e">
        <f>+#REF!</f>
        <v>#REF!</v>
      </c>
    </row>
    <row r="48" spans="1:6">
      <c r="A48" s="76"/>
      <c r="B48" s="1322" t="e">
        <f>+B46-B47</f>
        <v>#REF!</v>
      </c>
      <c r="C48" s="1322" t="e">
        <f>+C46-C47</f>
        <v>#REF!</v>
      </c>
      <c r="D48" s="1322" t="e">
        <f>+D46-D47</f>
        <v>#REF!</v>
      </c>
      <c r="E48" s="1322" t="e">
        <f>+E46-E47</f>
        <v>#REF!</v>
      </c>
      <c r="F48" s="1322" t="e">
        <f>+F46-F47</f>
        <v>#REF!</v>
      </c>
    </row>
    <row r="49" spans="1:6">
      <c r="A49">
        <v>3</v>
      </c>
      <c r="B49" s="2089" t="s">
        <v>179</v>
      </c>
    </row>
    <row r="50" spans="1:6">
      <c r="A50" s="3863" t="s">
        <v>775</v>
      </c>
      <c r="B50" s="3865" t="s">
        <v>776</v>
      </c>
      <c r="C50" s="3865"/>
      <c r="D50" s="3865"/>
      <c r="E50" s="3865"/>
      <c r="F50" s="3865"/>
    </row>
    <row r="51" spans="1:6">
      <c r="A51" s="3864"/>
      <c r="B51" s="2917">
        <v>2012</v>
      </c>
      <c r="C51" s="2922">
        <v>2011</v>
      </c>
      <c r="D51" s="2922">
        <v>2010</v>
      </c>
      <c r="E51" s="2922">
        <v>2009</v>
      </c>
      <c r="F51" s="2922">
        <v>2008</v>
      </c>
    </row>
    <row r="52" spans="1:6">
      <c r="A52" s="2887" t="s">
        <v>777</v>
      </c>
      <c r="B52" s="3201">
        <v>1036361.4066</v>
      </c>
      <c r="C52" s="3201">
        <v>903768.31818999304</v>
      </c>
      <c r="D52" s="3201">
        <v>736853.50532999996</v>
      </c>
      <c r="E52" s="3201">
        <v>516177.43075</v>
      </c>
      <c r="F52" s="3201">
        <v>527036.37558999995</v>
      </c>
    </row>
    <row r="53" spans="1:6">
      <c r="A53" s="2887" t="s">
        <v>778</v>
      </c>
      <c r="B53" s="3201">
        <v>901795.76939000003</v>
      </c>
      <c r="C53" s="3201">
        <v>761299.69425999804</v>
      </c>
      <c r="D53" s="3201">
        <v>1098069.3475200001</v>
      </c>
      <c r="E53" s="3201">
        <v>1242818.10781</v>
      </c>
      <c r="F53" s="3201">
        <v>1132667.3293399999</v>
      </c>
    </row>
    <row r="54" spans="1:6">
      <c r="A54" s="2887" t="s">
        <v>779</v>
      </c>
      <c r="B54" s="3201">
        <v>191601.36429999999</v>
      </c>
      <c r="C54" s="3201">
        <v>163062.99150999999</v>
      </c>
      <c r="D54" s="3201">
        <v>162628.65390999999</v>
      </c>
      <c r="E54" s="3201">
        <v>247441.8143</v>
      </c>
      <c r="F54" s="3201">
        <v>173976.98454</v>
      </c>
    </row>
    <row r="55" spans="1:6">
      <c r="A55" s="2887" t="s">
        <v>782</v>
      </c>
      <c r="B55" s="3201">
        <v>270564.90321000002</v>
      </c>
      <c r="C55" s="3201">
        <v>863805.93622006499</v>
      </c>
      <c r="D55" s="3201">
        <v>849252.70279999205</v>
      </c>
      <c r="E55" s="3201">
        <v>497190.971729999</v>
      </c>
      <c r="F55" s="3201">
        <v>211571.31052999999</v>
      </c>
    </row>
    <row r="56" spans="1:6">
      <c r="A56" s="2887" t="s">
        <v>783</v>
      </c>
      <c r="B56" s="3201"/>
      <c r="C56" s="3201"/>
      <c r="D56" s="3201"/>
      <c r="E56" s="3201"/>
      <c r="F56" s="3201"/>
    </row>
    <row r="57" spans="1:6" ht="15.75" thickBot="1">
      <c r="A57" s="76" t="s">
        <v>118</v>
      </c>
      <c r="B57" s="84">
        <f>SUM(B52:B56)</f>
        <v>2400323.4435000001</v>
      </c>
      <c r="C57" s="84">
        <f>SUM(C52:C56)</f>
        <v>2691936.9401800558</v>
      </c>
      <c r="D57" s="84">
        <f>SUM(D52:D56)</f>
        <v>2846804.209559992</v>
      </c>
      <c r="E57" s="84">
        <f>SUM(E52:E56)</f>
        <v>2503628.3245899989</v>
      </c>
      <c r="F57" s="84">
        <f>SUM(F52:F56)</f>
        <v>2045252</v>
      </c>
    </row>
    <row r="58" spans="1:6" ht="15.75" thickTop="1">
      <c r="A58" s="76"/>
      <c r="B58" s="1321" t="e">
        <f>+#REF!</f>
        <v>#REF!</v>
      </c>
      <c r="C58" s="102" t="e">
        <f>+#REF!</f>
        <v>#REF!</v>
      </c>
      <c r="D58" s="102" t="e">
        <f>+#REF!</f>
        <v>#REF!</v>
      </c>
      <c r="E58" s="102" t="e">
        <f>+#REF!</f>
        <v>#REF!</v>
      </c>
      <c r="F58" s="102" t="e">
        <f>+#REF!</f>
        <v>#REF!</v>
      </c>
    </row>
    <row r="59" spans="1:6">
      <c r="A59" s="76"/>
      <c r="B59" s="1322" t="e">
        <f>+B57-B58</f>
        <v>#REF!</v>
      </c>
      <c r="C59" s="1322" t="e">
        <f>+C57-C58</f>
        <v>#REF!</v>
      </c>
      <c r="D59" s="1322" t="e">
        <f>+D57-D58</f>
        <v>#REF!</v>
      </c>
      <c r="E59" s="1322" t="e">
        <f>+E57-E58</f>
        <v>#REF!</v>
      </c>
      <c r="F59" s="1322" t="e">
        <f>+F57-F58</f>
        <v>#REF!</v>
      </c>
    </row>
    <row r="60" spans="1:6">
      <c r="A60">
        <v>4</v>
      </c>
      <c r="B60" s="2089" t="s">
        <v>180</v>
      </c>
    </row>
    <row r="61" spans="1:6">
      <c r="A61" s="3863" t="s">
        <v>775</v>
      </c>
      <c r="B61" s="3865" t="s">
        <v>776</v>
      </c>
      <c r="C61" s="3865"/>
      <c r="D61" s="3865"/>
      <c r="E61" s="3865"/>
      <c r="F61" s="3865"/>
    </row>
    <row r="62" spans="1:6">
      <c r="A62" s="3864"/>
      <c r="B62" s="2917">
        <v>2012</v>
      </c>
      <c r="C62" s="2922">
        <v>2011</v>
      </c>
      <c r="D62" s="2922">
        <v>2010</v>
      </c>
      <c r="E62" s="2922">
        <v>2009</v>
      </c>
      <c r="F62" s="2922">
        <v>2008</v>
      </c>
    </row>
    <row r="63" spans="1:6">
      <c r="A63" s="2887" t="s">
        <v>777</v>
      </c>
      <c r="B63" s="3201">
        <v>22255.376390000201</v>
      </c>
      <c r="C63" s="3201">
        <v>7544.5394299999998</v>
      </c>
      <c r="D63" s="3201">
        <v>48552.575819999998</v>
      </c>
      <c r="E63" s="3201">
        <v>148836.90297999998</v>
      </c>
      <c r="F63" s="3201">
        <v>173866.69755000001</v>
      </c>
    </row>
    <row r="64" spans="1:6">
      <c r="A64" s="2887" t="s">
        <v>778</v>
      </c>
      <c r="B64" s="3201">
        <v>112598.38820000111</v>
      </c>
      <c r="C64" s="3201">
        <v>52970.903539999999</v>
      </c>
      <c r="D64" s="3201">
        <v>91774.793860000005</v>
      </c>
      <c r="E64" s="3201">
        <v>68297.733489999999</v>
      </c>
      <c r="F64" s="3201">
        <v>54041.379919999999</v>
      </c>
    </row>
    <row r="65" spans="1:6">
      <c r="A65" s="2887" t="s">
        <v>779</v>
      </c>
      <c r="B65" s="3201">
        <v>1059033.2568417999</v>
      </c>
      <c r="C65" s="3201">
        <v>904787.05440000002</v>
      </c>
      <c r="D65" s="3201">
        <v>792865.01941999991</v>
      </c>
      <c r="E65" s="3201">
        <v>736663.71979</v>
      </c>
      <c r="F65" s="3201">
        <v>607278.67979999993</v>
      </c>
    </row>
    <row r="66" spans="1:6">
      <c r="A66" s="2887" t="s">
        <v>782</v>
      </c>
      <c r="B66" s="3201">
        <v>0</v>
      </c>
      <c r="C66" s="3201">
        <v>0</v>
      </c>
      <c r="D66" s="3201">
        <v>0</v>
      </c>
      <c r="E66" s="3201">
        <v>0</v>
      </c>
      <c r="F66" s="3201">
        <v>0</v>
      </c>
    </row>
    <row r="67" spans="1:6">
      <c r="A67" s="2887" t="s">
        <v>783</v>
      </c>
      <c r="B67" s="3201">
        <v>0</v>
      </c>
      <c r="C67" s="3201"/>
      <c r="D67" s="3201"/>
      <c r="E67" s="3201"/>
      <c r="F67" s="3201"/>
    </row>
    <row r="68" spans="1:6" ht="15.75" thickBot="1">
      <c r="A68" s="76" t="s">
        <v>118</v>
      </c>
      <c r="B68" s="84">
        <f>SUM(B63:B67)</f>
        <v>1193887.0214318014</v>
      </c>
      <c r="C68" s="84">
        <f>SUM(C63:C67)</f>
        <v>965302.49737</v>
      </c>
      <c r="D68" s="84">
        <f>SUM(D63:D67)</f>
        <v>933192.38909999991</v>
      </c>
      <c r="E68" s="84">
        <f>SUM(E63:E67)</f>
        <v>953798.35626000003</v>
      </c>
      <c r="F68" s="84">
        <f>SUM(F63:F67)</f>
        <v>835186.75726999994</v>
      </c>
    </row>
    <row r="69" spans="1:6" ht="15.75" thickTop="1">
      <c r="A69" s="76"/>
      <c r="B69" s="1321" t="e">
        <f>+#REF!</f>
        <v>#REF!</v>
      </c>
      <c r="C69" s="102" t="e">
        <f>+#REF!</f>
        <v>#REF!</v>
      </c>
      <c r="D69" s="102" t="e">
        <f>+#REF!</f>
        <v>#REF!</v>
      </c>
      <c r="E69" s="102" t="e">
        <f>+#REF!</f>
        <v>#REF!</v>
      </c>
      <c r="F69" s="102" t="e">
        <f>+#REF!</f>
        <v>#REF!</v>
      </c>
    </row>
    <row r="70" spans="1:6">
      <c r="A70" s="76"/>
      <c r="B70" s="1322" t="e">
        <f>+B68-B69</f>
        <v>#REF!</v>
      </c>
      <c r="C70" s="1322" t="e">
        <f>+C68-C69</f>
        <v>#REF!</v>
      </c>
      <c r="D70" s="1322" t="e">
        <f>+D68-D69</f>
        <v>#REF!</v>
      </c>
      <c r="E70" s="1322" t="e">
        <f>+E68-E69</f>
        <v>#REF!</v>
      </c>
      <c r="F70" s="1322" t="e">
        <f>+F68-F69</f>
        <v>#REF!</v>
      </c>
    </row>
    <row r="71" spans="1:6">
      <c r="A71">
        <v>5</v>
      </c>
      <c r="B71" s="2089" t="s">
        <v>181</v>
      </c>
    </row>
    <row r="72" spans="1:6">
      <c r="A72" s="3863" t="s">
        <v>775</v>
      </c>
      <c r="B72" s="3865" t="s">
        <v>776</v>
      </c>
      <c r="C72" s="3865"/>
      <c r="D72" s="3865"/>
      <c r="E72" s="3865"/>
      <c r="F72" s="3865"/>
    </row>
    <row r="73" spans="1:6">
      <c r="A73" s="3864"/>
      <c r="B73" s="2917">
        <v>2012</v>
      </c>
      <c r="C73" s="2922">
        <v>2011</v>
      </c>
      <c r="D73" s="2922">
        <v>2010</v>
      </c>
      <c r="E73" s="2922">
        <v>2009</v>
      </c>
      <c r="F73" s="2922">
        <v>2008</v>
      </c>
    </row>
    <row r="74" spans="1:6">
      <c r="A74" s="2887" t="s">
        <v>777</v>
      </c>
      <c r="B74" s="3201">
        <v>7563</v>
      </c>
      <c r="C74" s="3201">
        <v>12856.148130000001</v>
      </c>
      <c r="D74" s="3201">
        <v>14860.111220000001</v>
      </c>
      <c r="E74" s="3201">
        <v>23892.842170000004</v>
      </c>
      <c r="F74" s="3201">
        <v>51815.318020000006</v>
      </c>
    </row>
    <row r="75" spans="1:6">
      <c r="A75" s="2887" t="s">
        <v>778</v>
      </c>
      <c r="B75" s="3201">
        <v>317327</v>
      </c>
      <c r="C75" s="3201">
        <v>353710.48861</v>
      </c>
      <c r="D75" s="3201">
        <v>424703.75073600002</v>
      </c>
      <c r="E75" s="3201">
        <v>460714.617126</v>
      </c>
      <c r="F75" s="3201">
        <v>541234.69641999993</v>
      </c>
    </row>
    <row r="76" spans="1:6">
      <c r="A76" s="2887" t="s">
        <v>779</v>
      </c>
      <c r="B76" s="3201">
        <v>351389</v>
      </c>
      <c r="C76" s="3201">
        <v>382269.72512999998</v>
      </c>
      <c r="D76" s="3201">
        <v>297805.34899000003</v>
      </c>
      <c r="E76" s="3201">
        <v>237901.26566</v>
      </c>
      <c r="F76" s="3201">
        <v>175897.33168</v>
      </c>
    </row>
    <row r="77" spans="1:6">
      <c r="A77" s="2887" t="s">
        <v>782</v>
      </c>
      <c r="B77" s="3201">
        <v>83082</v>
      </c>
      <c r="C77" s="3201">
        <v>69848.053450000007</v>
      </c>
      <c r="D77" s="3201">
        <v>47294.59706</v>
      </c>
      <c r="E77" s="3201">
        <v>46339.957000000002</v>
      </c>
      <c r="F77" s="3201">
        <v>29454.09964</v>
      </c>
    </row>
    <row r="78" spans="1:6">
      <c r="A78" s="2887" t="s">
        <v>783</v>
      </c>
      <c r="B78" s="3201">
        <v>79013</v>
      </c>
      <c r="C78" s="3201">
        <v>157104.93307999999</v>
      </c>
      <c r="D78" s="3201">
        <v>182357</v>
      </c>
      <c r="E78" s="3201">
        <v>110436</v>
      </c>
      <c r="F78" s="3201">
        <v>134328</v>
      </c>
    </row>
    <row r="79" spans="1:6" ht="15.75" thickBot="1">
      <c r="A79" s="76" t="s">
        <v>118</v>
      </c>
      <c r="B79" s="84">
        <f>SUM(B74:B78)</f>
        <v>838374</v>
      </c>
      <c r="C79" s="84">
        <f>SUM(C74:C78)</f>
        <v>975789.3483999999</v>
      </c>
      <c r="D79" s="84">
        <f>SUM(D74:D78)</f>
        <v>967020.80800600001</v>
      </c>
      <c r="E79" s="84">
        <f>SUM(E74:E78)</f>
        <v>879284.68195600004</v>
      </c>
      <c r="F79" s="84">
        <f>SUM(F74:F78)</f>
        <v>932729.44575999992</v>
      </c>
    </row>
    <row r="80" spans="1:6" ht="15.75" thickTop="1">
      <c r="A80" s="76"/>
      <c r="B80" s="1321" t="e">
        <f>+#REF!</f>
        <v>#REF!</v>
      </c>
      <c r="C80" s="102" t="e">
        <f>+#REF!</f>
        <v>#REF!</v>
      </c>
      <c r="D80" s="102" t="e">
        <f>+#REF!</f>
        <v>#REF!</v>
      </c>
      <c r="E80" s="102" t="e">
        <f>+#REF!</f>
        <v>#REF!</v>
      </c>
      <c r="F80" s="102" t="e">
        <f>+#REF!</f>
        <v>#REF!</v>
      </c>
    </row>
    <row r="81" spans="1:6">
      <c r="A81" s="76"/>
      <c r="B81" s="1322" t="e">
        <f>+B79-B80</f>
        <v>#REF!</v>
      </c>
      <c r="C81" s="1322" t="e">
        <f>+C79-C80</f>
        <v>#REF!</v>
      </c>
      <c r="D81" s="1322" t="e">
        <f>+D79-D80</f>
        <v>#REF!</v>
      </c>
      <c r="E81" s="1322" t="e">
        <f>+E79-E80</f>
        <v>#REF!</v>
      </c>
      <c r="F81" s="1322" t="e">
        <f>+F79-F80</f>
        <v>#REF!</v>
      </c>
    </row>
    <row r="82" spans="1:6">
      <c r="A82">
        <v>6</v>
      </c>
      <c r="B82" s="2089" t="s">
        <v>182</v>
      </c>
    </row>
    <row r="83" spans="1:6">
      <c r="A83" s="3863" t="s">
        <v>775</v>
      </c>
      <c r="B83" s="3865" t="s">
        <v>776</v>
      </c>
      <c r="C83" s="3865"/>
      <c r="D83" s="3865"/>
      <c r="E83" s="3865"/>
      <c r="F83" s="3865"/>
    </row>
    <row r="84" spans="1:6">
      <c r="A84" s="3864"/>
      <c r="B84" s="2917">
        <v>2012</v>
      </c>
      <c r="C84" s="2922">
        <v>2011</v>
      </c>
      <c r="D84" s="2922">
        <v>2010</v>
      </c>
      <c r="E84" s="2922">
        <v>2009</v>
      </c>
      <c r="F84" s="2922">
        <v>2008</v>
      </c>
    </row>
    <row r="85" spans="1:6">
      <c r="A85" s="2887" t="s">
        <v>777</v>
      </c>
      <c r="B85" s="3201">
        <v>12938.37916</v>
      </c>
      <c r="C85" s="3201">
        <v>30051.319</v>
      </c>
      <c r="D85" s="3201">
        <v>2775.7148299999999</v>
      </c>
      <c r="E85" s="3201"/>
      <c r="F85" s="3201"/>
    </row>
    <row r="86" spans="1:6">
      <c r="A86" s="2887" t="s">
        <v>778</v>
      </c>
      <c r="B86" s="3201">
        <v>469394</v>
      </c>
      <c r="C86" s="3201">
        <v>521816.21299999999</v>
      </c>
      <c r="D86" s="3201">
        <v>260669.46493000002</v>
      </c>
      <c r="E86" s="3201"/>
      <c r="F86" s="3201"/>
    </row>
    <row r="87" spans="1:6">
      <c r="A87" s="2887" t="s">
        <v>779</v>
      </c>
      <c r="B87" s="3201">
        <v>338655</v>
      </c>
      <c r="C87" s="3201">
        <v>674177.37</v>
      </c>
      <c r="D87" s="3201">
        <v>177566.30424</v>
      </c>
      <c r="E87" s="3201"/>
      <c r="F87" s="3201"/>
    </row>
    <row r="88" spans="1:6">
      <c r="A88" s="2887" t="s">
        <v>782</v>
      </c>
      <c r="B88" s="3201">
        <v>0</v>
      </c>
      <c r="C88" s="3201">
        <v>0</v>
      </c>
      <c r="D88" s="3201">
        <v>0</v>
      </c>
      <c r="E88" s="3201"/>
      <c r="F88" s="3201"/>
    </row>
    <row r="89" spans="1:6">
      <c r="A89" s="2887" t="s">
        <v>783</v>
      </c>
      <c r="B89" s="3201">
        <v>821684.06746999989</v>
      </c>
      <c r="C89" s="3201">
        <v>0</v>
      </c>
      <c r="D89" s="3201">
        <v>0</v>
      </c>
      <c r="E89" s="3201"/>
      <c r="F89" s="3201"/>
    </row>
    <row r="90" spans="1:6" ht="15.75" thickBot="1">
      <c r="A90" s="76" t="s">
        <v>118</v>
      </c>
      <c r="B90" s="84">
        <f>SUM(B85:B89)</f>
        <v>1642671.4466299999</v>
      </c>
      <c r="C90" s="84">
        <f>SUM(C85:C89)</f>
        <v>1226044.902</v>
      </c>
      <c r="D90" s="84">
        <f>SUM(D85:D89)</f>
        <v>441011.48400000005</v>
      </c>
      <c r="E90" s="84">
        <f>SUM(E85:E89)</f>
        <v>0</v>
      </c>
      <c r="F90" s="84">
        <f>SUM(F85:F89)</f>
        <v>0</v>
      </c>
    </row>
    <row r="91" spans="1:6" ht="15.75" thickTop="1">
      <c r="A91" s="76"/>
      <c r="B91" s="1321" t="e">
        <f>+#REF!</f>
        <v>#REF!</v>
      </c>
      <c r="C91" s="1321" t="e">
        <f>+#REF!</f>
        <v>#REF!</v>
      </c>
      <c r="D91" s="102">
        <v>0</v>
      </c>
      <c r="E91" s="102">
        <v>0</v>
      </c>
      <c r="F91" s="102">
        <v>0</v>
      </c>
    </row>
    <row r="92" spans="1:6">
      <c r="A92" s="76"/>
      <c r="B92" s="1322" t="e">
        <f>+B90-B91</f>
        <v>#REF!</v>
      </c>
      <c r="C92" s="1322" t="e">
        <f>+C90-C91</f>
        <v>#REF!</v>
      </c>
      <c r="D92" s="1322">
        <f>+D90-D91</f>
        <v>441011.48400000005</v>
      </c>
      <c r="E92" s="1322">
        <f>+E90-E91</f>
        <v>0</v>
      </c>
      <c r="F92" s="1322">
        <f>+F90-F91</f>
        <v>0</v>
      </c>
    </row>
    <row r="93" spans="1:6">
      <c r="A93">
        <v>7</v>
      </c>
      <c r="B93" s="2089" t="s">
        <v>183</v>
      </c>
    </row>
    <row r="94" spans="1:6">
      <c r="A94" s="3863" t="s">
        <v>775</v>
      </c>
      <c r="B94" s="3865" t="s">
        <v>776</v>
      </c>
      <c r="C94" s="3865"/>
      <c r="D94" s="3865"/>
      <c r="E94" s="3865"/>
      <c r="F94" s="3865"/>
    </row>
    <row r="95" spans="1:6">
      <c r="A95" s="3864"/>
      <c r="B95" s="2917">
        <v>2012</v>
      </c>
      <c r="C95" s="2922">
        <v>2011</v>
      </c>
      <c r="D95" s="2922">
        <v>2010</v>
      </c>
      <c r="E95" s="2922">
        <v>2009</v>
      </c>
      <c r="F95" s="2922">
        <v>2008</v>
      </c>
    </row>
    <row r="96" spans="1:6">
      <c r="A96" s="2887" t="s">
        <v>777</v>
      </c>
      <c r="B96" s="3201">
        <v>1502781</v>
      </c>
      <c r="C96" s="3201">
        <v>1405770</v>
      </c>
      <c r="D96" s="3201">
        <v>1106953</v>
      </c>
      <c r="E96" s="3201">
        <v>1180569</v>
      </c>
      <c r="F96" s="3201">
        <v>1354468</v>
      </c>
    </row>
    <row r="97" spans="1:6">
      <c r="A97" s="2887" t="s">
        <v>778</v>
      </c>
      <c r="B97" s="3201">
        <v>854321</v>
      </c>
      <c r="C97" s="3201">
        <v>803297</v>
      </c>
      <c r="D97" s="3201">
        <v>553476</v>
      </c>
      <c r="E97" s="3201">
        <v>454065</v>
      </c>
      <c r="F97" s="3201">
        <v>677234</v>
      </c>
    </row>
    <row r="98" spans="1:6">
      <c r="A98" s="2887" t="s">
        <v>779</v>
      </c>
      <c r="B98" s="3201">
        <v>1971452</v>
      </c>
      <c r="C98" s="3201">
        <v>1807418</v>
      </c>
      <c r="D98" s="3201">
        <v>1752676</v>
      </c>
      <c r="E98" s="3201">
        <v>1997885</v>
      </c>
      <c r="F98" s="3201">
        <v>2144574</v>
      </c>
    </row>
    <row r="99" spans="1:6">
      <c r="A99" s="2887" t="s">
        <v>782</v>
      </c>
      <c r="B99" s="3201"/>
      <c r="C99" s="3201"/>
      <c r="D99" s="3201"/>
      <c r="E99" s="3201"/>
      <c r="F99" s="3201"/>
    </row>
    <row r="100" spans="1:6">
      <c r="A100" s="2887" t="s">
        <v>783</v>
      </c>
      <c r="B100" s="3201">
        <v>6765029</v>
      </c>
      <c r="C100" s="3201">
        <v>6024727</v>
      </c>
      <c r="D100" s="3201">
        <v>5811503</v>
      </c>
      <c r="E100" s="3201">
        <v>5448778</v>
      </c>
      <c r="F100" s="3201">
        <v>7110957</v>
      </c>
    </row>
    <row r="101" spans="1:6" ht="15.75" thickBot="1">
      <c r="A101" s="76" t="s">
        <v>118</v>
      </c>
      <c r="B101" s="84">
        <f>SUM(B96:B100)</f>
        <v>11093583</v>
      </c>
      <c r="C101" s="84">
        <f>SUM(C96:C100)</f>
        <v>10041212</v>
      </c>
      <c r="D101" s="84">
        <f>SUM(D96:D100)</f>
        <v>9224608</v>
      </c>
      <c r="E101" s="84">
        <f>SUM(E96:E100)</f>
        <v>9081297</v>
      </c>
      <c r="F101" s="84">
        <f>SUM(F96:F100)</f>
        <v>11287233</v>
      </c>
    </row>
    <row r="102" spans="1:6" ht="15.75" thickTop="1">
      <c r="A102" s="76"/>
      <c r="B102" s="1321" t="e">
        <f>+#REF!</f>
        <v>#REF!</v>
      </c>
      <c r="C102" s="102" t="e">
        <f>+#REF!</f>
        <v>#REF!</v>
      </c>
      <c r="D102" s="102" t="e">
        <f>+#REF!</f>
        <v>#REF!</v>
      </c>
      <c r="E102" s="102" t="e">
        <f>+#REF!</f>
        <v>#REF!</v>
      </c>
      <c r="F102" s="102" t="e">
        <f>+#REF!</f>
        <v>#REF!</v>
      </c>
    </row>
    <row r="103" spans="1:6">
      <c r="A103" s="76"/>
      <c r="B103" s="1322" t="e">
        <f>+B101-B102</f>
        <v>#REF!</v>
      </c>
      <c r="C103" s="1322" t="e">
        <f>+C101-C102</f>
        <v>#REF!</v>
      </c>
      <c r="D103" s="1322" t="e">
        <f>+D101-D102</f>
        <v>#REF!</v>
      </c>
      <c r="E103" s="1322" t="e">
        <f>+E101-E102</f>
        <v>#REF!</v>
      </c>
      <c r="F103" s="1322" t="e">
        <f>+F101-F102</f>
        <v>#REF!</v>
      </c>
    </row>
    <row r="104" spans="1:6">
      <c r="A104">
        <v>8</v>
      </c>
      <c r="B104" s="2089" t="s">
        <v>184</v>
      </c>
    </row>
    <row r="105" spans="1:6">
      <c r="A105" s="3863" t="s">
        <v>775</v>
      </c>
      <c r="B105" s="3865" t="s">
        <v>776</v>
      </c>
      <c r="C105" s="3865"/>
      <c r="D105" s="3865"/>
      <c r="E105" s="3865"/>
      <c r="F105" s="3865"/>
    </row>
    <row r="106" spans="1:6">
      <c r="A106" s="3864"/>
      <c r="B106" s="2917">
        <v>2012</v>
      </c>
      <c r="C106" s="2922">
        <v>2011</v>
      </c>
      <c r="D106" s="2922">
        <v>2010</v>
      </c>
      <c r="E106" s="2922">
        <v>2009</v>
      </c>
      <c r="F106" s="2922">
        <v>2008</v>
      </c>
    </row>
    <row r="107" spans="1:6">
      <c r="A107" s="2887" t="s">
        <v>777</v>
      </c>
      <c r="B107" s="3201">
        <v>924514.98400000005</v>
      </c>
      <c r="C107" s="3201">
        <v>734542.799</v>
      </c>
      <c r="D107" s="3201">
        <v>478909.598</v>
      </c>
      <c r="E107" s="3201">
        <v>466811.99400000001</v>
      </c>
      <c r="F107" s="3201">
        <v>440729.68400000001</v>
      </c>
    </row>
    <row r="108" spans="1:6">
      <c r="A108" s="2887" t="s">
        <v>778</v>
      </c>
      <c r="B108" s="3201">
        <v>230432.25700000001</v>
      </c>
      <c r="C108" s="3201">
        <v>126374.504</v>
      </c>
      <c r="D108" s="3201">
        <v>95813.369000000006</v>
      </c>
      <c r="E108" s="3201">
        <v>110914.897</v>
      </c>
      <c r="F108" s="3201">
        <v>81719.027000000002</v>
      </c>
    </row>
    <row r="109" spans="1:6">
      <c r="A109" s="2887" t="s">
        <v>779</v>
      </c>
      <c r="B109" s="3201">
        <v>1964.826</v>
      </c>
      <c r="C109" s="3201">
        <v>77197.342999999993</v>
      </c>
      <c r="D109" s="3201">
        <v>42197.986000000004</v>
      </c>
      <c r="E109" s="3201">
        <v>18456.126</v>
      </c>
      <c r="F109" s="3201"/>
    </row>
    <row r="110" spans="1:6">
      <c r="A110" s="2887" t="s">
        <v>782</v>
      </c>
      <c r="B110" s="3201"/>
      <c r="C110" s="3201"/>
      <c r="D110" s="3201"/>
      <c r="E110" s="3201"/>
      <c r="F110" s="3201"/>
    </row>
    <row r="111" spans="1:6">
      <c r="A111" s="2887" t="s">
        <v>783</v>
      </c>
      <c r="B111" s="3201"/>
      <c r="C111" s="3201"/>
      <c r="D111" s="3201"/>
      <c r="E111" s="3201"/>
      <c r="F111" s="3201"/>
    </row>
    <row r="112" spans="1:6" ht="15.75" thickBot="1">
      <c r="A112" s="76" t="s">
        <v>118</v>
      </c>
      <c r="B112" s="84">
        <f>SUM(B107:B111)</f>
        <v>1156912.067</v>
      </c>
      <c r="C112" s="84">
        <f>SUM(C107:C111)</f>
        <v>938114.64599999995</v>
      </c>
      <c r="D112" s="84">
        <f>SUM(D107:D111)</f>
        <v>616920.95299999998</v>
      </c>
      <c r="E112" s="84">
        <f>SUM(E107:E111)</f>
        <v>596183.01700000011</v>
      </c>
      <c r="F112" s="84">
        <f>SUM(F107:F111)</f>
        <v>522448.71100000001</v>
      </c>
    </row>
    <row r="113" spans="1:6" ht="15.75" thickTop="1">
      <c r="A113" s="76"/>
      <c r="B113" s="1321" t="e">
        <f>+#REF!</f>
        <v>#REF!</v>
      </c>
      <c r="C113" s="102" t="e">
        <f>+#REF!</f>
        <v>#REF!</v>
      </c>
      <c r="D113" s="102" t="e">
        <f>+#REF!</f>
        <v>#REF!</v>
      </c>
      <c r="E113" s="102" t="e">
        <f>+#REF!</f>
        <v>#REF!</v>
      </c>
      <c r="F113" s="102" t="e">
        <f>+#REF!</f>
        <v>#REF!</v>
      </c>
    </row>
    <row r="114" spans="1:6">
      <c r="A114" s="76"/>
      <c r="B114" s="1322" t="e">
        <f>+B112-B113</f>
        <v>#REF!</v>
      </c>
      <c r="C114" s="1322" t="e">
        <f>+C112-C113</f>
        <v>#REF!</v>
      </c>
      <c r="D114" s="1322" t="e">
        <f>+D112-D113</f>
        <v>#REF!</v>
      </c>
      <c r="E114" s="1322" t="e">
        <f>+E112-E113</f>
        <v>#REF!</v>
      </c>
      <c r="F114" s="1322" t="e">
        <f>+F112-F113</f>
        <v>#REF!</v>
      </c>
    </row>
    <row r="115" spans="1:6">
      <c r="A115">
        <v>9</v>
      </c>
      <c r="B115" s="2089" t="s">
        <v>185</v>
      </c>
    </row>
    <row r="116" spans="1:6">
      <c r="A116" s="3863" t="s">
        <v>775</v>
      </c>
      <c r="B116" s="3865" t="s">
        <v>776</v>
      </c>
      <c r="C116" s="3865"/>
      <c r="D116" s="3865"/>
      <c r="E116" s="3865"/>
      <c r="F116" s="3865"/>
    </row>
    <row r="117" spans="1:6">
      <c r="A117" s="3864"/>
      <c r="B117" s="2917">
        <v>2012</v>
      </c>
      <c r="C117" s="2922">
        <v>2011</v>
      </c>
      <c r="D117" s="2922">
        <v>2010</v>
      </c>
      <c r="E117" s="2922">
        <v>2009</v>
      </c>
      <c r="F117" s="2922">
        <v>2008</v>
      </c>
    </row>
    <row r="118" spans="1:6">
      <c r="A118" s="2887" t="s">
        <v>777</v>
      </c>
      <c r="B118" s="3201"/>
      <c r="C118" s="3201"/>
      <c r="D118" s="3201"/>
      <c r="E118" s="3201"/>
      <c r="F118" s="3201"/>
    </row>
    <row r="119" spans="1:6">
      <c r="A119" s="2887" t="s">
        <v>778</v>
      </c>
      <c r="B119" s="3201"/>
      <c r="C119" s="3201"/>
      <c r="D119" s="3201"/>
      <c r="E119" s="3201"/>
      <c r="F119" s="3201"/>
    </row>
    <row r="120" spans="1:6">
      <c r="A120" s="2887" t="s">
        <v>779</v>
      </c>
      <c r="B120" s="3201"/>
      <c r="C120" s="3201"/>
      <c r="D120" s="3201"/>
      <c r="E120" s="3201"/>
      <c r="F120" s="3201"/>
    </row>
    <row r="121" spans="1:6">
      <c r="A121" s="2887" t="s">
        <v>782</v>
      </c>
      <c r="B121" s="3201"/>
      <c r="C121" s="3201"/>
      <c r="D121" s="3201"/>
      <c r="E121" s="3201"/>
      <c r="F121" s="3201"/>
    </row>
    <row r="122" spans="1:6">
      <c r="A122" s="2887" t="s">
        <v>783</v>
      </c>
      <c r="B122" s="3201"/>
      <c r="C122" s="3201"/>
      <c r="D122" s="3201"/>
      <c r="E122" s="3201"/>
      <c r="F122" s="3201"/>
    </row>
    <row r="123" spans="1:6" ht="15.75" thickBot="1">
      <c r="A123" s="76" t="s">
        <v>118</v>
      </c>
      <c r="B123" s="84">
        <f>SUM(B118:B122)</f>
        <v>0</v>
      </c>
      <c r="C123" s="84">
        <f>SUM(C118:C122)</f>
        <v>0</v>
      </c>
      <c r="D123" s="84">
        <f>SUM(D118:D122)</f>
        <v>0</v>
      </c>
      <c r="E123" s="84">
        <f>SUM(E118:E122)</f>
        <v>0</v>
      </c>
      <c r="F123" s="84">
        <f>SUM(F118:F122)</f>
        <v>0</v>
      </c>
    </row>
    <row r="124" spans="1:6" ht="15.75" thickTop="1">
      <c r="A124" s="76"/>
      <c r="B124" s="1321" t="e">
        <f>+#REF!</f>
        <v>#REF!</v>
      </c>
      <c r="C124" s="102" t="e">
        <f>+#REF!</f>
        <v>#REF!</v>
      </c>
      <c r="D124" s="102" t="e">
        <f>+#REF!</f>
        <v>#REF!</v>
      </c>
      <c r="E124" s="102" t="e">
        <f>+#REF!</f>
        <v>#REF!</v>
      </c>
      <c r="F124" s="102" t="e">
        <f>+#REF!</f>
        <v>#REF!</v>
      </c>
    </row>
    <row r="125" spans="1:6">
      <c r="A125" s="76"/>
      <c r="B125" s="1322" t="e">
        <f>+B123-B124</f>
        <v>#REF!</v>
      </c>
      <c r="C125" s="1322" t="e">
        <f>+C123-C124</f>
        <v>#REF!</v>
      </c>
      <c r="D125" s="1322" t="e">
        <f>+D123-D124</f>
        <v>#REF!</v>
      </c>
      <c r="E125" s="1322" t="e">
        <f>+E123-E124</f>
        <v>#REF!</v>
      </c>
      <c r="F125" s="1322" t="e">
        <f>+F123-F124</f>
        <v>#REF!</v>
      </c>
    </row>
    <row r="126" spans="1:6">
      <c r="A126">
        <v>10</v>
      </c>
      <c r="B126" s="2089" t="s">
        <v>186</v>
      </c>
    </row>
    <row r="127" spans="1:6">
      <c r="A127" s="3863" t="s">
        <v>775</v>
      </c>
      <c r="B127" s="3865" t="s">
        <v>776</v>
      </c>
      <c r="C127" s="3865"/>
      <c r="D127" s="3865"/>
      <c r="E127" s="3865"/>
      <c r="F127" s="3865"/>
    </row>
    <row r="128" spans="1:6">
      <c r="A128" s="3864"/>
      <c r="B128" s="2917">
        <v>2012</v>
      </c>
      <c r="C128" s="2922">
        <v>2011</v>
      </c>
      <c r="D128" s="2922">
        <v>2010</v>
      </c>
      <c r="E128" s="2922">
        <v>2009</v>
      </c>
      <c r="F128" s="2922">
        <v>2008</v>
      </c>
    </row>
    <row r="129" spans="1:6">
      <c r="A129" s="2887" t="s">
        <v>777</v>
      </c>
      <c r="B129" s="3201">
        <v>189228.60439344952</v>
      </c>
      <c r="C129" s="3201">
        <v>169851.06087000002</v>
      </c>
      <c r="D129" s="3201">
        <v>121626</v>
      </c>
      <c r="E129" s="3201">
        <v>73613</v>
      </c>
      <c r="F129" s="3201">
        <v>113630</v>
      </c>
    </row>
    <row r="130" spans="1:6">
      <c r="A130" s="2887" t="s">
        <v>778</v>
      </c>
      <c r="B130" s="3201">
        <v>437134.27351506799</v>
      </c>
      <c r="C130" s="3201">
        <v>433180.53217000002</v>
      </c>
      <c r="D130" s="3201">
        <v>359794</v>
      </c>
      <c r="E130" s="3201">
        <v>332887</v>
      </c>
      <c r="F130" s="3201">
        <v>138113</v>
      </c>
    </row>
    <row r="131" spans="1:6">
      <c r="A131" s="2887" t="s">
        <v>779</v>
      </c>
      <c r="B131" s="3201">
        <v>349576.82871982391</v>
      </c>
      <c r="C131" s="3201">
        <v>366292.25143</v>
      </c>
      <c r="D131" s="3201">
        <v>311188</v>
      </c>
      <c r="E131" s="3201">
        <v>248048</v>
      </c>
      <c r="F131" s="3201">
        <v>189689</v>
      </c>
    </row>
    <row r="132" spans="1:6">
      <c r="A132" s="2887" t="s">
        <v>782</v>
      </c>
      <c r="B132" s="3201">
        <v>735263.79816162505</v>
      </c>
      <c r="C132" s="3201">
        <v>725020.10063999996</v>
      </c>
      <c r="D132" s="3201">
        <v>551095</v>
      </c>
      <c r="E132" s="3201">
        <v>476233</v>
      </c>
      <c r="F132" s="3201">
        <v>483277</v>
      </c>
    </row>
    <row r="133" spans="1:6">
      <c r="A133" s="2887" t="s">
        <v>783</v>
      </c>
      <c r="B133" s="3201"/>
      <c r="C133" s="3201"/>
      <c r="D133" s="3201"/>
      <c r="E133" s="3201"/>
      <c r="F133" s="3201"/>
    </row>
    <row r="134" spans="1:6" ht="15.75" thickBot="1">
      <c r="A134" s="76" t="s">
        <v>118</v>
      </c>
      <c r="B134" s="84">
        <f>SUM(B129:B133)</f>
        <v>1711203.5047899666</v>
      </c>
      <c r="C134" s="84">
        <f>SUM(C129:C133)</f>
        <v>1694343.9451100002</v>
      </c>
      <c r="D134" s="84">
        <f>SUM(D129:D133)</f>
        <v>1343703</v>
      </c>
      <c r="E134" s="84">
        <f>SUM(E129:E133)</f>
        <v>1130781</v>
      </c>
      <c r="F134" s="84">
        <f>SUM(F129:F133)</f>
        <v>924709</v>
      </c>
    </row>
    <row r="135" spans="1:6" ht="15.75" thickTop="1">
      <c r="A135" s="76"/>
      <c r="B135" s="1321" t="e">
        <f>+#REF!</f>
        <v>#REF!</v>
      </c>
      <c r="C135" s="102" t="e">
        <f>+#REF!</f>
        <v>#REF!</v>
      </c>
      <c r="D135" s="102" t="e">
        <f>+#REF!</f>
        <v>#REF!</v>
      </c>
      <c r="E135" s="102" t="e">
        <f>+#REF!</f>
        <v>#REF!</v>
      </c>
      <c r="F135" s="102" t="e">
        <f>+#REF!</f>
        <v>#REF!</v>
      </c>
    </row>
    <row r="136" spans="1:6">
      <c r="A136" s="76"/>
      <c r="B136" s="1322" t="e">
        <f>+B134-B135</f>
        <v>#REF!</v>
      </c>
      <c r="C136" s="1322" t="e">
        <f>+C134-C135</f>
        <v>#REF!</v>
      </c>
      <c r="D136" s="1322" t="e">
        <f>+D134-D135</f>
        <v>#REF!</v>
      </c>
      <c r="E136" s="1322" t="e">
        <f>+E134-E135</f>
        <v>#REF!</v>
      </c>
      <c r="F136" s="1322" t="e">
        <f>+F134-F135</f>
        <v>#REF!</v>
      </c>
    </row>
    <row r="137" spans="1:6">
      <c r="A137">
        <v>11</v>
      </c>
      <c r="B137" s="2089" t="s">
        <v>187</v>
      </c>
    </row>
    <row r="138" spans="1:6">
      <c r="A138" s="3863" t="s">
        <v>775</v>
      </c>
      <c r="B138" s="3865" t="s">
        <v>776</v>
      </c>
      <c r="C138" s="3865"/>
      <c r="D138" s="3865"/>
      <c r="E138" s="3865"/>
      <c r="F138" s="3865"/>
    </row>
    <row r="139" spans="1:6">
      <c r="A139" s="3864"/>
      <c r="B139" s="2917">
        <v>2012</v>
      </c>
      <c r="C139" s="2922">
        <v>2011</v>
      </c>
      <c r="D139" s="2922">
        <v>2010</v>
      </c>
      <c r="E139" s="2922">
        <v>2009</v>
      </c>
      <c r="F139" s="2922">
        <v>2008</v>
      </c>
    </row>
    <row r="140" spans="1:6">
      <c r="A140" s="2887" t="s">
        <v>777</v>
      </c>
      <c r="B140" s="3201">
        <v>2152065.6727197948</v>
      </c>
      <c r="C140" s="3201">
        <v>1135642.1044199923</v>
      </c>
      <c r="D140" s="3201">
        <v>1626585.6364999998</v>
      </c>
      <c r="E140" s="3201">
        <v>1595825.4856399801</v>
      </c>
      <c r="F140" s="3201"/>
    </row>
    <row r="141" spans="1:6">
      <c r="A141" s="2887" t="s">
        <v>778</v>
      </c>
      <c r="B141" s="3201">
        <v>1808224.1240399207</v>
      </c>
      <c r="C141" s="3201">
        <v>1710486</v>
      </c>
      <c r="D141" s="3201">
        <v>1498348</v>
      </c>
      <c r="E141" s="3201">
        <v>1377283</v>
      </c>
      <c r="F141" s="3201"/>
    </row>
    <row r="142" spans="1:6">
      <c r="A142" s="2887" t="s">
        <v>779</v>
      </c>
      <c r="B142" s="3201">
        <v>1999837.700469821</v>
      </c>
      <c r="C142" s="3201">
        <v>2410282.8955800077</v>
      </c>
      <c r="D142" s="3201">
        <v>1347321.3635</v>
      </c>
      <c r="E142" s="3201">
        <v>1299817.5143600197</v>
      </c>
      <c r="F142" s="3201"/>
    </row>
    <row r="143" spans="1:6">
      <c r="A143" s="2887" t="s">
        <v>782</v>
      </c>
      <c r="B143" s="3201"/>
      <c r="C143" s="3201"/>
      <c r="D143" s="3201"/>
      <c r="E143" s="3201"/>
      <c r="F143" s="3201"/>
    </row>
    <row r="144" spans="1:6">
      <c r="A144" s="2887" t="s">
        <v>783</v>
      </c>
      <c r="B144" s="3201"/>
      <c r="C144" s="3201"/>
      <c r="D144" s="3201"/>
      <c r="E144" s="3201"/>
      <c r="F144" s="3201"/>
    </row>
    <row r="145" spans="1:6" ht="15.75" thickBot="1">
      <c r="A145" s="76" t="s">
        <v>118</v>
      </c>
      <c r="B145" s="84">
        <f>SUM(B140:B144)</f>
        <v>5960127.4972295361</v>
      </c>
      <c r="C145" s="84">
        <f>SUM(C140:C144)</f>
        <v>5256411</v>
      </c>
      <c r="D145" s="84">
        <f>SUM(D140:D144)</f>
        <v>4472255</v>
      </c>
      <c r="E145" s="84">
        <f>SUM(E140:E144)</f>
        <v>4272926</v>
      </c>
      <c r="F145" s="84">
        <f>SUM(F140:F144)</f>
        <v>0</v>
      </c>
    </row>
    <row r="146" spans="1:6" ht="15.75" thickTop="1">
      <c r="A146" s="76"/>
      <c r="B146" s="1321" t="e">
        <f>+#REF!</f>
        <v>#REF!</v>
      </c>
      <c r="C146" s="102" t="e">
        <f>+#REF!</f>
        <v>#REF!</v>
      </c>
      <c r="D146" s="102" t="e">
        <f>+#REF!</f>
        <v>#REF!</v>
      </c>
      <c r="E146" s="102" t="e">
        <f>+#REF!</f>
        <v>#REF!</v>
      </c>
      <c r="F146" s="102" t="e">
        <f>+#REF!</f>
        <v>#REF!</v>
      </c>
    </row>
    <row r="147" spans="1:6">
      <c r="A147" s="76"/>
      <c r="B147" s="1322" t="e">
        <f>+B145-B146</f>
        <v>#REF!</v>
      </c>
      <c r="C147" s="1322" t="e">
        <f>+C145-C146</f>
        <v>#REF!</v>
      </c>
      <c r="D147" s="1322" t="e">
        <f>+D145-D146</f>
        <v>#REF!</v>
      </c>
      <c r="E147" s="1322" t="e">
        <f>+E145-E146</f>
        <v>#REF!</v>
      </c>
      <c r="F147" s="1322" t="e">
        <f>+F145-F146</f>
        <v>#REF!</v>
      </c>
    </row>
    <row r="148" spans="1:6">
      <c r="A148">
        <v>12</v>
      </c>
      <c r="B148" s="2089" t="s">
        <v>681</v>
      </c>
    </row>
    <row r="149" spans="1:6">
      <c r="A149" s="3863" t="s">
        <v>775</v>
      </c>
      <c r="B149" s="3865" t="s">
        <v>776</v>
      </c>
      <c r="C149" s="3865"/>
      <c r="D149" s="3865"/>
      <c r="E149" s="3865"/>
      <c r="F149" s="3865"/>
    </row>
    <row r="150" spans="1:6">
      <c r="A150" s="3864"/>
      <c r="B150" s="2917">
        <v>2012</v>
      </c>
      <c r="C150" s="2922">
        <v>2011</v>
      </c>
      <c r="D150" s="2922">
        <v>2010</v>
      </c>
      <c r="E150" s="2922">
        <v>2009</v>
      </c>
      <c r="F150" s="2922">
        <v>2008</v>
      </c>
    </row>
    <row r="151" spans="1:6">
      <c r="A151" s="2887" t="s">
        <v>777</v>
      </c>
      <c r="B151" s="3201"/>
      <c r="C151" s="3201"/>
      <c r="D151" s="3201"/>
      <c r="E151" s="3201"/>
      <c r="F151" s="3201"/>
    </row>
    <row r="152" spans="1:6">
      <c r="A152" s="2887" t="s">
        <v>778</v>
      </c>
      <c r="B152" s="3201"/>
      <c r="C152" s="3201"/>
      <c r="D152" s="3201"/>
      <c r="E152" s="3201"/>
      <c r="F152" s="3201"/>
    </row>
    <row r="153" spans="1:6">
      <c r="A153" s="2887" t="s">
        <v>779</v>
      </c>
      <c r="B153" s="3201"/>
      <c r="C153" s="3201"/>
      <c r="D153" s="3201"/>
      <c r="E153" s="3201"/>
      <c r="F153" s="3201"/>
    </row>
    <row r="154" spans="1:6">
      <c r="A154" s="2887" t="s">
        <v>782</v>
      </c>
      <c r="B154" s="3201"/>
      <c r="C154" s="3201"/>
      <c r="D154" s="3201"/>
      <c r="E154" s="3201"/>
      <c r="F154" s="3201"/>
    </row>
    <row r="155" spans="1:6">
      <c r="A155" s="2887" t="s">
        <v>783</v>
      </c>
      <c r="B155" s="3201"/>
      <c r="C155" s="3201"/>
      <c r="D155" s="3201"/>
      <c r="E155" s="3201"/>
      <c r="F155" s="3201"/>
    </row>
    <row r="156" spans="1:6" ht="15.75" thickBot="1">
      <c r="A156" s="76" t="s">
        <v>118</v>
      </c>
      <c r="B156" s="84">
        <f>SUM(B151:B155)</f>
        <v>0</v>
      </c>
      <c r="C156" s="84">
        <f>SUM(C151:C155)</f>
        <v>0</v>
      </c>
      <c r="D156" s="84">
        <f>SUM(D151:D155)</f>
        <v>0</v>
      </c>
      <c r="E156" s="84">
        <f>SUM(E151:E155)</f>
        <v>0</v>
      </c>
      <c r="F156" s="84">
        <f>SUM(F151:F155)</f>
        <v>0</v>
      </c>
    </row>
    <row r="157" spans="1:6" ht="15.75" thickTop="1">
      <c r="A157" s="76"/>
      <c r="B157" s="1321">
        <v>0</v>
      </c>
      <c r="C157" s="102"/>
      <c r="D157" s="102"/>
      <c r="E157" s="102"/>
      <c r="F157" s="102">
        <v>0</v>
      </c>
    </row>
    <row r="158" spans="1:6">
      <c r="A158" s="76"/>
      <c r="B158" s="1322">
        <v>0</v>
      </c>
      <c r="C158" s="1322">
        <f>+C156-C157</f>
        <v>0</v>
      </c>
      <c r="D158" s="1322">
        <f>+D156-D157</f>
        <v>0</v>
      </c>
      <c r="E158" s="1322">
        <f>+E156-E157</f>
        <v>0</v>
      </c>
      <c r="F158" s="1322">
        <f>+F156-F157</f>
        <v>0</v>
      </c>
    </row>
    <row r="159" spans="1:6">
      <c r="A159">
        <v>13</v>
      </c>
      <c r="B159" s="2089" t="s">
        <v>189</v>
      </c>
    </row>
    <row r="160" spans="1:6">
      <c r="A160" s="3863" t="s">
        <v>775</v>
      </c>
      <c r="B160" s="3865" t="s">
        <v>776</v>
      </c>
      <c r="C160" s="3865"/>
      <c r="D160" s="3865"/>
      <c r="E160" s="3865"/>
      <c r="F160" s="3865"/>
    </row>
    <row r="161" spans="1:6">
      <c r="A161" s="3864"/>
      <c r="B161" s="2917">
        <v>2012</v>
      </c>
      <c r="C161" s="2922">
        <v>2011</v>
      </c>
      <c r="D161" s="2922">
        <v>2010</v>
      </c>
      <c r="E161" s="2922">
        <v>2009</v>
      </c>
      <c r="F161" s="2922">
        <v>2008</v>
      </c>
    </row>
    <row r="162" spans="1:6">
      <c r="A162" s="2887" t="s">
        <v>777</v>
      </c>
      <c r="B162" s="3201">
        <v>0</v>
      </c>
      <c r="C162" s="3201">
        <v>0</v>
      </c>
      <c r="D162" s="3201"/>
      <c r="E162" s="3201"/>
      <c r="F162" s="3201"/>
    </row>
    <row r="163" spans="1:6">
      <c r="A163" s="2887" t="s">
        <v>778</v>
      </c>
      <c r="B163" s="3201">
        <v>218626.65461999996</v>
      </c>
      <c r="C163" s="3201">
        <v>54691.539549999994</v>
      </c>
      <c r="D163" s="3201"/>
      <c r="E163" s="3201"/>
      <c r="F163" s="3201"/>
    </row>
    <row r="164" spans="1:6">
      <c r="A164" s="2887" t="s">
        <v>779</v>
      </c>
      <c r="B164" s="3201">
        <v>1095090.2658499996</v>
      </c>
      <c r="C164" s="3201">
        <v>310043.54693999997</v>
      </c>
      <c r="D164" s="3201"/>
      <c r="E164" s="3201"/>
      <c r="F164" s="3201"/>
    </row>
    <row r="165" spans="1:6">
      <c r="A165" s="2887" t="s">
        <v>782</v>
      </c>
      <c r="B165" s="3201">
        <v>380.22106000000002</v>
      </c>
      <c r="C165" s="3201">
        <v>0</v>
      </c>
      <c r="D165" s="3201"/>
      <c r="E165" s="3201"/>
      <c r="F165" s="3201"/>
    </row>
    <row r="166" spans="1:6">
      <c r="A166" s="2887" t="s">
        <v>783</v>
      </c>
      <c r="B166" s="3201">
        <v>0</v>
      </c>
      <c r="C166" s="3201">
        <v>0</v>
      </c>
      <c r="D166" s="3201"/>
      <c r="E166" s="3201"/>
      <c r="F166" s="3201"/>
    </row>
    <row r="167" spans="1:6" ht="15.75" thickBot="1">
      <c r="A167" s="76" t="s">
        <v>118</v>
      </c>
      <c r="B167" s="84">
        <f>SUM(B162:B166)</f>
        <v>1314097.1415299994</v>
      </c>
      <c r="C167" s="84">
        <f>SUM(C162:C166)</f>
        <v>364735.08648999996</v>
      </c>
      <c r="D167" s="84">
        <f>SUM(D162:D166)</f>
        <v>0</v>
      </c>
      <c r="E167" s="84">
        <f>SUM(E162:E166)</f>
        <v>0</v>
      </c>
      <c r="F167" s="84">
        <f>SUM(F162:F166)</f>
        <v>0</v>
      </c>
    </row>
    <row r="168" spans="1:6" ht="15.75" thickTop="1">
      <c r="A168" s="76"/>
      <c r="B168" s="1321" t="e">
        <f>+#REF!</f>
        <v>#REF!</v>
      </c>
      <c r="C168" s="102"/>
      <c r="D168" s="102"/>
      <c r="E168" s="102"/>
      <c r="F168" s="102" t="e">
        <f>+#REF!</f>
        <v>#REF!</v>
      </c>
    </row>
    <row r="169" spans="1:6">
      <c r="A169" s="76"/>
      <c r="B169" s="1322" t="e">
        <f>+B167-B168</f>
        <v>#REF!</v>
      </c>
      <c r="C169" s="1322">
        <f>+C167-C168</f>
        <v>364735.08648999996</v>
      </c>
      <c r="D169" s="1322">
        <f>+D167-D168</f>
        <v>0</v>
      </c>
      <c r="E169" s="1322">
        <f>+E167-E168</f>
        <v>0</v>
      </c>
      <c r="F169" s="1322" t="e">
        <f>+F167-F168</f>
        <v>#REF!</v>
      </c>
    </row>
    <row r="170" spans="1:6">
      <c r="A170">
        <v>14</v>
      </c>
      <c r="B170" s="2089" t="s">
        <v>190</v>
      </c>
    </row>
    <row r="171" spans="1:6">
      <c r="A171" s="3863" t="s">
        <v>775</v>
      </c>
      <c r="B171" s="3865" t="s">
        <v>776</v>
      </c>
      <c r="C171" s="3865"/>
      <c r="D171" s="3865"/>
      <c r="E171" s="3865"/>
      <c r="F171" s="3865"/>
    </row>
    <row r="172" spans="1:6">
      <c r="A172" s="3864"/>
      <c r="B172" s="2917">
        <v>2012</v>
      </c>
      <c r="C172" s="2922">
        <v>2011</v>
      </c>
      <c r="D172" s="2922">
        <v>2010</v>
      </c>
      <c r="E172" s="2922">
        <v>2009</v>
      </c>
      <c r="F172" s="2922">
        <v>2008</v>
      </c>
    </row>
    <row r="173" spans="1:6">
      <c r="A173" s="2887" t="s">
        <v>777</v>
      </c>
      <c r="B173" s="3205">
        <v>280016.39118079742</v>
      </c>
      <c r="C173" s="3205">
        <v>211697.00666999997</v>
      </c>
      <c r="D173" s="3205">
        <v>33258.19</v>
      </c>
      <c r="E173" s="3205">
        <v>27111</v>
      </c>
      <c r="F173" s="3205">
        <v>91630.281547766528</v>
      </c>
    </row>
    <row r="174" spans="1:6">
      <c r="A174" s="2887" t="s">
        <v>778</v>
      </c>
      <c r="B174" s="3205">
        <v>269572.52429999993</v>
      </c>
      <c r="C174" s="3205">
        <v>214728.15588000001</v>
      </c>
      <c r="D174" s="3205">
        <v>14253.51</v>
      </c>
      <c r="E174" s="3205">
        <v>54261.8</v>
      </c>
      <c r="F174" s="3205">
        <v>92942.274853172843</v>
      </c>
    </row>
    <row r="175" spans="1:6">
      <c r="A175" s="2887" t="s">
        <v>779</v>
      </c>
      <c r="B175" s="3205">
        <v>16867.657249999887</v>
      </c>
      <c r="C175" s="3205">
        <v>28977.075370000002</v>
      </c>
      <c r="D175" s="3205">
        <v>42760.53</v>
      </c>
      <c r="E175" s="3205">
        <v>35290.17</v>
      </c>
      <c r="F175" s="3205">
        <v>12542.348219041787</v>
      </c>
    </row>
    <row r="176" spans="1:6">
      <c r="A176" s="2887" t="s">
        <v>782</v>
      </c>
      <c r="B176" s="3205"/>
      <c r="C176" s="3205"/>
      <c r="D176" s="3205"/>
      <c r="E176" s="3205"/>
      <c r="F176" s="3205"/>
    </row>
    <row r="177" spans="1:6">
      <c r="A177" s="2887" t="s">
        <v>783</v>
      </c>
      <c r="B177" s="3205">
        <v>513182.59648329916</v>
      </c>
      <c r="C177" s="3205">
        <v>224569.78508</v>
      </c>
      <c r="D177" s="3205">
        <v>384844.77</v>
      </c>
      <c r="E177" s="3205">
        <v>154646.13</v>
      </c>
      <c r="F177" s="3205">
        <v>97202.095380018829</v>
      </c>
    </row>
    <row r="178" spans="1:6" ht="15.75" thickBot="1">
      <c r="A178" s="76" t="s">
        <v>118</v>
      </c>
      <c r="B178" s="84">
        <f>SUM(B173:B177)</f>
        <v>1079639.1692140964</v>
      </c>
      <c r="C178" s="84">
        <f>SUM(C173:C177)</f>
        <v>679972.02300000004</v>
      </c>
      <c r="D178" s="84">
        <f>SUM(D173:D177)</f>
        <v>475117</v>
      </c>
      <c r="E178" s="84">
        <f>SUM(E173:E177)</f>
        <v>271309.09999999998</v>
      </c>
      <c r="F178" s="84">
        <f>SUM(F173:F177)</f>
        <v>294317</v>
      </c>
    </row>
    <row r="179" spans="1:6" ht="15.75" thickTop="1">
      <c r="A179" s="76"/>
      <c r="B179" s="1321" t="e">
        <f>+#REF!</f>
        <v>#REF!</v>
      </c>
      <c r="C179" s="102" t="e">
        <f>+#REF!</f>
        <v>#REF!</v>
      </c>
      <c r="D179" s="102" t="e">
        <f>+#REF!</f>
        <v>#REF!</v>
      </c>
      <c r="E179" s="102" t="e">
        <f>+#REF!</f>
        <v>#REF!</v>
      </c>
      <c r="F179" s="102" t="e">
        <f>+#REF!</f>
        <v>#REF!</v>
      </c>
    </row>
    <row r="180" spans="1:6">
      <c r="A180" s="76"/>
      <c r="B180" s="1322" t="e">
        <f>+B178-B179</f>
        <v>#REF!</v>
      </c>
      <c r="C180" s="1322" t="e">
        <f>+C178-C179</f>
        <v>#REF!</v>
      </c>
      <c r="D180" s="1322" t="e">
        <f>+D178-D179</f>
        <v>#REF!</v>
      </c>
      <c r="E180" s="1322" t="e">
        <f>+E178-E179</f>
        <v>#REF!</v>
      </c>
      <c r="F180" s="1322" t="e">
        <f>+F178-F179</f>
        <v>#REF!</v>
      </c>
    </row>
    <row r="181" spans="1:6">
      <c r="A181">
        <v>15</v>
      </c>
      <c r="B181" s="2089" t="s">
        <v>192</v>
      </c>
    </row>
    <row r="182" spans="1:6">
      <c r="A182" s="3863" t="s">
        <v>775</v>
      </c>
      <c r="B182" s="3865" t="s">
        <v>776</v>
      </c>
      <c r="C182" s="3865"/>
      <c r="D182" s="3865"/>
      <c r="E182" s="3865"/>
      <c r="F182" s="3865"/>
    </row>
    <row r="183" spans="1:6">
      <c r="A183" s="3864"/>
      <c r="B183" s="2917">
        <v>2012</v>
      </c>
      <c r="C183" s="2922">
        <v>2011</v>
      </c>
      <c r="D183" s="2922">
        <v>2010</v>
      </c>
      <c r="E183" s="2922">
        <v>2009</v>
      </c>
      <c r="F183" s="2922">
        <v>2008</v>
      </c>
    </row>
    <row r="184" spans="1:6">
      <c r="A184" s="2887" t="s">
        <v>777</v>
      </c>
      <c r="B184" s="3201">
        <v>0</v>
      </c>
      <c r="C184" s="3201">
        <v>0</v>
      </c>
      <c r="D184" s="3201">
        <v>0</v>
      </c>
      <c r="E184" s="3201">
        <v>0</v>
      </c>
      <c r="F184" s="3201">
        <v>0</v>
      </c>
    </row>
    <row r="185" spans="1:6">
      <c r="A185" s="2887" t="s">
        <v>778</v>
      </c>
      <c r="B185" s="3201">
        <v>1497</v>
      </c>
      <c r="C185" s="3201">
        <v>1680</v>
      </c>
      <c r="D185" s="3201">
        <v>0</v>
      </c>
      <c r="E185" s="3201">
        <v>0</v>
      </c>
      <c r="F185" s="3201">
        <v>0</v>
      </c>
    </row>
    <row r="186" spans="1:6">
      <c r="A186" s="2887" t="s">
        <v>779</v>
      </c>
      <c r="B186" s="3201">
        <v>477412</v>
      </c>
      <c r="C186" s="3201">
        <v>402062</v>
      </c>
      <c r="D186" s="3201">
        <v>41272</v>
      </c>
      <c r="E186" s="3201">
        <v>0</v>
      </c>
      <c r="F186" s="3201">
        <v>0</v>
      </c>
    </row>
    <row r="187" spans="1:6">
      <c r="A187" s="2887" t="s">
        <v>782</v>
      </c>
      <c r="B187" s="3201">
        <v>0</v>
      </c>
      <c r="C187" s="3201">
        <v>0</v>
      </c>
      <c r="D187" s="3201">
        <v>0</v>
      </c>
      <c r="E187" s="3201">
        <v>0</v>
      </c>
      <c r="F187" s="3201">
        <v>0</v>
      </c>
    </row>
    <row r="188" spans="1:6">
      <c r="A188" s="2887" t="s">
        <v>783</v>
      </c>
      <c r="B188" s="3201">
        <v>2465578</v>
      </c>
      <c r="C188" s="3201">
        <v>2011046</v>
      </c>
      <c r="D188" s="3201">
        <v>891880</v>
      </c>
      <c r="E188" s="3201">
        <v>0</v>
      </c>
      <c r="F188" s="3201">
        <v>0</v>
      </c>
    </row>
    <row r="189" spans="1:6" ht="15.75" thickBot="1">
      <c r="A189" s="76" t="s">
        <v>118</v>
      </c>
      <c r="B189" s="84">
        <f>SUM(B184:B188)</f>
        <v>2944487</v>
      </c>
      <c r="C189" s="84">
        <f>SUM(C184:C188)</f>
        <v>2414788</v>
      </c>
      <c r="D189" s="84">
        <f>SUM(D184:D188)</f>
        <v>933152</v>
      </c>
      <c r="E189" s="84">
        <f>SUM(E184:E188)</f>
        <v>0</v>
      </c>
      <c r="F189" s="84">
        <f>SUM(F184:F188)</f>
        <v>0</v>
      </c>
    </row>
    <row r="190" spans="1:6" ht="15.75" thickTop="1">
      <c r="A190" s="76"/>
      <c r="B190" s="1321" t="e">
        <f>+#REF!</f>
        <v>#REF!</v>
      </c>
      <c r="C190" s="102" t="e">
        <f>+#REF!</f>
        <v>#REF!</v>
      </c>
      <c r="D190" s="102">
        <v>0</v>
      </c>
      <c r="E190" s="102" t="e">
        <f>+#REF!</f>
        <v>#REF!</v>
      </c>
      <c r="F190" s="102" t="e">
        <f>+#REF!</f>
        <v>#REF!</v>
      </c>
    </row>
    <row r="191" spans="1:6">
      <c r="A191" s="76"/>
      <c r="B191" s="1322" t="e">
        <f>+B189-B190</f>
        <v>#REF!</v>
      </c>
      <c r="C191" s="1322" t="e">
        <f>+C189-C190</f>
        <v>#REF!</v>
      </c>
      <c r="D191" s="1322">
        <f>+D189-D190</f>
        <v>933152</v>
      </c>
      <c r="E191" s="1322" t="e">
        <f>+E189-E190</f>
        <v>#REF!</v>
      </c>
      <c r="F191" s="1322" t="e">
        <f>+F189-F190</f>
        <v>#REF!</v>
      </c>
    </row>
    <row r="192" spans="1:6">
      <c r="A192">
        <v>16</v>
      </c>
      <c r="B192" s="2089" t="s">
        <v>193</v>
      </c>
    </row>
    <row r="193" spans="1:6">
      <c r="A193" s="3863" t="s">
        <v>775</v>
      </c>
      <c r="B193" s="3865" t="s">
        <v>776</v>
      </c>
      <c r="C193" s="3865"/>
      <c r="D193" s="3865"/>
      <c r="E193" s="3865"/>
      <c r="F193" s="3865"/>
    </row>
    <row r="194" spans="1:6">
      <c r="A194" s="3864"/>
      <c r="B194" s="2917">
        <v>2012</v>
      </c>
      <c r="C194" s="2922">
        <v>2011</v>
      </c>
      <c r="D194" s="2922">
        <v>2010</v>
      </c>
      <c r="E194" s="2922">
        <v>2009</v>
      </c>
      <c r="F194" s="2922">
        <v>2008</v>
      </c>
    </row>
    <row r="195" spans="1:6">
      <c r="A195" s="2887" t="s">
        <v>777</v>
      </c>
      <c r="B195" s="3201">
        <v>4580472.1721453872</v>
      </c>
      <c r="C195" s="3201">
        <v>4755551.0983147444</v>
      </c>
      <c r="D195" s="3201">
        <v>3787826.7866790453</v>
      </c>
      <c r="E195" s="3201">
        <v>3448053.5410113921</v>
      </c>
      <c r="F195" s="3201">
        <v>3508569.7940552486</v>
      </c>
    </row>
    <row r="196" spans="1:6">
      <c r="A196" s="2887" t="s">
        <v>778</v>
      </c>
      <c r="B196" s="3201">
        <v>4886706.4824776128</v>
      </c>
      <c r="C196" s="3201">
        <v>4188092.9325427101</v>
      </c>
      <c r="D196" s="3201">
        <v>3830537.8362483899</v>
      </c>
      <c r="E196" s="3201">
        <v>3325310.5669899099</v>
      </c>
      <c r="F196" s="3201">
        <v>3464322.78647466</v>
      </c>
    </row>
    <row r="197" spans="1:6">
      <c r="A197" s="2887" t="s">
        <v>779</v>
      </c>
      <c r="B197" s="3201">
        <v>2027568.39216849</v>
      </c>
      <c r="C197" s="3201">
        <v>1384143.0840482952</v>
      </c>
      <c r="D197" s="3201">
        <v>904353.01522026176</v>
      </c>
      <c r="E197" s="3201">
        <v>1127714.0570938285</v>
      </c>
      <c r="F197" s="3201">
        <v>1117818.5911058935</v>
      </c>
    </row>
    <row r="198" spans="1:6">
      <c r="A198" s="2887" t="s">
        <v>782</v>
      </c>
      <c r="B198" s="3201">
        <v>160259.96508324723</v>
      </c>
      <c r="C198" s="3201">
        <v>53797.915205661397</v>
      </c>
      <c r="D198" s="3201">
        <v>79.202153577923767</v>
      </c>
      <c r="E198" s="3201">
        <v>0</v>
      </c>
      <c r="F198" s="3201">
        <v>0</v>
      </c>
    </row>
    <row r="199" spans="1:6">
      <c r="A199" s="2887" t="s">
        <v>783</v>
      </c>
      <c r="B199" s="3201">
        <v>1148483.6777272928</v>
      </c>
      <c r="C199" s="3201">
        <v>1240533.8770978467</v>
      </c>
      <c r="D199" s="3201">
        <v>743840.91151504626</v>
      </c>
      <c r="E199" s="3201">
        <v>863460.85103711963</v>
      </c>
      <c r="F199" s="3201">
        <v>1050133.8791308284</v>
      </c>
    </row>
    <row r="200" spans="1:6" ht="15.75" thickBot="1">
      <c r="A200" s="76" t="s">
        <v>118</v>
      </c>
      <c r="B200" s="84">
        <f>SUM(B195:B199)</f>
        <v>12803490.68960203</v>
      </c>
      <c r="C200" s="84">
        <f>SUM(C195:C199)</f>
        <v>11622118.907209259</v>
      </c>
      <c r="D200" s="84">
        <f>SUM(D195:D199)</f>
        <v>9266637.7518163212</v>
      </c>
      <c r="E200" s="84">
        <f>SUM(E195:E199)</f>
        <v>8764539.0161322504</v>
      </c>
      <c r="F200" s="84">
        <f>SUM(F195:F199)</f>
        <v>9140845.0507666301</v>
      </c>
    </row>
    <row r="201" spans="1:6" ht="15.75" thickTop="1">
      <c r="A201" s="76"/>
      <c r="B201" s="1321" t="e">
        <f>+#REF!</f>
        <v>#REF!</v>
      </c>
      <c r="C201" s="102" t="e">
        <f>+#REF!</f>
        <v>#REF!</v>
      </c>
      <c r="D201" s="102" t="e">
        <f>+#REF!</f>
        <v>#REF!</v>
      </c>
      <c r="E201" s="102" t="e">
        <f>+#REF!</f>
        <v>#REF!</v>
      </c>
      <c r="F201" s="102" t="e">
        <f>+#REF!</f>
        <v>#REF!</v>
      </c>
    </row>
    <row r="202" spans="1:6">
      <c r="A202" s="76"/>
      <c r="B202" s="1322" t="e">
        <f>+B200-B201</f>
        <v>#REF!</v>
      </c>
      <c r="C202" s="1322" t="e">
        <f>+C200-C201</f>
        <v>#REF!</v>
      </c>
      <c r="D202" s="1322" t="e">
        <f>+D200-D201</f>
        <v>#REF!</v>
      </c>
      <c r="E202" s="1322" t="e">
        <f>+E200-E201</f>
        <v>#REF!</v>
      </c>
      <c r="F202" s="1322" t="e">
        <f>+F200-F201</f>
        <v>#REF!</v>
      </c>
    </row>
    <row r="203" spans="1:6">
      <c r="A203">
        <v>17</v>
      </c>
      <c r="B203" s="2089" t="s">
        <v>194</v>
      </c>
    </row>
    <row r="204" spans="1:6">
      <c r="A204" s="3863" t="s">
        <v>775</v>
      </c>
      <c r="B204" s="3865" t="s">
        <v>776</v>
      </c>
      <c r="C204" s="3865"/>
      <c r="D204" s="3865"/>
      <c r="E204" s="3865"/>
      <c r="F204" s="3865"/>
    </row>
    <row r="205" spans="1:6">
      <c r="A205" s="3864"/>
      <c r="B205" s="2917">
        <v>2012</v>
      </c>
      <c r="C205" s="2922">
        <v>2011</v>
      </c>
      <c r="D205" s="2922">
        <v>2010</v>
      </c>
      <c r="E205" s="2922">
        <v>2009</v>
      </c>
      <c r="F205" s="2922">
        <v>2008</v>
      </c>
    </row>
    <row r="206" spans="1:6">
      <c r="A206" s="2887" t="s">
        <v>777</v>
      </c>
      <c r="B206" s="3201">
        <v>56310</v>
      </c>
      <c r="C206" s="3201">
        <v>45119</v>
      </c>
      <c r="D206" s="3201">
        <v>176186</v>
      </c>
      <c r="E206" s="3201">
        <v>138307</v>
      </c>
      <c r="F206" s="3201">
        <v>162309</v>
      </c>
    </row>
    <row r="207" spans="1:6">
      <c r="A207" s="2887" t="s">
        <v>778</v>
      </c>
      <c r="B207" s="3201">
        <v>316</v>
      </c>
      <c r="C207" s="3201">
        <v>79.819999999999993</v>
      </c>
      <c r="D207" s="3201"/>
      <c r="E207" s="3201"/>
      <c r="F207" s="3201"/>
    </row>
    <row r="208" spans="1:6">
      <c r="A208" s="2887" t="s">
        <v>779</v>
      </c>
      <c r="B208" s="3201">
        <v>49699.77</v>
      </c>
      <c r="C208" s="3201">
        <v>87579.9</v>
      </c>
      <c r="D208" s="3201">
        <v>58729</v>
      </c>
      <c r="E208" s="3201">
        <v>46102</v>
      </c>
      <c r="F208" s="3201">
        <v>54103</v>
      </c>
    </row>
    <row r="209" spans="1:6">
      <c r="A209" s="2887" t="s">
        <v>782</v>
      </c>
      <c r="B209" s="3201">
        <v>11</v>
      </c>
      <c r="C209" s="3201"/>
      <c r="D209" s="3201"/>
      <c r="E209" s="3201"/>
      <c r="F209" s="3201"/>
    </row>
    <row r="210" spans="1:6">
      <c r="A210" s="2887" t="s">
        <v>783</v>
      </c>
      <c r="B210" s="3201">
        <v>190688</v>
      </c>
      <c r="C210" s="3201">
        <v>99595</v>
      </c>
      <c r="D210" s="3201"/>
      <c r="E210" s="3201"/>
      <c r="F210" s="3201"/>
    </row>
    <row r="211" spans="1:6" ht="15.75" thickBot="1">
      <c r="A211" s="76" t="s">
        <v>118</v>
      </c>
      <c r="B211" s="84">
        <f>SUM(B206:B210)</f>
        <v>297024.77</v>
      </c>
      <c r="C211" s="84">
        <f>SUM(C206:C210)</f>
        <v>232373.72</v>
      </c>
      <c r="D211" s="84">
        <f>SUM(D206:D210)</f>
        <v>234915</v>
      </c>
      <c r="E211" s="84">
        <f>SUM(E206:E210)</f>
        <v>184409</v>
      </c>
      <c r="F211" s="84">
        <f>SUM(F206:F210)</f>
        <v>216412</v>
      </c>
    </row>
    <row r="212" spans="1:6" ht="15.75" thickTop="1">
      <c r="A212" s="76"/>
      <c r="B212" s="1321" t="e">
        <f>+#REF!</f>
        <v>#REF!</v>
      </c>
      <c r="C212" s="102"/>
      <c r="D212" s="102"/>
      <c r="E212" s="102"/>
      <c r="F212" s="102" t="e">
        <f>+#REF!</f>
        <v>#REF!</v>
      </c>
    </row>
    <row r="213" spans="1:6">
      <c r="A213" s="76"/>
      <c r="B213" s="1322" t="e">
        <f>+B211-B212</f>
        <v>#REF!</v>
      </c>
      <c r="C213" s="1322">
        <f>+C211-C212</f>
        <v>232373.72</v>
      </c>
      <c r="D213" s="1322">
        <f>+D211-D212</f>
        <v>234915</v>
      </c>
      <c r="E213" s="1322">
        <f>+E211-E212</f>
        <v>184409</v>
      </c>
      <c r="F213" s="1322" t="e">
        <f>+F211-F212</f>
        <v>#REF!</v>
      </c>
    </row>
    <row r="214" spans="1:6">
      <c r="A214">
        <v>18</v>
      </c>
      <c r="B214" s="2089" t="s">
        <v>195</v>
      </c>
    </row>
    <row r="215" spans="1:6">
      <c r="A215" s="3863" t="s">
        <v>775</v>
      </c>
      <c r="B215" s="3865" t="s">
        <v>776</v>
      </c>
      <c r="C215" s="3865"/>
      <c r="D215" s="3865"/>
      <c r="E215" s="3865"/>
      <c r="F215" s="3865"/>
    </row>
    <row r="216" spans="1:6">
      <c r="A216" s="3864"/>
      <c r="B216" s="2917">
        <v>2012</v>
      </c>
      <c r="C216" s="2922">
        <v>2011</v>
      </c>
      <c r="D216" s="2922">
        <v>2010</v>
      </c>
      <c r="E216" s="2922">
        <v>2009</v>
      </c>
      <c r="F216" s="2922">
        <v>2008</v>
      </c>
    </row>
    <row r="217" spans="1:6">
      <c r="A217" s="2887" t="s">
        <v>777</v>
      </c>
      <c r="B217" s="3201">
        <v>1102617.3829799979</v>
      </c>
      <c r="C217" s="3201">
        <v>973000</v>
      </c>
      <c r="D217" s="3201">
        <v>581000</v>
      </c>
      <c r="E217" s="3201">
        <v>651000</v>
      </c>
      <c r="F217" s="3201">
        <v>500236</v>
      </c>
    </row>
    <row r="218" spans="1:6">
      <c r="A218" s="2887" t="s">
        <v>778</v>
      </c>
      <c r="B218" s="3201">
        <v>1692828.8276799966</v>
      </c>
      <c r="C218" s="3201">
        <v>1659549</v>
      </c>
      <c r="D218" s="3201">
        <v>1506000</v>
      </c>
      <c r="E218" s="3201">
        <v>1223218</v>
      </c>
      <c r="F218" s="3201">
        <v>1156000</v>
      </c>
    </row>
    <row r="219" spans="1:6">
      <c r="A219" s="2887" t="s">
        <v>779</v>
      </c>
      <c r="B219" s="3201">
        <v>1212080.1090599981</v>
      </c>
      <c r="C219" s="3201">
        <v>611000</v>
      </c>
      <c r="D219" s="3201">
        <v>897870</v>
      </c>
      <c r="E219" s="3201">
        <v>826000</v>
      </c>
      <c r="F219" s="3201">
        <v>1089000</v>
      </c>
    </row>
    <row r="220" spans="1:6">
      <c r="A220" s="2887" t="s">
        <v>782</v>
      </c>
      <c r="B220" s="3201">
        <v>0</v>
      </c>
      <c r="C220" s="3201">
        <v>0</v>
      </c>
      <c r="D220" s="3201">
        <v>0</v>
      </c>
      <c r="E220" s="3201">
        <v>0</v>
      </c>
      <c r="F220" s="3201">
        <v>0</v>
      </c>
    </row>
    <row r="221" spans="1:6">
      <c r="A221" s="2887" t="s">
        <v>783</v>
      </c>
      <c r="B221" s="3201">
        <v>618502.15120000031</v>
      </c>
      <c r="C221" s="3201">
        <v>1017000</v>
      </c>
      <c r="D221" s="3201">
        <v>683000</v>
      </c>
      <c r="E221" s="3201">
        <v>510000</v>
      </c>
      <c r="F221" s="3201">
        <v>437000</v>
      </c>
    </row>
    <row r="222" spans="1:6" ht="15.75" thickBot="1">
      <c r="A222" s="76" t="s">
        <v>118</v>
      </c>
      <c r="B222" s="84">
        <f>SUM(B217:B221)</f>
        <v>4626028.4709199928</v>
      </c>
      <c r="C222" s="84">
        <f>SUM(C217:C221)</f>
        <v>4260549</v>
      </c>
      <c r="D222" s="84">
        <f>SUM(D217:D221)</f>
        <v>3667870</v>
      </c>
      <c r="E222" s="84">
        <f>SUM(E217:E221)</f>
        <v>3210218</v>
      </c>
      <c r="F222" s="84">
        <f>SUM(F217:F221)</f>
        <v>3182236</v>
      </c>
    </row>
    <row r="223" spans="1:6" ht="15.75" thickTop="1">
      <c r="A223" s="76"/>
      <c r="B223" s="1321" t="e">
        <f>+#REF!</f>
        <v>#REF!</v>
      </c>
      <c r="C223" s="102" t="e">
        <f>+#REF!</f>
        <v>#REF!</v>
      </c>
      <c r="D223" s="102" t="e">
        <f>+#REF!</f>
        <v>#REF!</v>
      </c>
      <c r="E223" s="102" t="e">
        <f>+#REF!</f>
        <v>#REF!</v>
      </c>
      <c r="F223" s="102" t="e">
        <f>+#REF!</f>
        <v>#REF!</v>
      </c>
    </row>
    <row r="224" spans="1:6">
      <c r="A224" s="76"/>
      <c r="B224" s="1322" t="e">
        <f>+B222-B223</f>
        <v>#REF!</v>
      </c>
      <c r="C224" s="1322" t="e">
        <f>+C222-C223</f>
        <v>#REF!</v>
      </c>
      <c r="D224" s="1322" t="e">
        <f>+D222-D223</f>
        <v>#REF!</v>
      </c>
      <c r="E224" s="1322" t="e">
        <f>+E222-E223</f>
        <v>#REF!</v>
      </c>
      <c r="F224" s="1322" t="e">
        <f>+F222-F223</f>
        <v>#REF!</v>
      </c>
    </row>
    <row r="225" spans="1:6">
      <c r="A225">
        <v>19</v>
      </c>
      <c r="B225" s="2089" t="s">
        <v>191</v>
      </c>
    </row>
    <row r="226" spans="1:6">
      <c r="A226" s="3863" t="s">
        <v>775</v>
      </c>
      <c r="B226" s="3865" t="s">
        <v>776</v>
      </c>
      <c r="C226" s="3865"/>
      <c r="D226" s="3865"/>
      <c r="E226" s="3865"/>
      <c r="F226" s="3865"/>
    </row>
    <row r="227" spans="1:6">
      <c r="A227" s="3864"/>
      <c r="B227" s="2917">
        <v>2012</v>
      </c>
      <c r="C227" s="2922">
        <v>2011</v>
      </c>
      <c r="D227" s="2922">
        <v>2010</v>
      </c>
      <c r="E227" s="2922">
        <v>2009</v>
      </c>
      <c r="F227" s="2922">
        <v>2008</v>
      </c>
    </row>
    <row r="228" spans="1:6">
      <c r="A228" s="2887" t="s">
        <v>777</v>
      </c>
      <c r="B228" s="3206">
        <v>170348.54498300006</v>
      </c>
      <c r="C228" s="3206">
        <v>470.48258299999998</v>
      </c>
      <c r="D228" s="3201"/>
      <c r="E228" s="3201"/>
      <c r="F228" s="3201"/>
    </row>
    <row r="229" spans="1:6">
      <c r="A229" s="2887" t="s">
        <v>778</v>
      </c>
      <c r="B229" s="3206">
        <v>103270.89967700002</v>
      </c>
      <c r="C229" s="3206">
        <v>952.20069000000001</v>
      </c>
      <c r="D229" s="3201"/>
      <c r="E229" s="3201"/>
      <c r="F229" s="3201"/>
    </row>
    <row r="230" spans="1:6">
      <c r="A230" s="2887" t="s">
        <v>779</v>
      </c>
      <c r="B230" s="3206">
        <v>53185.13342999998</v>
      </c>
      <c r="C230" s="3206">
        <v>397.92788000000002</v>
      </c>
      <c r="D230" s="3201"/>
      <c r="E230" s="3201"/>
      <c r="F230" s="3201"/>
    </row>
    <row r="231" spans="1:6">
      <c r="A231" s="2887" t="s">
        <v>782</v>
      </c>
      <c r="B231" s="3206">
        <v>0</v>
      </c>
      <c r="C231" s="3206">
        <v>0</v>
      </c>
      <c r="D231" s="3201"/>
      <c r="E231" s="3201"/>
      <c r="F231" s="3201"/>
    </row>
    <row r="232" spans="1:6">
      <c r="A232" s="2887" t="s">
        <v>783</v>
      </c>
      <c r="B232" s="3206">
        <v>0</v>
      </c>
      <c r="C232" s="3206">
        <v>0</v>
      </c>
      <c r="D232" s="3201"/>
      <c r="E232" s="3201"/>
      <c r="F232" s="3201"/>
    </row>
    <row r="233" spans="1:6" ht="15.75" thickBot="1">
      <c r="A233" s="76" t="s">
        <v>118</v>
      </c>
      <c r="B233" s="84">
        <f>SUM(B228:B232)</f>
        <v>326804.57809000008</v>
      </c>
      <c r="C233" s="84">
        <f>SUM(C228:C232)</f>
        <v>1820.6111530000001</v>
      </c>
      <c r="D233" s="84">
        <f>SUM(D228:D232)</f>
        <v>0</v>
      </c>
      <c r="E233" s="84">
        <f>SUM(E228:E232)</f>
        <v>0</v>
      </c>
      <c r="F233" s="84">
        <f>SUM(F228:F232)</f>
        <v>0</v>
      </c>
    </row>
    <row r="234" spans="1:6" ht="15.75" thickTop="1">
      <c r="A234" s="76"/>
      <c r="B234" s="1321"/>
      <c r="C234" s="102"/>
      <c r="D234" s="102"/>
      <c r="E234" s="102"/>
      <c r="F234" s="102" t="e">
        <f>+#REF!</f>
        <v>#REF!</v>
      </c>
    </row>
    <row r="235" spans="1:6">
      <c r="A235" s="76"/>
      <c r="B235" s="1321"/>
      <c r="C235" s="102"/>
      <c r="D235" s="102"/>
      <c r="E235" s="102"/>
      <c r="F235" s="102"/>
    </row>
    <row r="236" spans="1:6">
      <c r="A236">
        <v>20</v>
      </c>
      <c r="B236" s="2089" t="s">
        <v>110</v>
      </c>
    </row>
    <row r="237" spans="1:6">
      <c r="A237" s="3863" t="s">
        <v>775</v>
      </c>
      <c r="B237" s="3865" t="s">
        <v>776</v>
      </c>
      <c r="C237" s="3865"/>
      <c r="D237" s="3865"/>
      <c r="E237" s="3865"/>
      <c r="F237" s="3865"/>
    </row>
    <row r="238" spans="1:6">
      <c r="A238" s="3864"/>
      <c r="B238" s="2917">
        <v>2012</v>
      </c>
      <c r="C238" s="2922">
        <v>2011</v>
      </c>
      <c r="D238" s="2922">
        <v>2010</v>
      </c>
      <c r="E238" s="2922">
        <v>2009</v>
      </c>
      <c r="F238" s="2922">
        <v>2008</v>
      </c>
    </row>
    <row r="239" spans="1:6">
      <c r="A239" s="2887" t="s">
        <v>777</v>
      </c>
      <c r="B239" s="3201"/>
      <c r="C239" s="3201"/>
      <c r="D239" s="3201"/>
      <c r="E239" s="3201"/>
      <c r="F239" s="3201"/>
    </row>
    <row r="240" spans="1:6">
      <c r="A240" s="2887" t="s">
        <v>778</v>
      </c>
      <c r="B240" s="3201"/>
      <c r="C240" s="3201"/>
      <c r="D240" s="3201"/>
      <c r="E240" s="3201"/>
      <c r="F240" s="3201"/>
    </row>
    <row r="241" spans="1:6">
      <c r="A241" s="2887" t="s">
        <v>779</v>
      </c>
      <c r="B241" s="3201"/>
      <c r="C241" s="3201"/>
      <c r="D241" s="3201"/>
      <c r="E241" s="3201"/>
      <c r="F241" s="3201"/>
    </row>
    <row r="242" spans="1:6">
      <c r="A242" s="2887" t="s">
        <v>782</v>
      </c>
      <c r="B242" s="3201"/>
      <c r="C242" s="3201"/>
      <c r="D242" s="3201"/>
      <c r="E242" s="3201"/>
      <c r="F242" s="3201"/>
    </row>
    <row r="243" spans="1:6">
      <c r="A243" s="2887" t="s">
        <v>783</v>
      </c>
      <c r="B243" s="3201"/>
      <c r="C243" s="3201"/>
      <c r="D243" s="3201"/>
      <c r="E243" s="3201"/>
      <c r="F243" s="3201"/>
    </row>
    <row r="244" spans="1:6" ht="15.75" thickBot="1">
      <c r="A244" s="76" t="s">
        <v>118</v>
      </c>
      <c r="B244" s="84">
        <f>SUM(B239:B243)</f>
        <v>0</v>
      </c>
      <c r="C244" s="84">
        <f>SUM(C239:C243)</f>
        <v>0</v>
      </c>
      <c r="D244" s="84">
        <f>SUM(D239:D243)</f>
        <v>0</v>
      </c>
      <c r="E244" s="84">
        <f>SUM(E239:E243)</f>
        <v>0</v>
      </c>
      <c r="F244" s="84">
        <f>SUM(F239:F243)</f>
        <v>0</v>
      </c>
    </row>
    <row r="245" spans="1:6" ht="15.75" thickTop="1"/>
  </sheetData>
  <customSheetViews>
    <customSheetView guid="{5E394B0B-7867-4722-9497-A93AB2A9A773}" showPageBreaks="1" printArea="1" state="hidden" topLeftCell="A121">
      <selection activeCell="A2" sqref="A2"/>
      <rowBreaks count="2" manualBreakCount="2">
        <brk id="70" max="5" man="1"/>
        <brk id="136" max="5" man="1"/>
      </rowBreaks>
      <pageMargins left="0" right="0" top="0" bottom="0" header="0" footer="0"/>
      <pageSetup scale="70" orientation="portrait" r:id="rId1"/>
    </customSheetView>
    <customSheetView guid="{B1E1B596-A9A1-411D-A882-A48CB025B978}" showPageBreaks="1" printArea="1" state="hidden" topLeftCell="A121">
      <selection activeCell="A2" sqref="A2"/>
      <rowBreaks count="2" manualBreakCount="2">
        <brk id="70" max="5" man="1"/>
        <brk id="136" max="5" man="1"/>
      </rowBreaks>
      <pageMargins left="0" right="0" top="0" bottom="0" header="0" footer="0"/>
      <pageSetup scale="70" orientation="portrait" r:id="rId2"/>
    </customSheetView>
    <customSheetView guid="{E82B35BE-4719-4C53-A9EF-1CC6F153A6F3}" showPageBreaks="1" printArea="1" state="hidden" topLeftCell="A121">
      <selection activeCell="A2" sqref="A2"/>
      <rowBreaks count="2" manualBreakCount="2">
        <brk id="70" max="5" man="1"/>
        <brk id="136" max="5" man="1"/>
      </rowBreaks>
      <pageMargins left="0" right="0" top="0" bottom="0" header="0" footer="0"/>
      <pageSetup scale="70" orientation="portrait" r:id="rId3"/>
    </customSheetView>
    <customSheetView guid="{46F31544-8E6F-41C5-8628-1D6EE074AF15}" state="hidden" topLeftCell="A121">
      <selection activeCell="A2" sqref="A2"/>
      <rowBreaks count="2" manualBreakCount="2">
        <brk id="70" max="5" man="1"/>
        <brk id="136" max="5" man="1"/>
      </rowBreaks>
      <pageMargins left="0" right="0" top="0" bottom="0" header="0" footer="0"/>
      <pageSetup scale="70" orientation="portrait" r:id="rId4"/>
    </customSheetView>
    <customSheetView guid="{B2E1A0C6-5BA1-4CF1-B412-16D81FCDF11F}" showPageBreaks="1" printArea="1" state="hidden" topLeftCell="A121">
      <selection activeCell="A2" sqref="A2"/>
      <rowBreaks count="2" manualBreakCount="2">
        <brk id="70" max="5" man="1"/>
        <brk id="136" max="5" man="1"/>
      </rowBreaks>
      <pageMargins left="0" right="0" top="0" bottom="0" header="0" footer="0"/>
      <pageSetup scale="70" orientation="portrait" r:id="rId5"/>
    </customSheetView>
    <customSheetView guid="{967E0446-E234-427F-8E57-7FE287052E2E}" showPageBreaks="1" printArea="1" state="hidden" topLeftCell="A121">
      <selection activeCell="A2" sqref="A2"/>
      <rowBreaks count="2" manualBreakCount="2">
        <brk id="70" max="5" man="1"/>
        <brk id="136" max="5" man="1"/>
      </rowBreaks>
      <pageMargins left="0" right="0" top="0" bottom="0" header="0" footer="0"/>
      <pageSetup scale="70" orientation="portrait" r:id="rId6"/>
    </customSheetView>
    <customSheetView guid="{2ACFE167-4169-43A6-9AB2-59D5A2DA2DB4}" showPageBreaks="1" printArea="1" state="hidden" topLeftCell="A121">
      <selection activeCell="A2" sqref="A2"/>
      <rowBreaks count="2" manualBreakCount="2">
        <brk id="70" max="5" man="1"/>
        <brk id="136" max="5" man="1"/>
      </rowBreaks>
      <pageMargins left="0" right="0" top="0" bottom="0" header="0" footer="0"/>
      <pageSetup scale="70" orientation="portrait" r:id="rId7"/>
    </customSheetView>
  </customSheetViews>
  <mergeCells count="44">
    <mergeCell ref="A4:A5"/>
    <mergeCell ref="B4:F4"/>
    <mergeCell ref="A14:A15"/>
    <mergeCell ref="B14:F14"/>
    <mergeCell ref="A28:A29"/>
    <mergeCell ref="B28:F28"/>
    <mergeCell ref="A39:A40"/>
    <mergeCell ref="B39:F39"/>
    <mergeCell ref="A50:A51"/>
    <mergeCell ref="B50:F50"/>
    <mergeCell ref="A61:A62"/>
    <mergeCell ref="B61:F61"/>
    <mergeCell ref="A72:A73"/>
    <mergeCell ref="B72:F72"/>
    <mergeCell ref="A83:A84"/>
    <mergeCell ref="B83:F83"/>
    <mergeCell ref="A94:A95"/>
    <mergeCell ref="B94:F94"/>
    <mergeCell ref="A105:A106"/>
    <mergeCell ref="B105:F105"/>
    <mergeCell ref="A116:A117"/>
    <mergeCell ref="B116:F116"/>
    <mergeCell ref="A127:A128"/>
    <mergeCell ref="B127:F127"/>
    <mergeCell ref="A138:A139"/>
    <mergeCell ref="B138:F138"/>
    <mergeCell ref="A149:A150"/>
    <mergeCell ref="B149:F149"/>
    <mergeCell ref="A160:A161"/>
    <mergeCell ref="B160:F160"/>
    <mergeCell ref="A171:A172"/>
    <mergeCell ref="B171:F171"/>
    <mergeCell ref="A182:A183"/>
    <mergeCell ref="B182:F182"/>
    <mergeCell ref="A193:A194"/>
    <mergeCell ref="B193:F193"/>
    <mergeCell ref="A237:A238"/>
    <mergeCell ref="B237:F237"/>
    <mergeCell ref="A204:A205"/>
    <mergeCell ref="B204:F204"/>
    <mergeCell ref="A215:A216"/>
    <mergeCell ref="B215:F215"/>
    <mergeCell ref="A226:A227"/>
    <mergeCell ref="B226:F226"/>
  </mergeCells>
  <pageMargins left="0.7" right="0.7" top="0.75" bottom="0.75" header="0.3" footer="0.3"/>
  <pageSetup scale="70" orientation="portrait" r:id="rId8"/>
  <rowBreaks count="2" manualBreakCount="2">
    <brk id="70" max="5" man="1"/>
    <brk id="136" max="5" man="1"/>
  </rowBreaks>
  <ignoredErrors>
    <ignoredError sqref="B200 C200:F200 B35:F35 D189:F189 C189" formulaRange="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autoPageBreaks="0"/>
  </sheetPr>
  <dimension ref="B1:N53"/>
  <sheetViews>
    <sheetView showGridLines="0" view="pageBreakPreview" topLeftCell="A10" zoomScaleNormal="100" zoomScaleSheetLayoutView="100" workbookViewId="0">
      <pane xSplit="2" topLeftCell="C1" activePane="topRight" state="frozen"/>
      <selection pane="topRight" activeCell="C9" sqref="C9"/>
    </sheetView>
  </sheetViews>
  <sheetFormatPr defaultColWidth="9.140625" defaultRowHeight="12.75"/>
  <cols>
    <col min="1" max="1" width="3" style="292" customWidth="1"/>
    <col min="2" max="2" width="18" style="292" customWidth="1"/>
    <col min="3" max="7" width="18.28515625" style="292" customWidth="1"/>
    <col min="8" max="8" width="10.28515625" style="292" customWidth="1"/>
    <col min="9" max="9" width="9.5703125" style="292" bestFit="1" customWidth="1"/>
    <col min="10" max="10" width="9.7109375" style="292" bestFit="1" customWidth="1"/>
    <col min="11" max="11" width="10.7109375" style="292" bestFit="1" customWidth="1"/>
    <col min="12" max="12" width="9.7109375" style="292" bestFit="1" customWidth="1"/>
    <col min="13" max="13" width="10.7109375" style="292" bestFit="1" customWidth="1"/>
    <col min="14" max="14" width="9.28515625" style="292" bestFit="1" customWidth="1"/>
    <col min="15" max="16384" width="9.140625" style="292"/>
  </cols>
  <sheetData>
    <row r="1" spans="2:14">
      <c r="C1" s="293"/>
      <c r="D1" s="468"/>
      <c r="E1" s="468"/>
      <c r="F1" s="468"/>
      <c r="G1" s="468"/>
      <c r="H1" s="468"/>
      <c r="I1" s="468"/>
      <c r="J1" s="468"/>
      <c r="K1" s="468"/>
      <c r="L1" s="468"/>
      <c r="M1" s="293"/>
      <c r="N1" s="515"/>
    </row>
    <row r="2" spans="2:14">
      <c r="B2" s="295" t="s">
        <v>787</v>
      </c>
      <c r="C2" s="295"/>
      <c r="D2" s="468"/>
      <c r="E2" s="468"/>
      <c r="F2" s="468"/>
      <c r="G2" s="468"/>
      <c r="H2" s="468"/>
      <c r="I2" s="468"/>
      <c r="J2" s="468"/>
      <c r="K2" s="468"/>
      <c r="L2" s="468"/>
      <c r="M2" s="293"/>
      <c r="N2" s="515"/>
    </row>
    <row r="3" spans="2:14">
      <c r="B3" s="295"/>
    </row>
    <row r="4" spans="2:14">
      <c r="B4" s="3207" t="s">
        <v>83</v>
      </c>
      <c r="C4" s="1841">
        <v>2017</v>
      </c>
      <c r="D4" s="1888">
        <v>2018</v>
      </c>
      <c r="E4" s="1841">
        <v>2019</v>
      </c>
      <c r="F4" s="1888" t="s">
        <v>550</v>
      </c>
      <c r="G4" s="1841" t="s">
        <v>84</v>
      </c>
    </row>
    <row r="5" spans="2:14">
      <c r="B5" s="1987" t="s">
        <v>91</v>
      </c>
      <c r="C5" s="1923">
        <v>284824</v>
      </c>
      <c r="D5" s="1923">
        <v>285037</v>
      </c>
      <c r="E5" s="1923">
        <v>288901</v>
      </c>
      <c r="F5" s="1925">
        <v>291415</v>
      </c>
      <c r="G5" s="1924">
        <v>300568</v>
      </c>
    </row>
    <row r="6" spans="2:14">
      <c r="B6" s="1987" t="s">
        <v>93</v>
      </c>
      <c r="C6" s="1988">
        <v>34988</v>
      </c>
      <c r="D6" s="1981">
        <v>37475</v>
      </c>
      <c r="E6" s="1988">
        <v>40721</v>
      </c>
      <c r="F6" s="2056">
        <v>40844</v>
      </c>
      <c r="G6" s="2020">
        <v>41873</v>
      </c>
    </row>
    <row r="7" spans="2:14" ht="15">
      <c r="B7" s="1987" t="s">
        <v>94</v>
      </c>
      <c r="C7" s="1988">
        <v>16826</v>
      </c>
      <c r="D7" s="3208">
        <v>15318</v>
      </c>
      <c r="E7" s="1988">
        <v>14795</v>
      </c>
      <c r="F7" s="2056">
        <v>12909</v>
      </c>
      <c r="G7" s="2020">
        <v>13946</v>
      </c>
    </row>
    <row r="8" spans="2:14">
      <c r="B8" s="1987" t="s">
        <v>96</v>
      </c>
      <c r="C8" s="1988">
        <v>17105</v>
      </c>
      <c r="D8" s="1988">
        <v>20598</v>
      </c>
      <c r="E8" s="1988">
        <v>24109</v>
      </c>
      <c r="F8" s="2056">
        <v>26760</v>
      </c>
      <c r="G8" s="2020">
        <v>30137</v>
      </c>
    </row>
    <row r="9" spans="2:14">
      <c r="B9" s="1987" t="s">
        <v>97</v>
      </c>
      <c r="C9" s="1988">
        <v>938936</v>
      </c>
      <c r="D9" s="1988">
        <v>908973</v>
      </c>
      <c r="E9" s="1988">
        <v>884139</v>
      </c>
      <c r="F9" s="2056">
        <v>865562</v>
      </c>
      <c r="G9" s="2020">
        <v>870519</v>
      </c>
    </row>
    <row r="10" spans="2:14">
      <c r="B10" s="1987" t="s">
        <v>233</v>
      </c>
      <c r="C10" s="1988">
        <v>49358</v>
      </c>
      <c r="D10" s="1981">
        <v>35192</v>
      </c>
      <c r="E10" s="1981">
        <v>34032</v>
      </c>
      <c r="F10" s="2056">
        <v>42168</v>
      </c>
      <c r="G10" s="2020">
        <v>43522</v>
      </c>
    </row>
    <row r="11" spans="2:14">
      <c r="B11" s="1987" t="s">
        <v>103</v>
      </c>
      <c r="C11" s="1988">
        <v>143933</v>
      </c>
      <c r="D11" s="1988">
        <v>147234</v>
      </c>
      <c r="E11" s="1988">
        <v>150689</v>
      </c>
      <c r="F11" s="2056">
        <v>148809</v>
      </c>
      <c r="G11" s="2020">
        <v>158202</v>
      </c>
    </row>
    <row r="12" spans="2:14">
      <c r="B12" s="1987" t="s">
        <v>105</v>
      </c>
      <c r="C12" s="1988">
        <v>257202</v>
      </c>
      <c r="D12" s="1981">
        <f>255376+2584</f>
        <v>257960</v>
      </c>
      <c r="E12" s="1988">
        <v>247429</v>
      </c>
      <c r="F12" s="2056">
        <f>228461+996</f>
        <v>229457</v>
      </c>
      <c r="G12" s="2020">
        <f>207892+532</f>
        <v>208424</v>
      </c>
    </row>
    <row r="13" spans="2:14">
      <c r="B13" s="1987" t="s">
        <v>106</v>
      </c>
      <c r="C13" s="1988">
        <v>28296</v>
      </c>
      <c r="D13" s="1988">
        <v>28436</v>
      </c>
      <c r="E13" s="1988">
        <v>30589</v>
      </c>
      <c r="F13" s="2056">
        <v>30816</v>
      </c>
      <c r="G13" s="2020">
        <v>30608</v>
      </c>
    </row>
    <row r="14" spans="2:14">
      <c r="B14" s="1987" t="s">
        <v>107</v>
      </c>
      <c r="C14" s="1988">
        <v>180047</v>
      </c>
      <c r="D14" s="1988">
        <v>218321</v>
      </c>
      <c r="E14" s="1988">
        <v>259735</v>
      </c>
      <c r="F14" s="2056">
        <v>287187</v>
      </c>
      <c r="G14" s="2020">
        <v>299847</v>
      </c>
    </row>
    <row r="15" spans="2:14">
      <c r="B15" s="1987" t="s">
        <v>109</v>
      </c>
      <c r="C15" s="1988">
        <v>20058</v>
      </c>
      <c r="D15" s="1988">
        <v>17692</v>
      </c>
      <c r="E15" s="1988">
        <v>16571</v>
      </c>
      <c r="F15" s="2056">
        <v>13172</v>
      </c>
      <c r="G15" s="2020">
        <v>11126</v>
      </c>
    </row>
    <row r="16" spans="2:14">
      <c r="B16" s="1987" t="s">
        <v>113</v>
      </c>
      <c r="C16" s="1988">
        <v>161562</v>
      </c>
      <c r="D16" s="1988">
        <v>154618</v>
      </c>
      <c r="E16" s="1988">
        <v>142977</v>
      </c>
      <c r="F16" s="2056">
        <v>137259</v>
      </c>
      <c r="G16" s="2020">
        <v>131419</v>
      </c>
    </row>
    <row r="17" spans="2:7">
      <c r="B17" s="1987" t="s">
        <v>115</v>
      </c>
      <c r="C17" s="1988">
        <v>532840</v>
      </c>
      <c r="D17" s="1988">
        <v>511763</v>
      </c>
      <c r="E17" s="1988">
        <v>500409</v>
      </c>
      <c r="F17" s="2056">
        <v>1037559</v>
      </c>
      <c r="G17" s="2020">
        <v>1097234</v>
      </c>
    </row>
    <row r="18" spans="2:7">
      <c r="B18" s="1987" t="s">
        <v>116</v>
      </c>
      <c r="C18" s="1988">
        <v>130151</v>
      </c>
      <c r="D18" s="1981">
        <v>311873</v>
      </c>
      <c r="E18" s="1988">
        <v>500374</v>
      </c>
      <c r="F18" s="2056">
        <v>649986</v>
      </c>
      <c r="G18" s="2020">
        <v>794870</v>
      </c>
    </row>
    <row r="19" spans="2:7">
      <c r="B19" s="1987" t="s">
        <v>117</v>
      </c>
      <c r="C19" s="1988">
        <v>272740</v>
      </c>
      <c r="D19" s="1981">
        <v>248864</v>
      </c>
      <c r="E19" s="1988">
        <v>247820</v>
      </c>
      <c r="F19" s="2056">
        <v>249665</v>
      </c>
      <c r="G19" s="2020">
        <v>265499</v>
      </c>
    </row>
    <row r="20" spans="2:7">
      <c r="B20" s="2766" t="s">
        <v>118</v>
      </c>
      <c r="C20" s="2050">
        <v>3068866</v>
      </c>
      <c r="D20" s="2050">
        <f>SUM(D5:D19)</f>
        <v>3199354</v>
      </c>
      <c r="E20" s="2050">
        <f>SUM(E5:E19)</f>
        <v>3383290</v>
      </c>
      <c r="F20" s="2050">
        <f>SUM(F5:F19)</f>
        <v>4063568</v>
      </c>
      <c r="G20" s="2050">
        <f>SUM(G5:G19)</f>
        <v>4297794</v>
      </c>
    </row>
    <row r="21" spans="2:7">
      <c r="B21" s="214"/>
    </row>
    <row r="22" spans="2:7">
      <c r="D22" s="293"/>
      <c r="E22" s="293"/>
      <c r="G22" s="293">
        <v>181</v>
      </c>
    </row>
    <row r="23" spans="2:7">
      <c r="B23" s="37"/>
    </row>
    <row r="24" spans="2:7">
      <c r="B24" s="490"/>
      <c r="C24" s="305"/>
      <c r="D24" s="468"/>
    </row>
    <row r="25" spans="2:7">
      <c r="B25" s="384"/>
      <c r="C25" s="305"/>
      <c r="D25" s="468"/>
    </row>
    <row r="26" spans="2:7">
      <c r="B26" s="384"/>
      <c r="C26" s="396"/>
      <c r="D26" s="396"/>
    </row>
    <row r="27" spans="2:7">
      <c r="B27" s="384"/>
    </row>
    <row r="28" spans="2:7">
      <c r="B28" s="384"/>
    </row>
    <row r="29" spans="2:7">
      <c r="B29" s="384"/>
    </row>
    <row r="30" spans="2:7">
      <c r="B30" s="384"/>
    </row>
    <row r="31" spans="2:7">
      <c r="B31" s="384"/>
    </row>
    <row r="32" spans="2:7">
      <c r="B32" s="384"/>
    </row>
    <row r="33" spans="2:2">
      <c r="B33" s="384"/>
    </row>
    <row r="34" spans="2:2">
      <c r="B34" s="384"/>
    </row>
    <row r="35" spans="2:2">
      <c r="B35" s="384"/>
    </row>
    <row r="36" spans="2:2">
      <c r="B36" s="384"/>
    </row>
    <row r="37" spans="2:2">
      <c r="B37" s="384"/>
    </row>
    <row r="51" spans="2:3">
      <c r="B51" s="594"/>
      <c r="C51" s="594"/>
    </row>
    <row r="52" spans="2:3">
      <c r="B52" s="594"/>
      <c r="C52" s="594"/>
    </row>
    <row r="53" spans="2:3">
      <c r="B53" s="594"/>
      <c r="C53" s="594"/>
    </row>
  </sheetData>
  <pageMargins left="0.87" right="0.2" top="0.75" bottom="0.75" header="0.3" footer="0.3"/>
  <pageSetup paperSize="9" scale="70"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P329"/>
  <sheetViews>
    <sheetView showGridLines="0" view="pageBreakPreview" topLeftCell="A13" zoomScale="70" zoomScaleNormal="100" zoomScaleSheetLayoutView="70" workbookViewId="0">
      <selection activeCell="I36" sqref="I36"/>
    </sheetView>
  </sheetViews>
  <sheetFormatPr defaultColWidth="9.140625" defaultRowHeight="12.75"/>
  <cols>
    <col min="1" max="1" width="1.28515625" style="292" customWidth="1"/>
    <col min="2" max="2" width="16.5703125" style="292" customWidth="1"/>
    <col min="3" max="4" width="22.42578125" style="413" customWidth="1"/>
    <col min="5" max="7" width="22.42578125" style="292" customWidth="1"/>
    <col min="8" max="8" width="22.28515625" style="292" customWidth="1"/>
    <col min="9" max="10" width="10.5703125" style="292" customWidth="1"/>
    <col min="11" max="16" width="14.140625" style="292" customWidth="1"/>
    <col min="17" max="16384" width="9.140625" style="292"/>
  </cols>
  <sheetData>
    <row r="2" spans="1:16">
      <c r="B2" s="3594" t="s">
        <v>788</v>
      </c>
      <c r="C2" s="3594"/>
      <c r="D2" s="3594"/>
      <c r="E2" s="3594"/>
      <c r="F2" s="3594"/>
    </row>
    <row r="3" spans="1:16" s="52" customFormat="1">
      <c r="A3" s="37"/>
      <c r="B3" s="314"/>
      <c r="C3" s="413"/>
      <c r="D3" s="413"/>
    </row>
    <row r="4" spans="1:16" s="52" customFormat="1">
      <c r="A4" s="37"/>
      <c r="B4" s="3878" t="s">
        <v>250</v>
      </c>
      <c r="C4" s="3879"/>
      <c r="D4" s="3880"/>
    </row>
    <row r="5" spans="1:16" s="52" customFormat="1">
      <c r="A5" s="37"/>
      <c r="B5" s="3717" t="s">
        <v>789</v>
      </c>
      <c r="C5" s="3881" t="s">
        <v>790</v>
      </c>
      <c r="D5" s="3742" t="s">
        <v>791</v>
      </c>
      <c r="E5" s="3883" t="s">
        <v>333</v>
      </c>
      <c r="F5" s="3884"/>
      <c r="G5" s="3884"/>
      <c r="H5" s="3885"/>
    </row>
    <row r="6" spans="1:16" s="52" customFormat="1" ht="25.5">
      <c r="A6" s="37"/>
      <c r="B6" s="3873"/>
      <c r="C6" s="3882"/>
      <c r="D6" s="3743"/>
      <c r="E6" s="3211" t="s">
        <v>792</v>
      </c>
      <c r="F6" s="1959" t="s">
        <v>793</v>
      </c>
      <c r="G6" s="3386" t="s">
        <v>794</v>
      </c>
      <c r="H6" s="3387" t="s">
        <v>118</v>
      </c>
      <c r="I6" s="116"/>
      <c r="J6" s="196"/>
    </row>
    <row r="7" spans="1:16" s="52" customFormat="1">
      <c r="A7" s="37"/>
      <c r="B7" s="3718"/>
      <c r="C7" s="2146" t="s">
        <v>795</v>
      </c>
      <c r="D7" s="2811" t="s">
        <v>216</v>
      </c>
      <c r="E7" s="3212" t="s">
        <v>216</v>
      </c>
      <c r="F7" s="3209" t="s">
        <v>216</v>
      </c>
      <c r="G7" s="1962" t="s">
        <v>216</v>
      </c>
      <c r="H7" s="3210" t="s">
        <v>216</v>
      </c>
      <c r="I7" s="116"/>
      <c r="J7" s="196"/>
    </row>
    <row r="8" spans="1:16" s="52" customFormat="1">
      <c r="A8" s="37"/>
      <c r="B8" s="1914">
        <v>2021</v>
      </c>
      <c r="C8" s="2020">
        <f>+C16+C24+C32+C43+C51+C59+C67+C77+C85+C93+C103+C110+C117+C124+C131</f>
        <v>873762</v>
      </c>
      <c r="D8" s="2020">
        <f>+D16+D24+D32+D43+D51+D59+D67+D77+D85+D93+D103+D110+D117+D124+D131</f>
        <v>1772127652.5911648</v>
      </c>
      <c r="E8" s="2020">
        <f t="shared" ref="D8:H9" si="0">+E16+E24+E32+E43+E51+E59+E67+E77+E85+E93+E103+E110+E117+E124+E131</f>
        <v>3396885.2280409336</v>
      </c>
      <c r="F8" s="2020">
        <f t="shared" si="0"/>
        <v>36517494.674398005</v>
      </c>
      <c r="G8" s="2020">
        <f t="shared" si="0"/>
        <v>291430.82000400027</v>
      </c>
      <c r="H8" s="2020">
        <f>+H16+H24+H32+H43+H51+H59+H67+H77+H85+H93+H103+H110+H117+H124+H131</f>
        <v>40205810.722442932</v>
      </c>
      <c r="I8" s="116"/>
      <c r="J8" s="196"/>
    </row>
    <row r="9" spans="1:16" s="52" customFormat="1">
      <c r="A9" s="37"/>
      <c r="B9" s="3213">
        <v>2020</v>
      </c>
      <c r="C9" s="2056">
        <f>+C17+C25+C33+C44+C52+C60+C68+C78+C86+C94+C104+C111+C118+C125+C132</f>
        <v>904224</v>
      </c>
      <c r="D9" s="2056">
        <f t="shared" si="0"/>
        <v>1525580069.2026834</v>
      </c>
      <c r="E9" s="2056">
        <f t="shared" si="0"/>
        <v>2094139.372</v>
      </c>
      <c r="F9" s="2056">
        <f t="shared" si="0"/>
        <v>28463447.462213874</v>
      </c>
      <c r="G9" s="2056">
        <f t="shared" si="0"/>
        <v>216820.32111400025</v>
      </c>
      <c r="H9" s="2056">
        <f t="shared" si="0"/>
        <v>30774407.155327875</v>
      </c>
      <c r="I9" s="498"/>
      <c r="J9" s="498"/>
      <c r="K9" s="498"/>
      <c r="L9" s="498"/>
      <c r="M9" s="498"/>
      <c r="N9" s="498"/>
      <c r="O9" s="498"/>
    </row>
    <row r="10" spans="1:16" s="52" customFormat="1">
      <c r="A10" s="37"/>
      <c r="B10" s="196"/>
      <c r="C10" s="413"/>
      <c r="D10" s="413"/>
      <c r="E10" s="315"/>
      <c r="F10" s="315"/>
      <c r="G10" s="315"/>
      <c r="H10" s="315"/>
      <c r="I10" s="315"/>
      <c r="J10" s="305"/>
    </row>
    <row r="11" spans="1:16" s="52" customFormat="1">
      <c r="A11" s="37"/>
      <c r="B11" s="196"/>
      <c r="C11" s="413"/>
      <c r="D11" s="413"/>
      <c r="E11" s="315"/>
      <c r="F11" s="315"/>
      <c r="G11" s="315"/>
      <c r="H11" s="315"/>
      <c r="I11" s="315"/>
      <c r="J11" s="305"/>
      <c r="K11" s="305"/>
      <c r="L11" s="305"/>
      <c r="M11" s="305"/>
      <c r="N11" s="305"/>
      <c r="O11" s="305"/>
      <c r="P11" s="305"/>
    </row>
    <row r="12" spans="1:16" s="52" customFormat="1">
      <c r="A12" s="37"/>
      <c r="B12" s="3886" t="s">
        <v>91</v>
      </c>
      <c r="C12" s="3887"/>
      <c r="D12" s="3888"/>
      <c r="J12" s="305"/>
      <c r="K12" s="305"/>
      <c r="L12" s="305"/>
      <c r="M12" s="305"/>
      <c r="N12" s="305"/>
      <c r="O12" s="305"/>
      <c r="P12" s="305"/>
    </row>
    <row r="13" spans="1:16" s="52" customFormat="1">
      <c r="A13" s="37"/>
      <c r="B13" s="3889" t="s">
        <v>789</v>
      </c>
      <c r="C13" s="3874" t="s">
        <v>790</v>
      </c>
      <c r="D13" s="3876" t="s">
        <v>791</v>
      </c>
      <c r="E13" s="3867" t="s">
        <v>333</v>
      </c>
      <c r="F13" s="3868"/>
      <c r="G13" s="3868"/>
      <c r="H13" s="3869"/>
      <c r="K13" s="305"/>
    </row>
    <row r="14" spans="1:16" s="52" customFormat="1" ht="25.5">
      <c r="A14" s="37"/>
      <c r="B14" s="3716"/>
      <c r="C14" s="3875"/>
      <c r="D14" s="3877"/>
      <c r="E14" s="3214" t="s">
        <v>792</v>
      </c>
      <c r="F14" s="1960" t="s">
        <v>793</v>
      </c>
      <c r="G14" s="3215" t="s">
        <v>794</v>
      </c>
      <c r="H14" s="3388" t="s">
        <v>118</v>
      </c>
      <c r="I14" s="116"/>
      <c r="J14" s="196"/>
    </row>
    <row r="15" spans="1:16" s="52" customFormat="1">
      <c r="A15" s="37"/>
      <c r="B15" s="3746"/>
      <c r="C15" s="2916" t="s">
        <v>795</v>
      </c>
      <c r="D15" s="3179" t="s">
        <v>216</v>
      </c>
      <c r="E15" s="3215" t="s">
        <v>216</v>
      </c>
      <c r="F15" s="3215" t="s">
        <v>216</v>
      </c>
      <c r="G15" s="1961" t="s">
        <v>216</v>
      </c>
      <c r="H15" s="3215" t="s">
        <v>216</v>
      </c>
      <c r="I15" s="116"/>
      <c r="J15" s="196"/>
    </row>
    <row r="16" spans="1:16" s="52" customFormat="1">
      <c r="A16" s="37"/>
      <c r="B16" s="1912">
        <v>2021</v>
      </c>
      <c r="C16" s="1981">
        <v>56481</v>
      </c>
      <c r="D16" s="1981">
        <v>78078377.736400008</v>
      </c>
      <c r="E16" s="2107"/>
      <c r="F16" s="1981">
        <v>4162667</v>
      </c>
      <c r="G16" s="1981">
        <v>30437.407230000001</v>
      </c>
      <c r="H16" s="1981">
        <f>SUM(E16:G16)</f>
        <v>4193104.40723</v>
      </c>
      <c r="I16" s="116"/>
      <c r="J16" s="196"/>
      <c r="K16" s="719"/>
      <c r="L16" s="719"/>
      <c r="M16" s="410"/>
    </row>
    <row r="17" spans="1:14" s="52" customFormat="1">
      <c r="A17" s="37"/>
      <c r="B17" s="3003">
        <v>2020</v>
      </c>
      <c r="C17" s="1981">
        <v>49873</v>
      </c>
      <c r="D17" s="1981">
        <v>77548407.718999997</v>
      </c>
      <c r="E17" s="2107"/>
      <c r="F17" s="1981">
        <v>3150467.0613500001</v>
      </c>
      <c r="G17" s="1981">
        <v>30684.275829999999</v>
      </c>
      <c r="H17" s="1981">
        <f>SUM(E17:G17)</f>
        <v>3181151.3371800003</v>
      </c>
      <c r="I17" s="498"/>
      <c r="J17" s="498"/>
      <c r="K17" s="498"/>
      <c r="L17" s="498"/>
      <c r="M17" s="498"/>
      <c r="N17" s="498"/>
    </row>
    <row r="18" spans="1:14" s="52" customFormat="1">
      <c r="A18" s="37"/>
      <c r="B18" s="196"/>
      <c r="C18" s="413"/>
      <c r="D18" s="413"/>
      <c r="E18" s="264"/>
      <c r="F18" s="264"/>
      <c r="G18" s="264"/>
      <c r="H18" s="264"/>
      <c r="I18" s="264"/>
      <c r="J18" s="305"/>
    </row>
    <row r="19" spans="1:14" s="52" customFormat="1">
      <c r="A19" s="37"/>
      <c r="B19" s="196"/>
      <c r="C19" s="413"/>
      <c r="D19" s="413"/>
      <c r="E19" s="264"/>
      <c r="F19" s="264"/>
      <c r="G19" s="264"/>
      <c r="H19" s="264"/>
      <c r="I19" s="264"/>
      <c r="J19" s="305"/>
    </row>
    <row r="20" spans="1:14" s="52" customFormat="1">
      <c r="A20" s="37"/>
      <c r="B20" s="3870" t="s">
        <v>93</v>
      </c>
      <c r="C20" s="3871"/>
      <c r="D20" s="3872"/>
    </row>
    <row r="21" spans="1:14" s="52" customFormat="1">
      <c r="A21" s="37"/>
      <c r="B21" s="3873" t="s">
        <v>789</v>
      </c>
      <c r="C21" s="3874" t="s">
        <v>790</v>
      </c>
      <c r="D21" s="3876" t="s">
        <v>791</v>
      </c>
      <c r="E21" s="3867" t="s">
        <v>333</v>
      </c>
      <c r="F21" s="3868"/>
      <c r="G21" s="3868"/>
      <c r="H21" s="3869"/>
    </row>
    <row r="22" spans="1:14" s="52" customFormat="1" ht="25.5">
      <c r="A22" s="37"/>
      <c r="B22" s="3873"/>
      <c r="C22" s="3875"/>
      <c r="D22" s="3877"/>
      <c r="E22" s="3214" t="s">
        <v>792</v>
      </c>
      <c r="F22" s="1960" t="s">
        <v>793</v>
      </c>
      <c r="G22" s="3215" t="s">
        <v>794</v>
      </c>
      <c r="H22" s="3388" t="s">
        <v>118</v>
      </c>
      <c r="I22" s="116"/>
      <c r="J22" s="196"/>
    </row>
    <row r="23" spans="1:14" s="52" customFormat="1">
      <c r="A23" s="37"/>
      <c r="B23" s="3718"/>
      <c r="C23" s="2916" t="s">
        <v>795</v>
      </c>
      <c r="D23" s="3179" t="s">
        <v>216</v>
      </c>
      <c r="E23" s="3215" t="s">
        <v>216</v>
      </c>
      <c r="F23" s="3215" t="s">
        <v>216</v>
      </c>
      <c r="G23" s="1961" t="s">
        <v>216</v>
      </c>
      <c r="H23" s="3215" t="s">
        <v>216</v>
      </c>
      <c r="I23" s="116"/>
      <c r="J23" s="196"/>
    </row>
    <row r="24" spans="1:14" s="52" customFormat="1">
      <c r="A24" s="37"/>
      <c r="B24" s="1912">
        <v>2021</v>
      </c>
      <c r="C24" s="1981">
        <v>10936</v>
      </c>
      <c r="D24" s="1981">
        <v>42359361</v>
      </c>
      <c r="E24" s="3216"/>
      <c r="F24" s="1981">
        <v>581267</v>
      </c>
      <c r="G24" s="1981">
        <v>37434</v>
      </c>
      <c r="H24" s="1981">
        <f>SUM(E24:G24)</f>
        <v>618701</v>
      </c>
      <c r="I24" s="116"/>
      <c r="J24" s="196"/>
    </row>
    <row r="25" spans="1:14" s="52" customFormat="1">
      <c r="A25" s="37"/>
      <c r="B25" s="3003">
        <v>2020</v>
      </c>
      <c r="C25" s="1981">
        <v>9107</v>
      </c>
      <c r="D25" s="1981">
        <v>27182542</v>
      </c>
      <c r="E25" s="3216"/>
      <c r="F25" s="1981">
        <v>390626</v>
      </c>
      <c r="G25" s="1981">
        <v>30313</v>
      </c>
      <c r="H25" s="1981">
        <f>SUM(E25:G25)</f>
        <v>420939</v>
      </c>
      <c r="I25" s="498"/>
      <c r="J25" s="498"/>
      <c r="K25" s="498"/>
      <c r="L25" s="498"/>
      <c r="M25" s="498"/>
      <c r="N25" s="498"/>
    </row>
    <row r="26" spans="1:14" s="52" customFormat="1">
      <c r="A26" s="37"/>
      <c r="B26" s="196"/>
      <c r="C26" s="413"/>
      <c r="D26" s="413"/>
      <c r="E26" s="264"/>
      <c r="F26" s="264"/>
      <c r="G26" s="264"/>
      <c r="H26" s="264"/>
      <c r="I26" s="264"/>
      <c r="J26" s="305"/>
    </row>
    <row r="28" spans="1:14" s="52" customFormat="1">
      <c r="A28" s="37"/>
      <c r="B28" s="3870" t="s">
        <v>94</v>
      </c>
      <c r="C28" s="3871"/>
      <c r="D28" s="3872"/>
    </row>
    <row r="29" spans="1:14" s="52" customFormat="1">
      <c r="A29" s="37"/>
      <c r="B29" s="3873" t="s">
        <v>789</v>
      </c>
      <c r="C29" s="3874" t="s">
        <v>790</v>
      </c>
      <c r="D29" s="3876" t="s">
        <v>791</v>
      </c>
      <c r="E29" s="3867" t="s">
        <v>333</v>
      </c>
      <c r="F29" s="3868"/>
      <c r="G29" s="3868"/>
      <c r="H29" s="3869"/>
    </row>
    <row r="30" spans="1:14" s="52" customFormat="1" ht="25.5">
      <c r="A30" s="37"/>
      <c r="B30" s="3873"/>
      <c r="C30" s="3875"/>
      <c r="D30" s="3877"/>
      <c r="E30" s="3214" t="s">
        <v>792</v>
      </c>
      <c r="F30" s="1960" t="s">
        <v>793</v>
      </c>
      <c r="G30" s="3215" t="s">
        <v>794</v>
      </c>
      <c r="H30" s="3388" t="s">
        <v>118</v>
      </c>
      <c r="I30" s="116"/>
      <c r="J30" s="196"/>
    </row>
    <row r="31" spans="1:14" s="52" customFormat="1">
      <c r="A31" s="37"/>
      <c r="B31" s="3718"/>
      <c r="C31" s="2916" t="s">
        <v>795</v>
      </c>
      <c r="D31" s="3179" t="s">
        <v>216</v>
      </c>
      <c r="E31" s="3215" t="s">
        <v>216</v>
      </c>
      <c r="F31" s="3215" t="s">
        <v>216</v>
      </c>
      <c r="G31" s="1961" t="s">
        <v>216</v>
      </c>
      <c r="H31" s="3215" t="s">
        <v>216</v>
      </c>
      <c r="I31" s="116"/>
      <c r="J31" s="707"/>
      <c r="K31" s="707"/>
      <c r="L31" s="410"/>
    </row>
    <row r="32" spans="1:14" s="52" customFormat="1">
      <c r="A32" s="37"/>
      <c r="B32" s="1912">
        <v>2021</v>
      </c>
      <c r="C32" s="1981">
        <v>4969</v>
      </c>
      <c r="D32" s="1981">
        <v>7919334.8986948207</v>
      </c>
      <c r="E32" s="3179"/>
      <c r="F32" s="1981">
        <v>16325.674397999994</v>
      </c>
      <c r="G32" s="1981">
        <v>223559.41277400029</v>
      </c>
      <c r="H32" s="1981">
        <f>SUM(E32:G32)</f>
        <v>239885.08717200029</v>
      </c>
      <c r="I32" s="116"/>
      <c r="J32" s="707"/>
      <c r="K32" s="707"/>
      <c r="L32" s="410"/>
    </row>
    <row r="33" spans="1:14" s="52" customFormat="1">
      <c r="A33" s="37"/>
      <c r="B33" s="3003">
        <v>2020</v>
      </c>
      <c r="C33" s="1981">
        <v>4279</v>
      </c>
      <c r="D33" s="1981">
        <v>5426170.1748834988</v>
      </c>
      <c r="E33" s="3216"/>
      <c r="F33" s="1981">
        <v>5672.4739419999996</v>
      </c>
      <c r="G33" s="1981">
        <v>155823.04528400025</v>
      </c>
      <c r="H33" s="1981">
        <f>SUM(E33:G33)</f>
        <v>161495.51922600027</v>
      </c>
      <c r="I33" s="498"/>
      <c r="J33" s="498"/>
      <c r="K33" s="498"/>
      <c r="L33" s="498"/>
      <c r="M33" s="498"/>
      <c r="N33" s="498"/>
    </row>
    <row r="34" spans="1:14" s="52" customFormat="1">
      <c r="A34" s="37"/>
      <c r="B34" s="196"/>
      <c r="C34" s="595"/>
      <c r="D34" s="595"/>
      <c r="F34" s="595"/>
      <c r="G34" s="460"/>
      <c r="H34" s="595"/>
      <c r="I34" s="196"/>
      <c r="J34" s="196"/>
    </row>
    <row r="35" spans="1:14" s="52" customFormat="1">
      <c r="A35" s="37"/>
      <c r="B35" s="196"/>
      <c r="C35" s="413"/>
      <c r="D35" s="413"/>
      <c r="H35" s="52">
        <v>182</v>
      </c>
    </row>
    <row r="36" spans="1:14" s="52" customFormat="1">
      <c r="A36" s="37"/>
      <c r="B36" s="196"/>
      <c r="C36" s="413"/>
      <c r="D36" s="413"/>
      <c r="E36" s="196"/>
      <c r="F36" s="196"/>
      <c r="G36" s="196"/>
      <c r="H36" s="196"/>
      <c r="I36" s="196"/>
      <c r="J36" s="196"/>
    </row>
    <row r="37" spans="1:14" s="52" customFormat="1">
      <c r="A37" s="37"/>
      <c r="B37" s="51" t="s">
        <v>796</v>
      </c>
      <c r="C37" s="413"/>
      <c r="D37" s="413"/>
      <c r="E37" s="196"/>
      <c r="F37" s="196"/>
      <c r="G37" s="196"/>
      <c r="H37" s="196"/>
      <c r="I37" s="196"/>
      <c r="J37" s="196"/>
    </row>
    <row r="38" spans="1:14" s="52" customFormat="1">
      <c r="A38" s="37"/>
      <c r="B38" s="196"/>
      <c r="C38" s="413"/>
      <c r="D38" s="413"/>
      <c r="E38" s="196"/>
      <c r="F38" s="196"/>
      <c r="G38" s="196"/>
      <c r="H38" s="196"/>
      <c r="I38" s="196"/>
      <c r="J38" s="196"/>
    </row>
    <row r="39" spans="1:14" s="52" customFormat="1">
      <c r="A39" s="37"/>
      <c r="B39" s="3870" t="s">
        <v>314</v>
      </c>
      <c r="C39" s="3871"/>
      <c r="D39" s="3872"/>
    </row>
    <row r="40" spans="1:14" s="52" customFormat="1">
      <c r="A40" s="37"/>
      <c r="B40" s="3873" t="s">
        <v>789</v>
      </c>
      <c r="C40" s="3874" t="s">
        <v>790</v>
      </c>
      <c r="D40" s="3876" t="s">
        <v>791</v>
      </c>
      <c r="E40" s="3867" t="s">
        <v>333</v>
      </c>
      <c r="F40" s="3868"/>
      <c r="G40" s="3868"/>
      <c r="H40" s="3869"/>
    </row>
    <row r="41" spans="1:14" s="52" customFormat="1" ht="25.5">
      <c r="A41" s="37"/>
      <c r="B41" s="3873"/>
      <c r="C41" s="3875"/>
      <c r="D41" s="3877"/>
      <c r="E41" s="3214" t="s">
        <v>792</v>
      </c>
      <c r="F41" s="1960" t="s">
        <v>793</v>
      </c>
      <c r="G41" s="3215" t="s">
        <v>794</v>
      </c>
      <c r="H41" s="3388" t="s">
        <v>118</v>
      </c>
      <c r="I41" s="116"/>
      <c r="J41" s="196"/>
    </row>
    <row r="42" spans="1:14" s="52" customFormat="1">
      <c r="A42" s="37"/>
      <c r="B42" s="3718"/>
      <c r="C42" s="2916" t="s">
        <v>795</v>
      </c>
      <c r="D42" s="3179" t="s">
        <v>216</v>
      </c>
      <c r="E42" s="3215" t="s">
        <v>216</v>
      </c>
      <c r="F42" s="3215" t="s">
        <v>216</v>
      </c>
      <c r="G42" s="1961" t="s">
        <v>216</v>
      </c>
      <c r="H42" s="3215" t="s">
        <v>216</v>
      </c>
      <c r="I42" s="116"/>
      <c r="J42" s="196"/>
    </row>
    <row r="43" spans="1:14" s="52" customFormat="1">
      <c r="A43" s="37"/>
      <c r="B43" s="1912">
        <v>2021</v>
      </c>
      <c r="C43" s="1981">
        <v>22186</v>
      </c>
      <c r="D43" s="1981">
        <v>12094096.414000001</v>
      </c>
      <c r="E43" s="3216"/>
      <c r="F43" s="2483">
        <v>1299628</v>
      </c>
      <c r="G43" s="3216"/>
      <c r="H43" s="1981">
        <f>SUM(E43:G43)</f>
        <v>1299628</v>
      </c>
      <c r="I43" s="116"/>
      <c r="J43" s="750"/>
      <c r="K43" s="750"/>
      <c r="L43" s="305"/>
    </row>
    <row r="44" spans="1:14" s="52" customFormat="1">
      <c r="A44" s="37"/>
      <c r="B44" s="3003">
        <v>2020</v>
      </c>
      <c r="C44" s="1981">
        <v>19232</v>
      </c>
      <c r="D44" s="1981">
        <v>12199766.7095</v>
      </c>
      <c r="E44" s="3216"/>
      <c r="F44" s="2483">
        <v>935565.63312999997</v>
      </c>
      <c r="G44" s="3216"/>
      <c r="H44" s="1981">
        <f>SUM(E44:G44)</f>
        <v>935565.63312999997</v>
      </c>
      <c r="I44" s="498"/>
      <c r="J44" s="709"/>
      <c r="K44" s="709"/>
      <c r="L44" s="305"/>
      <c r="M44" s="305"/>
      <c r="N44" s="305"/>
    </row>
    <row r="45" spans="1:14" s="52" customFormat="1">
      <c r="A45" s="37"/>
      <c r="B45" s="196"/>
      <c r="C45" s="413"/>
      <c r="D45" s="413"/>
      <c r="E45" s="196"/>
      <c r="F45" s="196"/>
      <c r="G45" s="196"/>
      <c r="H45" s="196"/>
      <c r="I45" s="196"/>
      <c r="J45" s="196"/>
    </row>
    <row r="46" spans="1:14" s="52" customFormat="1">
      <c r="A46" s="37"/>
      <c r="B46" s="196"/>
      <c r="C46" s="413"/>
      <c r="D46" s="413"/>
      <c r="E46" s="460"/>
      <c r="F46" s="460"/>
      <c r="G46" s="460"/>
      <c r="H46" s="460"/>
      <c r="I46" s="460"/>
      <c r="J46" s="264"/>
    </row>
    <row r="47" spans="1:14" s="52" customFormat="1">
      <c r="A47" s="37"/>
      <c r="B47" s="3870" t="s">
        <v>97</v>
      </c>
      <c r="C47" s="3871"/>
      <c r="D47" s="3872"/>
    </row>
    <row r="48" spans="1:14" s="52" customFormat="1">
      <c r="A48" s="37"/>
      <c r="B48" s="3873" t="s">
        <v>789</v>
      </c>
      <c r="C48" s="3874" t="s">
        <v>790</v>
      </c>
      <c r="D48" s="3876" t="s">
        <v>791</v>
      </c>
      <c r="E48" s="3867" t="s">
        <v>333</v>
      </c>
      <c r="F48" s="3868"/>
      <c r="G48" s="3868"/>
      <c r="H48" s="3869"/>
    </row>
    <row r="49" spans="1:14" s="52" customFormat="1" ht="25.5">
      <c r="A49" s="37"/>
      <c r="B49" s="3873"/>
      <c r="C49" s="3875"/>
      <c r="D49" s="3877"/>
      <c r="E49" s="3214" t="s">
        <v>792</v>
      </c>
      <c r="F49" s="1960" t="s">
        <v>793</v>
      </c>
      <c r="G49" s="3215" t="s">
        <v>794</v>
      </c>
      <c r="H49" s="3388" t="s">
        <v>118</v>
      </c>
      <c r="I49" s="116"/>
      <c r="J49" s="196"/>
    </row>
    <row r="50" spans="1:14" s="52" customFormat="1">
      <c r="A50" s="37"/>
      <c r="B50" s="3718"/>
      <c r="C50" s="2916" t="s">
        <v>795</v>
      </c>
      <c r="D50" s="3179" t="s">
        <v>216</v>
      </c>
      <c r="E50" s="3215" t="s">
        <v>216</v>
      </c>
      <c r="F50" s="3215" t="s">
        <v>216</v>
      </c>
      <c r="G50" s="1961" t="s">
        <v>216</v>
      </c>
      <c r="H50" s="3215" t="s">
        <v>216</v>
      </c>
      <c r="I50" s="116"/>
      <c r="J50" s="196"/>
    </row>
    <row r="51" spans="1:14" s="52" customFormat="1">
      <c r="A51" s="37"/>
      <c r="B51" s="1912">
        <v>2021</v>
      </c>
      <c r="C51" s="1981">
        <v>115868</v>
      </c>
      <c r="D51" s="1981">
        <v>60349876.880070001</v>
      </c>
      <c r="E51" s="1981">
        <v>146856.68404093347</v>
      </c>
      <c r="F51" s="2483">
        <v>790811</v>
      </c>
      <c r="G51" s="3216"/>
      <c r="H51" s="1981">
        <f>SUM(E51:G51)</f>
        <v>937667.6840409335</v>
      </c>
      <c r="I51" s="116"/>
      <c r="J51" s="898"/>
      <c r="K51" s="750"/>
      <c r="L51" s="305"/>
    </row>
    <row r="52" spans="1:14" s="52" customFormat="1">
      <c r="A52" s="37"/>
      <c r="B52" s="3003">
        <v>2020</v>
      </c>
      <c r="C52" s="1981">
        <v>108866</v>
      </c>
      <c r="D52" s="1981">
        <v>69298705.870299995</v>
      </c>
      <c r="E52" s="1981">
        <v>131370.47200000001</v>
      </c>
      <c r="F52" s="2483">
        <v>603343.21677000006</v>
      </c>
      <c r="G52" s="3216"/>
      <c r="H52" s="1981">
        <f>SUM(E52:G52)</f>
        <v>734713.68877000012</v>
      </c>
      <c r="I52" s="498"/>
      <c r="J52" s="750"/>
      <c r="K52" s="751"/>
      <c r="L52" s="305"/>
      <c r="M52" s="305"/>
      <c r="N52" s="305"/>
    </row>
    <row r="53" spans="1:14" s="52" customFormat="1">
      <c r="A53" s="37"/>
      <c r="B53" s="196"/>
      <c r="C53" s="413"/>
      <c r="D53" s="413"/>
      <c r="E53" s="460"/>
      <c r="F53" s="460"/>
      <c r="G53" s="264"/>
      <c r="H53" s="264"/>
      <c r="J53" s="264"/>
    </row>
    <row r="54" spans="1:14" s="52" customFormat="1">
      <c r="A54" s="37"/>
      <c r="B54" s="196"/>
      <c r="C54" s="413"/>
      <c r="D54" s="413"/>
      <c r="E54" s="264"/>
      <c r="F54" s="264"/>
      <c r="G54" s="264"/>
      <c r="H54" s="264"/>
      <c r="I54" s="264"/>
      <c r="J54" s="264"/>
    </row>
    <row r="55" spans="1:14" s="52" customFormat="1">
      <c r="A55" s="37"/>
      <c r="B55" s="3870" t="s">
        <v>233</v>
      </c>
      <c r="C55" s="3871"/>
      <c r="D55" s="3872"/>
    </row>
    <row r="56" spans="1:14" s="52" customFormat="1">
      <c r="A56" s="37"/>
      <c r="B56" s="3873" t="s">
        <v>789</v>
      </c>
      <c r="C56" s="3874" t="s">
        <v>790</v>
      </c>
      <c r="D56" s="3876" t="s">
        <v>791</v>
      </c>
      <c r="E56" s="3867" t="s">
        <v>333</v>
      </c>
      <c r="F56" s="3868"/>
      <c r="G56" s="3868"/>
      <c r="H56" s="3869"/>
    </row>
    <row r="57" spans="1:14" s="52" customFormat="1" ht="25.5">
      <c r="A57" s="37"/>
      <c r="B57" s="3873"/>
      <c r="C57" s="3875"/>
      <c r="D57" s="3877"/>
      <c r="E57" s="3214" t="s">
        <v>792</v>
      </c>
      <c r="F57" s="1960" t="s">
        <v>793</v>
      </c>
      <c r="G57" s="3215" t="s">
        <v>794</v>
      </c>
      <c r="H57" s="3388" t="s">
        <v>118</v>
      </c>
      <c r="I57" s="116"/>
      <c r="J57" s="196"/>
    </row>
    <row r="58" spans="1:14" s="52" customFormat="1">
      <c r="A58" s="37"/>
      <c r="B58" s="3718"/>
      <c r="C58" s="2916" t="s">
        <v>795</v>
      </c>
      <c r="D58" s="3179" t="s">
        <v>216</v>
      </c>
      <c r="E58" s="3215" t="s">
        <v>216</v>
      </c>
      <c r="F58" s="3215" t="s">
        <v>216</v>
      </c>
      <c r="G58" s="1961" t="s">
        <v>216</v>
      </c>
      <c r="H58" s="3215" t="s">
        <v>216</v>
      </c>
      <c r="I58" s="116"/>
      <c r="J58" s="196"/>
    </row>
    <row r="59" spans="1:14" s="52" customFormat="1">
      <c r="A59" s="37"/>
      <c r="B59" s="1912">
        <v>2021</v>
      </c>
      <c r="C59" s="1981">
        <v>5392</v>
      </c>
      <c r="D59" s="1981">
        <v>3642828</v>
      </c>
      <c r="E59" s="1981">
        <v>1834</v>
      </c>
      <c r="F59" s="1981">
        <v>199460</v>
      </c>
      <c r="G59" s="3216"/>
      <c r="H59" s="1981">
        <f>SUM(E59:G59)</f>
        <v>201294</v>
      </c>
      <c r="I59" s="116"/>
      <c r="J59" s="899"/>
      <c r="K59" s="707"/>
      <c r="L59" s="410"/>
    </row>
    <row r="60" spans="1:14" s="52" customFormat="1">
      <c r="A60" s="37"/>
      <c r="B60" s="3003">
        <v>2020</v>
      </c>
      <c r="C60" s="1981">
        <v>6179</v>
      </c>
      <c r="D60" s="1981">
        <v>2779224</v>
      </c>
      <c r="E60" s="1981">
        <v>6024</v>
      </c>
      <c r="F60" s="2483">
        <v>253111</v>
      </c>
      <c r="G60" s="3216"/>
      <c r="H60" s="1981">
        <f>SUM(E60:G60)</f>
        <v>259135</v>
      </c>
      <c r="I60" s="498"/>
      <c r="J60" s="899"/>
      <c r="K60" s="707"/>
      <c r="L60" s="410"/>
      <c r="M60" s="305"/>
      <c r="N60" s="305"/>
    </row>
    <row r="61" spans="1:14" s="52" customFormat="1">
      <c r="A61" s="37"/>
      <c r="B61" s="196"/>
      <c r="C61" s="315"/>
      <c r="D61" s="315"/>
      <c r="E61" s="264"/>
      <c r="F61" s="315"/>
      <c r="G61" s="264"/>
      <c r="H61" s="315"/>
      <c r="I61" s="196"/>
      <c r="J61" s="196"/>
    </row>
    <row r="62" spans="1:14" s="52" customFormat="1">
      <c r="A62" s="37"/>
      <c r="B62" s="51"/>
      <c r="C62" s="413"/>
      <c r="D62" s="413"/>
    </row>
    <row r="63" spans="1:14" s="52" customFormat="1">
      <c r="A63" s="37"/>
      <c r="B63" s="3870" t="s">
        <v>103</v>
      </c>
      <c r="C63" s="3871"/>
      <c r="D63" s="3872"/>
    </row>
    <row r="64" spans="1:14" s="52" customFormat="1">
      <c r="A64" s="37"/>
      <c r="B64" s="3873" t="s">
        <v>789</v>
      </c>
      <c r="C64" s="3874" t="s">
        <v>790</v>
      </c>
      <c r="D64" s="3890" t="s">
        <v>791</v>
      </c>
      <c r="E64" s="3867" t="s">
        <v>333</v>
      </c>
      <c r="F64" s="3868"/>
      <c r="G64" s="3868"/>
      <c r="H64" s="3869"/>
    </row>
    <row r="65" spans="1:14" s="52" customFormat="1" ht="25.5">
      <c r="A65" s="37"/>
      <c r="B65" s="3873"/>
      <c r="C65" s="3875"/>
      <c r="D65" s="3891"/>
      <c r="E65" s="3214" t="s">
        <v>792</v>
      </c>
      <c r="F65" s="1960" t="s">
        <v>793</v>
      </c>
      <c r="G65" s="3215" t="s">
        <v>794</v>
      </c>
      <c r="H65" s="3388" t="s">
        <v>118</v>
      </c>
      <c r="I65" s="116"/>
      <c r="J65" s="196"/>
    </row>
    <row r="66" spans="1:14" s="52" customFormat="1">
      <c r="A66" s="37"/>
      <c r="B66" s="3718"/>
      <c r="C66" s="2916" t="s">
        <v>795</v>
      </c>
      <c r="D66" s="3179" t="s">
        <v>216</v>
      </c>
      <c r="E66" s="3215" t="s">
        <v>216</v>
      </c>
      <c r="F66" s="3215" t="s">
        <v>216</v>
      </c>
      <c r="G66" s="1961" t="s">
        <v>216</v>
      </c>
      <c r="H66" s="3215" t="s">
        <v>216</v>
      </c>
      <c r="I66" s="116"/>
      <c r="J66" s="196"/>
    </row>
    <row r="67" spans="1:14" s="52" customFormat="1">
      <c r="A67" s="37"/>
      <c r="B67" s="1912">
        <v>2021</v>
      </c>
      <c r="C67" s="1981">
        <v>34371</v>
      </c>
      <c r="D67" s="1981">
        <v>75884940</v>
      </c>
      <c r="E67" s="1981">
        <v>6362</v>
      </c>
      <c r="F67" s="1981">
        <v>2789353</v>
      </c>
      <c r="G67" s="3216"/>
      <c r="H67" s="1981">
        <f>SUM(E67:G67)</f>
        <v>2795715</v>
      </c>
      <c r="I67" s="116"/>
      <c r="J67" s="707"/>
      <c r="K67" s="707"/>
      <c r="L67" s="410"/>
    </row>
    <row r="68" spans="1:14" s="52" customFormat="1">
      <c r="A68" s="37"/>
      <c r="B68" s="3003">
        <v>2020</v>
      </c>
      <c r="C68" s="1981">
        <v>24635</v>
      </c>
      <c r="D68" s="1981">
        <v>39708515</v>
      </c>
      <c r="E68" s="1981">
        <v>10191</v>
      </c>
      <c r="F68" s="2483">
        <v>1940385.9750218752</v>
      </c>
      <c r="G68" s="3216"/>
      <c r="H68" s="1981">
        <f>SUM(E68:G68)</f>
        <v>1950576.9750218752</v>
      </c>
      <c r="I68" s="498"/>
      <c r="J68" s="707"/>
      <c r="K68" s="707"/>
      <c r="L68" s="410"/>
      <c r="M68" s="305"/>
      <c r="N68" s="305"/>
    </row>
    <row r="69" spans="1:14" s="52" customFormat="1">
      <c r="A69" s="37"/>
      <c r="B69" s="196"/>
      <c r="C69" s="413"/>
      <c r="D69" s="413"/>
      <c r="E69" s="116"/>
      <c r="F69" s="116"/>
      <c r="G69" s="116"/>
      <c r="H69" s="116"/>
      <c r="I69" s="116"/>
      <c r="J69" s="196"/>
    </row>
    <row r="70" spans="1:14" s="52" customFormat="1">
      <c r="A70" s="37"/>
      <c r="B70" s="196"/>
      <c r="C70" s="413"/>
      <c r="D70" s="413"/>
      <c r="E70" s="116"/>
      <c r="F70" s="116"/>
      <c r="G70" s="116"/>
      <c r="H70" s="292">
        <v>183</v>
      </c>
      <c r="I70" s="116"/>
      <c r="J70" s="196"/>
    </row>
    <row r="71" spans="1:14" s="52" customFormat="1">
      <c r="A71" s="37"/>
      <c r="B71" s="51" t="s">
        <v>796</v>
      </c>
      <c r="C71" s="413"/>
      <c r="D71" s="413"/>
      <c r="E71" s="116"/>
      <c r="F71" s="116"/>
      <c r="G71" s="116"/>
      <c r="H71" s="292"/>
      <c r="I71" s="116"/>
      <c r="J71" s="196"/>
    </row>
    <row r="72" spans="1:14" s="52" customFormat="1">
      <c r="A72" s="37"/>
      <c r="B72" s="196"/>
      <c r="C72" s="413"/>
      <c r="D72" s="413"/>
      <c r="E72" s="498"/>
      <c r="F72" s="498"/>
      <c r="G72" s="498"/>
      <c r="H72" s="498"/>
      <c r="I72" s="196"/>
    </row>
    <row r="73" spans="1:14" s="52" customFormat="1">
      <c r="A73" s="37"/>
      <c r="B73" s="3870" t="s">
        <v>105</v>
      </c>
      <c r="C73" s="3871"/>
      <c r="D73" s="3872"/>
      <c r="I73" s="498"/>
      <c r="J73" s="264"/>
    </row>
    <row r="74" spans="1:14" s="52" customFormat="1">
      <c r="A74" s="37"/>
      <c r="B74" s="3873" t="s">
        <v>789</v>
      </c>
      <c r="C74" s="3874" t="s">
        <v>790</v>
      </c>
      <c r="D74" s="3876" t="s">
        <v>791</v>
      </c>
      <c r="E74" s="3867" t="s">
        <v>333</v>
      </c>
      <c r="F74" s="3868"/>
      <c r="G74" s="3868"/>
      <c r="H74" s="3869"/>
    </row>
    <row r="75" spans="1:14" s="52" customFormat="1" ht="25.5">
      <c r="A75" s="37"/>
      <c r="B75" s="3873"/>
      <c r="C75" s="3875"/>
      <c r="D75" s="3877"/>
      <c r="E75" s="3214" t="s">
        <v>792</v>
      </c>
      <c r="F75" s="1960" t="s">
        <v>793</v>
      </c>
      <c r="G75" s="3215" t="s">
        <v>794</v>
      </c>
      <c r="H75" s="3388" t="s">
        <v>118</v>
      </c>
    </row>
    <row r="76" spans="1:14" s="52" customFormat="1">
      <c r="A76" s="37"/>
      <c r="B76" s="3718"/>
      <c r="C76" s="2916" t="s">
        <v>795</v>
      </c>
      <c r="D76" s="3179" t="s">
        <v>216</v>
      </c>
      <c r="E76" s="3215" t="s">
        <v>216</v>
      </c>
      <c r="F76" s="3215" t="s">
        <v>216</v>
      </c>
      <c r="G76" s="1961" t="s">
        <v>216</v>
      </c>
      <c r="H76" s="3215" t="s">
        <v>216</v>
      </c>
      <c r="I76" s="116"/>
      <c r="J76" s="196"/>
    </row>
    <row r="77" spans="1:14" s="52" customFormat="1">
      <c r="A77" s="37"/>
      <c r="B77" s="1912">
        <v>2021</v>
      </c>
      <c r="C77" s="1981">
        <v>30096</v>
      </c>
      <c r="D77" s="1981">
        <v>90761164</v>
      </c>
      <c r="E77" s="3216"/>
      <c r="F77" s="1981">
        <v>2931618</v>
      </c>
      <c r="G77" s="3216"/>
      <c r="H77" s="1981">
        <f>SUM(E77:G77)</f>
        <v>2931618</v>
      </c>
      <c r="I77" s="116"/>
      <c r="J77" s="707"/>
      <c r="K77" s="707"/>
      <c r="L77" s="410"/>
    </row>
    <row r="78" spans="1:14" s="52" customFormat="1">
      <c r="A78" s="37"/>
      <c r="B78" s="3003">
        <v>2020</v>
      </c>
      <c r="C78" s="1981">
        <v>16092</v>
      </c>
      <c r="D78" s="1981">
        <v>61791484</v>
      </c>
      <c r="E78" s="3216"/>
      <c r="F78" s="2483">
        <v>1799760.0019999999</v>
      </c>
      <c r="G78" s="3216"/>
      <c r="H78" s="1981">
        <f>SUM(E78:G78)</f>
        <v>1799760.0019999999</v>
      </c>
      <c r="I78" s="633"/>
      <c r="J78" s="707"/>
      <c r="K78" s="707"/>
      <c r="L78" s="410"/>
      <c r="M78" s="305"/>
      <c r="N78" s="305"/>
    </row>
    <row r="79" spans="1:14" s="52" customFormat="1">
      <c r="A79" s="37"/>
      <c r="B79" s="196"/>
      <c r="C79" s="413"/>
      <c r="D79" s="413"/>
      <c r="E79" s="498"/>
      <c r="F79" s="498"/>
      <c r="G79" s="498"/>
      <c r="H79" s="498"/>
      <c r="I79" s="196"/>
      <c r="J79" s="196"/>
    </row>
    <row r="80" spans="1:14" s="52" customFormat="1">
      <c r="A80" s="37"/>
      <c r="B80" s="196"/>
      <c r="C80" s="413"/>
      <c r="D80" s="413"/>
      <c r="E80" s="264"/>
      <c r="F80" s="264"/>
      <c r="G80" s="264"/>
      <c r="H80" s="264"/>
      <c r="I80" s="498"/>
      <c r="J80" s="264"/>
    </row>
    <row r="81" spans="1:14" s="52" customFormat="1">
      <c r="A81" s="37"/>
      <c r="B81" s="3870" t="s">
        <v>106</v>
      </c>
      <c r="C81" s="3871"/>
      <c r="D81" s="3872"/>
      <c r="I81" s="595"/>
      <c r="J81" s="264"/>
    </row>
    <row r="82" spans="1:14" s="52" customFormat="1">
      <c r="A82" s="37"/>
      <c r="B82" s="3873" t="s">
        <v>789</v>
      </c>
      <c r="C82" s="3874" t="s">
        <v>790</v>
      </c>
      <c r="D82" s="3876" t="s">
        <v>791</v>
      </c>
      <c r="E82" s="3867" t="s">
        <v>333</v>
      </c>
      <c r="F82" s="3868"/>
      <c r="G82" s="3868"/>
      <c r="H82" s="3869"/>
      <c r="I82" s="305"/>
      <c r="J82" s="264"/>
    </row>
    <row r="83" spans="1:14" s="52" customFormat="1" ht="25.5">
      <c r="A83" s="37"/>
      <c r="B83" s="3873"/>
      <c r="C83" s="3875"/>
      <c r="D83" s="3877"/>
      <c r="E83" s="3214" t="s">
        <v>792</v>
      </c>
      <c r="F83" s="1960" t="s">
        <v>793</v>
      </c>
      <c r="G83" s="3215" t="s">
        <v>794</v>
      </c>
      <c r="H83" s="3388" t="s">
        <v>118</v>
      </c>
    </row>
    <row r="84" spans="1:14" s="52" customFormat="1">
      <c r="A84" s="37"/>
      <c r="B84" s="3718"/>
      <c r="C84" s="2916" t="s">
        <v>795</v>
      </c>
      <c r="D84" s="3179" t="s">
        <v>216</v>
      </c>
      <c r="E84" s="3215" t="s">
        <v>216</v>
      </c>
      <c r="F84" s="3215" t="s">
        <v>216</v>
      </c>
      <c r="G84" s="1961" t="s">
        <v>216</v>
      </c>
      <c r="H84" s="3215" t="s">
        <v>216</v>
      </c>
    </row>
    <row r="85" spans="1:14" s="52" customFormat="1">
      <c r="A85" s="37"/>
      <c r="B85" s="1912">
        <v>2021</v>
      </c>
      <c r="C85" s="1981">
        <v>6249</v>
      </c>
      <c r="D85" s="1981">
        <v>1454394</v>
      </c>
      <c r="E85" s="1981">
        <v>379935</v>
      </c>
      <c r="F85" s="1981">
        <v>376818</v>
      </c>
      <c r="G85" s="3216"/>
      <c r="H85" s="1981">
        <f>SUM(E85:G85)</f>
        <v>756753</v>
      </c>
    </row>
    <row r="86" spans="1:14" s="52" customFormat="1">
      <c r="A86" s="37"/>
      <c r="B86" s="3003">
        <v>2020</v>
      </c>
      <c r="C86" s="1981">
        <v>5582</v>
      </c>
      <c r="D86" s="1981">
        <v>1642627</v>
      </c>
      <c r="E86" s="1981">
        <v>165986</v>
      </c>
      <c r="F86" s="1981">
        <v>315729</v>
      </c>
      <c r="G86" s="3216"/>
      <c r="H86" s="1981">
        <f>SUM(E86:G86)</f>
        <v>481715</v>
      </c>
      <c r="I86" s="633"/>
      <c r="J86" s="633"/>
      <c r="K86" s="633"/>
      <c r="L86" s="305"/>
      <c r="M86" s="305"/>
      <c r="N86" s="305"/>
    </row>
    <row r="87" spans="1:14" s="52" customFormat="1">
      <c r="A87" s="37"/>
      <c r="B87" s="196"/>
      <c r="C87" s="413"/>
      <c r="D87" s="413"/>
      <c r="E87" s="264"/>
      <c r="F87" s="264"/>
      <c r="G87" s="264"/>
      <c r="H87" s="264"/>
      <c r="I87" s="196"/>
      <c r="J87" s="196"/>
    </row>
    <row r="88" spans="1:14" s="52" customFormat="1">
      <c r="A88" s="37"/>
      <c r="B88" s="196"/>
      <c r="C88" s="413"/>
      <c r="D88" s="413"/>
      <c r="E88" s="264"/>
      <c r="F88" s="264"/>
      <c r="G88" s="264"/>
      <c r="H88" s="264"/>
      <c r="I88" s="196"/>
      <c r="J88" s="196"/>
    </row>
    <row r="89" spans="1:14" s="52" customFormat="1">
      <c r="A89" s="37"/>
      <c r="B89" s="3870" t="s">
        <v>107</v>
      </c>
      <c r="C89" s="3871"/>
      <c r="D89" s="3872"/>
      <c r="J89" s="264"/>
    </row>
    <row r="90" spans="1:14" s="52" customFormat="1">
      <c r="A90" s="37"/>
      <c r="B90" s="3873" t="s">
        <v>789</v>
      </c>
      <c r="C90" s="3874" t="s">
        <v>790</v>
      </c>
      <c r="D90" s="3876" t="s">
        <v>791</v>
      </c>
      <c r="E90" s="3867" t="s">
        <v>333</v>
      </c>
      <c r="F90" s="3868"/>
      <c r="G90" s="3868"/>
      <c r="H90" s="3869"/>
    </row>
    <row r="91" spans="1:14" s="52" customFormat="1" ht="25.5">
      <c r="A91" s="37"/>
      <c r="B91" s="3873"/>
      <c r="C91" s="3875"/>
      <c r="D91" s="3877"/>
      <c r="E91" s="3214" t="s">
        <v>792</v>
      </c>
      <c r="F91" s="1960" t="s">
        <v>793</v>
      </c>
      <c r="G91" s="3215" t="s">
        <v>794</v>
      </c>
      <c r="H91" s="3388" t="s">
        <v>118</v>
      </c>
    </row>
    <row r="92" spans="1:14" s="52" customFormat="1">
      <c r="A92" s="37"/>
      <c r="B92" s="3718"/>
      <c r="C92" s="2916" t="s">
        <v>795</v>
      </c>
      <c r="D92" s="3179" t="s">
        <v>216</v>
      </c>
      <c r="E92" s="3215" t="s">
        <v>216</v>
      </c>
      <c r="F92" s="3215" t="s">
        <v>216</v>
      </c>
      <c r="G92" s="1961" t="s">
        <v>216</v>
      </c>
      <c r="H92" s="3215" t="s">
        <v>216</v>
      </c>
    </row>
    <row r="93" spans="1:14" s="52" customFormat="1">
      <c r="A93" s="37"/>
      <c r="B93" s="1912">
        <v>2021</v>
      </c>
      <c r="C93" s="1981">
        <v>88783</v>
      </c>
      <c r="D93" s="1981">
        <v>176696755</v>
      </c>
      <c r="E93" s="3216"/>
      <c r="F93" s="1981">
        <v>3136723</v>
      </c>
      <c r="G93" s="3216"/>
      <c r="H93" s="1981">
        <f>SUM(E93:G93)</f>
        <v>3136723</v>
      </c>
      <c r="J93" s="707"/>
      <c r="K93" s="707"/>
      <c r="L93" s="410"/>
    </row>
    <row r="94" spans="1:14" s="52" customFormat="1">
      <c r="A94" s="37"/>
      <c r="B94" s="3003">
        <v>2020</v>
      </c>
      <c r="C94" s="1981">
        <v>94528</v>
      </c>
      <c r="D94" s="1981">
        <v>138164773</v>
      </c>
      <c r="E94" s="3216"/>
      <c r="F94" s="2483">
        <v>2268301</v>
      </c>
      <c r="G94" s="3216"/>
      <c r="H94" s="1981">
        <f>SUM(E94:G94)</f>
        <v>2268301</v>
      </c>
      <c r="I94" s="633"/>
      <c r="J94" s="707"/>
      <c r="K94" s="707"/>
      <c r="L94" s="410"/>
      <c r="M94" s="305"/>
      <c r="N94" s="305"/>
    </row>
    <row r="95" spans="1:14" s="52" customFormat="1">
      <c r="A95" s="37"/>
      <c r="B95" s="196"/>
      <c r="C95" s="315"/>
      <c r="D95" s="315"/>
      <c r="E95" s="264"/>
      <c r="F95" s="315"/>
      <c r="G95" s="264"/>
      <c r="H95" s="315"/>
      <c r="I95" s="196"/>
      <c r="J95" s="196"/>
    </row>
    <row r="96" spans="1:14" s="52" customFormat="1">
      <c r="A96" s="292"/>
      <c r="B96" s="292"/>
      <c r="C96" s="413"/>
      <c r="D96" s="413"/>
      <c r="E96" s="292"/>
      <c r="F96" s="292"/>
      <c r="G96" s="292"/>
      <c r="H96" s="292">
        <v>184</v>
      </c>
      <c r="I96" s="196"/>
      <c r="J96" s="196"/>
    </row>
    <row r="97" spans="1:14">
      <c r="B97" s="51" t="s">
        <v>796</v>
      </c>
    </row>
    <row r="98" spans="1:14">
      <c r="A98" s="37"/>
      <c r="B98" s="196"/>
      <c r="E98" s="52"/>
      <c r="F98" s="52"/>
      <c r="G98" s="52"/>
      <c r="H98" s="52"/>
    </row>
    <row r="99" spans="1:14">
      <c r="A99" s="37"/>
      <c r="B99" s="3870" t="s">
        <v>109</v>
      </c>
      <c r="C99" s="3871"/>
      <c r="D99" s="3872"/>
      <c r="E99" s="52"/>
      <c r="F99" s="52"/>
      <c r="G99" s="52"/>
      <c r="H99" s="52"/>
    </row>
    <row r="100" spans="1:14" s="52" customFormat="1">
      <c r="A100" s="37"/>
      <c r="B100" s="3873" t="s">
        <v>789</v>
      </c>
      <c r="C100" s="3874" t="s">
        <v>790</v>
      </c>
      <c r="D100" s="3876" t="s">
        <v>791</v>
      </c>
      <c r="E100" s="3867" t="s">
        <v>333</v>
      </c>
      <c r="F100" s="3868"/>
      <c r="G100" s="3868"/>
      <c r="H100" s="3869"/>
    </row>
    <row r="101" spans="1:14" s="52" customFormat="1" ht="25.5">
      <c r="A101" s="37"/>
      <c r="B101" s="3873"/>
      <c r="C101" s="3875"/>
      <c r="D101" s="3877"/>
      <c r="E101" s="3214" t="s">
        <v>792</v>
      </c>
      <c r="F101" s="1960" t="s">
        <v>793</v>
      </c>
      <c r="G101" s="3215" t="s">
        <v>794</v>
      </c>
      <c r="H101" s="3388" t="s">
        <v>118</v>
      </c>
    </row>
    <row r="102" spans="1:14" s="52" customFormat="1">
      <c r="A102" s="37"/>
      <c r="B102" s="3718"/>
      <c r="C102" s="2916" t="s">
        <v>795</v>
      </c>
      <c r="D102" s="3179" t="s">
        <v>216</v>
      </c>
      <c r="E102" s="3215" t="s">
        <v>216</v>
      </c>
      <c r="F102" s="3215" t="s">
        <v>216</v>
      </c>
      <c r="G102" s="1961" t="s">
        <v>216</v>
      </c>
      <c r="H102" s="3215" t="s">
        <v>216</v>
      </c>
    </row>
    <row r="103" spans="1:14" s="52" customFormat="1">
      <c r="A103" s="37"/>
      <c r="B103" s="1912">
        <v>2021</v>
      </c>
      <c r="C103" s="3216"/>
      <c r="D103" s="3216"/>
      <c r="E103" s="3216"/>
      <c r="F103" s="3216"/>
      <c r="G103" s="3216"/>
      <c r="H103" s="1981">
        <f>SUM(E103:G103)</f>
        <v>0</v>
      </c>
    </row>
    <row r="104" spans="1:14" s="52" customFormat="1">
      <c r="A104" s="37"/>
      <c r="B104" s="3003">
        <v>2020</v>
      </c>
      <c r="C104" s="1981">
        <v>38</v>
      </c>
      <c r="D104" s="1981">
        <v>14121</v>
      </c>
      <c r="E104" s="1991">
        <v>0</v>
      </c>
      <c r="F104" s="1981">
        <v>111.1</v>
      </c>
      <c r="G104" s="664"/>
      <c r="H104" s="1981">
        <f>SUM(E104:G104)</f>
        <v>111.1</v>
      </c>
      <c r="I104" s="633"/>
      <c r="J104" s="633"/>
      <c r="K104" s="633"/>
      <c r="L104" s="305"/>
      <c r="M104" s="305"/>
      <c r="N104" s="305"/>
    </row>
    <row r="105" spans="1:14" s="52" customFormat="1">
      <c r="A105" s="37"/>
      <c r="B105" s="196"/>
      <c r="C105" s="413"/>
      <c r="D105" s="413"/>
      <c r="E105" s="595"/>
      <c r="F105" s="595"/>
      <c r="G105" s="595"/>
      <c r="H105" s="595"/>
      <c r="I105" s="196"/>
      <c r="J105" s="196"/>
    </row>
    <row r="106" spans="1:14" s="52" customFormat="1">
      <c r="A106" s="37"/>
      <c r="B106" s="3870" t="s">
        <v>113</v>
      </c>
      <c r="C106" s="3871"/>
      <c r="D106" s="3872"/>
      <c r="I106" s="116"/>
      <c r="J106" s="196"/>
    </row>
    <row r="107" spans="1:14" s="52" customFormat="1">
      <c r="A107" s="37"/>
      <c r="B107" s="3873" t="s">
        <v>789</v>
      </c>
      <c r="C107" s="3874" t="s">
        <v>790</v>
      </c>
      <c r="D107" s="3876" t="s">
        <v>791</v>
      </c>
      <c r="E107" s="3867" t="s">
        <v>333</v>
      </c>
      <c r="F107" s="3868"/>
      <c r="G107" s="3868"/>
      <c r="H107" s="3869"/>
      <c r="I107" s="595"/>
      <c r="J107" s="595"/>
    </row>
    <row r="108" spans="1:14" s="52" customFormat="1" ht="25.5">
      <c r="A108" s="37"/>
      <c r="B108" s="3873"/>
      <c r="C108" s="3875"/>
      <c r="D108" s="3877"/>
      <c r="E108" s="3214" t="s">
        <v>792</v>
      </c>
      <c r="F108" s="1960" t="s">
        <v>793</v>
      </c>
      <c r="G108" s="3215" t="s">
        <v>794</v>
      </c>
      <c r="H108" s="3388" t="s">
        <v>118</v>
      </c>
    </row>
    <row r="109" spans="1:14" s="52" customFormat="1">
      <c r="A109" s="37"/>
      <c r="B109" s="3718"/>
      <c r="C109" s="2916" t="s">
        <v>795</v>
      </c>
      <c r="D109" s="3179" t="s">
        <v>216</v>
      </c>
      <c r="E109" s="3215" t="s">
        <v>216</v>
      </c>
      <c r="F109" s="3215" t="s">
        <v>216</v>
      </c>
      <c r="G109" s="1961" t="s">
        <v>216</v>
      </c>
      <c r="H109" s="3215" t="s">
        <v>216</v>
      </c>
    </row>
    <row r="110" spans="1:14" s="52" customFormat="1">
      <c r="A110" s="37"/>
      <c r="B110" s="1912">
        <v>2021</v>
      </c>
      <c r="C110" s="1981">
        <v>25971</v>
      </c>
      <c r="D110" s="1981">
        <v>12037416.662</v>
      </c>
      <c r="E110" s="1981">
        <v>721.54399999999998</v>
      </c>
      <c r="F110" s="1981">
        <v>707010</v>
      </c>
      <c r="G110" s="3216"/>
      <c r="H110" s="1981">
        <f>SUM(E110:G110)</f>
        <v>707731.54399999999</v>
      </c>
    </row>
    <row r="111" spans="1:14" s="52" customFormat="1">
      <c r="A111" s="37"/>
      <c r="B111" s="3003">
        <v>2020</v>
      </c>
      <c r="C111" s="1981">
        <v>35577</v>
      </c>
      <c r="D111" s="1981">
        <v>13924498.729000008</v>
      </c>
      <c r="E111" s="3216"/>
      <c r="F111" s="1981">
        <f>296211+42781</f>
        <v>338992</v>
      </c>
      <c r="G111" s="3216"/>
      <c r="H111" s="1981">
        <f>SUM(E111:G111)</f>
        <v>338992</v>
      </c>
      <c r="I111" s="633"/>
      <c r="J111" s="633"/>
      <c r="K111" s="633"/>
      <c r="L111" s="305"/>
      <c r="M111" s="305"/>
      <c r="N111" s="305"/>
    </row>
    <row r="112" spans="1:14" s="52" customFormat="1">
      <c r="A112" s="37"/>
      <c r="B112" s="196"/>
      <c r="C112" s="413"/>
      <c r="D112" s="413"/>
      <c r="I112" s="196"/>
      <c r="J112" s="196"/>
    </row>
    <row r="113" spans="1:14">
      <c r="A113" s="37"/>
      <c r="B113" s="3870" t="s">
        <v>115</v>
      </c>
      <c r="C113" s="3871"/>
      <c r="D113" s="3872"/>
      <c r="E113" s="52"/>
      <c r="F113" s="52"/>
      <c r="G113" s="52"/>
      <c r="H113" s="52"/>
    </row>
    <row r="114" spans="1:14" s="52" customFormat="1">
      <c r="A114" s="37"/>
      <c r="B114" s="3873" t="s">
        <v>789</v>
      </c>
      <c r="C114" s="3874" t="s">
        <v>790</v>
      </c>
      <c r="D114" s="3876" t="s">
        <v>791</v>
      </c>
      <c r="E114" s="3867" t="s">
        <v>333</v>
      </c>
      <c r="F114" s="3868"/>
      <c r="G114" s="3868"/>
      <c r="H114" s="3869"/>
    </row>
    <row r="115" spans="1:14" s="52" customFormat="1" ht="25.5">
      <c r="A115" s="37"/>
      <c r="B115" s="3873"/>
      <c r="C115" s="3875"/>
      <c r="D115" s="3877"/>
      <c r="E115" s="3214" t="s">
        <v>792</v>
      </c>
      <c r="F115" s="1960" t="s">
        <v>793</v>
      </c>
      <c r="G115" s="3215" t="s">
        <v>794</v>
      </c>
      <c r="H115" s="3388" t="s">
        <v>118</v>
      </c>
    </row>
    <row r="116" spans="1:14" s="52" customFormat="1">
      <c r="A116" s="37"/>
      <c r="B116" s="3718"/>
      <c r="C116" s="2916" t="s">
        <v>795</v>
      </c>
      <c r="D116" s="3179" t="s">
        <v>216</v>
      </c>
      <c r="E116" s="3215" t="s">
        <v>216</v>
      </c>
      <c r="F116" s="3215" t="s">
        <v>216</v>
      </c>
      <c r="G116" s="1961" t="s">
        <v>216</v>
      </c>
      <c r="H116" s="3215" t="s">
        <v>216</v>
      </c>
    </row>
    <row r="117" spans="1:14" s="52" customFormat="1">
      <c r="A117" s="37"/>
      <c r="B117" s="235">
        <v>2021</v>
      </c>
      <c r="C117" s="1981">
        <v>170624</v>
      </c>
      <c r="D117" s="1981">
        <v>296516511</v>
      </c>
      <c r="E117" s="1981">
        <v>1481424</v>
      </c>
      <c r="F117" s="3217">
        <v>6333841</v>
      </c>
      <c r="G117" s="3216"/>
      <c r="H117" s="1981">
        <f>SUM(E117:G117)</f>
        <v>7815265</v>
      </c>
      <c r="J117" s="750"/>
      <c r="K117" s="750"/>
      <c r="L117" s="305"/>
    </row>
    <row r="118" spans="1:14" s="52" customFormat="1">
      <c r="A118" s="37"/>
      <c r="B118" s="1981">
        <v>2020</v>
      </c>
      <c r="C118" s="1981">
        <v>213603</v>
      </c>
      <c r="D118" s="1981">
        <v>372093829</v>
      </c>
      <c r="E118" s="1981">
        <v>905721.9</v>
      </c>
      <c r="F118" s="749">
        <v>5699313</v>
      </c>
      <c r="G118" s="3216"/>
      <c r="H118" s="1981">
        <f>SUM(E118:G118)</f>
        <v>6605034.9000000004</v>
      </c>
      <c r="I118" s="633"/>
      <c r="J118" s="709"/>
      <c r="K118" s="709"/>
      <c r="L118" s="305"/>
      <c r="M118" s="305"/>
      <c r="N118" s="305"/>
    </row>
    <row r="119" spans="1:14" s="52" customFormat="1">
      <c r="A119" s="37"/>
      <c r="B119" s="196"/>
      <c r="C119" s="413"/>
      <c r="D119" s="413"/>
      <c r="E119" s="438"/>
      <c r="F119" s="438"/>
      <c r="G119" s="116"/>
      <c r="H119" s="116"/>
      <c r="I119" s="196"/>
      <c r="J119" s="196"/>
    </row>
    <row r="120" spans="1:14" s="52" customFormat="1">
      <c r="A120" s="37"/>
      <c r="B120" s="3870" t="s">
        <v>116</v>
      </c>
      <c r="C120" s="3871"/>
      <c r="D120" s="3872"/>
    </row>
    <row r="121" spans="1:14" s="52" customFormat="1">
      <c r="A121" s="37"/>
      <c r="B121" s="3873" t="s">
        <v>789</v>
      </c>
      <c r="C121" s="3874" t="s">
        <v>790</v>
      </c>
      <c r="D121" s="3876" t="s">
        <v>791</v>
      </c>
      <c r="E121" s="3867" t="s">
        <v>333</v>
      </c>
      <c r="F121" s="3868"/>
      <c r="G121" s="3868"/>
      <c r="H121" s="3869"/>
    </row>
    <row r="122" spans="1:14" s="52" customFormat="1" ht="25.5">
      <c r="A122" s="37"/>
      <c r="B122" s="3873"/>
      <c r="C122" s="3875"/>
      <c r="D122" s="3877"/>
      <c r="E122" s="3214" t="s">
        <v>792</v>
      </c>
      <c r="F122" s="1960" t="s">
        <v>793</v>
      </c>
      <c r="G122" s="3215" t="s">
        <v>794</v>
      </c>
      <c r="H122" s="3388" t="s">
        <v>118</v>
      </c>
      <c r="I122" s="116"/>
      <c r="J122" s="196"/>
    </row>
    <row r="123" spans="1:14" s="52" customFormat="1">
      <c r="A123" s="37"/>
      <c r="B123" s="3718"/>
      <c r="C123" s="2916" t="s">
        <v>795</v>
      </c>
      <c r="D123" s="3179" t="s">
        <v>216</v>
      </c>
      <c r="E123" s="3215" t="s">
        <v>216</v>
      </c>
      <c r="F123" s="3215" t="s">
        <v>216</v>
      </c>
      <c r="G123" s="1961" t="s">
        <v>216</v>
      </c>
      <c r="H123" s="3215" t="s">
        <v>216</v>
      </c>
      <c r="I123" s="116"/>
      <c r="J123" s="196"/>
    </row>
    <row r="124" spans="1:14" s="52" customFormat="1">
      <c r="A124" s="37"/>
      <c r="B124" s="1912">
        <v>2021</v>
      </c>
      <c r="C124" s="1981">
        <v>237453</v>
      </c>
      <c r="D124" s="1981">
        <v>834190629</v>
      </c>
      <c r="E124" s="1981">
        <v>1379752</v>
      </c>
      <c r="F124" s="1981">
        <v>9432391</v>
      </c>
      <c r="G124" s="3216"/>
      <c r="H124" s="1981">
        <f>SUM(E124:G124)</f>
        <v>10812143</v>
      </c>
      <c r="I124" s="116"/>
      <c r="J124" s="709"/>
      <c r="K124" s="709"/>
      <c r="L124" s="305"/>
    </row>
    <row r="125" spans="1:14" s="52" customFormat="1">
      <c r="A125" s="37"/>
      <c r="B125" s="3003">
        <v>2020</v>
      </c>
      <c r="C125" s="1981">
        <v>262605</v>
      </c>
      <c r="D125" s="1981">
        <v>624495453</v>
      </c>
      <c r="E125" s="1981">
        <v>874846</v>
      </c>
      <c r="F125" s="1981">
        <v>7699284</v>
      </c>
      <c r="G125" s="3216"/>
      <c r="H125" s="1981">
        <f>SUM(E125:G125)</f>
        <v>8574130</v>
      </c>
      <c r="I125" s="498"/>
      <c r="J125" s="709"/>
      <c r="K125" s="709"/>
      <c r="L125" s="305"/>
      <c r="M125" s="305"/>
      <c r="N125" s="305"/>
    </row>
    <row r="126" spans="1:14" s="52" customFormat="1">
      <c r="A126" s="37"/>
      <c r="B126" s="196"/>
      <c r="C126" s="413"/>
      <c r="D126" s="1927"/>
      <c r="E126" s="196"/>
      <c r="F126" s="196"/>
      <c r="G126" s="196"/>
      <c r="H126" s="196"/>
      <c r="I126" s="196"/>
      <c r="J126" s="196"/>
    </row>
    <row r="127" spans="1:14" s="52" customFormat="1">
      <c r="A127" s="37"/>
      <c r="B127" s="3870" t="s">
        <v>117</v>
      </c>
      <c r="C127" s="3871"/>
      <c r="D127" s="3872"/>
      <c r="I127" s="116"/>
      <c r="J127" s="196"/>
    </row>
    <row r="128" spans="1:14" s="52" customFormat="1">
      <c r="A128" s="37"/>
      <c r="B128" s="3873" t="s">
        <v>789</v>
      </c>
      <c r="C128" s="3874" t="s">
        <v>790</v>
      </c>
      <c r="D128" s="3876" t="s">
        <v>791</v>
      </c>
      <c r="E128" s="3867" t="s">
        <v>333</v>
      </c>
      <c r="F128" s="3868"/>
      <c r="G128" s="3868"/>
      <c r="H128" s="3869"/>
      <c r="I128" s="196"/>
    </row>
    <row r="129" spans="1:14" s="52" customFormat="1" ht="25.5">
      <c r="A129" s="37"/>
      <c r="B129" s="3873"/>
      <c r="C129" s="3875"/>
      <c r="D129" s="3877"/>
      <c r="E129" s="3214" t="s">
        <v>792</v>
      </c>
      <c r="F129" s="1960" t="s">
        <v>793</v>
      </c>
      <c r="G129" s="3215" t="s">
        <v>794</v>
      </c>
      <c r="H129" s="3388" t="s">
        <v>118</v>
      </c>
    </row>
    <row r="130" spans="1:14" s="52" customFormat="1">
      <c r="A130" s="37"/>
      <c r="B130" s="3718"/>
      <c r="C130" s="2916" t="s">
        <v>795</v>
      </c>
      <c r="D130" s="3179" t="s">
        <v>216</v>
      </c>
      <c r="E130" s="3215" t="s">
        <v>216</v>
      </c>
      <c r="F130" s="3215" t="s">
        <v>216</v>
      </c>
      <c r="G130" s="1961" t="s">
        <v>216</v>
      </c>
      <c r="H130" s="3215" t="s">
        <v>216</v>
      </c>
      <c r="J130" s="707"/>
      <c r="K130" s="707"/>
      <c r="L130" s="410"/>
    </row>
    <row r="131" spans="1:14" s="52" customFormat="1">
      <c r="A131" s="37"/>
      <c r="B131" s="1912">
        <v>2021</v>
      </c>
      <c r="C131" s="1981">
        <v>64383</v>
      </c>
      <c r="D131" s="1981">
        <v>80141968</v>
      </c>
      <c r="E131" s="3216"/>
      <c r="F131" s="1981">
        <v>3759582</v>
      </c>
      <c r="G131" s="1981"/>
      <c r="H131" s="1981">
        <f>SUM(E131:G131)</f>
        <v>3759582</v>
      </c>
      <c r="J131" s="707"/>
      <c r="K131" s="707"/>
      <c r="L131" s="410"/>
    </row>
    <row r="132" spans="1:14" s="52" customFormat="1">
      <c r="A132" s="37"/>
      <c r="B132" s="3003">
        <v>2020</v>
      </c>
      <c r="C132" s="1981">
        <v>54028</v>
      </c>
      <c r="D132" s="1981">
        <v>79309952</v>
      </c>
      <c r="E132" s="3216"/>
      <c r="F132" s="1981">
        <v>3062786</v>
      </c>
      <c r="G132" s="1981"/>
      <c r="H132" s="1981">
        <f>SUM(E132:G132)</f>
        <v>3062786</v>
      </c>
      <c r="I132" s="633"/>
      <c r="J132" s="633"/>
      <c r="K132" s="633"/>
      <c r="L132" s="305"/>
      <c r="M132" s="305"/>
      <c r="N132" s="305"/>
    </row>
    <row r="133" spans="1:14" s="52" customFormat="1">
      <c r="A133" s="37"/>
      <c r="B133" s="37"/>
      <c r="C133" s="315"/>
      <c r="D133" s="315"/>
      <c r="E133" s="315"/>
      <c r="F133" s="315"/>
      <c r="G133" s="315"/>
      <c r="H133" s="315"/>
      <c r="I133" s="196"/>
      <c r="J133" s="196"/>
    </row>
    <row r="134" spans="1:14" s="52" customFormat="1">
      <c r="A134" s="37"/>
      <c r="B134" s="196"/>
      <c r="C134" s="413"/>
      <c r="D134" s="413"/>
      <c r="E134" s="498"/>
      <c r="F134" s="498"/>
      <c r="G134" s="498"/>
      <c r="H134" s="498">
        <v>185</v>
      </c>
      <c r="I134" s="498"/>
      <c r="J134" s="315"/>
    </row>
    <row r="135" spans="1:14" s="52" customFormat="1">
      <c r="A135" s="37"/>
      <c r="B135" s="490"/>
      <c r="C135" s="413"/>
      <c r="D135" s="413"/>
      <c r="E135" s="498"/>
      <c r="F135" s="498"/>
      <c r="G135" s="498"/>
      <c r="H135" s="498"/>
      <c r="I135" s="498"/>
      <c r="J135" s="315"/>
    </row>
    <row r="136" spans="1:14" s="52" customFormat="1">
      <c r="A136" s="37"/>
      <c r="B136" s="3866" t="s">
        <v>797</v>
      </c>
      <c r="C136" s="3866"/>
      <c r="D136" s="3866"/>
      <c r="E136" s="285"/>
      <c r="F136" s="285"/>
      <c r="G136" s="315"/>
      <c r="H136" s="315"/>
      <c r="I136" s="315"/>
      <c r="J136" s="315"/>
      <c r="K136" s="305"/>
    </row>
    <row r="137" spans="1:14" s="52" customFormat="1">
      <c r="A137" s="37"/>
      <c r="B137" s="196"/>
      <c r="C137" s="413"/>
      <c r="D137" s="413"/>
      <c r="E137" s="285"/>
      <c r="F137" s="285"/>
      <c r="G137" s="315"/>
      <c r="H137" s="315"/>
      <c r="I137" s="315"/>
      <c r="J137" s="315"/>
    </row>
    <row r="138" spans="1:14" s="52" customFormat="1">
      <c r="A138" s="37"/>
      <c r="B138" s="196"/>
      <c r="C138" s="413"/>
      <c r="D138" s="413"/>
      <c r="E138" s="264"/>
      <c r="F138" s="264"/>
      <c r="G138" s="264"/>
      <c r="H138" s="264"/>
      <c r="I138" s="264"/>
      <c r="J138" s="315"/>
    </row>
    <row r="139" spans="1:14" s="52" customFormat="1">
      <c r="A139" s="37"/>
      <c r="B139" s="196"/>
      <c r="C139" s="413"/>
      <c r="D139" s="413"/>
      <c r="E139" s="264"/>
      <c r="F139" s="264"/>
      <c r="G139" s="264"/>
      <c r="H139" s="264"/>
      <c r="I139" s="264"/>
      <c r="J139" s="315"/>
    </row>
    <row r="140" spans="1:14" s="52" customFormat="1">
      <c r="A140" s="37"/>
      <c r="B140" s="196"/>
      <c r="C140" s="413"/>
      <c r="D140" s="413"/>
      <c r="E140" s="264"/>
      <c r="F140" s="264"/>
      <c r="G140" s="264"/>
      <c r="H140" s="264"/>
      <c r="I140" s="264"/>
      <c r="J140" s="315"/>
    </row>
    <row r="141" spans="1:14" s="52" customFormat="1">
      <c r="A141" s="37"/>
      <c r="B141" s="196"/>
      <c r="C141" s="413"/>
      <c r="D141" s="413"/>
      <c r="E141" s="264"/>
      <c r="F141" s="264"/>
      <c r="G141" s="264"/>
      <c r="H141" s="264"/>
      <c r="I141" s="264"/>
      <c r="J141" s="315"/>
    </row>
    <row r="142" spans="1:14" s="52" customFormat="1">
      <c r="A142" s="37"/>
      <c r="B142" s="196"/>
      <c r="C142" s="413"/>
      <c r="D142" s="413"/>
      <c r="E142" s="264"/>
      <c r="F142" s="264"/>
      <c r="G142" s="264"/>
      <c r="H142" s="264"/>
      <c r="I142" s="264"/>
      <c r="J142" s="315"/>
    </row>
    <row r="146" spans="1:10" s="52" customFormat="1">
      <c r="A146" s="37"/>
      <c r="B146" s="196"/>
      <c r="C146" s="413"/>
      <c r="D146" s="413"/>
    </row>
    <row r="147" spans="1:10" s="52" customFormat="1">
      <c r="A147" s="37"/>
      <c r="B147" s="196"/>
      <c r="C147" s="413"/>
      <c r="D147" s="413"/>
      <c r="E147" s="438"/>
      <c r="F147" s="438"/>
      <c r="G147" s="116"/>
      <c r="H147" s="116"/>
      <c r="I147" s="116"/>
      <c r="J147" s="196"/>
    </row>
    <row r="148" spans="1:10" s="52" customFormat="1">
      <c r="A148" s="37"/>
      <c r="B148" s="196"/>
      <c r="C148" s="413"/>
      <c r="D148" s="413"/>
      <c r="E148" s="116"/>
      <c r="F148" s="116"/>
      <c r="G148" s="116"/>
      <c r="H148" s="116"/>
      <c r="I148" s="116"/>
      <c r="J148" s="196"/>
    </row>
    <row r="149" spans="1:10" s="52" customFormat="1">
      <c r="A149" s="37"/>
      <c r="B149" s="196"/>
      <c r="C149" s="413"/>
      <c r="D149" s="413"/>
      <c r="E149" s="196"/>
      <c r="F149" s="196"/>
      <c r="G149" s="196"/>
      <c r="H149" s="196"/>
      <c r="I149" s="196"/>
    </row>
    <row r="150" spans="1:10" s="52" customFormat="1">
      <c r="A150" s="37"/>
      <c r="B150" s="196"/>
      <c r="C150" s="413"/>
      <c r="D150" s="413"/>
      <c r="E150" s="196"/>
      <c r="F150" s="196"/>
      <c r="G150" s="196"/>
      <c r="H150" s="196"/>
      <c r="I150" s="196"/>
      <c r="J150" s="196"/>
    </row>
    <row r="151" spans="1:10" s="52" customFormat="1">
      <c r="A151" s="37"/>
      <c r="B151" s="196"/>
      <c r="C151" s="413"/>
      <c r="D151" s="413"/>
      <c r="E151" s="596"/>
      <c r="F151" s="596"/>
      <c r="G151" s="596"/>
      <c r="H151" s="596"/>
      <c r="I151" s="596"/>
      <c r="J151" s="596"/>
    </row>
    <row r="152" spans="1:10" s="52" customFormat="1">
      <c r="A152" s="37"/>
      <c r="B152" s="196"/>
      <c r="C152" s="413"/>
      <c r="D152" s="413"/>
      <c r="E152" s="597"/>
      <c r="F152" s="597"/>
      <c r="G152" s="597"/>
      <c r="H152" s="597"/>
      <c r="I152" s="597"/>
      <c r="J152" s="285"/>
    </row>
    <row r="153" spans="1:10" s="52" customFormat="1">
      <c r="A153" s="37"/>
      <c r="B153" s="196"/>
      <c r="C153" s="413"/>
      <c r="D153" s="413"/>
      <c r="E153" s="595"/>
      <c r="F153" s="595"/>
      <c r="G153" s="595"/>
      <c r="H153" s="595"/>
      <c r="I153" s="595"/>
      <c r="J153" s="264"/>
    </row>
    <row r="154" spans="1:10" s="52" customFormat="1">
      <c r="A154" s="37"/>
      <c r="B154" s="196"/>
      <c r="C154" s="413"/>
      <c r="D154" s="413"/>
      <c r="E154" s="460"/>
      <c r="F154" s="460"/>
      <c r="G154" s="460"/>
      <c r="H154" s="460"/>
      <c r="I154" s="460"/>
      <c r="J154" s="264"/>
    </row>
    <row r="155" spans="1:10" s="52" customFormat="1">
      <c r="A155" s="37"/>
      <c r="B155" s="196"/>
      <c r="C155" s="413"/>
      <c r="D155" s="413"/>
      <c r="E155" s="264"/>
      <c r="F155" s="264"/>
      <c r="G155" s="264"/>
      <c r="H155" s="264"/>
      <c r="I155" s="264"/>
      <c r="J155" s="264"/>
    </row>
    <row r="156" spans="1:10" s="52" customFormat="1">
      <c r="A156" s="37"/>
      <c r="B156" s="196"/>
      <c r="C156" s="413"/>
      <c r="D156" s="413"/>
      <c r="E156" s="264"/>
      <c r="F156" s="264"/>
      <c r="G156" s="264"/>
      <c r="H156" s="264"/>
      <c r="J156" s="264"/>
    </row>
    <row r="157" spans="1:10" s="52" customFormat="1">
      <c r="A157" s="37"/>
      <c r="B157" s="196"/>
      <c r="C157" s="413"/>
      <c r="D157" s="413"/>
      <c r="E157" s="264"/>
      <c r="F157" s="264"/>
      <c r="G157" s="264"/>
      <c r="H157" s="264"/>
      <c r="J157" s="264"/>
    </row>
    <row r="158" spans="1:10" s="52" customFormat="1">
      <c r="A158" s="37"/>
      <c r="B158" s="196"/>
      <c r="C158" s="413"/>
      <c r="D158" s="413"/>
      <c r="E158" s="264"/>
      <c r="F158" s="264"/>
      <c r="G158" s="264"/>
      <c r="H158" s="264"/>
      <c r="J158" s="264"/>
    </row>
    <row r="159" spans="1:10" s="52" customFormat="1">
      <c r="A159" s="37"/>
      <c r="B159" s="196"/>
      <c r="C159" s="413"/>
      <c r="D159" s="413"/>
      <c r="E159" s="264"/>
      <c r="F159" s="264"/>
      <c r="G159" s="264"/>
      <c r="H159" s="264"/>
      <c r="J159" s="264"/>
    </row>
    <row r="163" spans="1:10" s="52" customFormat="1">
      <c r="A163" s="37"/>
      <c r="B163" s="196"/>
      <c r="C163" s="413"/>
      <c r="D163" s="413"/>
    </row>
    <row r="164" spans="1:10" s="52" customFormat="1">
      <c r="A164" s="37"/>
      <c r="B164" s="196"/>
      <c r="C164" s="413"/>
      <c r="D164" s="413"/>
      <c r="E164" s="438"/>
      <c r="F164" s="438"/>
      <c r="G164" s="116"/>
      <c r="H164" s="116"/>
      <c r="I164" s="116"/>
      <c r="J164" s="196"/>
    </row>
    <row r="165" spans="1:10" s="52" customFormat="1">
      <c r="A165" s="37"/>
      <c r="B165" s="196"/>
      <c r="C165" s="413"/>
      <c r="D165" s="413"/>
      <c r="E165" s="116"/>
      <c r="F165" s="116"/>
      <c r="G165" s="116"/>
      <c r="H165" s="116"/>
      <c r="I165" s="116"/>
      <c r="J165" s="196"/>
    </row>
    <row r="166" spans="1:10" s="52" customFormat="1">
      <c r="A166" s="37"/>
      <c r="B166" s="196"/>
      <c r="C166" s="413"/>
      <c r="D166" s="413"/>
      <c r="E166" s="196"/>
      <c r="F166" s="196"/>
      <c r="G166" s="196"/>
      <c r="H166" s="196"/>
      <c r="I166" s="196"/>
    </row>
    <row r="167" spans="1:10" s="52" customFormat="1">
      <c r="A167" s="37"/>
      <c r="B167" s="196"/>
      <c r="C167" s="413"/>
      <c r="D167" s="413"/>
      <c r="E167" s="196"/>
      <c r="F167" s="196"/>
      <c r="G167" s="196"/>
      <c r="H167" s="196"/>
      <c r="I167" s="196"/>
      <c r="J167" s="196"/>
    </row>
    <row r="168" spans="1:10" s="52" customFormat="1">
      <c r="A168" s="37"/>
      <c r="B168" s="196"/>
      <c r="C168" s="413"/>
      <c r="D168" s="413"/>
      <c r="E168" s="498"/>
      <c r="F168" s="498"/>
      <c r="G168" s="498"/>
      <c r="H168" s="498"/>
      <c r="I168" s="498"/>
      <c r="J168" s="305"/>
    </row>
    <row r="169" spans="1:10" s="52" customFormat="1">
      <c r="A169" s="37"/>
      <c r="B169" s="196"/>
      <c r="C169" s="413"/>
      <c r="D169" s="413"/>
      <c r="E169" s="498"/>
      <c r="F169" s="498"/>
      <c r="G169" s="498"/>
      <c r="H169" s="498"/>
      <c r="I169" s="498"/>
      <c r="J169" s="264"/>
    </row>
    <row r="170" spans="1:10" s="52" customFormat="1">
      <c r="A170" s="37"/>
      <c r="B170" s="196"/>
      <c r="C170" s="413"/>
      <c r="D170" s="413"/>
      <c r="E170" s="595"/>
      <c r="F170" s="595"/>
      <c r="G170" s="595"/>
      <c r="H170" s="595"/>
      <c r="I170" s="595"/>
      <c r="J170" s="264"/>
    </row>
    <row r="171" spans="1:10" s="52" customFormat="1">
      <c r="A171" s="37"/>
      <c r="B171" s="196"/>
      <c r="C171" s="413"/>
      <c r="D171" s="413"/>
      <c r="E171" s="460"/>
      <c r="F171" s="460"/>
      <c r="G171" s="460"/>
      <c r="H171" s="460"/>
      <c r="I171" s="460"/>
      <c r="J171" s="264"/>
    </row>
    <row r="172" spans="1:10" s="52" customFormat="1">
      <c r="A172" s="37"/>
      <c r="B172" s="196"/>
      <c r="C172" s="413"/>
      <c r="D172" s="413"/>
      <c r="E172" s="264"/>
      <c r="F172" s="264"/>
      <c r="G172" s="264"/>
      <c r="H172" s="264"/>
      <c r="I172" s="264"/>
      <c r="J172" s="264"/>
    </row>
    <row r="173" spans="1:10" s="52" customFormat="1">
      <c r="A173" s="37"/>
      <c r="B173" s="196"/>
      <c r="C173" s="413"/>
      <c r="D173" s="413"/>
      <c r="E173" s="264"/>
      <c r="F173" s="264"/>
      <c r="G173" s="264"/>
      <c r="H173" s="264"/>
      <c r="I173" s="264"/>
      <c r="J173" s="264"/>
    </row>
    <row r="174" spans="1:10" s="52" customFormat="1">
      <c r="A174" s="37"/>
      <c r="B174" s="196"/>
      <c r="C174" s="413"/>
      <c r="D174" s="413"/>
      <c r="E174" s="264"/>
      <c r="F174" s="264"/>
      <c r="G174" s="264"/>
      <c r="H174" s="264"/>
      <c r="I174" s="264"/>
      <c r="J174" s="264"/>
    </row>
    <row r="175" spans="1:10" s="52" customFormat="1">
      <c r="A175" s="37"/>
      <c r="B175" s="196"/>
      <c r="C175" s="413"/>
      <c r="D175" s="413"/>
      <c r="E175" s="264"/>
      <c r="F175" s="264"/>
      <c r="G175" s="264"/>
      <c r="H175" s="264"/>
      <c r="I175" s="264"/>
      <c r="J175" s="264"/>
    </row>
    <row r="176" spans="1:10" s="52" customFormat="1">
      <c r="A176" s="37"/>
      <c r="B176" s="196"/>
      <c r="C176" s="413"/>
      <c r="D176" s="413"/>
      <c r="E176" s="264"/>
      <c r="F176" s="264"/>
      <c r="G176" s="264"/>
      <c r="H176" s="264"/>
      <c r="I176" s="264"/>
      <c r="J176" s="264"/>
    </row>
    <row r="180" spans="1:10" s="52" customFormat="1">
      <c r="A180" s="37"/>
      <c r="B180" s="196"/>
      <c r="C180" s="413"/>
      <c r="D180" s="413"/>
    </row>
    <row r="181" spans="1:10" s="52" customFormat="1">
      <c r="A181" s="37"/>
      <c r="B181" s="196"/>
      <c r="C181" s="413"/>
      <c r="D181" s="413"/>
      <c r="E181" s="438"/>
      <c r="F181" s="438"/>
      <c r="G181" s="116"/>
      <c r="H181" s="116"/>
      <c r="I181" s="116"/>
      <c r="J181" s="196"/>
    </row>
    <row r="182" spans="1:10" s="52" customFormat="1">
      <c r="A182" s="37"/>
      <c r="B182" s="196"/>
      <c r="C182" s="413"/>
      <c r="D182" s="413"/>
      <c r="E182" s="116"/>
      <c r="F182" s="116"/>
      <c r="G182" s="116"/>
      <c r="H182" s="116"/>
      <c r="I182" s="116"/>
      <c r="J182" s="196"/>
    </row>
    <row r="183" spans="1:10" s="52" customFormat="1">
      <c r="A183" s="37"/>
      <c r="B183" s="196"/>
      <c r="C183" s="413"/>
      <c r="D183" s="413"/>
      <c r="E183" s="196"/>
      <c r="F183" s="196"/>
      <c r="G183" s="196"/>
      <c r="H183" s="196"/>
      <c r="I183" s="196"/>
    </row>
    <row r="184" spans="1:10" s="52" customFormat="1">
      <c r="A184" s="37"/>
      <c r="B184" s="196"/>
      <c r="C184" s="413"/>
      <c r="D184" s="413"/>
      <c r="E184" s="196"/>
      <c r="F184" s="196"/>
      <c r="G184" s="196"/>
      <c r="H184" s="196"/>
      <c r="I184" s="196"/>
      <c r="J184" s="196"/>
    </row>
    <row r="185" spans="1:10" s="52" customFormat="1">
      <c r="A185" s="37"/>
      <c r="B185" s="196"/>
      <c r="C185" s="413"/>
      <c r="D185" s="413"/>
      <c r="E185" s="498"/>
      <c r="F185" s="498"/>
      <c r="G185" s="498"/>
      <c r="H185" s="498"/>
      <c r="I185" s="498"/>
      <c r="J185" s="595"/>
    </row>
    <row r="186" spans="1:10" s="52" customFormat="1">
      <c r="A186" s="37"/>
      <c r="B186" s="196"/>
      <c r="C186" s="413"/>
      <c r="D186" s="413"/>
      <c r="E186" s="498"/>
      <c r="F186" s="498"/>
      <c r="G186" s="498"/>
      <c r="H186" s="498"/>
      <c r="I186" s="498"/>
      <c r="J186" s="595"/>
    </row>
    <row r="187" spans="1:10" s="52" customFormat="1">
      <c r="A187" s="37"/>
      <c r="B187" s="196"/>
      <c r="C187" s="413"/>
      <c r="D187" s="413"/>
      <c r="E187" s="598"/>
      <c r="F187" s="598"/>
      <c r="G187" s="595"/>
      <c r="H187" s="595"/>
      <c r="I187" s="595"/>
      <c r="J187" s="598"/>
    </row>
    <row r="188" spans="1:10" s="52" customFormat="1">
      <c r="A188" s="37"/>
      <c r="B188" s="196"/>
      <c r="C188" s="413"/>
      <c r="D188" s="413"/>
      <c r="E188" s="315"/>
      <c r="F188" s="315"/>
      <c r="G188" s="315"/>
      <c r="H188" s="315"/>
      <c r="I188" s="315"/>
      <c r="J188" s="264"/>
    </row>
    <row r="189" spans="1:10" s="52" customFormat="1">
      <c r="A189" s="37"/>
      <c r="B189" s="196"/>
      <c r="C189" s="413"/>
      <c r="D189" s="413"/>
      <c r="E189" s="264"/>
      <c r="F189" s="264"/>
      <c r="G189" s="264"/>
      <c r="H189" s="264"/>
      <c r="I189" s="264"/>
      <c r="J189" s="264"/>
    </row>
    <row r="190" spans="1:10" s="52" customFormat="1">
      <c r="A190" s="37"/>
      <c r="B190" s="196"/>
      <c r="C190" s="413"/>
      <c r="D190" s="413"/>
      <c r="E190" s="264"/>
      <c r="F190" s="264"/>
      <c r="G190" s="264"/>
      <c r="H190" s="264"/>
      <c r="I190" s="264"/>
      <c r="J190" s="264"/>
    </row>
    <row r="191" spans="1:10" s="52" customFormat="1">
      <c r="A191" s="37"/>
      <c r="B191" s="196"/>
      <c r="C191" s="413"/>
      <c r="D191" s="413"/>
      <c r="E191" s="264"/>
      <c r="F191" s="264"/>
      <c r="G191" s="264"/>
      <c r="H191" s="264"/>
      <c r="I191" s="264"/>
      <c r="J191" s="264"/>
    </row>
    <row r="192" spans="1:10" s="52" customFormat="1">
      <c r="A192" s="37"/>
      <c r="B192" s="196"/>
      <c r="C192" s="413"/>
      <c r="D192" s="413"/>
      <c r="E192" s="264"/>
      <c r="F192" s="264"/>
      <c r="G192" s="264"/>
      <c r="H192" s="264"/>
      <c r="I192" s="264"/>
      <c r="J192" s="264"/>
    </row>
    <row r="193" spans="1:10" s="52" customFormat="1">
      <c r="A193" s="37"/>
      <c r="B193" s="196"/>
      <c r="C193" s="413"/>
      <c r="D193" s="413"/>
      <c r="E193" s="264"/>
      <c r="F193" s="264"/>
      <c r="G193" s="264"/>
      <c r="H193" s="264"/>
      <c r="I193" s="264"/>
      <c r="J193" s="264"/>
    </row>
    <row r="197" spans="1:10" s="52" customFormat="1">
      <c r="A197" s="37"/>
      <c r="B197" s="196"/>
      <c r="C197" s="413"/>
      <c r="D197" s="413"/>
    </row>
    <row r="198" spans="1:10" s="52" customFormat="1">
      <c r="A198" s="37"/>
      <c r="B198" s="196"/>
      <c r="C198" s="413"/>
      <c r="D198" s="413"/>
      <c r="E198" s="438"/>
      <c r="F198" s="438"/>
      <c r="G198" s="116"/>
      <c r="H198" s="116"/>
      <c r="I198" s="116"/>
      <c r="J198" s="196"/>
    </row>
    <row r="199" spans="1:10" s="52" customFormat="1">
      <c r="A199" s="37"/>
      <c r="B199" s="196"/>
      <c r="C199" s="413"/>
      <c r="D199" s="413"/>
      <c r="E199" s="116"/>
      <c r="F199" s="116"/>
      <c r="G199" s="116"/>
      <c r="H199" s="116"/>
      <c r="I199" s="116"/>
      <c r="J199" s="196"/>
    </row>
    <row r="200" spans="1:10" s="52" customFormat="1">
      <c r="A200" s="37"/>
      <c r="B200" s="196"/>
      <c r="C200" s="413"/>
      <c r="D200" s="413"/>
      <c r="E200" s="196"/>
      <c r="F200" s="196"/>
      <c r="G200" s="196"/>
      <c r="H200" s="196"/>
      <c r="I200" s="196"/>
    </row>
    <row r="201" spans="1:10" s="52" customFormat="1">
      <c r="A201" s="37"/>
      <c r="B201" s="196"/>
      <c r="C201" s="413"/>
      <c r="D201" s="413"/>
      <c r="E201" s="196"/>
      <c r="F201" s="196"/>
      <c r="G201" s="196"/>
      <c r="H201" s="196"/>
      <c r="I201" s="196"/>
      <c r="J201" s="196"/>
    </row>
    <row r="202" spans="1:10" s="52" customFormat="1">
      <c r="A202" s="37"/>
      <c r="B202" s="196"/>
      <c r="C202" s="413"/>
      <c r="D202" s="413"/>
      <c r="E202" s="597"/>
      <c r="F202" s="597"/>
      <c r="G202" s="597"/>
      <c r="H202" s="597"/>
      <c r="I202" s="597"/>
      <c r="J202" s="264"/>
    </row>
    <row r="203" spans="1:10" s="52" customFormat="1">
      <c r="A203" s="37"/>
      <c r="B203" s="196"/>
      <c r="C203" s="413"/>
      <c r="D203" s="413"/>
      <c r="E203" s="597"/>
      <c r="F203" s="597"/>
      <c r="G203" s="597"/>
      <c r="H203" s="597"/>
      <c r="I203" s="597"/>
      <c r="J203" s="264"/>
    </row>
    <row r="204" spans="1:10" s="52" customFormat="1">
      <c r="A204" s="37"/>
      <c r="B204" s="196"/>
      <c r="C204" s="413"/>
      <c r="D204" s="413"/>
      <c r="E204" s="595"/>
      <c r="F204" s="595"/>
      <c r="G204" s="595"/>
      <c r="H204" s="595"/>
      <c r="I204" s="595"/>
      <c r="J204" s="264"/>
    </row>
    <row r="205" spans="1:10" s="52" customFormat="1">
      <c r="A205" s="37"/>
      <c r="B205" s="196"/>
      <c r="C205" s="413"/>
      <c r="D205" s="413"/>
      <c r="E205" s="460"/>
      <c r="F205" s="460"/>
      <c r="G205" s="460"/>
      <c r="H205" s="460"/>
      <c r="I205" s="460"/>
      <c r="J205" s="264"/>
    </row>
    <row r="206" spans="1:10" s="52" customFormat="1">
      <c r="A206" s="37"/>
      <c r="B206" s="196"/>
      <c r="C206" s="413"/>
      <c r="D206" s="413"/>
      <c r="E206" s="264"/>
      <c r="F206" s="264"/>
      <c r="G206" s="264"/>
      <c r="H206" s="264"/>
      <c r="I206" s="264"/>
      <c r="J206" s="264"/>
    </row>
    <row r="207" spans="1:10" s="52" customFormat="1">
      <c r="A207" s="37"/>
      <c r="B207" s="196"/>
      <c r="C207" s="413"/>
      <c r="D207" s="413"/>
      <c r="E207" s="264"/>
      <c r="F207" s="264"/>
      <c r="G207" s="264"/>
      <c r="H207" s="264"/>
      <c r="I207" s="264"/>
      <c r="J207" s="264"/>
    </row>
    <row r="208" spans="1:10" s="52" customFormat="1">
      <c r="A208" s="37"/>
      <c r="B208" s="196"/>
      <c r="C208" s="413"/>
      <c r="D208" s="413"/>
      <c r="E208" s="264"/>
      <c r="F208" s="264"/>
      <c r="G208" s="264"/>
      <c r="H208" s="264"/>
      <c r="I208" s="264"/>
      <c r="J208" s="264"/>
    </row>
    <row r="209" spans="1:10" s="52" customFormat="1">
      <c r="A209" s="37"/>
      <c r="B209" s="196"/>
      <c r="C209" s="413"/>
      <c r="D209" s="413"/>
      <c r="E209" s="264"/>
      <c r="F209" s="264"/>
      <c r="G209" s="264"/>
      <c r="H209" s="264"/>
      <c r="I209" s="264"/>
      <c r="J209" s="264"/>
    </row>
    <row r="210" spans="1:10" s="52" customFormat="1">
      <c r="A210" s="37"/>
      <c r="B210" s="196"/>
      <c r="C210" s="413"/>
      <c r="D210" s="413"/>
      <c r="E210" s="264"/>
      <c r="F210" s="264"/>
      <c r="G210" s="264"/>
      <c r="H210" s="264"/>
      <c r="I210" s="264"/>
      <c r="J210" s="264"/>
    </row>
    <row r="214" spans="1:10" s="52" customFormat="1">
      <c r="A214" s="37"/>
      <c r="B214" s="196"/>
      <c r="C214" s="413"/>
      <c r="D214" s="413"/>
    </row>
    <row r="215" spans="1:10" s="52" customFormat="1">
      <c r="A215" s="37"/>
      <c r="B215" s="196"/>
      <c r="C215" s="413"/>
      <c r="D215" s="413"/>
      <c r="E215" s="438"/>
      <c r="F215" s="438"/>
      <c r="G215" s="116"/>
      <c r="H215" s="116"/>
      <c r="I215" s="116"/>
      <c r="J215" s="196"/>
    </row>
    <row r="216" spans="1:10" s="52" customFormat="1">
      <c r="A216" s="37"/>
      <c r="B216" s="196"/>
      <c r="C216" s="413"/>
      <c r="D216" s="413"/>
      <c r="E216" s="116"/>
      <c r="F216" s="116"/>
      <c r="G216" s="116"/>
      <c r="H216" s="116"/>
      <c r="I216" s="116"/>
      <c r="J216" s="196"/>
    </row>
    <row r="217" spans="1:10" s="52" customFormat="1">
      <c r="A217" s="37"/>
      <c r="B217" s="196"/>
      <c r="C217" s="413"/>
      <c r="D217" s="413"/>
      <c r="E217" s="196"/>
      <c r="F217" s="196"/>
      <c r="G217" s="196"/>
      <c r="H217" s="196"/>
      <c r="I217" s="196"/>
    </row>
    <row r="218" spans="1:10" s="52" customFormat="1">
      <c r="A218" s="37"/>
      <c r="B218" s="196"/>
      <c r="C218" s="413"/>
      <c r="D218" s="413"/>
      <c r="E218" s="196"/>
      <c r="F218" s="196"/>
      <c r="G218" s="196"/>
      <c r="H218" s="196"/>
      <c r="I218" s="196"/>
      <c r="J218" s="196"/>
    </row>
    <row r="219" spans="1:10" s="52" customFormat="1">
      <c r="A219" s="37"/>
      <c r="B219" s="196"/>
      <c r="C219" s="413"/>
      <c r="D219" s="413"/>
      <c r="E219" s="599"/>
      <c r="F219" s="599"/>
      <c r="G219" s="599"/>
      <c r="H219" s="599"/>
      <c r="I219" s="599"/>
      <c r="J219" s="305"/>
    </row>
    <row r="220" spans="1:10" s="52" customFormat="1">
      <c r="A220" s="37"/>
      <c r="B220" s="196"/>
      <c r="C220" s="413"/>
      <c r="D220" s="413"/>
      <c r="E220" s="600"/>
      <c r="F220" s="600"/>
      <c r="G220" s="600"/>
      <c r="H220" s="600"/>
      <c r="I220" s="600"/>
      <c r="J220" s="305"/>
    </row>
    <row r="221" spans="1:10" s="52" customFormat="1">
      <c r="A221" s="37"/>
      <c r="B221" s="196"/>
      <c r="C221" s="413"/>
      <c r="D221" s="413"/>
      <c r="E221" s="460"/>
      <c r="F221" s="460"/>
      <c r="G221" s="460"/>
      <c r="H221" s="460"/>
      <c r="I221" s="595"/>
      <c r="J221" s="305"/>
    </row>
    <row r="222" spans="1:10" s="52" customFormat="1">
      <c r="A222" s="37"/>
      <c r="B222" s="196"/>
      <c r="C222" s="413"/>
      <c r="D222" s="413"/>
      <c r="E222" s="315"/>
      <c r="F222" s="315"/>
      <c r="G222" s="315"/>
      <c r="H222" s="315"/>
      <c r="I222" s="315"/>
      <c r="J222" s="305"/>
    </row>
    <row r="223" spans="1:10" s="52" customFormat="1">
      <c r="A223" s="37"/>
      <c r="B223" s="196"/>
      <c r="C223" s="413"/>
      <c r="D223" s="413"/>
      <c r="E223" s="460"/>
      <c r="F223" s="460"/>
      <c r="G223" s="595"/>
      <c r="H223" s="595"/>
      <c r="I223" s="595"/>
      <c r="J223" s="305"/>
    </row>
    <row r="224" spans="1:10" s="52" customFormat="1">
      <c r="A224" s="37"/>
      <c r="B224" s="196"/>
      <c r="C224" s="413"/>
      <c r="D224" s="413"/>
      <c r="E224" s="264"/>
      <c r="F224" s="264"/>
      <c r="G224" s="264"/>
      <c r="H224" s="264"/>
      <c r="J224" s="305"/>
    </row>
    <row r="225" spans="1:10" s="52" customFormat="1">
      <c r="A225" s="37"/>
      <c r="B225" s="196"/>
      <c r="C225" s="413"/>
      <c r="D225" s="413"/>
      <c r="E225" s="264"/>
      <c r="F225" s="264"/>
      <c r="G225" s="264"/>
      <c r="H225" s="264"/>
      <c r="J225" s="305"/>
    </row>
    <row r="226" spans="1:10" s="52" customFormat="1">
      <c r="A226" s="37"/>
      <c r="B226" s="196"/>
      <c r="C226" s="413"/>
      <c r="D226" s="413"/>
      <c r="E226" s="264"/>
      <c r="F226" s="264"/>
      <c r="G226" s="264"/>
      <c r="H226" s="264"/>
      <c r="J226" s="305"/>
    </row>
    <row r="227" spans="1:10" s="52" customFormat="1">
      <c r="A227" s="37"/>
      <c r="B227" s="196"/>
      <c r="C227" s="413"/>
      <c r="D227" s="413"/>
      <c r="E227" s="264"/>
      <c r="F227" s="264"/>
      <c r="G227" s="264"/>
      <c r="H227" s="264"/>
      <c r="J227" s="305"/>
    </row>
    <row r="231" spans="1:10" s="52" customFormat="1">
      <c r="A231" s="37"/>
      <c r="B231" s="196"/>
      <c r="C231" s="413"/>
      <c r="D231" s="413"/>
    </row>
    <row r="232" spans="1:10" s="52" customFormat="1">
      <c r="A232" s="37"/>
      <c r="B232" s="196"/>
      <c r="C232" s="413"/>
      <c r="D232" s="413"/>
      <c r="E232" s="438"/>
      <c r="F232" s="438"/>
      <c r="G232" s="116"/>
      <c r="H232" s="116"/>
      <c r="I232" s="116"/>
      <c r="J232" s="196"/>
    </row>
    <row r="233" spans="1:10" s="52" customFormat="1">
      <c r="A233" s="37"/>
      <c r="B233" s="196"/>
      <c r="C233" s="413"/>
      <c r="D233" s="413"/>
      <c r="E233" s="116"/>
      <c r="F233" s="116"/>
      <c r="G233" s="116"/>
      <c r="H233" s="116"/>
      <c r="I233" s="116"/>
      <c r="J233" s="196"/>
    </row>
    <row r="234" spans="1:10" s="52" customFormat="1">
      <c r="A234" s="37"/>
      <c r="B234" s="196"/>
      <c r="C234" s="413"/>
      <c r="D234" s="413"/>
      <c r="E234" s="196"/>
      <c r="F234" s="196"/>
      <c r="G234" s="196"/>
      <c r="H234" s="196"/>
      <c r="I234" s="196"/>
    </row>
    <row r="235" spans="1:10" s="52" customFormat="1">
      <c r="A235" s="37"/>
      <c r="B235" s="196"/>
      <c r="C235" s="413"/>
      <c r="D235" s="413"/>
      <c r="E235" s="196"/>
      <c r="F235" s="196"/>
      <c r="G235" s="196"/>
      <c r="H235" s="196"/>
      <c r="I235" s="196"/>
      <c r="J235" s="196"/>
    </row>
    <row r="236" spans="1:10" s="52" customFormat="1">
      <c r="A236" s="37"/>
      <c r="B236" s="196"/>
      <c r="C236" s="413"/>
      <c r="D236" s="413"/>
      <c r="E236" s="597"/>
      <c r="F236" s="597"/>
      <c r="G236" s="597"/>
      <c r="H236" s="597"/>
      <c r="I236" s="597"/>
      <c r="J236" s="597"/>
    </row>
    <row r="237" spans="1:10" s="52" customFormat="1">
      <c r="A237" s="37"/>
      <c r="B237" s="196"/>
      <c r="C237" s="413"/>
      <c r="D237" s="413"/>
      <c r="E237" s="597"/>
      <c r="F237" s="597"/>
      <c r="G237" s="597"/>
      <c r="H237" s="597"/>
      <c r="I237" s="597"/>
      <c r="J237" s="461"/>
    </row>
    <row r="238" spans="1:10" s="52" customFormat="1">
      <c r="A238" s="37"/>
      <c r="B238" s="196"/>
      <c r="C238" s="413"/>
      <c r="D238" s="413"/>
      <c r="E238" s="595"/>
      <c r="F238" s="595"/>
      <c r="G238" s="595"/>
      <c r="H238" s="595"/>
      <c r="I238" s="595"/>
      <c r="J238" s="595"/>
    </row>
    <row r="239" spans="1:10" s="52" customFormat="1">
      <c r="A239" s="37"/>
      <c r="B239" s="196"/>
      <c r="C239" s="413"/>
      <c r="D239" s="413"/>
      <c r="E239" s="460"/>
      <c r="F239" s="460"/>
      <c r="G239" s="460"/>
      <c r="H239" s="460"/>
      <c r="I239" s="460"/>
      <c r="J239" s="595"/>
    </row>
    <row r="240" spans="1:10" s="52" customFormat="1">
      <c r="A240" s="37"/>
      <c r="B240" s="196"/>
      <c r="C240" s="413"/>
      <c r="D240" s="413"/>
      <c r="E240" s="460"/>
      <c r="F240" s="460"/>
      <c r="G240" s="460"/>
      <c r="H240" s="460"/>
      <c r="I240" s="460"/>
      <c r="J240" s="595"/>
    </row>
    <row r="241" spans="1:10" s="52" customFormat="1">
      <c r="A241" s="37"/>
      <c r="B241" s="196"/>
      <c r="C241" s="413"/>
      <c r="D241" s="413"/>
      <c r="E241" s="264"/>
      <c r="F241" s="264"/>
      <c r="G241" s="264"/>
      <c r="H241" s="264"/>
      <c r="J241" s="595"/>
    </row>
    <row r="242" spans="1:10" s="52" customFormat="1">
      <c r="A242" s="37"/>
      <c r="B242" s="196"/>
      <c r="C242" s="413"/>
      <c r="D242" s="413"/>
      <c r="E242" s="264"/>
      <c r="F242" s="264"/>
      <c r="G242" s="264"/>
      <c r="H242" s="264"/>
      <c r="J242" s="595"/>
    </row>
    <row r="243" spans="1:10" s="52" customFormat="1">
      <c r="A243" s="37"/>
      <c r="B243" s="196"/>
      <c r="C243" s="413"/>
      <c r="D243" s="413"/>
      <c r="E243" s="264"/>
      <c r="F243" s="264"/>
      <c r="G243" s="264"/>
      <c r="H243" s="264"/>
      <c r="J243" s="595"/>
    </row>
    <row r="244" spans="1:10" s="52" customFormat="1">
      <c r="A244" s="37"/>
      <c r="B244" s="196"/>
      <c r="C244" s="413"/>
      <c r="D244" s="413"/>
      <c r="E244" s="264"/>
      <c r="F244" s="264"/>
      <c r="G244" s="264"/>
      <c r="H244" s="264"/>
      <c r="J244" s="595"/>
    </row>
    <row r="248" spans="1:10" s="52" customFormat="1">
      <c r="A248" s="37"/>
      <c r="B248" s="196"/>
      <c r="C248" s="413"/>
      <c r="D248" s="413"/>
    </row>
    <row r="249" spans="1:10" s="52" customFormat="1">
      <c r="A249" s="37"/>
      <c r="B249" s="196"/>
      <c r="C249" s="413"/>
      <c r="D249" s="413"/>
      <c r="E249" s="438"/>
      <c r="F249" s="438"/>
      <c r="G249" s="116"/>
      <c r="H249" s="116"/>
      <c r="I249" s="116"/>
      <c r="J249" s="196"/>
    </row>
    <row r="250" spans="1:10" s="52" customFormat="1">
      <c r="A250" s="37"/>
      <c r="B250" s="196"/>
      <c r="C250" s="413"/>
      <c r="D250" s="413"/>
      <c r="E250" s="116"/>
      <c r="F250" s="116"/>
      <c r="G250" s="116"/>
      <c r="H250" s="116"/>
      <c r="I250" s="116"/>
      <c r="J250" s="196"/>
    </row>
    <row r="251" spans="1:10" s="52" customFormat="1">
      <c r="A251" s="37"/>
      <c r="B251" s="196"/>
      <c r="C251" s="413"/>
      <c r="D251" s="413"/>
      <c r="E251" s="196"/>
      <c r="F251" s="196"/>
      <c r="G251" s="196"/>
      <c r="H251" s="196"/>
      <c r="I251" s="196"/>
    </row>
    <row r="252" spans="1:10" s="52" customFormat="1">
      <c r="A252" s="37"/>
      <c r="B252" s="196"/>
      <c r="C252" s="413"/>
      <c r="D252" s="413"/>
      <c r="E252" s="196"/>
      <c r="F252" s="196"/>
      <c r="G252" s="196"/>
      <c r="H252" s="196"/>
      <c r="I252" s="196"/>
      <c r="J252" s="196"/>
    </row>
    <row r="253" spans="1:10" s="52" customFormat="1">
      <c r="A253" s="37"/>
      <c r="B253" s="196"/>
      <c r="C253" s="413"/>
      <c r="D253" s="413"/>
      <c r="E253" s="196"/>
      <c r="F253" s="196"/>
      <c r="G253" s="196"/>
      <c r="H253" s="196"/>
      <c r="I253" s="196"/>
    </row>
    <row r="254" spans="1:10" s="52" customFormat="1">
      <c r="A254" s="37"/>
      <c r="B254" s="196"/>
      <c r="C254" s="413"/>
      <c r="D254" s="413"/>
      <c r="E254" s="196"/>
      <c r="F254" s="196"/>
      <c r="G254" s="196"/>
      <c r="H254" s="196"/>
      <c r="I254" s="196"/>
    </row>
    <row r="255" spans="1:10" s="52" customFormat="1">
      <c r="A255" s="37"/>
      <c r="B255" s="196"/>
      <c r="C255" s="413"/>
      <c r="D255" s="413"/>
      <c r="E255" s="196"/>
      <c r="F255" s="196"/>
      <c r="G255" s="196"/>
      <c r="H255" s="196"/>
      <c r="I255" s="196"/>
    </row>
    <row r="256" spans="1:10" s="52" customFormat="1">
      <c r="A256" s="37"/>
      <c r="B256" s="196"/>
      <c r="C256" s="413"/>
      <c r="D256" s="413"/>
      <c r="E256" s="196"/>
      <c r="F256" s="196"/>
      <c r="G256" s="196"/>
      <c r="H256" s="196"/>
      <c r="I256" s="196"/>
    </row>
    <row r="257" spans="1:10" s="52" customFormat="1">
      <c r="A257" s="37"/>
      <c r="B257" s="196"/>
      <c r="C257" s="413"/>
      <c r="D257" s="413"/>
      <c r="E257" s="264"/>
      <c r="F257" s="264"/>
      <c r="G257" s="264"/>
      <c r="H257" s="264"/>
    </row>
    <row r="258" spans="1:10" s="52" customFormat="1">
      <c r="A258" s="37"/>
      <c r="B258" s="196"/>
      <c r="C258" s="413"/>
      <c r="D258" s="413"/>
      <c r="E258" s="264"/>
      <c r="F258" s="264"/>
      <c r="G258" s="264"/>
      <c r="H258" s="264"/>
    </row>
    <row r="259" spans="1:10" s="52" customFormat="1">
      <c r="A259" s="37"/>
      <c r="B259" s="196"/>
      <c r="C259" s="413"/>
      <c r="D259" s="413"/>
      <c r="E259" s="264"/>
      <c r="F259" s="264"/>
      <c r="G259" s="264"/>
      <c r="H259" s="264"/>
    </row>
    <row r="260" spans="1:10" s="52" customFormat="1">
      <c r="A260" s="37"/>
      <c r="B260" s="196"/>
      <c r="C260" s="413"/>
      <c r="D260" s="413"/>
      <c r="E260" s="264"/>
      <c r="F260" s="264"/>
      <c r="G260" s="264"/>
      <c r="H260" s="264"/>
    </row>
    <row r="261" spans="1:10" s="52" customFormat="1">
      <c r="A261" s="37"/>
      <c r="B261" s="196"/>
      <c r="C261" s="413"/>
      <c r="D261" s="413"/>
      <c r="E261" s="264"/>
      <c r="F261" s="264"/>
      <c r="G261" s="264"/>
      <c r="H261" s="264"/>
    </row>
    <row r="262" spans="1:10" s="52" customFormat="1">
      <c r="A262" s="37"/>
      <c r="B262" s="196"/>
      <c r="C262" s="413"/>
      <c r="D262" s="413"/>
      <c r="E262" s="264"/>
      <c r="F262" s="264"/>
      <c r="G262" s="264"/>
      <c r="H262" s="264"/>
    </row>
    <row r="263" spans="1:10" s="52" customFormat="1">
      <c r="A263" s="37"/>
      <c r="B263" s="196"/>
      <c r="C263" s="413"/>
      <c r="D263" s="413"/>
      <c r="E263" s="264"/>
      <c r="F263" s="264"/>
      <c r="G263" s="264"/>
      <c r="H263" s="264"/>
    </row>
    <row r="265" spans="1:10" s="52" customFormat="1">
      <c r="A265" s="37"/>
      <c r="B265" s="196"/>
      <c r="C265" s="413"/>
      <c r="D265" s="413"/>
    </row>
    <row r="266" spans="1:10" s="52" customFormat="1">
      <c r="A266" s="37"/>
      <c r="B266" s="196"/>
      <c r="C266" s="413"/>
      <c r="D266" s="413"/>
      <c r="E266" s="438"/>
      <c r="F266" s="438"/>
      <c r="G266" s="116"/>
      <c r="H266" s="116"/>
      <c r="I266" s="116"/>
      <c r="J266" s="196"/>
    </row>
    <row r="267" spans="1:10" s="52" customFormat="1">
      <c r="A267" s="37"/>
      <c r="B267" s="196"/>
      <c r="C267" s="413"/>
      <c r="D267" s="413"/>
      <c r="E267" s="116"/>
      <c r="F267" s="116"/>
      <c r="G267" s="116"/>
      <c r="H267" s="116"/>
      <c r="I267" s="116"/>
      <c r="J267" s="196"/>
    </row>
    <row r="268" spans="1:10" s="52" customFormat="1">
      <c r="A268" s="37"/>
      <c r="B268" s="196"/>
      <c r="C268" s="413"/>
      <c r="D268" s="413"/>
      <c r="E268" s="196"/>
      <c r="F268" s="196"/>
      <c r="G268" s="196"/>
      <c r="H268" s="196"/>
      <c r="I268" s="196"/>
    </row>
    <row r="269" spans="1:10" s="52" customFormat="1">
      <c r="A269" s="37"/>
      <c r="B269" s="196"/>
      <c r="C269" s="413"/>
      <c r="D269" s="413"/>
      <c r="E269" s="196"/>
      <c r="F269" s="196"/>
      <c r="G269" s="196"/>
      <c r="H269" s="196"/>
      <c r="I269" s="196"/>
      <c r="J269" s="196"/>
    </row>
    <row r="270" spans="1:10" s="52" customFormat="1">
      <c r="A270" s="37"/>
      <c r="B270" s="196"/>
      <c r="C270" s="413"/>
      <c r="D270" s="413"/>
      <c r="E270" s="498"/>
      <c r="F270" s="498"/>
      <c r="G270" s="498"/>
      <c r="H270" s="498"/>
      <c r="I270" s="498"/>
      <c r="J270" s="305"/>
    </row>
    <row r="271" spans="1:10" s="52" customFormat="1">
      <c r="A271" s="37"/>
      <c r="B271" s="196"/>
      <c r="C271" s="413"/>
      <c r="D271" s="413"/>
      <c r="E271" s="498"/>
      <c r="F271" s="498"/>
      <c r="G271" s="498"/>
      <c r="H271" s="498"/>
      <c r="I271" s="498"/>
      <c r="J271" s="595"/>
    </row>
    <row r="272" spans="1:10" s="52" customFormat="1">
      <c r="A272" s="37"/>
      <c r="B272" s="196"/>
      <c r="C272" s="413"/>
      <c r="D272" s="413"/>
      <c r="E272" s="595"/>
      <c r="F272" s="601"/>
      <c r="G272" s="595"/>
      <c r="H272" s="595"/>
      <c r="I272" s="595"/>
      <c r="J272" s="595"/>
    </row>
    <row r="273" spans="1:10" s="52" customFormat="1">
      <c r="A273" s="37"/>
      <c r="B273" s="196"/>
      <c r="C273" s="413"/>
      <c r="D273" s="413"/>
      <c r="E273" s="460"/>
      <c r="F273" s="460"/>
      <c r="G273" s="460"/>
      <c r="H273" s="460"/>
      <c r="I273" s="460"/>
      <c r="J273" s="595"/>
    </row>
    <row r="274" spans="1:10" s="52" customFormat="1">
      <c r="A274" s="37"/>
      <c r="B274" s="196"/>
      <c r="C274" s="413"/>
      <c r="D274" s="413"/>
      <c r="E274" s="460"/>
      <c r="F274" s="460"/>
      <c r="G274" s="460"/>
      <c r="H274" s="460"/>
      <c r="I274" s="460"/>
      <c r="J274" s="595"/>
    </row>
    <row r="275" spans="1:10" s="52" customFormat="1">
      <c r="A275" s="37"/>
      <c r="B275" s="196"/>
      <c r="C275" s="413"/>
      <c r="D275" s="413"/>
      <c r="E275" s="460"/>
      <c r="F275" s="460"/>
      <c r="G275" s="460"/>
      <c r="H275" s="460"/>
      <c r="J275" s="595"/>
    </row>
    <row r="276" spans="1:10" s="52" customFormat="1">
      <c r="A276" s="37"/>
      <c r="B276" s="196"/>
      <c r="C276" s="413"/>
      <c r="D276" s="413"/>
      <c r="E276" s="460"/>
      <c r="F276" s="460"/>
      <c r="G276" s="460"/>
      <c r="H276" s="460"/>
      <c r="J276" s="595"/>
    </row>
    <row r="277" spans="1:10" s="52" customFormat="1">
      <c r="A277" s="37"/>
      <c r="B277" s="196"/>
      <c r="C277" s="413"/>
      <c r="D277" s="413"/>
      <c r="E277" s="460"/>
      <c r="F277" s="460"/>
      <c r="G277" s="460"/>
      <c r="H277" s="460"/>
      <c r="J277" s="595"/>
    </row>
    <row r="278" spans="1:10" s="52" customFormat="1">
      <c r="A278" s="37"/>
      <c r="B278" s="196"/>
      <c r="C278" s="413"/>
      <c r="D278" s="413"/>
      <c r="E278" s="460"/>
      <c r="F278" s="460"/>
      <c r="G278" s="460"/>
      <c r="H278" s="460"/>
      <c r="J278" s="595"/>
    </row>
    <row r="282" spans="1:10" s="52" customFormat="1">
      <c r="A282" s="37"/>
      <c r="B282" s="196"/>
      <c r="C282" s="413"/>
      <c r="D282" s="413"/>
    </row>
    <row r="283" spans="1:10" s="52" customFormat="1">
      <c r="A283" s="37"/>
      <c r="B283" s="196"/>
      <c r="C283" s="413"/>
      <c r="D283" s="413"/>
      <c r="E283" s="438"/>
      <c r="F283" s="438"/>
      <c r="G283" s="116"/>
      <c r="H283" s="116"/>
      <c r="I283" s="116"/>
      <c r="J283" s="196"/>
    </row>
    <row r="284" spans="1:10" s="52" customFormat="1">
      <c r="A284" s="37"/>
      <c r="B284" s="196"/>
      <c r="C284" s="413"/>
      <c r="D284" s="413"/>
      <c r="E284" s="116"/>
      <c r="F284" s="116"/>
      <c r="G284" s="116"/>
      <c r="H284" s="116"/>
      <c r="I284" s="116"/>
      <c r="J284" s="196"/>
    </row>
    <row r="285" spans="1:10" s="52" customFormat="1">
      <c r="A285" s="37"/>
      <c r="B285" s="196"/>
      <c r="C285" s="413"/>
      <c r="D285" s="413"/>
      <c r="E285" s="196"/>
      <c r="F285" s="196"/>
      <c r="G285" s="196"/>
      <c r="H285" s="196"/>
      <c r="I285" s="196"/>
    </row>
    <row r="286" spans="1:10" s="52" customFormat="1">
      <c r="A286" s="37"/>
      <c r="B286" s="196"/>
      <c r="C286" s="413"/>
      <c r="D286" s="413"/>
      <c r="E286" s="196"/>
      <c r="F286" s="196"/>
      <c r="G286" s="196"/>
      <c r="H286" s="196"/>
      <c r="I286" s="196"/>
      <c r="J286" s="196"/>
    </row>
    <row r="287" spans="1:10" s="52" customFormat="1">
      <c r="A287" s="37"/>
      <c r="B287" s="196"/>
      <c r="C287" s="413"/>
      <c r="D287" s="413"/>
      <c r="E287" s="597"/>
      <c r="F287" s="597"/>
      <c r="G287" s="597"/>
      <c r="H287" s="597"/>
      <c r="I287" s="597"/>
      <c r="J287" s="597"/>
    </row>
    <row r="288" spans="1:10" s="52" customFormat="1">
      <c r="A288" s="37"/>
      <c r="B288" s="196"/>
      <c r="C288" s="413"/>
      <c r="D288" s="413"/>
      <c r="E288" s="597"/>
      <c r="F288" s="597"/>
      <c r="G288" s="597"/>
      <c r="H288" s="597"/>
      <c r="I288" s="597"/>
      <c r="J288" s="285"/>
    </row>
    <row r="289" spans="1:10" s="52" customFormat="1">
      <c r="A289" s="37"/>
      <c r="B289" s="196"/>
      <c r="C289" s="413"/>
      <c r="D289" s="413"/>
      <c r="E289" s="595"/>
      <c r="F289" s="595"/>
      <c r="G289" s="595"/>
      <c r="H289" s="595"/>
      <c r="I289" s="595"/>
      <c r="J289" s="264"/>
    </row>
    <row r="290" spans="1:10" s="52" customFormat="1">
      <c r="A290" s="37"/>
      <c r="B290" s="196"/>
      <c r="C290" s="413"/>
      <c r="D290" s="413"/>
      <c r="E290" s="460"/>
      <c r="F290" s="460"/>
      <c r="G290" s="460"/>
      <c r="H290" s="460"/>
      <c r="I290" s="460"/>
      <c r="J290" s="264"/>
    </row>
    <row r="291" spans="1:10" s="52" customFormat="1">
      <c r="A291" s="37"/>
      <c r="B291" s="196"/>
      <c r="C291" s="413"/>
      <c r="D291" s="413"/>
      <c r="E291" s="264"/>
      <c r="F291" s="264"/>
      <c r="G291" s="264"/>
      <c r="H291" s="264"/>
      <c r="I291" s="264"/>
      <c r="J291" s="264"/>
    </row>
    <row r="292" spans="1:10" s="52" customFormat="1">
      <c r="A292" s="37"/>
      <c r="B292" s="196"/>
      <c r="C292" s="413"/>
      <c r="D292" s="413"/>
      <c r="E292" s="264"/>
      <c r="F292" s="264"/>
      <c r="G292" s="264"/>
      <c r="H292" s="264"/>
      <c r="J292" s="264"/>
    </row>
    <row r="293" spans="1:10" s="52" customFormat="1">
      <c r="A293" s="37"/>
      <c r="B293" s="196"/>
      <c r="C293" s="413"/>
      <c r="D293" s="413"/>
      <c r="E293" s="264"/>
      <c r="F293" s="264"/>
      <c r="G293" s="264"/>
      <c r="H293" s="264"/>
      <c r="J293" s="264"/>
    </row>
    <row r="294" spans="1:10" s="52" customFormat="1">
      <c r="A294" s="37"/>
      <c r="B294" s="196"/>
      <c r="C294" s="413"/>
      <c r="D294" s="413"/>
      <c r="E294" s="264"/>
      <c r="F294" s="264"/>
      <c r="G294" s="264"/>
      <c r="H294" s="264"/>
      <c r="J294" s="264"/>
    </row>
    <row r="295" spans="1:10" s="52" customFormat="1">
      <c r="A295" s="37"/>
      <c r="B295" s="196"/>
      <c r="C295" s="413"/>
      <c r="D295" s="413"/>
      <c r="E295" s="264"/>
      <c r="F295" s="264"/>
      <c r="G295" s="264"/>
      <c r="H295" s="264"/>
      <c r="J295" s="264"/>
    </row>
    <row r="299" spans="1:10" s="52" customFormat="1">
      <c r="A299" s="37"/>
      <c r="B299" s="196"/>
      <c r="C299" s="413"/>
      <c r="D299" s="413"/>
    </row>
    <row r="300" spans="1:10" s="52" customFormat="1">
      <c r="A300" s="37"/>
      <c r="B300" s="196"/>
      <c r="C300" s="413"/>
      <c r="D300" s="413"/>
      <c r="E300" s="438"/>
      <c r="F300" s="438"/>
      <c r="G300" s="116"/>
      <c r="H300" s="116"/>
      <c r="I300" s="116"/>
      <c r="J300" s="196"/>
    </row>
    <row r="301" spans="1:10" s="52" customFormat="1">
      <c r="A301" s="37"/>
      <c r="B301" s="196"/>
      <c r="C301" s="413"/>
      <c r="D301" s="413"/>
      <c r="E301" s="116"/>
      <c r="F301" s="116"/>
      <c r="G301" s="116"/>
      <c r="H301" s="116"/>
      <c r="I301" s="116"/>
      <c r="J301" s="196"/>
    </row>
    <row r="302" spans="1:10" s="52" customFormat="1">
      <c r="A302" s="37"/>
      <c r="B302" s="196"/>
      <c r="C302" s="413"/>
      <c r="D302" s="413"/>
      <c r="E302" s="196"/>
      <c r="F302" s="196"/>
      <c r="G302" s="196"/>
      <c r="H302" s="196"/>
      <c r="I302" s="196"/>
    </row>
    <row r="303" spans="1:10" s="52" customFormat="1">
      <c r="A303" s="37"/>
      <c r="B303" s="196"/>
      <c r="C303" s="413"/>
      <c r="D303" s="413"/>
      <c r="E303" s="196"/>
      <c r="F303" s="196"/>
      <c r="G303" s="196"/>
      <c r="H303" s="196"/>
      <c r="I303" s="196"/>
      <c r="J303" s="196"/>
    </row>
    <row r="304" spans="1:10" s="52" customFormat="1">
      <c r="A304" s="37"/>
      <c r="B304" s="196"/>
      <c r="C304" s="413"/>
      <c r="D304" s="413"/>
      <c r="E304" s="498"/>
      <c r="F304" s="498"/>
      <c r="G304" s="498"/>
      <c r="H304" s="498"/>
      <c r="I304" s="498"/>
      <c r="J304" s="305"/>
    </row>
    <row r="305" spans="1:10" s="52" customFormat="1">
      <c r="A305" s="37"/>
      <c r="B305" s="196"/>
      <c r="C305" s="413"/>
      <c r="D305" s="413"/>
      <c r="E305" s="498"/>
      <c r="F305" s="498"/>
      <c r="G305" s="498"/>
      <c r="H305" s="498"/>
      <c r="I305" s="498"/>
      <c r="J305" s="264"/>
    </row>
    <row r="306" spans="1:10" s="52" customFormat="1">
      <c r="A306" s="37"/>
      <c r="B306" s="196"/>
      <c r="C306" s="413"/>
      <c r="D306" s="413"/>
      <c r="E306" s="498"/>
      <c r="F306" s="498"/>
      <c r="G306" s="498"/>
      <c r="H306" s="498"/>
      <c r="I306" s="498"/>
      <c r="J306" s="264"/>
    </row>
    <row r="307" spans="1:10" s="52" customFormat="1">
      <c r="A307" s="37"/>
      <c r="B307" s="196"/>
      <c r="C307" s="413"/>
      <c r="D307" s="413"/>
      <c r="E307" s="315"/>
      <c r="F307" s="315"/>
      <c r="G307" s="315"/>
      <c r="H307" s="315"/>
      <c r="I307" s="315"/>
      <c r="J307" s="264"/>
    </row>
    <row r="308" spans="1:10" s="52" customFormat="1">
      <c r="A308" s="37"/>
      <c r="B308" s="196"/>
      <c r="C308" s="413"/>
      <c r="D308" s="413"/>
      <c r="E308" s="264"/>
      <c r="F308" s="264"/>
      <c r="G308" s="264"/>
      <c r="H308" s="264"/>
      <c r="I308" s="264"/>
      <c r="J308" s="264"/>
    </row>
    <row r="309" spans="1:10" s="52" customFormat="1">
      <c r="A309" s="37"/>
      <c r="B309" s="196"/>
      <c r="C309" s="413"/>
      <c r="D309" s="413"/>
      <c r="E309" s="264"/>
      <c r="F309" s="264"/>
      <c r="G309" s="264"/>
      <c r="H309" s="264"/>
      <c r="J309" s="264"/>
    </row>
    <row r="310" spans="1:10" s="52" customFormat="1">
      <c r="A310" s="37"/>
      <c r="B310" s="196"/>
      <c r="C310" s="413"/>
      <c r="D310" s="413"/>
      <c r="E310" s="264"/>
      <c r="F310" s="264"/>
      <c r="G310" s="264"/>
      <c r="H310" s="264"/>
      <c r="J310" s="264"/>
    </row>
    <row r="311" spans="1:10" s="52" customFormat="1">
      <c r="A311" s="37"/>
      <c r="B311" s="196"/>
      <c r="C311" s="413"/>
      <c r="D311" s="413"/>
      <c r="E311" s="264"/>
      <c r="F311" s="264"/>
      <c r="G311" s="264"/>
      <c r="H311" s="264"/>
      <c r="J311" s="264"/>
    </row>
    <row r="312" spans="1:10" s="52" customFormat="1">
      <c r="A312" s="37"/>
      <c r="B312" s="196"/>
      <c r="C312" s="413"/>
      <c r="D312" s="413"/>
      <c r="E312" s="264"/>
      <c r="F312" s="264"/>
      <c r="G312" s="264"/>
      <c r="H312" s="264"/>
      <c r="J312" s="264"/>
    </row>
    <row r="316" spans="1:10" s="52" customFormat="1">
      <c r="A316" s="37"/>
      <c r="B316" s="196"/>
      <c r="C316" s="413"/>
      <c r="D316" s="413"/>
    </row>
    <row r="317" spans="1:10" s="52" customFormat="1">
      <c r="A317" s="37"/>
      <c r="B317" s="196"/>
      <c r="C317" s="413"/>
      <c r="D317" s="413"/>
      <c r="E317" s="438"/>
      <c r="F317" s="438"/>
      <c r="G317" s="116"/>
      <c r="H317" s="116"/>
      <c r="I317" s="116"/>
      <c r="J317" s="196"/>
    </row>
    <row r="318" spans="1:10" s="52" customFormat="1">
      <c r="A318" s="37"/>
      <c r="B318" s="196"/>
      <c r="C318" s="413"/>
      <c r="D318" s="413"/>
      <c r="E318" s="116"/>
      <c r="F318" s="116"/>
      <c r="G318" s="116"/>
      <c r="H318" s="116"/>
      <c r="I318" s="116"/>
      <c r="J318" s="196"/>
    </row>
    <row r="319" spans="1:10" s="52" customFormat="1">
      <c r="A319" s="37"/>
      <c r="B319" s="196"/>
      <c r="C319" s="413"/>
      <c r="D319" s="413"/>
      <c r="E319" s="196"/>
      <c r="F319" s="196"/>
      <c r="G319" s="196"/>
      <c r="H319" s="196"/>
      <c r="I319" s="196"/>
    </row>
    <row r="320" spans="1:10" s="52" customFormat="1">
      <c r="A320" s="37"/>
      <c r="B320" s="196"/>
      <c r="C320" s="413"/>
      <c r="D320" s="413"/>
      <c r="E320" s="196"/>
      <c r="F320" s="196"/>
      <c r="G320" s="196"/>
      <c r="H320" s="196"/>
      <c r="I320" s="196"/>
      <c r="J320" s="196"/>
    </row>
    <row r="321" spans="1:10" s="52" customFormat="1">
      <c r="A321" s="37"/>
      <c r="B321" s="196"/>
      <c r="C321" s="413"/>
      <c r="D321" s="413"/>
      <c r="E321" s="196"/>
      <c r="F321" s="498"/>
      <c r="G321" s="196"/>
      <c r="H321" s="196"/>
      <c r="I321" s="196"/>
      <c r="J321" s="305"/>
    </row>
    <row r="322" spans="1:10" s="52" customFormat="1">
      <c r="A322" s="37"/>
      <c r="B322" s="196"/>
      <c r="C322" s="413"/>
      <c r="D322" s="413"/>
      <c r="E322" s="498"/>
      <c r="F322" s="498"/>
      <c r="G322" s="498"/>
      <c r="H322" s="498"/>
      <c r="I322" s="498"/>
      <c r="J322" s="305"/>
    </row>
    <row r="323" spans="1:10" s="52" customFormat="1">
      <c r="A323" s="37"/>
      <c r="B323" s="196"/>
      <c r="C323" s="413"/>
      <c r="D323" s="413"/>
      <c r="E323" s="315"/>
      <c r="F323" s="315"/>
      <c r="G323" s="595"/>
      <c r="H323" s="595"/>
      <c r="I323" s="595"/>
      <c r="J323" s="305"/>
    </row>
    <row r="324" spans="1:10" s="52" customFormat="1">
      <c r="A324" s="37"/>
      <c r="B324" s="196"/>
      <c r="C324" s="413"/>
      <c r="D324" s="413"/>
      <c r="E324" s="315"/>
      <c r="F324" s="315"/>
      <c r="G324" s="460"/>
      <c r="H324" s="460"/>
      <c r="I324" s="460"/>
      <c r="J324" s="264"/>
    </row>
    <row r="325" spans="1:10" s="52" customFormat="1">
      <c r="A325" s="37"/>
      <c r="B325" s="196"/>
      <c r="C325" s="413"/>
      <c r="D325" s="413"/>
      <c r="E325" s="264"/>
      <c r="F325" s="264"/>
      <c r="G325" s="264"/>
      <c r="H325" s="264"/>
    </row>
    <row r="326" spans="1:10" s="52" customFormat="1">
      <c r="A326" s="37"/>
      <c r="B326" s="196"/>
      <c r="C326" s="413"/>
      <c r="D326" s="413"/>
      <c r="E326" s="264"/>
      <c r="F326" s="264"/>
      <c r="G326" s="264"/>
      <c r="H326" s="264"/>
    </row>
    <row r="327" spans="1:10" s="52" customFormat="1">
      <c r="A327" s="37"/>
      <c r="B327" s="196"/>
      <c r="C327" s="413"/>
      <c r="D327" s="413"/>
      <c r="E327" s="264"/>
      <c r="F327" s="264"/>
      <c r="G327" s="264"/>
      <c r="H327" s="264"/>
    </row>
    <row r="328" spans="1:10" s="52" customFormat="1">
      <c r="A328" s="37"/>
      <c r="B328" s="196"/>
      <c r="C328" s="413"/>
      <c r="D328" s="413"/>
      <c r="E328" s="264"/>
      <c r="F328" s="264"/>
      <c r="G328" s="264"/>
      <c r="H328" s="264"/>
    </row>
    <row r="329" spans="1:10" s="52" customFormat="1">
      <c r="A329" s="37"/>
      <c r="B329" s="196"/>
      <c r="C329" s="413"/>
      <c r="D329" s="413"/>
      <c r="E329" s="264"/>
      <c r="F329" s="264"/>
      <c r="G329" s="264"/>
      <c r="H329" s="264"/>
    </row>
  </sheetData>
  <mergeCells count="82">
    <mergeCell ref="C121:C122"/>
    <mergeCell ref="D121:D122"/>
    <mergeCell ref="B127:D127"/>
    <mergeCell ref="B128:B130"/>
    <mergeCell ref="C128:C129"/>
    <mergeCell ref="D128:D129"/>
    <mergeCell ref="B99:D99"/>
    <mergeCell ref="B100:B102"/>
    <mergeCell ref="C100:C101"/>
    <mergeCell ref="D100:D101"/>
    <mergeCell ref="B89:D89"/>
    <mergeCell ref="B90:B92"/>
    <mergeCell ref="C90:C91"/>
    <mergeCell ref="D90:D91"/>
    <mergeCell ref="B74:B76"/>
    <mergeCell ref="C74:C75"/>
    <mergeCell ref="D74:D75"/>
    <mergeCell ref="E74:H74"/>
    <mergeCell ref="E82:H82"/>
    <mergeCell ref="E90:H90"/>
    <mergeCell ref="B81:D81"/>
    <mergeCell ref="B82:B84"/>
    <mergeCell ref="C82:C83"/>
    <mergeCell ref="D82:D83"/>
    <mergeCell ref="B56:B58"/>
    <mergeCell ref="C56:C57"/>
    <mergeCell ref="D56:D57"/>
    <mergeCell ref="E56:H56"/>
    <mergeCell ref="B73:D73"/>
    <mergeCell ref="B63:D63"/>
    <mergeCell ref="B64:B66"/>
    <mergeCell ref="C64:C65"/>
    <mergeCell ref="D64:D65"/>
    <mergeCell ref="E64:H64"/>
    <mergeCell ref="C40:C41"/>
    <mergeCell ref="D40:D41"/>
    <mergeCell ref="C48:C49"/>
    <mergeCell ref="D48:D49"/>
    <mergeCell ref="B55:D55"/>
    <mergeCell ref="E21:H21"/>
    <mergeCell ref="E29:H29"/>
    <mergeCell ref="E40:H40"/>
    <mergeCell ref="E48:H48"/>
    <mergeCell ref="B20:D20"/>
    <mergeCell ref="B21:B23"/>
    <mergeCell ref="C21:C22"/>
    <mergeCell ref="D21:D22"/>
    <mergeCell ref="B28:D28"/>
    <mergeCell ref="B29:B31"/>
    <mergeCell ref="C29:C30"/>
    <mergeCell ref="D29:D30"/>
    <mergeCell ref="B47:D47"/>
    <mergeCell ref="B48:B50"/>
    <mergeCell ref="B39:D39"/>
    <mergeCell ref="B40:B42"/>
    <mergeCell ref="B12:D12"/>
    <mergeCell ref="B13:B15"/>
    <mergeCell ref="C13:C14"/>
    <mergeCell ref="D13:D14"/>
    <mergeCell ref="E13:H13"/>
    <mergeCell ref="B2:F2"/>
    <mergeCell ref="B4:D4"/>
    <mergeCell ref="B5:B7"/>
    <mergeCell ref="C5:C6"/>
    <mergeCell ref="D5:D6"/>
    <mergeCell ref="E5:H5"/>
    <mergeCell ref="B136:D136"/>
    <mergeCell ref="E100:H100"/>
    <mergeCell ref="E107:H107"/>
    <mergeCell ref="E114:H114"/>
    <mergeCell ref="E121:H121"/>
    <mergeCell ref="E128:H128"/>
    <mergeCell ref="B106:D106"/>
    <mergeCell ref="B107:B109"/>
    <mergeCell ref="C107:C108"/>
    <mergeCell ref="D107:D108"/>
    <mergeCell ref="B120:D120"/>
    <mergeCell ref="B113:D113"/>
    <mergeCell ref="B114:B116"/>
    <mergeCell ref="C114:C115"/>
    <mergeCell ref="D114:D115"/>
    <mergeCell ref="B121:B123"/>
  </mergeCells>
  <pageMargins left="0.47" right="0.51" top="0.75" bottom="0.75" header="0.3" footer="0.3"/>
  <pageSetup paperSize="9" scale="68" orientation="landscape" r:id="rId1"/>
  <rowBreaks count="3" manualBreakCount="3">
    <brk id="35" max="16383" man="1"/>
    <brk id="70" max="7" man="1"/>
    <brk id="96"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autoPageBreaks="0"/>
  </sheetPr>
  <dimension ref="B2:AC44"/>
  <sheetViews>
    <sheetView showGridLines="0" view="pageBreakPreview" zoomScale="70" zoomScaleNormal="100" zoomScaleSheetLayoutView="70" workbookViewId="0">
      <pane xSplit="2" topLeftCell="C1" activePane="topRight" state="frozen"/>
      <selection pane="topRight" activeCell="G18" sqref="G18"/>
    </sheetView>
  </sheetViews>
  <sheetFormatPr defaultColWidth="9.140625" defaultRowHeight="12.75"/>
  <cols>
    <col min="1" max="1" width="3.7109375" style="292" customWidth="1"/>
    <col min="2" max="2" width="18.5703125" style="292" customWidth="1"/>
    <col min="3" max="3" width="14.7109375" style="444" customWidth="1"/>
    <col min="4" max="4" width="11.5703125" style="444" customWidth="1"/>
    <col min="5" max="5" width="14.7109375" style="444" customWidth="1"/>
    <col min="6" max="6" width="11.5703125" style="444" customWidth="1"/>
    <col min="7" max="7" width="14.7109375" style="444" customWidth="1"/>
    <col min="8" max="8" width="11.5703125" style="444" customWidth="1"/>
    <col min="9" max="9" width="14.7109375" style="444" customWidth="1"/>
    <col min="10" max="10" width="11.5703125" style="444" customWidth="1"/>
    <col min="11" max="11" width="15.85546875" style="444" customWidth="1"/>
    <col min="12" max="12" width="13.5703125" style="444" customWidth="1"/>
    <col min="13" max="13" width="7" style="444" customWidth="1"/>
    <col min="14" max="14" width="13.140625" style="444" customWidth="1"/>
    <col min="15" max="15" width="9.5703125" style="444" customWidth="1"/>
    <col min="16" max="21" width="7" style="444" customWidth="1"/>
    <col min="22" max="29" width="9.140625" style="444"/>
    <col min="30" max="16384" width="9.140625" style="292"/>
  </cols>
  <sheetData>
    <row r="2" spans="2:25" ht="12.75" customHeight="1">
      <c r="B2" s="295" t="s">
        <v>136</v>
      </c>
      <c r="C2" s="458"/>
      <c r="D2" s="458"/>
      <c r="E2" s="442"/>
      <c r="F2" s="442"/>
      <c r="G2" s="442"/>
      <c r="H2" s="442"/>
      <c r="I2" s="442"/>
      <c r="J2" s="442"/>
      <c r="K2" s="442"/>
      <c r="L2" s="442"/>
      <c r="M2" s="442"/>
      <c r="N2" s="442"/>
      <c r="P2" s="441"/>
      <c r="Q2" s="442"/>
      <c r="R2" s="442"/>
      <c r="S2" s="442"/>
      <c r="T2" s="442"/>
      <c r="U2" s="442"/>
      <c r="V2" s="442"/>
      <c r="W2" s="442"/>
      <c r="X2" s="442"/>
    </row>
    <row r="3" spans="2:25" ht="15.75" customHeight="1">
      <c r="B3" s="458"/>
      <c r="C3" s="458"/>
      <c r="D3" s="458"/>
      <c r="E3" s="442"/>
      <c r="F3" s="442"/>
      <c r="G3" s="442"/>
      <c r="H3" s="442"/>
      <c r="I3" s="442"/>
      <c r="J3" s="442"/>
      <c r="K3" s="442"/>
      <c r="L3" s="442"/>
      <c r="M3" s="442"/>
      <c r="N3" s="442"/>
      <c r="P3" s="442"/>
      <c r="Q3" s="442"/>
      <c r="R3" s="442"/>
      <c r="S3" s="442"/>
      <c r="T3" s="442"/>
      <c r="U3" s="442"/>
      <c r="V3" s="442"/>
      <c r="W3" s="442"/>
      <c r="X3" s="442"/>
      <c r="Y3" s="442"/>
    </row>
    <row r="4" spans="2:25" ht="36" customHeight="1">
      <c r="B4" s="3432" t="s">
        <v>83</v>
      </c>
      <c r="C4" s="3423">
        <v>2017</v>
      </c>
      <c r="D4" s="3431"/>
      <c r="E4" s="3423">
        <v>2018</v>
      </c>
      <c r="F4" s="3424"/>
      <c r="G4" s="3431">
        <v>2019</v>
      </c>
      <c r="H4" s="3431"/>
      <c r="I4" s="3423" t="s">
        <v>137</v>
      </c>
      <c r="J4" s="3424"/>
      <c r="K4" s="3431" t="s">
        <v>84</v>
      </c>
      <c r="L4" s="3431"/>
      <c r="M4" s="442"/>
      <c r="N4" s="442"/>
      <c r="P4" s="448"/>
      <c r="Q4" s="448"/>
      <c r="R4" s="448"/>
      <c r="S4" s="442"/>
      <c r="T4" s="442"/>
      <c r="U4" s="442"/>
      <c r="V4" s="442"/>
      <c r="W4" s="442"/>
      <c r="X4" s="442"/>
      <c r="Y4" s="442"/>
    </row>
    <row r="5" spans="2:25" ht="25.5">
      <c r="B5" s="3433"/>
      <c r="C5" s="1889" t="s">
        <v>138</v>
      </c>
      <c r="D5" s="1830" t="s">
        <v>139</v>
      </c>
      <c r="E5" s="1331" t="s">
        <v>138</v>
      </c>
      <c r="F5" s="1331" t="s">
        <v>139</v>
      </c>
      <c r="G5" s="1331" t="s">
        <v>138</v>
      </c>
      <c r="H5" s="1331" t="s">
        <v>139</v>
      </c>
      <c r="I5" s="1331" t="s">
        <v>138</v>
      </c>
      <c r="J5" s="1331" t="s">
        <v>139</v>
      </c>
      <c r="K5" s="1331" t="s">
        <v>138</v>
      </c>
      <c r="L5" s="1331" t="s">
        <v>139</v>
      </c>
      <c r="M5" s="442"/>
      <c r="N5" s="442"/>
      <c r="O5" s="442"/>
      <c r="P5" s="448"/>
      <c r="Q5" s="448"/>
      <c r="R5" s="448"/>
      <c r="S5" s="442"/>
      <c r="T5" s="442"/>
      <c r="U5" s="442"/>
      <c r="V5" s="442"/>
      <c r="W5" s="442"/>
      <c r="X5" s="442"/>
      <c r="Y5" s="442"/>
    </row>
    <row r="6" spans="2:25" ht="20.100000000000001" customHeight="1">
      <c r="B6" s="3434"/>
      <c r="C6" s="1890" t="s">
        <v>140</v>
      </c>
      <c r="D6" s="2013" t="s">
        <v>141</v>
      </c>
      <c r="E6" s="1327" t="s">
        <v>140</v>
      </c>
      <c r="F6" s="1327" t="s">
        <v>141</v>
      </c>
      <c r="G6" s="1327" t="s">
        <v>140</v>
      </c>
      <c r="H6" s="1327" t="s">
        <v>141</v>
      </c>
      <c r="I6" s="1327" t="s">
        <v>140</v>
      </c>
      <c r="J6" s="1327" t="s">
        <v>141</v>
      </c>
      <c r="K6" s="1327" t="s">
        <v>140</v>
      </c>
      <c r="L6" s="1327" t="s">
        <v>141</v>
      </c>
      <c r="M6" s="445"/>
      <c r="N6" s="445"/>
      <c r="S6" s="446"/>
      <c r="T6" s="446"/>
      <c r="U6" s="446"/>
      <c r="V6" s="446"/>
      <c r="W6" s="446"/>
      <c r="X6" s="446"/>
      <c r="Y6" s="447"/>
    </row>
    <row r="7" spans="2:25" ht="21.6" customHeight="1">
      <c r="B7" s="1891" t="s">
        <v>91</v>
      </c>
      <c r="C7" s="2014">
        <v>11510581</v>
      </c>
      <c r="D7" s="2015">
        <v>16.082659111110999</v>
      </c>
      <c r="E7" s="2014">
        <v>12739351.071560001</v>
      </c>
      <c r="F7" s="2015">
        <v>15.865889546674367</v>
      </c>
      <c r="G7" s="2016">
        <v>13848283.046369998</v>
      </c>
      <c r="H7" s="2017">
        <v>15.59718959672945</v>
      </c>
      <c r="I7" s="2018">
        <v>14049559</v>
      </c>
      <c r="J7" s="2019">
        <v>13.643857361627425</v>
      </c>
      <c r="K7" s="2020">
        <f>+VLOOKUP(B7,'1. GWP - LT + GI  (Final) '!B6:C32,2,)</f>
        <v>16517328</v>
      </c>
      <c r="L7" s="2021">
        <f>+VLOOKUP(B7,'1. GWP - LT + GI  (Final) '!B6:F32,5,'1. GWP - LT + GI  (Final) '!A17)</f>
        <v>13.240130395019545</v>
      </c>
      <c r="M7" s="445"/>
      <c r="N7" s="284"/>
      <c r="O7" s="900"/>
      <c r="P7" s="447"/>
      <c r="Q7" s="445"/>
      <c r="R7" s="445"/>
      <c r="S7" s="445"/>
      <c r="T7" s="445"/>
      <c r="U7" s="445"/>
      <c r="V7" s="445"/>
      <c r="W7" s="445"/>
      <c r="X7" s="446"/>
      <c r="Y7" s="447"/>
    </row>
    <row r="8" spans="2:25" ht="21.6" customHeight="1">
      <c r="B8" s="1987" t="s">
        <v>93</v>
      </c>
      <c r="C8" s="2014">
        <v>1178817.23578</v>
      </c>
      <c r="D8" s="2015">
        <v>1.6470511573092581</v>
      </c>
      <c r="E8" s="2014">
        <v>1301253.7999999998</v>
      </c>
      <c r="F8" s="2015">
        <v>1.6206123017584864</v>
      </c>
      <c r="G8" s="2016">
        <v>1403858</v>
      </c>
      <c r="H8" s="2017">
        <v>1.581151924723621</v>
      </c>
      <c r="I8" s="2018">
        <v>1476069.0338000001</v>
      </c>
      <c r="J8" s="2019">
        <v>1.4334453738428665</v>
      </c>
      <c r="K8" s="2020">
        <f>+VLOOKUP(B8,'1. GWP - LT + GI  (Final) '!B7:C33,2,)</f>
        <v>1886703</v>
      </c>
      <c r="L8" s="2021">
        <f>+VLOOKUP(B8,'1. GWP - LT + GI  (Final) '!B7:F33,5,'1. GWP - LT + GI  (Final) '!A18)</f>
        <v>1.5123628795574298</v>
      </c>
      <c r="M8" s="445"/>
      <c r="N8" s="284"/>
      <c r="O8" s="900"/>
      <c r="P8" s="447"/>
      <c r="Q8" s="445"/>
      <c r="R8" s="445"/>
      <c r="S8" s="445"/>
      <c r="T8" s="445"/>
      <c r="U8" s="445"/>
      <c r="V8" s="445"/>
      <c r="W8" s="445"/>
      <c r="X8" s="446"/>
      <c r="Y8" s="447"/>
    </row>
    <row r="9" spans="2:25" ht="21.6" customHeight="1">
      <c r="B9" s="1987" t="s">
        <v>94</v>
      </c>
      <c r="C9" s="2014">
        <v>792173.60400000005</v>
      </c>
      <c r="D9" s="2015">
        <v>1.1068301443647612</v>
      </c>
      <c r="E9" s="2022">
        <v>827947.50699999998</v>
      </c>
      <c r="F9" s="2015">
        <v>1.0311454345451061</v>
      </c>
      <c r="G9" s="2016">
        <v>851292.85400000005</v>
      </c>
      <c r="H9" s="2017">
        <v>0.95880305173711622</v>
      </c>
      <c r="I9" s="2018">
        <v>767231.68499999994</v>
      </c>
      <c r="J9" s="2019">
        <v>0.74507674393630885</v>
      </c>
      <c r="K9" s="2020">
        <f>+VLOOKUP(B9,'1. GWP - LT + GI  (Final) '!B8:C34,2,)</f>
        <v>929830</v>
      </c>
      <c r="L9" s="2021">
        <f>+VLOOKUP(B9,'1. GWP - LT + GI  (Final) '!B8:F34,5,'1. GWP - LT + GI  (Final) '!A19)</f>
        <v>0.74534273613752933</v>
      </c>
      <c r="M9" s="445"/>
      <c r="N9" s="284"/>
      <c r="O9" s="900"/>
      <c r="P9" s="447"/>
      <c r="Q9" s="445"/>
      <c r="R9" s="445"/>
      <c r="S9" s="445"/>
      <c r="T9" s="445"/>
      <c r="U9" s="445"/>
      <c r="V9" s="445"/>
      <c r="W9" s="445"/>
      <c r="X9" s="446"/>
      <c r="Y9" s="447"/>
    </row>
    <row r="10" spans="2:25" ht="21.6" customHeight="1">
      <c r="B10" s="1987" t="s">
        <v>96</v>
      </c>
      <c r="C10" s="2014">
        <v>1038085.0793199999</v>
      </c>
      <c r="D10" s="2015">
        <v>1.4504192671972191</v>
      </c>
      <c r="E10" s="2022">
        <v>1387432</v>
      </c>
      <c r="F10" s="2015">
        <v>1.7279406731057236</v>
      </c>
      <c r="G10" s="2016">
        <v>1633155.997</v>
      </c>
      <c r="H10" s="2017">
        <v>1.8394080797562675</v>
      </c>
      <c r="I10" s="2018">
        <v>1836100</v>
      </c>
      <c r="J10" s="2019">
        <v>1.8092477692652604</v>
      </c>
      <c r="K10" s="2020">
        <f>+VLOOKUP(B10,'1. GWP - LT + GI  (Final) '!B9:C35,2,)</f>
        <v>2311633</v>
      </c>
      <c r="L10" s="2021">
        <f>+VLOOKUP(B10,'1. GWP - LT + GI  (Final) '!B9:F35,5,'1. GWP - LT + GI  (Final) '!A20)</f>
        <v>1.8529826582986193</v>
      </c>
      <c r="M10" s="445"/>
      <c r="N10" s="284"/>
      <c r="O10" s="900"/>
      <c r="P10" s="447"/>
      <c r="Q10" s="445"/>
      <c r="R10" s="445"/>
      <c r="S10" s="445"/>
      <c r="T10" s="445"/>
      <c r="U10" s="445"/>
      <c r="V10" s="445"/>
      <c r="W10" s="445"/>
      <c r="X10" s="446"/>
      <c r="Y10" s="446"/>
    </row>
    <row r="11" spans="2:25" ht="21.6" customHeight="1">
      <c r="B11" s="1987" t="s">
        <v>97</v>
      </c>
      <c r="C11" s="2014">
        <v>15765483.624129998</v>
      </c>
      <c r="D11" s="2015">
        <v>22.027636906311361</v>
      </c>
      <c r="E11" s="2022">
        <v>17812774.184009999</v>
      </c>
      <c r="F11" s="2015">
        <v>22.1844508512118</v>
      </c>
      <c r="G11" s="2016">
        <v>18718553.16866</v>
      </c>
      <c r="H11" s="2017">
        <v>21.082528553933656</v>
      </c>
      <c r="I11" s="2018">
        <v>22076250.385849994</v>
      </c>
      <c r="J11" s="2019">
        <v>21.438766251959205</v>
      </c>
      <c r="K11" s="2020">
        <f>+VLOOKUP(B11,'1. GWP - LT + GI  (Final) '!B10:C36,2,)</f>
        <v>25565050</v>
      </c>
      <c r="L11" s="2021">
        <f>+VLOOKUP(B11,'1. GWP - LT + GI  (Final) '!B10:F36,5,'1. GWP - LT + GI  (Final) '!A21)</f>
        <v>20.492696854793611</v>
      </c>
      <c r="M11" s="445"/>
      <c r="N11" s="284"/>
      <c r="O11" s="900"/>
      <c r="P11" s="447"/>
      <c r="Q11" s="445"/>
      <c r="R11" s="445"/>
      <c r="S11" s="445"/>
      <c r="T11" s="445"/>
      <c r="U11" s="445"/>
      <c r="V11" s="445"/>
      <c r="W11" s="445"/>
      <c r="X11" s="446"/>
      <c r="Y11" s="446"/>
    </row>
    <row r="12" spans="2:25" ht="21.6" customHeight="1">
      <c r="B12" s="1987" t="s">
        <v>100</v>
      </c>
      <c r="C12" s="2014">
        <v>626972.29209999996</v>
      </c>
      <c r="D12" s="2015">
        <v>0.87600979011886915</v>
      </c>
      <c r="E12" s="2022">
        <v>619881</v>
      </c>
      <c r="F12" s="2015">
        <v>0.77201447882523178</v>
      </c>
      <c r="G12" s="2016">
        <v>772782</v>
      </c>
      <c r="H12" s="2017">
        <v>0.87037702295514885</v>
      </c>
      <c r="I12" s="2018">
        <v>775410</v>
      </c>
      <c r="J12" s="2019">
        <v>0.75215168477214045</v>
      </c>
      <c r="K12" s="2020">
        <f>+VLOOKUP(B12,'1. GWP - LT + GI  (Final) '!B11:C37,2,)</f>
        <v>840604</v>
      </c>
      <c r="L12" s="2021">
        <f>+VLOOKUP(B12,'1. GWP - LT + GI  (Final) '!B11:F37,5,'1. GWP - LT + GI  (Final) '!A22)</f>
        <v>0.67382003739194452</v>
      </c>
      <c r="M12" s="445"/>
      <c r="N12" s="284"/>
      <c r="O12" s="900"/>
      <c r="P12" s="447"/>
      <c r="Q12" s="445"/>
      <c r="R12" s="445"/>
      <c r="S12" s="445"/>
      <c r="T12" s="445"/>
      <c r="U12" s="445"/>
      <c r="V12" s="445"/>
      <c r="W12" s="445"/>
      <c r="X12" s="446"/>
      <c r="Y12" s="446"/>
    </row>
    <row r="13" spans="2:25" ht="21.6" customHeight="1">
      <c r="B13" s="1987" t="s">
        <v>103</v>
      </c>
      <c r="C13" s="2014">
        <v>3963642</v>
      </c>
      <c r="D13" s="2015">
        <v>5.5380265448357839</v>
      </c>
      <c r="E13" s="2022">
        <v>4420513</v>
      </c>
      <c r="F13" s="2015">
        <v>5.5054115867967592</v>
      </c>
      <c r="G13" s="2016">
        <v>5175044</v>
      </c>
      <c r="H13" s="2017">
        <v>5.8286028794432392</v>
      </c>
      <c r="I13" s="2018">
        <v>5487039</v>
      </c>
      <c r="J13" s="2019">
        <v>5.3285926948800872</v>
      </c>
      <c r="K13" s="2020">
        <f>+VLOOKUP(B13,'1. GWP - LT + GI  (Final) '!B12:C38,2,)</f>
        <v>7091470</v>
      </c>
      <c r="L13" s="2021">
        <f>+VLOOKUP(B13,'1. GWP - LT + GI  (Final) '!B12:F38,5,'1. GWP - LT + GI  (Final) '!A23)</f>
        <v>5.6844537743858607</v>
      </c>
      <c r="M13" s="445"/>
      <c r="N13" s="284"/>
      <c r="O13" s="900"/>
      <c r="P13" s="447"/>
      <c r="Q13" s="445"/>
      <c r="R13" s="445"/>
      <c r="S13" s="445"/>
      <c r="T13" s="445"/>
      <c r="U13" s="445"/>
      <c r="V13" s="445"/>
      <c r="W13" s="445"/>
      <c r="X13" s="446"/>
      <c r="Y13" s="446"/>
    </row>
    <row r="14" spans="2:25" ht="21.6" customHeight="1">
      <c r="B14" s="1987" t="s">
        <v>105</v>
      </c>
      <c r="C14" s="2014">
        <v>2902872.8772900002</v>
      </c>
      <c r="D14" s="2015">
        <v>4.0559129837447108</v>
      </c>
      <c r="E14" s="2022">
        <v>3008841.7831899999</v>
      </c>
      <c r="F14" s="2015">
        <v>3.7472828189878524</v>
      </c>
      <c r="G14" s="2016">
        <v>3511660.4193100003</v>
      </c>
      <c r="H14" s="2017">
        <v>3.9551497594256433</v>
      </c>
      <c r="I14" s="2018">
        <f>3817456+2361</f>
        <v>3819817</v>
      </c>
      <c r="J14" s="2019">
        <v>3.6582451199706147</v>
      </c>
      <c r="K14" s="2020">
        <f>+VLOOKUP(B14,'1. GWP - LT + GI  (Final) '!B13:C39,2,)</f>
        <v>5460929</v>
      </c>
      <c r="L14" s="2021">
        <f>+VLOOKUP(B14,'1. GWP - LT + GI  (Final) '!B13:F39,5,'1. GWP - LT + GI  (Final) '!A24)+0.001</f>
        <v>4.3784278768299387</v>
      </c>
      <c r="M14" s="445"/>
      <c r="N14" s="284"/>
      <c r="O14" s="900"/>
      <c r="P14" s="447"/>
      <c r="Q14" s="445"/>
      <c r="R14" s="445"/>
      <c r="S14" s="445"/>
      <c r="T14" s="445"/>
      <c r="U14" s="445"/>
      <c r="V14" s="445"/>
      <c r="W14" s="445"/>
      <c r="X14" s="446"/>
      <c r="Y14" s="446"/>
    </row>
    <row r="15" spans="2:25" ht="21.6" customHeight="1">
      <c r="B15" s="1987" t="s">
        <v>106</v>
      </c>
      <c r="C15" s="2014">
        <v>582114</v>
      </c>
      <c r="D15" s="2015">
        <v>0.81333349079471295</v>
      </c>
      <c r="E15" s="2022">
        <v>522698.42400000006</v>
      </c>
      <c r="F15" s="2015">
        <v>0.65098099697704892</v>
      </c>
      <c r="G15" s="2016">
        <v>598896.37226999993</v>
      </c>
      <c r="H15" s="2017">
        <v>0.67453129285490743</v>
      </c>
      <c r="I15" s="2018">
        <v>714127.02539999993</v>
      </c>
      <c r="J15" s="2019">
        <v>0.69350555933043045</v>
      </c>
      <c r="K15" s="2020">
        <f>+VLOOKUP(B15,'1. GWP - LT + GI  (Final) '!B14:C40,2,)</f>
        <v>1004700</v>
      </c>
      <c r="L15" s="2021">
        <f>+VLOOKUP(B15,'1. GWP - LT + GI  (Final) '!B14:F40,5,'1. GWP - LT + GI  (Final) '!A25)</f>
        <v>0.80535780411190827</v>
      </c>
      <c r="M15" s="445"/>
      <c r="N15" s="284"/>
      <c r="O15" s="900"/>
      <c r="P15" s="447"/>
      <c r="Q15" s="445"/>
      <c r="R15" s="445"/>
      <c r="S15" s="445"/>
      <c r="T15" s="445"/>
      <c r="U15" s="445"/>
      <c r="V15" s="445"/>
      <c r="W15" s="445"/>
      <c r="X15" s="446"/>
      <c r="Y15" s="446"/>
    </row>
    <row r="16" spans="2:25" ht="21.6" customHeight="1">
      <c r="B16" s="1987" t="s">
        <v>107</v>
      </c>
      <c r="C16" s="2014">
        <v>2467165.8836599998</v>
      </c>
      <c r="D16" s="2015">
        <v>3.4471403204987516</v>
      </c>
      <c r="E16" s="2022">
        <v>2610784.7358000004</v>
      </c>
      <c r="F16" s="2015">
        <v>3.2515331444801627</v>
      </c>
      <c r="G16" s="2016">
        <v>2682522.0977100004</v>
      </c>
      <c r="H16" s="2017">
        <v>3.0212991469990644</v>
      </c>
      <c r="I16" s="2018">
        <v>3236480.3351400001</v>
      </c>
      <c r="J16" s="2019">
        <v>3.1430222148867655</v>
      </c>
      <c r="K16" s="2020">
        <f>+VLOOKUP(B16,'1. GWP - LT + GI  (Final) '!B15:C41,2,)</f>
        <v>4420081</v>
      </c>
      <c r="L16" s="2021">
        <f>+VLOOKUP(B16,'1. GWP - LT + GI  (Final) '!B15:F41,5,'1. GWP - LT + GI  (Final) '!A26)</f>
        <v>3.5430941854849887</v>
      </c>
      <c r="M16" s="445"/>
      <c r="N16" s="284"/>
      <c r="O16" s="900"/>
      <c r="P16" s="447"/>
      <c r="Q16" s="445"/>
      <c r="R16" s="445"/>
      <c r="S16" s="445"/>
      <c r="T16" s="445"/>
      <c r="U16" s="445"/>
      <c r="V16" s="445"/>
      <c r="W16" s="445"/>
    </row>
    <row r="17" spans="2:25" ht="21.6" customHeight="1">
      <c r="B17" s="1987" t="s">
        <v>109</v>
      </c>
      <c r="C17" s="2014">
        <v>123731.79751999999</v>
      </c>
      <c r="D17" s="2015">
        <v>0.17287887733201091</v>
      </c>
      <c r="E17" s="2022">
        <v>65839.044110000003</v>
      </c>
      <c r="F17" s="2015">
        <v>8.1997504883894012E-2</v>
      </c>
      <c r="G17" s="2016">
        <v>54756.782999999996</v>
      </c>
      <c r="H17" s="2017">
        <v>6.167204434645359E-2</v>
      </c>
      <c r="I17" s="2018">
        <v>40995.975450000005</v>
      </c>
      <c r="J17" s="2019">
        <v>3.981215648409888E-2</v>
      </c>
      <c r="K17" s="2020">
        <f>+VLOOKUP(B17,'1. GWP - LT + GI  (Final) '!B16:C42,2,)</f>
        <v>40370</v>
      </c>
      <c r="L17" s="2021">
        <f>+VLOOKUP(B17,'1. GWP - LT + GI  (Final) '!B16:F42,5,'1. GWP - LT + GI  (Final) '!A27)</f>
        <v>3.2360201604456788E-2</v>
      </c>
      <c r="M17" s="445"/>
      <c r="N17" s="284"/>
      <c r="O17" s="900"/>
      <c r="P17" s="447"/>
      <c r="Q17" s="445"/>
      <c r="R17" s="445"/>
      <c r="S17" s="445"/>
      <c r="T17" s="445"/>
      <c r="U17" s="445"/>
      <c r="V17" s="445"/>
      <c r="W17" s="445"/>
    </row>
    <row r="18" spans="2:25" ht="21.6" customHeight="1">
      <c r="B18" s="1987" t="s">
        <v>113</v>
      </c>
      <c r="C18" s="2014">
        <v>454056</v>
      </c>
      <c r="D18" s="2015">
        <v>0.62</v>
      </c>
      <c r="E18" s="2022">
        <v>521193.24899999995</v>
      </c>
      <c r="F18" s="2015">
        <v>0.64910641638308675</v>
      </c>
      <c r="G18" s="2016">
        <v>537171.14145000023</v>
      </c>
      <c r="H18" s="2017">
        <v>0.60501075194902365</v>
      </c>
      <c r="I18" s="2018">
        <v>694430</v>
      </c>
      <c r="J18" s="2019">
        <v>0.67440123881878833</v>
      </c>
      <c r="K18" s="2020">
        <f>+VLOOKUP(B18,'1. GWP - LT + GI  (Final) '!B17:C43,2,)</f>
        <v>1247855</v>
      </c>
      <c r="L18" s="2021">
        <f>+VLOOKUP(B18,'1. GWP - LT + GI  (Final) '!B17:F43,5,'1. GWP - LT + GI  (Final) '!A28)</f>
        <v>1.0002685006967904</v>
      </c>
      <c r="M18" s="445"/>
      <c r="N18" s="284"/>
      <c r="O18" s="900"/>
      <c r="P18" s="447"/>
      <c r="Q18" s="445"/>
      <c r="R18" s="445"/>
      <c r="S18" s="445"/>
      <c r="T18" s="445"/>
      <c r="U18" s="445"/>
      <c r="V18" s="445"/>
      <c r="W18" s="445"/>
    </row>
    <row r="19" spans="2:25" ht="21.6" customHeight="1">
      <c r="B19" s="1987" t="s">
        <v>115</v>
      </c>
      <c r="C19" s="2014">
        <v>12517119.192599801</v>
      </c>
      <c r="D19" s="2015">
        <v>17.489000861705257</v>
      </c>
      <c r="E19" s="2022">
        <v>13205802.388500001</v>
      </c>
      <c r="F19" s="2015">
        <v>16.446819064347558</v>
      </c>
      <c r="G19" s="2016">
        <v>14820024.634720001</v>
      </c>
      <c r="H19" s="2017">
        <v>16.691652913356627</v>
      </c>
      <c r="I19" s="2018">
        <v>19257996.801399998</v>
      </c>
      <c r="J19" s="2019">
        <v>18.701893876453969</v>
      </c>
      <c r="K19" s="2020">
        <f>+VLOOKUP(B19,'1. GWP - LT + GI  (Final) '!B18:C44,2,)</f>
        <v>21975988</v>
      </c>
      <c r="L19" s="2021">
        <f>+VLOOKUP(B19,'1. GWP - LT + GI  (Final) '!B18:F44,5,'1. GWP - LT + GI  (Final) '!A29)</f>
        <v>17.615739463391705</v>
      </c>
      <c r="M19" s="445"/>
      <c r="N19" s="284"/>
      <c r="O19" s="900"/>
      <c r="P19" s="447"/>
      <c r="Q19" s="445"/>
      <c r="R19" s="445"/>
      <c r="S19" s="445"/>
      <c r="T19" s="445"/>
      <c r="U19" s="445"/>
      <c r="V19" s="445"/>
      <c r="W19" s="445"/>
    </row>
    <row r="20" spans="2:25" ht="21.6" customHeight="1">
      <c r="B20" s="1987" t="s">
        <v>142</v>
      </c>
      <c r="C20" s="1981">
        <v>7530935</v>
      </c>
      <c r="D20" s="2015">
        <v>10.522271672727475</v>
      </c>
      <c r="E20" s="1981">
        <v>10005733</v>
      </c>
      <c r="F20" s="2015">
        <v>12.46137685662155</v>
      </c>
      <c r="G20" s="2016">
        <v>12531283</v>
      </c>
      <c r="H20" s="2017">
        <v>14.113864959779686</v>
      </c>
      <c r="I20" s="2018">
        <v>15660116</v>
      </c>
      <c r="J20" s="2019">
        <v>15.207907164241909</v>
      </c>
      <c r="K20" s="2020">
        <f>+VLOOKUP(B20,'1. GWP - LT + GI  (Final) '!B19:C45,2,)</f>
        <v>20053302</v>
      </c>
      <c r="L20" s="2021">
        <f>+VLOOKUP(B20,'1. GWP - LT + GI  (Final) '!B19:F45,5,'1. GWP - LT + GI  (Final) '!A30)</f>
        <v>16.074532959005612</v>
      </c>
      <c r="M20" s="445"/>
      <c r="N20" s="284"/>
      <c r="O20" s="900"/>
      <c r="P20" s="447"/>
      <c r="Q20" s="445"/>
      <c r="R20" s="445"/>
      <c r="S20" s="445"/>
      <c r="T20" s="445"/>
      <c r="U20" s="445"/>
      <c r="V20" s="445"/>
      <c r="W20" s="445"/>
      <c r="X20" s="446"/>
      <c r="Y20" s="447"/>
    </row>
    <row r="21" spans="2:25" ht="21.6" customHeight="1">
      <c r="B21" s="1987" t="s">
        <v>117</v>
      </c>
      <c r="C21" s="2014">
        <v>10117630</v>
      </c>
      <c r="D21" s="2015">
        <v>14.136418856906571</v>
      </c>
      <c r="E21" s="2014">
        <v>11243915.224462166</v>
      </c>
      <c r="F21" s="2015">
        <v>14.003438324401374</v>
      </c>
      <c r="G21" s="2016">
        <v>11647757</v>
      </c>
      <c r="H21" s="2017">
        <v>13.118758022010082</v>
      </c>
      <c r="I21" s="2018">
        <v>13108605</v>
      </c>
      <c r="J21" s="2019">
        <v>12.730074789530125</v>
      </c>
      <c r="K21" s="2020">
        <f>+VLOOKUP(B21,'1. GWP - LT + GI  (Final) '!B20:C46,2,)</f>
        <v>15406161</v>
      </c>
      <c r="L21" s="2021">
        <f>+VLOOKUP(B21,'1. GWP - LT + GI  (Final) '!B20:F46,5,'1. GWP - LT + GI  (Final) '!A31)</f>
        <v>12.349429673290057</v>
      </c>
      <c r="M21" s="445"/>
      <c r="N21" s="284"/>
      <c r="O21" s="900"/>
      <c r="P21" s="447"/>
      <c r="Q21" s="445"/>
      <c r="R21" s="445"/>
      <c r="S21" s="445"/>
      <c r="T21" s="445"/>
      <c r="U21" s="445"/>
      <c r="V21" s="445"/>
      <c r="W21" s="445"/>
    </row>
    <row r="22" spans="2:25" ht="21.6" customHeight="1">
      <c r="B22" s="2023" t="s">
        <v>118</v>
      </c>
      <c r="C22" s="2024">
        <v>71571380.417799801</v>
      </c>
      <c r="D22" s="2024">
        <v>99.999999999999986</v>
      </c>
      <c r="E22" s="2024">
        <f>SUM(E7:E21)</f>
        <v>80293960.411632165</v>
      </c>
      <c r="F22" s="2024">
        <v>100.00000000000001</v>
      </c>
      <c r="G22" s="1995">
        <f>SUM(G7:G21)</f>
        <v>88787040.514490008</v>
      </c>
      <c r="H22" s="2025">
        <f>G22/G22*100</f>
        <v>100</v>
      </c>
      <c r="I22" s="1995">
        <f>SUM(I7:I21)</f>
        <v>103000227.24203998</v>
      </c>
      <c r="J22" s="2025">
        <f>I22/I22*100</f>
        <v>100</v>
      </c>
      <c r="K22" s="1996">
        <f>SUM(K7:K21)</f>
        <v>124752004</v>
      </c>
      <c r="L22" s="1996">
        <f>+SUM(L7:L21)</f>
        <v>100.00099999999999</v>
      </c>
      <c r="M22" s="445"/>
      <c r="N22" s="264"/>
      <c r="O22" s="900"/>
      <c r="P22" s="445"/>
      <c r="Q22" s="445"/>
      <c r="R22" s="445"/>
      <c r="S22" s="445"/>
      <c r="T22" s="445"/>
      <c r="U22" s="445"/>
      <c r="V22" s="445"/>
      <c r="W22" s="445"/>
    </row>
    <row r="23" spans="2:25" ht="21.6" customHeight="1">
      <c r="B23" s="3425" t="s">
        <v>143</v>
      </c>
      <c r="C23" s="3427">
        <v>12.752346277756391</v>
      </c>
      <c r="D23" s="3428"/>
      <c r="E23" s="3427">
        <v>12.19</v>
      </c>
      <c r="F23" s="3428"/>
      <c r="G23" s="3439">
        <v>10.577483112450201</v>
      </c>
      <c r="H23" s="3440"/>
      <c r="I23" s="3439">
        <v>16.010000000000002</v>
      </c>
      <c r="J23" s="3440"/>
      <c r="K23" s="3435">
        <f>+(K22-I22)/I22</f>
        <v>0.21118183270455876</v>
      </c>
      <c r="L23" s="3436"/>
    </row>
    <row r="24" spans="2:25" ht="21.6" customHeight="1">
      <c r="B24" s="3426"/>
      <c r="C24" s="3429"/>
      <c r="D24" s="3430"/>
      <c r="E24" s="3429"/>
      <c r="F24" s="3430"/>
      <c r="G24" s="3441"/>
      <c r="H24" s="3442"/>
      <c r="I24" s="3441"/>
      <c r="J24" s="3442"/>
      <c r="K24" s="3437"/>
      <c r="L24" s="3438"/>
    </row>
    <row r="25" spans="2:25">
      <c r="B25" s="620"/>
      <c r="D25" s="292"/>
      <c r="F25" s="412"/>
      <c r="G25" s="419"/>
      <c r="H25" s="52"/>
      <c r="I25" s="52"/>
      <c r="J25" s="52"/>
    </row>
    <row r="26" spans="2:25">
      <c r="D26" s="52"/>
      <c r="F26" s="625"/>
      <c r="G26" s="305"/>
      <c r="H26" s="292"/>
      <c r="I26" s="52"/>
      <c r="L26" s="52">
        <v>2</v>
      </c>
    </row>
    <row r="27" spans="2:25">
      <c r="E27" s="492"/>
      <c r="F27" s="625"/>
      <c r="G27" s="492"/>
    </row>
    <row r="29" spans="2:25">
      <c r="C29" s="396"/>
      <c r="D29" s="396"/>
      <c r="E29" s="396"/>
      <c r="F29" s="396"/>
      <c r="G29" s="396"/>
      <c r="H29" s="396"/>
      <c r="I29" s="396"/>
      <c r="J29" s="396"/>
      <c r="W29" s="449"/>
    </row>
    <row r="30" spans="2:25">
      <c r="C30" s="396"/>
      <c r="D30" s="396"/>
      <c r="E30" s="396"/>
      <c r="F30" s="396"/>
      <c r="G30" s="396"/>
      <c r="H30" s="396"/>
      <c r="I30" s="396"/>
      <c r="J30" s="396"/>
      <c r="W30" s="449"/>
    </row>
    <row r="31" spans="2:25">
      <c r="C31" s="396"/>
      <c r="D31" s="396"/>
      <c r="E31" s="396"/>
      <c r="F31" s="396"/>
      <c r="G31" s="396"/>
      <c r="H31" s="396"/>
      <c r="I31" s="396"/>
      <c r="J31" s="396"/>
    </row>
    <row r="32" spans="2:25">
      <c r="C32" s="396"/>
      <c r="D32" s="396"/>
      <c r="E32" s="396"/>
      <c r="F32" s="396"/>
      <c r="G32" s="396"/>
      <c r="H32" s="396"/>
      <c r="I32" s="396"/>
      <c r="J32" s="396"/>
    </row>
    <row r="33" spans="3:10">
      <c r="C33" s="396"/>
      <c r="D33" s="396"/>
      <c r="E33" s="396"/>
      <c r="F33" s="396"/>
      <c r="G33" s="396"/>
      <c r="H33" s="396"/>
      <c r="I33" s="396"/>
      <c r="J33" s="396"/>
    </row>
    <row r="34" spans="3:10">
      <c r="C34" s="396"/>
      <c r="D34" s="396"/>
      <c r="E34" s="396"/>
      <c r="F34" s="396"/>
      <c r="G34" s="396"/>
      <c r="H34" s="396"/>
      <c r="I34" s="396"/>
      <c r="J34" s="396"/>
    </row>
    <row r="35" spans="3:10">
      <c r="C35" s="396"/>
      <c r="D35" s="396"/>
      <c r="E35" s="396"/>
      <c r="F35" s="396"/>
      <c r="G35" s="396"/>
      <c r="H35" s="396"/>
      <c r="I35" s="396"/>
      <c r="J35" s="396"/>
    </row>
    <row r="36" spans="3:10">
      <c r="C36" s="396"/>
      <c r="D36" s="396"/>
      <c r="E36" s="396"/>
      <c r="F36" s="396"/>
      <c r="G36" s="396"/>
      <c r="H36" s="396"/>
      <c r="I36" s="396"/>
      <c r="J36" s="396"/>
    </row>
    <row r="37" spans="3:10">
      <c r="C37" s="396"/>
      <c r="D37" s="396"/>
      <c r="E37" s="396"/>
      <c r="F37" s="396"/>
      <c r="G37" s="396"/>
      <c r="H37" s="396"/>
      <c r="I37" s="396"/>
      <c r="J37" s="396"/>
    </row>
    <row r="38" spans="3:10">
      <c r="C38" s="396"/>
      <c r="D38" s="396"/>
      <c r="E38" s="396"/>
      <c r="F38" s="396"/>
      <c r="G38" s="396"/>
      <c r="H38" s="396"/>
      <c r="I38" s="396"/>
      <c r="J38" s="396"/>
    </row>
    <row r="39" spans="3:10">
      <c r="C39" s="396"/>
      <c r="D39" s="396"/>
      <c r="E39" s="396"/>
      <c r="F39" s="396"/>
      <c r="G39" s="396"/>
      <c r="H39" s="396"/>
      <c r="I39" s="396"/>
      <c r="J39" s="396"/>
    </row>
    <row r="40" spans="3:10">
      <c r="C40" s="396"/>
      <c r="D40" s="396"/>
      <c r="E40" s="396"/>
      <c r="F40" s="396"/>
      <c r="G40" s="396"/>
      <c r="H40" s="396"/>
      <c r="I40" s="396"/>
      <c r="J40" s="396"/>
    </row>
    <row r="41" spans="3:10">
      <c r="C41" s="396"/>
      <c r="D41" s="396"/>
      <c r="E41" s="396"/>
      <c r="F41" s="396"/>
      <c r="G41" s="396"/>
      <c r="H41" s="396"/>
      <c r="I41" s="396"/>
      <c r="J41" s="396"/>
    </row>
    <row r="42" spans="3:10">
      <c r="C42" s="396"/>
      <c r="D42" s="396"/>
      <c r="E42" s="396"/>
      <c r="F42" s="396"/>
      <c r="G42" s="396"/>
      <c r="H42" s="396"/>
      <c r="I42" s="396"/>
      <c r="J42" s="396"/>
    </row>
    <row r="43" spans="3:10">
      <c r="C43" s="396"/>
      <c r="D43" s="396"/>
      <c r="E43" s="396"/>
      <c r="F43" s="396"/>
      <c r="G43" s="396"/>
      <c r="H43" s="396"/>
      <c r="I43" s="396"/>
      <c r="J43" s="396"/>
    </row>
    <row r="44" spans="3:10">
      <c r="C44" s="396"/>
      <c r="D44" s="396"/>
      <c r="E44" s="396"/>
      <c r="F44" s="396"/>
      <c r="G44" s="396"/>
      <c r="H44" s="396"/>
      <c r="I44" s="396"/>
      <c r="J44" s="396"/>
    </row>
  </sheetData>
  <mergeCells count="12">
    <mergeCell ref="K4:L4"/>
    <mergeCell ref="K23:L24"/>
    <mergeCell ref="I4:J4"/>
    <mergeCell ref="I23:J24"/>
    <mergeCell ref="G4:H4"/>
    <mergeCell ref="G23:H24"/>
    <mergeCell ref="E4:F4"/>
    <mergeCell ref="B23:B24"/>
    <mergeCell ref="C23:D24"/>
    <mergeCell ref="E23:F24"/>
    <mergeCell ref="C4:D4"/>
    <mergeCell ref="B4:B6"/>
  </mergeCells>
  <pageMargins left="0.5" right="0.2" top="0.75" bottom="0.1" header="0.3" footer="0.3"/>
  <pageSetup paperSize="9" scale="69" orientation="landscape" r:id="rId1"/>
  <rowBreaks count="1" manualBreakCount="1">
    <brk id="30"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C000"/>
  </sheetPr>
  <dimension ref="A1:K170"/>
  <sheetViews>
    <sheetView topLeftCell="A97" workbookViewId="0">
      <selection activeCell="K103" sqref="K103"/>
    </sheetView>
  </sheetViews>
  <sheetFormatPr defaultRowHeight="15"/>
  <cols>
    <col min="2" max="2" width="13.7109375" customWidth="1"/>
    <col min="3" max="3" width="13.85546875" customWidth="1"/>
    <col min="4" max="4" width="12.7109375" customWidth="1"/>
    <col min="5" max="5" width="12.85546875" customWidth="1"/>
    <col min="6" max="6" width="12.7109375" customWidth="1"/>
    <col min="7" max="7" width="13.28515625" customWidth="1"/>
    <col min="8" max="8" width="13.42578125" customWidth="1"/>
    <col min="9" max="9" width="12.5703125" customWidth="1"/>
    <col min="10" max="10" width="13.140625" customWidth="1"/>
    <col min="11" max="11" width="16.140625" customWidth="1"/>
  </cols>
  <sheetData>
    <row r="1" spans="1:11">
      <c r="B1" s="150"/>
    </row>
    <row r="2" spans="1:11" s="52" customFormat="1" ht="20.25" customHeight="1">
      <c r="A2" s="402"/>
      <c r="B2" s="406" t="s">
        <v>798</v>
      </c>
      <c r="C2" s="407"/>
      <c r="D2" s="405"/>
      <c r="E2" s="405"/>
      <c r="F2" s="405"/>
      <c r="G2" s="405"/>
      <c r="H2" s="405"/>
    </row>
    <row r="3" spans="1:11" s="54" customFormat="1" ht="12.75">
      <c r="A3" s="53"/>
      <c r="C3" s="54" t="s">
        <v>656</v>
      </c>
    </row>
    <row r="4" spans="1:11" s="54" customFormat="1" ht="12.75">
      <c r="A4" s="53"/>
      <c r="B4" s="3844" t="s">
        <v>789</v>
      </c>
      <c r="C4" s="3892" t="s">
        <v>790</v>
      </c>
      <c r="D4" s="3893" t="s">
        <v>799</v>
      </c>
      <c r="E4" s="3894"/>
      <c r="F4" s="3894"/>
      <c r="G4" s="3894"/>
      <c r="H4" s="3894"/>
      <c r="I4" s="3894"/>
      <c r="J4" s="3894"/>
      <c r="K4" s="3895"/>
    </row>
    <row r="5" spans="1:11" s="54" customFormat="1" ht="120">
      <c r="A5" s="53"/>
      <c r="B5" s="3844"/>
      <c r="C5" s="3892"/>
      <c r="D5" s="56" t="s">
        <v>800</v>
      </c>
      <c r="E5" s="56" t="s">
        <v>801</v>
      </c>
      <c r="F5" s="56" t="s">
        <v>802</v>
      </c>
      <c r="G5" s="3218" t="s">
        <v>803</v>
      </c>
      <c r="H5" s="3029" t="s">
        <v>804</v>
      </c>
      <c r="I5" s="3029" t="s">
        <v>805</v>
      </c>
      <c r="J5" s="3029" t="s">
        <v>806</v>
      </c>
      <c r="K5" s="3082" t="s">
        <v>118</v>
      </c>
    </row>
    <row r="6" spans="1:11" s="54" customFormat="1" ht="18.75" customHeight="1">
      <c r="A6" s="53"/>
      <c r="B6" s="3082">
        <v>2013</v>
      </c>
      <c r="C6" s="56"/>
      <c r="D6" s="56"/>
      <c r="E6" s="56"/>
      <c r="F6" s="56"/>
      <c r="G6" s="3218"/>
      <c r="H6" s="3029"/>
      <c r="I6" s="3029"/>
      <c r="J6" s="3029"/>
      <c r="K6" s="3219">
        <f>SUM(D6:J6)</f>
        <v>0</v>
      </c>
    </row>
    <row r="7" spans="1:11" s="52" customFormat="1" ht="20.100000000000001" customHeight="1">
      <c r="A7" s="37"/>
      <c r="B7" s="296">
        <v>2012</v>
      </c>
      <c r="C7" s="235">
        <v>514472</v>
      </c>
      <c r="D7" s="1981">
        <v>13879602.7457377</v>
      </c>
      <c r="E7" s="1981">
        <v>1943912.6645899999</v>
      </c>
      <c r="F7" s="1981">
        <v>246384.57386999999</v>
      </c>
      <c r="G7" s="1981">
        <v>1240117.24306</v>
      </c>
      <c r="H7" s="1981">
        <v>0</v>
      </c>
      <c r="I7" s="1981">
        <v>13913</v>
      </c>
      <c r="J7" s="1981">
        <v>1746</v>
      </c>
      <c r="K7" s="2016">
        <f>SUM(D7:J7)</f>
        <v>17325676.227257699</v>
      </c>
    </row>
    <row r="8" spans="1:11" s="52" customFormat="1" ht="20.100000000000001" customHeight="1">
      <c r="A8" s="37"/>
      <c r="B8" s="3082">
        <v>2011</v>
      </c>
      <c r="C8" s="1981">
        <v>526023</v>
      </c>
      <c r="D8" s="1981">
        <v>10855730.399096599</v>
      </c>
      <c r="E8" s="1981">
        <v>2991408.6</v>
      </c>
      <c r="F8" s="1981">
        <v>176329.26988000001</v>
      </c>
      <c r="G8" s="1981">
        <v>1015245</v>
      </c>
      <c r="H8" s="1981">
        <v>0</v>
      </c>
      <c r="I8" s="1981">
        <v>10722</v>
      </c>
      <c r="J8" s="1981">
        <v>2561</v>
      </c>
      <c r="K8" s="2016">
        <f>SUM(D8:J8)</f>
        <v>15051996.268976599</v>
      </c>
    </row>
    <row r="9" spans="1:11" s="52" customFormat="1" ht="20.100000000000001" customHeight="1">
      <c r="A9" s="37"/>
      <c r="B9" s="3082">
        <v>2010</v>
      </c>
      <c r="C9" s="1981">
        <v>516139</v>
      </c>
      <c r="D9" s="1981">
        <v>8595701.2015300002</v>
      </c>
      <c r="E9" s="1981">
        <v>2186148</v>
      </c>
      <c r="F9" s="1981">
        <v>143053</v>
      </c>
      <c r="G9" s="1981">
        <v>630302</v>
      </c>
      <c r="H9" s="1981">
        <v>0</v>
      </c>
      <c r="I9" s="1981">
        <v>398</v>
      </c>
      <c r="J9" s="1981">
        <v>1700</v>
      </c>
      <c r="K9" s="2016">
        <f>SUM(D9:J9)</f>
        <v>11557302.20153</v>
      </c>
    </row>
    <row r="10" spans="1:11" s="52" customFormat="1" ht="20.100000000000001" customHeight="1">
      <c r="A10" s="37"/>
      <c r="B10" s="3082">
        <v>2009</v>
      </c>
      <c r="C10" s="1981">
        <v>468317</v>
      </c>
      <c r="D10" s="1981">
        <v>6504464.7420000006</v>
      </c>
      <c r="E10" s="1981">
        <v>397054</v>
      </c>
      <c r="F10" s="1981">
        <v>102278</v>
      </c>
      <c r="G10" s="1981">
        <v>510352</v>
      </c>
      <c r="H10" s="1981">
        <v>0</v>
      </c>
      <c r="I10" s="1981">
        <v>343</v>
      </c>
      <c r="J10" s="1981">
        <v>2061</v>
      </c>
      <c r="K10" s="2016">
        <f>SUM(D10:J10)</f>
        <v>7516552.7420000006</v>
      </c>
    </row>
    <row r="11" spans="1:11" s="52" customFormat="1" ht="20.100000000000001" customHeight="1">
      <c r="A11" s="37"/>
      <c r="B11" s="196"/>
      <c r="C11" s="264"/>
      <c r="D11" s="264"/>
      <c r="E11" s="264"/>
      <c r="F11" s="264"/>
      <c r="G11" s="264"/>
      <c r="H11" s="264"/>
      <c r="I11" s="264"/>
      <c r="J11" s="264"/>
      <c r="K11" s="305"/>
    </row>
    <row r="12" spans="1:11" s="52" customFormat="1" ht="20.100000000000001" customHeight="1">
      <c r="A12" s="37"/>
      <c r="B12" s="196"/>
      <c r="C12" s="264"/>
      <c r="D12" s="264"/>
      <c r="E12" s="264"/>
      <c r="F12" s="264"/>
      <c r="G12" s="264"/>
      <c r="H12" s="264"/>
      <c r="I12" s="264"/>
      <c r="J12" s="264"/>
      <c r="K12" s="305"/>
    </row>
    <row r="13" spans="1:11">
      <c r="B13">
        <v>1</v>
      </c>
      <c r="C13" s="306" t="s">
        <v>125</v>
      </c>
    </row>
    <row r="14" spans="1:11" s="54" customFormat="1" ht="12.75">
      <c r="A14" s="53"/>
      <c r="B14" s="3898" t="s">
        <v>789</v>
      </c>
      <c r="C14" s="3896" t="s">
        <v>790</v>
      </c>
      <c r="D14" s="3893" t="s">
        <v>799</v>
      </c>
      <c r="E14" s="3894"/>
      <c r="F14" s="3894"/>
      <c r="G14" s="3894"/>
      <c r="H14" s="3894"/>
      <c r="I14" s="3894"/>
      <c r="J14" s="3894"/>
      <c r="K14" s="3895"/>
    </row>
    <row r="15" spans="1:11" s="54" customFormat="1" ht="120">
      <c r="A15" s="53"/>
      <c r="B15" s="3899"/>
      <c r="C15" s="3897"/>
      <c r="D15" s="56" t="s">
        <v>800</v>
      </c>
      <c r="E15" s="56" t="s">
        <v>801</v>
      </c>
      <c r="F15" s="56" t="s">
        <v>802</v>
      </c>
      <c r="G15" s="57" t="s">
        <v>803</v>
      </c>
      <c r="H15" s="3029" t="s">
        <v>807</v>
      </c>
      <c r="I15" s="3029" t="s">
        <v>808</v>
      </c>
      <c r="J15" s="3029" t="s">
        <v>806</v>
      </c>
      <c r="K15" s="3082" t="s">
        <v>118</v>
      </c>
    </row>
    <row r="16" spans="1:11" s="54" customFormat="1">
      <c r="A16" s="53"/>
      <c r="B16" s="3082">
        <v>2013</v>
      </c>
      <c r="C16" s="56"/>
      <c r="D16" s="56"/>
      <c r="E16" s="56"/>
      <c r="F16" s="56"/>
      <c r="G16" s="57"/>
      <c r="H16" s="3029"/>
      <c r="I16" s="3029"/>
      <c r="J16" s="3029"/>
      <c r="K16" s="3219">
        <f>SUM(D16:J16)</f>
        <v>0</v>
      </c>
    </row>
    <row r="17" spans="1:11" s="52" customFormat="1" ht="20.100000000000001" customHeight="1">
      <c r="A17" s="37"/>
      <c r="B17" s="296">
        <v>2012</v>
      </c>
      <c r="C17" s="3094">
        <v>65608</v>
      </c>
      <c r="D17" s="3094">
        <v>806424.48422999994</v>
      </c>
      <c r="E17" s="3094">
        <v>986538.66458999994</v>
      </c>
      <c r="F17" s="3094">
        <v>0</v>
      </c>
      <c r="G17" s="3094">
        <v>348958.24305999995</v>
      </c>
      <c r="H17" s="3094"/>
      <c r="I17" s="3094"/>
      <c r="J17" s="3094"/>
      <c r="K17" s="3098">
        <f>SUM(D17:J17)</f>
        <v>2141921.3918799995</v>
      </c>
    </row>
    <row r="18" spans="1:11" s="52" customFormat="1" ht="20.100000000000001" customHeight="1">
      <c r="A18" s="37"/>
      <c r="B18" s="3082">
        <v>2011</v>
      </c>
      <c r="C18" s="3096">
        <v>55158</v>
      </c>
      <c r="D18" s="3096">
        <v>473251</v>
      </c>
      <c r="E18" s="3096">
        <v>2228585</v>
      </c>
      <c r="F18" s="3096">
        <v>0</v>
      </c>
      <c r="G18" s="3096">
        <v>226596</v>
      </c>
      <c r="H18" s="3096"/>
      <c r="I18" s="3096"/>
      <c r="J18" s="3096"/>
      <c r="K18" s="3098">
        <f>SUM(D18:J18)</f>
        <v>2928432</v>
      </c>
    </row>
    <row r="19" spans="1:11" s="52" customFormat="1" ht="20.100000000000001" customHeight="1">
      <c r="A19" s="37"/>
      <c r="B19" s="3082">
        <v>2010</v>
      </c>
      <c r="C19" s="1988">
        <v>64078</v>
      </c>
      <c r="D19" s="1988">
        <v>477366</v>
      </c>
      <c r="E19" s="1988">
        <v>1837271</v>
      </c>
      <c r="F19" s="1988">
        <v>0</v>
      </c>
      <c r="G19" s="1988">
        <v>290036</v>
      </c>
      <c r="H19" s="1988"/>
      <c r="I19" s="1988"/>
      <c r="J19" s="2107"/>
      <c r="K19" s="3098">
        <f>SUM(D19:J19)</f>
        <v>2604673</v>
      </c>
    </row>
    <row r="20" spans="1:11" s="52" customFormat="1" ht="20.100000000000001" customHeight="1">
      <c r="A20" s="37"/>
      <c r="B20" s="3082">
        <v>2009</v>
      </c>
      <c r="C20" s="1988">
        <v>57369</v>
      </c>
      <c r="D20" s="1988">
        <v>414141</v>
      </c>
      <c r="E20" s="1988">
        <v>395503</v>
      </c>
      <c r="F20" s="1988">
        <v>0</v>
      </c>
      <c r="G20" s="1988">
        <v>264688</v>
      </c>
      <c r="H20" s="1988"/>
      <c r="I20" s="1988"/>
      <c r="J20" s="2107"/>
      <c r="K20" s="3098">
        <f>SUM(D20:J20)</f>
        <v>1074332</v>
      </c>
    </row>
    <row r="21" spans="1:11" s="54" customFormat="1" ht="12.75">
      <c r="A21" s="53"/>
      <c r="B21" s="196"/>
      <c r="C21" s="90"/>
      <c r="D21" s="90"/>
      <c r="E21" s="90"/>
      <c r="F21" s="90"/>
      <c r="G21" s="90"/>
      <c r="H21" s="90"/>
      <c r="I21" s="90"/>
      <c r="K21" s="305"/>
    </row>
    <row r="22" spans="1:11" s="54" customFormat="1" ht="12.75">
      <c r="A22" s="53"/>
      <c r="B22" s="196"/>
      <c r="C22" s="90"/>
      <c r="D22" s="90"/>
      <c r="E22" s="90"/>
      <c r="F22" s="90"/>
      <c r="G22" s="90"/>
      <c r="H22" s="90"/>
      <c r="I22" s="90"/>
      <c r="K22" s="305"/>
    </row>
    <row r="23" spans="1:11">
      <c r="B23">
        <v>2</v>
      </c>
      <c r="C23" s="307" t="s">
        <v>93</v>
      </c>
    </row>
    <row r="24" spans="1:11" s="54" customFormat="1" ht="12.75">
      <c r="A24" s="53"/>
      <c r="B24" s="3844" t="s">
        <v>789</v>
      </c>
      <c r="C24" s="3892" t="s">
        <v>790</v>
      </c>
      <c r="D24" s="3893" t="s">
        <v>799</v>
      </c>
      <c r="E24" s="3894"/>
      <c r="F24" s="3894"/>
      <c r="G24" s="3894"/>
      <c r="H24" s="3894"/>
      <c r="I24" s="3894"/>
      <c r="J24" s="3894"/>
      <c r="K24" s="3895"/>
    </row>
    <row r="25" spans="1:11" s="54" customFormat="1" ht="120">
      <c r="A25" s="53"/>
      <c r="B25" s="3844"/>
      <c r="C25" s="3892"/>
      <c r="D25" s="3220" t="s">
        <v>800</v>
      </c>
      <c r="E25" s="3029" t="s">
        <v>801</v>
      </c>
      <c r="F25" s="3029" t="s">
        <v>802</v>
      </c>
      <c r="G25" s="3218" t="s">
        <v>803</v>
      </c>
      <c r="H25" s="3029" t="s">
        <v>807</v>
      </c>
      <c r="I25" s="3029" t="s">
        <v>808</v>
      </c>
      <c r="J25" s="3029" t="s">
        <v>806</v>
      </c>
      <c r="K25" s="3082" t="s">
        <v>118</v>
      </c>
    </row>
    <row r="26" spans="1:11" s="54" customFormat="1">
      <c r="A26" s="53"/>
      <c r="B26" s="3082">
        <v>2013</v>
      </c>
      <c r="C26" s="3029"/>
      <c r="D26" s="3220"/>
      <c r="E26" s="3029"/>
      <c r="F26" s="3029"/>
      <c r="G26" s="332"/>
      <c r="H26" s="56"/>
      <c r="I26" s="56"/>
      <c r="J26" s="56"/>
      <c r="K26" s="333">
        <f>SUM(D26:J26)</f>
        <v>0</v>
      </c>
    </row>
    <row r="27" spans="1:11" s="52" customFormat="1" ht="20.100000000000001" customHeight="1">
      <c r="A27" s="37"/>
      <c r="B27" s="296">
        <v>2012</v>
      </c>
      <c r="C27" s="320">
        <v>11666</v>
      </c>
      <c r="D27" s="320">
        <v>215736.28183000002</v>
      </c>
      <c r="E27" s="320">
        <v>0</v>
      </c>
      <c r="F27" s="320">
        <v>0</v>
      </c>
      <c r="G27" s="323">
        <v>0</v>
      </c>
      <c r="H27" s="323">
        <v>0</v>
      </c>
      <c r="I27" s="323">
        <v>0</v>
      </c>
      <c r="J27" s="323">
        <v>0</v>
      </c>
      <c r="K27" s="321">
        <f>SUM(D27:J27)</f>
        <v>215736.28183000002</v>
      </c>
    </row>
    <row r="28" spans="1:11" s="52" customFormat="1" ht="20.100000000000001" customHeight="1">
      <c r="A28" s="37"/>
      <c r="B28" s="3082">
        <v>2011</v>
      </c>
      <c r="C28" s="3221">
        <v>8705</v>
      </c>
      <c r="D28" s="3221">
        <v>151998.15895999991</v>
      </c>
      <c r="E28" s="3221">
        <v>0</v>
      </c>
      <c r="F28" s="3221">
        <v>0</v>
      </c>
      <c r="G28" s="3221">
        <v>0</v>
      </c>
      <c r="H28" s="3221">
        <v>0</v>
      </c>
      <c r="I28" s="3221">
        <v>0</v>
      </c>
      <c r="J28" s="3098">
        <v>0</v>
      </c>
      <c r="K28" s="321">
        <f>SUM(D28:J28)</f>
        <v>151998.15895999991</v>
      </c>
    </row>
    <row r="29" spans="1:11" s="52" customFormat="1" ht="20.100000000000001" customHeight="1">
      <c r="A29" s="37"/>
      <c r="B29" s="3082">
        <v>2010</v>
      </c>
      <c r="C29" s="1988">
        <v>6562</v>
      </c>
      <c r="D29" s="1988">
        <v>108700.31298000002</v>
      </c>
      <c r="E29" s="1988"/>
      <c r="F29" s="1988"/>
      <c r="G29" s="1988"/>
      <c r="H29" s="1988"/>
      <c r="I29" s="1988"/>
      <c r="J29" s="2107"/>
      <c r="K29" s="321">
        <f>SUM(D29:J29)</f>
        <v>108700.31298000002</v>
      </c>
    </row>
    <row r="30" spans="1:11" s="52" customFormat="1" ht="20.100000000000001" customHeight="1">
      <c r="A30" s="37"/>
      <c r="B30" s="3082">
        <v>2009</v>
      </c>
      <c r="C30" s="1988">
        <v>5885</v>
      </c>
      <c r="D30" s="1988">
        <v>84782.741999999998</v>
      </c>
      <c r="E30" s="1988"/>
      <c r="F30" s="1988"/>
      <c r="G30" s="1988"/>
      <c r="H30" s="1988"/>
      <c r="I30" s="1988"/>
      <c r="J30" s="2107"/>
      <c r="K30" s="321">
        <f>SUM(D30:J30)</f>
        <v>84782.741999999998</v>
      </c>
    </row>
    <row r="31" spans="1:11" s="54" customFormat="1" ht="12.75">
      <c r="A31" s="53"/>
      <c r="B31" s="196"/>
      <c r="C31" s="90"/>
      <c r="D31" s="90"/>
      <c r="E31" s="90"/>
      <c r="F31" s="90"/>
      <c r="G31" s="90"/>
      <c r="H31" s="90"/>
      <c r="I31" s="90"/>
      <c r="K31" s="305"/>
    </row>
    <row r="32" spans="1:11" s="54" customFormat="1" ht="12.75">
      <c r="A32" s="53"/>
      <c r="B32" s="196"/>
      <c r="C32" s="90"/>
      <c r="D32" s="90"/>
      <c r="E32" s="90"/>
      <c r="F32" s="90"/>
      <c r="G32" s="90"/>
      <c r="H32" s="90"/>
      <c r="I32" s="90"/>
      <c r="K32" s="305"/>
    </row>
    <row r="33" spans="1:11">
      <c r="B33">
        <v>3</v>
      </c>
      <c r="C33" s="307" t="s">
        <v>126</v>
      </c>
    </row>
    <row r="34" spans="1:11" s="54" customFormat="1" ht="12.75">
      <c r="A34" s="53"/>
      <c r="B34" s="3844" t="s">
        <v>789</v>
      </c>
      <c r="C34" s="3892" t="s">
        <v>790</v>
      </c>
      <c r="D34" s="3893" t="s">
        <v>799</v>
      </c>
      <c r="E34" s="3894"/>
      <c r="F34" s="3894"/>
      <c r="G34" s="3894"/>
      <c r="H34" s="3894"/>
      <c r="I34" s="3894"/>
      <c r="J34" s="3894"/>
      <c r="K34" s="3895"/>
    </row>
    <row r="35" spans="1:11" s="54" customFormat="1" ht="120">
      <c r="A35" s="53"/>
      <c r="B35" s="3844"/>
      <c r="C35" s="3892"/>
      <c r="D35" s="3029" t="s">
        <v>800</v>
      </c>
      <c r="E35" s="3029" t="s">
        <v>801</v>
      </c>
      <c r="F35" s="3029" t="s">
        <v>802</v>
      </c>
      <c r="G35" s="3218" t="s">
        <v>803</v>
      </c>
      <c r="H35" s="3029" t="s">
        <v>807</v>
      </c>
      <c r="I35" s="3029" t="s">
        <v>808</v>
      </c>
      <c r="J35" s="3029" t="s">
        <v>806</v>
      </c>
      <c r="K35" s="3082" t="s">
        <v>118</v>
      </c>
    </row>
    <row r="36" spans="1:11" s="54" customFormat="1">
      <c r="A36" s="53"/>
      <c r="B36" s="3082">
        <v>2013</v>
      </c>
      <c r="C36" s="3029"/>
      <c r="D36" s="3029"/>
      <c r="E36" s="3029"/>
      <c r="F36" s="3029"/>
      <c r="G36" s="332"/>
      <c r="H36" s="56"/>
      <c r="I36" s="56"/>
      <c r="J36" s="56"/>
      <c r="K36" s="333">
        <f>SUM(D36:J36)</f>
        <v>0</v>
      </c>
    </row>
    <row r="37" spans="1:11" s="52" customFormat="1" ht="20.100000000000001" customHeight="1">
      <c r="A37" s="37"/>
      <c r="B37" s="296">
        <v>2012</v>
      </c>
      <c r="C37" s="320">
        <v>3927</v>
      </c>
      <c r="D37" s="320">
        <v>28471</v>
      </c>
      <c r="E37" s="320">
        <v>109190</v>
      </c>
      <c r="F37" s="320"/>
      <c r="G37" s="323"/>
      <c r="H37" s="323"/>
      <c r="I37" s="323">
        <v>6353</v>
      </c>
      <c r="J37" s="323"/>
      <c r="K37" s="321">
        <f>SUM(D37:J37)</f>
        <v>144014</v>
      </c>
    </row>
    <row r="38" spans="1:11" s="52" customFormat="1" ht="20.100000000000001" customHeight="1">
      <c r="A38" s="37"/>
      <c r="B38" s="3082">
        <v>2011</v>
      </c>
      <c r="C38" s="3221">
        <v>2783</v>
      </c>
      <c r="D38" s="3221">
        <v>39671</v>
      </c>
      <c r="E38" s="3221">
        <v>59436</v>
      </c>
      <c r="F38" s="3221"/>
      <c r="G38" s="3221"/>
      <c r="H38" s="3221"/>
      <c r="I38" s="3221">
        <v>3065</v>
      </c>
      <c r="J38" s="3221"/>
      <c r="K38" s="321">
        <f>SUM(D38:J38)</f>
        <v>102172</v>
      </c>
    </row>
    <row r="39" spans="1:11" s="52" customFormat="1" ht="20.100000000000001" customHeight="1">
      <c r="A39" s="37"/>
      <c r="B39" s="3082">
        <v>2010</v>
      </c>
      <c r="C39" s="1988">
        <v>3077</v>
      </c>
      <c r="D39" s="1988">
        <v>59527</v>
      </c>
      <c r="E39" s="1988">
        <v>0</v>
      </c>
      <c r="F39" s="1988">
        <v>0</v>
      </c>
      <c r="G39" s="1988">
        <v>0</v>
      </c>
      <c r="H39" s="1988">
        <v>0</v>
      </c>
      <c r="I39" s="1988">
        <v>398</v>
      </c>
      <c r="J39" s="1988">
        <v>0</v>
      </c>
      <c r="K39" s="321">
        <f>SUM(D39:J39)</f>
        <v>59925</v>
      </c>
    </row>
    <row r="40" spans="1:11" s="52" customFormat="1" ht="20.100000000000001" customHeight="1">
      <c r="A40" s="37"/>
      <c r="B40" s="3082">
        <v>2009</v>
      </c>
      <c r="C40" s="1988">
        <v>3112</v>
      </c>
      <c r="D40" s="1988">
        <v>34317</v>
      </c>
      <c r="E40" s="1988">
        <v>0</v>
      </c>
      <c r="F40" s="1988">
        <v>0</v>
      </c>
      <c r="G40" s="1988">
        <v>0</v>
      </c>
      <c r="H40" s="1988">
        <v>0</v>
      </c>
      <c r="I40" s="1988">
        <v>343</v>
      </c>
      <c r="J40" s="1988">
        <v>0</v>
      </c>
      <c r="K40" s="321">
        <f>SUM(D40:J40)</f>
        <v>34660</v>
      </c>
    </row>
    <row r="41" spans="1:11" s="54" customFormat="1" ht="12.75">
      <c r="A41" s="53"/>
      <c r="B41" s="196"/>
      <c r="C41" s="90"/>
      <c r="D41" s="90"/>
      <c r="E41" s="90"/>
      <c r="F41" s="90"/>
      <c r="G41" s="90"/>
      <c r="H41" s="90"/>
      <c r="I41" s="90"/>
      <c r="J41" s="90"/>
      <c r="K41" s="305"/>
    </row>
    <row r="42" spans="1:11" s="54" customFormat="1" ht="12.75">
      <c r="A42" s="53"/>
      <c r="B42" s="196"/>
      <c r="C42" s="90"/>
      <c r="D42" s="90"/>
      <c r="E42" s="90"/>
      <c r="F42" s="90"/>
      <c r="G42" s="90"/>
      <c r="H42" s="90"/>
      <c r="I42" s="90"/>
      <c r="J42" s="90"/>
      <c r="K42" s="305"/>
    </row>
    <row r="43" spans="1:11">
      <c r="B43">
        <v>4</v>
      </c>
      <c r="C43" s="306" t="s">
        <v>96</v>
      </c>
    </row>
    <row r="44" spans="1:11" s="54" customFormat="1" ht="12.75">
      <c r="A44" s="53"/>
      <c r="B44" s="3844" t="s">
        <v>789</v>
      </c>
      <c r="C44" s="3892" t="s">
        <v>790</v>
      </c>
      <c r="D44" s="3893" t="s">
        <v>799</v>
      </c>
      <c r="E44" s="3894"/>
      <c r="F44" s="3894"/>
      <c r="G44" s="3894"/>
      <c r="H44" s="3894"/>
      <c r="I44" s="3894"/>
      <c r="J44" s="3894"/>
      <c r="K44" s="3895"/>
    </row>
    <row r="45" spans="1:11" s="54" customFormat="1" ht="120">
      <c r="A45" s="53"/>
      <c r="B45" s="3844"/>
      <c r="C45" s="3892"/>
      <c r="D45" s="308" t="s">
        <v>800</v>
      </c>
      <c r="E45" s="308" t="s">
        <v>801</v>
      </c>
      <c r="F45" s="308" t="s">
        <v>802</v>
      </c>
      <c r="G45" s="57" t="s">
        <v>803</v>
      </c>
      <c r="H45" s="3389" t="s">
        <v>807</v>
      </c>
      <c r="I45" s="3389" t="s">
        <v>808</v>
      </c>
      <c r="J45" s="3389" t="s">
        <v>806</v>
      </c>
      <c r="K45" s="3390" t="s">
        <v>118</v>
      </c>
    </row>
    <row r="46" spans="1:11" s="54" customFormat="1">
      <c r="A46" s="53"/>
      <c r="B46" s="296">
        <v>2013</v>
      </c>
      <c r="C46" s="308"/>
      <c r="D46" s="3029"/>
      <c r="E46" s="3029"/>
      <c r="F46" s="3029"/>
      <c r="G46" s="3222"/>
      <c r="H46" s="3389"/>
      <c r="I46" s="3389"/>
      <c r="J46" s="3389"/>
      <c r="K46" s="3391">
        <f>SUM(D46:J46)</f>
        <v>0</v>
      </c>
    </row>
    <row r="47" spans="1:11" s="52" customFormat="1" ht="20.100000000000001" customHeight="1">
      <c r="A47" s="37"/>
      <c r="B47" s="296">
        <v>2012</v>
      </c>
      <c r="C47" s="309">
        <v>3110</v>
      </c>
      <c r="D47" s="3223">
        <v>100279.87854770001</v>
      </c>
      <c r="E47" s="3224"/>
      <c r="F47" s="3224"/>
      <c r="G47" s="3224"/>
      <c r="H47" s="3224"/>
      <c r="I47" s="3224"/>
      <c r="J47" s="3224"/>
      <c r="K47" s="3392">
        <f>SUM(D47:J47)</f>
        <v>100279.87854770001</v>
      </c>
    </row>
    <row r="48" spans="1:11" s="52" customFormat="1" ht="20.100000000000001" customHeight="1">
      <c r="A48" s="37"/>
      <c r="B48" s="3082">
        <v>2011</v>
      </c>
      <c r="C48" s="1988"/>
      <c r="D48" s="1988"/>
      <c r="E48" s="1988"/>
      <c r="F48" s="1988"/>
      <c r="G48" s="1988"/>
      <c r="H48" s="1988"/>
      <c r="I48" s="1988"/>
      <c r="J48" s="2107"/>
      <c r="K48" s="3392">
        <f>SUM(D48:J48)</f>
        <v>0</v>
      </c>
    </row>
    <row r="49" spans="1:11" s="52" customFormat="1" ht="20.100000000000001" customHeight="1">
      <c r="A49" s="37"/>
      <c r="B49" s="3082">
        <v>2010</v>
      </c>
      <c r="C49" s="1988"/>
      <c r="D49" s="1988"/>
      <c r="E49" s="1988"/>
      <c r="F49" s="1988"/>
      <c r="G49" s="1988"/>
      <c r="H49" s="1988"/>
      <c r="I49" s="1988"/>
      <c r="J49" s="2107"/>
      <c r="K49" s="3392">
        <f>SUM(D49:J49)</f>
        <v>0</v>
      </c>
    </row>
    <row r="50" spans="1:11" s="52" customFormat="1" ht="20.100000000000001" customHeight="1">
      <c r="A50" s="37"/>
      <c r="B50" s="3082">
        <v>2009</v>
      </c>
      <c r="C50" s="1988"/>
      <c r="D50" s="1988"/>
      <c r="E50" s="1988"/>
      <c r="F50" s="1988"/>
      <c r="G50" s="1988"/>
      <c r="H50" s="1988"/>
      <c r="I50" s="1988"/>
      <c r="J50" s="2107"/>
      <c r="K50" s="3224">
        <f>SUM(D50:J50)</f>
        <v>0</v>
      </c>
    </row>
    <row r="51" spans="1:11" s="54" customFormat="1" ht="12.75">
      <c r="A51" s="53"/>
      <c r="B51" s="196"/>
      <c r="C51" s="90"/>
      <c r="D51" s="90"/>
      <c r="E51" s="90"/>
      <c r="F51" s="90"/>
      <c r="G51" s="90"/>
      <c r="H51" s="90"/>
      <c r="I51" s="90"/>
      <c r="K51" s="305"/>
    </row>
    <row r="52" spans="1:11" s="52" customFormat="1" ht="20.100000000000001" customHeight="1">
      <c r="A52" s="37"/>
    </row>
    <row r="53" spans="1:11">
      <c r="B53">
        <v>5</v>
      </c>
      <c r="C53" s="307" t="s">
        <v>124</v>
      </c>
    </row>
    <row r="54" spans="1:11" s="54" customFormat="1" ht="12.75">
      <c r="A54" s="53"/>
      <c r="B54" s="3844" t="s">
        <v>789</v>
      </c>
      <c r="C54" s="3892" t="s">
        <v>790</v>
      </c>
      <c r="D54" s="3893" t="s">
        <v>799</v>
      </c>
      <c r="E54" s="3894"/>
      <c r="F54" s="3894"/>
      <c r="G54" s="3894"/>
      <c r="H54" s="3894"/>
      <c r="I54" s="3894"/>
      <c r="J54" s="3894"/>
      <c r="K54" s="3895"/>
    </row>
    <row r="55" spans="1:11" s="54" customFormat="1" ht="120">
      <c r="A55" s="53"/>
      <c r="B55" s="3844"/>
      <c r="C55" s="3892"/>
      <c r="D55" s="56" t="s">
        <v>800</v>
      </c>
      <c r="E55" s="56" t="s">
        <v>801</v>
      </c>
      <c r="F55" s="56" t="s">
        <v>802</v>
      </c>
      <c r="G55" s="3218" t="s">
        <v>803</v>
      </c>
      <c r="H55" s="3029" t="s">
        <v>809</v>
      </c>
      <c r="I55" s="3029" t="s">
        <v>808</v>
      </c>
      <c r="J55" s="3029" t="s">
        <v>806</v>
      </c>
      <c r="K55" s="3082" t="s">
        <v>118</v>
      </c>
    </row>
    <row r="56" spans="1:11" s="54" customFormat="1" ht="20.25" customHeight="1">
      <c r="A56" s="53"/>
      <c r="B56" s="296">
        <v>2013</v>
      </c>
      <c r="C56" s="56"/>
      <c r="D56" s="56"/>
      <c r="E56" s="56"/>
      <c r="F56" s="56"/>
      <c r="G56" s="3218"/>
      <c r="H56" s="3029"/>
      <c r="I56" s="3029"/>
      <c r="J56" s="3029"/>
      <c r="K56" s="3219">
        <f>SUM(D56:J56)</f>
        <v>0</v>
      </c>
    </row>
    <row r="57" spans="1:11" s="52" customFormat="1" ht="20.100000000000001" customHeight="1">
      <c r="A57" s="37"/>
      <c r="B57" s="3082">
        <v>2012</v>
      </c>
      <c r="C57" s="325">
        <v>13531</v>
      </c>
      <c r="D57" s="3094">
        <v>2018927.16</v>
      </c>
      <c r="E57" s="3225"/>
      <c r="F57" s="3225"/>
      <c r="G57" s="3225"/>
      <c r="H57" s="3225"/>
      <c r="I57" s="3225"/>
      <c r="J57" s="3225"/>
      <c r="K57" s="3098">
        <f>SUM(D57:J57)</f>
        <v>2018927.16</v>
      </c>
    </row>
    <row r="58" spans="1:11" s="52" customFormat="1" ht="20.100000000000001" customHeight="1">
      <c r="A58" s="37"/>
      <c r="B58" s="3082">
        <v>2011</v>
      </c>
      <c r="C58" s="3096">
        <v>12132</v>
      </c>
      <c r="D58" s="3096">
        <v>1574298.6969999999</v>
      </c>
      <c r="E58" s="2483"/>
      <c r="F58" s="2483"/>
      <c r="G58" s="2483"/>
      <c r="H58" s="2483"/>
      <c r="I58" s="2483"/>
      <c r="J58" s="2483"/>
      <c r="K58" s="3098">
        <f>SUM(D58:J58)</f>
        <v>1574298.6969999999</v>
      </c>
    </row>
    <row r="59" spans="1:11" s="52" customFormat="1" ht="20.100000000000001" customHeight="1">
      <c r="A59" s="37"/>
      <c r="B59" s="3082">
        <v>2010</v>
      </c>
      <c r="C59" s="1988">
        <v>11415</v>
      </c>
      <c r="D59" s="1988">
        <v>233320</v>
      </c>
      <c r="E59" s="1988"/>
      <c r="F59" s="1988"/>
      <c r="G59" s="1988"/>
      <c r="H59" s="1988"/>
      <c r="I59" s="1988"/>
      <c r="J59" s="2107"/>
      <c r="K59" s="3098">
        <f>SUM(D59:J59)</f>
        <v>233320</v>
      </c>
    </row>
    <row r="60" spans="1:11" s="52" customFormat="1" ht="20.100000000000001" customHeight="1">
      <c r="A60" s="37"/>
      <c r="B60" s="3082">
        <v>2009</v>
      </c>
      <c r="C60" s="1988">
        <v>10082</v>
      </c>
      <c r="D60" s="1988">
        <v>155482</v>
      </c>
      <c r="E60" s="1988"/>
      <c r="F60" s="1988"/>
      <c r="G60" s="1988"/>
      <c r="H60" s="1988"/>
      <c r="I60" s="1988"/>
      <c r="J60" s="2107"/>
      <c r="K60" s="3098">
        <f>SUM(D60:J60)</f>
        <v>155482</v>
      </c>
    </row>
    <row r="61" spans="1:11" s="54" customFormat="1" ht="12.75">
      <c r="A61" s="53"/>
      <c r="B61" s="61"/>
      <c r="C61" s="90"/>
      <c r="D61" s="90"/>
      <c r="E61" s="90"/>
      <c r="F61" s="90"/>
      <c r="G61" s="90"/>
      <c r="H61" s="90"/>
      <c r="I61" s="90"/>
      <c r="J61" s="90"/>
    </row>
    <row r="63" spans="1:11">
      <c r="B63">
        <v>6</v>
      </c>
      <c r="C63" s="307" t="s">
        <v>128</v>
      </c>
    </row>
    <row r="64" spans="1:11" s="54" customFormat="1" ht="12.75">
      <c r="A64" s="53"/>
      <c r="B64" s="3844" t="s">
        <v>789</v>
      </c>
      <c r="C64" s="3892" t="s">
        <v>790</v>
      </c>
      <c r="D64" s="3893" t="s">
        <v>799</v>
      </c>
      <c r="E64" s="3894"/>
      <c r="F64" s="3894"/>
      <c r="G64" s="3894"/>
      <c r="H64" s="3894"/>
      <c r="I64" s="3894"/>
      <c r="J64" s="3894"/>
      <c r="K64" s="3895"/>
    </row>
    <row r="65" spans="1:11" s="54" customFormat="1" ht="120">
      <c r="A65" s="53"/>
      <c r="B65" s="3844"/>
      <c r="C65" s="3892"/>
      <c r="D65" s="308" t="s">
        <v>800</v>
      </c>
      <c r="E65" s="308" t="s">
        <v>801</v>
      </c>
      <c r="F65" s="308" t="s">
        <v>802</v>
      </c>
      <c r="G65" s="57" t="s">
        <v>803</v>
      </c>
      <c r="H65" s="3389" t="s">
        <v>807</v>
      </c>
      <c r="I65" s="3389" t="s">
        <v>808</v>
      </c>
      <c r="J65" s="3389" t="s">
        <v>806</v>
      </c>
      <c r="K65" s="3390" t="s">
        <v>118</v>
      </c>
    </row>
    <row r="66" spans="1:11" s="54" customFormat="1">
      <c r="A66" s="53"/>
      <c r="B66" s="3082">
        <v>2013</v>
      </c>
      <c r="C66" s="308"/>
      <c r="D66" s="3029"/>
      <c r="E66" s="3029"/>
      <c r="F66" s="3029"/>
      <c r="G66" s="3222"/>
      <c r="H66" s="3389"/>
      <c r="I66" s="3389"/>
      <c r="J66" s="3389"/>
      <c r="K66" s="3391">
        <f t="shared" ref="K66:K71" si="0">SUM(D66:J66)</f>
        <v>0</v>
      </c>
    </row>
    <row r="67" spans="1:11" s="52" customFormat="1" ht="20.100000000000001" customHeight="1">
      <c r="A67" s="37"/>
      <c r="B67" s="296">
        <v>2012</v>
      </c>
      <c r="C67" s="327">
        <v>154197</v>
      </c>
      <c r="D67" s="3226">
        <v>3718771.0192999998</v>
      </c>
      <c r="E67" s="3226">
        <v>9796</v>
      </c>
      <c r="F67" s="3223"/>
      <c r="G67" s="3223"/>
      <c r="H67" s="3223"/>
      <c r="I67" s="3223"/>
      <c r="J67" s="3223"/>
      <c r="K67" s="3098">
        <f>SUM(D67:J67)</f>
        <v>3728567.0192999998</v>
      </c>
    </row>
    <row r="68" spans="1:11" s="52" customFormat="1" ht="20.100000000000001" customHeight="1">
      <c r="A68" s="37"/>
      <c r="B68" s="3082">
        <v>2011</v>
      </c>
      <c r="C68" s="3221">
        <v>143436</v>
      </c>
      <c r="D68" s="3221">
        <v>2089691.7168565998</v>
      </c>
      <c r="E68" s="3221">
        <v>8117.6</v>
      </c>
      <c r="F68" s="1988"/>
      <c r="G68" s="1988"/>
      <c r="H68" s="1988"/>
      <c r="I68" s="1988"/>
      <c r="J68" s="1988"/>
      <c r="K68" s="3098">
        <f t="shared" si="0"/>
        <v>2097809.3168565999</v>
      </c>
    </row>
    <row r="69" spans="1:11" s="52" customFormat="1" ht="20.100000000000001" customHeight="1">
      <c r="A69" s="37"/>
      <c r="B69" s="3082">
        <v>2010</v>
      </c>
      <c r="C69" s="1988">
        <v>157682</v>
      </c>
      <c r="D69" s="1988">
        <v>3030784</v>
      </c>
      <c r="E69" s="1988">
        <v>1574</v>
      </c>
      <c r="F69" s="1988">
        <v>0</v>
      </c>
      <c r="G69" s="1988"/>
      <c r="H69" s="1988"/>
      <c r="I69" s="1988"/>
      <c r="J69" s="1988"/>
      <c r="K69" s="3098">
        <f t="shared" si="0"/>
        <v>3032358</v>
      </c>
    </row>
    <row r="70" spans="1:11" s="52" customFormat="1" ht="20.100000000000001" customHeight="1">
      <c r="A70" s="37"/>
      <c r="B70" s="3082">
        <v>2009</v>
      </c>
      <c r="C70" s="1988">
        <v>163049</v>
      </c>
      <c r="D70" s="1988">
        <v>2299029</v>
      </c>
      <c r="E70" s="1988">
        <v>1551</v>
      </c>
      <c r="F70" s="1988"/>
      <c r="G70" s="1988"/>
      <c r="H70" s="1988"/>
      <c r="I70" s="1988"/>
      <c r="J70" s="1988"/>
      <c r="K70" s="3098">
        <f t="shared" si="0"/>
        <v>2300580</v>
      </c>
    </row>
    <row r="71" spans="1:11" s="52" customFormat="1" ht="20.100000000000001" customHeight="1">
      <c r="A71" s="37"/>
      <c r="B71" s="3082">
        <v>2008</v>
      </c>
      <c r="C71" s="1988">
        <v>197245</v>
      </c>
      <c r="D71" s="1988">
        <v>3205468</v>
      </c>
      <c r="E71" s="1988">
        <v>77000</v>
      </c>
      <c r="F71" s="1988"/>
      <c r="G71" s="1988"/>
      <c r="H71" s="1988"/>
      <c r="I71" s="1988"/>
      <c r="J71" s="1988"/>
      <c r="K71" s="3098">
        <f t="shared" si="0"/>
        <v>3282468</v>
      </c>
    </row>
    <row r="74" spans="1:11">
      <c r="B74">
        <v>7</v>
      </c>
      <c r="C74" s="307" t="s">
        <v>129</v>
      </c>
    </row>
    <row r="75" spans="1:11" s="54" customFormat="1" ht="12.75">
      <c r="A75" s="53"/>
      <c r="B75" s="3898" t="s">
        <v>789</v>
      </c>
      <c r="C75" s="3892" t="s">
        <v>790</v>
      </c>
      <c r="D75" s="3893" t="s">
        <v>799</v>
      </c>
      <c r="E75" s="3894"/>
      <c r="F75" s="3894"/>
      <c r="G75" s="3894"/>
      <c r="H75" s="3894"/>
      <c r="I75" s="3894"/>
      <c r="J75" s="3894"/>
      <c r="K75" s="3895"/>
    </row>
    <row r="76" spans="1:11" s="54" customFormat="1" ht="120">
      <c r="A76" s="53"/>
      <c r="B76" s="3899"/>
      <c r="C76" s="3892"/>
      <c r="D76" s="3029" t="s">
        <v>800</v>
      </c>
      <c r="E76" s="3029" t="s">
        <v>801</v>
      </c>
      <c r="F76" s="3029" t="s">
        <v>802</v>
      </c>
      <c r="G76" s="3218" t="s">
        <v>803</v>
      </c>
      <c r="H76" s="3029" t="s">
        <v>807</v>
      </c>
      <c r="I76" s="3029" t="s">
        <v>808</v>
      </c>
      <c r="J76" s="3029" t="s">
        <v>806</v>
      </c>
      <c r="K76" s="3082" t="s">
        <v>118</v>
      </c>
    </row>
    <row r="77" spans="1:11" s="54" customFormat="1">
      <c r="A77" s="53"/>
      <c r="B77" s="3082">
        <v>2013</v>
      </c>
      <c r="C77" s="3029"/>
      <c r="D77" s="3029"/>
      <c r="E77" s="3029"/>
      <c r="F77" s="3029"/>
      <c r="G77" s="3218"/>
      <c r="H77" s="3029"/>
      <c r="I77" s="3029"/>
      <c r="J77" s="3029"/>
      <c r="K77" s="3219">
        <f t="shared" ref="K77:K82" si="1">SUM(D77:J77)</f>
        <v>0</v>
      </c>
    </row>
    <row r="78" spans="1:11" s="52" customFormat="1" ht="20.100000000000001" customHeight="1">
      <c r="A78" s="37"/>
      <c r="B78" s="296">
        <v>2012</v>
      </c>
      <c r="C78" s="317">
        <v>10913</v>
      </c>
      <c r="D78" s="317">
        <v>56645</v>
      </c>
      <c r="E78" s="317"/>
      <c r="F78" s="317"/>
      <c r="G78" s="318"/>
      <c r="H78" s="318"/>
      <c r="I78" s="318"/>
      <c r="J78" s="318"/>
      <c r="K78" s="319">
        <f t="shared" si="1"/>
        <v>56645</v>
      </c>
    </row>
    <row r="79" spans="1:11" s="52" customFormat="1" ht="20.100000000000001" customHeight="1">
      <c r="A79" s="37"/>
      <c r="B79" s="3082">
        <v>2011</v>
      </c>
      <c r="C79" s="3227">
        <v>11600</v>
      </c>
      <c r="D79" s="3227">
        <v>52837</v>
      </c>
      <c r="E79" s="3227"/>
      <c r="F79" s="3227"/>
      <c r="G79" s="3227"/>
      <c r="H79" s="3227"/>
      <c r="I79" s="3227"/>
      <c r="J79" s="3227"/>
      <c r="K79" s="319">
        <f t="shared" si="1"/>
        <v>52837</v>
      </c>
    </row>
    <row r="80" spans="1:11" s="52" customFormat="1" ht="20.100000000000001" customHeight="1">
      <c r="A80" s="37"/>
      <c r="B80" s="3082">
        <v>2010</v>
      </c>
      <c r="C80" s="1988">
        <v>12901</v>
      </c>
      <c r="D80" s="1988">
        <v>68517</v>
      </c>
      <c r="E80" s="1988"/>
      <c r="F80" s="1988"/>
      <c r="G80" s="1988"/>
      <c r="H80" s="1988"/>
      <c r="I80" s="1988"/>
      <c r="J80" s="2107"/>
      <c r="K80" s="319">
        <f t="shared" si="1"/>
        <v>68517</v>
      </c>
    </row>
    <row r="81" spans="1:11" s="52" customFormat="1" ht="20.100000000000001" customHeight="1">
      <c r="A81" s="37"/>
      <c r="B81" s="3082">
        <v>2009</v>
      </c>
      <c r="C81" s="1988">
        <v>10213</v>
      </c>
      <c r="D81" s="1988">
        <v>39699</v>
      </c>
      <c r="E81" s="1988"/>
      <c r="F81" s="1988"/>
      <c r="G81" s="1988"/>
      <c r="H81" s="1988"/>
      <c r="I81" s="1988"/>
      <c r="J81" s="2107"/>
      <c r="K81" s="319">
        <f t="shared" si="1"/>
        <v>39699</v>
      </c>
    </row>
    <row r="82" spans="1:11" s="52" customFormat="1" ht="20.100000000000001" customHeight="1">
      <c r="A82" s="37"/>
      <c r="B82" s="3082">
        <v>2008</v>
      </c>
      <c r="C82" s="1988">
        <v>8396</v>
      </c>
      <c r="D82" s="1988">
        <v>37946</v>
      </c>
      <c r="E82" s="1988"/>
      <c r="F82" s="1988"/>
      <c r="G82" s="1988"/>
      <c r="H82" s="1988"/>
      <c r="I82" s="1988"/>
      <c r="J82" s="2107"/>
      <c r="K82" s="319">
        <f t="shared" si="1"/>
        <v>37946</v>
      </c>
    </row>
    <row r="85" spans="1:11">
      <c r="B85">
        <v>8</v>
      </c>
      <c r="C85" s="307" t="s">
        <v>131</v>
      </c>
    </row>
    <row r="86" spans="1:11" s="54" customFormat="1" ht="12.75">
      <c r="A86" s="53"/>
      <c r="B86" s="3898" t="s">
        <v>789</v>
      </c>
      <c r="C86" s="3892" t="s">
        <v>790</v>
      </c>
      <c r="D86" s="3893" t="s">
        <v>799</v>
      </c>
      <c r="E86" s="3894"/>
      <c r="F86" s="3894"/>
      <c r="G86" s="3894"/>
      <c r="H86" s="3894"/>
      <c r="I86" s="3894"/>
      <c r="J86" s="3894"/>
      <c r="K86" s="3895"/>
    </row>
    <row r="87" spans="1:11" s="54" customFormat="1" ht="120">
      <c r="A87" s="53"/>
      <c r="B87" s="3900"/>
      <c r="C87" s="3896"/>
      <c r="D87" s="3389" t="s">
        <v>800</v>
      </c>
      <c r="E87" s="3389" t="s">
        <v>801</v>
      </c>
      <c r="F87" s="3389" t="s">
        <v>802</v>
      </c>
      <c r="G87" s="57" t="s">
        <v>803</v>
      </c>
      <c r="H87" s="3389" t="s">
        <v>807</v>
      </c>
      <c r="I87" s="3389" t="s">
        <v>808</v>
      </c>
      <c r="J87" s="3389" t="s">
        <v>806</v>
      </c>
      <c r="K87" s="3390" t="s">
        <v>118</v>
      </c>
    </row>
    <row r="88" spans="1:11" s="54" customFormat="1">
      <c r="A88" s="53"/>
      <c r="B88" s="3082">
        <v>2013</v>
      </c>
      <c r="C88" s="3029"/>
      <c r="D88" s="3029"/>
      <c r="E88" s="3029"/>
      <c r="F88" s="3029"/>
      <c r="G88" s="3393"/>
      <c r="H88" s="3029"/>
      <c r="I88" s="3029"/>
      <c r="J88" s="3389"/>
      <c r="K88" s="3391">
        <f t="shared" ref="K88:K93" si="2">SUM(D88:J88)</f>
        <v>0</v>
      </c>
    </row>
    <row r="89" spans="1:11" s="52" customFormat="1" ht="20.100000000000001" customHeight="1">
      <c r="A89" s="37"/>
      <c r="B89" s="296">
        <v>2012</v>
      </c>
      <c r="C89" s="322">
        <v>24562</v>
      </c>
      <c r="D89" s="334">
        <v>438951.58899999998</v>
      </c>
      <c r="E89" s="335">
        <v>0</v>
      </c>
      <c r="F89" s="335">
        <v>0</v>
      </c>
      <c r="G89" s="335">
        <v>0</v>
      </c>
      <c r="H89" s="335">
        <v>0</v>
      </c>
      <c r="I89" s="335">
        <v>0</v>
      </c>
      <c r="J89" s="3224">
        <v>0</v>
      </c>
      <c r="K89" s="3103">
        <f t="shared" si="2"/>
        <v>438951.58899999998</v>
      </c>
    </row>
    <row r="90" spans="1:11" s="52" customFormat="1" ht="20.100000000000001" customHeight="1">
      <c r="A90" s="37"/>
      <c r="B90" s="3082">
        <v>2011</v>
      </c>
      <c r="C90" s="3227">
        <v>28104</v>
      </c>
      <c r="D90" s="3227">
        <v>431974.25716000004</v>
      </c>
      <c r="E90" s="1988">
        <v>0</v>
      </c>
      <c r="F90" s="1988">
        <v>0</v>
      </c>
      <c r="G90" s="1988">
        <v>0</v>
      </c>
      <c r="H90" s="1988">
        <v>0</v>
      </c>
      <c r="I90" s="1988">
        <v>0</v>
      </c>
      <c r="J90" s="1988">
        <v>0</v>
      </c>
      <c r="K90" s="3103">
        <f t="shared" si="2"/>
        <v>431974.25716000004</v>
      </c>
    </row>
    <row r="91" spans="1:11" s="52" customFormat="1" ht="20.100000000000001" customHeight="1">
      <c r="A91" s="37"/>
      <c r="B91" s="3082">
        <v>2010</v>
      </c>
      <c r="C91" s="1988">
        <v>25501</v>
      </c>
      <c r="D91" s="1988">
        <v>640270.88855000003</v>
      </c>
      <c r="E91" s="1988">
        <v>0</v>
      </c>
      <c r="F91" s="1988">
        <v>0</v>
      </c>
      <c r="G91" s="1988">
        <v>0</v>
      </c>
      <c r="H91" s="1988">
        <v>0</v>
      </c>
      <c r="I91" s="1988">
        <v>0</v>
      </c>
      <c r="J91" s="1988">
        <v>0</v>
      </c>
      <c r="K91" s="3103">
        <f t="shared" si="2"/>
        <v>640270.88855000003</v>
      </c>
    </row>
    <row r="92" spans="1:11" s="52" customFormat="1" ht="20.100000000000001" customHeight="1">
      <c r="A92" s="37"/>
      <c r="B92" s="3082">
        <v>2009</v>
      </c>
      <c r="C92" s="1988">
        <v>23980</v>
      </c>
      <c r="D92" s="1988">
        <v>645359</v>
      </c>
      <c r="E92" s="1988">
        <v>0</v>
      </c>
      <c r="F92" s="1988">
        <v>0</v>
      </c>
      <c r="G92" s="1988">
        <v>0</v>
      </c>
      <c r="H92" s="1988">
        <v>0</v>
      </c>
      <c r="I92" s="1988">
        <v>0</v>
      </c>
      <c r="J92" s="1988">
        <v>0</v>
      </c>
      <c r="K92" s="3103">
        <f t="shared" si="2"/>
        <v>645359</v>
      </c>
    </row>
    <row r="93" spans="1:11" s="52" customFormat="1" ht="20.100000000000001" customHeight="1">
      <c r="A93" s="37"/>
      <c r="B93" s="3082">
        <v>2008</v>
      </c>
      <c r="C93" s="1988">
        <v>27708</v>
      </c>
      <c r="D93" s="1988">
        <v>628232.75750000007</v>
      </c>
      <c r="E93" s="1988">
        <v>0</v>
      </c>
      <c r="F93" s="1988">
        <v>0</v>
      </c>
      <c r="G93" s="1988">
        <v>0</v>
      </c>
      <c r="H93" s="1988">
        <v>0</v>
      </c>
      <c r="I93" s="1988">
        <v>0</v>
      </c>
      <c r="J93" s="1988">
        <v>0</v>
      </c>
      <c r="K93" s="3103">
        <f t="shared" si="2"/>
        <v>628232.75750000007</v>
      </c>
    </row>
    <row r="96" spans="1:11">
      <c r="B96">
        <v>9</v>
      </c>
      <c r="C96" s="307" t="s">
        <v>132</v>
      </c>
    </row>
    <row r="97" spans="1:11" s="54" customFormat="1" ht="12.75">
      <c r="A97" s="53"/>
      <c r="B97" s="3898" t="s">
        <v>789</v>
      </c>
      <c r="C97" s="3892" t="s">
        <v>790</v>
      </c>
      <c r="D97" s="3893" t="s">
        <v>799</v>
      </c>
      <c r="E97" s="3894"/>
      <c r="F97" s="3894"/>
      <c r="G97" s="3894"/>
      <c r="H97" s="3894"/>
      <c r="I97" s="3894"/>
      <c r="J97" s="3894"/>
      <c r="K97" s="3895"/>
    </row>
    <row r="98" spans="1:11" s="54" customFormat="1" ht="120">
      <c r="A98" s="53"/>
      <c r="B98" s="3900"/>
      <c r="C98" s="3896"/>
      <c r="D98" s="3389" t="s">
        <v>800</v>
      </c>
      <c r="E98" s="3389" t="s">
        <v>801</v>
      </c>
      <c r="F98" s="3389" t="s">
        <v>802</v>
      </c>
      <c r="G98" s="57" t="s">
        <v>803</v>
      </c>
      <c r="H98" s="3389" t="s">
        <v>807</v>
      </c>
      <c r="I98" s="3389" t="s">
        <v>808</v>
      </c>
      <c r="J98" s="3389" t="s">
        <v>806</v>
      </c>
      <c r="K98" s="3390" t="s">
        <v>118</v>
      </c>
    </row>
    <row r="99" spans="1:11" s="54" customFormat="1">
      <c r="A99" s="53"/>
      <c r="B99" s="3082">
        <v>2013</v>
      </c>
      <c r="C99" s="3029"/>
      <c r="D99" s="3029"/>
      <c r="E99" s="3029"/>
      <c r="F99" s="3029"/>
      <c r="G99" s="3393"/>
      <c r="H99" s="3029"/>
      <c r="I99" s="3029"/>
      <c r="J99" s="3029"/>
      <c r="K99" s="3391"/>
    </row>
    <row r="100" spans="1:11" s="52" customFormat="1" ht="20.100000000000001" customHeight="1">
      <c r="A100" s="37"/>
      <c r="B100" s="296">
        <v>2012</v>
      </c>
      <c r="C100" s="317">
        <v>29929</v>
      </c>
      <c r="D100" s="318">
        <v>718514</v>
      </c>
      <c r="E100" s="311"/>
      <c r="F100" s="311"/>
      <c r="G100" s="311"/>
      <c r="H100" s="311"/>
      <c r="I100" s="311"/>
      <c r="J100" s="318">
        <v>1746</v>
      </c>
      <c r="K100" s="3103">
        <f>SUM(D100:J100)</f>
        <v>720260</v>
      </c>
    </row>
    <row r="101" spans="1:11" s="52" customFormat="1" ht="20.100000000000001" customHeight="1">
      <c r="A101" s="37"/>
      <c r="B101" s="3082">
        <v>2011</v>
      </c>
      <c r="C101" s="3228">
        <v>46690</v>
      </c>
      <c r="D101" s="3228">
        <v>774783</v>
      </c>
      <c r="E101" s="3229"/>
      <c r="F101" s="3229"/>
      <c r="G101" s="3229"/>
      <c r="H101" s="3229"/>
      <c r="I101" s="3229"/>
      <c r="J101" s="3228">
        <v>2561</v>
      </c>
      <c r="K101" s="3103">
        <f>SUM(D101:J101)</f>
        <v>777344</v>
      </c>
    </row>
    <row r="102" spans="1:11" s="52" customFormat="1" ht="20.100000000000001" customHeight="1">
      <c r="A102" s="37"/>
      <c r="B102" s="3082">
        <v>2010</v>
      </c>
      <c r="C102" s="3230">
        <v>45721</v>
      </c>
      <c r="D102" s="3230">
        <v>690394</v>
      </c>
      <c r="E102" s="3230"/>
      <c r="F102" s="3230"/>
      <c r="G102" s="3230"/>
      <c r="H102" s="3230"/>
      <c r="I102" s="3230"/>
      <c r="J102" s="3230">
        <v>1700</v>
      </c>
      <c r="K102" s="3103">
        <f>SUM(D102:J102)</f>
        <v>692094</v>
      </c>
    </row>
    <row r="103" spans="1:11" s="52" customFormat="1" ht="20.100000000000001" customHeight="1">
      <c r="A103" s="37"/>
      <c r="B103" s="3082">
        <v>2009</v>
      </c>
      <c r="C103" s="3230">
        <v>53402</v>
      </c>
      <c r="D103" s="3230">
        <v>501689</v>
      </c>
      <c r="E103" s="3230"/>
      <c r="F103" s="3230"/>
      <c r="G103" s="3230"/>
      <c r="H103" s="3230"/>
      <c r="I103" s="3230"/>
      <c r="J103" s="3230">
        <v>2061</v>
      </c>
      <c r="K103" s="3103">
        <f>SUM(D103:J103)</f>
        <v>503750</v>
      </c>
    </row>
    <row r="104" spans="1:11" s="52" customFormat="1" ht="20.100000000000001" customHeight="1">
      <c r="A104" s="37"/>
      <c r="B104" s="3082">
        <v>2008</v>
      </c>
      <c r="C104" s="3230">
        <v>95111</v>
      </c>
      <c r="D104" s="3230">
        <v>624150</v>
      </c>
      <c r="E104" s="3230"/>
      <c r="F104" s="3230"/>
      <c r="G104" s="3230"/>
      <c r="H104" s="3230"/>
      <c r="I104" s="3230"/>
      <c r="J104" s="3230">
        <v>3567</v>
      </c>
      <c r="K104" s="3103">
        <f>SUM(D104:J104)</f>
        <v>627717</v>
      </c>
    </row>
    <row r="107" spans="1:11">
      <c r="B107">
        <v>10</v>
      </c>
      <c r="C107" s="307" t="s">
        <v>106</v>
      </c>
    </row>
    <row r="108" spans="1:11" s="54" customFormat="1" ht="12.75">
      <c r="A108" s="53"/>
      <c r="B108" s="3898" t="s">
        <v>789</v>
      </c>
      <c r="C108" s="3892" t="s">
        <v>790</v>
      </c>
      <c r="D108" s="3893" t="s">
        <v>799</v>
      </c>
      <c r="E108" s="3894"/>
      <c r="F108" s="3894"/>
      <c r="G108" s="3894"/>
      <c r="H108" s="3894"/>
      <c r="I108" s="3894"/>
      <c r="J108" s="3894"/>
      <c r="K108" s="3895"/>
    </row>
    <row r="109" spans="1:11" s="54" customFormat="1" ht="120">
      <c r="A109" s="53"/>
      <c r="B109" s="3899"/>
      <c r="C109" s="3892"/>
      <c r="D109" s="3029" t="s">
        <v>800</v>
      </c>
      <c r="E109" s="3029" t="s">
        <v>801</v>
      </c>
      <c r="F109" s="3029" t="s">
        <v>802</v>
      </c>
      <c r="G109" s="3218" t="s">
        <v>803</v>
      </c>
      <c r="H109" s="3029" t="s">
        <v>807</v>
      </c>
      <c r="I109" s="3029" t="s">
        <v>808</v>
      </c>
      <c r="J109" s="3029" t="s">
        <v>806</v>
      </c>
      <c r="K109" s="3082" t="s">
        <v>118</v>
      </c>
    </row>
    <row r="110" spans="1:11" s="54" customFormat="1" ht="21.75" customHeight="1">
      <c r="A110" s="53"/>
      <c r="B110" s="3082">
        <v>2013</v>
      </c>
      <c r="C110" s="3029"/>
      <c r="D110" s="3029"/>
      <c r="E110" s="3029"/>
      <c r="F110" s="3029"/>
      <c r="G110" s="332"/>
      <c r="H110" s="56"/>
      <c r="I110" s="56"/>
      <c r="J110" s="56"/>
      <c r="K110" s="333">
        <f t="shared" ref="K110:K115" si="3">SUM(D110:J110)</f>
        <v>0</v>
      </c>
    </row>
    <row r="111" spans="1:11" s="52" customFormat="1" ht="20.100000000000001" customHeight="1">
      <c r="A111" s="37"/>
      <c r="B111" s="296">
        <v>2012</v>
      </c>
      <c r="C111" s="317">
        <v>6447</v>
      </c>
      <c r="D111" s="317">
        <v>301721</v>
      </c>
      <c r="E111" s="310"/>
      <c r="F111" s="310"/>
      <c r="G111" s="311"/>
      <c r="H111" s="311"/>
      <c r="I111" s="311"/>
      <c r="J111" s="311"/>
      <c r="K111" s="319">
        <f t="shared" si="3"/>
        <v>301721</v>
      </c>
    </row>
    <row r="112" spans="1:11" s="52" customFormat="1" ht="20.100000000000001" customHeight="1">
      <c r="A112" s="37"/>
      <c r="B112" s="3082">
        <v>2011</v>
      </c>
      <c r="C112" s="3227">
        <v>5030</v>
      </c>
      <c r="D112" s="3227">
        <v>295855</v>
      </c>
      <c r="E112" s="1981"/>
      <c r="F112" s="1981"/>
      <c r="G112" s="1981"/>
      <c r="H112" s="1981"/>
      <c r="I112" s="1981"/>
      <c r="J112" s="1981"/>
      <c r="K112" s="319">
        <f t="shared" si="3"/>
        <v>295855</v>
      </c>
    </row>
    <row r="113" spans="1:11" s="52" customFormat="1" ht="20.100000000000001" customHeight="1">
      <c r="A113" s="37"/>
      <c r="B113" s="3082">
        <v>2010</v>
      </c>
      <c r="C113" s="1988">
        <v>3417</v>
      </c>
      <c r="D113" s="1988">
        <v>49466</v>
      </c>
      <c r="E113" s="1988"/>
      <c r="F113" s="1988"/>
      <c r="G113" s="1988"/>
      <c r="H113" s="1988"/>
      <c r="I113" s="1988"/>
      <c r="J113" s="1988"/>
      <c r="K113" s="319">
        <f t="shared" si="3"/>
        <v>49466</v>
      </c>
    </row>
    <row r="114" spans="1:11" s="52" customFormat="1" ht="20.100000000000001" customHeight="1">
      <c r="A114" s="37"/>
      <c r="B114" s="3082">
        <v>2009</v>
      </c>
      <c r="C114" s="1988">
        <v>4291</v>
      </c>
      <c r="D114" s="1988">
        <v>43481</v>
      </c>
      <c r="E114" s="1988"/>
      <c r="F114" s="1988"/>
      <c r="G114" s="1988"/>
      <c r="H114" s="1988"/>
      <c r="I114" s="1988"/>
      <c r="J114" s="1988"/>
      <c r="K114" s="319">
        <f t="shared" si="3"/>
        <v>43481</v>
      </c>
    </row>
    <row r="115" spans="1:11" s="52" customFormat="1" ht="20.100000000000001" customHeight="1">
      <c r="A115" s="37"/>
      <c r="B115" s="3082">
        <v>2008</v>
      </c>
      <c r="C115" s="1988">
        <v>8831</v>
      </c>
      <c r="D115" s="1988">
        <v>40773</v>
      </c>
      <c r="E115" s="1988"/>
      <c r="F115" s="1988"/>
      <c r="G115" s="1988"/>
      <c r="H115" s="1988"/>
      <c r="I115" s="1988"/>
      <c r="J115" s="1988"/>
      <c r="K115" s="319">
        <f t="shared" si="3"/>
        <v>40773</v>
      </c>
    </row>
    <row r="118" spans="1:11">
      <c r="B118">
        <v>11</v>
      </c>
      <c r="C118" s="307" t="s">
        <v>133</v>
      </c>
    </row>
    <row r="119" spans="1:11" s="54" customFormat="1" ht="12.75">
      <c r="A119" s="53"/>
      <c r="B119" s="3898" t="s">
        <v>789</v>
      </c>
      <c r="C119" s="3892" t="s">
        <v>790</v>
      </c>
      <c r="D119" s="3893" t="s">
        <v>799</v>
      </c>
      <c r="E119" s="3894"/>
      <c r="F119" s="3894"/>
      <c r="G119" s="3894"/>
      <c r="H119" s="3894"/>
      <c r="I119" s="3894"/>
      <c r="J119" s="3894"/>
      <c r="K119" s="3895"/>
    </row>
    <row r="120" spans="1:11" s="54" customFormat="1" ht="120">
      <c r="A120" s="53"/>
      <c r="B120" s="3900"/>
      <c r="C120" s="3896"/>
      <c r="D120" s="308" t="s">
        <v>800</v>
      </c>
      <c r="E120" s="308" t="s">
        <v>801</v>
      </c>
      <c r="F120" s="308" t="s">
        <v>802</v>
      </c>
      <c r="G120" s="57" t="s">
        <v>803</v>
      </c>
      <c r="H120" s="3389" t="s">
        <v>807</v>
      </c>
      <c r="I120" s="3389" t="s">
        <v>808</v>
      </c>
      <c r="J120" s="3389" t="s">
        <v>806</v>
      </c>
      <c r="K120" s="3390" t="s">
        <v>118</v>
      </c>
    </row>
    <row r="121" spans="1:11" s="54" customFormat="1">
      <c r="A121" s="53"/>
      <c r="B121" s="3082">
        <v>2013</v>
      </c>
      <c r="C121" s="3029"/>
      <c r="D121" s="3029"/>
      <c r="E121" s="3029"/>
      <c r="F121" s="3029"/>
      <c r="G121" s="3393"/>
      <c r="H121" s="3029"/>
      <c r="I121" s="3389"/>
      <c r="J121" s="3389"/>
      <c r="K121" s="3391">
        <f t="shared" ref="K121:K126" si="4">SUM(D121:J121)</f>
        <v>0</v>
      </c>
    </row>
    <row r="122" spans="1:11" s="52" customFormat="1" ht="20.100000000000001" customHeight="1">
      <c r="A122" s="37"/>
      <c r="B122" s="296">
        <v>2012</v>
      </c>
      <c r="C122" s="336">
        <v>801</v>
      </c>
      <c r="D122" s="336">
        <v>106237.90670000001</v>
      </c>
      <c r="E122" s="337">
        <v>0</v>
      </c>
      <c r="F122" s="337">
        <v>0</v>
      </c>
      <c r="G122" s="337">
        <v>0</v>
      </c>
      <c r="H122" s="337">
        <v>0</v>
      </c>
      <c r="I122" s="3231">
        <v>0</v>
      </c>
      <c r="J122" s="3231">
        <v>0</v>
      </c>
      <c r="K122" s="3103">
        <f t="shared" si="4"/>
        <v>106237.90670000001</v>
      </c>
    </row>
    <row r="123" spans="1:11" s="52" customFormat="1" ht="20.100000000000001" customHeight="1">
      <c r="A123" s="37"/>
      <c r="B123" s="3082">
        <v>2011</v>
      </c>
      <c r="C123" s="3232">
        <v>81</v>
      </c>
      <c r="D123" s="3232">
        <v>51426.839</v>
      </c>
      <c r="E123" s="3233">
        <v>0</v>
      </c>
      <c r="F123" s="3233">
        <v>0</v>
      </c>
      <c r="G123" s="3231">
        <v>0</v>
      </c>
      <c r="H123" s="3231">
        <v>0</v>
      </c>
      <c r="I123" s="3234">
        <v>0</v>
      </c>
      <c r="J123" s="3234">
        <v>0</v>
      </c>
      <c r="K123" s="3103">
        <f t="shared" si="4"/>
        <v>51426.839</v>
      </c>
    </row>
    <row r="124" spans="1:11" s="52" customFormat="1" ht="20.100000000000001" customHeight="1">
      <c r="A124" s="37"/>
      <c r="B124" s="3082">
        <v>2010</v>
      </c>
      <c r="C124" s="1988">
        <v>0</v>
      </c>
      <c r="D124" s="1988">
        <v>0</v>
      </c>
      <c r="E124" s="1988">
        <v>0</v>
      </c>
      <c r="F124" s="1988">
        <v>0</v>
      </c>
      <c r="G124" s="1988">
        <v>0</v>
      </c>
      <c r="H124" s="1988">
        <v>0</v>
      </c>
      <c r="I124" s="1988">
        <v>0</v>
      </c>
      <c r="J124" s="1988">
        <v>0</v>
      </c>
      <c r="K124" s="3103">
        <f t="shared" si="4"/>
        <v>0</v>
      </c>
    </row>
    <row r="125" spans="1:11" s="52" customFormat="1" ht="20.100000000000001" customHeight="1">
      <c r="A125" s="37"/>
      <c r="B125" s="3082">
        <v>2009</v>
      </c>
      <c r="C125" s="1988">
        <v>0</v>
      </c>
      <c r="D125" s="1988">
        <v>0</v>
      </c>
      <c r="E125" s="1988">
        <v>0</v>
      </c>
      <c r="F125" s="1988">
        <v>0</v>
      </c>
      <c r="G125" s="1988">
        <v>0</v>
      </c>
      <c r="H125" s="1988">
        <v>0</v>
      </c>
      <c r="I125" s="1988">
        <v>0</v>
      </c>
      <c r="J125" s="1988">
        <v>0</v>
      </c>
      <c r="K125" s="3103">
        <f t="shared" si="4"/>
        <v>0</v>
      </c>
    </row>
    <row r="126" spans="1:11" s="52" customFormat="1" ht="20.100000000000001" customHeight="1">
      <c r="A126" s="37"/>
      <c r="B126" s="3082">
        <v>2008</v>
      </c>
      <c r="C126" s="1988">
        <v>0</v>
      </c>
      <c r="D126" s="1988">
        <v>0</v>
      </c>
      <c r="E126" s="1988">
        <v>0</v>
      </c>
      <c r="F126" s="1988">
        <v>0</v>
      </c>
      <c r="G126" s="1988">
        <v>0</v>
      </c>
      <c r="H126" s="1988">
        <v>0</v>
      </c>
      <c r="I126" s="1988">
        <v>0</v>
      </c>
      <c r="J126" s="1988">
        <v>0</v>
      </c>
      <c r="K126" s="3103">
        <f t="shared" si="4"/>
        <v>0</v>
      </c>
    </row>
    <row r="129" spans="1:11">
      <c r="B129">
        <v>12</v>
      </c>
      <c r="C129" s="307" t="s">
        <v>109</v>
      </c>
    </row>
    <row r="130" spans="1:11" s="54" customFormat="1" ht="12.75">
      <c r="A130" s="53"/>
      <c r="B130" s="3898" t="s">
        <v>789</v>
      </c>
      <c r="C130" s="3892" t="s">
        <v>790</v>
      </c>
      <c r="D130" s="3893" t="s">
        <v>799</v>
      </c>
      <c r="E130" s="3894"/>
      <c r="F130" s="3894"/>
      <c r="G130" s="3894"/>
      <c r="H130" s="3894"/>
      <c r="I130" s="3894"/>
      <c r="J130" s="3894"/>
      <c r="K130" s="3895"/>
    </row>
    <row r="131" spans="1:11" s="54" customFormat="1" ht="120">
      <c r="A131" s="53"/>
      <c r="B131" s="3900"/>
      <c r="C131" s="3896"/>
      <c r="D131" s="308" t="s">
        <v>800</v>
      </c>
      <c r="E131" s="308" t="s">
        <v>801</v>
      </c>
      <c r="F131" s="308" t="s">
        <v>802</v>
      </c>
      <c r="G131" s="57" t="s">
        <v>803</v>
      </c>
      <c r="H131" s="3389" t="s">
        <v>807</v>
      </c>
      <c r="I131" s="3389" t="s">
        <v>808</v>
      </c>
      <c r="J131" s="3389" t="s">
        <v>806</v>
      </c>
      <c r="K131" s="3390" t="s">
        <v>118</v>
      </c>
    </row>
    <row r="132" spans="1:11" s="54" customFormat="1">
      <c r="A132" s="53"/>
      <c r="B132" s="3082">
        <v>2013</v>
      </c>
      <c r="C132" s="3029"/>
      <c r="D132" s="3029"/>
      <c r="E132" s="3029"/>
      <c r="F132" s="3029"/>
      <c r="G132" s="3393"/>
      <c r="H132" s="3029"/>
      <c r="I132" s="3029"/>
      <c r="J132" s="3029"/>
      <c r="K132" s="3390"/>
    </row>
    <row r="133" spans="1:11" s="52" customFormat="1" ht="20.100000000000001" customHeight="1">
      <c r="A133" s="37"/>
      <c r="B133" s="296">
        <v>2012</v>
      </c>
      <c r="C133" s="338">
        <v>8217</v>
      </c>
      <c r="D133" s="338">
        <v>52801</v>
      </c>
      <c r="E133" s="339"/>
      <c r="F133" s="339"/>
      <c r="G133" s="339"/>
      <c r="H133" s="339"/>
      <c r="I133" s="338">
        <v>7560</v>
      </c>
      <c r="J133" s="339"/>
      <c r="K133" s="3103">
        <f>SUM(D133:J133)</f>
        <v>60361</v>
      </c>
    </row>
    <row r="134" spans="1:11" s="52" customFormat="1" ht="20.100000000000001" customHeight="1">
      <c r="A134" s="37"/>
      <c r="B134" s="3082">
        <v>2011</v>
      </c>
      <c r="C134" s="3102">
        <v>6467</v>
      </c>
      <c r="D134" s="3102">
        <v>32203</v>
      </c>
      <c r="E134" s="2483"/>
      <c r="F134" s="2483"/>
      <c r="G134" s="2483"/>
      <c r="H134" s="2483"/>
      <c r="I134" s="3102">
        <v>7657</v>
      </c>
      <c r="J134" s="2483"/>
      <c r="K134" s="3103">
        <f>SUM(D134:J134)</f>
        <v>39860</v>
      </c>
    </row>
    <row r="135" spans="1:11" s="52" customFormat="1" ht="20.100000000000001" customHeight="1">
      <c r="A135" s="37"/>
      <c r="B135" s="3082">
        <v>2010</v>
      </c>
      <c r="C135" s="1988">
        <v>6322</v>
      </c>
      <c r="D135" s="1988">
        <v>30723</v>
      </c>
      <c r="E135" s="1988"/>
      <c r="F135" s="1988"/>
      <c r="G135" s="1988"/>
      <c r="H135" s="1988"/>
      <c r="I135" s="1988"/>
      <c r="J135" s="2107"/>
      <c r="K135" s="3103">
        <f>SUM(D135:J135)</f>
        <v>30723</v>
      </c>
    </row>
    <row r="136" spans="1:11" s="52" customFormat="1" ht="20.100000000000001" customHeight="1">
      <c r="A136" s="37"/>
      <c r="B136" s="3082">
        <v>2009</v>
      </c>
      <c r="C136" s="1988">
        <v>3122</v>
      </c>
      <c r="D136" s="1988">
        <v>14976</v>
      </c>
      <c r="E136" s="1988"/>
      <c r="F136" s="1988"/>
      <c r="G136" s="1988"/>
      <c r="H136" s="1988"/>
      <c r="I136" s="1988"/>
      <c r="J136" s="2107"/>
      <c r="K136" s="3103">
        <f>SUM(D136:J136)</f>
        <v>14976</v>
      </c>
    </row>
    <row r="137" spans="1:11" s="52" customFormat="1" ht="20.100000000000001" customHeight="1">
      <c r="A137" s="37"/>
      <c r="B137" s="3082">
        <v>2008</v>
      </c>
      <c r="C137" s="1988">
        <v>3256</v>
      </c>
      <c r="D137" s="1988">
        <v>12923</v>
      </c>
      <c r="E137" s="1988"/>
      <c r="F137" s="1988"/>
      <c r="G137" s="1988"/>
      <c r="H137" s="1988"/>
      <c r="I137" s="1988"/>
      <c r="J137" s="2107"/>
      <c r="K137" s="3103">
        <f>SUM(D137:J137)</f>
        <v>12923</v>
      </c>
    </row>
    <row r="140" spans="1:11">
      <c r="B140">
        <v>13</v>
      </c>
      <c r="C140" s="307" t="s">
        <v>134</v>
      </c>
    </row>
    <row r="141" spans="1:11" s="54" customFormat="1" ht="12.75">
      <c r="A141" s="53"/>
      <c r="B141" s="3898" t="s">
        <v>789</v>
      </c>
      <c r="C141" s="3892" t="s">
        <v>790</v>
      </c>
      <c r="D141" s="3893" t="s">
        <v>799</v>
      </c>
      <c r="E141" s="3894"/>
      <c r="F141" s="3894"/>
      <c r="G141" s="3894"/>
      <c r="H141" s="3894"/>
      <c r="I141" s="3894"/>
      <c r="J141" s="3894"/>
      <c r="K141" s="3895"/>
    </row>
    <row r="142" spans="1:11" s="54" customFormat="1" ht="120">
      <c r="A142" s="53"/>
      <c r="B142" s="3899"/>
      <c r="C142" s="3896"/>
      <c r="D142" s="308" t="s">
        <v>800</v>
      </c>
      <c r="E142" s="308" t="s">
        <v>801</v>
      </c>
      <c r="F142" s="308" t="s">
        <v>802</v>
      </c>
      <c r="G142" s="57" t="s">
        <v>803</v>
      </c>
      <c r="H142" s="3389" t="s">
        <v>807</v>
      </c>
      <c r="I142" s="3389" t="s">
        <v>808</v>
      </c>
      <c r="J142" s="3389" t="s">
        <v>806</v>
      </c>
      <c r="K142" s="3390" t="s">
        <v>118</v>
      </c>
    </row>
    <row r="143" spans="1:11" s="54" customFormat="1">
      <c r="A143" s="53"/>
      <c r="B143" s="296">
        <v>2013</v>
      </c>
      <c r="C143" s="3029"/>
      <c r="D143" s="3029"/>
      <c r="E143" s="3029"/>
      <c r="F143" s="3029"/>
      <c r="G143" s="3222"/>
      <c r="H143" s="3389"/>
      <c r="I143" s="3389"/>
      <c r="J143" s="3389"/>
      <c r="K143" s="3391">
        <f t="shared" ref="K143:K148" si="5">SUM(D143:J143)</f>
        <v>0</v>
      </c>
    </row>
    <row r="144" spans="1:11" s="52" customFormat="1" ht="20.100000000000001" customHeight="1">
      <c r="A144" s="37"/>
      <c r="B144" s="3082">
        <v>2012</v>
      </c>
      <c r="C144" s="324">
        <v>41195</v>
      </c>
      <c r="D144" s="326">
        <v>161000</v>
      </c>
      <c r="E144" s="341"/>
      <c r="F144" s="341"/>
      <c r="G144" s="341"/>
      <c r="H144" s="3223"/>
      <c r="I144" s="3223"/>
      <c r="J144" s="3223"/>
      <c r="K144" s="3235">
        <f t="shared" si="5"/>
        <v>161000</v>
      </c>
    </row>
    <row r="145" spans="1:11" s="52" customFormat="1" ht="20.100000000000001" customHeight="1">
      <c r="A145" s="37"/>
      <c r="B145" s="3082">
        <v>2011</v>
      </c>
      <c r="C145" s="2020">
        <v>45290</v>
      </c>
      <c r="D145" s="2020">
        <v>97333</v>
      </c>
      <c r="E145" s="1988"/>
      <c r="F145" s="1988"/>
      <c r="G145" s="1988"/>
      <c r="H145" s="1988"/>
      <c r="I145" s="1988"/>
      <c r="J145" s="1988"/>
      <c r="K145" s="3235">
        <f t="shared" si="5"/>
        <v>97333</v>
      </c>
    </row>
    <row r="146" spans="1:11" s="52" customFormat="1" ht="20.100000000000001" customHeight="1">
      <c r="A146" s="37"/>
      <c r="B146" s="3082">
        <v>2010</v>
      </c>
      <c r="C146" s="1988">
        <v>12555</v>
      </c>
      <c r="D146" s="1988">
        <v>37074</v>
      </c>
      <c r="E146" s="1988"/>
      <c r="F146" s="1988"/>
      <c r="G146" s="1988"/>
      <c r="H146" s="1988"/>
      <c r="I146" s="1988"/>
      <c r="J146" s="2107"/>
      <c r="K146" s="3235">
        <f t="shared" si="5"/>
        <v>37074</v>
      </c>
    </row>
    <row r="147" spans="1:11" s="52" customFormat="1" ht="20.100000000000001" customHeight="1">
      <c r="A147" s="37"/>
      <c r="B147" s="3082">
        <v>2009</v>
      </c>
      <c r="C147" s="1988">
        <v>10546</v>
      </c>
      <c r="D147" s="1988">
        <v>21084</v>
      </c>
      <c r="E147" s="1988"/>
      <c r="F147" s="1988"/>
      <c r="G147" s="1988"/>
      <c r="H147" s="1988"/>
      <c r="I147" s="1988"/>
      <c r="J147" s="2107"/>
      <c r="K147" s="3235">
        <f t="shared" si="5"/>
        <v>21084</v>
      </c>
    </row>
    <row r="148" spans="1:11" s="52" customFormat="1" ht="20.100000000000001" customHeight="1">
      <c r="A148" s="37"/>
      <c r="B148" s="3082">
        <v>2008</v>
      </c>
      <c r="C148" s="1988">
        <v>8503</v>
      </c>
      <c r="D148" s="1988">
        <v>22272</v>
      </c>
      <c r="E148" s="1988"/>
      <c r="F148" s="1988"/>
      <c r="G148" s="1988"/>
      <c r="H148" s="1988"/>
      <c r="I148" s="1988"/>
      <c r="J148" s="2107"/>
      <c r="K148" s="3235">
        <f t="shared" si="5"/>
        <v>22272</v>
      </c>
    </row>
    <row r="149" spans="1:11" s="54" customFormat="1" ht="12.75">
      <c r="A149" s="53"/>
      <c r="B149" s="61"/>
      <c r="C149" s="90"/>
      <c r="D149" s="90"/>
      <c r="E149" s="90"/>
      <c r="F149" s="90"/>
      <c r="G149" s="90"/>
      <c r="H149" s="90"/>
      <c r="I149" s="90"/>
    </row>
    <row r="150" spans="1:11" s="54" customFormat="1" ht="12.75">
      <c r="A150" s="53"/>
      <c r="B150" s="61"/>
      <c r="C150" s="90"/>
      <c r="D150" s="90"/>
      <c r="E150" s="90"/>
      <c r="F150" s="90"/>
      <c r="G150" s="90"/>
      <c r="H150" s="90"/>
      <c r="I150" s="90"/>
    </row>
    <row r="151" spans="1:11">
      <c r="B151">
        <v>14</v>
      </c>
      <c r="C151" s="307" t="s">
        <v>115</v>
      </c>
    </row>
    <row r="152" spans="1:11" s="54" customFormat="1" ht="12.75">
      <c r="A152" s="53"/>
      <c r="B152" s="3898" t="s">
        <v>789</v>
      </c>
      <c r="C152" s="3892" t="s">
        <v>790</v>
      </c>
      <c r="D152" s="3893" t="s">
        <v>799</v>
      </c>
      <c r="E152" s="3894"/>
      <c r="F152" s="3894"/>
      <c r="G152" s="3894"/>
      <c r="H152" s="3894"/>
      <c r="I152" s="3894"/>
      <c r="J152" s="3894"/>
      <c r="K152" s="3895"/>
    </row>
    <row r="153" spans="1:11" s="54" customFormat="1" ht="120">
      <c r="A153" s="53"/>
      <c r="B153" s="3900"/>
      <c r="C153" s="3896"/>
      <c r="D153" s="308" t="s">
        <v>800</v>
      </c>
      <c r="E153" s="308" t="s">
        <v>801</v>
      </c>
      <c r="F153" s="308" t="s">
        <v>802</v>
      </c>
      <c r="G153" s="57" t="s">
        <v>803</v>
      </c>
      <c r="H153" s="3389" t="s">
        <v>807</v>
      </c>
      <c r="I153" s="3389" t="s">
        <v>808</v>
      </c>
      <c r="J153" s="3389" t="s">
        <v>806</v>
      </c>
      <c r="K153" s="3390" t="s">
        <v>118</v>
      </c>
    </row>
    <row r="154" spans="1:11" s="54" customFormat="1">
      <c r="A154" s="53"/>
      <c r="B154" s="3082">
        <v>2013</v>
      </c>
      <c r="C154" s="3029"/>
      <c r="D154" s="3029"/>
      <c r="E154" s="3029"/>
      <c r="F154" s="3029"/>
      <c r="G154" s="3222"/>
      <c r="H154" s="3389"/>
      <c r="I154" s="3389"/>
      <c r="J154" s="3389"/>
      <c r="K154" s="3391">
        <f t="shared" ref="K154:K159" si="6">SUM(D154:J154)</f>
        <v>0</v>
      </c>
    </row>
    <row r="155" spans="1:11" s="52" customFormat="1" ht="20.100000000000001" customHeight="1">
      <c r="A155" s="37"/>
      <c r="B155" s="296">
        <v>2012</v>
      </c>
      <c r="C155" s="340">
        <v>66733</v>
      </c>
      <c r="D155" s="340">
        <v>1787728</v>
      </c>
      <c r="E155" s="340"/>
      <c r="F155" s="340">
        <v>237002</v>
      </c>
      <c r="G155" s="340"/>
      <c r="H155" s="3108"/>
      <c r="I155" s="3108"/>
      <c r="J155" s="3108"/>
      <c r="K155" s="3235">
        <f t="shared" si="6"/>
        <v>2024730</v>
      </c>
    </row>
    <row r="156" spans="1:11" s="52" customFormat="1" ht="20.100000000000001" customHeight="1">
      <c r="A156" s="37"/>
      <c r="B156" s="3082">
        <v>2011</v>
      </c>
      <c r="C156" s="3106">
        <v>81956</v>
      </c>
      <c r="D156" s="3106">
        <v>1813335</v>
      </c>
      <c r="E156" s="3106"/>
      <c r="F156" s="3106">
        <v>165694</v>
      </c>
      <c r="G156" s="3106"/>
      <c r="H156" s="3106"/>
      <c r="I156" s="3106"/>
      <c r="J156" s="3106"/>
      <c r="K156" s="3235">
        <f t="shared" si="6"/>
        <v>1979029</v>
      </c>
    </row>
    <row r="157" spans="1:11" s="52" customFormat="1" ht="20.100000000000001" customHeight="1">
      <c r="A157" s="37"/>
      <c r="B157" s="3082">
        <v>2010</v>
      </c>
      <c r="C157" s="3236">
        <v>91081</v>
      </c>
      <c r="D157" s="2483">
        <v>1644220</v>
      </c>
      <c r="E157" s="2483"/>
      <c r="F157" s="2483">
        <v>135763</v>
      </c>
      <c r="G157" s="2483"/>
      <c r="H157" s="2483"/>
      <c r="I157" s="2483"/>
      <c r="J157" s="2107"/>
      <c r="K157" s="3235">
        <f t="shared" si="6"/>
        <v>1779983</v>
      </c>
    </row>
    <row r="158" spans="1:11" s="52" customFormat="1" ht="20.100000000000001" customHeight="1">
      <c r="A158" s="37"/>
      <c r="B158" s="3082">
        <v>2009</v>
      </c>
      <c r="C158" s="3236">
        <v>67045</v>
      </c>
      <c r="D158" s="2483">
        <v>998878</v>
      </c>
      <c r="E158" s="2483"/>
      <c r="F158" s="2483">
        <v>94450</v>
      </c>
      <c r="G158" s="2483"/>
      <c r="H158" s="2483"/>
      <c r="I158" s="2483"/>
      <c r="J158" s="2107"/>
      <c r="K158" s="3235">
        <f t="shared" si="6"/>
        <v>1093328</v>
      </c>
    </row>
    <row r="159" spans="1:11" s="52" customFormat="1" ht="20.100000000000001" customHeight="1">
      <c r="A159" s="37"/>
      <c r="B159" s="3082">
        <v>2008</v>
      </c>
      <c r="C159" s="3236">
        <v>77163</v>
      </c>
      <c r="D159" s="2483">
        <v>1112754</v>
      </c>
      <c r="E159" s="2483"/>
      <c r="F159" s="2483">
        <v>110561</v>
      </c>
      <c r="G159" s="2483"/>
      <c r="H159" s="2483"/>
      <c r="I159" s="2483"/>
      <c r="J159" s="2107"/>
      <c r="K159" s="3235">
        <f t="shared" si="6"/>
        <v>1223315</v>
      </c>
    </row>
    <row r="162" spans="1:11">
      <c r="B162">
        <v>15</v>
      </c>
      <c r="C162" s="307" t="s">
        <v>135</v>
      </c>
    </row>
    <row r="163" spans="1:11" s="54" customFormat="1" ht="12.75">
      <c r="A163" s="53"/>
      <c r="B163" s="3898" t="s">
        <v>789</v>
      </c>
      <c r="C163" s="3892" t="s">
        <v>790</v>
      </c>
      <c r="D163" s="3893" t="s">
        <v>799</v>
      </c>
      <c r="E163" s="3894"/>
      <c r="F163" s="3894"/>
      <c r="G163" s="3894"/>
      <c r="H163" s="3894"/>
      <c r="I163" s="3894"/>
      <c r="J163" s="3894"/>
      <c r="K163" s="3895"/>
    </row>
    <row r="164" spans="1:11" s="54" customFormat="1" ht="120">
      <c r="A164" s="53"/>
      <c r="B164" s="3899"/>
      <c r="C164" s="3892"/>
      <c r="D164" s="3029" t="s">
        <v>800</v>
      </c>
      <c r="E164" s="3029" t="s">
        <v>801</v>
      </c>
      <c r="F164" s="3029" t="s">
        <v>802</v>
      </c>
      <c r="G164" s="3218" t="s">
        <v>803</v>
      </c>
      <c r="H164" s="3029" t="s">
        <v>807</v>
      </c>
      <c r="I164" s="3029" t="s">
        <v>808</v>
      </c>
      <c r="J164" s="3029" t="s">
        <v>806</v>
      </c>
      <c r="K164" s="3082" t="s">
        <v>118</v>
      </c>
    </row>
    <row r="165" spans="1:11" s="54" customFormat="1">
      <c r="A165" s="53"/>
      <c r="B165" s="3082">
        <v>2013</v>
      </c>
      <c r="C165" s="3029"/>
      <c r="D165" s="308"/>
      <c r="E165" s="308"/>
      <c r="F165" s="308"/>
      <c r="G165" s="332"/>
      <c r="H165" s="56"/>
      <c r="I165" s="56"/>
      <c r="J165" s="56"/>
      <c r="K165" s="335">
        <f t="shared" ref="K165:K170" si="7">SUM(D165:J165)</f>
        <v>0</v>
      </c>
    </row>
    <row r="166" spans="1:11" s="52" customFormat="1" ht="20.100000000000001" customHeight="1">
      <c r="A166" s="37"/>
      <c r="B166" s="296">
        <v>2012</v>
      </c>
      <c r="C166" s="3237">
        <v>73636</v>
      </c>
      <c r="D166" s="324">
        <v>3367394.4261299996</v>
      </c>
      <c r="E166" s="324">
        <v>838388</v>
      </c>
      <c r="F166" s="324">
        <v>9382.5738699999984</v>
      </c>
      <c r="G166" s="326">
        <v>891159</v>
      </c>
      <c r="H166" s="326">
        <v>0</v>
      </c>
      <c r="I166" s="326">
        <v>0</v>
      </c>
      <c r="J166" s="326">
        <v>0</v>
      </c>
      <c r="K166" s="335">
        <f t="shared" si="7"/>
        <v>5106324</v>
      </c>
    </row>
    <row r="167" spans="1:11" s="52" customFormat="1" ht="20.100000000000001" customHeight="1">
      <c r="A167" s="37"/>
      <c r="B167" s="3082">
        <v>2011</v>
      </c>
      <c r="C167" s="2020">
        <v>78591</v>
      </c>
      <c r="D167" s="2020">
        <v>2977072.73012</v>
      </c>
      <c r="E167" s="2020">
        <v>695270</v>
      </c>
      <c r="F167" s="2020">
        <v>10635.26988</v>
      </c>
      <c r="G167" s="2020">
        <v>788649</v>
      </c>
      <c r="H167" s="2020">
        <v>0</v>
      </c>
      <c r="I167" s="2020">
        <v>0</v>
      </c>
      <c r="J167" s="2020">
        <v>0</v>
      </c>
      <c r="K167" s="335">
        <f t="shared" si="7"/>
        <v>4471627</v>
      </c>
    </row>
    <row r="168" spans="1:11" s="52" customFormat="1" ht="20.100000000000001" customHeight="1">
      <c r="A168" s="37"/>
      <c r="B168" s="3082">
        <v>2010</v>
      </c>
      <c r="C168" s="1988">
        <v>75827</v>
      </c>
      <c r="D168" s="1988">
        <v>1525339</v>
      </c>
      <c r="E168" s="1988">
        <v>347303</v>
      </c>
      <c r="F168" s="1988">
        <v>7290</v>
      </c>
      <c r="G168" s="1988">
        <v>340266</v>
      </c>
      <c r="H168" s="1988">
        <v>0</v>
      </c>
      <c r="I168" s="1988">
        <v>0</v>
      </c>
      <c r="J168" s="1988">
        <v>0</v>
      </c>
      <c r="K168" s="335">
        <f t="shared" si="7"/>
        <v>2220198</v>
      </c>
    </row>
    <row r="169" spans="1:11" s="52" customFormat="1" ht="20.100000000000001" customHeight="1">
      <c r="A169" s="37"/>
      <c r="B169" s="3082">
        <v>2009</v>
      </c>
      <c r="C169" s="1988">
        <v>56221</v>
      </c>
      <c r="D169" s="1988">
        <v>1251547</v>
      </c>
      <c r="E169" s="1988">
        <v>0</v>
      </c>
      <c r="F169" s="1988">
        <v>7828</v>
      </c>
      <c r="G169" s="1988">
        <v>245664</v>
      </c>
      <c r="H169" s="1988">
        <v>0</v>
      </c>
      <c r="I169" s="1988">
        <v>0</v>
      </c>
      <c r="J169" s="1988">
        <v>0</v>
      </c>
      <c r="K169" s="335">
        <f t="shared" si="7"/>
        <v>1505039</v>
      </c>
    </row>
    <row r="170" spans="1:11" s="52" customFormat="1" ht="20.100000000000001" customHeight="1">
      <c r="A170" s="37"/>
      <c r="B170" s="3082">
        <v>2008</v>
      </c>
      <c r="C170" s="1988">
        <v>58510</v>
      </c>
      <c r="D170" s="1988">
        <v>1181961</v>
      </c>
      <c r="E170" s="1988">
        <v>0</v>
      </c>
      <c r="F170" s="1988">
        <v>6834</v>
      </c>
      <c r="G170" s="1988">
        <v>243634</v>
      </c>
      <c r="H170" s="1988">
        <v>0</v>
      </c>
      <c r="I170" s="1988">
        <v>0</v>
      </c>
      <c r="J170" s="1988">
        <v>0</v>
      </c>
      <c r="K170" s="335">
        <f t="shared" si="7"/>
        <v>1432429</v>
      </c>
    </row>
  </sheetData>
  <customSheetViews>
    <customSheetView guid="{5E394B0B-7867-4722-9497-A93AB2A9A773}" showPageBreaks="1" printArea="1" state="hidden" topLeftCell="A16">
      <selection activeCell="C7" sqref="C7"/>
      <rowBreaks count="3" manualBreakCount="3">
        <brk id="40" min="1" max="10" man="1"/>
        <brk id="82" min="1" max="10" man="1"/>
        <brk id="126" min="1" max="10" man="1"/>
      </rowBreaks>
      <pageMargins left="0" right="0" top="0" bottom="0" header="0" footer="0"/>
      <pageSetup scale="57" orientation="portrait" r:id="rId1"/>
    </customSheetView>
    <customSheetView guid="{B1E1B596-A9A1-411D-A882-A48CB025B978}" showPageBreaks="1" printArea="1" state="hidden" topLeftCell="A16">
      <selection activeCell="C7" sqref="C7"/>
      <rowBreaks count="3" manualBreakCount="3">
        <brk id="40" min="1" max="10" man="1"/>
        <brk id="82" min="1" max="10" man="1"/>
        <brk id="126" min="1" max="10" man="1"/>
      </rowBreaks>
      <pageMargins left="0" right="0" top="0" bottom="0" header="0" footer="0"/>
      <pageSetup scale="57" orientation="portrait" r:id="rId2"/>
    </customSheetView>
    <customSheetView guid="{E82B35BE-4719-4C53-A9EF-1CC6F153A6F3}" showPageBreaks="1" printArea="1">
      <selection activeCell="D154" sqref="D154:K154"/>
      <rowBreaks count="3" manualBreakCount="3">
        <brk id="40" min="1" max="10" man="1"/>
        <brk id="80" min="1" max="10" man="1"/>
        <brk id="120" min="1" max="10" man="1"/>
      </rowBreaks>
      <pageMargins left="0" right="0" top="0" bottom="0" header="0" footer="0"/>
      <pageSetup scale="57" orientation="portrait" r:id="rId3"/>
    </customSheetView>
    <customSheetView guid="{B4A67912-05A8-4D20-958A-E8812294BB39}">
      <pageMargins left="0" right="0" top="0" bottom="0" header="0" footer="0"/>
    </customSheetView>
    <customSheetView guid="{46F31544-8E6F-41C5-8628-1D6EE074AF15}" state="hidden" topLeftCell="A16">
      <selection activeCell="C7" sqref="C7"/>
      <rowBreaks count="3" manualBreakCount="3">
        <brk id="40" min="1" max="10" man="1"/>
        <brk id="82" min="1" max="10" man="1"/>
        <brk id="126" min="1" max="10" man="1"/>
      </rowBreaks>
      <pageMargins left="0" right="0" top="0" bottom="0" header="0" footer="0"/>
      <pageSetup scale="57" orientation="portrait" r:id="rId4"/>
    </customSheetView>
    <customSheetView guid="{B2E1A0C6-5BA1-4CF1-B412-16D81FCDF11F}" showPageBreaks="1" printArea="1" state="hidden" topLeftCell="A16">
      <selection activeCell="C7" sqref="C7"/>
      <rowBreaks count="3" manualBreakCount="3">
        <brk id="40" min="1" max="10" man="1"/>
        <brk id="82" min="1" max="10" man="1"/>
        <brk id="126" min="1" max="10" man="1"/>
      </rowBreaks>
      <pageMargins left="0" right="0" top="0" bottom="0" header="0" footer="0"/>
      <pageSetup scale="57" orientation="portrait" r:id="rId5"/>
    </customSheetView>
    <customSheetView guid="{967E0446-E234-427F-8E57-7FE287052E2E}" showPageBreaks="1" printArea="1" state="hidden" topLeftCell="A16">
      <selection activeCell="C7" sqref="C7"/>
      <rowBreaks count="3" manualBreakCount="3">
        <brk id="40" min="1" max="10" man="1"/>
        <brk id="82" min="1" max="10" man="1"/>
        <brk id="126" min="1" max="10" man="1"/>
      </rowBreaks>
      <pageMargins left="0" right="0" top="0" bottom="0" header="0" footer="0"/>
      <pageSetup scale="57" orientation="portrait" r:id="rId6"/>
    </customSheetView>
    <customSheetView guid="{2ACFE167-4169-43A6-9AB2-59D5A2DA2DB4}" showPageBreaks="1" printArea="1" state="hidden" topLeftCell="A16">
      <selection activeCell="C7" sqref="C7"/>
      <rowBreaks count="3" manualBreakCount="3">
        <brk id="40" min="1" max="10" man="1"/>
        <brk id="82" min="1" max="10" man="1"/>
        <brk id="126" min="1" max="10" man="1"/>
      </rowBreaks>
      <pageMargins left="0" right="0" top="0" bottom="0" header="0" footer="0"/>
      <pageSetup scale="57" orientation="portrait" r:id="rId7"/>
    </customSheetView>
  </customSheetViews>
  <mergeCells count="48">
    <mergeCell ref="B163:B164"/>
    <mergeCell ref="D4:K4"/>
    <mergeCell ref="D163:K163"/>
    <mergeCell ref="D152:K152"/>
    <mergeCell ref="D141:K141"/>
    <mergeCell ref="D130:K130"/>
    <mergeCell ref="D119:K119"/>
    <mergeCell ref="D108:K108"/>
    <mergeCell ref="D97:K97"/>
    <mergeCell ref="D86:K86"/>
    <mergeCell ref="D75:K75"/>
    <mergeCell ref="D64:K64"/>
    <mergeCell ref="B119:B120"/>
    <mergeCell ref="B130:B131"/>
    <mergeCell ref="B141:B142"/>
    <mergeCell ref="B152:B153"/>
    <mergeCell ref="B64:B65"/>
    <mergeCell ref="B75:B76"/>
    <mergeCell ref="B86:B87"/>
    <mergeCell ref="B97:B98"/>
    <mergeCell ref="B108:B109"/>
    <mergeCell ref="B4:B5"/>
    <mergeCell ref="B54:B55"/>
    <mergeCell ref="B14:B15"/>
    <mergeCell ref="B24:B25"/>
    <mergeCell ref="B34:B35"/>
    <mergeCell ref="B44:B45"/>
    <mergeCell ref="C141:C142"/>
    <mergeCell ref="C163:C164"/>
    <mergeCell ref="C152:C153"/>
    <mergeCell ref="C119:C120"/>
    <mergeCell ref="C130:C131"/>
    <mergeCell ref="C97:C98"/>
    <mergeCell ref="C108:C109"/>
    <mergeCell ref="C75:C76"/>
    <mergeCell ref="C86:C87"/>
    <mergeCell ref="C64:C65"/>
    <mergeCell ref="C44:C45"/>
    <mergeCell ref="D44:K44"/>
    <mergeCell ref="C4:C5"/>
    <mergeCell ref="C54:C55"/>
    <mergeCell ref="D54:K54"/>
    <mergeCell ref="C14:C15"/>
    <mergeCell ref="D14:K14"/>
    <mergeCell ref="C24:C25"/>
    <mergeCell ref="D24:K24"/>
    <mergeCell ref="C34:C35"/>
    <mergeCell ref="D34:K34"/>
  </mergeCells>
  <pageMargins left="0.7" right="0.7" top="0.75" bottom="0.75" header="0.3" footer="0.3"/>
  <pageSetup scale="57" orientation="portrait" r:id="rId8"/>
  <rowBreaks count="3" manualBreakCount="3">
    <brk id="40" min="1" max="10" man="1"/>
    <brk id="82" min="1" max="10" man="1"/>
    <brk id="126" min="1" max="10"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FFC000"/>
  </sheetPr>
  <dimension ref="A1:I206"/>
  <sheetViews>
    <sheetView workbookViewId="0">
      <selection activeCell="A2" sqref="A2"/>
    </sheetView>
  </sheetViews>
  <sheetFormatPr defaultRowHeight="15"/>
  <cols>
    <col min="1" max="1" width="26.85546875" bestFit="1" customWidth="1"/>
    <col min="2" max="2" width="18.85546875" customWidth="1"/>
    <col min="3" max="3" width="15" customWidth="1"/>
    <col min="4" max="4" width="15.5703125" customWidth="1"/>
    <col min="5" max="5" width="17.42578125" customWidth="1"/>
    <col min="6" max="6" width="16.7109375" customWidth="1"/>
    <col min="8" max="8" width="14.140625" customWidth="1"/>
  </cols>
  <sheetData>
    <row r="1" spans="1:6">
      <c r="A1" s="82" t="s">
        <v>810</v>
      </c>
      <c r="B1" s="75"/>
      <c r="C1" s="75"/>
      <c r="D1" s="75"/>
      <c r="E1" s="75"/>
      <c r="F1" s="75"/>
    </row>
    <row r="2" spans="1:6">
      <c r="A2" s="83"/>
      <c r="B2" s="75"/>
      <c r="C2" s="75"/>
      <c r="D2" s="75"/>
      <c r="E2" s="75"/>
      <c r="F2" s="75"/>
    </row>
    <row r="3" spans="1:6">
      <c r="A3" s="3901" t="s">
        <v>775</v>
      </c>
      <c r="B3" s="3903" t="s">
        <v>776</v>
      </c>
      <c r="C3" s="3903"/>
      <c r="D3" s="3903"/>
      <c r="E3" s="3903"/>
      <c r="F3" s="3903"/>
    </row>
    <row r="4" spans="1:6">
      <c r="A4" s="3902"/>
      <c r="B4" s="3238">
        <v>2008</v>
      </c>
      <c r="C4" s="3238">
        <v>2009</v>
      </c>
      <c r="D4" s="3238">
        <v>2010</v>
      </c>
      <c r="E4" s="3238">
        <v>2011</v>
      </c>
      <c r="F4" s="3239">
        <v>2012</v>
      </c>
    </row>
    <row r="5" spans="1:6">
      <c r="A5" s="3240" t="s">
        <v>777</v>
      </c>
      <c r="B5" s="3241">
        <f>+B17/$B$22*100</f>
        <v>94.263039323199607</v>
      </c>
      <c r="C5" s="3241">
        <f>+C17/$C$22*100</f>
        <v>92.957552155146303</v>
      </c>
      <c r="D5" s="3241">
        <f>+D17/$D$22*100</f>
        <v>86.050768082841671</v>
      </c>
      <c r="E5" s="3241">
        <f>+E17/$E$22*100</f>
        <v>90.205601946774664</v>
      </c>
      <c r="F5" s="3241">
        <f>+F17/$F$22*100</f>
        <v>92.739829613911411</v>
      </c>
    </row>
    <row r="6" spans="1:6">
      <c r="A6" s="3240" t="s">
        <v>778</v>
      </c>
      <c r="B6" s="3241">
        <f>+B18/$B$22*100</f>
        <v>0.91101961656182584</v>
      </c>
      <c r="C6" s="3241">
        <f>+C18/$C$22*100</f>
        <v>0.69246828388602621</v>
      </c>
      <c r="D6" s="3241">
        <f>+D18/$D$22*100</f>
        <v>0.82759732341490777</v>
      </c>
      <c r="E6" s="3241">
        <f>+E18/$E$22*100</f>
        <v>0.76199329794234849</v>
      </c>
      <c r="F6" s="3241">
        <f>+F18/$F$22*100</f>
        <v>0.52244592789788913</v>
      </c>
    </row>
    <row r="7" spans="1:6">
      <c r="A7" s="3240" t="s">
        <v>779</v>
      </c>
      <c r="B7" s="3241">
        <f>+B19/$B$22*100</f>
        <v>1.4036696093349883</v>
      </c>
      <c r="C7" s="3241">
        <f>+C19/$C$22*100</f>
        <v>1.7311881895423473</v>
      </c>
      <c r="D7" s="3241">
        <f>+D19/$D$22*100</f>
        <v>4.7292327750281231</v>
      </c>
      <c r="E7" s="3241">
        <f>+E19/$E$22*100</f>
        <v>4.4962367840319404</v>
      </c>
      <c r="F7" s="3241">
        <f>+F19/$F$22*100</f>
        <v>4.8406114786146714</v>
      </c>
    </row>
    <row r="8" spans="1:6">
      <c r="A8" s="3240" t="s">
        <v>782</v>
      </c>
      <c r="B8" s="3241">
        <f>+B20/$B$22*100</f>
        <v>1.7145769871970731</v>
      </c>
      <c r="C8" s="3241">
        <f>+C20/$C$22*100</f>
        <v>2.7385247414073004</v>
      </c>
      <c r="D8" s="3241">
        <f>+D20/$D$22*100</f>
        <v>7.9157362537632237</v>
      </c>
      <c r="E8" s="3241">
        <f>+E20/$E$22*100</f>
        <v>4.4234037090086824</v>
      </c>
      <c r="F8" s="3241">
        <f>+F20/$F$22*100</f>
        <v>1.8971129795760229</v>
      </c>
    </row>
    <row r="9" spans="1:6">
      <c r="A9" s="3240" t="s">
        <v>366</v>
      </c>
      <c r="B9" s="3241">
        <f>+B21/$B$22*100</f>
        <v>1.7076944637065179</v>
      </c>
      <c r="C9" s="3241">
        <f>+C21/$C$22*100</f>
        <v>1.8802666300180195</v>
      </c>
      <c r="D9" s="3241">
        <f>+D21/$D$22*100</f>
        <v>0.47666556495206314</v>
      </c>
      <c r="E9" s="3241">
        <f>+E21/$E$22*100</f>
        <v>0.11276426224236022</v>
      </c>
      <c r="F9" s="3241">
        <f>+F21/$F$22*100</f>
        <v>0</v>
      </c>
    </row>
    <row r="10" spans="1:6" ht="15.75" thickBot="1">
      <c r="A10" s="85" t="s">
        <v>118</v>
      </c>
      <c r="B10" s="105">
        <f>SUM(B5:B9)</f>
        <v>100.00000000000001</v>
      </c>
      <c r="C10" s="105">
        <f>SUM(C5:C9)</f>
        <v>100</v>
      </c>
      <c r="D10" s="105">
        <f>SUM(D5:D9)</f>
        <v>99.999999999999986</v>
      </c>
      <c r="E10" s="105">
        <f>SUM(E5:E9)</f>
        <v>100</v>
      </c>
      <c r="F10" s="105">
        <f>SUM(F5:F9)</f>
        <v>100</v>
      </c>
    </row>
    <row r="11" spans="1:6" ht="15.75" thickTop="1"/>
    <row r="13" spans="1:6">
      <c r="A13" s="82" t="s">
        <v>781</v>
      </c>
      <c r="B13" s="75"/>
      <c r="C13" s="75"/>
      <c r="D13" s="75"/>
      <c r="E13" s="75"/>
      <c r="F13" s="75"/>
    </row>
    <row r="14" spans="1:6">
      <c r="A14" s="83"/>
      <c r="B14" s="75"/>
      <c r="C14" s="75"/>
      <c r="D14" s="75"/>
      <c r="E14" s="75"/>
      <c r="F14" s="75"/>
    </row>
    <row r="15" spans="1:6">
      <c r="A15" s="3901" t="s">
        <v>775</v>
      </c>
      <c r="B15" s="3903" t="s">
        <v>776</v>
      </c>
      <c r="C15" s="3903"/>
      <c r="D15" s="3903"/>
      <c r="E15" s="3903"/>
      <c r="F15" s="3903"/>
    </row>
    <row r="16" spans="1:6">
      <c r="A16" s="3902"/>
      <c r="B16" s="3238">
        <v>2008</v>
      </c>
      <c r="C16" s="3238">
        <v>2009</v>
      </c>
      <c r="D16" s="3238">
        <v>2010</v>
      </c>
      <c r="E16" s="3238">
        <v>2011</v>
      </c>
      <c r="F16" s="3239">
        <v>2012</v>
      </c>
    </row>
    <row r="17" spans="1:6">
      <c r="A17" s="3240" t="s">
        <v>777</v>
      </c>
      <c r="B17" s="3242">
        <f>+F29+F38+F47+F56+F65+F74+F83+F92+F101+F110+F119+F128+F137+F146+F155+F164+F173+F182+F191+F200</f>
        <v>18449245.224314563</v>
      </c>
      <c r="C17" s="3242">
        <f>+E29+E38+E47+E56+E65+E74+E83+E92+E101+E110+E119+E128+E137+E146+E155+E164+E173+E182+E191+E200</f>
        <v>18224433.72264</v>
      </c>
      <c r="D17" s="3242">
        <f>+D29+D38+D47+D56+D65+D74+D83+D92+D101+D110+D119+D128+D137+D146+D155+D164+D173+D182+D191+D200</f>
        <v>23824769.036785007</v>
      </c>
      <c r="E17" s="3242">
        <f>+C29+C38+C47+C56+C65+C74+C83+C92+C101+C110+C119+C128+C137+C146+C155+C164+C173+C182+C191+C200</f>
        <v>31717957.853548001</v>
      </c>
      <c r="F17" s="3242">
        <f>+B29+B38+B47+B56+B65+B74+B83+B92+B101+B110+B119+B128+B137+B146+B155+B164+B173+B182+B191+B200</f>
        <v>34748335.997617707</v>
      </c>
    </row>
    <row r="18" spans="1:6">
      <c r="A18" s="3240" t="s">
        <v>778</v>
      </c>
      <c r="B18" s="3242">
        <f>+F30+F39+F48+F57+F66+F75+F84+F93+F102+F111+F120+F129+F138+F147+F156+F165+F174+F183+F192+F201</f>
        <v>178305.56314317283</v>
      </c>
      <c r="C18" s="3242">
        <f>+E30+E39+E48+E57+E66+E75+E84+E93+E102+E111+E120+E129+E138+E147+E156+E165+E174+E183+E192+E201</f>
        <v>135759.19387000002</v>
      </c>
      <c r="D18" s="3242">
        <f>+D30+D39+D48+D57+D66+D75+D84+D93+D102+D111+D120+D129+D138+D147+D156+D165+D174+D183+D192+D201</f>
        <v>229135.84068000002</v>
      </c>
      <c r="E18" s="3242">
        <f>+C30+C39+C48+C57+C66+C75+C84+C93+C102+C111+C120+C129+C138+C147+C156+C165+C174+C183+C192+C201</f>
        <v>267930.93541000003</v>
      </c>
      <c r="F18" s="3242">
        <f>+B30+B39+B48+B57+B66+B75+B84+B93+B102+B111+B120+B129+B138+B147+B156+B165+B174+B183+B192+B201</f>
        <v>195753.28873</v>
      </c>
    </row>
    <row r="19" spans="1:6">
      <c r="A19" s="3240" t="s">
        <v>779</v>
      </c>
      <c r="B19" s="3242">
        <f>+F31+F40+F49+F58+F67+F76+F85+F94+F103+F112+F121+F130+F139+F148+F157+F166+F175+F184+F193+F202</f>
        <v>274727.45439224824</v>
      </c>
      <c r="C19" s="3242">
        <f>+E31+E40+E49+E58+E67+E76+E85+E94+E103+E112+E121+E130+E139+E148+E157+E166+E175+E184+E193+E202</f>
        <v>339401.41161499999</v>
      </c>
      <c r="D19" s="3242">
        <f>+D31+D40+D49+D58+D67+D76+D85+D94+D103+D112+D121+D130+D139+D148+D157+D166+D175+D184+D193+D202</f>
        <v>1309376.791126</v>
      </c>
      <c r="E19" s="3242">
        <f>+C31+C40+C49+C58+C67+C76+C85+C94+C103+C112+C121+C130+C139+C148+C157+C166+C175+C184+C193+C202</f>
        <v>1580960.0040099998</v>
      </c>
      <c r="F19" s="3242">
        <f>+B31+B40+B49+B58+B67+B76+B85+B94+B103+B112+B121+B130+B139+B148+B157+B166+B175+B184+B193+B202</f>
        <v>1813710.4067699988</v>
      </c>
    </row>
    <row r="20" spans="1:6">
      <c r="A20" s="3240" t="s">
        <v>782</v>
      </c>
      <c r="B20" s="3242">
        <f>+F32+F41+F50+F59+F68+F77+F86+F95+F104+F113+F122+F131+F140+F149+F158+F167+F176+F185+F194+F203</f>
        <v>335578.52069999999</v>
      </c>
      <c r="C20" s="3242">
        <f>+E32+E41+E50+E59+E68+E77+E86+E95+E104+E113+E122+E131+E140+E149+E158+E167+E176+E185+E194+E203</f>
        <v>536890.88718999992</v>
      </c>
      <c r="D20" s="3242">
        <f>+D32+D41+D50+D59+D68+D77+D86+D95+D104+D113+D122+D131+D140+D149+D158+D167+D176+D185+D194+D203</f>
        <v>2191620.0424899999</v>
      </c>
      <c r="E20" s="3242">
        <f>+C32+C41+C50+C59+C68+C77+C86+C95+C104+C113+C122+C131+C140+C149+C158+C167+C176+C185+C194+C203</f>
        <v>1555350.5479000001</v>
      </c>
      <c r="F20" s="3242">
        <f>+B32+B41+B50+B59+B68+B77+B86+B95+B104+B113+B122+B131+B140+B149+B158+B167+B176+B185+B194+B203</f>
        <v>710822.08705999993</v>
      </c>
    </row>
    <row r="21" spans="1:6">
      <c r="A21" s="3240" t="s">
        <v>783</v>
      </c>
      <c r="B21" s="3242">
        <f>+F33+F42+F51+F60+F69+F78+F87+F96+F105+F114+F123+F132+F141+F150+F159+F168+F177+F186+F195+F204</f>
        <v>334231.46713000006</v>
      </c>
      <c r="C21" s="3242">
        <f>+E33+E42+E51+E60+E69+E78+E87+E96+E105+E114+E123+E132+E141+E150+E159+E168+E177+E186+E195+E204</f>
        <v>368628.40925999999</v>
      </c>
      <c r="D21" s="3242">
        <f>+D33+D42+D51+D60+D69+D78+D87+D96+D105+D114+D123+D132+D141+D150+D159+D168+D177+D186+D195+D204</f>
        <v>131973.80158000003</v>
      </c>
      <c r="E21" s="3242">
        <f>+C33+C42+C51+C60+C69+C78+C87+C96+C105+C114+C123+C132+C141+C150+C159+C168+C177+C186+C195+C204</f>
        <v>39650</v>
      </c>
      <c r="F21" s="3242">
        <f>+B33+B42+B51+B60+B69+B78+B87+B96+B105+B114+B123+B132+B141+B150+B159+B168+B177+B186+B195+B204</f>
        <v>0</v>
      </c>
    </row>
    <row r="22" spans="1:6" ht="15.75" thickBot="1">
      <c r="A22" s="85" t="s">
        <v>118</v>
      </c>
      <c r="B22" s="86">
        <f>SUM(B17:B21)</f>
        <v>19572088.229679983</v>
      </c>
      <c r="C22" s="86">
        <f>SUM(C17:C21)</f>
        <v>19605113.624575</v>
      </c>
      <c r="D22" s="86">
        <f>SUM(D17:D21)</f>
        <v>27686875.512661006</v>
      </c>
      <c r="E22" s="86">
        <f>SUM(E17:E21)</f>
        <v>35161849.340868004</v>
      </c>
      <c r="F22" s="86">
        <f>SUM(F17:F21)</f>
        <v>37468621.780177705</v>
      </c>
    </row>
    <row r="23" spans="1:6" ht="15.75" thickTop="1">
      <c r="A23" s="155" t="s">
        <v>811</v>
      </c>
      <c r="B23" s="154" t="e">
        <f>+#REF!</f>
        <v>#REF!</v>
      </c>
      <c r="C23" s="154" t="e">
        <f>+#REF!</f>
        <v>#REF!</v>
      </c>
      <c r="D23" s="154" t="e">
        <f>+#REF!</f>
        <v>#REF!</v>
      </c>
      <c r="E23" s="154" t="e">
        <f>+#REF!</f>
        <v>#REF!</v>
      </c>
      <c r="F23" s="154" t="e">
        <f>+#REF!</f>
        <v>#REF!</v>
      </c>
    </row>
    <row r="24" spans="1:6">
      <c r="A24" s="155" t="s">
        <v>812</v>
      </c>
      <c r="B24" s="14" t="e">
        <f>+B22-B23</f>
        <v>#REF!</v>
      </c>
      <c r="C24" s="14" t="e">
        <f>+C22-C23</f>
        <v>#REF!</v>
      </c>
      <c r="D24" s="14" t="e">
        <f>+D22-D23</f>
        <v>#REF!</v>
      </c>
      <c r="E24" s="14" t="e">
        <f>+E22-E23</f>
        <v>#REF!</v>
      </c>
      <c r="F24" s="14" t="e">
        <f>+F22-F23</f>
        <v>#REF!</v>
      </c>
    </row>
    <row r="26" spans="1:6">
      <c r="A26">
        <v>1</v>
      </c>
      <c r="B26" s="2938" t="s">
        <v>175</v>
      </c>
    </row>
    <row r="27" spans="1:6">
      <c r="A27" s="3863" t="s">
        <v>775</v>
      </c>
      <c r="B27" s="3865" t="s">
        <v>776</v>
      </c>
      <c r="C27" s="3865"/>
      <c r="D27" s="3865"/>
      <c r="E27" s="3865"/>
      <c r="F27" s="3865"/>
    </row>
    <row r="28" spans="1:6">
      <c r="A28" s="3864"/>
      <c r="B28" s="2917">
        <v>2012</v>
      </c>
      <c r="C28" s="2922">
        <v>2011</v>
      </c>
      <c r="D28" s="2922">
        <v>2010</v>
      </c>
      <c r="E28" s="2922">
        <v>2009</v>
      </c>
      <c r="F28" s="2922">
        <v>2008</v>
      </c>
    </row>
    <row r="29" spans="1:6">
      <c r="A29" s="2887" t="s">
        <v>777</v>
      </c>
      <c r="B29" s="3201">
        <v>2007578.047</v>
      </c>
      <c r="C29" s="3201">
        <v>1557955.1370000001</v>
      </c>
      <c r="D29" s="3201">
        <v>1221052.895</v>
      </c>
      <c r="E29" s="3201">
        <v>994147.27</v>
      </c>
      <c r="F29" s="3201">
        <v>951911.92599999998</v>
      </c>
    </row>
    <row r="30" spans="1:6">
      <c r="A30" s="2887" t="s">
        <v>778</v>
      </c>
      <c r="B30" s="3201">
        <v>15585.936100000001</v>
      </c>
      <c r="C30" s="3201">
        <v>13476.37824</v>
      </c>
      <c r="D30" s="3201">
        <v>17298.397679999998</v>
      </c>
      <c r="E30" s="3201">
        <v>13439.393870000002</v>
      </c>
      <c r="F30" s="3201">
        <v>16694.28829</v>
      </c>
    </row>
    <row r="31" spans="1:6">
      <c r="A31" s="2887" t="s">
        <v>779</v>
      </c>
      <c r="B31" s="3201">
        <v>10920.016900000095</v>
      </c>
      <c r="C31" s="3201">
        <v>7759.4847599999903</v>
      </c>
      <c r="D31" s="3201">
        <v>4256.7073199999331</v>
      </c>
      <c r="E31" s="3201">
        <v>1444.3361299999999</v>
      </c>
      <c r="F31" s="3201">
        <v>1470.7857100000381</v>
      </c>
    </row>
    <row r="32" spans="1:6">
      <c r="A32" s="2887" t="s">
        <v>782</v>
      </c>
      <c r="B32" s="3201"/>
      <c r="C32" s="3201"/>
      <c r="D32" s="3201"/>
      <c r="E32" s="3201"/>
      <c r="F32" s="3201"/>
    </row>
    <row r="33" spans="1:9">
      <c r="A33" s="2887" t="s">
        <v>783</v>
      </c>
      <c r="B33" s="3201"/>
      <c r="C33" s="3201"/>
      <c r="D33" s="3201"/>
      <c r="E33" s="3201"/>
      <c r="F33" s="3201"/>
    </row>
    <row r="34" spans="1:9" ht="15.75" thickBot="1">
      <c r="A34" s="76" t="s">
        <v>118</v>
      </c>
      <c r="B34" s="84">
        <f>SUM(B29:B33)</f>
        <v>2034084.0000000002</v>
      </c>
      <c r="C34" s="84">
        <f>SUM(C29:C33)</f>
        <v>1579191</v>
      </c>
      <c r="D34" s="84">
        <f>SUM(D29:D33)</f>
        <v>1242608</v>
      </c>
      <c r="E34" s="84">
        <f>SUM(E29:E33)</f>
        <v>1009031</v>
      </c>
      <c r="F34" s="84">
        <f>SUM(F29:F33)</f>
        <v>970077.00000000012</v>
      </c>
    </row>
    <row r="35" spans="1:9" ht="15.75" thickTop="1">
      <c r="A35">
        <v>2</v>
      </c>
      <c r="B35" s="2941" t="s">
        <v>178</v>
      </c>
      <c r="I35" s="3"/>
    </row>
    <row r="36" spans="1:9">
      <c r="A36" s="3863" t="s">
        <v>775</v>
      </c>
      <c r="B36" s="3865" t="s">
        <v>776</v>
      </c>
      <c r="C36" s="3865"/>
      <c r="D36" s="3865"/>
      <c r="E36" s="3865"/>
      <c r="F36" s="3865"/>
    </row>
    <row r="37" spans="1:9">
      <c r="A37" s="3864"/>
      <c r="B37" s="2917">
        <v>2012</v>
      </c>
      <c r="C37" s="2922">
        <v>2011</v>
      </c>
      <c r="D37" s="2922">
        <v>2010</v>
      </c>
      <c r="E37" s="2922">
        <v>2009</v>
      </c>
      <c r="F37" s="2922">
        <v>2008</v>
      </c>
    </row>
    <row r="38" spans="1:9">
      <c r="A38" s="2887" t="s">
        <v>777</v>
      </c>
      <c r="B38" s="3201">
        <v>516209.76767999999</v>
      </c>
      <c r="C38" s="3201">
        <v>333591.35365</v>
      </c>
      <c r="D38" s="3201">
        <v>200073</v>
      </c>
      <c r="E38" s="3201">
        <v>96459</v>
      </c>
      <c r="F38" s="3201">
        <v>4013</v>
      </c>
    </row>
    <row r="39" spans="1:9">
      <c r="A39" s="2887" t="s">
        <v>778</v>
      </c>
      <c r="B39" s="3201">
        <v>993.95753000000002</v>
      </c>
      <c r="C39" s="3201">
        <v>4651.0028300000004</v>
      </c>
      <c r="D39" s="3201">
        <v>2032</v>
      </c>
      <c r="E39" s="3201">
        <v>4442</v>
      </c>
      <c r="F39" s="3201">
        <v>0</v>
      </c>
    </row>
    <row r="40" spans="1:9">
      <c r="A40" s="2887" t="s">
        <v>779</v>
      </c>
      <c r="B40" s="3201">
        <v>8518.4987000000001</v>
      </c>
      <c r="C40" s="3201">
        <v>0</v>
      </c>
      <c r="D40" s="3201">
        <v>0</v>
      </c>
      <c r="E40" s="3201">
        <v>0</v>
      </c>
      <c r="F40" s="3201">
        <v>0</v>
      </c>
    </row>
    <row r="41" spans="1:9">
      <c r="A41" s="2887" t="s">
        <v>782</v>
      </c>
      <c r="B41" s="3201">
        <v>6419.5949000000001</v>
      </c>
      <c r="C41" s="3201">
        <v>13056.978999999999</v>
      </c>
      <c r="D41" s="3201">
        <v>2709</v>
      </c>
      <c r="E41" s="3201">
        <v>915</v>
      </c>
      <c r="F41" s="3201">
        <v>0</v>
      </c>
    </row>
    <row r="42" spans="1:9">
      <c r="A42" s="2887" t="s">
        <v>783</v>
      </c>
      <c r="B42" s="3201">
        <v>0</v>
      </c>
      <c r="C42" s="3201">
        <v>0</v>
      </c>
      <c r="D42" s="3201">
        <v>0</v>
      </c>
      <c r="E42" s="3201">
        <v>0</v>
      </c>
      <c r="F42" s="3201">
        <v>0</v>
      </c>
    </row>
    <row r="43" spans="1:9" ht="15.75" thickBot="1">
      <c r="A43" s="76" t="s">
        <v>118</v>
      </c>
      <c r="B43" s="84">
        <f>SUM(B38:B42)</f>
        <v>532141.81881000008</v>
      </c>
      <c r="C43" s="84">
        <f>SUM(C38:C42)</f>
        <v>351299.33548000001</v>
      </c>
      <c r="D43" s="84">
        <f>SUM(D38:D42)</f>
        <v>204814</v>
      </c>
      <c r="E43" s="84">
        <f>SUM(E38:E42)</f>
        <v>101816</v>
      </c>
      <c r="F43" s="84">
        <f>SUM(F38:F42)</f>
        <v>4013</v>
      </c>
    </row>
    <row r="44" spans="1:9" ht="15.75" thickTop="1">
      <c r="A44">
        <v>3</v>
      </c>
      <c r="B44" s="2938" t="s">
        <v>179</v>
      </c>
    </row>
    <row r="45" spans="1:9">
      <c r="A45" s="3863" t="s">
        <v>775</v>
      </c>
      <c r="B45" s="3865" t="s">
        <v>776</v>
      </c>
      <c r="C45" s="3865"/>
      <c r="D45" s="3865"/>
      <c r="E45" s="3865"/>
      <c r="F45" s="3865"/>
    </row>
    <row r="46" spans="1:9">
      <c r="A46" s="3864"/>
      <c r="B46" s="2917">
        <v>2012</v>
      </c>
      <c r="C46" s="2922">
        <v>2011</v>
      </c>
      <c r="D46" s="2922">
        <v>2010</v>
      </c>
      <c r="E46" s="2922">
        <v>2009</v>
      </c>
      <c r="F46" s="2922">
        <v>2008</v>
      </c>
    </row>
    <row r="47" spans="1:9">
      <c r="A47" s="2887" t="s">
        <v>777</v>
      </c>
      <c r="B47" s="3201">
        <v>6026738.84712</v>
      </c>
      <c r="C47" s="3201">
        <v>6551868.2004199997</v>
      </c>
      <c r="D47" s="3201">
        <v>5603660.0224400004</v>
      </c>
      <c r="E47" s="3201">
        <v>3789518.0017300001</v>
      </c>
      <c r="F47" s="3201">
        <v>3744908.39555</v>
      </c>
    </row>
    <row r="48" spans="1:9">
      <c r="A48" s="2887" t="s">
        <v>778</v>
      </c>
      <c r="B48" s="3201">
        <v>57747.310790000003</v>
      </c>
      <c r="C48" s="3201">
        <v>37023.336340000009</v>
      </c>
      <c r="D48" s="3201">
        <v>37215</v>
      </c>
      <c r="E48" s="3201">
        <v>29076</v>
      </c>
      <c r="F48" s="3201">
        <v>29881</v>
      </c>
    </row>
    <row r="49" spans="1:6">
      <c r="A49" s="2887" t="s">
        <v>779</v>
      </c>
      <c r="B49" s="3201">
        <v>243643.55231999999</v>
      </c>
      <c r="C49" s="3201">
        <v>137496.23077999998</v>
      </c>
      <c r="D49" s="3201">
        <v>0</v>
      </c>
      <c r="E49" s="3201">
        <v>0</v>
      </c>
      <c r="F49" s="3201">
        <v>0</v>
      </c>
    </row>
    <row r="50" spans="1:6">
      <c r="A50" s="2887" t="s">
        <v>782</v>
      </c>
      <c r="B50" s="3201">
        <v>167733.21176000001</v>
      </c>
      <c r="C50" s="3201">
        <v>1120059.2324600001</v>
      </c>
      <c r="D50" s="3201">
        <v>2011076.3001699997</v>
      </c>
      <c r="E50" s="3201">
        <v>445267.88718999998</v>
      </c>
      <c r="F50" s="3201">
        <v>233197.52069999999</v>
      </c>
    </row>
    <row r="51" spans="1:6">
      <c r="A51" s="2887" t="s">
        <v>783</v>
      </c>
      <c r="B51" s="3201"/>
      <c r="C51" s="3201"/>
      <c r="D51" s="3201">
        <v>131973.80158000003</v>
      </c>
      <c r="E51" s="3201">
        <v>368628.40925999999</v>
      </c>
      <c r="F51" s="3201">
        <v>334231.46713000006</v>
      </c>
    </row>
    <row r="52" spans="1:6" ht="15.75" thickBot="1">
      <c r="A52" s="76" t="s">
        <v>118</v>
      </c>
      <c r="B52" s="84">
        <f>SUM(B47:B51)</f>
        <v>6495862.9219899997</v>
      </c>
      <c r="C52" s="84">
        <f>SUM(C47:C51)</f>
        <v>7846447</v>
      </c>
      <c r="D52" s="84">
        <f>SUM(D47:D51)</f>
        <v>7783925.1241899999</v>
      </c>
      <c r="E52" s="84">
        <f>SUM(E47:E51)</f>
        <v>4632490.2981799999</v>
      </c>
      <c r="F52" s="84">
        <f>SUM(F47:F51)</f>
        <v>4342218.3833799995</v>
      </c>
    </row>
    <row r="53" spans="1:6" ht="15.75" thickTop="1">
      <c r="A53">
        <v>4</v>
      </c>
      <c r="B53" s="2938" t="s">
        <v>180</v>
      </c>
    </row>
    <row r="54" spans="1:6">
      <c r="A54" s="3863" t="s">
        <v>775</v>
      </c>
      <c r="B54" s="3865" t="s">
        <v>776</v>
      </c>
      <c r="C54" s="3865"/>
      <c r="D54" s="3865"/>
      <c r="E54" s="3865"/>
      <c r="F54" s="3865"/>
    </row>
    <row r="55" spans="1:6">
      <c r="A55" s="3864"/>
      <c r="B55" s="2917">
        <v>2012</v>
      </c>
      <c r="C55" s="2922">
        <v>2011</v>
      </c>
      <c r="D55" s="2922">
        <v>2010</v>
      </c>
      <c r="E55" s="2922">
        <v>2009</v>
      </c>
      <c r="F55" s="2922">
        <v>2008</v>
      </c>
    </row>
    <row r="56" spans="1:6">
      <c r="A56" s="2887" t="s">
        <v>777</v>
      </c>
      <c r="B56" s="3201">
        <v>343191.58519999997</v>
      </c>
      <c r="C56" s="3201">
        <v>283667.76847800001</v>
      </c>
      <c r="D56" s="3201">
        <v>220784.33334499999</v>
      </c>
      <c r="E56" s="3201">
        <v>193283.93291</v>
      </c>
      <c r="F56" s="3201">
        <v>176147.00821679403</v>
      </c>
    </row>
    <row r="57" spans="1:6">
      <c r="A57" s="2887" t="s">
        <v>778</v>
      </c>
      <c r="B57" s="3201">
        <v>0</v>
      </c>
      <c r="C57" s="3201">
        <v>0</v>
      </c>
      <c r="D57" s="3201">
        <v>0</v>
      </c>
      <c r="E57" s="3201">
        <v>0</v>
      </c>
      <c r="F57" s="3201">
        <v>0</v>
      </c>
    </row>
    <row r="58" spans="1:6">
      <c r="A58" s="2887" t="s">
        <v>779</v>
      </c>
      <c r="B58" s="3201">
        <v>10374.06774</v>
      </c>
      <c r="C58" s="3201">
        <v>20118.640910000002</v>
      </c>
      <c r="D58" s="3201">
        <v>19371.447125999999</v>
      </c>
      <c r="E58" s="3201">
        <v>13812.914484999999</v>
      </c>
      <c r="F58" s="3201">
        <v>12529.2184632064</v>
      </c>
    </row>
    <row r="59" spans="1:6">
      <c r="A59" s="2887" t="s">
        <v>782</v>
      </c>
      <c r="B59" s="3201">
        <v>6353.2307499999997</v>
      </c>
      <c r="C59" s="3201">
        <v>0</v>
      </c>
      <c r="D59" s="3201">
        <v>0</v>
      </c>
      <c r="E59" s="3201">
        <v>0</v>
      </c>
      <c r="F59" s="3201">
        <v>0</v>
      </c>
    </row>
    <row r="60" spans="1:6">
      <c r="A60" s="2887" t="s">
        <v>783</v>
      </c>
      <c r="B60" s="3201">
        <v>0</v>
      </c>
      <c r="C60" s="3201">
        <v>0</v>
      </c>
      <c r="D60" s="3201">
        <v>0</v>
      </c>
      <c r="E60" s="3201">
        <v>0</v>
      </c>
      <c r="F60" s="3201">
        <v>0</v>
      </c>
    </row>
    <row r="61" spans="1:6" ht="15.75" thickBot="1">
      <c r="A61" s="76" t="s">
        <v>118</v>
      </c>
      <c r="B61" s="84">
        <f>SUM(B56:B60)</f>
        <v>359918.88368999999</v>
      </c>
      <c r="C61" s="84">
        <f>SUM(C56:C60)</f>
        <v>303786.40938800003</v>
      </c>
      <c r="D61" s="84">
        <f>SUM(D56:D60)</f>
        <v>240155.78047100001</v>
      </c>
      <c r="E61" s="84">
        <f>SUM(E56:E60)</f>
        <v>207096.84739499999</v>
      </c>
      <c r="F61" s="84">
        <f>SUM(F56:F60)</f>
        <v>188676.22668000043</v>
      </c>
    </row>
    <row r="62" spans="1:6" ht="15.75" thickTop="1">
      <c r="A62">
        <v>5</v>
      </c>
      <c r="B62" s="2941" t="s">
        <v>188</v>
      </c>
    </row>
    <row r="63" spans="1:6">
      <c r="A63" s="3863" t="s">
        <v>775</v>
      </c>
      <c r="B63" s="3865" t="s">
        <v>776</v>
      </c>
      <c r="C63" s="3865"/>
      <c r="D63" s="3865"/>
      <c r="E63" s="3865"/>
      <c r="F63" s="3865"/>
    </row>
    <row r="64" spans="1:6">
      <c r="A64" s="3864"/>
      <c r="B64" s="2917">
        <v>2012</v>
      </c>
      <c r="C64" s="2922">
        <v>2011</v>
      </c>
      <c r="D64" s="2922">
        <v>2010</v>
      </c>
      <c r="E64" s="2922">
        <v>2009</v>
      </c>
      <c r="F64" s="2922">
        <v>2008</v>
      </c>
    </row>
    <row r="65" spans="1:7">
      <c r="A65" s="2887" t="s">
        <v>777</v>
      </c>
      <c r="B65" s="3201">
        <v>272938.592</v>
      </c>
      <c r="C65" s="3201">
        <v>271783.02399999998</v>
      </c>
      <c r="D65" s="3201">
        <v>233609.769</v>
      </c>
      <c r="E65" s="3243"/>
      <c r="F65" s="3243"/>
      <c r="G65" t="s">
        <v>813</v>
      </c>
    </row>
    <row r="66" spans="1:7">
      <c r="A66" s="2887" t="s">
        <v>778</v>
      </c>
      <c r="B66" s="3201">
        <v>21566.913</v>
      </c>
      <c r="C66" s="3201">
        <v>16724.089</v>
      </c>
      <c r="D66" s="3201">
        <v>13308.079</v>
      </c>
      <c r="E66" s="3243"/>
      <c r="F66" s="3243"/>
    </row>
    <row r="67" spans="1:7">
      <c r="A67" s="2887" t="s">
        <v>779</v>
      </c>
      <c r="B67" s="3201">
        <v>7216.0219999999999</v>
      </c>
      <c r="C67" s="3201">
        <v>7348.6289999999999</v>
      </c>
      <c r="D67" s="3201">
        <v>5744.2780000000002</v>
      </c>
      <c r="E67" s="3243"/>
      <c r="F67" s="3243"/>
    </row>
    <row r="68" spans="1:7">
      <c r="A68" s="2887" t="s">
        <v>782</v>
      </c>
      <c r="B68" s="3201"/>
      <c r="C68" s="3201"/>
      <c r="D68" s="3201"/>
      <c r="E68" s="3243"/>
      <c r="F68" s="3243"/>
    </row>
    <row r="69" spans="1:7">
      <c r="A69" s="2887" t="s">
        <v>783</v>
      </c>
      <c r="B69" s="3201"/>
      <c r="C69" s="3201"/>
      <c r="D69" s="3201"/>
      <c r="E69" s="3243"/>
      <c r="F69" s="3243"/>
    </row>
    <row r="70" spans="1:7" ht="15.75" thickBot="1">
      <c r="A70" s="76" t="s">
        <v>118</v>
      </c>
      <c r="B70" s="84">
        <f>SUM(B65:B69)</f>
        <v>301721.527</v>
      </c>
      <c r="C70" s="84">
        <f>SUM(C65:C69)</f>
        <v>295855.74199999997</v>
      </c>
      <c r="D70" s="84">
        <f>SUM(D65:D69)</f>
        <v>252662.12599999999</v>
      </c>
      <c r="E70" s="84">
        <f>SUM(E65:E69)</f>
        <v>0</v>
      </c>
      <c r="F70" s="84">
        <f>SUM(F65:F69)</f>
        <v>0</v>
      </c>
    </row>
    <row r="71" spans="1:7" ht="15.75" thickTop="1">
      <c r="A71">
        <v>6</v>
      </c>
      <c r="B71" s="2939" t="s">
        <v>182</v>
      </c>
    </row>
    <row r="72" spans="1:7">
      <c r="A72" s="3863" t="s">
        <v>775</v>
      </c>
      <c r="B72" s="3865" t="s">
        <v>776</v>
      </c>
      <c r="C72" s="3865"/>
      <c r="D72" s="3865"/>
      <c r="E72" s="3865"/>
      <c r="F72" s="3865"/>
    </row>
    <row r="73" spans="1:7">
      <c r="A73" s="3864"/>
      <c r="B73" s="2917">
        <v>2012</v>
      </c>
      <c r="C73" s="2922">
        <v>2011</v>
      </c>
      <c r="D73" s="2922">
        <v>2010</v>
      </c>
      <c r="E73" s="2922">
        <v>2009</v>
      </c>
      <c r="F73" s="2922">
        <v>2008</v>
      </c>
    </row>
    <row r="74" spans="1:7">
      <c r="A74" s="2887" t="s">
        <v>777</v>
      </c>
      <c r="B74" s="3201"/>
      <c r="C74" s="3201"/>
      <c r="D74" s="3201"/>
      <c r="E74" s="3201"/>
      <c r="F74" s="3201"/>
    </row>
    <row r="75" spans="1:7">
      <c r="A75" s="2887" t="s">
        <v>778</v>
      </c>
      <c r="B75" s="3201"/>
      <c r="C75" s="3201"/>
      <c r="D75" s="3201"/>
      <c r="E75" s="3201"/>
      <c r="F75" s="3201"/>
    </row>
    <row r="76" spans="1:7">
      <c r="A76" s="2887" t="s">
        <v>779</v>
      </c>
      <c r="B76" s="3201"/>
      <c r="C76" s="3201"/>
      <c r="D76" s="3201"/>
      <c r="E76" s="3201"/>
      <c r="F76" s="3201"/>
    </row>
    <row r="77" spans="1:7">
      <c r="A77" s="2887" t="s">
        <v>782</v>
      </c>
      <c r="B77" s="3201"/>
      <c r="C77" s="3201"/>
      <c r="D77" s="3201"/>
      <c r="E77" s="3201"/>
      <c r="F77" s="3201"/>
    </row>
    <row r="78" spans="1:7">
      <c r="A78" s="2887" t="s">
        <v>783</v>
      </c>
      <c r="B78" s="3201"/>
      <c r="C78" s="3201"/>
      <c r="D78" s="3201"/>
      <c r="E78" s="3201"/>
      <c r="F78" s="3201"/>
    </row>
    <row r="79" spans="1:7" ht="15.75" thickBot="1">
      <c r="A79" s="76" t="s">
        <v>118</v>
      </c>
      <c r="B79" s="84">
        <f>SUM(B74:B78)</f>
        <v>0</v>
      </c>
      <c r="C79" s="84">
        <f>SUM(C74:C78)</f>
        <v>0</v>
      </c>
      <c r="D79" s="84">
        <f>SUM(D74:D78)</f>
        <v>0</v>
      </c>
      <c r="E79" s="84">
        <f>SUM(E74:E78)</f>
        <v>0</v>
      </c>
      <c r="F79" s="84">
        <f>SUM(F74:F78)</f>
        <v>0</v>
      </c>
    </row>
    <row r="80" spans="1:7" ht="15.75" thickTop="1">
      <c r="A80">
        <v>7</v>
      </c>
      <c r="B80" s="2938" t="s">
        <v>183</v>
      </c>
    </row>
    <row r="81" spans="1:6">
      <c r="A81" s="3863" t="s">
        <v>775</v>
      </c>
      <c r="B81" s="3865" t="s">
        <v>776</v>
      </c>
      <c r="C81" s="3865"/>
      <c r="D81" s="3865"/>
      <c r="E81" s="3865"/>
      <c r="F81" s="3865"/>
    </row>
    <row r="82" spans="1:6">
      <c r="A82" s="3864"/>
      <c r="B82" s="2917">
        <v>2012</v>
      </c>
      <c r="C82" s="2922">
        <v>2011</v>
      </c>
      <c r="D82" s="2922">
        <v>2010</v>
      </c>
      <c r="E82" s="2922">
        <v>2009</v>
      </c>
      <c r="F82" s="2922">
        <v>2008</v>
      </c>
    </row>
    <row r="83" spans="1:6">
      <c r="A83" s="2887" t="s">
        <v>777</v>
      </c>
      <c r="B83" s="3201">
        <v>10829470.126840003</v>
      </c>
      <c r="C83" s="3201">
        <v>9815943</v>
      </c>
      <c r="D83" s="3201">
        <v>8786121</v>
      </c>
      <c r="E83" s="3201">
        <v>7522328</v>
      </c>
      <c r="F83" s="3201">
        <v>8257279</v>
      </c>
    </row>
    <row r="84" spans="1:6">
      <c r="A84" s="2887" t="s">
        <v>778</v>
      </c>
      <c r="B84" s="3201"/>
      <c r="C84" s="3201"/>
      <c r="D84" s="3201"/>
      <c r="E84" s="3201"/>
      <c r="F84" s="3201"/>
    </row>
    <row r="85" spans="1:6">
      <c r="A85" s="2887" t="s">
        <v>779</v>
      </c>
      <c r="B85" s="3201"/>
      <c r="C85" s="3201"/>
      <c r="D85" s="3201"/>
      <c r="E85" s="3201"/>
      <c r="F85" s="3201"/>
    </row>
    <row r="86" spans="1:6">
      <c r="A86" s="2887" t="s">
        <v>782</v>
      </c>
      <c r="B86" s="3201"/>
      <c r="C86" s="3201"/>
      <c r="D86" s="3201"/>
      <c r="E86" s="3201"/>
      <c r="F86" s="3201"/>
    </row>
    <row r="87" spans="1:6">
      <c r="A87" s="2887" t="s">
        <v>783</v>
      </c>
      <c r="B87" s="3201"/>
      <c r="C87" s="3201"/>
      <c r="D87" s="3201"/>
      <c r="E87" s="3201"/>
      <c r="F87" s="3201"/>
    </row>
    <row r="88" spans="1:6" ht="15.75" thickBot="1">
      <c r="A88" s="76" t="s">
        <v>118</v>
      </c>
      <c r="B88" s="84">
        <f>SUM(B83:B87)</f>
        <v>10829470.126840003</v>
      </c>
      <c r="C88" s="84">
        <f>SUM(C83:C87)</f>
        <v>9815943</v>
      </c>
      <c r="D88" s="84">
        <f>SUM(D83:D87)</f>
        <v>8786121</v>
      </c>
      <c r="E88" s="84">
        <f>SUM(E83:E87)</f>
        <v>7522328</v>
      </c>
      <c r="F88" s="84">
        <f>SUM(F83:F87)</f>
        <v>8257279</v>
      </c>
    </row>
    <row r="89" spans="1:6" ht="15.75" thickTop="1">
      <c r="A89">
        <v>8</v>
      </c>
      <c r="B89" s="2938" t="s">
        <v>184</v>
      </c>
    </row>
    <row r="90" spans="1:6">
      <c r="A90" s="3863" t="s">
        <v>775</v>
      </c>
      <c r="B90" s="3865" t="s">
        <v>776</v>
      </c>
      <c r="C90" s="3865"/>
      <c r="D90" s="3865"/>
      <c r="E90" s="3865"/>
      <c r="F90" s="3865"/>
    </row>
    <row r="91" spans="1:6">
      <c r="A91" s="3864"/>
      <c r="B91" s="2917">
        <v>2012</v>
      </c>
      <c r="C91" s="2922">
        <v>2011</v>
      </c>
      <c r="D91" s="2922">
        <v>2010</v>
      </c>
      <c r="E91" s="2922">
        <v>2009</v>
      </c>
      <c r="F91" s="2922">
        <v>2008</v>
      </c>
    </row>
    <row r="92" spans="1:6">
      <c r="A92" s="2887" t="s">
        <v>777</v>
      </c>
      <c r="B92" s="3201">
        <v>310756.54200000002</v>
      </c>
      <c r="C92" s="3201">
        <v>266811.15700000001</v>
      </c>
      <c r="D92" s="3201">
        <v>231120.03400000001</v>
      </c>
      <c r="E92" s="3201">
        <v>147258.51800000001</v>
      </c>
      <c r="F92" s="3201">
        <v>126880.613</v>
      </c>
    </row>
    <row r="93" spans="1:6">
      <c r="A93" s="2887" t="s">
        <v>778</v>
      </c>
      <c r="B93" s="3201">
        <v>0</v>
      </c>
      <c r="C93" s="3201">
        <v>0</v>
      </c>
      <c r="D93" s="3201">
        <v>0</v>
      </c>
      <c r="E93" s="3201">
        <v>0</v>
      </c>
      <c r="F93" s="3201">
        <v>0</v>
      </c>
    </row>
    <row r="94" spans="1:6">
      <c r="A94" s="2887" t="s">
        <v>779</v>
      </c>
      <c r="B94" s="3201">
        <v>1299.345</v>
      </c>
      <c r="C94" s="3201">
        <v>2767.395</v>
      </c>
      <c r="D94" s="3201">
        <v>2419.5479999999998</v>
      </c>
      <c r="E94" s="3201">
        <v>2141.991</v>
      </c>
      <c r="F94" s="3201">
        <v>4123.1019999999999</v>
      </c>
    </row>
    <row r="95" spans="1:6">
      <c r="A95" s="2887" t="s">
        <v>782</v>
      </c>
      <c r="B95" s="3201"/>
      <c r="C95" s="3201"/>
      <c r="D95" s="3201"/>
      <c r="E95" s="3201"/>
      <c r="F95" s="3201"/>
    </row>
    <row r="96" spans="1:6">
      <c r="A96" s="2887" t="s">
        <v>783</v>
      </c>
      <c r="B96" s="3201"/>
      <c r="C96" s="3201"/>
      <c r="D96" s="3201"/>
      <c r="E96" s="3201"/>
      <c r="F96" s="3201"/>
    </row>
    <row r="97" spans="1:6" ht="15.75" thickBot="1">
      <c r="A97" s="76" t="s">
        <v>118</v>
      </c>
      <c r="B97" s="84">
        <f>SUM(B92:B96)</f>
        <v>312055.88699999999</v>
      </c>
      <c r="C97" s="84">
        <f>SUM(C92:C96)</f>
        <v>269578.55200000003</v>
      </c>
      <c r="D97" s="84">
        <f>SUM(D92:D96)</f>
        <v>233539.58200000002</v>
      </c>
      <c r="E97" s="84">
        <f>SUM(E92:E96)</f>
        <v>149400.50900000002</v>
      </c>
      <c r="F97" s="84">
        <f>SUM(F92:F96)</f>
        <v>131003.715</v>
      </c>
    </row>
    <row r="98" spans="1:6" ht="15.75" thickTop="1">
      <c r="A98">
        <v>9</v>
      </c>
      <c r="B98" s="2939" t="s">
        <v>185</v>
      </c>
    </row>
    <row r="99" spans="1:6">
      <c r="A99" s="3863" t="s">
        <v>775</v>
      </c>
      <c r="B99" s="3857" t="s">
        <v>776</v>
      </c>
      <c r="C99" s="3858"/>
      <c r="D99" s="3858"/>
      <c r="E99" s="3858"/>
      <c r="F99" s="3859"/>
    </row>
    <row r="100" spans="1:6">
      <c r="A100" s="3864"/>
      <c r="B100" s="2917">
        <v>2012</v>
      </c>
      <c r="C100" s="2922">
        <v>2011</v>
      </c>
      <c r="D100" s="2922">
        <v>2010</v>
      </c>
      <c r="E100" s="2922">
        <v>2009</v>
      </c>
      <c r="F100" s="2922">
        <v>2008</v>
      </c>
    </row>
    <row r="101" spans="1:6">
      <c r="A101" s="2887" t="s">
        <v>777</v>
      </c>
      <c r="B101" s="3201"/>
      <c r="C101" s="3201"/>
      <c r="D101" s="3201"/>
      <c r="E101" s="3201"/>
      <c r="F101" s="3201"/>
    </row>
    <row r="102" spans="1:6">
      <c r="A102" s="2887" t="s">
        <v>778</v>
      </c>
      <c r="B102" s="3201"/>
      <c r="C102" s="3201"/>
      <c r="D102" s="3201"/>
      <c r="E102" s="3201"/>
      <c r="F102" s="3201"/>
    </row>
    <row r="103" spans="1:6">
      <c r="A103" s="2887" t="s">
        <v>779</v>
      </c>
      <c r="B103" s="3201"/>
      <c r="C103" s="3201"/>
      <c r="D103" s="3201"/>
      <c r="E103" s="3201"/>
      <c r="F103" s="3201"/>
    </row>
    <row r="104" spans="1:6">
      <c r="A104" s="2887" t="s">
        <v>782</v>
      </c>
      <c r="B104" s="3201"/>
      <c r="C104" s="3201"/>
      <c r="D104" s="3201"/>
      <c r="E104" s="3201"/>
      <c r="F104" s="3201"/>
    </row>
    <row r="105" spans="1:6">
      <c r="A105" s="2887" t="s">
        <v>783</v>
      </c>
      <c r="B105" s="3201"/>
      <c r="C105" s="3201"/>
      <c r="D105" s="3201"/>
      <c r="E105" s="3201"/>
      <c r="F105" s="3201"/>
    </row>
    <row r="106" spans="1:6" ht="15.75" thickBot="1">
      <c r="A106" s="76" t="s">
        <v>118</v>
      </c>
      <c r="B106" s="84">
        <f>SUM(B101:B105)</f>
        <v>0</v>
      </c>
      <c r="C106" s="84">
        <f>SUM(C101:C105)</f>
        <v>0</v>
      </c>
      <c r="D106" s="84">
        <f>SUM(D101:D105)</f>
        <v>0</v>
      </c>
      <c r="E106" s="84">
        <f>SUM(E101:E105)</f>
        <v>0</v>
      </c>
      <c r="F106" s="84">
        <f>SUM(F101:F105)</f>
        <v>0</v>
      </c>
    </row>
    <row r="107" spans="1:6" ht="15.75" thickTop="1">
      <c r="A107">
        <v>10</v>
      </c>
      <c r="B107" s="2938" t="s">
        <v>186</v>
      </c>
    </row>
    <row r="108" spans="1:6">
      <c r="A108" s="3863" t="s">
        <v>775</v>
      </c>
      <c r="B108" s="3865" t="s">
        <v>776</v>
      </c>
      <c r="C108" s="3865"/>
      <c r="D108" s="3865"/>
      <c r="E108" s="3865"/>
      <c r="F108" s="3865"/>
    </row>
    <row r="109" spans="1:6">
      <c r="A109" s="3864"/>
      <c r="B109" s="2917">
        <v>2012</v>
      </c>
      <c r="C109" s="2922">
        <v>2011</v>
      </c>
      <c r="D109" s="2922">
        <v>2010</v>
      </c>
      <c r="E109" s="2922">
        <v>2009</v>
      </c>
      <c r="F109" s="2922">
        <v>2008</v>
      </c>
    </row>
    <row r="110" spans="1:6">
      <c r="A110" s="2887" t="s">
        <v>777</v>
      </c>
      <c r="B110" s="3201">
        <v>1175283.5970599998</v>
      </c>
      <c r="C110" s="3201">
        <v>972718</v>
      </c>
      <c r="D110" s="3201">
        <v>805127</v>
      </c>
      <c r="E110" s="3201">
        <v>809947</v>
      </c>
      <c r="F110" s="3201">
        <v>778162</v>
      </c>
    </row>
    <row r="111" spans="1:6">
      <c r="A111" s="2887" t="s">
        <v>778</v>
      </c>
      <c r="B111" s="3201">
        <v>6340.1442900000002</v>
      </c>
      <c r="C111" s="3201">
        <v>10868</v>
      </c>
      <c r="D111" s="3201">
        <v>5678</v>
      </c>
      <c r="E111" s="3201">
        <v>2179</v>
      </c>
      <c r="F111" s="3201">
        <v>1325</v>
      </c>
    </row>
    <row r="112" spans="1:6">
      <c r="A112" s="2887" t="s">
        <v>779</v>
      </c>
      <c r="B112" s="3201">
        <v>46818.929989999997</v>
      </c>
      <c r="C112" s="3201">
        <v>39734</v>
      </c>
      <c r="D112" s="3201">
        <v>115903</v>
      </c>
      <c r="E112" s="3201">
        <v>83872</v>
      </c>
      <c r="F112" s="3201">
        <v>34936</v>
      </c>
    </row>
    <row r="113" spans="1:6">
      <c r="A113" s="2887" t="s">
        <v>782</v>
      </c>
      <c r="B113" s="3201">
        <v>271585.04964999994</v>
      </c>
      <c r="C113" s="3201">
        <v>267047</v>
      </c>
      <c r="D113" s="3201">
        <v>157772</v>
      </c>
      <c r="E113" s="3201">
        <v>88868</v>
      </c>
      <c r="F113" s="3201">
        <v>99747</v>
      </c>
    </row>
    <row r="114" spans="1:6">
      <c r="A114" s="2887" t="s">
        <v>783</v>
      </c>
      <c r="B114" s="3201">
        <v>0</v>
      </c>
      <c r="C114" s="3201">
        <v>0</v>
      </c>
      <c r="D114" s="3201">
        <v>0</v>
      </c>
      <c r="E114" s="3201">
        <v>0</v>
      </c>
      <c r="F114" s="3201">
        <v>0</v>
      </c>
    </row>
    <row r="115" spans="1:6" ht="15.75" thickBot="1">
      <c r="A115" s="76" t="s">
        <v>118</v>
      </c>
      <c r="B115" s="84">
        <f>SUM(B110:B114)</f>
        <v>1500027.7209899998</v>
      </c>
      <c r="C115" s="84">
        <f>SUM(C110:C114)</f>
        <v>1290367</v>
      </c>
      <c r="D115" s="84">
        <f>SUM(D110:D114)</f>
        <v>1084480</v>
      </c>
      <c r="E115" s="84">
        <f>SUM(E110:E114)</f>
        <v>984866</v>
      </c>
      <c r="F115" s="84">
        <f>SUM(F110:F114)</f>
        <v>914170</v>
      </c>
    </row>
    <row r="116" spans="1:6" ht="15.75" thickTop="1">
      <c r="A116">
        <v>11</v>
      </c>
      <c r="B116" s="2938" t="s">
        <v>187</v>
      </c>
    </row>
    <row r="117" spans="1:6">
      <c r="A117" s="3863" t="s">
        <v>775</v>
      </c>
      <c r="B117" s="3865" t="s">
        <v>776</v>
      </c>
      <c r="C117" s="3865"/>
      <c r="D117" s="3865"/>
      <c r="E117" s="3865"/>
      <c r="F117" s="3865"/>
    </row>
    <row r="118" spans="1:6">
      <c r="A118" s="3864"/>
      <c r="B118" s="2917">
        <v>2012</v>
      </c>
      <c r="C118" s="2922">
        <v>2011</v>
      </c>
      <c r="D118" s="2922">
        <v>2010</v>
      </c>
      <c r="E118" s="2922">
        <v>2009</v>
      </c>
      <c r="F118" s="2922">
        <v>2008</v>
      </c>
    </row>
    <row r="119" spans="1:6">
      <c r="A119" s="2887" t="s">
        <v>777</v>
      </c>
      <c r="B119" s="3201">
        <v>1116287.0141700013</v>
      </c>
      <c r="C119" s="3201">
        <v>1031496.213</v>
      </c>
      <c r="D119" s="3201">
        <v>950607.79299999995</v>
      </c>
      <c r="E119" s="3244"/>
      <c r="F119" s="3244"/>
    </row>
    <row r="120" spans="1:6">
      <c r="A120" s="2887" t="s">
        <v>778</v>
      </c>
      <c r="B120" s="3201">
        <v>55085.027019999994</v>
      </c>
      <c r="C120" s="3201">
        <v>109318.129</v>
      </c>
      <c r="D120" s="3201">
        <v>108563.85400000001</v>
      </c>
      <c r="E120" s="3244"/>
      <c r="F120" s="3244"/>
    </row>
    <row r="121" spans="1:6">
      <c r="A121" s="2887" t="s">
        <v>779</v>
      </c>
      <c r="B121" s="3201">
        <v>853703.06741999893</v>
      </c>
      <c r="C121" s="3201">
        <v>695136.78455999994</v>
      </c>
      <c r="D121" s="3201">
        <v>615659.28067999997</v>
      </c>
      <c r="E121" s="3244"/>
      <c r="F121" s="3244"/>
    </row>
    <row r="122" spans="1:6">
      <c r="A122" s="2887" t="s">
        <v>782</v>
      </c>
      <c r="B122" s="3201"/>
      <c r="C122" s="3201">
        <v>36035.336439999999</v>
      </c>
      <c r="D122" s="3201">
        <v>10577.742320000001</v>
      </c>
      <c r="E122" s="3244"/>
      <c r="F122" s="3244"/>
    </row>
    <row r="123" spans="1:6">
      <c r="A123" s="2887" t="s">
        <v>783</v>
      </c>
      <c r="B123" s="3201"/>
      <c r="C123" s="3201"/>
      <c r="D123" s="3201"/>
      <c r="E123" s="3244"/>
      <c r="F123" s="3244"/>
    </row>
    <row r="124" spans="1:6" ht="15.75" thickBot="1">
      <c r="A124" s="76" t="s">
        <v>118</v>
      </c>
      <c r="B124" s="84">
        <f>SUM(B119:B123)</f>
        <v>2025075.10861</v>
      </c>
      <c r="C124" s="84">
        <f>SUM(C119:C123)</f>
        <v>1871986.4629999998</v>
      </c>
      <c r="D124" s="84">
        <f>SUM(D119:D123)</f>
        <v>1685408.6699999997</v>
      </c>
      <c r="E124" s="84">
        <f>SUM(E119:E123)</f>
        <v>0</v>
      </c>
      <c r="F124" s="84">
        <f>SUM(F119:F123)</f>
        <v>0</v>
      </c>
    </row>
    <row r="125" spans="1:6" ht="15.75" thickTop="1">
      <c r="A125">
        <v>12</v>
      </c>
      <c r="B125" s="2938" t="s">
        <v>681</v>
      </c>
    </row>
    <row r="126" spans="1:6">
      <c r="A126" s="3863" t="s">
        <v>775</v>
      </c>
      <c r="B126" s="3865" t="s">
        <v>776</v>
      </c>
      <c r="C126" s="3865"/>
      <c r="D126" s="3865"/>
      <c r="E126" s="3865"/>
      <c r="F126" s="3865"/>
    </row>
    <row r="127" spans="1:6">
      <c r="A127" s="3864"/>
      <c r="B127" s="2917">
        <v>2012</v>
      </c>
      <c r="C127" s="2922">
        <v>2011</v>
      </c>
      <c r="D127" s="2922">
        <v>2010</v>
      </c>
      <c r="E127" s="2922">
        <v>2009</v>
      </c>
      <c r="F127" s="2922">
        <v>2008</v>
      </c>
    </row>
    <row r="128" spans="1:6">
      <c r="A128" s="2887" t="s">
        <v>777</v>
      </c>
      <c r="B128" s="3201"/>
      <c r="C128" s="3201"/>
      <c r="D128" s="3201"/>
      <c r="E128" s="3201"/>
      <c r="F128" s="3201"/>
    </row>
    <row r="129" spans="1:6">
      <c r="A129" s="2887" t="s">
        <v>778</v>
      </c>
      <c r="B129" s="3201"/>
      <c r="C129" s="3201"/>
      <c r="D129" s="3201"/>
      <c r="E129" s="3201"/>
      <c r="F129" s="3201"/>
    </row>
    <row r="130" spans="1:6">
      <c r="A130" s="2887" t="s">
        <v>779</v>
      </c>
      <c r="B130" s="3201"/>
      <c r="C130" s="3201"/>
      <c r="D130" s="3201"/>
      <c r="E130" s="3201"/>
      <c r="F130" s="3201"/>
    </row>
    <row r="131" spans="1:6">
      <c r="A131" s="2887" t="s">
        <v>782</v>
      </c>
      <c r="B131" s="3201"/>
      <c r="C131" s="3201"/>
      <c r="D131" s="3201"/>
      <c r="E131" s="3201"/>
      <c r="F131" s="3201"/>
    </row>
    <row r="132" spans="1:6">
      <c r="A132" s="2887" t="s">
        <v>783</v>
      </c>
      <c r="B132" s="3201"/>
      <c r="C132" s="3201"/>
      <c r="D132" s="3201"/>
      <c r="E132" s="3201"/>
      <c r="F132" s="3201"/>
    </row>
    <row r="133" spans="1:6" ht="15.75" thickBot="1">
      <c r="A133" s="76" t="s">
        <v>118</v>
      </c>
      <c r="B133" s="84">
        <f>SUM(B128:B132)</f>
        <v>0</v>
      </c>
      <c r="C133" s="84">
        <f>SUM(C128:C132)</f>
        <v>0</v>
      </c>
      <c r="D133" s="84">
        <f>SUM(D128:D132)</f>
        <v>0</v>
      </c>
      <c r="E133" s="84">
        <f>SUM(E128:E132)</f>
        <v>0</v>
      </c>
      <c r="F133" s="84">
        <f>SUM(F128:F132)</f>
        <v>0</v>
      </c>
    </row>
    <row r="134" spans="1:6" ht="15.75" thickTop="1">
      <c r="A134">
        <v>13</v>
      </c>
      <c r="B134" s="2938" t="s">
        <v>189</v>
      </c>
    </row>
    <row r="135" spans="1:6">
      <c r="A135" s="3863" t="s">
        <v>775</v>
      </c>
      <c r="B135" s="3865" t="s">
        <v>776</v>
      </c>
      <c r="C135" s="3865"/>
      <c r="D135" s="3865"/>
      <c r="E135" s="3865"/>
      <c r="F135" s="3865"/>
    </row>
    <row r="136" spans="1:6">
      <c r="A136" s="3864"/>
      <c r="B136" s="2917">
        <v>2012</v>
      </c>
      <c r="C136" s="2922">
        <v>2011</v>
      </c>
      <c r="D136" s="2922">
        <v>2010</v>
      </c>
      <c r="E136" s="2922">
        <v>2009</v>
      </c>
      <c r="F136" s="2922">
        <v>2008</v>
      </c>
    </row>
    <row r="137" spans="1:6">
      <c r="A137" s="2887" t="s">
        <v>777</v>
      </c>
      <c r="B137" s="3201"/>
      <c r="C137" s="3201"/>
      <c r="D137" s="3201"/>
      <c r="E137" s="3201"/>
      <c r="F137" s="3201"/>
    </row>
    <row r="138" spans="1:6">
      <c r="A138" s="2887" t="s">
        <v>778</v>
      </c>
      <c r="B138" s="3201"/>
      <c r="C138" s="3201"/>
      <c r="D138" s="3201"/>
      <c r="E138" s="3201"/>
      <c r="F138" s="3201"/>
    </row>
    <row r="139" spans="1:6">
      <c r="A139" s="2887" t="s">
        <v>779</v>
      </c>
      <c r="B139" s="3201">
        <v>106237.90670000001</v>
      </c>
      <c r="C139" s="3201">
        <v>51426.839</v>
      </c>
      <c r="D139" s="3201"/>
      <c r="E139" s="3201"/>
      <c r="F139" s="3201"/>
    </row>
    <row r="140" spans="1:6">
      <c r="A140" s="2887" t="s">
        <v>782</v>
      </c>
      <c r="B140" s="3201"/>
      <c r="C140" s="3201"/>
      <c r="D140" s="3201"/>
      <c r="E140" s="3201"/>
      <c r="F140" s="3201"/>
    </row>
    <row r="141" spans="1:6">
      <c r="A141" s="2887" t="s">
        <v>783</v>
      </c>
      <c r="B141" s="3201"/>
      <c r="C141" s="3201"/>
      <c r="D141" s="3201"/>
      <c r="E141" s="3201"/>
      <c r="F141" s="3201"/>
    </row>
    <row r="142" spans="1:6" ht="15.75" thickBot="1">
      <c r="A142" s="76" t="s">
        <v>118</v>
      </c>
      <c r="B142" s="84">
        <f>SUM(B137:B141)</f>
        <v>106237.90670000001</v>
      </c>
      <c r="C142" s="84">
        <f>SUM(C137:C141)</f>
        <v>51426.839</v>
      </c>
      <c r="D142" s="84">
        <f>SUM(D137:D141)</f>
        <v>0</v>
      </c>
      <c r="E142" s="84">
        <f>SUM(E137:E141)</f>
        <v>0</v>
      </c>
      <c r="F142" s="84">
        <f>SUM(F137:F141)</f>
        <v>0</v>
      </c>
    </row>
    <row r="143" spans="1:6" ht="15.75" thickTop="1">
      <c r="A143">
        <v>14</v>
      </c>
      <c r="B143" s="2938" t="s">
        <v>190</v>
      </c>
    </row>
    <row r="144" spans="1:6">
      <c r="A144" s="3863" t="s">
        <v>775</v>
      </c>
      <c r="B144" s="3865" t="s">
        <v>776</v>
      </c>
      <c r="C144" s="3865"/>
      <c r="D144" s="3865"/>
      <c r="E144" s="3865"/>
      <c r="F144" s="3865"/>
    </row>
    <row r="145" spans="1:6">
      <c r="A145" s="3864"/>
      <c r="B145" s="2917">
        <v>2012</v>
      </c>
      <c r="C145" s="2922">
        <v>2011</v>
      </c>
      <c r="D145" s="2922">
        <v>2010</v>
      </c>
      <c r="E145" s="2922">
        <v>2009</v>
      </c>
      <c r="F145" s="2922">
        <v>2008</v>
      </c>
    </row>
    <row r="146" spans="1:6">
      <c r="A146" s="2887" t="s">
        <v>777</v>
      </c>
      <c r="B146" s="3086">
        <v>190495</v>
      </c>
      <c r="C146" s="3086">
        <v>141767</v>
      </c>
      <c r="D146" s="3086">
        <v>33258.19</v>
      </c>
      <c r="E146" s="3086">
        <v>27111</v>
      </c>
      <c r="F146" s="3086">
        <v>91630.281547766528</v>
      </c>
    </row>
    <row r="147" spans="1:6">
      <c r="A147" s="2887" t="s">
        <v>778</v>
      </c>
      <c r="B147" s="3086">
        <v>2142</v>
      </c>
      <c r="C147" s="3086">
        <v>1256</v>
      </c>
      <c r="D147" s="3086">
        <v>14253.51</v>
      </c>
      <c r="E147" s="3086">
        <v>54261.8</v>
      </c>
      <c r="F147" s="3086">
        <v>92942.274853172843</v>
      </c>
    </row>
    <row r="148" spans="1:6">
      <c r="A148" s="2887" t="s">
        <v>779</v>
      </c>
      <c r="B148" s="3086">
        <v>143</v>
      </c>
      <c r="C148" s="3086">
        <v>133</v>
      </c>
      <c r="D148" s="3086">
        <v>42760.53</v>
      </c>
      <c r="E148" s="3086">
        <v>35290.17</v>
      </c>
      <c r="F148" s="3086">
        <v>12542.348219041787</v>
      </c>
    </row>
    <row r="149" spans="1:6">
      <c r="A149" s="2887" t="s">
        <v>782</v>
      </c>
      <c r="B149" s="3086"/>
      <c r="C149" s="3086"/>
      <c r="D149" s="3086"/>
      <c r="E149" s="3086"/>
      <c r="F149" s="3086"/>
    </row>
    <row r="150" spans="1:6">
      <c r="A150" s="2887" t="s">
        <v>783</v>
      </c>
      <c r="B150" s="3086"/>
      <c r="C150" s="3086"/>
      <c r="D150" s="3086"/>
      <c r="E150" s="3086"/>
      <c r="F150" s="3086"/>
    </row>
    <row r="151" spans="1:6" ht="15.75" thickBot="1">
      <c r="A151" s="76" t="s">
        <v>118</v>
      </c>
      <c r="B151" s="84">
        <f>SUM(B146:B150)</f>
        <v>192780</v>
      </c>
      <c r="C151" s="84">
        <f>SUM(C146:C150)</f>
        <v>143156</v>
      </c>
      <c r="D151" s="84">
        <f>SUM(D146:D150)</f>
        <v>90272.23000000001</v>
      </c>
      <c r="E151" s="84">
        <f>SUM(E146:E150)</f>
        <v>116662.97</v>
      </c>
      <c r="F151" s="84">
        <f>SUM(F146:F150)</f>
        <v>197114.90461998116</v>
      </c>
    </row>
    <row r="152" spans="1:6" ht="15.75" thickTop="1">
      <c r="A152">
        <v>15</v>
      </c>
      <c r="B152" s="2939" t="s">
        <v>192</v>
      </c>
    </row>
    <row r="153" spans="1:6">
      <c r="A153" s="3863" t="s">
        <v>775</v>
      </c>
      <c r="B153" s="3865" t="s">
        <v>776</v>
      </c>
      <c r="C153" s="3865"/>
      <c r="D153" s="3865"/>
      <c r="E153" s="3865"/>
      <c r="F153" s="3865"/>
    </row>
    <row r="154" spans="1:6">
      <c r="A154" s="3864"/>
      <c r="B154" s="2917">
        <v>2012</v>
      </c>
      <c r="C154" s="2922">
        <v>2011</v>
      </c>
      <c r="D154" s="2922">
        <v>2010</v>
      </c>
      <c r="E154" s="2922">
        <v>2009</v>
      </c>
      <c r="F154" s="2922">
        <v>2008</v>
      </c>
    </row>
    <row r="155" spans="1:6">
      <c r="A155" s="2887" t="s">
        <v>777</v>
      </c>
      <c r="B155" s="3201"/>
      <c r="C155" s="3201"/>
      <c r="D155" s="3201"/>
      <c r="E155" s="3201"/>
      <c r="F155" s="3201"/>
    </row>
    <row r="156" spans="1:6">
      <c r="A156" s="2887" t="s">
        <v>778</v>
      </c>
      <c r="B156" s="3201"/>
      <c r="C156" s="3201"/>
      <c r="D156" s="3201"/>
      <c r="E156" s="3201"/>
      <c r="F156" s="3201"/>
    </row>
    <row r="157" spans="1:6">
      <c r="A157" s="2887" t="s">
        <v>779</v>
      </c>
      <c r="B157" s="3201"/>
      <c r="C157" s="3201"/>
      <c r="D157" s="3201"/>
      <c r="E157" s="3201"/>
      <c r="F157" s="3201"/>
    </row>
    <row r="158" spans="1:6">
      <c r="A158" s="2887" t="s">
        <v>782</v>
      </c>
      <c r="B158" s="3201"/>
      <c r="C158" s="3201"/>
      <c r="D158" s="3201"/>
      <c r="E158" s="3201"/>
      <c r="F158" s="3201"/>
    </row>
    <row r="159" spans="1:6">
      <c r="A159" s="2887" t="s">
        <v>783</v>
      </c>
      <c r="B159" s="3201"/>
      <c r="C159" s="3201"/>
      <c r="D159" s="3201"/>
      <c r="E159" s="3201"/>
      <c r="F159" s="3201"/>
    </row>
    <row r="160" spans="1:6" ht="15.75" thickBot="1">
      <c r="A160" s="76" t="s">
        <v>118</v>
      </c>
      <c r="B160" s="84">
        <f>SUM(B155:B159)</f>
        <v>0</v>
      </c>
      <c r="C160" s="84">
        <f>SUM(C155:C159)</f>
        <v>0</v>
      </c>
      <c r="D160" s="84">
        <f>SUM(D155:D159)</f>
        <v>0</v>
      </c>
      <c r="E160" s="84">
        <f>SUM(E155:E159)</f>
        <v>0</v>
      </c>
      <c r="F160" s="84">
        <f>SUM(F155:F159)</f>
        <v>0</v>
      </c>
    </row>
    <row r="161" spans="1:6" ht="15.75" thickTop="1">
      <c r="A161">
        <v>16</v>
      </c>
      <c r="B161" s="2938" t="s">
        <v>193</v>
      </c>
    </row>
    <row r="162" spans="1:6">
      <c r="A162" s="3863" t="s">
        <v>775</v>
      </c>
      <c r="B162" s="3865" t="s">
        <v>776</v>
      </c>
      <c r="C162" s="3865"/>
      <c r="D162" s="3865"/>
      <c r="E162" s="3865"/>
      <c r="F162" s="3865"/>
    </row>
    <row r="163" spans="1:6">
      <c r="A163" s="3864"/>
      <c r="B163" s="2917">
        <v>2012</v>
      </c>
      <c r="C163" s="2922">
        <v>2011</v>
      </c>
      <c r="D163" s="2922">
        <v>2010</v>
      </c>
      <c r="E163" s="2922">
        <v>2009</v>
      </c>
      <c r="F163" s="2922">
        <v>2008</v>
      </c>
    </row>
    <row r="164" spans="1:6">
      <c r="A164" s="2887" t="s">
        <v>777</v>
      </c>
      <c r="B164" s="3201">
        <v>6751106</v>
      </c>
      <c r="C164" s="3201">
        <v>6090745</v>
      </c>
      <c r="D164" s="3201">
        <v>5473628</v>
      </c>
      <c r="E164" s="3201">
        <v>4588974</v>
      </c>
      <c r="F164" s="3201">
        <v>4255658</v>
      </c>
    </row>
    <row r="165" spans="1:6">
      <c r="A165" s="2887" t="s">
        <v>778</v>
      </c>
      <c r="B165" s="3201">
        <v>35786</v>
      </c>
      <c r="C165" s="3201">
        <v>29684</v>
      </c>
      <c r="D165" s="3201">
        <v>30787</v>
      </c>
      <c r="E165" s="3201">
        <v>32361</v>
      </c>
      <c r="F165" s="3201">
        <v>37463</v>
      </c>
    </row>
    <row r="166" spans="1:6">
      <c r="A166" s="2887" t="s">
        <v>779</v>
      </c>
      <c r="B166" s="3201">
        <v>483583</v>
      </c>
      <c r="C166" s="3201">
        <v>589981</v>
      </c>
      <c r="D166" s="3201">
        <v>495959</v>
      </c>
      <c r="E166" s="3201">
        <v>196684</v>
      </c>
      <c r="F166" s="3201">
        <v>202164</v>
      </c>
    </row>
    <row r="167" spans="1:6">
      <c r="A167" s="2887" t="s">
        <v>782</v>
      </c>
      <c r="B167" s="3201">
        <v>98552</v>
      </c>
      <c r="C167" s="3201">
        <v>32662</v>
      </c>
      <c r="D167" s="3201">
        <v>9485</v>
      </c>
      <c r="E167" s="3201">
        <v>1840</v>
      </c>
      <c r="F167" s="3201">
        <v>2634</v>
      </c>
    </row>
    <row r="168" spans="1:6">
      <c r="A168" s="2887" t="s">
        <v>783</v>
      </c>
      <c r="B168" s="3201"/>
      <c r="C168" s="3201"/>
      <c r="D168" s="3201"/>
      <c r="E168" s="3201"/>
      <c r="F168" s="3201"/>
    </row>
    <row r="169" spans="1:6" ht="15.75" thickBot="1">
      <c r="A169" s="76" t="s">
        <v>118</v>
      </c>
      <c r="B169" s="84">
        <f>SUM(B164:B168)</f>
        <v>7369027</v>
      </c>
      <c r="C169" s="84">
        <f>SUM(C164:C168)</f>
        <v>6743072</v>
      </c>
      <c r="D169" s="84">
        <f>SUM(D164:D168)</f>
        <v>6009859</v>
      </c>
      <c r="E169" s="84">
        <f>SUM(E164:E168)</f>
        <v>4819859</v>
      </c>
      <c r="F169" s="84">
        <f>SUM(F164:F168)</f>
        <v>4497919</v>
      </c>
    </row>
    <row r="170" spans="1:6" ht="15.75" thickTop="1">
      <c r="A170">
        <v>17</v>
      </c>
      <c r="B170" s="2938" t="s">
        <v>194</v>
      </c>
    </row>
    <row r="171" spans="1:6">
      <c r="A171" s="3863" t="s">
        <v>775</v>
      </c>
      <c r="B171" s="3865" t="s">
        <v>776</v>
      </c>
      <c r="C171" s="3865"/>
      <c r="D171" s="3865"/>
      <c r="E171" s="3865"/>
      <c r="F171" s="3865"/>
    </row>
    <row r="172" spans="1:6">
      <c r="A172" s="3864"/>
      <c r="B172" s="2917">
        <v>2012</v>
      </c>
      <c r="C172" s="2922">
        <v>2011</v>
      </c>
      <c r="D172" s="2922">
        <v>2010</v>
      </c>
      <c r="E172" s="2922">
        <v>2009</v>
      </c>
      <c r="F172" s="2922">
        <v>2008</v>
      </c>
    </row>
    <row r="173" spans="1:6">
      <c r="A173" s="2887" t="s">
        <v>777</v>
      </c>
      <c r="B173" s="3201">
        <v>183255</v>
      </c>
      <c r="C173" s="3201">
        <v>115302</v>
      </c>
      <c r="D173" s="3201">
        <v>65727</v>
      </c>
      <c r="E173" s="3201">
        <v>55407</v>
      </c>
      <c r="F173" s="3201">
        <v>62655</v>
      </c>
    </row>
    <row r="174" spans="1:6">
      <c r="A174" s="2887" t="s">
        <v>778</v>
      </c>
      <c r="B174" s="3201"/>
      <c r="C174" s="3201"/>
      <c r="D174" s="3201"/>
      <c r="E174" s="3201"/>
      <c r="F174" s="3201"/>
    </row>
    <row r="175" spans="1:6">
      <c r="A175" s="2887" t="s">
        <v>779</v>
      </c>
      <c r="B175" s="3201">
        <v>20361</v>
      </c>
      <c r="C175" s="3201">
        <v>12811</v>
      </c>
      <c r="D175" s="3201">
        <v>7303</v>
      </c>
      <c r="E175" s="3201">
        <v>6156</v>
      </c>
      <c r="F175" s="3201">
        <v>6962</v>
      </c>
    </row>
    <row r="176" spans="1:6">
      <c r="A176" s="2887" t="s">
        <v>782</v>
      </c>
      <c r="B176" s="3201"/>
      <c r="C176" s="3201"/>
      <c r="D176" s="3201"/>
      <c r="E176" s="3201"/>
      <c r="F176" s="3201"/>
    </row>
    <row r="177" spans="1:6">
      <c r="A177" s="2887" t="s">
        <v>783</v>
      </c>
      <c r="B177" s="3201"/>
      <c r="C177" s="3201"/>
      <c r="D177" s="3201"/>
      <c r="E177" s="3201"/>
      <c r="F177" s="3201"/>
    </row>
    <row r="178" spans="1:6" ht="15.75" thickBot="1">
      <c r="A178" s="76" t="s">
        <v>118</v>
      </c>
      <c r="B178" s="84">
        <f>SUM(B173:B177)</f>
        <v>203616</v>
      </c>
      <c r="C178" s="84">
        <f>SUM(C173:C177)</f>
        <v>128113</v>
      </c>
      <c r="D178" s="84">
        <f>SUM(D173:D177)</f>
        <v>73030</v>
      </c>
      <c r="E178" s="84">
        <f>SUM(E173:E177)</f>
        <v>61563</v>
      </c>
      <c r="F178" s="84">
        <f>SUM(F173:F177)</f>
        <v>69617</v>
      </c>
    </row>
    <row r="179" spans="1:6" ht="15.75" thickTop="1">
      <c r="A179">
        <v>18</v>
      </c>
      <c r="B179" s="2938" t="s">
        <v>195</v>
      </c>
    </row>
    <row r="180" spans="1:6">
      <c r="A180" s="3863" t="s">
        <v>775</v>
      </c>
      <c r="B180" s="3865" t="s">
        <v>776</v>
      </c>
      <c r="C180" s="3865"/>
      <c r="D180" s="3865"/>
      <c r="E180" s="3865"/>
      <c r="F180" s="3865"/>
    </row>
    <row r="181" spans="1:6">
      <c r="A181" s="3864"/>
      <c r="B181" s="2917">
        <v>2012</v>
      </c>
      <c r="C181" s="2922">
        <v>2011</v>
      </c>
      <c r="D181" s="2922">
        <v>2010</v>
      </c>
      <c r="E181" s="2922">
        <v>2009</v>
      </c>
      <c r="F181" s="2922">
        <v>2008</v>
      </c>
    </row>
    <row r="182" spans="1:6">
      <c r="A182" s="2887" t="s">
        <v>777</v>
      </c>
      <c r="B182" s="3201">
        <v>4929736</v>
      </c>
      <c r="C182" s="3201">
        <v>4284310</v>
      </c>
      <c r="D182" s="3243"/>
      <c r="E182" s="3243"/>
      <c r="F182" s="3243"/>
    </row>
    <row r="183" spans="1:6">
      <c r="A183" s="2887" t="s">
        <v>778</v>
      </c>
      <c r="B183" s="3201">
        <v>506</v>
      </c>
      <c r="C183" s="3201">
        <v>44930</v>
      </c>
      <c r="D183" s="3243"/>
      <c r="E183" s="3243"/>
      <c r="F183" s="3243"/>
    </row>
    <row r="184" spans="1:6">
      <c r="A184" s="2887" t="s">
        <v>779</v>
      </c>
      <c r="B184" s="3201">
        <v>15902</v>
      </c>
      <c r="C184" s="3201">
        <v>16247</v>
      </c>
      <c r="D184" s="3243"/>
      <c r="E184" s="3243"/>
      <c r="F184" s="3243"/>
    </row>
    <row r="185" spans="1:6">
      <c r="A185" s="2887" t="s">
        <v>782</v>
      </c>
      <c r="B185" s="3201">
        <v>160179</v>
      </c>
      <c r="C185" s="3201">
        <v>86490</v>
      </c>
      <c r="D185" s="3243"/>
      <c r="E185" s="3243"/>
      <c r="F185" s="3243"/>
    </row>
    <row r="186" spans="1:6">
      <c r="A186" s="2887" t="s">
        <v>783</v>
      </c>
      <c r="B186" s="3201"/>
      <c r="C186" s="3201">
        <v>39650</v>
      </c>
      <c r="D186" s="3243"/>
      <c r="E186" s="3243"/>
      <c r="F186" s="3243"/>
    </row>
    <row r="187" spans="1:6" ht="15.75" thickBot="1">
      <c r="A187" s="76" t="s">
        <v>118</v>
      </c>
      <c r="B187" s="84">
        <f>SUM(B182:B186)</f>
        <v>5106323</v>
      </c>
      <c r="C187" s="84">
        <f>SUM(C182:C186)</f>
        <v>4471627</v>
      </c>
      <c r="D187" s="84">
        <f>SUM(D182:D186)</f>
        <v>0</v>
      </c>
      <c r="E187" s="84">
        <f>SUM(E182:E186)</f>
        <v>0</v>
      </c>
      <c r="F187" s="84">
        <f>SUM(F182:F186)</f>
        <v>0</v>
      </c>
    </row>
    <row r="188" spans="1:6" ht="15.75" thickTop="1">
      <c r="A188">
        <v>19</v>
      </c>
      <c r="B188" s="2941" t="s">
        <v>176</v>
      </c>
    </row>
    <row r="189" spans="1:6">
      <c r="A189" s="3863" t="s">
        <v>775</v>
      </c>
      <c r="B189" s="3865" t="s">
        <v>776</v>
      </c>
      <c r="C189" s="3865"/>
      <c r="D189" s="3865"/>
      <c r="E189" s="3865"/>
      <c r="F189" s="3865"/>
    </row>
    <row r="190" spans="1:6">
      <c r="A190" s="3864"/>
      <c r="B190" s="2917">
        <v>2012</v>
      </c>
      <c r="C190" s="2922">
        <v>2011</v>
      </c>
      <c r="D190" s="2922">
        <v>2010</v>
      </c>
      <c r="E190" s="2922">
        <v>2009</v>
      </c>
      <c r="F190" s="2922">
        <v>2008</v>
      </c>
    </row>
    <row r="191" spans="1:6">
      <c r="A191" s="2887" t="s">
        <v>777</v>
      </c>
      <c r="B191" s="3201">
        <f>+'[4]Sheet 3 - Long term Insurance'!$C$203/1000</f>
        <v>95289.87854770002</v>
      </c>
      <c r="C191" s="3201"/>
      <c r="D191" s="3201"/>
      <c r="E191" s="3201"/>
      <c r="F191" s="3201"/>
    </row>
    <row r="192" spans="1:6">
      <c r="A192" s="2887" t="s">
        <v>778</v>
      </c>
      <c r="B192" s="3201"/>
      <c r="C192" s="3201"/>
      <c r="D192" s="3201"/>
      <c r="E192" s="3201"/>
      <c r="F192" s="3201"/>
    </row>
    <row r="193" spans="1:6">
      <c r="A193" s="2887" t="s">
        <v>779</v>
      </c>
      <c r="B193" s="3201">
        <f>+'[4]Sheet 3 - Long term Insurance'!$C$205/1000</f>
        <v>4990</v>
      </c>
      <c r="C193" s="3201"/>
      <c r="D193" s="3201"/>
      <c r="E193" s="3201"/>
      <c r="F193" s="3201"/>
    </row>
    <row r="194" spans="1:6">
      <c r="A194" s="2887" t="s">
        <v>782</v>
      </c>
      <c r="B194" s="3201"/>
      <c r="C194" s="3201"/>
      <c r="D194" s="3201"/>
      <c r="E194" s="3201"/>
      <c r="F194" s="3201"/>
    </row>
    <row r="195" spans="1:6">
      <c r="A195" s="2887" t="s">
        <v>783</v>
      </c>
      <c r="B195" s="3201"/>
      <c r="C195" s="3201"/>
      <c r="D195" s="3201"/>
      <c r="E195" s="3201"/>
      <c r="F195" s="3201"/>
    </row>
    <row r="196" spans="1:6" ht="15.75" thickBot="1">
      <c r="A196" s="76" t="s">
        <v>118</v>
      </c>
      <c r="B196" s="84">
        <f>SUM(B191:B195)</f>
        <v>100279.87854770002</v>
      </c>
      <c r="C196" s="84">
        <f>SUM(C191:C195)</f>
        <v>0</v>
      </c>
      <c r="D196" s="84">
        <f>SUM(D191:D195)</f>
        <v>0</v>
      </c>
      <c r="E196" s="84">
        <f>SUM(E191:E195)</f>
        <v>0</v>
      </c>
      <c r="F196" s="84">
        <f>SUM(F191:F195)</f>
        <v>0</v>
      </c>
    </row>
    <row r="197" spans="1:6" ht="15.75" thickTop="1">
      <c r="A197">
        <v>20</v>
      </c>
      <c r="B197" s="2939" t="s">
        <v>110</v>
      </c>
    </row>
    <row r="198" spans="1:6">
      <c r="A198" s="3863" t="s">
        <v>775</v>
      </c>
      <c r="B198" s="3865" t="s">
        <v>776</v>
      </c>
      <c r="C198" s="3865"/>
      <c r="D198" s="3865"/>
      <c r="E198" s="3865"/>
      <c r="F198" s="3865"/>
    </row>
    <row r="199" spans="1:6">
      <c r="A199" s="3864"/>
      <c r="B199" s="2917">
        <v>2012</v>
      </c>
      <c r="C199" s="2922">
        <v>2011</v>
      </c>
      <c r="D199" s="2922">
        <v>2010</v>
      </c>
      <c r="E199" s="2922">
        <v>2009</v>
      </c>
      <c r="F199" s="2922">
        <v>2008</v>
      </c>
    </row>
    <row r="200" spans="1:6">
      <c r="A200" s="2887" t="s">
        <v>777</v>
      </c>
      <c r="B200" s="3201"/>
      <c r="C200" s="3201"/>
      <c r="D200" s="3201"/>
      <c r="E200" s="3201"/>
      <c r="F200" s="3201"/>
    </row>
    <row r="201" spans="1:6">
      <c r="A201" s="2887" t="s">
        <v>778</v>
      </c>
      <c r="B201" s="3201"/>
      <c r="C201" s="3201"/>
      <c r="D201" s="3201"/>
      <c r="E201" s="3201"/>
      <c r="F201" s="3201"/>
    </row>
    <row r="202" spans="1:6">
      <c r="A202" s="2887" t="s">
        <v>779</v>
      </c>
      <c r="B202" s="3201"/>
      <c r="C202" s="3201"/>
      <c r="D202" s="3201"/>
      <c r="E202" s="3201"/>
      <c r="F202" s="3201"/>
    </row>
    <row r="203" spans="1:6">
      <c r="A203" s="2887" t="s">
        <v>782</v>
      </c>
      <c r="B203" s="3201"/>
      <c r="C203" s="3201"/>
      <c r="D203" s="3201"/>
      <c r="E203" s="3201"/>
      <c r="F203" s="3201"/>
    </row>
    <row r="204" spans="1:6">
      <c r="A204" s="2887" t="s">
        <v>783</v>
      </c>
      <c r="B204" s="3201"/>
      <c r="C204" s="3201"/>
      <c r="D204" s="3201"/>
      <c r="E204" s="3201"/>
      <c r="F204" s="3201"/>
    </row>
    <row r="205" spans="1:6" ht="15.75" thickBot="1">
      <c r="A205" s="76" t="s">
        <v>118</v>
      </c>
      <c r="B205" s="84">
        <f>SUM(B200:B204)</f>
        <v>0</v>
      </c>
      <c r="C205" s="84">
        <f>SUM(C200:C204)</f>
        <v>0</v>
      </c>
      <c r="D205" s="84">
        <f>SUM(D200:D204)</f>
        <v>0</v>
      </c>
      <c r="E205" s="84">
        <f>SUM(E200:E204)</f>
        <v>0</v>
      </c>
      <c r="F205" s="84">
        <f>SUM(F200:F204)</f>
        <v>0</v>
      </c>
    </row>
    <row r="206" spans="1:6" ht="15.75" thickTop="1"/>
  </sheetData>
  <customSheetViews>
    <customSheetView guid="{5E394B0B-7867-4722-9497-A93AB2A9A773}" showPageBreaks="1" printArea="1" state="hidden">
      <selection activeCell="A2" sqref="A2"/>
      <rowBreaks count="3" manualBreakCount="3">
        <brk id="52" max="5" man="1"/>
        <brk id="106" max="5" man="1"/>
        <brk id="160" max="5" man="1"/>
      </rowBreaks>
      <colBreaks count="1" manualBreakCount="1">
        <brk id="6" max="1048575" man="1"/>
      </colBreaks>
      <pageMargins left="0" right="0" top="0" bottom="0" header="0" footer="0"/>
      <pageSetup scale="81" orientation="portrait" r:id="rId1"/>
    </customSheetView>
    <customSheetView guid="{B1E1B596-A9A1-411D-A882-A48CB025B978}" showPageBreaks="1" printArea="1" state="hidden">
      <selection activeCell="A2" sqref="A2"/>
      <rowBreaks count="3" manualBreakCount="3">
        <brk id="52" max="5" man="1"/>
        <brk id="106" max="5" man="1"/>
        <brk id="160" max="5" man="1"/>
      </rowBreaks>
      <colBreaks count="1" manualBreakCount="1">
        <brk id="6" max="1048575" man="1"/>
      </colBreaks>
      <pageMargins left="0" right="0" top="0" bottom="0" header="0" footer="0"/>
      <pageSetup scale="81" orientation="portrait" r:id="rId2"/>
    </customSheetView>
    <customSheetView guid="{E82B35BE-4719-4C53-A9EF-1CC6F153A6F3}" showPageBreaks="1" printArea="1" state="hidden">
      <selection activeCell="A2" sqref="A2"/>
      <rowBreaks count="3" manualBreakCount="3">
        <brk id="52" max="5" man="1"/>
        <brk id="106" max="5" man="1"/>
        <brk id="160" max="5" man="1"/>
      </rowBreaks>
      <colBreaks count="1" manualBreakCount="1">
        <brk id="6" max="1048575" man="1"/>
      </colBreaks>
      <pageMargins left="0" right="0" top="0" bottom="0" header="0" footer="0"/>
      <pageSetup scale="81" orientation="portrait" r:id="rId3"/>
    </customSheetView>
    <customSheetView guid="{46F31544-8E6F-41C5-8628-1D6EE074AF15}" state="hidden">
      <selection activeCell="A2" sqref="A2"/>
      <rowBreaks count="3" manualBreakCount="3">
        <brk id="52" max="5" man="1"/>
        <brk id="106" max="5" man="1"/>
        <brk id="160" max="5" man="1"/>
      </rowBreaks>
      <colBreaks count="1" manualBreakCount="1">
        <brk id="6" max="1048575" man="1"/>
      </colBreaks>
      <pageMargins left="0" right="0" top="0" bottom="0" header="0" footer="0"/>
      <pageSetup scale="81" orientation="portrait" r:id="rId4"/>
    </customSheetView>
    <customSheetView guid="{B2E1A0C6-5BA1-4CF1-B412-16D81FCDF11F}" showPageBreaks="1" printArea="1" state="hidden">
      <selection activeCell="A2" sqref="A2"/>
      <rowBreaks count="3" manualBreakCount="3">
        <brk id="52" max="5" man="1"/>
        <brk id="106" max="5" man="1"/>
        <brk id="160" max="5" man="1"/>
      </rowBreaks>
      <colBreaks count="1" manualBreakCount="1">
        <brk id="6" max="1048575" man="1"/>
      </colBreaks>
      <pageMargins left="0" right="0" top="0" bottom="0" header="0" footer="0"/>
      <pageSetup scale="81" orientation="portrait" r:id="rId5"/>
    </customSheetView>
    <customSheetView guid="{967E0446-E234-427F-8E57-7FE287052E2E}" showPageBreaks="1" printArea="1" state="hidden">
      <selection activeCell="A2" sqref="A2"/>
      <rowBreaks count="3" manualBreakCount="3">
        <brk id="52" max="5" man="1"/>
        <brk id="106" max="5" man="1"/>
        <brk id="160" max="5" man="1"/>
      </rowBreaks>
      <colBreaks count="1" manualBreakCount="1">
        <brk id="6" max="1048575" man="1"/>
      </colBreaks>
      <pageMargins left="0" right="0" top="0" bottom="0" header="0" footer="0"/>
      <pageSetup scale="81" orientation="portrait" r:id="rId6"/>
    </customSheetView>
    <customSheetView guid="{2ACFE167-4169-43A6-9AB2-59D5A2DA2DB4}" showPageBreaks="1" printArea="1" state="hidden">
      <selection activeCell="A2" sqref="A2"/>
      <rowBreaks count="3" manualBreakCount="3">
        <brk id="52" max="5" man="1"/>
        <brk id="106" max="5" man="1"/>
        <brk id="160" max="5" man="1"/>
      </rowBreaks>
      <colBreaks count="1" manualBreakCount="1">
        <brk id="6" max="1048575" man="1"/>
      </colBreaks>
      <pageMargins left="0" right="0" top="0" bottom="0" header="0" footer="0"/>
      <pageSetup scale="81" orientation="portrait" r:id="rId7"/>
    </customSheetView>
  </customSheetViews>
  <mergeCells count="44">
    <mergeCell ref="A3:A4"/>
    <mergeCell ref="B3:F3"/>
    <mergeCell ref="A15:A16"/>
    <mergeCell ref="B15:F15"/>
    <mergeCell ref="A27:A28"/>
    <mergeCell ref="B27:F27"/>
    <mergeCell ref="A36:A37"/>
    <mergeCell ref="B36:F36"/>
    <mergeCell ref="A45:A46"/>
    <mergeCell ref="B45:F45"/>
    <mergeCell ref="A54:A55"/>
    <mergeCell ref="B54:F54"/>
    <mergeCell ref="A63:A64"/>
    <mergeCell ref="B63:F63"/>
    <mergeCell ref="A72:A73"/>
    <mergeCell ref="B72:F72"/>
    <mergeCell ref="A81:A82"/>
    <mergeCell ref="B81:F81"/>
    <mergeCell ref="A90:A91"/>
    <mergeCell ref="B90:F90"/>
    <mergeCell ref="A99:A100"/>
    <mergeCell ref="B99:F99"/>
    <mergeCell ref="A108:A109"/>
    <mergeCell ref="B108:F108"/>
    <mergeCell ref="A117:A118"/>
    <mergeCell ref="B117:F117"/>
    <mergeCell ref="A126:A127"/>
    <mergeCell ref="B126:F126"/>
    <mergeCell ref="A135:A136"/>
    <mergeCell ref="B135:F135"/>
    <mergeCell ref="A144:A145"/>
    <mergeCell ref="B144:F144"/>
    <mergeCell ref="A153:A154"/>
    <mergeCell ref="B153:F153"/>
    <mergeCell ref="A162:A163"/>
    <mergeCell ref="B162:F162"/>
    <mergeCell ref="A198:A199"/>
    <mergeCell ref="B198:F198"/>
    <mergeCell ref="A171:A172"/>
    <mergeCell ref="B171:F171"/>
    <mergeCell ref="A180:A181"/>
    <mergeCell ref="B180:F180"/>
    <mergeCell ref="A189:A190"/>
    <mergeCell ref="B189:F189"/>
  </mergeCells>
  <pageMargins left="0.7" right="0.7" top="0.75" bottom="0.75" header="0.3" footer="0.3"/>
  <pageSetup scale="81" orientation="portrait" r:id="rId8"/>
  <rowBreaks count="3" manualBreakCount="3">
    <brk id="52" max="5" man="1"/>
    <brk id="106" max="5" man="1"/>
    <brk id="160" max="5" man="1"/>
  </rowBreaks>
  <colBreaks count="1" manualBreakCount="1">
    <brk id="6" max="1048575" man="1"/>
  </colBreaks>
  <ignoredErrors>
    <ignoredError sqref="B88 B79 B70 B43 B52 B61 C151:F151 B142:F142 B178:F178 B187:F187 B196:F196 B97:F97" formulaRange="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rgb="FFFFC000"/>
  </sheetPr>
  <dimension ref="A2:J59"/>
  <sheetViews>
    <sheetView workbookViewId="0">
      <pane xSplit="2" ySplit="7" topLeftCell="C8" activePane="bottomRight" state="frozen"/>
      <selection pane="topRight" activeCell="C1" sqref="C1"/>
      <selection pane="bottomLeft" activeCell="A8" sqref="A8"/>
      <selection pane="bottomRight" activeCell="D30" sqref="D30"/>
    </sheetView>
  </sheetViews>
  <sheetFormatPr defaultRowHeight="15"/>
  <cols>
    <col min="1" max="1" width="5" customWidth="1"/>
    <col min="2" max="2" width="11.5703125" customWidth="1"/>
    <col min="3" max="3" width="17" bestFit="1" customWidth="1"/>
    <col min="4" max="6" width="17" customWidth="1"/>
    <col min="7" max="7" width="15.85546875" customWidth="1"/>
    <col min="8" max="8" width="13.7109375" customWidth="1"/>
    <col min="9" max="9" width="11.5703125" customWidth="1"/>
  </cols>
  <sheetData>
    <row r="2" spans="1:9">
      <c r="B2" s="29"/>
      <c r="C2" s="36"/>
      <c r="D2" s="36"/>
      <c r="E2" s="36"/>
      <c r="F2" s="36"/>
      <c r="G2" s="28"/>
    </row>
    <row r="3" spans="1:9">
      <c r="C3" s="36"/>
      <c r="D3" s="36"/>
      <c r="E3" s="36"/>
      <c r="F3" s="36"/>
      <c r="G3" s="28"/>
    </row>
    <row r="4" spans="1:9">
      <c r="B4" s="30" t="s">
        <v>814</v>
      </c>
      <c r="C4" s="32"/>
      <c r="D4" s="32"/>
      <c r="E4" s="32"/>
      <c r="F4" s="32"/>
      <c r="G4" s="32"/>
    </row>
    <row r="5" spans="1:9">
      <c r="B5" s="3835" t="s">
        <v>83</v>
      </c>
      <c r="C5" s="3909">
        <v>2012</v>
      </c>
      <c r="D5" s="3910"/>
      <c r="E5" s="3910"/>
      <c r="F5" s="3910"/>
      <c r="G5" s="3911"/>
    </row>
    <row r="6" spans="1:9">
      <c r="B6" s="3836"/>
      <c r="C6" s="3905" t="s">
        <v>412</v>
      </c>
      <c r="D6" s="3905" t="s">
        <v>413</v>
      </c>
      <c r="E6" s="3905" t="s">
        <v>414</v>
      </c>
      <c r="F6" s="3907" t="s">
        <v>701</v>
      </c>
      <c r="G6" s="3907" t="s">
        <v>815</v>
      </c>
      <c r="H6" s="3904" t="s">
        <v>118</v>
      </c>
    </row>
    <row r="7" spans="1:9">
      <c r="B7" s="3837"/>
      <c r="C7" s="3906"/>
      <c r="D7" s="3906"/>
      <c r="E7" s="3906"/>
      <c r="F7" s="3908"/>
      <c r="G7" s="3908"/>
      <c r="H7" s="3904"/>
    </row>
    <row r="8" spans="1:9">
      <c r="A8">
        <v>1</v>
      </c>
      <c r="B8" s="3077" t="s">
        <v>175</v>
      </c>
      <c r="C8" s="3078">
        <v>47397.887020000002</v>
      </c>
      <c r="D8" s="3078">
        <v>100.48354999999999</v>
      </c>
      <c r="E8" s="3078">
        <v>0</v>
      </c>
      <c r="F8" s="3246">
        <v>-2400.22174</v>
      </c>
      <c r="G8" s="3246">
        <v>-7253.0829300000005</v>
      </c>
      <c r="H8" s="2929">
        <f>SUM(C8:G8)</f>
        <v>37845.065900000001</v>
      </c>
    </row>
    <row r="9" spans="1:9">
      <c r="A9">
        <v>2</v>
      </c>
      <c r="B9" s="3077" t="s">
        <v>177</v>
      </c>
      <c r="C9" s="3078">
        <v>108204</v>
      </c>
      <c r="D9" s="3078">
        <v>114</v>
      </c>
      <c r="E9" s="3078"/>
      <c r="F9" s="3246">
        <v>-3366</v>
      </c>
      <c r="G9" s="3246">
        <v>-7850</v>
      </c>
      <c r="H9" s="2929">
        <f t="shared" ref="H9:H27" si="0">SUM(C9:G9)</f>
        <v>97102</v>
      </c>
    </row>
    <row r="10" spans="1:9">
      <c r="A10">
        <v>3</v>
      </c>
      <c r="B10" s="3077" t="s">
        <v>179</v>
      </c>
      <c r="C10" s="3078">
        <v>164565.823</v>
      </c>
      <c r="D10" s="3078">
        <v>660.38166999999999</v>
      </c>
      <c r="E10" s="3247">
        <v>-39701.053790000005</v>
      </c>
      <c r="F10" s="3246">
        <v>0</v>
      </c>
      <c r="G10" s="3246">
        <v>-19090.252880000007</v>
      </c>
      <c r="H10" s="2929">
        <f t="shared" si="0"/>
        <v>106434.89799999999</v>
      </c>
    </row>
    <row r="11" spans="1:9">
      <c r="A11">
        <v>4</v>
      </c>
      <c r="B11" s="3077" t="s">
        <v>180</v>
      </c>
      <c r="C11" s="3078">
        <v>29178.364000000001</v>
      </c>
      <c r="D11" s="3078">
        <v>0</v>
      </c>
      <c r="E11" s="3247">
        <v>-26766.791000000001</v>
      </c>
      <c r="F11" s="3246">
        <v>-1265.3810000000001</v>
      </c>
      <c r="G11" s="3246">
        <v>-4921.7760000000007</v>
      </c>
      <c r="H11" s="2929">
        <f t="shared" si="0"/>
        <v>-3775.5840000000007</v>
      </c>
    </row>
    <row r="12" spans="1:9">
      <c r="A12">
        <v>5</v>
      </c>
      <c r="B12" s="3077" t="s">
        <v>181</v>
      </c>
      <c r="C12" s="3078">
        <v>13197.65119</v>
      </c>
      <c r="D12" s="3078"/>
      <c r="E12" s="3247">
        <v>-419.17913000000004</v>
      </c>
      <c r="F12" s="3246"/>
      <c r="G12" s="3246">
        <v>-5309.3234400000001</v>
      </c>
      <c r="H12" s="2929">
        <f t="shared" si="0"/>
        <v>7469.1486199999999</v>
      </c>
    </row>
    <row r="13" spans="1:9">
      <c r="A13">
        <v>6</v>
      </c>
      <c r="B13" s="3077" t="s">
        <v>182</v>
      </c>
      <c r="C13" s="3078">
        <v>32228.80229</v>
      </c>
      <c r="D13" s="3078">
        <v>0</v>
      </c>
      <c r="E13" s="3247">
        <v>-16762.395264000454</v>
      </c>
      <c r="F13" s="3246">
        <v>-200.37370000000004</v>
      </c>
      <c r="G13" s="3246">
        <v>-2257.2298699999988</v>
      </c>
      <c r="H13" s="2929">
        <f t="shared" si="0"/>
        <v>13008.803455999547</v>
      </c>
    </row>
    <row r="14" spans="1:9">
      <c r="A14">
        <v>7</v>
      </c>
      <c r="B14" s="3077" t="s">
        <v>183</v>
      </c>
      <c r="C14" s="3078">
        <v>400850</v>
      </c>
      <c r="D14" s="3248">
        <v>-780</v>
      </c>
      <c r="E14" s="3247">
        <v>-76000</v>
      </c>
      <c r="F14" s="3246">
        <v>-990</v>
      </c>
      <c r="G14" s="3246">
        <v>-107680</v>
      </c>
      <c r="H14" s="2929">
        <f t="shared" si="0"/>
        <v>215400</v>
      </c>
      <c r="I14" s="14">
        <f>+H14+'Co Ins Outward'!H14</f>
        <v>143034</v>
      </c>
    </row>
    <row r="15" spans="1:9">
      <c r="A15">
        <v>8</v>
      </c>
      <c r="B15" s="3077" t="s">
        <v>184</v>
      </c>
      <c r="C15" s="3078">
        <v>7985.3432599999996</v>
      </c>
      <c r="D15" s="3248">
        <v>-174.55048000000002</v>
      </c>
      <c r="E15" s="3247">
        <v>-12294.732559999999</v>
      </c>
      <c r="F15" s="3246">
        <v>0</v>
      </c>
      <c r="G15" s="3246">
        <v>-910.25645999999995</v>
      </c>
      <c r="H15" s="2929">
        <f t="shared" si="0"/>
        <v>-5394.1962399999984</v>
      </c>
    </row>
    <row r="16" spans="1:9">
      <c r="A16">
        <v>9</v>
      </c>
      <c r="B16" s="3077" t="s">
        <v>185</v>
      </c>
      <c r="C16" s="3078"/>
      <c r="D16" s="3248"/>
      <c r="E16" s="3247"/>
      <c r="F16" s="3246"/>
      <c r="G16" s="3246"/>
      <c r="H16" s="2929">
        <f t="shared" si="0"/>
        <v>0</v>
      </c>
    </row>
    <row r="17" spans="1:10">
      <c r="A17">
        <v>10</v>
      </c>
      <c r="B17" s="3077" t="s">
        <v>186</v>
      </c>
      <c r="C17" s="3078">
        <v>67416.804990000004</v>
      </c>
      <c r="D17" s="3248">
        <v>-71.267309999999995</v>
      </c>
      <c r="E17" s="3247"/>
      <c r="F17" s="3246">
        <v>-734.75161000000003</v>
      </c>
      <c r="G17" s="3246">
        <v>-7675.6686500000005</v>
      </c>
      <c r="H17" s="2929">
        <f t="shared" si="0"/>
        <v>58935.117420000002</v>
      </c>
    </row>
    <row r="18" spans="1:10">
      <c r="A18">
        <v>11</v>
      </c>
      <c r="B18" s="3077" t="s">
        <v>187</v>
      </c>
      <c r="C18" s="3078">
        <v>146865</v>
      </c>
      <c r="D18" s="3248">
        <v>-3295</v>
      </c>
      <c r="E18" s="3247">
        <v>0</v>
      </c>
      <c r="F18" s="3246">
        <v>0</v>
      </c>
      <c r="G18" s="3246">
        <v>-36538</v>
      </c>
      <c r="H18" s="2929">
        <f t="shared" si="0"/>
        <v>107032</v>
      </c>
    </row>
    <row r="19" spans="1:10">
      <c r="A19">
        <v>12</v>
      </c>
      <c r="B19" s="3077" t="s">
        <v>190</v>
      </c>
      <c r="C19" s="3078">
        <v>13622.47597</v>
      </c>
      <c r="D19" s="3248">
        <v>-1420.1951899999999</v>
      </c>
      <c r="E19" s="3247">
        <v>-12899.95607</v>
      </c>
      <c r="F19" s="3246"/>
      <c r="G19" s="3246">
        <v>-2549.8085900000001</v>
      </c>
      <c r="H19" s="2929">
        <f t="shared" si="0"/>
        <v>-3247.4838800000011</v>
      </c>
    </row>
    <row r="20" spans="1:10">
      <c r="A20">
        <v>13</v>
      </c>
      <c r="B20" s="3077" t="s">
        <v>681</v>
      </c>
      <c r="C20" s="3078"/>
      <c r="D20" s="3248"/>
      <c r="E20" s="3247"/>
      <c r="F20" s="3248"/>
      <c r="G20" s="3248"/>
      <c r="H20" s="2929">
        <f t="shared" si="0"/>
        <v>0</v>
      </c>
    </row>
    <row r="21" spans="1:10">
      <c r="A21">
        <v>14</v>
      </c>
      <c r="B21" s="3077" t="s">
        <v>189</v>
      </c>
      <c r="C21" s="3078">
        <v>11413.96551</v>
      </c>
      <c r="D21" s="3248">
        <v>-220</v>
      </c>
      <c r="E21" s="3247"/>
      <c r="F21" s="3248">
        <v>-609.26258000000007</v>
      </c>
      <c r="G21" s="3248">
        <v>-1651.2189899999998</v>
      </c>
      <c r="H21" s="2929">
        <f t="shared" si="0"/>
        <v>8933.4839400000001</v>
      </c>
    </row>
    <row r="22" spans="1:10">
      <c r="A22">
        <v>15</v>
      </c>
      <c r="B22" s="3077" t="s">
        <v>192</v>
      </c>
      <c r="C22" s="3078">
        <v>106512</v>
      </c>
      <c r="D22" s="3248">
        <v>0</v>
      </c>
      <c r="E22" s="3247">
        <v>-41136</v>
      </c>
      <c r="F22" s="3248">
        <v>0</v>
      </c>
      <c r="G22" s="3248">
        <v>-1391</v>
      </c>
      <c r="H22" s="2929">
        <f t="shared" si="0"/>
        <v>63985</v>
      </c>
    </row>
    <row r="23" spans="1:10">
      <c r="A23">
        <v>16</v>
      </c>
      <c r="B23" s="3077" t="s">
        <v>193</v>
      </c>
      <c r="C23" s="3078">
        <v>283311.55849000002</v>
      </c>
      <c r="D23" s="3248">
        <v>-1926.4506699999999</v>
      </c>
      <c r="E23" s="3247">
        <v>-122829.33145</v>
      </c>
      <c r="F23" s="3248">
        <v>-8926.0840500000013</v>
      </c>
      <c r="G23" s="3248">
        <v>-27410.733909999999</v>
      </c>
      <c r="H23" s="2929">
        <f t="shared" si="0"/>
        <v>122218.95841000004</v>
      </c>
      <c r="I23" s="14">
        <f>+H23+'Co Ins Outward'!H22</f>
        <v>-57064.041589999964</v>
      </c>
    </row>
    <row r="24" spans="1:10">
      <c r="A24">
        <v>17</v>
      </c>
      <c r="B24" s="3077" t="s">
        <v>194</v>
      </c>
      <c r="C24" s="3078">
        <v>0</v>
      </c>
      <c r="D24" s="3248">
        <v>0</v>
      </c>
      <c r="E24" s="3247">
        <v>0</v>
      </c>
      <c r="F24" s="3248">
        <v>0</v>
      </c>
      <c r="G24" s="3248">
        <v>0</v>
      </c>
      <c r="H24" s="2929">
        <f t="shared" si="0"/>
        <v>0</v>
      </c>
      <c r="J24" t="s">
        <v>816</v>
      </c>
    </row>
    <row r="25" spans="1:10">
      <c r="A25">
        <v>18</v>
      </c>
      <c r="B25" s="3077" t="s">
        <v>195</v>
      </c>
      <c r="C25" s="3078">
        <v>148673</v>
      </c>
      <c r="D25" s="3248">
        <v>-1926</v>
      </c>
      <c r="E25" s="3247">
        <v>0</v>
      </c>
      <c r="F25" s="3248">
        <v>-11149</v>
      </c>
      <c r="G25" s="3248">
        <v>-28633</v>
      </c>
      <c r="H25" s="2929">
        <f t="shared" si="0"/>
        <v>106965</v>
      </c>
    </row>
    <row r="26" spans="1:10">
      <c r="A26">
        <v>19</v>
      </c>
      <c r="B26" s="3077" t="s">
        <v>191</v>
      </c>
      <c r="C26" s="3394">
        <v>11167.981</v>
      </c>
      <c r="D26" s="3395">
        <v>0</v>
      </c>
      <c r="E26" s="3396">
        <v>-3442.2881998425601</v>
      </c>
      <c r="F26" s="3395"/>
      <c r="G26" s="3248">
        <v>-3647.8788599999998</v>
      </c>
      <c r="H26" s="2929">
        <f t="shared" si="0"/>
        <v>4077.8139401574399</v>
      </c>
    </row>
    <row r="27" spans="1:10">
      <c r="A27">
        <v>20</v>
      </c>
      <c r="B27" s="3077" t="s">
        <v>110</v>
      </c>
      <c r="C27" s="3394"/>
      <c r="D27" s="3395"/>
      <c r="E27" s="3396"/>
      <c r="F27" s="3395"/>
      <c r="G27" s="3248"/>
      <c r="H27" s="2929">
        <f t="shared" si="0"/>
        <v>0</v>
      </c>
    </row>
    <row r="28" spans="1:10" ht="15.75" thickBot="1">
      <c r="B28" s="3080" t="s">
        <v>118</v>
      </c>
      <c r="C28" s="70">
        <f>SUM(C8:C27)</f>
        <v>1592590.6567199999</v>
      </c>
      <c r="D28" s="265">
        <f>SUM(D8:D27)</f>
        <v>-8938.59843</v>
      </c>
      <c r="E28" s="265">
        <f>SUM(E8:E27)</f>
        <v>-352251.72746384301</v>
      </c>
      <c r="F28" s="265">
        <f>SUM(F8:F27)</f>
        <v>-29641.074680000002</v>
      </c>
      <c r="G28" s="265">
        <f>SUM(G8:G27)</f>
        <v>-264769.23058000003</v>
      </c>
      <c r="H28" s="2929">
        <f>SUM(C28:G28)</f>
        <v>936990.02556615672</v>
      </c>
    </row>
    <row r="29" spans="1:10" ht="15.75" thickTop="1">
      <c r="B29" s="6"/>
      <c r="C29" s="7"/>
      <c r="D29" s="7"/>
      <c r="E29" s="7"/>
      <c r="F29" s="7"/>
      <c r="G29" s="8"/>
    </row>
    <row r="31" spans="1:10">
      <c r="B31" s="30" t="s">
        <v>814</v>
      </c>
      <c r="C31" s="32"/>
      <c r="D31" s="32"/>
      <c r="E31" s="32"/>
      <c r="F31" s="32"/>
      <c r="G31" s="32"/>
    </row>
    <row r="32" spans="1:10">
      <c r="B32" s="3835" t="s">
        <v>83</v>
      </c>
      <c r="C32" s="3909">
        <v>2011</v>
      </c>
      <c r="D32" s="3910"/>
      <c r="E32" s="3910"/>
      <c r="F32" s="3910"/>
      <c r="G32" s="3911"/>
    </row>
    <row r="33" spans="1:8">
      <c r="B33" s="3836"/>
      <c r="C33" s="3905" t="s">
        <v>412</v>
      </c>
      <c r="D33" s="3905" t="s">
        <v>413</v>
      </c>
      <c r="E33" s="3905" t="s">
        <v>414</v>
      </c>
      <c r="F33" s="3907" t="s">
        <v>701</v>
      </c>
      <c r="G33" s="3907" t="s">
        <v>815</v>
      </c>
      <c r="H33" s="3904" t="s">
        <v>118</v>
      </c>
    </row>
    <row r="34" spans="1:8">
      <c r="B34" s="3837"/>
      <c r="C34" s="3906"/>
      <c r="D34" s="3906"/>
      <c r="E34" s="3906"/>
      <c r="F34" s="3908"/>
      <c r="G34" s="3908"/>
      <c r="H34" s="3904"/>
    </row>
    <row r="35" spans="1:8">
      <c r="A35">
        <v>1</v>
      </c>
      <c r="B35" s="3077" t="s">
        <v>175</v>
      </c>
      <c r="C35" s="3248">
        <v>-31030.158800000001</v>
      </c>
      <c r="D35" s="3248">
        <v>-317.35131000000001</v>
      </c>
      <c r="E35" s="3248"/>
      <c r="F35" s="3248"/>
      <c r="G35" s="3248">
        <v>-7281.6151899999995</v>
      </c>
      <c r="H35" s="2929">
        <f>SUM(C35:G35)</f>
        <v>-38629.1253</v>
      </c>
    </row>
    <row r="36" spans="1:8">
      <c r="A36">
        <v>2</v>
      </c>
      <c r="B36" s="3077" t="s">
        <v>177</v>
      </c>
      <c r="C36" s="3248">
        <v>-100437</v>
      </c>
      <c r="D36" s="3248">
        <v>-296</v>
      </c>
      <c r="E36" s="3248"/>
      <c r="F36" s="3248">
        <v>-3583</v>
      </c>
      <c r="G36" s="3248">
        <v>-6741</v>
      </c>
      <c r="H36" s="2929">
        <f t="shared" ref="H36:H41" si="1">SUM(C36:G36)</f>
        <v>-111057</v>
      </c>
    </row>
    <row r="37" spans="1:8">
      <c r="A37">
        <v>3</v>
      </c>
      <c r="B37" s="3077" t="s">
        <v>179</v>
      </c>
      <c r="C37" s="3248">
        <v>-137919.96430999995</v>
      </c>
      <c r="D37" s="3248">
        <v>-727.93295000000001</v>
      </c>
      <c r="E37" s="3248">
        <v>-36457</v>
      </c>
      <c r="F37" s="3248"/>
      <c r="G37" s="3248">
        <v>-28232.705699999991</v>
      </c>
      <c r="H37" s="2929">
        <f t="shared" si="1"/>
        <v>-203337.60295999993</v>
      </c>
    </row>
    <row r="38" spans="1:8">
      <c r="A38">
        <v>4</v>
      </c>
      <c r="B38" s="3077" t="s">
        <v>180</v>
      </c>
      <c r="C38" s="3248">
        <v>-23488</v>
      </c>
      <c r="D38" s="3248">
        <v>-4.8</v>
      </c>
      <c r="E38" s="3248">
        <v>-16885</v>
      </c>
      <c r="F38" s="3248">
        <v>-813.4</v>
      </c>
      <c r="G38" s="3248">
        <v>-4532.3</v>
      </c>
      <c r="H38" s="2929">
        <f t="shared" si="1"/>
        <v>-45723.500000000007</v>
      </c>
    </row>
    <row r="39" spans="1:8">
      <c r="A39">
        <v>5</v>
      </c>
      <c r="B39" s="3077" t="s">
        <v>181</v>
      </c>
      <c r="C39" s="3248">
        <v>-24808.403190000001</v>
      </c>
      <c r="D39" s="3248"/>
      <c r="E39" s="3248">
        <v>-1070.6167800000001</v>
      </c>
      <c r="F39" s="3248"/>
      <c r="G39" s="3248">
        <v>-7009.3373000000001</v>
      </c>
      <c r="H39" s="2929">
        <f t="shared" si="1"/>
        <v>-32888.35727</v>
      </c>
    </row>
    <row r="40" spans="1:8">
      <c r="A40">
        <v>6</v>
      </c>
      <c r="B40" s="3077" t="s">
        <v>182</v>
      </c>
      <c r="C40" s="3248">
        <v>-22672.940974999998</v>
      </c>
      <c r="D40" s="3248">
        <v>0</v>
      </c>
      <c r="E40" s="3248">
        <v>-14446.436762400072</v>
      </c>
      <c r="F40" s="3248">
        <v>-482.62752999999987</v>
      </c>
      <c r="G40" s="3248">
        <v>-2264.6940599999998</v>
      </c>
      <c r="H40" s="2929">
        <f t="shared" si="1"/>
        <v>-39866.699327400071</v>
      </c>
    </row>
    <row r="41" spans="1:8">
      <c r="A41">
        <v>7</v>
      </c>
      <c r="B41" s="3077" t="s">
        <v>183</v>
      </c>
      <c r="C41" s="3248">
        <v>-318121</v>
      </c>
      <c r="D41" s="3248">
        <v>-530</v>
      </c>
      <c r="E41" s="3248">
        <v>-102277</v>
      </c>
      <c r="F41" s="3248">
        <v>0</v>
      </c>
      <c r="G41" s="3248">
        <v>-43764</v>
      </c>
      <c r="H41" s="2929">
        <f t="shared" si="1"/>
        <v>-464692</v>
      </c>
    </row>
    <row r="42" spans="1:8">
      <c r="A42">
        <v>8</v>
      </c>
      <c r="B42" s="3077" t="s">
        <v>184</v>
      </c>
      <c r="C42" s="3248">
        <v>-7454.15164</v>
      </c>
      <c r="D42" s="3248">
        <v>-71.406000000000006</v>
      </c>
      <c r="E42" s="3248">
        <v>-6670.3840399999999</v>
      </c>
      <c r="F42" s="3248">
        <v>0</v>
      </c>
      <c r="G42" s="3248">
        <v>-1060.28297</v>
      </c>
      <c r="H42" s="2929">
        <f t="shared" ref="H42:H54" si="2">SUM(C42:G42)</f>
        <v>-15256.22465</v>
      </c>
    </row>
    <row r="43" spans="1:8">
      <c r="A43">
        <v>9</v>
      </c>
      <c r="B43" s="3077" t="s">
        <v>185</v>
      </c>
      <c r="C43" s="3248"/>
      <c r="D43" s="3248"/>
      <c r="E43" s="3248"/>
      <c r="F43" s="3248"/>
      <c r="G43" s="3248"/>
      <c r="H43" s="2929">
        <f t="shared" si="2"/>
        <v>0</v>
      </c>
    </row>
    <row r="44" spans="1:8">
      <c r="A44">
        <v>10</v>
      </c>
      <c r="B44" s="3077" t="s">
        <v>186</v>
      </c>
      <c r="C44" s="3248">
        <v>-62030.205950000003</v>
      </c>
      <c r="D44" s="3248">
        <v>-44.105839999999993</v>
      </c>
      <c r="E44" s="3248"/>
      <c r="F44" s="3248">
        <v>-414.97453000000002</v>
      </c>
      <c r="G44" s="3248">
        <v>-8024.5410700000002</v>
      </c>
      <c r="H44" s="2929">
        <f t="shared" si="2"/>
        <v>-70513.827390000006</v>
      </c>
    </row>
    <row r="45" spans="1:8">
      <c r="A45">
        <v>11</v>
      </c>
      <c r="B45" s="3077" t="s">
        <v>187</v>
      </c>
      <c r="C45" s="3248">
        <v>-134296.63466000001</v>
      </c>
      <c r="D45" s="3248">
        <v>-3314.44794</v>
      </c>
      <c r="E45" s="3248">
        <v>0</v>
      </c>
      <c r="F45" s="3248">
        <v>0</v>
      </c>
      <c r="G45" s="3248">
        <v>-32592.129940000003</v>
      </c>
      <c r="H45" s="2929">
        <f t="shared" si="2"/>
        <v>-170203.21254000004</v>
      </c>
    </row>
    <row r="46" spans="1:8">
      <c r="A46">
        <v>12</v>
      </c>
      <c r="B46" s="3077" t="s">
        <v>190</v>
      </c>
      <c r="C46" s="3248">
        <v>-13867.61851</v>
      </c>
      <c r="D46" s="3248">
        <v>-13868.61851</v>
      </c>
      <c r="E46" s="3248">
        <v>-13869.61851</v>
      </c>
      <c r="F46" s="3248">
        <v>0</v>
      </c>
      <c r="G46" s="3248">
        <v>-1627.2820899999999</v>
      </c>
      <c r="H46" s="2929">
        <f t="shared" si="2"/>
        <v>-43233.137620000001</v>
      </c>
    </row>
    <row r="47" spans="1:8">
      <c r="A47">
        <v>13</v>
      </c>
      <c r="B47" s="3077" t="s">
        <v>681</v>
      </c>
      <c r="C47" s="3248"/>
      <c r="D47" s="3248"/>
      <c r="E47" s="3248"/>
      <c r="F47" s="3248"/>
      <c r="G47" s="3248"/>
      <c r="H47" s="2929">
        <f t="shared" si="2"/>
        <v>0</v>
      </c>
    </row>
    <row r="48" spans="1:8">
      <c r="A48">
        <v>14</v>
      </c>
      <c r="B48" s="3077" t="s">
        <v>189</v>
      </c>
      <c r="C48" s="3248"/>
      <c r="D48" s="3248"/>
      <c r="E48" s="3248">
        <v>0</v>
      </c>
      <c r="F48" s="3248"/>
      <c r="G48" s="3248"/>
      <c r="H48" s="2929">
        <f t="shared" si="2"/>
        <v>0</v>
      </c>
    </row>
    <row r="49" spans="1:9">
      <c r="A49">
        <v>15</v>
      </c>
      <c r="B49" s="3077" t="s">
        <v>192</v>
      </c>
      <c r="C49" s="3248">
        <v>-92256</v>
      </c>
      <c r="D49" s="3248">
        <v>0</v>
      </c>
      <c r="E49" s="3248">
        <v>-32829</v>
      </c>
      <c r="F49" s="3248">
        <v>0</v>
      </c>
      <c r="G49" s="3248">
        <v>-4216</v>
      </c>
      <c r="H49" s="2929">
        <f>SUM(C49:G49)</f>
        <v>-129301</v>
      </c>
    </row>
    <row r="50" spans="1:9">
      <c r="A50">
        <v>16</v>
      </c>
      <c r="B50" s="3077" t="s">
        <v>193</v>
      </c>
      <c r="C50" s="3248">
        <v>-283488</v>
      </c>
      <c r="D50" s="3248">
        <v>-299</v>
      </c>
      <c r="E50" s="3248">
        <v>-65070</v>
      </c>
      <c r="F50" s="3248"/>
      <c r="G50" s="3248">
        <v>-31068</v>
      </c>
      <c r="H50" s="2929">
        <f t="shared" si="2"/>
        <v>-379925</v>
      </c>
    </row>
    <row r="51" spans="1:9">
      <c r="A51">
        <v>17</v>
      </c>
      <c r="B51" s="3077" t="s">
        <v>194</v>
      </c>
      <c r="C51" s="3248">
        <v>0</v>
      </c>
      <c r="D51" s="3248">
        <v>0</v>
      </c>
      <c r="E51" s="3248">
        <v>0</v>
      </c>
      <c r="F51" s="3248">
        <v>0</v>
      </c>
      <c r="G51" s="3248">
        <v>0</v>
      </c>
      <c r="H51" s="2929">
        <f t="shared" si="2"/>
        <v>0</v>
      </c>
      <c r="I51" t="s">
        <v>816</v>
      </c>
    </row>
    <row r="52" spans="1:9">
      <c r="A52">
        <v>18</v>
      </c>
      <c r="B52" s="3077" t="s">
        <v>195</v>
      </c>
      <c r="C52" s="3248">
        <v>-165228</v>
      </c>
      <c r="D52" s="3248">
        <v>-1688</v>
      </c>
      <c r="E52" s="3248">
        <v>0</v>
      </c>
      <c r="F52" s="3248">
        <v>-11493</v>
      </c>
      <c r="G52" s="3248">
        <v>-26697</v>
      </c>
      <c r="H52" s="2929">
        <f t="shared" si="2"/>
        <v>-205106</v>
      </c>
    </row>
    <row r="53" spans="1:9">
      <c r="A53">
        <v>19</v>
      </c>
      <c r="B53" s="3077" t="s">
        <v>191</v>
      </c>
      <c r="C53" s="3395">
        <v>-39.009439999999998</v>
      </c>
      <c r="D53" s="3395">
        <v>-2.125</v>
      </c>
      <c r="E53" s="3395">
        <v>-30</v>
      </c>
      <c r="F53" s="3395"/>
      <c r="G53" s="3248">
        <v>-1</v>
      </c>
      <c r="H53" s="2929">
        <f t="shared" si="2"/>
        <v>-72.134439999999998</v>
      </c>
    </row>
    <row r="54" spans="1:9">
      <c r="A54">
        <v>20</v>
      </c>
      <c r="B54" s="3077" t="s">
        <v>110</v>
      </c>
      <c r="C54" s="3395"/>
      <c r="D54" s="3395"/>
      <c r="E54" s="3395"/>
      <c r="F54" s="3395"/>
      <c r="G54" s="3248"/>
      <c r="H54" s="2929">
        <f t="shared" si="2"/>
        <v>0</v>
      </c>
    </row>
    <row r="55" spans="1:9" ht="15.75" thickBot="1">
      <c r="B55" s="3080" t="s">
        <v>118</v>
      </c>
      <c r="C55" s="265">
        <f>SUM(C35:C54)</f>
        <v>-1417137.0874749999</v>
      </c>
      <c r="D55" s="265">
        <f>SUM(D35:D54)</f>
        <v>-21163.787550000001</v>
      </c>
      <c r="E55" s="265">
        <f>SUM(E35:E54)</f>
        <v>-289605.0560924001</v>
      </c>
      <c r="F55" s="265">
        <f>SUM(F35:F54)</f>
        <v>-16787.002059999999</v>
      </c>
      <c r="G55" s="265">
        <f>SUM(G35:G54)</f>
        <v>-205111.88832</v>
      </c>
      <c r="H55" s="2929">
        <f>SUM(C55:G55)</f>
        <v>-1949804.8214974001</v>
      </c>
    </row>
    <row r="56" spans="1:9" ht="15.75" thickTop="1">
      <c r="G56" t="s">
        <v>817</v>
      </c>
      <c r="H56" s="110">
        <f>+'Co Ins Outward'!H51</f>
        <v>-216300.61969072663</v>
      </c>
    </row>
    <row r="57" spans="1:9">
      <c r="G57" t="s">
        <v>118</v>
      </c>
      <c r="H57" s="58">
        <f>+H55+H56</f>
        <v>-2166105.4411881268</v>
      </c>
    </row>
    <row r="58" spans="1:9">
      <c r="G58" t="s">
        <v>818</v>
      </c>
      <c r="H58" s="58" t="e">
        <f>+#REF!</f>
        <v>#REF!</v>
      </c>
    </row>
    <row r="59" spans="1:9">
      <c r="G59" t="s">
        <v>819</v>
      </c>
      <c r="H59" s="14" t="e">
        <f>+H57-H58</f>
        <v>#REF!</v>
      </c>
    </row>
  </sheetData>
  <customSheetViews>
    <customSheetView guid="{5E394B0B-7867-4722-9497-A93AB2A9A773}" showPageBreaks="1" printArea="1" state="hidden">
      <pane xSplit="2" ySplit="7" topLeftCell="C8" activePane="bottomRight" state="frozen"/>
      <selection pane="bottomRight" activeCell="D30" sqref="D30"/>
      <rowBreaks count="1" manualBreakCount="1">
        <brk id="55" max="6" man="1"/>
      </rowBreaks>
      <pageMargins left="0" right="0" top="0" bottom="0" header="0" footer="0"/>
      <pageSetup scale="79" orientation="portrait" r:id="rId1"/>
    </customSheetView>
    <customSheetView guid="{B1E1B596-A9A1-411D-A882-A48CB025B978}" showPageBreaks="1" printArea="1" state="hidden">
      <pane xSplit="2" ySplit="7" topLeftCell="C8" activePane="bottomRight" state="frozen"/>
      <selection pane="bottomRight" activeCell="D30" sqref="D30"/>
      <rowBreaks count="1" manualBreakCount="1">
        <brk id="55" max="6" man="1"/>
      </rowBreaks>
      <pageMargins left="0" right="0" top="0" bottom="0" header="0" footer="0"/>
      <pageSetup scale="79" orientation="portrait" r:id="rId2"/>
    </customSheetView>
    <customSheetView guid="{E82B35BE-4719-4C53-A9EF-1CC6F153A6F3}" showPageBreaks="1" printArea="1" state="hidden">
      <pane xSplit="2" ySplit="7" topLeftCell="C8" activePane="bottomRight" state="frozen"/>
      <selection pane="bottomRight" activeCell="D30" sqref="D30"/>
      <rowBreaks count="1" manualBreakCount="1">
        <brk id="55" max="6" man="1"/>
      </rowBreaks>
      <pageMargins left="0" right="0" top="0" bottom="0" header="0" footer="0"/>
      <pageSetup scale="79" orientation="portrait" r:id="rId3"/>
    </customSheetView>
    <customSheetView guid="{46F31544-8E6F-41C5-8628-1D6EE074AF15}" state="hidden">
      <pane xSplit="2" ySplit="7" topLeftCell="C8" activePane="bottomRight" state="frozen"/>
      <selection pane="bottomRight" activeCell="D30" sqref="D30"/>
      <rowBreaks count="1" manualBreakCount="1">
        <brk id="55" max="6" man="1"/>
      </rowBreaks>
      <pageMargins left="0" right="0" top="0" bottom="0" header="0" footer="0"/>
      <pageSetup scale="79" orientation="portrait" r:id="rId4"/>
    </customSheetView>
    <customSheetView guid="{B2E1A0C6-5BA1-4CF1-B412-16D81FCDF11F}" showPageBreaks="1" printArea="1" state="hidden">
      <pane xSplit="2" ySplit="7" topLeftCell="C8" activePane="bottomRight" state="frozen"/>
      <selection pane="bottomRight" activeCell="D30" sqref="D30"/>
      <rowBreaks count="1" manualBreakCount="1">
        <brk id="55" max="6" man="1"/>
      </rowBreaks>
      <pageMargins left="0" right="0" top="0" bottom="0" header="0" footer="0"/>
      <pageSetup scale="79" orientation="portrait" r:id="rId5"/>
    </customSheetView>
    <customSheetView guid="{967E0446-E234-427F-8E57-7FE287052E2E}" showPageBreaks="1" printArea="1" state="hidden">
      <pane xSplit="2" ySplit="7" topLeftCell="C8" activePane="bottomRight" state="frozen"/>
      <selection pane="bottomRight" activeCell="D30" sqref="D30"/>
      <rowBreaks count="1" manualBreakCount="1">
        <brk id="55" max="6" man="1"/>
      </rowBreaks>
      <pageMargins left="0" right="0" top="0" bottom="0" header="0" footer="0"/>
      <pageSetup scale="79" orientation="portrait" r:id="rId6"/>
    </customSheetView>
    <customSheetView guid="{2ACFE167-4169-43A6-9AB2-59D5A2DA2DB4}" showPageBreaks="1" printArea="1" state="hidden">
      <pane xSplit="2" ySplit="7" topLeftCell="C8" activePane="bottomRight" state="frozen"/>
      <selection pane="bottomRight" activeCell="D30" sqref="D30"/>
      <rowBreaks count="1" manualBreakCount="1">
        <brk id="55" max="6" man="1"/>
      </rowBreaks>
      <pageMargins left="0" right="0" top="0" bottom="0" header="0" footer="0"/>
      <pageSetup scale="79" orientation="portrait" r:id="rId7"/>
    </customSheetView>
  </customSheetViews>
  <mergeCells count="16">
    <mergeCell ref="H33:H34"/>
    <mergeCell ref="H6:H7"/>
    <mergeCell ref="B5:B7"/>
    <mergeCell ref="C6:C7"/>
    <mergeCell ref="D6:D7"/>
    <mergeCell ref="E6:E7"/>
    <mergeCell ref="F6:F7"/>
    <mergeCell ref="G6:G7"/>
    <mergeCell ref="C5:G5"/>
    <mergeCell ref="B32:B34"/>
    <mergeCell ref="C32:G32"/>
    <mergeCell ref="C33:C34"/>
    <mergeCell ref="D33:D34"/>
    <mergeCell ref="E33:E34"/>
    <mergeCell ref="F33:F34"/>
    <mergeCell ref="G33:G34"/>
  </mergeCells>
  <pageMargins left="0.7" right="0.7" top="0.75" bottom="0.75" header="0.3" footer="0.3"/>
  <pageSetup scale="79" orientation="portrait" r:id="rId8"/>
  <rowBreaks count="1" manualBreakCount="1">
    <brk id="55" max="6"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rgb="FFFFC000"/>
  </sheetPr>
  <dimension ref="A2:K52"/>
  <sheetViews>
    <sheetView workbookViewId="0">
      <pane xSplit="2" ySplit="7" topLeftCell="C17" activePane="bottomRight" state="frozen"/>
      <selection pane="topRight" activeCell="C1" sqref="C1"/>
      <selection pane="bottomLeft" activeCell="A8" sqref="A8"/>
      <selection pane="bottomRight" activeCell="E17" sqref="E17"/>
    </sheetView>
  </sheetViews>
  <sheetFormatPr defaultRowHeight="15"/>
  <cols>
    <col min="1" max="1" width="5" customWidth="1"/>
    <col min="2" max="2" width="11.5703125" customWidth="1"/>
    <col min="3" max="3" width="17" bestFit="1" customWidth="1"/>
    <col min="4" max="6" width="17" customWidth="1"/>
    <col min="7" max="7" width="17.7109375" customWidth="1"/>
    <col min="8" max="8" width="14.140625" customWidth="1"/>
    <col min="9" max="9" width="13.28515625" bestFit="1" customWidth="1"/>
    <col min="10" max="10" width="13.140625" customWidth="1"/>
  </cols>
  <sheetData>
    <row r="2" spans="1:10">
      <c r="B2" s="29"/>
      <c r="C2" s="36"/>
      <c r="D2" s="36"/>
      <c r="E2" s="36"/>
      <c r="F2" s="36"/>
      <c r="G2" s="28"/>
    </row>
    <row r="3" spans="1:10">
      <c r="C3" s="36"/>
      <c r="D3" s="36"/>
      <c r="E3" s="36"/>
      <c r="F3" s="36"/>
      <c r="G3" s="28"/>
    </row>
    <row r="4" spans="1:10">
      <c r="B4" s="30" t="s">
        <v>820</v>
      </c>
      <c r="C4" s="32"/>
      <c r="D4" s="32"/>
      <c r="E4" s="32"/>
      <c r="F4" s="32"/>
      <c r="G4" s="32"/>
    </row>
    <row r="5" spans="1:10">
      <c r="B5" s="3835" t="s">
        <v>83</v>
      </c>
      <c r="C5" s="3909">
        <v>2012</v>
      </c>
      <c r="D5" s="3910"/>
      <c r="E5" s="3910"/>
      <c r="F5" s="3910"/>
      <c r="G5" s="3911"/>
    </row>
    <row r="6" spans="1:10">
      <c r="B6" s="3836"/>
      <c r="C6" s="3916" t="s">
        <v>412</v>
      </c>
      <c r="D6" s="3916" t="s">
        <v>413</v>
      </c>
      <c r="E6" s="3916" t="s">
        <v>414</v>
      </c>
      <c r="F6" s="3835" t="s">
        <v>701</v>
      </c>
      <c r="G6" s="3835" t="s">
        <v>815</v>
      </c>
      <c r="H6" s="3915" t="s">
        <v>118</v>
      </c>
      <c r="I6" s="3912" t="s">
        <v>821</v>
      </c>
      <c r="J6" s="3913" t="s">
        <v>822</v>
      </c>
    </row>
    <row r="7" spans="1:10">
      <c r="B7" s="3837"/>
      <c r="C7" s="3917"/>
      <c r="D7" s="3917"/>
      <c r="E7" s="3917"/>
      <c r="F7" s="3837"/>
      <c r="G7" s="3837"/>
      <c r="H7" s="3915"/>
      <c r="I7" s="3912"/>
      <c r="J7" s="3913"/>
    </row>
    <row r="8" spans="1:10" s="39" customFormat="1" ht="20.100000000000001" customHeight="1">
      <c r="A8" s="39">
        <v>1</v>
      </c>
      <c r="B8" s="3249" t="s">
        <v>175</v>
      </c>
      <c r="C8" s="3250"/>
      <c r="D8" s="3250"/>
      <c r="E8" s="3250"/>
      <c r="F8" s="3250"/>
      <c r="G8" s="3250"/>
      <c r="H8" s="2007">
        <f>SUM(C8:G8)</f>
        <v>0</v>
      </c>
      <c r="I8" s="78">
        <f>+'SRCC &amp; TC 2011 &amp; 12'!H8</f>
        <v>37845.065900000001</v>
      </c>
      <c r="J8" s="197">
        <f>+H8+I8</f>
        <v>37845.065900000001</v>
      </c>
    </row>
    <row r="9" spans="1:10" s="39" customFormat="1" ht="20.100000000000001" customHeight="1">
      <c r="A9" s="39">
        <v>2</v>
      </c>
      <c r="B9" s="3249" t="s">
        <v>177</v>
      </c>
      <c r="C9" s="3250">
        <f>+'[9]Sheet 2 - General Insurance'!$C$34</f>
        <v>-4775</v>
      </c>
      <c r="D9" s="3250">
        <f>+'[9]Sheet 2 - General Insurance'!$D$34</f>
        <v>-294</v>
      </c>
      <c r="E9" s="3250"/>
      <c r="F9" s="3250"/>
      <c r="G9" s="3250">
        <f>+'[9]Sheet 2 - General Insurance'!$G$34</f>
        <v>-327</v>
      </c>
      <c r="H9" s="2007">
        <f>SUM(C9:G9)</f>
        <v>-5396</v>
      </c>
      <c r="I9" s="78">
        <f>+'SRCC &amp; TC 2011 &amp; 12'!H9</f>
        <v>97102</v>
      </c>
      <c r="J9" s="197">
        <f t="shared" ref="J9:J25" si="0">+H9+I9</f>
        <v>91706</v>
      </c>
    </row>
    <row r="10" spans="1:10" s="39" customFormat="1" ht="20.100000000000001" customHeight="1">
      <c r="A10" s="39">
        <v>3</v>
      </c>
      <c r="B10" s="3249" t="s">
        <v>179</v>
      </c>
      <c r="C10" s="3250">
        <f>+'[8]Sheet 2 - General Insurance'!$C$34</f>
        <v>-24479.416430000001</v>
      </c>
      <c r="D10" s="3250">
        <f>+'[8]Sheet 2 - General Insurance'!$D$34</f>
        <v>-2181.9210499999999</v>
      </c>
      <c r="E10" s="3250">
        <f>+'[8]Sheet 2 - General Insurance'!$E$34</f>
        <v>-1695.15906</v>
      </c>
      <c r="F10" s="3250"/>
      <c r="G10" s="3250">
        <f>+'[8]Sheet 2 - General Insurance'!$G$34</f>
        <v>-4673.41104</v>
      </c>
      <c r="H10" s="2007">
        <f>SUM(C10:G10)</f>
        <v>-33029.907579999999</v>
      </c>
      <c r="I10" s="78">
        <f>+'SRCC &amp; TC 2011 &amp; 12'!H10</f>
        <v>106434.89799999999</v>
      </c>
      <c r="J10" s="197">
        <f t="shared" si="0"/>
        <v>73404.990419999987</v>
      </c>
    </row>
    <row r="11" spans="1:10" s="39" customFormat="1" ht="20.100000000000001" customHeight="1">
      <c r="A11" s="39">
        <v>4</v>
      </c>
      <c r="B11" s="3249" t="s">
        <v>180</v>
      </c>
      <c r="C11" s="3250">
        <f>+'[10]Sheet 2 - General Insurance'!$C$34</f>
        <v>-1586.7539999999999</v>
      </c>
      <c r="D11" s="3250">
        <f>+'[10]Sheet 2 - General Insurance'!$D$34</f>
        <v>-334.68099999999998</v>
      </c>
      <c r="E11" s="3250"/>
      <c r="F11" s="3250"/>
      <c r="G11" s="3250">
        <f>+'[10]Sheet 2 - General Insurance'!$G$34</f>
        <v>-3983.9880000000003</v>
      </c>
      <c r="H11" s="2007">
        <f>SUM(C11:G11)</f>
        <v>-5905.4230000000007</v>
      </c>
      <c r="I11" s="78">
        <f>+'SRCC &amp; TC 2011 &amp; 12'!H11</f>
        <v>-3775.5840000000007</v>
      </c>
      <c r="J11" s="197">
        <f t="shared" si="0"/>
        <v>-9681.0070000000014</v>
      </c>
    </row>
    <row r="12" spans="1:10" s="39" customFormat="1" ht="20.100000000000001" customHeight="1">
      <c r="A12" s="39">
        <v>5</v>
      </c>
      <c r="B12" s="3249" t="s">
        <v>181</v>
      </c>
      <c r="C12" s="3250">
        <v>0</v>
      </c>
      <c r="D12" s="3250">
        <v>0</v>
      </c>
      <c r="E12" s="3250">
        <v>0</v>
      </c>
      <c r="F12" s="3250">
        <v>0</v>
      </c>
      <c r="G12" s="3250">
        <v>0</v>
      </c>
      <c r="H12" s="2007">
        <f t="shared" ref="H12:H25" si="1">SUM(C12:G12)</f>
        <v>0</v>
      </c>
      <c r="I12" s="78">
        <f>+'SRCC &amp; TC 2011 &amp; 12'!H12</f>
        <v>7469.1486199999999</v>
      </c>
      <c r="J12" s="197">
        <f t="shared" si="0"/>
        <v>7469.1486199999999</v>
      </c>
    </row>
    <row r="13" spans="1:10" s="39" customFormat="1" ht="20.100000000000001" customHeight="1">
      <c r="A13" s="39">
        <v>6</v>
      </c>
      <c r="B13" s="3249" t="s">
        <v>182</v>
      </c>
      <c r="C13" s="3250">
        <f>-'[37]Sheet 2 - General Insurance'!$C$34</f>
        <v>-41423.144014163736</v>
      </c>
      <c r="D13" s="3250">
        <f>-'[37]Sheet 2 - General Insurance'!$D$34</f>
        <v>-207.799542</v>
      </c>
      <c r="E13" s="3250"/>
      <c r="F13" s="3250">
        <f>-'[37]Sheet 2 - General Insurance'!$F$34</f>
        <v>-1708.6523404500001</v>
      </c>
      <c r="G13" s="3250">
        <f>-'[37]Sheet 2 - General Insurance'!$G$34</f>
        <v>-2657.0910914999999</v>
      </c>
      <c r="H13" s="2007">
        <f t="shared" si="1"/>
        <v>-45996.686988113732</v>
      </c>
      <c r="I13" s="78">
        <f>+'SRCC &amp; TC 2011 &amp; 12'!H13</f>
        <v>13008.803455999547</v>
      </c>
      <c r="J13" s="197">
        <f t="shared" si="0"/>
        <v>-32987.883532114181</v>
      </c>
    </row>
    <row r="14" spans="1:10" s="39" customFormat="1" ht="20.100000000000001" customHeight="1">
      <c r="A14" s="39">
        <v>7</v>
      </c>
      <c r="B14" s="3249" t="s">
        <v>183</v>
      </c>
      <c r="C14" s="3250">
        <f>-'[12]Sheet 2 - General Insurance'!$C$63</f>
        <v>-68789</v>
      </c>
      <c r="D14" s="3250">
        <f>-'[12]Sheet 2 - General Insurance'!$D$63</f>
        <v>-760</v>
      </c>
      <c r="E14" s="3250">
        <f>-'[12]Sheet 2 - General Insurance'!$E$63</f>
        <v>-934</v>
      </c>
      <c r="F14" s="3250">
        <v>0</v>
      </c>
      <c r="G14" s="3250">
        <f>-'[12]Sheet 2 - General Insurance'!$G$63</f>
        <v>-1883</v>
      </c>
      <c r="H14" s="2007">
        <f t="shared" si="1"/>
        <v>-72366</v>
      </c>
      <c r="I14" s="78">
        <f>+'SRCC &amp; TC 2011 &amp; 12'!H14</f>
        <v>215400</v>
      </c>
      <c r="J14" s="197">
        <f t="shared" si="0"/>
        <v>143034</v>
      </c>
    </row>
    <row r="15" spans="1:10" s="39" customFormat="1" ht="20.100000000000001" customHeight="1">
      <c r="A15" s="39">
        <v>8</v>
      </c>
      <c r="B15" s="3249" t="s">
        <v>184</v>
      </c>
      <c r="C15" s="3250">
        <f>+'[38]Sheet 2 - General Insurance'!$C$34</f>
        <v>-291.71800000000002</v>
      </c>
      <c r="D15" s="3250"/>
      <c r="E15" s="3250">
        <f>+'[38]Sheet 2 - General Insurance'!$E$34</f>
        <v>-240.27</v>
      </c>
      <c r="F15" s="3250"/>
      <c r="G15" s="3250"/>
      <c r="H15" s="2007">
        <f t="shared" si="1"/>
        <v>-531.98800000000006</v>
      </c>
      <c r="I15" s="78">
        <f>+'SRCC &amp; TC 2011 &amp; 12'!H15</f>
        <v>-5394.1962399999984</v>
      </c>
      <c r="J15" s="197">
        <f t="shared" si="0"/>
        <v>-5926.1842399999987</v>
      </c>
    </row>
    <row r="16" spans="1:10" s="39" customFormat="1" ht="20.100000000000001" customHeight="1">
      <c r="A16" s="39">
        <v>9</v>
      </c>
      <c r="B16" s="3249" t="s">
        <v>185</v>
      </c>
      <c r="C16" s="3250"/>
      <c r="D16" s="3250"/>
      <c r="E16" s="3250"/>
      <c r="F16" s="3250"/>
      <c r="G16" s="3250"/>
      <c r="H16" s="2007">
        <f t="shared" si="1"/>
        <v>0</v>
      </c>
      <c r="I16" s="78">
        <f>+'SRCC &amp; TC 2011 &amp; 12'!H16</f>
        <v>0</v>
      </c>
      <c r="J16" s="197">
        <f t="shared" si="0"/>
        <v>0</v>
      </c>
    </row>
    <row r="17" spans="1:11" s="39" customFormat="1" ht="20.100000000000001" customHeight="1">
      <c r="A17" s="39">
        <v>10</v>
      </c>
      <c r="B17" s="3249" t="s">
        <v>186</v>
      </c>
      <c r="C17" s="3250">
        <v>0</v>
      </c>
      <c r="D17" s="3250">
        <v>0</v>
      </c>
      <c r="E17" s="3250">
        <v>0</v>
      </c>
      <c r="F17" s="3250">
        <v>0</v>
      </c>
      <c r="G17" s="3250">
        <v>0</v>
      </c>
      <c r="H17" s="2007">
        <f t="shared" si="1"/>
        <v>0</v>
      </c>
      <c r="I17" s="78">
        <f>+'SRCC &amp; TC 2011 &amp; 12'!H17</f>
        <v>58935.117420000002</v>
      </c>
      <c r="J17" s="197">
        <f t="shared" si="0"/>
        <v>58935.117420000002</v>
      </c>
    </row>
    <row r="18" spans="1:11" s="39" customFormat="1" ht="20.100000000000001" customHeight="1">
      <c r="A18" s="39">
        <v>11</v>
      </c>
      <c r="B18" s="3249" t="s">
        <v>187</v>
      </c>
      <c r="C18" s="3250"/>
      <c r="D18" s="3250"/>
      <c r="E18" s="3250"/>
      <c r="F18" s="3250"/>
      <c r="G18" s="3250"/>
      <c r="H18" s="2007">
        <f t="shared" si="1"/>
        <v>0</v>
      </c>
      <c r="I18" s="78">
        <f>+'SRCC &amp; TC 2011 &amp; 12'!H18</f>
        <v>107032</v>
      </c>
      <c r="J18" s="197">
        <f t="shared" si="0"/>
        <v>107032</v>
      </c>
    </row>
    <row r="19" spans="1:11" s="39" customFormat="1" ht="20.100000000000001" customHeight="1">
      <c r="A19" s="39">
        <v>12</v>
      </c>
      <c r="B19" s="3249" t="s">
        <v>190</v>
      </c>
      <c r="C19" s="3250">
        <v>0</v>
      </c>
      <c r="D19" s="3250">
        <v>0</v>
      </c>
      <c r="E19" s="3250">
        <v>0</v>
      </c>
      <c r="F19" s="3250">
        <v>0</v>
      </c>
      <c r="G19" s="3250">
        <v>0</v>
      </c>
      <c r="H19" s="2007">
        <f t="shared" si="1"/>
        <v>0</v>
      </c>
      <c r="I19" s="78">
        <f>+'SRCC &amp; TC 2011 &amp; 12'!H19</f>
        <v>-3247.4838800000011</v>
      </c>
      <c r="J19" s="197">
        <f t="shared" si="0"/>
        <v>-3247.4838800000011</v>
      </c>
    </row>
    <row r="20" spans="1:11" s="39" customFormat="1" ht="20.100000000000001" customHeight="1">
      <c r="A20" s="39">
        <v>13</v>
      </c>
      <c r="B20" s="3249" t="s">
        <v>189</v>
      </c>
      <c r="C20" s="3250">
        <f>+'[39]Sheet 2 - General Insurance'!$C$34</f>
        <v>-5070.0688700000001</v>
      </c>
      <c r="D20" s="3250">
        <v>0</v>
      </c>
      <c r="E20" s="3250">
        <v>0</v>
      </c>
      <c r="F20" s="3250">
        <v>0</v>
      </c>
      <c r="G20" s="3250">
        <v>0</v>
      </c>
      <c r="H20" s="2007">
        <f t="shared" si="1"/>
        <v>-5070.0688700000001</v>
      </c>
      <c r="I20" s="78">
        <f>+'SRCC &amp; TC 2011 &amp; 12'!H21</f>
        <v>8933.4839400000001</v>
      </c>
      <c r="J20" s="197">
        <f t="shared" si="0"/>
        <v>3863.41507</v>
      </c>
    </row>
    <row r="21" spans="1:11" s="39" customFormat="1" ht="20.100000000000001" customHeight="1">
      <c r="A21" s="39">
        <v>14</v>
      </c>
      <c r="B21" s="3249" t="s">
        <v>192</v>
      </c>
      <c r="C21" s="3250">
        <v>0</v>
      </c>
      <c r="D21" s="3250">
        <v>0</v>
      </c>
      <c r="E21" s="3250">
        <v>0</v>
      </c>
      <c r="F21" s="3250">
        <v>0</v>
      </c>
      <c r="G21" s="3250">
        <v>0</v>
      </c>
      <c r="H21" s="2007">
        <f t="shared" si="1"/>
        <v>0</v>
      </c>
      <c r="I21" s="78">
        <f>+'SRCC &amp; TC 2011 &amp; 12'!H22</f>
        <v>63985</v>
      </c>
      <c r="J21" s="197">
        <f t="shared" si="0"/>
        <v>63985</v>
      </c>
    </row>
    <row r="22" spans="1:11" s="39" customFormat="1" ht="20.100000000000001" customHeight="1">
      <c r="A22" s="39">
        <v>15</v>
      </c>
      <c r="B22" s="3249" t="s">
        <v>193</v>
      </c>
      <c r="C22" s="3250">
        <v>-163677</v>
      </c>
      <c r="D22" s="3250">
        <v>-4913</v>
      </c>
      <c r="E22" s="3250"/>
      <c r="F22" s="3250"/>
      <c r="G22" s="3250">
        <v>-10693</v>
      </c>
      <c r="H22" s="2007">
        <f>SUM(C22:G22)</f>
        <v>-179283</v>
      </c>
      <c r="I22" s="78">
        <f>+'SRCC &amp; TC 2011 &amp; 12'!H23</f>
        <v>122218.95841000004</v>
      </c>
      <c r="J22" s="197">
        <f t="shared" si="0"/>
        <v>-57064.041589999964</v>
      </c>
    </row>
    <row r="23" spans="1:11" s="39" customFormat="1" ht="20.100000000000001" customHeight="1">
      <c r="A23" s="39">
        <v>16</v>
      </c>
      <c r="B23" s="3249" t="s">
        <v>194</v>
      </c>
      <c r="C23" s="3250">
        <v>0</v>
      </c>
      <c r="D23" s="3250">
        <v>0</v>
      </c>
      <c r="E23" s="3250">
        <v>0</v>
      </c>
      <c r="F23" s="3250">
        <v>0</v>
      </c>
      <c r="G23" s="3250">
        <v>0</v>
      </c>
      <c r="H23" s="2007">
        <f t="shared" si="1"/>
        <v>0</v>
      </c>
      <c r="I23" s="78">
        <f>+'SRCC &amp; TC 2011 &amp; 12'!H24</f>
        <v>0</v>
      </c>
      <c r="J23" s="197">
        <f t="shared" si="0"/>
        <v>0</v>
      </c>
    </row>
    <row r="24" spans="1:11" s="39" customFormat="1" ht="20.100000000000001" customHeight="1">
      <c r="A24" s="39">
        <v>17</v>
      </c>
      <c r="B24" s="3249" t="s">
        <v>195</v>
      </c>
      <c r="C24" s="3250">
        <v>0</v>
      </c>
      <c r="D24" s="3250">
        <v>0</v>
      </c>
      <c r="E24" s="3250">
        <v>0</v>
      </c>
      <c r="F24" s="3250">
        <v>0</v>
      </c>
      <c r="G24" s="3250">
        <v>0</v>
      </c>
      <c r="H24" s="2007">
        <f t="shared" si="1"/>
        <v>0</v>
      </c>
      <c r="I24" s="78">
        <f>+'SRCC &amp; TC 2011 &amp; 12'!H25</f>
        <v>106965</v>
      </c>
      <c r="J24" s="197">
        <f t="shared" si="0"/>
        <v>106965</v>
      </c>
    </row>
    <row r="25" spans="1:11" s="39" customFormat="1" ht="20.100000000000001" customHeight="1">
      <c r="A25" s="39">
        <v>18</v>
      </c>
      <c r="B25" s="3249" t="s">
        <v>191</v>
      </c>
      <c r="C25" s="3250">
        <v>0</v>
      </c>
      <c r="D25" s="3250">
        <v>0</v>
      </c>
      <c r="E25" s="3250">
        <v>0</v>
      </c>
      <c r="F25" s="3250">
        <v>0</v>
      </c>
      <c r="G25" s="3250">
        <v>0</v>
      </c>
      <c r="H25" s="2007">
        <f t="shared" si="1"/>
        <v>0</v>
      </c>
      <c r="I25" s="78">
        <f>+'SRCC &amp; TC 2011 &amp; 12'!H26</f>
        <v>4077.8139401574399</v>
      </c>
      <c r="J25" s="197">
        <f t="shared" si="0"/>
        <v>4077.8139401574399</v>
      </c>
    </row>
    <row r="26" spans="1:11" s="39" customFormat="1" ht="20.100000000000001" customHeight="1" thickBot="1">
      <c r="B26" s="3251" t="s">
        <v>118</v>
      </c>
      <c r="C26" s="269">
        <f>SUM(C8:C25)</f>
        <v>-310092.10131416377</v>
      </c>
      <c r="D26" s="269">
        <f>SUM(D8:D25)</f>
        <v>-8691.4015920000002</v>
      </c>
      <c r="E26" s="269">
        <f>SUM(E8:E25)</f>
        <v>-2869.4290599999999</v>
      </c>
      <c r="F26" s="269">
        <f>SUM(F8:F25)</f>
        <v>-1708.6523404500001</v>
      </c>
      <c r="G26" s="269">
        <f>SUM(G8:G25)</f>
        <v>-24217.490131500002</v>
      </c>
      <c r="H26" s="2011">
        <f>SUM(C26:G26)</f>
        <v>-347579.07443811372</v>
      </c>
      <c r="I26" s="270">
        <f>+'SRCC &amp; TC 2011 &amp; 12'!H28</f>
        <v>936990.02556615672</v>
      </c>
      <c r="J26" s="271">
        <f>+H26+I26</f>
        <v>589410.951128043</v>
      </c>
    </row>
    <row r="27" spans="1:11" ht="15.75" thickTop="1">
      <c r="B27" s="6"/>
      <c r="C27" s="266"/>
      <c r="D27" s="266"/>
      <c r="E27" s="266"/>
      <c r="F27" s="266"/>
      <c r="G27" s="267"/>
      <c r="H27" s="186"/>
      <c r="J27" s="14"/>
      <c r="K27" s="14"/>
    </row>
    <row r="28" spans="1:11">
      <c r="C28" s="186"/>
      <c r="D28" s="186"/>
      <c r="E28" s="186"/>
      <c r="F28" s="186"/>
      <c r="G28" s="186"/>
      <c r="H28" s="186"/>
      <c r="I28" s="14"/>
    </row>
    <row r="29" spans="1:11">
      <c r="B29" s="30" t="s">
        <v>820</v>
      </c>
      <c r="C29" s="268"/>
      <c r="D29" s="268"/>
      <c r="E29" s="268"/>
      <c r="F29" s="268"/>
      <c r="G29" s="268"/>
      <c r="H29" s="186"/>
    </row>
    <row r="30" spans="1:11">
      <c r="B30" s="3835" t="s">
        <v>83</v>
      </c>
      <c r="C30" s="3920">
        <v>2011</v>
      </c>
      <c r="D30" s="3921"/>
      <c r="E30" s="3921"/>
      <c r="F30" s="3921"/>
      <c r="G30" s="3922"/>
      <c r="H30" s="186"/>
    </row>
    <row r="31" spans="1:11">
      <c r="B31" s="3836"/>
      <c r="C31" s="3923" t="s">
        <v>412</v>
      </c>
      <c r="D31" s="3923" t="s">
        <v>413</v>
      </c>
      <c r="E31" s="3923" t="s">
        <v>414</v>
      </c>
      <c r="F31" s="3918" t="s">
        <v>701</v>
      </c>
      <c r="G31" s="3918" t="s">
        <v>815</v>
      </c>
      <c r="H31" s="3914" t="s">
        <v>118</v>
      </c>
      <c r="I31" s="3912" t="s">
        <v>821</v>
      </c>
      <c r="J31" s="3913" t="s">
        <v>822</v>
      </c>
    </row>
    <row r="32" spans="1:11">
      <c r="B32" s="3837"/>
      <c r="C32" s="3924"/>
      <c r="D32" s="3924"/>
      <c r="E32" s="3924"/>
      <c r="F32" s="3919"/>
      <c r="G32" s="3919"/>
      <c r="H32" s="3914"/>
      <c r="I32" s="3912"/>
      <c r="J32" s="3913"/>
    </row>
    <row r="33" spans="1:10" s="39" customFormat="1" ht="20.100000000000001" customHeight="1">
      <c r="A33" s="39">
        <v>1</v>
      </c>
      <c r="B33" s="3249" t="s">
        <v>175</v>
      </c>
      <c r="C33" s="3250">
        <f>+'[11]Sheet 2 - General Insurance'!$C$118</f>
        <v>-5893.5947500000002</v>
      </c>
      <c r="D33" s="3250">
        <f>+'[11]Sheet 2 - General Insurance'!$D$118</f>
        <v>-44.42</v>
      </c>
      <c r="E33" s="3250"/>
      <c r="F33" s="3250"/>
      <c r="G33" s="3250">
        <f>+'[11]Sheet 2 - General Insurance'!$G$118</f>
        <v>-1338.64975</v>
      </c>
      <c r="H33" s="2007">
        <f t="shared" ref="H33:H50" si="2">SUM(C33:G33)</f>
        <v>-7276.6645000000008</v>
      </c>
      <c r="I33" s="78">
        <f>+'SRCC &amp; TC 2011 &amp; 12'!H35</f>
        <v>-38629.1253</v>
      </c>
      <c r="J33" s="197">
        <f>+H33+I33</f>
        <v>-45905.789799999999</v>
      </c>
    </row>
    <row r="34" spans="1:10" s="39" customFormat="1" ht="20.100000000000001" customHeight="1">
      <c r="A34" s="39">
        <v>2</v>
      </c>
      <c r="B34" s="3249" t="s">
        <v>177</v>
      </c>
      <c r="C34" s="3250">
        <f>+'[9]Sheet 2 - General Insurance'!$C$117</f>
        <v>-9781</v>
      </c>
      <c r="D34" s="3250"/>
      <c r="E34" s="3250"/>
      <c r="F34" s="3250"/>
      <c r="G34" s="3250">
        <f>+'[9]Sheet 2 - General Insurance'!$G$117</f>
        <v>-1056</v>
      </c>
      <c r="H34" s="2007">
        <f>SUM(C34:G34)</f>
        <v>-10837</v>
      </c>
      <c r="I34" s="78">
        <f>+'SRCC &amp; TC 2011 &amp; 12'!H36</f>
        <v>-111057</v>
      </c>
      <c r="J34" s="197">
        <f t="shared" ref="J34:J50" si="3">+H34+I34</f>
        <v>-121894</v>
      </c>
    </row>
    <row r="35" spans="1:10" s="39" customFormat="1" ht="20.100000000000001" customHeight="1">
      <c r="A35" s="39">
        <v>3</v>
      </c>
      <c r="B35" s="3249" t="s">
        <v>179</v>
      </c>
      <c r="C35" s="3250">
        <f>+'[8]Sheet 2 - General Insurance'!$C$118</f>
        <v>-17205.777390000003</v>
      </c>
      <c r="D35" s="3250"/>
      <c r="E35" s="3250"/>
      <c r="F35" s="3250"/>
      <c r="G35" s="3250">
        <f>+'[8]Sheet 2 - General Insurance'!$G$118</f>
        <v>-15002.819690000006</v>
      </c>
      <c r="H35" s="2007">
        <f t="shared" si="2"/>
        <v>-32208.597080000007</v>
      </c>
      <c r="I35" s="78">
        <f>+'SRCC &amp; TC 2011 &amp; 12'!H37</f>
        <v>-203337.60295999993</v>
      </c>
      <c r="J35" s="197">
        <f t="shared" si="3"/>
        <v>-235546.20003999994</v>
      </c>
    </row>
    <row r="36" spans="1:10" s="39" customFormat="1" ht="20.100000000000001" customHeight="1">
      <c r="A36" s="39">
        <v>4</v>
      </c>
      <c r="B36" s="3249" t="s">
        <v>180</v>
      </c>
      <c r="C36" s="3250">
        <f>+'[10]Sheet 2 - General Insurance'!$C$117</f>
        <v>-404.3</v>
      </c>
      <c r="D36" s="3250">
        <f>+'[10]Sheet 2 - General Insurance'!$D$117</f>
        <v>-94.7</v>
      </c>
      <c r="E36" s="3250">
        <f>+'[10]Sheet 2 - General Insurance'!$E$117</f>
        <v>-456.6</v>
      </c>
      <c r="F36" s="3250"/>
      <c r="G36" s="3250">
        <f>+'[10]Sheet 2 - General Insurance'!$G$117</f>
        <v>-1867.1000000000001</v>
      </c>
      <c r="H36" s="2007">
        <f t="shared" si="2"/>
        <v>-2822.7000000000003</v>
      </c>
      <c r="I36" s="78">
        <f>+'SRCC &amp; TC 2011 &amp; 12'!H38</f>
        <v>-45723.500000000007</v>
      </c>
      <c r="J36" s="197">
        <f t="shared" si="3"/>
        <v>-48546.200000000004</v>
      </c>
    </row>
    <row r="37" spans="1:10" s="39" customFormat="1" ht="20.100000000000001" customHeight="1">
      <c r="A37" s="39">
        <v>5</v>
      </c>
      <c r="B37" s="3249" t="s">
        <v>181</v>
      </c>
      <c r="C37" s="3250">
        <v>0</v>
      </c>
      <c r="D37" s="3250">
        <v>0</v>
      </c>
      <c r="E37" s="3250">
        <v>0</v>
      </c>
      <c r="F37" s="3250">
        <v>0</v>
      </c>
      <c r="G37" s="3250">
        <v>0</v>
      </c>
      <c r="H37" s="2007">
        <f t="shared" si="2"/>
        <v>0</v>
      </c>
      <c r="I37" s="78">
        <f>+'SRCC &amp; TC 2011 &amp; 12'!H39</f>
        <v>-32888.35727</v>
      </c>
      <c r="J37" s="197">
        <f t="shared" si="3"/>
        <v>-32888.35727</v>
      </c>
    </row>
    <row r="38" spans="1:10" s="39" customFormat="1" ht="20.100000000000001" customHeight="1">
      <c r="A38" s="39">
        <v>6</v>
      </c>
      <c r="B38" s="3249" t="s">
        <v>182</v>
      </c>
      <c r="C38" s="3250">
        <f>-'[37]Sheet 2 - General Insurance'!$C$117</f>
        <v>-31660.61298726725</v>
      </c>
      <c r="D38" s="3250"/>
      <c r="E38" s="3250"/>
      <c r="F38" s="3250">
        <f>-'[37]Sheet 2 - General Insurance'!$F$117</f>
        <v>-1151.3513294933514</v>
      </c>
      <c r="G38" s="3250">
        <f>-'[37]Sheet 2 - General Insurance'!$G$117</f>
        <v>-4245.693793966002</v>
      </c>
      <c r="H38" s="2007">
        <f>SUM(C38:G38)</f>
        <v>-37057.65811072661</v>
      </c>
      <c r="I38" s="78">
        <f>+'SRCC &amp; TC 2011 &amp; 12'!H40</f>
        <v>-39866.699327400071</v>
      </c>
      <c r="J38" s="197">
        <f t="shared" si="3"/>
        <v>-76924.357438126681</v>
      </c>
    </row>
    <row r="39" spans="1:10" s="39" customFormat="1" ht="20.100000000000001" customHeight="1">
      <c r="A39" s="39">
        <v>7</v>
      </c>
      <c r="B39" s="3249" t="s">
        <v>183</v>
      </c>
      <c r="C39" s="3250">
        <f>-'[12]Sheet 2 - General Insurance'!$C$156</f>
        <v>-15485</v>
      </c>
      <c r="D39" s="3250">
        <f>-'[12]Sheet 2 - General Insurance'!$D$156</f>
        <v>-88</v>
      </c>
      <c r="E39" s="3250">
        <f>-'[12]Sheet 2 - General Insurance'!$E$156</f>
        <v>-118</v>
      </c>
      <c r="F39" s="3250">
        <f>-'[12]Sheet 2 - General Insurance'!$F$156</f>
        <v>0</v>
      </c>
      <c r="G39" s="3250">
        <f>-'[12]Sheet 2 - General Insurance'!$G$156</f>
        <v>-1887</v>
      </c>
      <c r="H39" s="2007">
        <f t="shared" si="2"/>
        <v>-17578</v>
      </c>
      <c r="I39" s="78">
        <f>+'SRCC &amp; TC 2011 &amp; 12'!H41</f>
        <v>-464692</v>
      </c>
      <c r="J39" s="197">
        <f t="shared" si="3"/>
        <v>-482270</v>
      </c>
    </row>
    <row r="40" spans="1:10" s="39" customFormat="1" ht="20.100000000000001" customHeight="1">
      <c r="A40" s="39">
        <v>8</v>
      </c>
      <c r="B40" s="3249" t="s">
        <v>184</v>
      </c>
      <c r="C40" s="3250"/>
      <c r="D40" s="3250"/>
      <c r="E40" s="3250"/>
      <c r="F40" s="3250"/>
      <c r="G40" s="3250"/>
      <c r="H40" s="2007">
        <f t="shared" si="2"/>
        <v>0</v>
      </c>
      <c r="I40" s="78">
        <f>+'SRCC &amp; TC 2011 &amp; 12'!H42</f>
        <v>-15256.22465</v>
      </c>
      <c r="J40" s="197">
        <f t="shared" si="3"/>
        <v>-15256.22465</v>
      </c>
    </row>
    <row r="41" spans="1:10" s="39" customFormat="1" ht="20.100000000000001" customHeight="1">
      <c r="A41" s="39">
        <v>9</v>
      </c>
      <c r="B41" s="3249" t="s">
        <v>185</v>
      </c>
      <c r="C41" s="3250"/>
      <c r="D41" s="3250"/>
      <c r="E41" s="3250"/>
      <c r="F41" s="3250"/>
      <c r="G41" s="3250"/>
      <c r="H41" s="2007">
        <f t="shared" si="2"/>
        <v>0</v>
      </c>
      <c r="I41" s="78">
        <f>+'SRCC &amp; TC 2011 &amp; 12'!H43</f>
        <v>0</v>
      </c>
      <c r="J41" s="197">
        <f t="shared" si="3"/>
        <v>0</v>
      </c>
    </row>
    <row r="42" spans="1:10" s="39" customFormat="1" ht="20.100000000000001" customHeight="1">
      <c r="A42" s="39">
        <v>10</v>
      </c>
      <c r="B42" s="3249" t="s">
        <v>186</v>
      </c>
      <c r="C42" s="3250">
        <v>0</v>
      </c>
      <c r="D42" s="3250">
        <v>0</v>
      </c>
      <c r="E42" s="3250">
        <v>0</v>
      </c>
      <c r="F42" s="3250">
        <v>0</v>
      </c>
      <c r="G42" s="3250">
        <v>0</v>
      </c>
      <c r="H42" s="2007">
        <f t="shared" si="2"/>
        <v>0</v>
      </c>
      <c r="I42" s="78">
        <f>+'SRCC &amp; TC 2011 &amp; 12'!H44</f>
        <v>-70513.827390000006</v>
      </c>
      <c r="J42" s="197">
        <f t="shared" si="3"/>
        <v>-70513.827390000006</v>
      </c>
    </row>
    <row r="43" spans="1:10" s="39" customFormat="1" ht="20.100000000000001" customHeight="1">
      <c r="A43" s="39">
        <v>11</v>
      </c>
      <c r="B43" s="3249" t="s">
        <v>187</v>
      </c>
      <c r="C43" s="3250"/>
      <c r="D43" s="3250"/>
      <c r="E43" s="3250"/>
      <c r="F43" s="3250"/>
      <c r="G43" s="3250"/>
      <c r="H43" s="2007">
        <f t="shared" si="2"/>
        <v>0</v>
      </c>
      <c r="I43" s="78">
        <f>+'SRCC &amp; TC 2011 &amp; 12'!H45</f>
        <v>-170203.21254000004</v>
      </c>
      <c r="J43" s="197">
        <f t="shared" si="3"/>
        <v>-170203.21254000004</v>
      </c>
    </row>
    <row r="44" spans="1:10" s="39" customFormat="1" ht="20.100000000000001" customHeight="1">
      <c r="A44" s="39">
        <v>12</v>
      </c>
      <c r="B44" s="3249" t="s">
        <v>190</v>
      </c>
      <c r="C44" s="3250">
        <v>0</v>
      </c>
      <c r="D44" s="3250">
        <v>0</v>
      </c>
      <c r="E44" s="3250">
        <v>0</v>
      </c>
      <c r="F44" s="3250">
        <v>0</v>
      </c>
      <c r="G44" s="3250">
        <v>0</v>
      </c>
      <c r="H44" s="2007">
        <f t="shared" si="2"/>
        <v>0</v>
      </c>
      <c r="I44" s="78">
        <f>+'SRCC &amp; TC 2011 &amp; 12'!H46</f>
        <v>-43233.137620000001</v>
      </c>
      <c r="J44" s="197">
        <f t="shared" si="3"/>
        <v>-43233.137620000001</v>
      </c>
    </row>
    <row r="45" spans="1:10" s="39" customFormat="1" ht="20.100000000000001" customHeight="1">
      <c r="A45" s="39">
        <v>14</v>
      </c>
      <c r="B45" s="3249" t="s">
        <v>189</v>
      </c>
      <c r="C45" s="3250"/>
      <c r="D45" s="3250"/>
      <c r="E45" s="3250"/>
      <c r="F45" s="3250"/>
      <c r="G45" s="3250"/>
      <c r="H45" s="2007">
        <f t="shared" si="2"/>
        <v>0</v>
      </c>
      <c r="I45" s="78">
        <f>+'SRCC &amp; TC 2011 &amp; 12'!H48</f>
        <v>0</v>
      </c>
      <c r="J45" s="197">
        <f t="shared" si="3"/>
        <v>0</v>
      </c>
    </row>
    <row r="46" spans="1:10" s="39" customFormat="1" ht="20.100000000000001" customHeight="1">
      <c r="A46" s="39">
        <v>15</v>
      </c>
      <c r="B46" s="3249" t="s">
        <v>192</v>
      </c>
      <c r="C46" s="3250">
        <f>+'[40]Sheet 2 - General Insurance'!$C$120</f>
        <v>-909</v>
      </c>
      <c r="D46" s="3250">
        <v>0</v>
      </c>
      <c r="E46" s="3250">
        <v>0</v>
      </c>
      <c r="F46" s="3250">
        <v>0</v>
      </c>
      <c r="G46" s="3250">
        <v>0</v>
      </c>
      <c r="H46" s="2007">
        <f t="shared" si="2"/>
        <v>-909</v>
      </c>
      <c r="I46" s="78">
        <f>+'SRCC &amp; TC 2011 &amp; 12'!H49</f>
        <v>-129301</v>
      </c>
      <c r="J46" s="197">
        <f t="shared" si="3"/>
        <v>-130210</v>
      </c>
    </row>
    <row r="47" spans="1:10" s="39" customFormat="1" ht="20.100000000000001" customHeight="1">
      <c r="A47" s="39">
        <v>16</v>
      </c>
      <c r="B47" s="3249" t="s">
        <v>193</v>
      </c>
      <c r="C47" s="3250">
        <f>+'[16]Sheet 2 - General Insurance'!$C$118</f>
        <v>-91085</v>
      </c>
      <c r="D47" s="3250"/>
      <c r="E47" s="3250"/>
      <c r="F47" s="3250"/>
      <c r="G47" s="3250">
        <f>+'[16]Sheet 2 - General Insurance'!$G$118</f>
        <v>-16526</v>
      </c>
      <c r="H47" s="2007">
        <f t="shared" si="2"/>
        <v>-107611</v>
      </c>
      <c r="I47" s="78">
        <f>+'SRCC &amp; TC 2011 &amp; 12'!H50</f>
        <v>-379925</v>
      </c>
      <c r="J47" s="197">
        <f t="shared" si="3"/>
        <v>-487536</v>
      </c>
    </row>
    <row r="48" spans="1:10" s="39" customFormat="1" ht="20.100000000000001" customHeight="1">
      <c r="A48" s="39">
        <v>17</v>
      </c>
      <c r="B48" s="3249" t="s">
        <v>194</v>
      </c>
      <c r="C48" s="3250">
        <v>0</v>
      </c>
      <c r="D48" s="3250">
        <v>0</v>
      </c>
      <c r="E48" s="3250">
        <v>0</v>
      </c>
      <c r="F48" s="3250">
        <v>0</v>
      </c>
      <c r="G48" s="3250">
        <v>0</v>
      </c>
      <c r="H48" s="2007">
        <f t="shared" si="2"/>
        <v>0</v>
      </c>
      <c r="I48" s="78">
        <f>+'SRCC &amp; TC 2011 &amp; 12'!H51</f>
        <v>0</v>
      </c>
      <c r="J48" s="197">
        <f t="shared" si="3"/>
        <v>0</v>
      </c>
    </row>
    <row r="49" spans="1:10" s="39" customFormat="1" ht="20.100000000000001" customHeight="1">
      <c r="A49" s="39">
        <v>18</v>
      </c>
      <c r="B49" s="3249" t="s">
        <v>195</v>
      </c>
      <c r="C49" s="3250">
        <v>0</v>
      </c>
      <c r="D49" s="3250">
        <v>0</v>
      </c>
      <c r="E49" s="3250">
        <v>0</v>
      </c>
      <c r="F49" s="3250">
        <v>0</v>
      </c>
      <c r="G49" s="3250">
        <v>0</v>
      </c>
      <c r="H49" s="2007">
        <f t="shared" si="2"/>
        <v>0</v>
      </c>
      <c r="I49" s="78">
        <f>+'SRCC &amp; TC 2011 &amp; 12'!H52</f>
        <v>-205106</v>
      </c>
      <c r="J49" s="197">
        <f t="shared" si="3"/>
        <v>-205106</v>
      </c>
    </row>
    <row r="50" spans="1:10" s="39" customFormat="1" ht="20.100000000000001" customHeight="1">
      <c r="A50" s="39">
        <v>19</v>
      </c>
      <c r="B50" s="3249" t="s">
        <v>191</v>
      </c>
      <c r="C50" s="3250">
        <v>0</v>
      </c>
      <c r="D50" s="3250">
        <v>0</v>
      </c>
      <c r="E50" s="3250">
        <v>0</v>
      </c>
      <c r="F50" s="3250">
        <v>0</v>
      </c>
      <c r="G50" s="3250">
        <v>0</v>
      </c>
      <c r="H50" s="2007">
        <f t="shared" si="2"/>
        <v>0</v>
      </c>
      <c r="I50" s="78">
        <f>+'SRCC &amp; TC 2011 &amp; 12'!H53</f>
        <v>-72.134439999999998</v>
      </c>
      <c r="J50" s="197">
        <f t="shared" si="3"/>
        <v>-72.134439999999998</v>
      </c>
    </row>
    <row r="51" spans="1:10" s="39" customFormat="1" ht="20.100000000000001" customHeight="1" thickBot="1">
      <c r="B51" s="3251" t="s">
        <v>118</v>
      </c>
      <c r="C51" s="269">
        <f>SUM(C33:C50)</f>
        <v>-172424.28512726724</v>
      </c>
      <c r="D51" s="269">
        <f>SUM(D33:D50)</f>
        <v>-227.12</v>
      </c>
      <c r="E51" s="269">
        <f>SUM(E33:E50)</f>
        <v>-574.6</v>
      </c>
      <c r="F51" s="269">
        <f>SUM(F33:F50)</f>
        <v>-1151.3513294933514</v>
      </c>
      <c r="G51" s="269">
        <f>SUM(G33:G50)</f>
        <v>-41923.263233966005</v>
      </c>
      <c r="H51" s="2011">
        <f>SUM(C51:G51)</f>
        <v>-216300.61969072663</v>
      </c>
      <c r="I51" s="270">
        <f>+'SRCC &amp; TC 2011 &amp; 12'!H55</f>
        <v>-1949804.8214974001</v>
      </c>
      <c r="J51" s="271">
        <f>+H51+I51</f>
        <v>-2166105.4411881268</v>
      </c>
    </row>
    <row r="52" spans="1:10" ht="15.75" thickTop="1"/>
  </sheetData>
  <customSheetViews>
    <customSheetView guid="{5E394B0B-7867-4722-9497-A93AB2A9A773}" showPageBreaks="1" printArea="1" state="hidden">
      <pane xSplit="2" ySplit="7" topLeftCell="C17" activePane="bottomRight" state="frozen"/>
      <selection pane="bottomRight" activeCell="E17" sqref="E17"/>
      <colBreaks count="1" manualBreakCount="1">
        <brk id="10" max="1048575" man="1"/>
      </colBreaks>
      <pageMargins left="0" right="0" top="0" bottom="0" header="0" footer="0"/>
      <pageSetup scale="64" orientation="portrait" r:id="rId1"/>
    </customSheetView>
    <customSheetView guid="{B1E1B596-A9A1-411D-A882-A48CB025B978}" showPageBreaks="1" printArea="1" state="hidden">
      <pane xSplit="2" ySplit="7" topLeftCell="C17" activePane="bottomRight" state="frozen"/>
      <selection pane="bottomRight" activeCell="E17" sqref="E17"/>
      <colBreaks count="1" manualBreakCount="1">
        <brk id="10" max="1048575" man="1"/>
      </colBreaks>
      <pageMargins left="0" right="0" top="0" bottom="0" header="0" footer="0"/>
      <pageSetup scale="64" orientation="portrait" r:id="rId2"/>
    </customSheetView>
    <customSheetView guid="{E82B35BE-4719-4C53-A9EF-1CC6F153A6F3}" showPageBreaks="1" printArea="1" state="hidden">
      <pane xSplit="2" ySplit="7" topLeftCell="C17" activePane="bottomRight" state="frozen"/>
      <selection pane="bottomRight" activeCell="E17" sqref="E17"/>
      <colBreaks count="1" manualBreakCount="1">
        <brk id="10" max="1048575" man="1"/>
      </colBreaks>
      <pageMargins left="0" right="0" top="0" bottom="0" header="0" footer="0"/>
      <pageSetup scale="64" orientation="portrait" r:id="rId3"/>
    </customSheetView>
    <customSheetView guid="{46F31544-8E6F-41C5-8628-1D6EE074AF15}" state="hidden">
      <pane xSplit="2" ySplit="7" topLeftCell="C17" activePane="bottomRight" state="frozen"/>
      <selection pane="bottomRight" activeCell="E17" sqref="E17"/>
      <colBreaks count="1" manualBreakCount="1">
        <brk id="10" max="1048575" man="1"/>
      </colBreaks>
      <pageMargins left="0" right="0" top="0" bottom="0" header="0" footer="0"/>
      <pageSetup scale="64" orientation="portrait" r:id="rId4"/>
    </customSheetView>
    <customSheetView guid="{B2E1A0C6-5BA1-4CF1-B412-16D81FCDF11F}" showPageBreaks="1" printArea="1" state="hidden">
      <pane xSplit="2" ySplit="7" topLeftCell="C17" activePane="bottomRight" state="frozen"/>
      <selection pane="bottomRight" activeCell="E17" sqref="E17"/>
      <colBreaks count="1" manualBreakCount="1">
        <brk id="10" max="1048575" man="1"/>
      </colBreaks>
      <pageMargins left="0" right="0" top="0" bottom="0" header="0" footer="0"/>
      <pageSetup scale="64" orientation="portrait" r:id="rId5"/>
    </customSheetView>
    <customSheetView guid="{967E0446-E234-427F-8E57-7FE287052E2E}" showPageBreaks="1" printArea="1" state="hidden">
      <pane xSplit="2" ySplit="7" topLeftCell="C17" activePane="bottomRight" state="frozen"/>
      <selection pane="bottomRight" activeCell="E17" sqref="E17"/>
      <colBreaks count="1" manualBreakCount="1">
        <brk id="10" max="1048575" man="1"/>
      </colBreaks>
      <pageMargins left="0" right="0" top="0" bottom="0" header="0" footer="0"/>
      <pageSetup scale="64" orientation="portrait" r:id="rId6"/>
    </customSheetView>
    <customSheetView guid="{2ACFE167-4169-43A6-9AB2-59D5A2DA2DB4}" showPageBreaks="1" printArea="1" state="hidden">
      <pane xSplit="2" ySplit="7" topLeftCell="C17" activePane="bottomRight" state="frozen"/>
      <selection pane="bottomRight" activeCell="E17" sqref="E17"/>
      <colBreaks count="1" manualBreakCount="1">
        <brk id="10" max="1048575" man="1"/>
      </colBreaks>
      <pageMargins left="0" right="0" top="0" bottom="0" header="0" footer="0"/>
      <pageSetup scale="64" orientation="portrait" r:id="rId7"/>
    </customSheetView>
  </customSheetViews>
  <mergeCells count="20">
    <mergeCell ref="B5:B7"/>
    <mergeCell ref="C5:G5"/>
    <mergeCell ref="C6:C7"/>
    <mergeCell ref="F31:F32"/>
    <mergeCell ref="G31:G32"/>
    <mergeCell ref="D6:D7"/>
    <mergeCell ref="E6:E7"/>
    <mergeCell ref="F6:F7"/>
    <mergeCell ref="G6:G7"/>
    <mergeCell ref="B30:B32"/>
    <mergeCell ref="C30:G30"/>
    <mergeCell ref="C31:C32"/>
    <mergeCell ref="D31:D32"/>
    <mergeCell ref="E31:E32"/>
    <mergeCell ref="I6:I7"/>
    <mergeCell ref="J6:J7"/>
    <mergeCell ref="H31:H32"/>
    <mergeCell ref="I31:I32"/>
    <mergeCell ref="J31:J32"/>
    <mergeCell ref="H6:H7"/>
  </mergeCells>
  <pageMargins left="0.82" right="0.7" top="0.75" bottom="0.75" header="0.3" footer="0.3"/>
  <pageSetup scale="64" orientation="portrait" r:id="rId8"/>
  <colBreaks count="1" manualBreakCount="1">
    <brk id="10"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C000"/>
  </sheetPr>
  <dimension ref="A3:F193"/>
  <sheetViews>
    <sheetView workbookViewId="0">
      <selection activeCell="G36" sqref="G36:G37"/>
    </sheetView>
  </sheetViews>
  <sheetFormatPr defaultRowHeight="15"/>
  <cols>
    <col min="3" max="3" width="12.140625" bestFit="1" customWidth="1"/>
    <col min="4" max="4" width="38.42578125" customWidth="1"/>
    <col min="5" max="5" width="14.5703125" customWidth="1"/>
    <col min="6" max="6" width="14.7109375" customWidth="1"/>
  </cols>
  <sheetData>
    <row r="3" spans="1:6">
      <c r="D3" s="191" t="s">
        <v>823</v>
      </c>
      <c r="E3" s="54"/>
      <c r="F3" s="54"/>
    </row>
    <row r="4" spans="1:6">
      <c r="D4" s="192"/>
      <c r="E4" s="54"/>
      <c r="F4" s="54"/>
    </row>
    <row r="5" spans="1:6">
      <c r="D5" s="3252"/>
      <c r="E5" s="3253">
        <v>2009</v>
      </c>
      <c r="F5" s="3253">
        <v>2008</v>
      </c>
    </row>
    <row r="6" spans="1:6">
      <c r="D6" s="3254" t="s">
        <v>428</v>
      </c>
      <c r="E6" s="3205">
        <f t="shared" ref="E6:F10" si="0">+E17+E27+E37+E47+E57+E67+E77+E87+E97+E107+E117+E127+E137+E147+E157+E167+E177+E187</f>
        <v>1653295.69484</v>
      </c>
      <c r="F6" s="3205">
        <f t="shared" si="0"/>
        <v>1641064.4322200001</v>
      </c>
    </row>
    <row r="7" spans="1:6">
      <c r="D7" s="3254" t="s">
        <v>429</v>
      </c>
      <c r="E7" s="3205">
        <f t="shared" si="0"/>
        <v>4416527</v>
      </c>
      <c r="F7" s="3205">
        <f t="shared" si="0"/>
        <v>4130833.19997</v>
      </c>
    </row>
    <row r="8" spans="1:6">
      <c r="D8" s="3254" t="s">
        <v>436</v>
      </c>
      <c r="E8" s="3205">
        <f t="shared" si="0"/>
        <v>6654833.0076299999</v>
      </c>
      <c r="F8" s="3205">
        <f t="shared" si="0"/>
        <v>6796892.2811399996</v>
      </c>
    </row>
    <row r="9" spans="1:6">
      <c r="D9" s="3254" t="s">
        <v>824</v>
      </c>
      <c r="E9" s="3205">
        <f t="shared" si="0"/>
        <v>133628.67611999999</v>
      </c>
      <c r="F9" s="3205">
        <f t="shared" si="0"/>
        <v>123278.78773</v>
      </c>
    </row>
    <row r="10" spans="1:6">
      <c r="D10" s="3254" t="s">
        <v>439</v>
      </c>
      <c r="E10" s="3205">
        <f t="shared" si="0"/>
        <v>48729.046999999999</v>
      </c>
      <c r="F10" s="3205">
        <f t="shared" si="0"/>
        <v>74769.225000000006</v>
      </c>
    </row>
    <row r="11" spans="1:6" ht="15.75" thickBot="1">
      <c r="D11" s="76" t="s">
        <v>118</v>
      </c>
      <c r="E11" s="84">
        <f>SUM(E6:E10)</f>
        <v>12907013.425590001</v>
      </c>
      <c r="F11" s="84">
        <f>SUM(F6:F10)</f>
        <v>12766837.92606</v>
      </c>
    </row>
    <row r="12" spans="1:6" ht="15.75" thickTop="1"/>
    <row r="13" spans="1:6">
      <c r="A13" s="43">
        <v>1</v>
      </c>
      <c r="B13" s="3063" t="s">
        <v>175</v>
      </c>
      <c r="C13" s="3064" t="s">
        <v>755</v>
      </c>
    </row>
    <row r="14" spans="1:6">
      <c r="D14" s="191" t="s">
        <v>823</v>
      </c>
      <c r="E14" s="54"/>
      <c r="F14" s="54"/>
    </row>
    <row r="15" spans="1:6">
      <c r="D15" s="192"/>
      <c r="E15" s="54"/>
      <c r="F15" s="54"/>
    </row>
    <row r="16" spans="1:6">
      <c r="D16" s="3252"/>
      <c r="E16" s="3253">
        <v>2009</v>
      </c>
      <c r="F16" s="3253">
        <v>2008</v>
      </c>
    </row>
    <row r="17" spans="1:6">
      <c r="D17" s="3254" t="s">
        <v>428</v>
      </c>
      <c r="E17" s="3205">
        <v>-8076</v>
      </c>
      <c r="F17" s="3205">
        <v>-10327</v>
      </c>
    </row>
    <row r="18" spans="1:6">
      <c r="D18" s="3254" t="s">
        <v>429</v>
      </c>
      <c r="E18" s="3205">
        <v>275552</v>
      </c>
      <c r="F18" s="3205">
        <v>183734</v>
      </c>
    </row>
    <row r="19" spans="1:6">
      <c r="D19" s="3254" t="s">
        <v>436</v>
      </c>
      <c r="E19" s="3205">
        <v>177633</v>
      </c>
      <c r="F19" s="3205">
        <v>157908</v>
      </c>
    </row>
    <row r="20" spans="1:6">
      <c r="D20" s="3254" t="s">
        <v>824</v>
      </c>
      <c r="E20" s="3205"/>
      <c r="F20" s="3205"/>
    </row>
    <row r="21" spans="1:6">
      <c r="D21" s="3254" t="s">
        <v>439</v>
      </c>
      <c r="E21" s="3205">
        <v>2615</v>
      </c>
      <c r="F21" s="3205">
        <v>367</v>
      </c>
    </row>
    <row r="22" spans="1:6" ht="15.75" thickBot="1">
      <c r="D22" s="76" t="s">
        <v>118</v>
      </c>
      <c r="E22" s="84">
        <f>SUM(E17:E21)</f>
        <v>447724</v>
      </c>
      <c r="F22" s="84">
        <f>SUM(F17:F21)</f>
        <v>331682</v>
      </c>
    </row>
    <row r="23" spans="1:6" ht="15.75" thickTop="1">
      <c r="A23" s="43">
        <v>2</v>
      </c>
      <c r="B23" s="3063" t="s">
        <v>177</v>
      </c>
      <c r="C23" s="3064" t="s">
        <v>756</v>
      </c>
    </row>
    <row r="24" spans="1:6">
      <c r="D24" s="191" t="s">
        <v>823</v>
      </c>
      <c r="E24" s="54"/>
      <c r="F24" s="54"/>
    </row>
    <row r="25" spans="1:6">
      <c r="D25" s="192"/>
      <c r="E25" s="54"/>
      <c r="F25" s="54"/>
    </row>
    <row r="26" spans="1:6">
      <c r="D26" s="3252"/>
      <c r="E26" s="3253">
        <v>2009</v>
      </c>
      <c r="F26" s="3253">
        <v>2008</v>
      </c>
    </row>
    <row r="27" spans="1:6">
      <c r="D27" s="3254" t="s">
        <v>428</v>
      </c>
      <c r="E27" s="3205">
        <v>-88096</v>
      </c>
      <c r="F27" s="3205">
        <v>-66090</v>
      </c>
    </row>
    <row r="28" spans="1:6">
      <c r="D28" s="3254" t="s">
        <v>429</v>
      </c>
      <c r="E28" s="3205"/>
      <c r="F28" s="3205"/>
    </row>
    <row r="29" spans="1:6">
      <c r="D29" s="3254" t="s">
        <v>436</v>
      </c>
      <c r="E29" s="3205">
        <v>139869</v>
      </c>
      <c r="F29" s="3205">
        <v>80854</v>
      </c>
    </row>
    <row r="30" spans="1:6">
      <c r="D30" s="3254" t="s">
        <v>824</v>
      </c>
      <c r="E30" s="3205"/>
      <c r="F30" s="3205"/>
    </row>
    <row r="31" spans="1:6">
      <c r="D31" s="3254" t="s">
        <v>439</v>
      </c>
      <c r="E31" s="3205"/>
      <c r="F31" s="3205"/>
    </row>
    <row r="32" spans="1:6" ht="15.75" thickBot="1">
      <c r="D32" s="76" t="s">
        <v>118</v>
      </c>
      <c r="E32" s="84">
        <f>SUM(E27:E31)</f>
        <v>51773</v>
      </c>
      <c r="F32" s="84">
        <f>SUM(F27:F31)</f>
        <v>14764</v>
      </c>
    </row>
    <row r="33" spans="1:6" ht="15.75" thickTop="1">
      <c r="A33" s="43">
        <v>3</v>
      </c>
      <c r="B33" s="3063" t="s">
        <v>179</v>
      </c>
      <c r="C33" s="3064" t="s">
        <v>757</v>
      </c>
    </row>
    <row r="34" spans="1:6">
      <c r="D34" s="191" t="s">
        <v>823</v>
      </c>
      <c r="E34" s="54"/>
      <c r="F34" s="54"/>
    </row>
    <row r="35" spans="1:6">
      <c r="D35" s="192"/>
      <c r="E35" s="54"/>
      <c r="F35" s="54"/>
    </row>
    <row r="36" spans="1:6">
      <c r="D36" s="3252"/>
      <c r="E36" s="3253">
        <v>2009</v>
      </c>
      <c r="F36" s="3253">
        <v>2008</v>
      </c>
    </row>
    <row r="37" spans="1:6">
      <c r="D37" s="3254" t="s">
        <v>428</v>
      </c>
      <c r="E37" s="3086">
        <v>-13423</v>
      </c>
      <c r="F37" s="3086">
        <v>-14347</v>
      </c>
    </row>
    <row r="38" spans="1:6">
      <c r="D38" s="3254" t="s">
        <v>429</v>
      </c>
      <c r="E38" s="3086">
        <v>463208</v>
      </c>
      <c r="F38" s="3086">
        <v>395158</v>
      </c>
    </row>
    <row r="39" spans="1:6">
      <c r="D39" s="3254" t="s">
        <v>436</v>
      </c>
      <c r="E39" s="3086">
        <v>5381</v>
      </c>
      <c r="F39" s="3086">
        <v>3059</v>
      </c>
    </row>
    <row r="40" spans="1:6">
      <c r="D40" s="3254" t="s">
        <v>824</v>
      </c>
      <c r="E40" s="3086"/>
      <c r="F40" s="3086"/>
    </row>
    <row r="41" spans="1:6">
      <c r="D41" s="3254" t="s">
        <v>439</v>
      </c>
      <c r="E41" s="3086">
        <v>0</v>
      </c>
      <c r="F41" s="3086">
        <v>0</v>
      </c>
    </row>
    <row r="42" spans="1:6" ht="15.75" thickBot="1">
      <c r="D42" s="76" t="s">
        <v>118</v>
      </c>
      <c r="E42" s="84">
        <f>SUM(E37:E41)</f>
        <v>455166</v>
      </c>
      <c r="F42" s="84">
        <f>SUM(F37:F41)</f>
        <v>383870</v>
      </c>
    </row>
    <row r="43" spans="1:6" ht="15.75" thickTop="1">
      <c r="A43" s="43">
        <v>4</v>
      </c>
      <c r="B43" s="3063" t="s">
        <v>180</v>
      </c>
      <c r="C43" s="3064" t="s">
        <v>126</v>
      </c>
    </row>
    <row r="44" spans="1:6">
      <c r="D44" s="191" t="s">
        <v>823</v>
      </c>
      <c r="E44" s="54"/>
      <c r="F44" s="54"/>
    </row>
    <row r="45" spans="1:6">
      <c r="D45" s="192"/>
      <c r="E45" s="54"/>
      <c r="F45" s="54"/>
    </row>
    <row r="46" spans="1:6">
      <c r="D46" s="3252"/>
      <c r="E46" s="3253">
        <v>2009</v>
      </c>
      <c r="F46" s="3253">
        <v>2008</v>
      </c>
    </row>
    <row r="47" spans="1:6">
      <c r="D47" s="3254" t="s">
        <v>428</v>
      </c>
      <c r="E47" s="3205">
        <v>422598.59</v>
      </c>
      <c r="F47" s="3205">
        <v>328240.24</v>
      </c>
    </row>
    <row r="48" spans="1:6">
      <c r="D48" s="3254" t="s">
        <v>429</v>
      </c>
      <c r="E48" s="3205">
        <v>0</v>
      </c>
      <c r="F48" s="3205">
        <v>0</v>
      </c>
    </row>
    <row r="49" spans="1:6">
      <c r="D49" s="3254" t="s">
        <v>436</v>
      </c>
      <c r="E49" s="3205">
        <v>324833.15599999996</v>
      </c>
      <c r="F49" s="3205">
        <v>373763.32399999996</v>
      </c>
    </row>
    <row r="50" spans="1:6">
      <c r="D50" s="3254" t="s">
        <v>824</v>
      </c>
      <c r="E50" s="3205">
        <v>2484.8500000000004</v>
      </c>
      <c r="F50" s="3205">
        <v>2282.23</v>
      </c>
    </row>
    <row r="51" spans="1:6">
      <c r="D51" s="3254" t="s">
        <v>439</v>
      </c>
      <c r="E51" s="3205">
        <v>1581.547</v>
      </c>
      <c r="F51" s="3205">
        <v>1450</v>
      </c>
    </row>
    <row r="52" spans="1:6" ht="15.75" thickBot="1">
      <c r="D52" s="76" t="s">
        <v>118</v>
      </c>
      <c r="E52" s="84">
        <f>SUM(E47:E51)</f>
        <v>751498.14300000004</v>
      </c>
      <c r="F52" s="84">
        <f>SUM(F47:F51)</f>
        <v>705735.79399999999</v>
      </c>
    </row>
    <row r="53" spans="1:6" ht="15.75" thickTop="1">
      <c r="A53" s="43">
        <v>5</v>
      </c>
      <c r="B53" s="3063" t="s">
        <v>181</v>
      </c>
      <c r="C53" s="3064" t="s">
        <v>127</v>
      </c>
    </row>
    <row r="54" spans="1:6">
      <c r="D54" s="191" t="s">
        <v>823</v>
      </c>
      <c r="E54" s="54"/>
      <c r="F54" s="54"/>
    </row>
    <row r="55" spans="1:6">
      <c r="D55" s="192"/>
      <c r="E55" s="54"/>
      <c r="F55" s="54"/>
    </row>
    <row r="56" spans="1:6">
      <c r="D56" s="3252"/>
      <c r="E56" s="3253">
        <v>2009</v>
      </c>
      <c r="F56" s="3253">
        <v>2008</v>
      </c>
    </row>
    <row r="57" spans="1:6">
      <c r="D57" s="3254" t="s">
        <v>428</v>
      </c>
      <c r="E57" s="3205">
        <v>-23937</v>
      </c>
      <c r="F57" s="3205">
        <v>-24377</v>
      </c>
    </row>
    <row r="58" spans="1:6">
      <c r="D58" s="3254" t="s">
        <v>429</v>
      </c>
      <c r="E58" s="3205">
        <v>0</v>
      </c>
      <c r="F58" s="3205">
        <v>0</v>
      </c>
    </row>
    <row r="59" spans="1:6">
      <c r="D59" s="3254" t="s">
        <v>436</v>
      </c>
      <c r="E59" s="3205">
        <v>353146</v>
      </c>
      <c r="F59" s="3205">
        <v>331663</v>
      </c>
    </row>
    <row r="60" spans="1:6">
      <c r="D60" s="3254" t="s">
        <v>824</v>
      </c>
      <c r="E60" s="3205">
        <v>6715</v>
      </c>
      <c r="F60" s="3205">
        <v>5566</v>
      </c>
    </row>
    <row r="61" spans="1:6">
      <c r="D61" s="3254" t="s">
        <v>439</v>
      </c>
      <c r="E61" s="3205"/>
      <c r="F61" s="3205"/>
    </row>
    <row r="62" spans="1:6" ht="15.75" thickBot="1">
      <c r="D62" s="76" t="s">
        <v>118</v>
      </c>
      <c r="E62" s="84">
        <f>SUM(E57:E61)</f>
        <v>335924</v>
      </c>
      <c r="F62" s="84">
        <f>SUM(F57:F61)</f>
        <v>312852</v>
      </c>
    </row>
    <row r="63" spans="1:6" ht="15.75" thickTop="1">
      <c r="A63" s="43">
        <v>6</v>
      </c>
      <c r="B63" s="3063" t="s">
        <v>182</v>
      </c>
      <c r="C63" s="3064" t="s">
        <v>99</v>
      </c>
    </row>
    <row r="64" spans="1:6">
      <c r="D64" s="191" t="s">
        <v>823</v>
      </c>
      <c r="E64" s="54"/>
      <c r="F64" s="54"/>
    </row>
    <row r="65" spans="1:6">
      <c r="D65" s="192"/>
      <c r="E65" s="54"/>
      <c r="F65" s="54"/>
    </row>
    <row r="66" spans="1:6">
      <c r="D66" s="3252"/>
      <c r="E66" s="3253">
        <v>2009</v>
      </c>
      <c r="F66" s="3253">
        <v>2008</v>
      </c>
    </row>
    <row r="67" spans="1:6">
      <c r="D67" s="3254" t="s">
        <v>428</v>
      </c>
      <c r="E67" s="3205"/>
      <c r="F67" s="3205"/>
    </row>
    <row r="68" spans="1:6">
      <c r="D68" s="3254" t="s">
        <v>429</v>
      </c>
      <c r="E68" s="3205"/>
      <c r="F68" s="3205"/>
    </row>
    <row r="69" spans="1:6">
      <c r="D69" s="3254" t="s">
        <v>436</v>
      </c>
      <c r="E69" s="3205"/>
      <c r="F69" s="3205"/>
    </row>
    <row r="70" spans="1:6">
      <c r="D70" s="3254" t="s">
        <v>824</v>
      </c>
      <c r="E70" s="3205"/>
      <c r="F70" s="3205"/>
    </row>
    <row r="71" spans="1:6">
      <c r="D71" s="3254" t="s">
        <v>439</v>
      </c>
      <c r="E71" s="3205"/>
      <c r="F71" s="3205"/>
    </row>
    <row r="72" spans="1:6" ht="15.75" thickBot="1">
      <c r="D72" s="76" t="s">
        <v>118</v>
      </c>
      <c r="E72" s="84">
        <f>SUM(E67:E71)</f>
        <v>0</v>
      </c>
      <c r="F72" s="84">
        <f>SUM(F67:F71)</f>
        <v>0</v>
      </c>
    </row>
    <row r="73" spans="1:6" ht="15.75" thickTop="1">
      <c r="A73" s="43">
        <v>7</v>
      </c>
      <c r="B73" s="3063" t="s">
        <v>183</v>
      </c>
      <c r="C73" s="3064" t="s">
        <v>128</v>
      </c>
    </row>
    <row r="74" spans="1:6">
      <c r="D74" s="191" t="s">
        <v>823</v>
      </c>
      <c r="E74" s="54"/>
      <c r="F74" s="54"/>
    </row>
    <row r="75" spans="1:6">
      <c r="D75" s="192"/>
      <c r="E75" s="54"/>
      <c r="F75" s="54"/>
    </row>
    <row r="76" spans="1:6">
      <c r="D76" s="3252"/>
      <c r="E76" s="3253">
        <v>2009</v>
      </c>
      <c r="F76" s="3253">
        <v>2008</v>
      </c>
    </row>
    <row r="77" spans="1:6">
      <c r="D77" s="3254" t="s">
        <v>428</v>
      </c>
      <c r="E77" s="3205">
        <v>511595</v>
      </c>
      <c r="F77" s="3205">
        <v>581211</v>
      </c>
    </row>
    <row r="78" spans="1:6">
      <c r="D78" s="3254" t="s">
        <v>429</v>
      </c>
      <c r="E78" s="3205">
        <v>0</v>
      </c>
      <c r="F78" s="3205">
        <v>0</v>
      </c>
    </row>
    <row r="79" spans="1:6">
      <c r="D79" s="3254" t="s">
        <v>436</v>
      </c>
      <c r="E79" s="3205">
        <v>2607200</v>
      </c>
      <c r="F79" s="3205">
        <v>3366099</v>
      </c>
    </row>
    <row r="80" spans="1:6">
      <c r="D80" s="3254" t="s">
        <v>824</v>
      </c>
      <c r="E80" s="3205"/>
      <c r="F80" s="3205">
        <v>0</v>
      </c>
    </row>
    <row r="81" spans="1:6">
      <c r="D81" s="3254" t="s">
        <v>439</v>
      </c>
      <c r="E81" s="3205">
        <v>25721</v>
      </c>
      <c r="F81" s="3205">
        <v>24253</v>
      </c>
    </row>
    <row r="82" spans="1:6" ht="15.75" thickBot="1">
      <c r="D82" s="76" t="s">
        <v>118</v>
      </c>
      <c r="E82" s="84">
        <f>SUM(E77:E81)</f>
        <v>3144516</v>
      </c>
      <c r="F82" s="84">
        <f>SUM(F77:F81)</f>
        <v>3971563</v>
      </c>
    </row>
    <row r="83" spans="1:6" ht="15.75" thickTop="1">
      <c r="A83" s="43">
        <v>8</v>
      </c>
      <c r="B83" s="3063" t="s">
        <v>184</v>
      </c>
      <c r="C83" s="3064" t="s">
        <v>129</v>
      </c>
    </row>
    <row r="84" spans="1:6">
      <c r="D84" s="191" t="s">
        <v>823</v>
      </c>
      <c r="E84" s="54"/>
      <c r="F84" s="54"/>
    </row>
    <row r="85" spans="1:6">
      <c r="D85" s="192"/>
      <c r="E85" s="54"/>
      <c r="F85" s="54"/>
    </row>
    <row r="86" spans="1:6">
      <c r="D86" s="3252"/>
      <c r="E86" s="3253">
        <v>2009</v>
      </c>
      <c r="F86" s="3253">
        <v>2008</v>
      </c>
    </row>
    <row r="87" spans="1:6">
      <c r="D87" s="3254" t="s">
        <v>428</v>
      </c>
      <c r="E87" s="3205">
        <v>25789</v>
      </c>
      <c r="F87" s="3205">
        <v>16475</v>
      </c>
    </row>
    <row r="88" spans="1:6">
      <c r="D88" s="3254" t="s">
        <v>429</v>
      </c>
      <c r="E88" s="3205">
        <v>0</v>
      </c>
      <c r="F88" s="3205">
        <v>0</v>
      </c>
    </row>
    <row r="89" spans="1:6">
      <c r="D89" s="3254" t="s">
        <v>436</v>
      </c>
      <c r="E89" s="3205">
        <v>189299</v>
      </c>
      <c r="F89" s="3205">
        <v>165199</v>
      </c>
    </row>
    <row r="90" spans="1:6">
      <c r="D90" s="3254" t="s">
        <v>824</v>
      </c>
      <c r="E90" s="3205">
        <v>0</v>
      </c>
      <c r="F90" s="3205">
        <v>0</v>
      </c>
    </row>
    <row r="91" spans="1:6">
      <c r="D91" s="3254" t="s">
        <v>439</v>
      </c>
      <c r="E91" s="3205">
        <v>3708</v>
      </c>
      <c r="F91" s="3205">
        <v>2794</v>
      </c>
    </row>
    <row r="92" spans="1:6" ht="15.75" thickBot="1">
      <c r="D92" s="76" t="s">
        <v>118</v>
      </c>
      <c r="E92" s="84">
        <f>SUM(E87:E91)</f>
        <v>218796</v>
      </c>
      <c r="F92" s="84">
        <f>SUM(F87:F91)</f>
        <v>184468</v>
      </c>
    </row>
    <row r="93" spans="1:6" ht="15.75" thickTop="1">
      <c r="A93" s="43">
        <v>9</v>
      </c>
      <c r="B93" s="3063" t="s">
        <v>185</v>
      </c>
      <c r="C93" s="3064" t="s">
        <v>130</v>
      </c>
    </row>
    <row r="94" spans="1:6">
      <c r="D94" s="191" t="s">
        <v>823</v>
      </c>
      <c r="E94" s="54"/>
      <c r="F94" s="54"/>
    </row>
    <row r="95" spans="1:6">
      <c r="D95" s="192"/>
      <c r="E95" s="54"/>
      <c r="F95" s="54"/>
    </row>
    <row r="96" spans="1:6">
      <c r="D96" s="3252"/>
      <c r="E96" s="3253">
        <v>2009</v>
      </c>
      <c r="F96" s="3253">
        <v>2008</v>
      </c>
    </row>
    <row r="97" spans="1:6">
      <c r="D97" s="3254" t="s">
        <v>428</v>
      </c>
      <c r="E97" s="3205"/>
      <c r="F97" s="3205"/>
    </row>
    <row r="98" spans="1:6">
      <c r="D98" s="3254" t="s">
        <v>429</v>
      </c>
      <c r="E98" s="3205"/>
      <c r="F98" s="3205"/>
    </row>
    <row r="99" spans="1:6">
      <c r="D99" s="3254" t="s">
        <v>436</v>
      </c>
      <c r="E99" s="3205"/>
      <c r="F99" s="3205"/>
    </row>
    <row r="100" spans="1:6">
      <c r="D100" s="3254" t="s">
        <v>824</v>
      </c>
      <c r="E100" s="3205"/>
      <c r="F100" s="3205"/>
    </row>
    <row r="101" spans="1:6">
      <c r="D101" s="3254" t="s">
        <v>439</v>
      </c>
      <c r="E101" s="3205"/>
      <c r="F101" s="3205"/>
    </row>
    <row r="102" spans="1:6" ht="15.75" thickBot="1">
      <c r="D102" s="76" t="s">
        <v>118</v>
      </c>
      <c r="E102" s="84">
        <f>SUM(E97:E101)</f>
        <v>0</v>
      </c>
      <c r="F102" s="84">
        <f>SUM(F97:F101)</f>
        <v>0</v>
      </c>
    </row>
    <row r="103" spans="1:6" ht="15.75" thickTop="1">
      <c r="A103" s="43">
        <v>10</v>
      </c>
      <c r="B103" s="3063" t="s">
        <v>186</v>
      </c>
      <c r="C103" s="3064" t="s">
        <v>759</v>
      </c>
    </row>
    <row r="104" spans="1:6">
      <c r="D104" s="191" t="s">
        <v>823</v>
      </c>
      <c r="E104" s="54"/>
      <c r="F104" s="54"/>
    </row>
    <row r="105" spans="1:6">
      <c r="D105" s="192"/>
      <c r="E105" s="54"/>
      <c r="F105" s="54"/>
    </row>
    <row r="106" spans="1:6">
      <c r="D106" s="3252"/>
      <c r="E106" s="3253">
        <v>2009</v>
      </c>
      <c r="F106" s="3253">
        <v>2008</v>
      </c>
    </row>
    <row r="107" spans="1:6">
      <c r="D107" s="3254" t="s">
        <v>428</v>
      </c>
      <c r="E107" s="3205">
        <v>1564.2134599999922</v>
      </c>
      <c r="F107" s="3205">
        <v>6271.9525800000001</v>
      </c>
    </row>
    <row r="108" spans="1:6">
      <c r="D108" s="3254" t="s">
        <v>429</v>
      </c>
      <c r="E108" s="3205">
        <v>2561</v>
      </c>
      <c r="F108" s="3205">
        <v>207.19997000000001</v>
      </c>
    </row>
    <row r="109" spans="1:6">
      <c r="D109" s="3254" t="s">
        <v>436</v>
      </c>
      <c r="E109" s="3205">
        <v>272693</v>
      </c>
      <c r="F109" s="3205">
        <v>221936.37718000001</v>
      </c>
    </row>
    <row r="110" spans="1:6">
      <c r="D110" s="3254" t="s">
        <v>824</v>
      </c>
      <c r="E110" s="3205">
        <v>7093.8261199999997</v>
      </c>
      <c r="F110" s="3205">
        <v>5989.5577300000004</v>
      </c>
    </row>
    <row r="111" spans="1:6">
      <c r="D111" s="3254" t="s">
        <v>439</v>
      </c>
      <c r="E111" s="3205"/>
      <c r="F111" s="3205"/>
    </row>
    <row r="112" spans="1:6" ht="15.75" thickBot="1">
      <c r="D112" s="76" t="s">
        <v>118</v>
      </c>
      <c r="E112" s="84">
        <f>SUM(E107:E111)</f>
        <v>283912.03957999998</v>
      </c>
      <c r="F112" s="84">
        <f>SUM(F107:F111)</f>
        <v>234405.08746000001</v>
      </c>
    </row>
    <row r="113" spans="1:6" ht="15.75" thickTop="1">
      <c r="A113" s="43">
        <v>11</v>
      </c>
      <c r="B113" s="3063" t="s">
        <v>187</v>
      </c>
      <c r="C113" s="3064" t="s">
        <v>132</v>
      </c>
    </row>
    <row r="114" spans="1:6">
      <c r="D114" s="191" t="s">
        <v>823</v>
      </c>
      <c r="E114" s="54"/>
      <c r="F114" s="54"/>
    </row>
    <row r="115" spans="1:6">
      <c r="D115" s="192"/>
      <c r="E115" s="54"/>
      <c r="F115" s="54"/>
    </row>
    <row r="116" spans="1:6">
      <c r="D116" s="3252"/>
      <c r="E116" s="3253">
        <v>2009</v>
      </c>
      <c r="F116" s="3253">
        <v>2008</v>
      </c>
    </row>
    <row r="117" spans="1:6">
      <c r="D117" s="3254" t="s">
        <v>428</v>
      </c>
      <c r="E117" s="3205">
        <v>537431</v>
      </c>
      <c r="F117" s="3205">
        <v>477374</v>
      </c>
    </row>
    <row r="118" spans="1:6">
      <c r="D118" s="3254" t="s">
        <v>429</v>
      </c>
      <c r="E118" s="3205">
        <v>2300485</v>
      </c>
      <c r="F118" s="3205">
        <v>2075589</v>
      </c>
    </row>
    <row r="119" spans="1:6">
      <c r="D119" s="3254" t="s">
        <v>436</v>
      </c>
      <c r="E119" s="3205">
        <v>902542.3</v>
      </c>
      <c r="F119" s="3205">
        <v>868380</v>
      </c>
    </row>
    <row r="120" spans="1:6">
      <c r="D120" s="3254" t="s">
        <v>824</v>
      </c>
      <c r="E120" s="3205">
        <v>117335</v>
      </c>
      <c r="F120" s="3205">
        <v>109441</v>
      </c>
    </row>
    <row r="121" spans="1:6">
      <c r="D121" s="3254" t="s">
        <v>439</v>
      </c>
      <c r="E121" s="3205">
        <v>12527.5</v>
      </c>
      <c r="F121" s="3205">
        <v>45158</v>
      </c>
    </row>
    <row r="122" spans="1:6" ht="15.75" thickBot="1">
      <c r="D122" s="76" t="s">
        <v>118</v>
      </c>
      <c r="E122" s="84">
        <f>SUM(E117:E121)</f>
        <v>3870320.8</v>
      </c>
      <c r="F122" s="84">
        <f>SUM(F117:F121)</f>
        <v>3575942</v>
      </c>
    </row>
    <row r="123" spans="1:6" ht="15.75" thickTop="1">
      <c r="A123" s="43">
        <v>12</v>
      </c>
      <c r="B123" s="3063" t="s">
        <v>189</v>
      </c>
      <c r="C123" s="3064" t="s">
        <v>133</v>
      </c>
    </row>
    <row r="124" spans="1:6">
      <c r="D124" s="191" t="s">
        <v>823</v>
      </c>
      <c r="E124" s="54"/>
      <c r="F124" s="54"/>
    </row>
    <row r="125" spans="1:6">
      <c r="D125" s="192"/>
      <c r="E125" s="54"/>
      <c r="F125" s="54"/>
    </row>
    <row r="126" spans="1:6">
      <c r="D126" s="3252"/>
      <c r="E126" s="3253">
        <v>2009</v>
      </c>
      <c r="F126" s="3253">
        <v>2008</v>
      </c>
    </row>
    <row r="127" spans="1:6">
      <c r="D127" s="3254" t="s">
        <v>428</v>
      </c>
      <c r="E127" s="3205"/>
      <c r="F127" s="3205"/>
    </row>
    <row r="128" spans="1:6">
      <c r="D128" s="3254" t="s">
        <v>429</v>
      </c>
      <c r="E128" s="3205"/>
      <c r="F128" s="3205"/>
    </row>
    <row r="129" spans="1:6">
      <c r="D129" s="3254" t="s">
        <v>436</v>
      </c>
      <c r="E129" s="3205"/>
      <c r="F129" s="3205"/>
    </row>
    <row r="130" spans="1:6">
      <c r="D130" s="3254" t="s">
        <v>824</v>
      </c>
      <c r="E130" s="3205"/>
      <c r="F130" s="3205"/>
    </row>
    <row r="131" spans="1:6">
      <c r="D131" s="3254" t="s">
        <v>439</v>
      </c>
      <c r="E131" s="3205"/>
      <c r="F131" s="3205"/>
    </row>
    <row r="132" spans="1:6" ht="15.75" thickBot="1">
      <c r="D132" s="76" t="s">
        <v>118</v>
      </c>
      <c r="E132" s="84">
        <f>SUM(E127:E131)</f>
        <v>0</v>
      </c>
      <c r="F132" s="84">
        <f>SUM(F127:F131)</f>
        <v>0</v>
      </c>
    </row>
    <row r="133" spans="1:6" ht="15.75" thickTop="1">
      <c r="A133" s="43">
        <v>13</v>
      </c>
      <c r="B133" s="3063" t="s">
        <v>190</v>
      </c>
      <c r="C133" s="3064" t="s">
        <v>109</v>
      </c>
    </row>
    <row r="134" spans="1:6">
      <c r="D134" s="191" t="s">
        <v>823</v>
      </c>
      <c r="E134" s="54"/>
      <c r="F134" s="54"/>
    </row>
    <row r="135" spans="1:6">
      <c r="D135" s="192"/>
      <c r="E135" s="54"/>
      <c r="F135" s="54"/>
    </row>
    <row r="136" spans="1:6">
      <c r="D136" s="3252"/>
      <c r="E136" s="3253">
        <v>2009</v>
      </c>
      <c r="F136" s="3253">
        <v>2008</v>
      </c>
    </row>
    <row r="137" spans="1:6">
      <c r="D137" s="3254" t="s">
        <v>428</v>
      </c>
      <c r="E137" s="3205">
        <f>24284-9822</f>
        <v>14462</v>
      </c>
      <c r="F137" s="3205">
        <f>17511+4048</f>
        <v>21559</v>
      </c>
    </row>
    <row r="138" spans="1:6">
      <c r="D138" s="3254" t="s">
        <v>429</v>
      </c>
      <c r="E138" s="3205">
        <v>823</v>
      </c>
      <c r="F138" s="3205">
        <v>495</v>
      </c>
    </row>
    <row r="139" spans="1:6">
      <c r="D139" s="3254" t="s">
        <v>436</v>
      </c>
      <c r="E139" s="3205">
        <f>200646+241</f>
        <v>200887</v>
      </c>
      <c r="F139" s="3205">
        <v>152602</v>
      </c>
    </row>
    <row r="140" spans="1:6">
      <c r="D140" s="3254" t="s">
        <v>824</v>
      </c>
      <c r="E140" s="3205"/>
      <c r="F140" s="3205"/>
    </row>
    <row r="141" spans="1:6">
      <c r="D141" s="3254" t="s">
        <v>439</v>
      </c>
      <c r="E141" s="3205">
        <v>241</v>
      </c>
      <c r="F141" s="3205">
        <v>391</v>
      </c>
    </row>
    <row r="142" spans="1:6" ht="15.75" thickBot="1">
      <c r="D142" s="76" t="s">
        <v>118</v>
      </c>
      <c r="E142" s="84">
        <f>SUM(E137:E141)</f>
        <v>216413</v>
      </c>
      <c r="F142" s="84">
        <f>SUM(F137:F141)</f>
        <v>175047</v>
      </c>
    </row>
    <row r="143" spans="1:6" ht="15.75" thickTop="1">
      <c r="A143" s="43">
        <v>14</v>
      </c>
      <c r="B143" s="3063" t="s">
        <v>191</v>
      </c>
      <c r="C143" s="3064" t="s">
        <v>111</v>
      </c>
    </row>
    <row r="144" spans="1:6">
      <c r="D144" s="191" t="s">
        <v>823</v>
      </c>
      <c r="E144" s="54"/>
      <c r="F144" s="54"/>
    </row>
    <row r="145" spans="1:6">
      <c r="D145" s="192"/>
      <c r="E145" s="54"/>
      <c r="F145" s="54"/>
    </row>
    <row r="146" spans="1:6">
      <c r="D146" s="3252"/>
      <c r="E146" s="3253">
        <v>2009</v>
      </c>
      <c r="F146" s="3253">
        <v>2008</v>
      </c>
    </row>
    <row r="147" spans="1:6">
      <c r="D147" s="3254" t="s">
        <v>428</v>
      </c>
      <c r="E147" s="3205"/>
      <c r="F147" s="3205"/>
    </row>
    <row r="148" spans="1:6">
      <c r="D148" s="3254" t="s">
        <v>429</v>
      </c>
      <c r="E148" s="3205"/>
      <c r="F148" s="3205"/>
    </row>
    <row r="149" spans="1:6">
      <c r="D149" s="3254" t="s">
        <v>436</v>
      </c>
      <c r="E149" s="3205"/>
      <c r="F149" s="3205"/>
    </row>
    <row r="150" spans="1:6">
      <c r="D150" s="3254" t="s">
        <v>824</v>
      </c>
      <c r="E150" s="3205"/>
      <c r="F150" s="3205"/>
    </row>
    <row r="151" spans="1:6">
      <c r="D151" s="3254" t="s">
        <v>439</v>
      </c>
      <c r="E151" s="3205"/>
      <c r="F151" s="3205"/>
    </row>
    <row r="152" spans="1:6" ht="15.75" thickBot="1">
      <c r="D152" s="76" t="s">
        <v>118</v>
      </c>
      <c r="E152" s="84">
        <f>SUM(E147:E151)</f>
        <v>0</v>
      </c>
      <c r="F152" s="84">
        <f>SUM(F147:F151)</f>
        <v>0</v>
      </c>
    </row>
    <row r="153" spans="1:6" ht="15.75" thickTop="1">
      <c r="A153" s="43">
        <v>15</v>
      </c>
      <c r="B153" s="3063" t="s">
        <v>192</v>
      </c>
      <c r="C153" s="3064" t="s">
        <v>112</v>
      </c>
    </row>
    <row r="154" spans="1:6">
      <c r="D154" s="191" t="s">
        <v>823</v>
      </c>
      <c r="E154" s="54"/>
      <c r="F154" s="54"/>
    </row>
    <row r="155" spans="1:6">
      <c r="D155" s="192"/>
      <c r="E155" s="54"/>
      <c r="F155" s="54"/>
    </row>
    <row r="156" spans="1:6">
      <c r="D156" s="3252"/>
      <c r="E156" s="3253">
        <v>2009</v>
      </c>
      <c r="F156" s="3253">
        <v>2008</v>
      </c>
    </row>
    <row r="157" spans="1:6">
      <c r="D157" s="3254" t="s">
        <v>428</v>
      </c>
      <c r="E157" s="3205"/>
      <c r="F157" s="3205"/>
    </row>
    <row r="158" spans="1:6">
      <c r="D158" s="3254" t="s">
        <v>429</v>
      </c>
      <c r="E158" s="3205"/>
      <c r="F158" s="3205"/>
    </row>
    <row r="159" spans="1:6">
      <c r="D159" s="3254" t="s">
        <v>436</v>
      </c>
      <c r="E159" s="3205"/>
      <c r="F159" s="3205"/>
    </row>
    <row r="160" spans="1:6">
      <c r="D160" s="3254" t="s">
        <v>824</v>
      </c>
      <c r="E160" s="3205"/>
      <c r="F160" s="3205"/>
    </row>
    <row r="161" spans="1:6">
      <c r="D161" s="3254" t="s">
        <v>439</v>
      </c>
      <c r="E161" s="3205"/>
      <c r="F161" s="3205"/>
    </row>
    <row r="162" spans="1:6" ht="15.75" thickBot="1">
      <c r="D162" s="76" t="s">
        <v>118</v>
      </c>
      <c r="E162" s="84">
        <f>SUM(E157:E161)</f>
        <v>0</v>
      </c>
      <c r="F162" s="84">
        <f>SUM(F157:F161)</f>
        <v>0</v>
      </c>
    </row>
    <row r="163" spans="1:6" ht="15.75" thickTop="1">
      <c r="A163" s="43">
        <v>16</v>
      </c>
      <c r="B163" s="3063" t="s">
        <v>193</v>
      </c>
      <c r="C163" s="3064" t="s">
        <v>115</v>
      </c>
    </row>
    <row r="164" spans="1:6">
      <c r="D164" s="191" t="s">
        <v>823</v>
      </c>
      <c r="E164" s="54"/>
      <c r="F164" s="54"/>
    </row>
    <row r="165" spans="1:6">
      <c r="D165" s="192"/>
      <c r="E165" s="54"/>
      <c r="F165" s="54"/>
    </row>
    <row r="166" spans="1:6">
      <c r="D166" s="3252"/>
      <c r="E166" s="3253">
        <v>2009</v>
      </c>
      <c r="F166" s="3253">
        <v>2008</v>
      </c>
    </row>
    <row r="167" spans="1:6">
      <c r="D167" s="3254" t="s">
        <v>428</v>
      </c>
      <c r="E167" s="3205">
        <v>154910</v>
      </c>
      <c r="F167" s="3205">
        <v>240946</v>
      </c>
    </row>
    <row r="168" spans="1:6">
      <c r="D168" s="3254" t="s">
        <v>429</v>
      </c>
      <c r="E168" s="3205">
        <v>1276849</v>
      </c>
      <c r="F168" s="3205">
        <v>1381684</v>
      </c>
    </row>
    <row r="169" spans="1:6">
      <c r="D169" s="3254" t="s">
        <v>436</v>
      </c>
      <c r="E169" s="3205">
        <v>754348</v>
      </c>
      <c r="F169" s="3205">
        <v>384120</v>
      </c>
    </row>
    <row r="170" spans="1:6">
      <c r="D170" s="3254" t="s">
        <v>824</v>
      </c>
      <c r="E170" s="3205"/>
      <c r="F170" s="3205"/>
    </row>
    <row r="171" spans="1:6">
      <c r="D171" s="3254" t="s">
        <v>439</v>
      </c>
      <c r="E171" s="3205">
        <v>1935</v>
      </c>
      <c r="F171" s="3205">
        <v>16.225000000000001</v>
      </c>
    </row>
    <row r="172" spans="1:6" ht="15.75" thickBot="1">
      <c r="D172" s="76" t="s">
        <v>118</v>
      </c>
      <c r="E172" s="84">
        <f>SUM(E167:E171)</f>
        <v>2188042</v>
      </c>
      <c r="F172" s="84">
        <f>SUM(F167:F171)</f>
        <v>2006766.2250000001</v>
      </c>
    </row>
    <row r="173" spans="1:6" ht="15.75" thickTop="1">
      <c r="A173" s="43">
        <v>17</v>
      </c>
      <c r="B173" s="3063" t="s">
        <v>194</v>
      </c>
      <c r="C173" s="3064" t="s">
        <v>134</v>
      </c>
    </row>
    <row r="174" spans="1:6">
      <c r="D174" s="191" t="s">
        <v>823</v>
      </c>
      <c r="E174" s="54"/>
      <c r="F174" s="54"/>
    </row>
    <row r="175" spans="1:6">
      <c r="D175" s="192"/>
      <c r="E175" s="54"/>
      <c r="F175" s="54"/>
    </row>
    <row r="176" spans="1:6">
      <c r="D176" s="3252"/>
      <c r="E176" s="3253">
        <v>2009</v>
      </c>
      <c r="F176" s="3253">
        <v>2008</v>
      </c>
    </row>
    <row r="177" spans="1:6">
      <c r="D177" s="3254" t="s">
        <v>428</v>
      </c>
      <c r="E177" s="3205">
        <v>6453</v>
      </c>
      <c r="F177" s="3205">
        <v>-1118</v>
      </c>
    </row>
    <row r="178" spans="1:6">
      <c r="D178" s="3254" t="s">
        <v>429</v>
      </c>
      <c r="E178" s="3205">
        <v>97049</v>
      </c>
      <c r="F178" s="3205">
        <v>93966</v>
      </c>
    </row>
    <row r="179" spans="1:6">
      <c r="D179" s="3254" t="s">
        <v>436</v>
      </c>
      <c r="E179" s="3205">
        <v>78097</v>
      </c>
      <c r="F179" s="3205">
        <v>97859</v>
      </c>
    </row>
    <row r="180" spans="1:6">
      <c r="D180" s="3254" t="s">
        <v>824</v>
      </c>
      <c r="E180" s="3205"/>
      <c r="F180" s="3205"/>
    </row>
    <row r="181" spans="1:6">
      <c r="D181" s="3254" t="s">
        <v>439</v>
      </c>
      <c r="E181" s="3205">
        <v>400</v>
      </c>
      <c r="F181" s="3205">
        <v>340</v>
      </c>
    </row>
    <row r="182" spans="1:6" ht="15.75" thickBot="1">
      <c r="D182" s="76" t="s">
        <v>118</v>
      </c>
      <c r="E182" s="84">
        <f>SUM(E177:E181)</f>
        <v>181999</v>
      </c>
      <c r="F182" s="84">
        <f>SUM(F177:F181)</f>
        <v>191047</v>
      </c>
    </row>
    <row r="183" spans="1:6" ht="15.75" thickTop="1">
      <c r="A183" s="43">
        <v>18</v>
      </c>
      <c r="B183" s="3063" t="s">
        <v>195</v>
      </c>
      <c r="C183" s="3064" t="s">
        <v>760</v>
      </c>
    </row>
    <row r="184" spans="1:6">
      <c r="D184" s="191" t="s">
        <v>823</v>
      </c>
      <c r="E184" s="54"/>
      <c r="F184" s="54"/>
    </row>
    <row r="185" spans="1:6">
      <c r="D185" s="192"/>
      <c r="E185" s="54"/>
      <c r="F185" s="54"/>
    </row>
    <row r="186" spans="1:6">
      <c r="D186" s="3252"/>
      <c r="E186" s="3253">
        <v>2009</v>
      </c>
      <c r="F186" s="3253">
        <v>2008</v>
      </c>
    </row>
    <row r="187" spans="1:6">
      <c r="D187" s="3254" t="s">
        <v>428</v>
      </c>
      <c r="E187" s="3205">
        <v>112024.89138000002</v>
      </c>
      <c r="F187" s="3205">
        <v>85246.239640000014</v>
      </c>
    </row>
    <row r="188" spans="1:6">
      <c r="D188" s="3254" t="s">
        <v>429</v>
      </c>
      <c r="E188" s="3205">
        <v>0</v>
      </c>
      <c r="F188" s="3205">
        <v>0</v>
      </c>
    </row>
    <row r="189" spans="1:6">
      <c r="D189" s="3254" t="s">
        <v>436</v>
      </c>
      <c r="E189" s="3205">
        <v>648904.55163</v>
      </c>
      <c r="F189" s="3205">
        <v>593449.57995999977</v>
      </c>
    </row>
    <row r="190" spans="1:6">
      <c r="D190" s="3254" t="s">
        <v>824</v>
      </c>
      <c r="E190" s="3205">
        <v>0</v>
      </c>
      <c r="F190" s="3205">
        <v>0</v>
      </c>
    </row>
    <row r="191" spans="1:6">
      <c r="D191" s="3254" t="s">
        <v>439</v>
      </c>
      <c r="E191" s="3205">
        <v>0</v>
      </c>
      <c r="F191" s="3205">
        <v>0</v>
      </c>
    </row>
    <row r="192" spans="1:6" ht="15.75" thickBot="1">
      <c r="D192" s="76" t="s">
        <v>118</v>
      </c>
      <c r="E192" s="84">
        <f>SUM(E187:E191)</f>
        <v>760929.44301000005</v>
      </c>
      <c r="F192" s="84">
        <f>SUM(F187:F191)</f>
        <v>678695.81959999981</v>
      </c>
    </row>
    <row r="193" spans="2:3" ht="15.75" thickTop="1">
      <c r="B193" s="3255" t="s">
        <v>118</v>
      </c>
      <c r="C193" s="3255" t="s">
        <v>118</v>
      </c>
    </row>
  </sheetData>
  <customSheetViews>
    <customSheetView guid="{5E394B0B-7867-4722-9497-A93AB2A9A773}" showPageBreaks="1" state="hidden">
      <selection activeCell="G36" sqref="G36:G37"/>
      <rowBreaks count="3" manualBreakCount="3">
        <brk id="52" max="16383" man="1"/>
        <brk id="102" max="16383" man="1"/>
        <brk id="152" max="16383" man="1"/>
      </rowBreaks>
      <pageMargins left="0" right="0" top="0" bottom="0" header="0" footer="0"/>
      <pageSetup scale="89" orientation="portrait" r:id="rId1"/>
    </customSheetView>
    <customSheetView guid="{B1E1B596-A9A1-411D-A882-A48CB025B978}" state="hidden">
      <selection activeCell="G36" sqref="G36:G37"/>
      <rowBreaks count="3" manualBreakCount="3">
        <brk id="52" max="16383" man="1"/>
        <brk id="102" max="16383" man="1"/>
        <brk id="152" max="16383" man="1"/>
      </rowBreaks>
      <pageMargins left="0" right="0" top="0" bottom="0" header="0" footer="0"/>
      <pageSetup scale="89" orientation="portrait" r:id="rId2"/>
    </customSheetView>
    <customSheetView guid="{E82B35BE-4719-4C53-A9EF-1CC6F153A6F3}" state="hidden">
      <selection activeCell="G36" sqref="G36:G37"/>
      <rowBreaks count="3" manualBreakCount="3">
        <brk id="52" max="16383" man="1"/>
        <brk id="102" max="16383" man="1"/>
        <brk id="152" max="16383" man="1"/>
      </rowBreaks>
      <pageMargins left="0" right="0" top="0" bottom="0" header="0" footer="0"/>
      <pageSetup scale="89" orientation="portrait" r:id="rId3"/>
    </customSheetView>
    <customSheetView guid="{46F31544-8E6F-41C5-8628-1D6EE074AF15}" state="hidden">
      <selection activeCell="G36" sqref="G36:G37"/>
      <rowBreaks count="3" manualBreakCount="3">
        <brk id="52" max="16383" man="1"/>
        <brk id="102" max="16383" man="1"/>
        <brk id="152" max="16383" man="1"/>
      </rowBreaks>
      <pageMargins left="0" right="0" top="0" bottom="0" header="0" footer="0"/>
      <pageSetup scale="89" orientation="portrait" r:id="rId4"/>
    </customSheetView>
    <customSheetView guid="{B2E1A0C6-5BA1-4CF1-B412-16D81FCDF11F}" state="hidden">
      <selection activeCell="G36" sqref="G36:G37"/>
      <rowBreaks count="3" manualBreakCount="3">
        <brk id="52" max="16383" man="1"/>
        <brk id="102" max="16383" man="1"/>
        <brk id="152" max="16383" man="1"/>
      </rowBreaks>
      <pageMargins left="0" right="0" top="0" bottom="0" header="0" footer="0"/>
      <pageSetup scale="89" orientation="portrait" r:id="rId5"/>
    </customSheetView>
    <customSheetView guid="{967E0446-E234-427F-8E57-7FE287052E2E}" showPageBreaks="1" state="hidden">
      <selection activeCell="G36" sqref="G36:G37"/>
      <rowBreaks count="3" manualBreakCount="3">
        <brk id="52" max="16383" man="1"/>
        <brk id="102" max="16383" man="1"/>
        <brk id="152" max="16383" man="1"/>
      </rowBreaks>
      <pageMargins left="0" right="0" top="0" bottom="0" header="0" footer="0"/>
      <pageSetup scale="89" orientation="portrait" r:id="rId6"/>
    </customSheetView>
    <customSheetView guid="{2ACFE167-4169-43A6-9AB2-59D5A2DA2DB4}" showPageBreaks="1" state="hidden">
      <selection activeCell="G36" sqref="G36:G37"/>
      <rowBreaks count="3" manualBreakCount="3">
        <brk id="52" max="16383" man="1"/>
        <brk id="102" max="16383" man="1"/>
        <brk id="152" max="16383" man="1"/>
      </rowBreaks>
      <pageMargins left="0" right="0" top="0" bottom="0" header="0" footer="0"/>
      <pageSetup scale="89" orientation="portrait" r:id="rId7"/>
    </customSheetView>
  </customSheetViews>
  <pageMargins left="0.7" right="0.7" top="0.75" bottom="0.75" header="0.3" footer="0.3"/>
  <pageSetup scale="89" orientation="portrait" r:id="rId8"/>
  <rowBreaks count="3" manualBreakCount="3">
    <brk id="52" max="16383" man="1"/>
    <brk id="102" max="16383" man="1"/>
    <brk id="152" max="16383" man="1"/>
  </rowBreaks>
  <ignoredErrors>
    <ignoredError sqref="E172:F172 E92:F92 E82:F82 E52:F53 E62:F62" formulaRange="1"/>
  </ignoredError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rgb="FFFFC000"/>
  </sheetPr>
  <dimension ref="A3:T158"/>
  <sheetViews>
    <sheetView workbookViewId="0">
      <pane xSplit="2" ySplit="1" topLeftCell="C2" activePane="bottomRight" state="frozen"/>
      <selection pane="topRight" activeCell="C1" sqref="C1"/>
      <selection pane="bottomLeft" activeCell="A2" sqref="A2"/>
      <selection pane="bottomRight" activeCell="F106" sqref="F106"/>
    </sheetView>
  </sheetViews>
  <sheetFormatPr defaultRowHeight="15"/>
  <cols>
    <col min="2" max="2" width="47.140625" bestFit="1" customWidth="1"/>
    <col min="3" max="3" width="14.140625" customWidth="1"/>
    <col min="4" max="4" width="12.7109375" customWidth="1"/>
    <col min="5" max="5" width="13.28515625" customWidth="1"/>
    <col min="20" max="20" width="9.140625" style="12"/>
  </cols>
  <sheetData>
    <row r="3" spans="1:20">
      <c r="B3" s="191" t="s">
        <v>823</v>
      </c>
      <c r="C3" s="54"/>
      <c r="D3" s="54"/>
    </row>
    <row r="4" spans="1:20">
      <c r="B4" s="192"/>
      <c r="C4" s="54"/>
      <c r="D4" s="54"/>
    </row>
    <row r="5" spans="1:20">
      <c r="B5" s="3252"/>
      <c r="D5" s="3253">
        <v>2009</v>
      </c>
      <c r="E5" s="3253">
        <v>2008</v>
      </c>
    </row>
    <row r="6" spans="1:20">
      <c r="B6" s="3254" t="s">
        <v>428</v>
      </c>
      <c r="D6" s="3205">
        <f t="shared" ref="D6:E10" si="0">+D15+D23+D32+D40+D48+D56+D64+D72+D80+D88+D96+D104+D112+D120+D128+D136+D144+D152</f>
        <v>1653295.69484</v>
      </c>
      <c r="E6" s="3205">
        <f t="shared" si="0"/>
        <v>1641064.4322200001</v>
      </c>
    </row>
    <row r="7" spans="1:20">
      <c r="B7" s="3254" t="s">
        <v>429</v>
      </c>
      <c r="D7" s="3205">
        <f t="shared" si="0"/>
        <v>4416527</v>
      </c>
      <c r="E7" s="3205">
        <f t="shared" si="0"/>
        <v>4130833.19997</v>
      </c>
    </row>
    <row r="8" spans="1:20">
      <c r="B8" s="3254" t="s">
        <v>436</v>
      </c>
      <c r="D8" s="3205">
        <f t="shared" si="0"/>
        <v>6654833.0076299999</v>
      </c>
      <c r="E8" s="3205">
        <f t="shared" si="0"/>
        <v>6796892.2811399996</v>
      </c>
    </row>
    <row r="9" spans="1:20">
      <c r="B9" s="3254" t="s">
        <v>824</v>
      </c>
      <c r="D9" s="3205">
        <f t="shared" si="0"/>
        <v>133628.67611999999</v>
      </c>
      <c r="E9" s="3205">
        <f t="shared" si="0"/>
        <v>123278.78773</v>
      </c>
    </row>
    <row r="10" spans="1:20">
      <c r="B10" s="3254" t="s">
        <v>439</v>
      </c>
      <c r="D10" s="3205">
        <f t="shared" si="0"/>
        <v>48729.046999999999</v>
      </c>
      <c r="E10" s="3205">
        <f t="shared" si="0"/>
        <v>74769.225000000006</v>
      </c>
    </row>
    <row r="11" spans="1:20" ht="15.75" thickBot="1">
      <c r="B11" s="76" t="s">
        <v>118</v>
      </c>
      <c r="D11" s="84">
        <f>SUM(D6:D10)</f>
        <v>12907013.425590001</v>
      </c>
      <c r="E11" s="84">
        <f>SUM(E6:E10)</f>
        <v>12766837.92606</v>
      </c>
    </row>
    <row r="12" spans="1:20" ht="15.75" thickTop="1"/>
    <row r="13" spans="1:20">
      <c r="A13" s="43">
        <v>1</v>
      </c>
      <c r="B13" s="3063" t="s">
        <v>175</v>
      </c>
      <c r="C13" s="3064" t="s">
        <v>755</v>
      </c>
      <c r="Q13" s="12"/>
      <c r="T13"/>
    </row>
    <row r="14" spans="1:20">
      <c r="B14" s="3252"/>
      <c r="D14" s="3253">
        <v>2009</v>
      </c>
      <c r="E14" s="3253">
        <v>2008</v>
      </c>
    </row>
    <row r="15" spans="1:20">
      <c r="B15" s="3254" t="s">
        <v>428</v>
      </c>
      <c r="D15" s="3205">
        <v>-8076</v>
      </c>
      <c r="E15" s="3205">
        <v>-10327</v>
      </c>
    </row>
    <row r="16" spans="1:20">
      <c r="B16" s="3254" t="s">
        <v>429</v>
      </c>
      <c r="D16" s="3205">
        <v>275552</v>
      </c>
      <c r="E16" s="3205">
        <v>183734</v>
      </c>
    </row>
    <row r="17" spans="1:20">
      <c r="B17" s="3254" t="s">
        <v>436</v>
      </c>
      <c r="D17" s="3205">
        <v>177633</v>
      </c>
      <c r="E17" s="3205">
        <v>157908</v>
      </c>
    </row>
    <row r="18" spans="1:20">
      <c r="B18" s="3254" t="s">
        <v>824</v>
      </c>
      <c r="D18" s="3205"/>
      <c r="E18" s="3205"/>
    </row>
    <row r="19" spans="1:20">
      <c r="B19" s="3254" t="s">
        <v>439</v>
      </c>
      <c r="D19" s="3205">
        <v>2615</v>
      </c>
      <c r="E19" s="3205">
        <v>367</v>
      </c>
    </row>
    <row r="20" spans="1:20" ht="15.75" thickBot="1">
      <c r="B20" s="76" t="s">
        <v>118</v>
      </c>
      <c r="D20" s="84">
        <f>SUM(D15:D19)</f>
        <v>447724</v>
      </c>
      <c r="E20" s="84">
        <f>SUM(E15:E19)</f>
        <v>331682</v>
      </c>
    </row>
    <row r="21" spans="1:20" ht="15.75" thickTop="1">
      <c r="A21" s="43">
        <v>2</v>
      </c>
      <c r="B21" s="3063" t="s">
        <v>177</v>
      </c>
      <c r="C21" s="3064" t="s">
        <v>756</v>
      </c>
      <c r="Q21" s="12"/>
      <c r="T21"/>
    </row>
    <row r="22" spans="1:20">
      <c r="B22" s="3252"/>
      <c r="D22" s="3253">
        <v>2009</v>
      </c>
      <c r="E22" s="3253">
        <v>2008</v>
      </c>
    </row>
    <row r="23" spans="1:20">
      <c r="B23" s="3254" t="s">
        <v>428</v>
      </c>
      <c r="D23" s="3205">
        <v>-88096</v>
      </c>
      <c r="E23" s="3205">
        <v>-66090</v>
      </c>
    </row>
    <row r="24" spans="1:20">
      <c r="B24" s="3254" t="s">
        <v>429</v>
      </c>
      <c r="D24" s="3205"/>
      <c r="E24" s="3205"/>
    </row>
    <row r="25" spans="1:20">
      <c r="B25" s="3254" t="s">
        <v>436</v>
      </c>
      <c r="D25" s="3205">
        <v>139869</v>
      </c>
      <c r="E25" s="3205">
        <v>80854</v>
      </c>
    </row>
    <row r="26" spans="1:20">
      <c r="B26" s="3254" t="s">
        <v>824</v>
      </c>
      <c r="D26" s="3205"/>
      <c r="E26" s="3205"/>
    </row>
    <row r="27" spans="1:20">
      <c r="B27" s="3254" t="s">
        <v>439</v>
      </c>
      <c r="D27" s="3205"/>
      <c r="E27" s="3205"/>
    </row>
    <row r="28" spans="1:20" ht="15.75" thickBot="1">
      <c r="B28" s="76" t="s">
        <v>118</v>
      </c>
      <c r="D28" s="84">
        <f>SUM(D23:D27)</f>
        <v>51773</v>
      </c>
      <c r="E28" s="84">
        <f>SUM(E23:E27)</f>
        <v>14764</v>
      </c>
    </row>
    <row r="29" spans="1:20" ht="15.75" thickTop="1">
      <c r="A29" s="43"/>
      <c r="B29" s="3063"/>
      <c r="C29" s="3064"/>
      <c r="Q29" s="12"/>
      <c r="T29"/>
    </row>
    <row r="30" spans="1:20">
      <c r="A30" s="43">
        <v>3</v>
      </c>
      <c r="B30" s="3063" t="s">
        <v>179</v>
      </c>
      <c r="C30" s="3064" t="s">
        <v>757</v>
      </c>
      <c r="Q30" s="12"/>
      <c r="T30"/>
    </row>
    <row r="31" spans="1:20">
      <c r="B31" s="3252"/>
      <c r="D31" s="3253">
        <v>2009</v>
      </c>
      <c r="E31" s="3253">
        <v>2008</v>
      </c>
    </row>
    <row r="32" spans="1:20">
      <c r="B32" s="3254" t="s">
        <v>428</v>
      </c>
      <c r="D32" s="3205">
        <v>-13423</v>
      </c>
      <c r="E32" s="3205">
        <v>-14347</v>
      </c>
    </row>
    <row r="33" spans="1:20">
      <c r="B33" s="3254" t="s">
        <v>429</v>
      </c>
      <c r="D33" s="3205">
        <v>463208</v>
      </c>
      <c r="E33" s="3205">
        <v>395158</v>
      </c>
    </row>
    <row r="34" spans="1:20">
      <c r="B34" s="3254" t="s">
        <v>436</v>
      </c>
      <c r="D34" s="3205">
        <v>5381</v>
      </c>
      <c r="E34" s="3205">
        <v>3059</v>
      </c>
    </row>
    <row r="35" spans="1:20">
      <c r="B35" s="3254" t="s">
        <v>824</v>
      </c>
      <c r="D35" s="3205"/>
      <c r="E35" s="3205"/>
    </row>
    <row r="36" spans="1:20">
      <c r="B36" s="3254" t="s">
        <v>439</v>
      </c>
      <c r="D36" s="3205">
        <v>0</v>
      </c>
      <c r="E36" s="3205">
        <v>0</v>
      </c>
    </row>
    <row r="37" spans="1:20" ht="15.75" thickBot="1">
      <c r="B37" s="76" t="s">
        <v>118</v>
      </c>
      <c r="D37" s="84">
        <f>SUM(D32:D36)</f>
        <v>455166</v>
      </c>
      <c r="E37" s="84">
        <f>SUM(E32:E36)</f>
        <v>383870</v>
      </c>
    </row>
    <row r="38" spans="1:20" ht="15.75" thickTop="1">
      <c r="A38" s="43">
        <v>4</v>
      </c>
      <c r="B38" s="3063" t="s">
        <v>180</v>
      </c>
      <c r="C38" s="3064" t="s">
        <v>126</v>
      </c>
      <c r="Q38" s="12"/>
      <c r="T38"/>
    </row>
    <row r="39" spans="1:20">
      <c r="B39" s="3252"/>
      <c r="D39" s="3253">
        <v>2009</v>
      </c>
      <c r="E39" s="3253">
        <v>2008</v>
      </c>
    </row>
    <row r="40" spans="1:20">
      <c r="B40" s="3254" t="s">
        <v>428</v>
      </c>
      <c r="D40" s="3205">
        <v>422598.59</v>
      </c>
      <c r="E40" s="3205">
        <v>328240.24</v>
      </c>
    </row>
    <row r="41" spans="1:20">
      <c r="B41" s="3254" t="s">
        <v>429</v>
      </c>
      <c r="D41" s="3205">
        <v>0</v>
      </c>
      <c r="E41" s="3205">
        <v>0</v>
      </c>
    </row>
    <row r="42" spans="1:20">
      <c r="B42" s="3254" t="s">
        <v>436</v>
      </c>
      <c r="D42" s="3205">
        <v>324833.15599999996</v>
      </c>
      <c r="E42" s="3205">
        <v>373763.32399999996</v>
      </c>
    </row>
    <row r="43" spans="1:20">
      <c r="B43" s="3254" t="s">
        <v>824</v>
      </c>
      <c r="D43" s="3205">
        <v>2484.8500000000004</v>
      </c>
      <c r="E43" s="3205">
        <v>2282.23</v>
      </c>
    </row>
    <row r="44" spans="1:20">
      <c r="B44" s="3254" t="s">
        <v>439</v>
      </c>
      <c r="D44" s="3205">
        <v>1581.547</v>
      </c>
      <c r="E44" s="3205">
        <v>1450</v>
      </c>
    </row>
    <row r="45" spans="1:20" ht="15.75" thickBot="1">
      <c r="B45" s="76" t="s">
        <v>118</v>
      </c>
      <c r="D45" s="84">
        <f>SUM(D40:D44)</f>
        <v>751498.14300000004</v>
      </c>
      <c r="E45" s="84">
        <f>SUM(E40:E44)</f>
        <v>705735.79399999999</v>
      </c>
    </row>
    <row r="46" spans="1:20" ht="15.75" thickTop="1">
      <c r="A46" s="43">
        <v>5</v>
      </c>
      <c r="B46" s="3063" t="s">
        <v>181</v>
      </c>
      <c r="C46" s="3064" t="s">
        <v>127</v>
      </c>
      <c r="Q46" s="12"/>
      <c r="T46"/>
    </row>
    <row r="47" spans="1:20">
      <c r="B47" s="3252"/>
      <c r="D47" s="3253">
        <v>2009</v>
      </c>
      <c r="E47" s="3253">
        <v>2008</v>
      </c>
    </row>
    <row r="48" spans="1:20">
      <c r="B48" s="3254" t="s">
        <v>428</v>
      </c>
      <c r="D48" s="3205">
        <v>-23937</v>
      </c>
      <c r="E48" s="3205">
        <v>-24377</v>
      </c>
    </row>
    <row r="49" spans="1:20">
      <c r="B49" s="3254" t="s">
        <v>429</v>
      </c>
      <c r="D49" s="3205">
        <v>0</v>
      </c>
      <c r="E49" s="3205">
        <v>0</v>
      </c>
    </row>
    <row r="50" spans="1:20">
      <c r="B50" s="3254" t="s">
        <v>436</v>
      </c>
      <c r="D50" s="3205">
        <v>353146</v>
      </c>
      <c r="E50" s="3205">
        <v>331663</v>
      </c>
    </row>
    <row r="51" spans="1:20">
      <c r="B51" s="3254" t="s">
        <v>824</v>
      </c>
      <c r="D51" s="3205">
        <v>6715</v>
      </c>
      <c r="E51" s="3205">
        <v>5566</v>
      </c>
    </row>
    <row r="52" spans="1:20">
      <c r="B52" s="3254" t="s">
        <v>439</v>
      </c>
      <c r="D52" s="3205"/>
      <c r="E52" s="3205"/>
    </row>
    <row r="53" spans="1:20" ht="15.75" thickBot="1">
      <c r="B53" s="76" t="s">
        <v>118</v>
      </c>
      <c r="D53" s="84">
        <f>SUM(D48:D52)</f>
        <v>335924</v>
      </c>
      <c r="E53" s="84">
        <f>SUM(E48:E52)</f>
        <v>312852</v>
      </c>
    </row>
    <row r="54" spans="1:20" ht="15.75" thickTop="1">
      <c r="A54" s="43">
        <v>6</v>
      </c>
      <c r="B54" s="3063" t="s">
        <v>182</v>
      </c>
      <c r="C54" s="3064" t="s">
        <v>99</v>
      </c>
      <c r="Q54" s="12"/>
      <c r="T54"/>
    </row>
    <row r="55" spans="1:20">
      <c r="B55" s="3252"/>
      <c r="D55" s="3253">
        <v>2009</v>
      </c>
      <c r="E55" s="3253">
        <v>2008</v>
      </c>
    </row>
    <row r="56" spans="1:20">
      <c r="B56" s="3254" t="s">
        <v>428</v>
      </c>
      <c r="D56" s="3205"/>
      <c r="E56" s="3205"/>
    </row>
    <row r="57" spans="1:20">
      <c r="B57" s="3254" t="s">
        <v>429</v>
      </c>
      <c r="D57" s="3205"/>
      <c r="E57" s="3205"/>
    </row>
    <row r="58" spans="1:20">
      <c r="B58" s="3254" t="s">
        <v>436</v>
      </c>
      <c r="D58" s="3205"/>
      <c r="E58" s="3205"/>
    </row>
    <row r="59" spans="1:20">
      <c r="B59" s="3254" t="s">
        <v>824</v>
      </c>
      <c r="D59" s="3205"/>
      <c r="E59" s="3205"/>
    </row>
    <row r="60" spans="1:20">
      <c r="B60" s="3254" t="s">
        <v>439</v>
      </c>
      <c r="D60" s="3205"/>
      <c r="E60" s="3205"/>
    </row>
    <row r="61" spans="1:20" ht="15.75" thickBot="1">
      <c r="B61" s="76" t="s">
        <v>118</v>
      </c>
      <c r="D61" s="84">
        <f>SUM(D56:D60)</f>
        <v>0</v>
      </c>
      <c r="E61" s="84">
        <f>SUM(E56:E60)</f>
        <v>0</v>
      </c>
    </row>
    <row r="62" spans="1:20" ht="15.75" thickTop="1">
      <c r="A62" s="43">
        <v>7</v>
      </c>
      <c r="B62" s="3063" t="s">
        <v>183</v>
      </c>
      <c r="C62" s="3064" t="s">
        <v>128</v>
      </c>
      <c r="Q62" s="12"/>
      <c r="T62"/>
    </row>
    <row r="63" spans="1:20">
      <c r="B63" s="3252"/>
      <c r="D63" s="3253">
        <v>2009</v>
      </c>
      <c r="E63" s="3253">
        <v>2008</v>
      </c>
    </row>
    <row r="64" spans="1:20">
      <c r="B64" s="3254" t="s">
        <v>428</v>
      </c>
      <c r="D64" s="3205">
        <v>511595</v>
      </c>
      <c r="E64" s="3205">
        <v>581211</v>
      </c>
    </row>
    <row r="65" spans="1:20">
      <c r="B65" s="3254" t="s">
        <v>429</v>
      </c>
      <c r="D65" s="3205">
        <v>0</v>
      </c>
      <c r="E65" s="3205">
        <v>0</v>
      </c>
    </row>
    <row r="66" spans="1:20">
      <c r="B66" s="3254" t="s">
        <v>436</v>
      </c>
      <c r="D66" s="3205">
        <v>2607200</v>
      </c>
      <c r="E66" s="3205">
        <v>3366099</v>
      </c>
    </row>
    <row r="67" spans="1:20">
      <c r="B67" s="3254" t="s">
        <v>824</v>
      </c>
      <c r="D67" s="3205"/>
      <c r="E67" s="3205">
        <v>0</v>
      </c>
    </row>
    <row r="68" spans="1:20">
      <c r="B68" s="3254" t="s">
        <v>439</v>
      </c>
      <c r="D68" s="3205">
        <v>25721</v>
      </c>
      <c r="E68" s="3205">
        <v>24253</v>
      </c>
    </row>
    <row r="69" spans="1:20" ht="15.75" thickBot="1">
      <c r="B69" s="76" t="s">
        <v>118</v>
      </c>
      <c r="D69" s="84">
        <f>SUM(D64:D68)</f>
        <v>3144516</v>
      </c>
      <c r="E69" s="84">
        <f>SUM(E64:E68)</f>
        <v>3971563</v>
      </c>
    </row>
    <row r="70" spans="1:20" ht="15.75" thickTop="1">
      <c r="A70" s="43">
        <v>8</v>
      </c>
      <c r="B70" s="3063" t="s">
        <v>184</v>
      </c>
      <c r="C70" s="3064" t="s">
        <v>129</v>
      </c>
      <c r="Q70" s="12"/>
      <c r="T70"/>
    </row>
    <row r="71" spans="1:20">
      <c r="B71" s="3252"/>
      <c r="D71" s="3253">
        <v>2009</v>
      </c>
      <c r="E71" s="3253">
        <v>2008</v>
      </c>
    </row>
    <row r="72" spans="1:20">
      <c r="B72" s="3254" t="s">
        <v>428</v>
      </c>
      <c r="D72" s="3201">
        <v>25789</v>
      </c>
      <c r="E72" s="3201">
        <v>16475</v>
      </c>
    </row>
    <row r="73" spans="1:20">
      <c r="B73" s="3254" t="s">
        <v>429</v>
      </c>
      <c r="D73" s="3201">
        <v>0</v>
      </c>
      <c r="E73" s="3201">
        <v>0</v>
      </c>
    </row>
    <row r="74" spans="1:20">
      <c r="B74" s="3254" t="s">
        <v>436</v>
      </c>
      <c r="D74" s="3201">
        <v>189299</v>
      </c>
      <c r="E74" s="3201">
        <v>165199</v>
      </c>
    </row>
    <row r="75" spans="1:20">
      <c r="B75" s="3254" t="s">
        <v>824</v>
      </c>
      <c r="D75" s="3201">
        <v>0</v>
      </c>
      <c r="E75" s="3201">
        <v>0</v>
      </c>
    </row>
    <row r="76" spans="1:20">
      <c r="B76" s="3254" t="s">
        <v>439</v>
      </c>
      <c r="D76" s="3201">
        <v>3708</v>
      </c>
      <c r="E76" s="3201">
        <v>2794</v>
      </c>
    </row>
    <row r="77" spans="1:20" ht="15.75" thickBot="1">
      <c r="B77" s="76" t="s">
        <v>118</v>
      </c>
      <c r="D77" s="84">
        <f>SUM(D72:D76)</f>
        <v>218796</v>
      </c>
      <c r="E77" s="84">
        <f>SUM(E72:E76)</f>
        <v>184468</v>
      </c>
    </row>
    <row r="78" spans="1:20" ht="15.75" thickTop="1">
      <c r="A78" s="43">
        <v>9</v>
      </c>
      <c r="B78" s="3063" t="s">
        <v>185</v>
      </c>
      <c r="C78" s="3064" t="s">
        <v>130</v>
      </c>
      <c r="Q78" s="12"/>
      <c r="T78"/>
    </row>
    <row r="79" spans="1:20">
      <c r="B79" s="3252"/>
      <c r="D79" s="3253">
        <v>2009</v>
      </c>
      <c r="E79" s="3253">
        <v>2008</v>
      </c>
    </row>
    <row r="80" spans="1:20">
      <c r="B80" s="3254" t="s">
        <v>428</v>
      </c>
      <c r="D80" s="3205"/>
      <c r="E80" s="3205"/>
    </row>
    <row r="81" spans="1:20">
      <c r="B81" s="3254" t="s">
        <v>429</v>
      </c>
      <c r="D81" s="3205"/>
      <c r="E81" s="3205"/>
    </row>
    <row r="82" spans="1:20">
      <c r="B82" s="3254" t="s">
        <v>436</v>
      </c>
      <c r="D82" s="3205"/>
      <c r="E82" s="3205"/>
    </row>
    <row r="83" spans="1:20">
      <c r="B83" s="3254" t="s">
        <v>824</v>
      </c>
      <c r="D83" s="3205"/>
      <c r="E83" s="3205"/>
    </row>
    <row r="84" spans="1:20">
      <c r="B84" s="3254" t="s">
        <v>439</v>
      </c>
      <c r="D84" s="3205"/>
      <c r="E84" s="3205"/>
    </row>
    <row r="85" spans="1:20" ht="15.75" thickBot="1">
      <c r="B85" s="76" t="s">
        <v>118</v>
      </c>
      <c r="D85" s="84">
        <f>SUM(D80:D84)</f>
        <v>0</v>
      </c>
      <c r="E85" s="84">
        <f>SUM(E80:E84)</f>
        <v>0</v>
      </c>
    </row>
    <row r="86" spans="1:20" ht="15.75" thickTop="1">
      <c r="A86" s="43">
        <v>10</v>
      </c>
      <c r="B86" s="3063" t="s">
        <v>186</v>
      </c>
      <c r="C86" s="3064" t="s">
        <v>759</v>
      </c>
      <c r="Q86" s="12"/>
      <c r="T86"/>
    </row>
    <row r="87" spans="1:20">
      <c r="B87" s="3252"/>
      <c r="D87" s="3253">
        <v>2009</v>
      </c>
      <c r="E87" s="3253">
        <v>2008</v>
      </c>
    </row>
    <row r="88" spans="1:20">
      <c r="B88" s="3254" t="s">
        <v>428</v>
      </c>
      <c r="D88" s="3205">
        <v>1564.2134599999922</v>
      </c>
      <c r="E88" s="3205">
        <v>6271.9525800000001</v>
      </c>
    </row>
    <row r="89" spans="1:20">
      <c r="B89" s="3254" t="s">
        <v>429</v>
      </c>
      <c r="D89" s="3205">
        <v>2561</v>
      </c>
      <c r="E89" s="3205">
        <v>207.19997000000001</v>
      </c>
    </row>
    <row r="90" spans="1:20">
      <c r="B90" s="3254" t="s">
        <v>436</v>
      </c>
      <c r="D90" s="3205">
        <v>272693</v>
      </c>
      <c r="E90" s="3205">
        <v>221936.37718000001</v>
      </c>
    </row>
    <row r="91" spans="1:20">
      <c r="B91" s="3254" t="s">
        <v>824</v>
      </c>
      <c r="D91" s="3205">
        <v>7093.8261199999997</v>
      </c>
      <c r="E91" s="3205">
        <v>5989.5577300000004</v>
      </c>
    </row>
    <row r="92" spans="1:20">
      <c r="B92" s="3254" t="s">
        <v>439</v>
      </c>
      <c r="D92" s="3205"/>
      <c r="E92" s="3205"/>
    </row>
    <row r="93" spans="1:20" ht="15.75" thickBot="1">
      <c r="B93" s="76" t="s">
        <v>118</v>
      </c>
      <c r="D93" s="84">
        <f>SUM(D88:D92)</f>
        <v>283912.03957999998</v>
      </c>
      <c r="E93" s="84">
        <f>SUM(E88:E92)</f>
        <v>234405.08746000001</v>
      </c>
    </row>
    <row r="94" spans="1:20" ht="15.75" thickTop="1">
      <c r="A94" s="43">
        <v>11</v>
      </c>
      <c r="B94" s="3063" t="s">
        <v>187</v>
      </c>
      <c r="C94" s="3064" t="s">
        <v>132</v>
      </c>
      <c r="Q94" s="12"/>
      <c r="T94"/>
    </row>
    <row r="95" spans="1:20">
      <c r="B95" s="3252"/>
      <c r="D95" s="3253">
        <v>2009</v>
      </c>
      <c r="E95" s="3253">
        <v>2008</v>
      </c>
    </row>
    <row r="96" spans="1:20">
      <c r="B96" s="3254" t="s">
        <v>428</v>
      </c>
      <c r="D96" s="3205">
        <v>537431</v>
      </c>
      <c r="E96" s="3205">
        <v>477374</v>
      </c>
    </row>
    <row r="97" spans="1:20">
      <c r="B97" s="3254" t="s">
        <v>429</v>
      </c>
      <c r="D97" s="3205">
        <v>2300485</v>
      </c>
      <c r="E97" s="3205">
        <v>2075589</v>
      </c>
    </row>
    <row r="98" spans="1:20">
      <c r="B98" s="3254" t="s">
        <v>436</v>
      </c>
      <c r="D98" s="3205">
        <v>902542.3</v>
      </c>
      <c r="E98" s="3205">
        <v>868380</v>
      </c>
    </row>
    <row r="99" spans="1:20">
      <c r="B99" s="3254" t="s">
        <v>824</v>
      </c>
      <c r="D99" s="3205">
        <v>117335</v>
      </c>
      <c r="E99" s="3205">
        <v>109441</v>
      </c>
    </row>
    <row r="100" spans="1:20">
      <c r="B100" s="3254" t="s">
        <v>439</v>
      </c>
      <c r="D100" s="3205">
        <v>12527.5</v>
      </c>
      <c r="E100" s="3205">
        <v>45158</v>
      </c>
    </row>
    <row r="101" spans="1:20" ht="15.75" thickBot="1">
      <c r="B101" s="76" t="s">
        <v>118</v>
      </c>
      <c r="D101" s="84">
        <f>SUM(D96:D100)</f>
        <v>3870320.8</v>
      </c>
      <c r="E101" s="84">
        <f>SUM(E96:E100)</f>
        <v>3575942</v>
      </c>
    </row>
    <row r="102" spans="1:20" ht="15.75" thickTop="1">
      <c r="A102" s="43">
        <v>12</v>
      </c>
      <c r="B102" s="3063" t="s">
        <v>189</v>
      </c>
      <c r="C102" s="3064" t="s">
        <v>133</v>
      </c>
      <c r="Q102" s="12"/>
      <c r="T102"/>
    </row>
    <row r="103" spans="1:20">
      <c r="B103" s="3252"/>
      <c r="D103" s="3253">
        <v>2009</v>
      </c>
      <c r="E103" s="3253">
        <v>2008</v>
      </c>
    </row>
    <row r="104" spans="1:20">
      <c r="B104" s="3254" t="s">
        <v>428</v>
      </c>
      <c r="D104" s="3205"/>
      <c r="E104" s="3205"/>
    </row>
    <row r="105" spans="1:20">
      <c r="B105" s="3254" t="s">
        <v>429</v>
      </c>
      <c r="D105" s="3205"/>
      <c r="E105" s="3205"/>
    </row>
    <row r="106" spans="1:20">
      <c r="B106" s="3254" t="s">
        <v>436</v>
      </c>
      <c r="D106" s="3205"/>
      <c r="E106" s="3205"/>
    </row>
    <row r="107" spans="1:20">
      <c r="B107" s="3254" t="s">
        <v>824</v>
      </c>
      <c r="D107" s="3205"/>
      <c r="E107" s="3205"/>
    </row>
    <row r="108" spans="1:20">
      <c r="B108" s="3254" t="s">
        <v>439</v>
      </c>
      <c r="D108" s="3205"/>
      <c r="E108" s="3205"/>
    </row>
    <row r="109" spans="1:20" ht="15.75" thickBot="1">
      <c r="B109" s="76" t="s">
        <v>118</v>
      </c>
      <c r="D109" s="84">
        <f>SUM(D104:D108)</f>
        <v>0</v>
      </c>
      <c r="E109" s="84">
        <f>SUM(E104:E108)</f>
        <v>0</v>
      </c>
    </row>
    <row r="110" spans="1:20" ht="15.75" thickTop="1">
      <c r="A110" s="43">
        <v>13</v>
      </c>
      <c r="B110" s="3063" t="s">
        <v>190</v>
      </c>
      <c r="C110" s="3064" t="s">
        <v>109</v>
      </c>
      <c r="Q110" s="12"/>
      <c r="T110"/>
    </row>
    <row r="111" spans="1:20">
      <c r="B111" s="3252"/>
      <c r="D111" s="3253">
        <v>2009</v>
      </c>
      <c r="E111" s="3253">
        <v>2008</v>
      </c>
    </row>
    <row r="112" spans="1:20">
      <c r="B112" s="3254" t="s">
        <v>428</v>
      </c>
      <c r="D112" s="3205">
        <v>14462</v>
      </c>
      <c r="E112" s="3205">
        <v>21559</v>
      </c>
    </row>
    <row r="113" spans="1:20">
      <c r="B113" s="3254" t="s">
        <v>429</v>
      </c>
      <c r="D113" s="3205">
        <v>823</v>
      </c>
      <c r="E113" s="3205">
        <v>495</v>
      </c>
    </row>
    <row r="114" spans="1:20">
      <c r="B114" s="3254" t="s">
        <v>436</v>
      </c>
      <c r="D114" s="3205">
        <v>200887</v>
      </c>
      <c r="E114" s="3205">
        <v>152602</v>
      </c>
    </row>
    <row r="115" spans="1:20">
      <c r="B115" s="3254" t="s">
        <v>824</v>
      </c>
      <c r="D115" s="3205"/>
      <c r="E115" s="3205"/>
    </row>
    <row r="116" spans="1:20">
      <c r="B116" s="3254" t="s">
        <v>439</v>
      </c>
      <c r="D116" s="3205">
        <v>241</v>
      </c>
      <c r="E116" s="3205">
        <v>391</v>
      </c>
    </row>
    <row r="117" spans="1:20" ht="15.75" thickBot="1">
      <c r="B117" s="76" t="s">
        <v>118</v>
      </c>
      <c r="D117" s="84">
        <f>SUM(D112:D116)</f>
        <v>216413</v>
      </c>
      <c r="E117" s="84">
        <f>SUM(E112:E116)</f>
        <v>175047</v>
      </c>
    </row>
    <row r="118" spans="1:20" ht="15.75" thickTop="1">
      <c r="A118" s="43">
        <v>14</v>
      </c>
      <c r="B118" s="3063" t="s">
        <v>191</v>
      </c>
      <c r="C118" s="3064" t="s">
        <v>111</v>
      </c>
      <c r="Q118" s="12"/>
      <c r="T118"/>
    </row>
    <row r="119" spans="1:20">
      <c r="B119" s="3252"/>
      <c r="D119" s="3253">
        <v>2009</v>
      </c>
      <c r="E119" s="3253">
        <v>2008</v>
      </c>
    </row>
    <row r="120" spans="1:20">
      <c r="B120" s="3254" t="s">
        <v>428</v>
      </c>
      <c r="D120" s="3205"/>
      <c r="E120" s="3205"/>
    </row>
    <row r="121" spans="1:20">
      <c r="B121" s="3254" t="s">
        <v>429</v>
      </c>
      <c r="D121" s="3205"/>
      <c r="E121" s="3205"/>
    </row>
    <row r="122" spans="1:20">
      <c r="B122" s="3254" t="s">
        <v>436</v>
      </c>
      <c r="D122" s="3205"/>
      <c r="E122" s="3205"/>
    </row>
    <row r="123" spans="1:20">
      <c r="B123" s="3254" t="s">
        <v>824</v>
      </c>
      <c r="D123" s="3205"/>
      <c r="E123" s="3205"/>
    </row>
    <row r="124" spans="1:20">
      <c r="B124" s="3254" t="s">
        <v>439</v>
      </c>
      <c r="D124" s="3205"/>
      <c r="E124" s="3205"/>
    </row>
    <row r="125" spans="1:20" ht="15.75" thickBot="1">
      <c r="B125" s="76" t="s">
        <v>118</v>
      </c>
      <c r="D125" s="84">
        <f>SUM(D120:D124)</f>
        <v>0</v>
      </c>
      <c r="E125" s="84">
        <f>SUM(E120:E124)</f>
        <v>0</v>
      </c>
    </row>
    <row r="126" spans="1:20" ht="15.75" thickTop="1">
      <c r="A126" s="43">
        <v>15</v>
      </c>
      <c r="B126" s="3063" t="s">
        <v>192</v>
      </c>
      <c r="C126" s="3064" t="s">
        <v>112</v>
      </c>
      <c r="Q126" s="12"/>
      <c r="T126"/>
    </row>
    <row r="127" spans="1:20">
      <c r="B127" s="3252"/>
      <c r="D127" s="3253">
        <v>2009</v>
      </c>
      <c r="E127" s="3253">
        <v>2008</v>
      </c>
    </row>
    <row r="128" spans="1:20">
      <c r="B128" s="3254" t="s">
        <v>428</v>
      </c>
      <c r="D128" s="3205">
        <v>0</v>
      </c>
      <c r="E128" s="3205">
        <v>0</v>
      </c>
    </row>
    <row r="129" spans="1:20">
      <c r="B129" s="3254" t="s">
        <v>429</v>
      </c>
      <c r="D129" s="3205">
        <v>0</v>
      </c>
      <c r="E129" s="3205">
        <v>0</v>
      </c>
    </row>
    <row r="130" spans="1:20">
      <c r="B130" s="3254" t="s">
        <v>436</v>
      </c>
      <c r="D130" s="3205">
        <v>0</v>
      </c>
      <c r="E130" s="3205">
        <v>0</v>
      </c>
    </row>
    <row r="131" spans="1:20">
      <c r="B131" s="3254" t="s">
        <v>824</v>
      </c>
      <c r="D131" s="3205">
        <v>0</v>
      </c>
      <c r="E131" s="3205">
        <v>0</v>
      </c>
    </row>
    <row r="132" spans="1:20">
      <c r="B132" s="3254" t="s">
        <v>439</v>
      </c>
      <c r="D132" s="3205">
        <v>0</v>
      </c>
      <c r="E132" s="3205">
        <v>0</v>
      </c>
    </row>
    <row r="133" spans="1:20" ht="15.75" thickBot="1">
      <c r="B133" s="76" t="s">
        <v>118</v>
      </c>
      <c r="D133" s="84">
        <f>SUM(D128:D132)</f>
        <v>0</v>
      </c>
      <c r="E133" s="84">
        <f>SUM(E128:E132)</f>
        <v>0</v>
      </c>
    </row>
    <row r="134" spans="1:20" ht="15.75" thickTop="1">
      <c r="A134" s="43">
        <v>16</v>
      </c>
      <c r="B134" s="3063" t="s">
        <v>193</v>
      </c>
      <c r="C134" s="3064" t="s">
        <v>115</v>
      </c>
      <c r="Q134" s="12"/>
      <c r="T134"/>
    </row>
    <row r="135" spans="1:20">
      <c r="B135" s="3252"/>
      <c r="D135" s="3253">
        <v>2009</v>
      </c>
      <c r="E135" s="3253">
        <v>2008</v>
      </c>
    </row>
    <row r="136" spans="1:20">
      <c r="B136" s="3254" t="s">
        <v>428</v>
      </c>
      <c r="D136" s="3205">
        <v>154910</v>
      </c>
      <c r="E136" s="3205">
        <v>240946</v>
      </c>
    </row>
    <row r="137" spans="1:20">
      <c r="B137" s="3254" t="s">
        <v>429</v>
      </c>
      <c r="D137" s="3205">
        <v>1276849</v>
      </c>
      <c r="E137" s="3205">
        <v>1381684</v>
      </c>
    </row>
    <row r="138" spans="1:20">
      <c r="B138" s="3254" t="s">
        <v>436</v>
      </c>
      <c r="D138" s="3205">
        <v>754348</v>
      </c>
      <c r="E138" s="3205">
        <v>384120</v>
      </c>
    </row>
    <row r="139" spans="1:20">
      <c r="B139" s="3254" t="s">
        <v>824</v>
      </c>
      <c r="D139" s="3205"/>
      <c r="E139" s="3205"/>
    </row>
    <row r="140" spans="1:20">
      <c r="B140" s="3254" t="s">
        <v>439</v>
      </c>
      <c r="D140" s="3205">
        <v>1935</v>
      </c>
      <c r="E140" s="3205">
        <v>16.225000000000001</v>
      </c>
    </row>
    <row r="141" spans="1:20" ht="15.75" thickBot="1">
      <c r="B141" s="76" t="s">
        <v>118</v>
      </c>
      <c r="D141" s="84">
        <f>SUM(D136:D140)</f>
        <v>2188042</v>
      </c>
      <c r="E141" s="84">
        <f>SUM(E136:E140)</f>
        <v>2006766.2250000001</v>
      </c>
    </row>
    <row r="142" spans="1:20" ht="15.75" thickTop="1">
      <c r="A142" s="43">
        <v>17</v>
      </c>
      <c r="B142" s="3063" t="s">
        <v>194</v>
      </c>
      <c r="C142" s="3064" t="s">
        <v>134</v>
      </c>
      <c r="Q142" s="12"/>
      <c r="T142"/>
    </row>
    <row r="143" spans="1:20">
      <c r="B143" s="3252"/>
      <c r="D143" s="3253">
        <v>2009</v>
      </c>
      <c r="E143" s="3253">
        <v>2008</v>
      </c>
    </row>
    <row r="144" spans="1:20">
      <c r="B144" s="3254" t="s">
        <v>428</v>
      </c>
      <c r="D144" s="3205">
        <v>6453</v>
      </c>
      <c r="E144" s="3205">
        <v>-1118</v>
      </c>
    </row>
    <row r="145" spans="1:20">
      <c r="B145" s="3254" t="s">
        <v>429</v>
      </c>
      <c r="D145" s="3205">
        <v>97049</v>
      </c>
      <c r="E145" s="3205">
        <v>93966</v>
      </c>
    </row>
    <row r="146" spans="1:20">
      <c r="B146" s="3254" t="s">
        <v>436</v>
      </c>
      <c r="D146" s="3205">
        <v>78097</v>
      </c>
      <c r="E146" s="3205">
        <v>97859</v>
      </c>
    </row>
    <row r="147" spans="1:20">
      <c r="B147" s="3254" t="s">
        <v>824</v>
      </c>
      <c r="D147" s="3205"/>
      <c r="E147" s="3205"/>
    </row>
    <row r="148" spans="1:20">
      <c r="B148" s="3254" t="s">
        <v>439</v>
      </c>
      <c r="D148" s="3205">
        <v>400</v>
      </c>
      <c r="E148" s="3205">
        <v>340</v>
      </c>
    </row>
    <row r="149" spans="1:20" ht="15.75" thickBot="1">
      <c r="B149" s="76" t="s">
        <v>118</v>
      </c>
      <c r="D149" s="84">
        <f>SUM(D144:D148)</f>
        <v>181999</v>
      </c>
      <c r="E149" s="84">
        <f>SUM(E144:E148)</f>
        <v>191047</v>
      </c>
    </row>
    <row r="150" spans="1:20" ht="15.75" thickTop="1">
      <c r="A150" s="43">
        <v>18</v>
      </c>
      <c r="B150" s="3063" t="s">
        <v>195</v>
      </c>
      <c r="C150" s="3064" t="s">
        <v>760</v>
      </c>
      <c r="Q150" s="12"/>
      <c r="T150"/>
    </row>
    <row r="151" spans="1:20">
      <c r="B151" s="3252"/>
      <c r="D151" s="3253">
        <v>2009</v>
      </c>
      <c r="E151" s="3253">
        <v>2008</v>
      </c>
    </row>
    <row r="152" spans="1:20">
      <c r="B152" s="3254" t="s">
        <v>428</v>
      </c>
      <c r="D152" s="3201">
        <v>112024.89138000002</v>
      </c>
      <c r="E152" s="3201">
        <v>85246.239640000014</v>
      </c>
    </row>
    <row r="153" spans="1:20">
      <c r="B153" s="3254" t="s">
        <v>429</v>
      </c>
      <c r="D153" s="3201">
        <v>0</v>
      </c>
      <c r="E153" s="3201">
        <v>0</v>
      </c>
    </row>
    <row r="154" spans="1:20">
      <c r="B154" s="3254" t="s">
        <v>436</v>
      </c>
      <c r="D154" s="3201">
        <v>648904.55163</v>
      </c>
      <c r="E154" s="3201">
        <v>593449.57995999977</v>
      </c>
    </row>
    <row r="155" spans="1:20">
      <c r="B155" s="3254" t="s">
        <v>824</v>
      </c>
      <c r="D155" s="3201">
        <v>0</v>
      </c>
      <c r="E155" s="3201">
        <v>0</v>
      </c>
    </row>
    <row r="156" spans="1:20">
      <c r="B156" s="3254" t="s">
        <v>439</v>
      </c>
      <c r="D156" s="3201">
        <v>0</v>
      </c>
      <c r="E156" s="3201">
        <v>0</v>
      </c>
    </row>
    <row r="157" spans="1:20" ht="15.75" thickBot="1">
      <c r="B157" s="76" t="s">
        <v>118</v>
      </c>
      <c r="D157" s="84">
        <f>SUM(D152:D156)</f>
        <v>760929.44301000005</v>
      </c>
      <c r="E157" s="84">
        <f>SUM(E152:E156)</f>
        <v>678695.81959999981</v>
      </c>
    </row>
    <row r="158" spans="1:20" ht="15.75" thickTop="1"/>
  </sheetData>
  <customSheetViews>
    <customSheetView guid="{5E394B0B-7867-4722-9497-A93AB2A9A773}" showPageBreaks="1" state="hidden">
      <pane xSplit="2" ySplit="1" topLeftCell="C2" activePane="bottomRight" state="frozen"/>
      <selection pane="bottomRight" activeCell="F106" sqref="F106"/>
      <pageMargins left="0" right="0" top="0" bottom="0" header="0" footer="0"/>
      <pageSetup orientation="portrait" r:id="rId1"/>
    </customSheetView>
    <customSheetView guid="{B1E1B596-A9A1-411D-A882-A48CB025B978}" state="hidden">
      <pane xSplit="2" ySplit="1" topLeftCell="C2" activePane="bottomRight" state="frozen"/>
      <selection pane="bottomRight" activeCell="F106" sqref="F106"/>
      <pageMargins left="0" right="0" top="0" bottom="0" header="0" footer="0"/>
      <pageSetup orientation="portrait" r:id="rId2"/>
    </customSheetView>
    <customSheetView guid="{E82B35BE-4719-4C53-A9EF-1CC6F153A6F3}" state="hidden">
      <pane xSplit="2" ySplit="1" topLeftCell="C2" activePane="bottomRight" state="frozen"/>
      <selection pane="bottomRight" activeCell="F106" sqref="F106"/>
      <pageMargins left="0" right="0" top="0" bottom="0" header="0" footer="0"/>
      <pageSetup orientation="portrait" r:id="rId3"/>
    </customSheetView>
    <customSheetView guid="{46F31544-8E6F-41C5-8628-1D6EE074AF15}" state="hidden">
      <pane xSplit="2" ySplit="1" topLeftCell="C2" activePane="bottomRight" state="frozen"/>
      <selection pane="bottomRight" activeCell="F106" sqref="F106"/>
      <pageMargins left="0" right="0" top="0" bottom="0" header="0" footer="0"/>
      <pageSetup orientation="portrait" r:id="rId4"/>
    </customSheetView>
    <customSheetView guid="{B2E1A0C6-5BA1-4CF1-B412-16D81FCDF11F}" state="hidden">
      <pane xSplit="2" ySplit="1" topLeftCell="C2" activePane="bottomRight" state="frozen"/>
      <selection pane="bottomRight" activeCell="F106" sqref="F106"/>
      <pageMargins left="0" right="0" top="0" bottom="0" header="0" footer="0"/>
      <pageSetup orientation="portrait" r:id="rId5"/>
    </customSheetView>
    <customSheetView guid="{967E0446-E234-427F-8E57-7FE287052E2E}" showPageBreaks="1" state="hidden">
      <pane xSplit="2" ySplit="1" topLeftCell="C2" activePane="bottomRight" state="frozen"/>
      <selection pane="bottomRight" activeCell="F106" sqref="F106"/>
      <pageMargins left="0" right="0" top="0" bottom="0" header="0" footer="0"/>
      <pageSetup orientation="portrait" r:id="rId6"/>
    </customSheetView>
    <customSheetView guid="{2ACFE167-4169-43A6-9AB2-59D5A2DA2DB4}" showPageBreaks="1" state="hidden">
      <pane xSplit="2" ySplit="1" topLeftCell="C2" activePane="bottomRight" state="frozen"/>
      <selection pane="bottomRight" activeCell="F106" sqref="F106"/>
      <pageMargins left="0" right="0" top="0" bottom="0" header="0" footer="0"/>
      <pageSetup orientation="portrait" r:id="rId7"/>
    </customSheetView>
  </customSheetViews>
  <pageMargins left="0.7" right="0.7" top="0.75" bottom="0.75" header="0.3" footer="0.3"/>
  <pageSetup orientation="portrait" r:id="rId8"/>
  <ignoredErrors>
    <ignoredError sqref="D53:E53 D61:E61 D45:E45 D37:E37" formulaRange="1"/>
  </ignoredErrors>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FFC000"/>
  </sheetPr>
  <dimension ref="A1:Q180"/>
  <sheetViews>
    <sheetView workbookViewId="0">
      <selection activeCell="D25" sqref="D25"/>
    </sheetView>
  </sheetViews>
  <sheetFormatPr defaultRowHeight="15"/>
  <cols>
    <col min="1" max="1" width="5.140625" customWidth="1"/>
    <col min="2" max="2" width="19" customWidth="1"/>
    <col min="3" max="3" width="13.5703125" customWidth="1"/>
    <col min="4" max="4" width="14.85546875" customWidth="1"/>
    <col min="5" max="6" width="15.42578125" customWidth="1"/>
    <col min="7" max="7" width="14.7109375" customWidth="1"/>
  </cols>
  <sheetData>
    <row r="1" spans="2:7">
      <c r="B1" s="150" t="s">
        <v>594</v>
      </c>
    </row>
    <row r="2" spans="2:7">
      <c r="B2" s="3111" t="s">
        <v>825</v>
      </c>
    </row>
    <row r="3" spans="2:7">
      <c r="B3" s="3848" t="s">
        <v>709</v>
      </c>
      <c r="C3" s="3925" t="s">
        <v>414</v>
      </c>
      <c r="D3" s="3925"/>
      <c r="E3" s="3925"/>
      <c r="F3" s="94"/>
    </row>
    <row r="4" spans="2:7" ht="45">
      <c r="B4" s="3848"/>
      <c r="C4" s="3256" t="s">
        <v>826</v>
      </c>
      <c r="D4" s="3256" t="s">
        <v>419</v>
      </c>
      <c r="E4" s="1998" t="s">
        <v>827</v>
      </c>
      <c r="F4" s="1998" t="s">
        <v>828</v>
      </c>
      <c r="G4" s="3257" t="s">
        <v>829</v>
      </c>
    </row>
    <row r="5" spans="2:7">
      <c r="B5" s="2928">
        <v>2007</v>
      </c>
      <c r="C5" s="3258">
        <f>+C167</f>
        <v>1240339</v>
      </c>
      <c r="D5" s="3258">
        <f>+D167</f>
        <v>498110</v>
      </c>
      <c r="E5" s="3259">
        <f>+[41]Sheet2!$G$13</f>
        <v>3125794</v>
      </c>
      <c r="F5" s="3259">
        <f>+[41]Sheet2!$G$25</f>
        <v>297892</v>
      </c>
      <c r="G5" s="3258">
        <f>+E167</f>
        <v>0</v>
      </c>
    </row>
    <row r="6" spans="2:7">
      <c r="B6" s="2928">
        <v>2008</v>
      </c>
      <c r="C6" s="3258">
        <f>+C141</f>
        <v>1205245</v>
      </c>
      <c r="D6" s="3258">
        <f>+D141</f>
        <v>670460</v>
      </c>
      <c r="E6" s="3259">
        <f>+[41]Sheet2!$H$13</f>
        <v>3390993</v>
      </c>
      <c r="F6" s="3259">
        <f>+[41]Sheet2!$H$25</f>
        <v>265199</v>
      </c>
      <c r="G6" s="3258">
        <f>+E141</f>
        <v>0</v>
      </c>
    </row>
    <row r="7" spans="2:7">
      <c r="B7" s="2928">
        <v>2009</v>
      </c>
      <c r="C7" s="3258">
        <f>+C115</f>
        <v>1415020</v>
      </c>
      <c r="D7" s="3258">
        <f>+D115</f>
        <v>892972</v>
      </c>
      <c r="E7" s="3259">
        <f>+[41]Sheet2!$I$13</f>
        <v>3595068</v>
      </c>
      <c r="F7" s="3259">
        <f>+[41]Sheet2!$I$25</f>
        <v>204075</v>
      </c>
      <c r="G7" s="3258">
        <f>+E115</f>
        <v>0</v>
      </c>
    </row>
    <row r="8" spans="2:7">
      <c r="B8" s="2928">
        <v>2010</v>
      </c>
      <c r="C8" s="3258">
        <f>+C89</f>
        <v>1591047</v>
      </c>
      <c r="D8" s="3258">
        <f>+D89</f>
        <v>1066899</v>
      </c>
      <c r="E8" s="3259">
        <f>+[41]Sheet2!$J$13</f>
        <v>3954311</v>
      </c>
      <c r="F8" s="3259">
        <f>+[41]Sheet2!$J$25</f>
        <v>359243</v>
      </c>
      <c r="G8" s="3258">
        <f>+E89</f>
        <v>0</v>
      </c>
    </row>
    <row r="9" spans="2:7">
      <c r="B9" s="2928">
        <v>2011</v>
      </c>
      <c r="C9" s="3258">
        <f>+C63</f>
        <v>1867731</v>
      </c>
      <c r="D9" s="3258">
        <f>+D63</f>
        <v>1325633</v>
      </c>
      <c r="E9" s="3259"/>
      <c r="F9" s="3259"/>
      <c r="G9" s="3258">
        <f>+E63</f>
        <v>0</v>
      </c>
    </row>
    <row r="10" spans="2:7">
      <c r="B10" s="2928">
        <v>2012</v>
      </c>
      <c r="C10" s="3258">
        <f>+C36</f>
        <v>2026197</v>
      </c>
      <c r="D10" s="3258">
        <f>+D36</f>
        <v>1417200</v>
      </c>
      <c r="E10" s="3259"/>
      <c r="F10" s="3259"/>
      <c r="G10" s="3258">
        <f>+E36</f>
        <v>0</v>
      </c>
    </row>
    <row r="11" spans="2:7">
      <c r="C11" s="194"/>
      <c r="D11" s="194"/>
      <c r="E11" s="49"/>
      <c r="F11" s="49"/>
      <c r="G11" s="194"/>
    </row>
    <row r="14" spans="2:7" ht="15" customHeight="1">
      <c r="B14" s="3111" t="s">
        <v>830</v>
      </c>
    </row>
    <row r="15" spans="2:7">
      <c r="B15" s="3848" t="s">
        <v>709</v>
      </c>
      <c r="C15" s="3925" t="s">
        <v>414</v>
      </c>
      <c r="D15" s="3925"/>
      <c r="E15" s="3925"/>
      <c r="F15" s="94"/>
    </row>
    <row r="16" spans="2:7" ht="33.75">
      <c r="B16" s="3848"/>
      <c r="C16" s="3256" t="s">
        <v>826</v>
      </c>
      <c r="D16" s="3256" t="s">
        <v>419</v>
      </c>
      <c r="E16" s="3257" t="s">
        <v>829</v>
      </c>
      <c r="F16" s="95"/>
    </row>
    <row r="17" spans="1:17">
      <c r="A17" s="58">
        <v>1</v>
      </c>
      <c r="B17" s="2938" t="s">
        <v>175</v>
      </c>
      <c r="C17" s="3260">
        <v>693</v>
      </c>
      <c r="D17" s="3260">
        <v>18672</v>
      </c>
      <c r="E17" s="3260"/>
      <c r="F17" s="96"/>
    </row>
    <row r="18" spans="1:17">
      <c r="A18" s="58">
        <v>2</v>
      </c>
      <c r="B18" s="2939" t="s">
        <v>177</v>
      </c>
      <c r="C18" s="3261"/>
      <c r="D18" s="2818">
        <v>3391</v>
      </c>
      <c r="E18" s="2818"/>
      <c r="F18" s="97"/>
      <c r="J18" s="45"/>
      <c r="K18" s="45"/>
      <c r="L18" s="45"/>
      <c r="M18" s="45"/>
      <c r="N18" s="45"/>
      <c r="O18" s="45"/>
      <c r="P18" s="45"/>
      <c r="Q18" s="45"/>
    </row>
    <row r="19" spans="1:17">
      <c r="A19" s="58">
        <v>3</v>
      </c>
      <c r="B19" s="2938" t="s">
        <v>179</v>
      </c>
      <c r="C19" s="2104">
        <v>3616</v>
      </c>
      <c r="D19" s="2104">
        <v>68489</v>
      </c>
      <c r="E19" s="2818"/>
      <c r="F19" s="97"/>
      <c r="J19" s="45"/>
      <c r="K19" s="45"/>
      <c r="L19" s="45"/>
      <c r="M19" s="45"/>
      <c r="N19" s="45"/>
      <c r="O19" s="45"/>
      <c r="P19" s="45"/>
      <c r="Q19" s="45"/>
    </row>
    <row r="20" spans="1:17">
      <c r="A20" s="58">
        <v>4</v>
      </c>
      <c r="B20" s="2938" t="s">
        <v>180</v>
      </c>
      <c r="C20" s="2818">
        <v>85034</v>
      </c>
      <c r="D20" s="2818">
        <v>32921</v>
      </c>
      <c r="E20" s="2818"/>
      <c r="F20" s="97"/>
      <c r="J20" s="45"/>
      <c r="K20" s="45"/>
      <c r="L20" s="45"/>
      <c r="M20" s="45"/>
      <c r="N20" s="45"/>
      <c r="O20" s="45"/>
      <c r="P20" s="45"/>
      <c r="Q20" s="45"/>
    </row>
    <row r="21" spans="1:17">
      <c r="A21" s="58">
        <v>5</v>
      </c>
      <c r="B21" s="2939" t="s">
        <v>181</v>
      </c>
      <c r="C21" s="3261"/>
      <c r="D21" s="3261"/>
      <c r="E21" s="2818"/>
      <c r="F21" s="97"/>
      <c r="J21" s="45"/>
      <c r="K21" s="45"/>
      <c r="L21" s="45"/>
      <c r="M21" s="45"/>
      <c r="N21" s="45"/>
      <c r="O21" s="45"/>
      <c r="P21" s="45"/>
      <c r="Q21" s="45"/>
    </row>
    <row r="22" spans="1:17">
      <c r="A22" s="58">
        <v>6</v>
      </c>
      <c r="B22" s="2939" t="s">
        <v>182</v>
      </c>
      <c r="C22" s="3397">
        <v>551</v>
      </c>
      <c r="D22" s="3397">
        <v>44274</v>
      </c>
      <c r="E22" s="2818"/>
      <c r="F22" s="97"/>
      <c r="J22" s="45"/>
      <c r="K22" s="45"/>
      <c r="L22" s="45"/>
      <c r="M22" s="45"/>
      <c r="N22" s="45"/>
      <c r="O22" s="45"/>
      <c r="P22" s="45"/>
      <c r="Q22" s="45"/>
    </row>
    <row r="23" spans="1:17">
      <c r="A23" s="58">
        <v>7</v>
      </c>
      <c r="B23" s="2938" t="s">
        <v>183</v>
      </c>
      <c r="C23" s="3084">
        <v>665580</v>
      </c>
      <c r="D23" s="3084">
        <v>231095</v>
      </c>
      <c r="E23" s="3084"/>
      <c r="F23" s="107"/>
      <c r="J23" s="45"/>
      <c r="K23" s="45"/>
      <c r="L23" s="45"/>
      <c r="M23" s="45"/>
      <c r="N23" s="45"/>
      <c r="O23" s="45"/>
      <c r="P23" s="45"/>
      <c r="Q23" s="45"/>
    </row>
    <row r="24" spans="1:17">
      <c r="A24" s="58">
        <v>8</v>
      </c>
      <c r="B24" s="2938" t="s">
        <v>184</v>
      </c>
      <c r="C24" s="2818">
        <v>243305</v>
      </c>
      <c r="D24" s="2818">
        <v>77926</v>
      </c>
      <c r="E24" s="2818"/>
      <c r="F24" s="97"/>
      <c r="J24" s="45"/>
      <c r="K24" s="45"/>
      <c r="L24" s="45"/>
      <c r="M24" s="45"/>
      <c r="N24" s="45"/>
      <c r="O24" s="45"/>
      <c r="P24" s="45"/>
      <c r="Q24" s="45"/>
    </row>
    <row r="25" spans="1:17">
      <c r="A25" s="58">
        <v>9</v>
      </c>
      <c r="B25" s="2939" t="s">
        <v>185</v>
      </c>
      <c r="C25" s="2818"/>
      <c r="D25" s="2818"/>
      <c r="E25" s="2818"/>
      <c r="F25" s="97"/>
      <c r="J25" s="45"/>
      <c r="K25" s="45"/>
      <c r="L25" s="45"/>
      <c r="M25" s="45"/>
      <c r="N25" s="45"/>
      <c r="O25" s="45"/>
      <c r="P25" s="45"/>
      <c r="Q25" s="45"/>
    </row>
    <row r="26" spans="1:17">
      <c r="A26" s="81">
        <v>10</v>
      </c>
      <c r="B26" s="2089" t="s">
        <v>186</v>
      </c>
      <c r="C26" s="2818">
        <v>4607</v>
      </c>
      <c r="D26" s="2818">
        <v>46412</v>
      </c>
      <c r="E26" s="2818"/>
      <c r="F26" s="103"/>
      <c r="G26" t="s">
        <v>831</v>
      </c>
      <c r="J26" s="45"/>
      <c r="K26" s="45"/>
      <c r="L26" s="45"/>
      <c r="M26" s="45"/>
      <c r="N26" s="45"/>
      <c r="O26" s="45"/>
      <c r="P26" s="45"/>
      <c r="Q26" s="45"/>
    </row>
    <row r="27" spans="1:17">
      <c r="A27" s="58">
        <v>11</v>
      </c>
      <c r="B27" s="2938" t="s">
        <v>187</v>
      </c>
      <c r="C27" s="2818">
        <v>133617</v>
      </c>
      <c r="D27" s="2818">
        <v>251737</v>
      </c>
      <c r="E27" s="2818"/>
      <c r="F27" s="97"/>
      <c r="J27" s="45"/>
      <c r="K27" s="45"/>
      <c r="L27" s="45"/>
      <c r="M27" s="45"/>
      <c r="N27" s="45"/>
      <c r="O27" s="45"/>
      <c r="P27" s="45"/>
      <c r="Q27" s="45"/>
    </row>
    <row r="28" spans="1:17">
      <c r="A28" s="58">
        <v>12</v>
      </c>
      <c r="B28" s="2938" t="s">
        <v>189</v>
      </c>
      <c r="C28" s="2818">
        <f>+'[42]Sheet 2 - General Insurance'!$E$15</f>
        <v>188</v>
      </c>
      <c r="D28" s="2818">
        <f>+'[42]Sheet 2 - General Insurance'!$F$15</f>
        <v>91145</v>
      </c>
      <c r="E28" s="2818"/>
      <c r="F28" s="97"/>
      <c r="J28" s="45"/>
      <c r="K28" s="45"/>
      <c r="L28" s="45"/>
      <c r="M28" s="45"/>
      <c r="N28" s="45"/>
      <c r="O28" s="45"/>
      <c r="P28" s="45"/>
      <c r="Q28" s="45"/>
    </row>
    <row r="29" spans="1:17">
      <c r="A29" s="58">
        <v>13</v>
      </c>
      <c r="B29" s="2938" t="s">
        <v>190</v>
      </c>
      <c r="C29" s="3262">
        <f>+'[43]Sheet 2 - General Insurance'!$E$15</f>
        <v>17603</v>
      </c>
      <c r="D29" s="3262">
        <f>+'[43]Sheet 2 - General Insurance'!$F$15</f>
        <v>30848</v>
      </c>
      <c r="E29" s="3262"/>
      <c r="F29" s="97"/>
      <c r="J29" s="45"/>
      <c r="K29" s="45"/>
      <c r="L29" s="45"/>
      <c r="M29" s="45"/>
      <c r="N29" s="45"/>
      <c r="O29" s="45"/>
      <c r="P29" s="45"/>
      <c r="Q29" s="45"/>
    </row>
    <row r="30" spans="1:17">
      <c r="A30" s="58">
        <v>14</v>
      </c>
      <c r="B30" s="2939" t="s">
        <v>192</v>
      </c>
      <c r="C30" s="3262">
        <v>1621</v>
      </c>
      <c r="D30" s="3262">
        <v>76076</v>
      </c>
      <c r="E30" s="3262"/>
      <c r="F30" s="97"/>
      <c r="J30" s="45"/>
      <c r="K30" s="45"/>
      <c r="L30" s="45"/>
      <c r="M30" s="45"/>
      <c r="N30" s="45"/>
      <c r="O30" s="45"/>
      <c r="P30" s="45"/>
      <c r="Q30" s="45"/>
    </row>
    <row r="31" spans="1:17">
      <c r="A31" s="58">
        <v>15</v>
      </c>
      <c r="B31" s="2938" t="s">
        <v>193</v>
      </c>
      <c r="C31" s="3262">
        <v>842201</v>
      </c>
      <c r="D31" s="3262">
        <v>325525</v>
      </c>
      <c r="E31" s="3262"/>
      <c r="F31" s="97"/>
      <c r="J31" s="45"/>
      <c r="K31" s="45"/>
      <c r="L31" s="45"/>
      <c r="M31" s="45"/>
      <c r="N31" s="45"/>
      <c r="O31" s="45"/>
      <c r="P31" s="45"/>
      <c r="Q31" s="45"/>
    </row>
    <row r="32" spans="1:17">
      <c r="A32" s="58">
        <v>16</v>
      </c>
      <c r="B32" s="2938" t="s">
        <v>194</v>
      </c>
      <c r="C32" s="3262">
        <v>27271</v>
      </c>
      <c r="D32" s="3262">
        <v>12269</v>
      </c>
      <c r="E32" s="3262"/>
      <c r="F32" s="97"/>
      <c r="J32" s="45"/>
      <c r="K32" s="45"/>
      <c r="L32" s="45"/>
      <c r="M32" s="45"/>
      <c r="N32" s="45"/>
      <c r="O32" s="45"/>
      <c r="P32" s="45"/>
      <c r="Q32" s="45"/>
    </row>
    <row r="33" spans="1:17">
      <c r="A33" s="58">
        <v>17</v>
      </c>
      <c r="B33" s="2938" t="s">
        <v>195</v>
      </c>
      <c r="C33" s="3262"/>
      <c r="D33" s="3262">
        <f>+'[44]Sheet 2 - General Insurance'!$F$15</f>
        <v>98698</v>
      </c>
      <c r="E33" s="3262"/>
      <c r="F33" s="97"/>
      <c r="J33" s="45"/>
      <c r="K33" s="45"/>
      <c r="L33" s="45"/>
      <c r="M33" s="45"/>
      <c r="N33" s="45"/>
      <c r="O33" s="45"/>
      <c r="P33" s="45"/>
      <c r="Q33" s="45"/>
    </row>
    <row r="34" spans="1:17">
      <c r="A34" s="58">
        <v>18</v>
      </c>
      <c r="B34" s="2939" t="s">
        <v>191</v>
      </c>
      <c r="C34" s="3398">
        <v>310</v>
      </c>
      <c r="D34" s="3398">
        <v>7722</v>
      </c>
      <c r="E34" s="3262"/>
      <c r="F34" s="97"/>
      <c r="J34" s="45"/>
      <c r="K34" s="45"/>
      <c r="L34" s="45"/>
      <c r="M34" s="45"/>
      <c r="N34" s="45"/>
      <c r="O34" s="45"/>
      <c r="P34" s="45"/>
      <c r="Q34" s="45"/>
    </row>
    <row r="35" spans="1:17">
      <c r="A35" s="58">
        <v>19</v>
      </c>
      <c r="B35" s="2939" t="s">
        <v>110</v>
      </c>
      <c r="C35" s="3262"/>
      <c r="D35" s="3262"/>
      <c r="E35" s="3262"/>
      <c r="F35" s="97"/>
      <c r="J35" s="45"/>
      <c r="K35" s="45"/>
      <c r="L35" s="45"/>
      <c r="M35" s="45"/>
      <c r="N35" s="45"/>
      <c r="O35" s="45"/>
      <c r="P35" s="45"/>
      <c r="Q35" s="45"/>
    </row>
    <row r="36" spans="1:17">
      <c r="B36" s="3122" t="s">
        <v>118</v>
      </c>
      <c r="C36" s="3263">
        <f>SUM(C17:C35)</f>
        <v>2026197</v>
      </c>
      <c r="D36" s="3263">
        <f>SUM(D17:D35)</f>
        <v>1417200</v>
      </c>
      <c r="E36" s="3263">
        <f>SUM(E17:E35)</f>
        <v>0</v>
      </c>
      <c r="F36" s="50"/>
    </row>
    <row r="37" spans="1:17">
      <c r="B37" s="46"/>
      <c r="C37" s="50"/>
      <c r="D37" s="50"/>
      <c r="E37" s="50"/>
      <c r="F37" s="50"/>
    </row>
    <row r="41" spans="1:17" ht="15" customHeight="1">
      <c r="B41" s="3111" t="s">
        <v>832</v>
      </c>
    </row>
    <row r="42" spans="1:17">
      <c r="B42" s="3848" t="s">
        <v>709</v>
      </c>
      <c r="C42" s="3925" t="s">
        <v>414</v>
      </c>
      <c r="D42" s="3925"/>
      <c r="E42" s="3925"/>
      <c r="F42" s="94"/>
    </row>
    <row r="43" spans="1:17" ht="33.75">
      <c r="B43" s="3848"/>
      <c r="C43" s="3256" t="s">
        <v>826</v>
      </c>
      <c r="D43" s="3256" t="s">
        <v>419</v>
      </c>
      <c r="E43" s="3257" t="s">
        <v>829</v>
      </c>
      <c r="F43" s="95"/>
    </row>
    <row r="44" spans="1:17">
      <c r="A44" s="58">
        <v>1</v>
      </c>
      <c r="B44" s="2938" t="s">
        <v>175</v>
      </c>
      <c r="C44" s="3260">
        <v>527</v>
      </c>
      <c r="D44" s="3260">
        <v>8788</v>
      </c>
      <c r="E44" s="3260"/>
      <c r="F44" s="96"/>
    </row>
    <row r="45" spans="1:17">
      <c r="A45" s="58">
        <v>2</v>
      </c>
      <c r="B45" s="2939" t="s">
        <v>177</v>
      </c>
      <c r="C45" s="3261"/>
      <c r="D45" s="2818">
        <v>2214</v>
      </c>
      <c r="E45" s="2818"/>
      <c r="F45" s="97"/>
      <c r="J45" s="45"/>
      <c r="K45" s="45"/>
      <c r="L45" s="45"/>
      <c r="M45" s="45"/>
      <c r="N45" s="45"/>
      <c r="O45" s="45"/>
      <c r="P45" s="45"/>
      <c r="Q45" s="45"/>
    </row>
    <row r="46" spans="1:17">
      <c r="A46" s="58">
        <v>3</v>
      </c>
      <c r="B46" s="2938" t="s">
        <v>179</v>
      </c>
      <c r="C46" s="2818">
        <v>8485</v>
      </c>
      <c r="D46" s="2818">
        <v>77023</v>
      </c>
      <c r="E46" s="2818"/>
      <c r="F46" s="97"/>
      <c r="J46" s="45"/>
      <c r="K46" s="45"/>
      <c r="L46" s="45"/>
      <c r="M46" s="45"/>
      <c r="N46" s="45"/>
      <c r="O46" s="45"/>
      <c r="P46" s="45"/>
      <c r="Q46" s="45"/>
    </row>
    <row r="47" spans="1:17">
      <c r="A47" s="58">
        <v>4</v>
      </c>
      <c r="B47" s="2938" t="s">
        <v>180</v>
      </c>
      <c r="C47" s="3399">
        <v>72377</v>
      </c>
      <c r="D47" s="3399">
        <v>25296</v>
      </c>
      <c r="E47" s="2818"/>
      <c r="F47" s="97"/>
      <c r="J47" s="45"/>
      <c r="K47" s="45"/>
      <c r="L47" s="45"/>
      <c r="M47" s="45"/>
      <c r="N47" s="45"/>
      <c r="O47" s="45"/>
      <c r="P47" s="45"/>
      <c r="Q47" s="45"/>
    </row>
    <row r="48" spans="1:17">
      <c r="A48" s="58">
        <v>5</v>
      </c>
      <c r="B48" s="3264" t="s">
        <v>181</v>
      </c>
      <c r="C48" s="3265">
        <v>0</v>
      </c>
      <c r="D48" s="3265">
        <v>17736</v>
      </c>
      <c r="E48" s="3266"/>
      <c r="F48" s="97"/>
      <c r="J48" s="45"/>
      <c r="K48" s="45"/>
      <c r="L48" s="45"/>
      <c r="M48" s="45"/>
      <c r="N48" s="45"/>
      <c r="O48" s="45"/>
      <c r="P48" s="45"/>
      <c r="Q48" s="45"/>
    </row>
    <row r="49" spans="1:17">
      <c r="A49" s="58">
        <v>6</v>
      </c>
      <c r="B49" s="2939" t="s">
        <v>182</v>
      </c>
      <c r="C49" s="206">
        <v>0</v>
      </c>
      <c r="D49" s="206">
        <v>35364</v>
      </c>
      <c r="E49" s="2818"/>
      <c r="F49" s="97"/>
      <c r="J49" s="45"/>
      <c r="K49" s="45"/>
      <c r="L49" s="45"/>
      <c r="M49" s="45"/>
      <c r="N49" s="45"/>
      <c r="O49" s="45"/>
      <c r="P49" s="45"/>
      <c r="Q49" s="45"/>
    </row>
    <row r="50" spans="1:17">
      <c r="A50" s="58">
        <v>7</v>
      </c>
      <c r="B50" s="2938" t="s">
        <v>183</v>
      </c>
      <c r="C50" s="3084">
        <v>815026</v>
      </c>
      <c r="D50" s="3084">
        <v>131507</v>
      </c>
      <c r="E50" s="3084"/>
      <c r="F50" s="107"/>
      <c r="J50" s="45"/>
      <c r="K50" s="45"/>
      <c r="L50" s="45"/>
      <c r="M50" s="45"/>
      <c r="N50" s="45"/>
      <c r="O50" s="45"/>
      <c r="P50" s="45"/>
      <c r="Q50" s="45"/>
    </row>
    <row r="51" spans="1:17">
      <c r="A51" s="58">
        <v>8</v>
      </c>
      <c r="B51" s="2938" t="s">
        <v>184</v>
      </c>
      <c r="C51" s="2818">
        <v>101266</v>
      </c>
      <c r="D51" s="2818">
        <v>63072</v>
      </c>
      <c r="E51" s="2818"/>
      <c r="F51" s="97"/>
      <c r="J51" s="45"/>
      <c r="K51" s="45"/>
      <c r="L51" s="45"/>
      <c r="M51" s="45"/>
      <c r="N51" s="45"/>
      <c r="O51" s="45"/>
      <c r="P51" s="45"/>
      <c r="Q51" s="45"/>
    </row>
    <row r="52" spans="1:17">
      <c r="A52" s="58">
        <v>9</v>
      </c>
      <c r="B52" s="2939" t="s">
        <v>185</v>
      </c>
      <c r="C52" s="2818"/>
      <c r="D52" s="2818"/>
      <c r="E52" s="2818"/>
      <c r="F52" s="97"/>
      <c r="J52" s="45"/>
      <c r="K52" s="45"/>
      <c r="L52" s="45"/>
      <c r="M52" s="45"/>
      <c r="N52" s="45"/>
      <c r="O52" s="45"/>
      <c r="P52" s="45"/>
      <c r="Q52" s="45"/>
    </row>
    <row r="53" spans="1:17">
      <c r="A53" s="81">
        <v>10</v>
      </c>
      <c r="B53" s="2089" t="s">
        <v>186</v>
      </c>
      <c r="C53" s="2818">
        <v>6676</v>
      </c>
      <c r="D53" s="2818">
        <v>66642</v>
      </c>
      <c r="E53" s="2818"/>
      <c r="F53" s="103"/>
      <c r="G53" t="s">
        <v>831</v>
      </c>
      <c r="J53" s="45"/>
      <c r="K53" s="45"/>
      <c r="L53" s="45"/>
      <c r="M53" s="45"/>
      <c r="N53" s="45"/>
      <c r="O53" s="45"/>
      <c r="P53" s="45"/>
      <c r="Q53" s="45"/>
    </row>
    <row r="54" spans="1:17">
      <c r="A54" s="58">
        <v>11</v>
      </c>
      <c r="B54" s="2938" t="s">
        <v>187</v>
      </c>
      <c r="C54" s="3267"/>
      <c r="D54" s="2818">
        <v>373127</v>
      </c>
      <c r="E54" s="2818"/>
      <c r="F54" s="97"/>
      <c r="J54" s="45"/>
      <c r="K54" s="45"/>
      <c r="L54" s="45"/>
      <c r="M54" s="45"/>
      <c r="N54" s="45"/>
      <c r="O54" s="45"/>
      <c r="P54" s="45"/>
      <c r="Q54" s="45"/>
    </row>
    <row r="55" spans="1:17">
      <c r="A55" s="58">
        <v>12</v>
      </c>
      <c r="B55" s="2938" t="s">
        <v>189</v>
      </c>
      <c r="C55" s="3262">
        <v>0</v>
      </c>
      <c r="D55" s="3262">
        <f>+'[42]Sheet 2 - General Insurance'!$F$16</f>
        <v>28290</v>
      </c>
      <c r="E55" s="3262"/>
      <c r="F55" s="97"/>
      <c r="J55" s="45"/>
      <c r="K55" s="45"/>
      <c r="L55" s="45"/>
      <c r="M55" s="45"/>
      <c r="N55" s="45"/>
      <c r="O55" s="45"/>
      <c r="P55" s="45"/>
      <c r="Q55" s="45"/>
    </row>
    <row r="56" spans="1:17">
      <c r="A56" s="58">
        <v>13</v>
      </c>
      <c r="B56" s="2938" t="s">
        <v>190</v>
      </c>
      <c r="C56" s="3262">
        <v>0</v>
      </c>
      <c r="D56" s="3262">
        <f>+'[43]Sheet 2 - General Insurance'!$F$16</f>
        <v>29587</v>
      </c>
      <c r="E56" s="3262"/>
      <c r="F56" s="97"/>
      <c r="J56" s="45"/>
      <c r="K56" s="45"/>
      <c r="L56" s="45"/>
      <c r="M56" s="45"/>
      <c r="N56" s="45"/>
      <c r="O56" s="45"/>
      <c r="P56" s="45"/>
      <c r="Q56" s="45"/>
    </row>
    <row r="57" spans="1:17">
      <c r="A57" s="58">
        <v>14</v>
      </c>
      <c r="B57" s="2939" t="s">
        <v>192</v>
      </c>
      <c r="C57" s="3262">
        <v>1085</v>
      </c>
      <c r="D57" s="3262">
        <v>60946</v>
      </c>
      <c r="E57" s="3262"/>
      <c r="F57" s="97"/>
      <c r="J57" s="45"/>
      <c r="K57" s="45"/>
      <c r="L57" s="45"/>
      <c r="M57" s="45"/>
      <c r="N57" s="45"/>
      <c r="O57" s="45"/>
      <c r="P57" s="45"/>
      <c r="Q57" s="45"/>
    </row>
    <row r="58" spans="1:17">
      <c r="A58" s="58">
        <v>15</v>
      </c>
      <c r="B58" s="2938" t="s">
        <v>193</v>
      </c>
      <c r="C58" s="3262">
        <v>834132</v>
      </c>
      <c r="D58" s="3262">
        <v>298274</v>
      </c>
      <c r="E58" s="3262"/>
      <c r="F58" s="97"/>
      <c r="J58" s="45"/>
      <c r="K58" s="45"/>
      <c r="L58" s="45"/>
      <c r="M58" s="45"/>
      <c r="N58" s="45"/>
      <c r="O58" s="45"/>
      <c r="P58" s="45"/>
      <c r="Q58" s="45"/>
    </row>
    <row r="59" spans="1:17">
      <c r="A59" s="58">
        <v>16</v>
      </c>
      <c r="B59" s="2938" t="s">
        <v>194</v>
      </c>
      <c r="C59" s="3262">
        <v>24992</v>
      </c>
      <c r="D59" s="3262">
        <v>12187</v>
      </c>
      <c r="E59" s="3262"/>
      <c r="F59" s="97"/>
      <c r="J59" s="45"/>
      <c r="K59" s="45"/>
      <c r="L59" s="45"/>
      <c r="M59" s="45"/>
      <c r="N59" s="45"/>
      <c r="O59" s="45"/>
      <c r="P59" s="45"/>
      <c r="Q59" s="45"/>
    </row>
    <row r="60" spans="1:17">
      <c r="A60" s="58">
        <v>17</v>
      </c>
      <c r="B60" s="2938" t="s">
        <v>195</v>
      </c>
      <c r="C60" s="3262">
        <v>3159</v>
      </c>
      <c r="D60" s="3262">
        <v>95530</v>
      </c>
      <c r="E60" s="3262"/>
      <c r="F60" s="97"/>
      <c r="J60" s="45"/>
      <c r="K60" s="45"/>
      <c r="L60" s="45"/>
      <c r="M60" s="45"/>
      <c r="N60" s="45"/>
      <c r="O60" s="45"/>
      <c r="P60" s="45"/>
      <c r="Q60" s="45"/>
    </row>
    <row r="61" spans="1:17">
      <c r="A61" s="58">
        <v>18</v>
      </c>
      <c r="B61" s="2939" t="s">
        <v>191</v>
      </c>
      <c r="C61" s="3262">
        <v>6</v>
      </c>
      <c r="D61" s="3262">
        <v>50</v>
      </c>
      <c r="E61" s="3262"/>
      <c r="F61" s="97"/>
      <c r="J61" s="45"/>
      <c r="K61" s="45"/>
      <c r="L61" s="45"/>
      <c r="M61" s="45"/>
      <c r="N61" s="45"/>
      <c r="O61" s="45"/>
      <c r="P61" s="45"/>
      <c r="Q61" s="45"/>
    </row>
    <row r="62" spans="1:17">
      <c r="A62" s="58">
        <v>19</v>
      </c>
      <c r="B62" s="2939" t="s">
        <v>110</v>
      </c>
      <c r="C62" s="3262"/>
      <c r="D62" s="3262"/>
      <c r="E62" s="3262"/>
      <c r="F62" s="97"/>
      <c r="J62" s="45"/>
      <c r="K62" s="45"/>
      <c r="L62" s="45"/>
      <c r="M62" s="45"/>
      <c r="N62" s="45"/>
      <c r="O62" s="45"/>
      <c r="P62" s="45"/>
      <c r="Q62" s="45"/>
    </row>
    <row r="63" spans="1:17">
      <c r="B63" s="3122" t="s">
        <v>118</v>
      </c>
      <c r="C63" s="3263">
        <f>SUM(C44:C62)</f>
        <v>1867731</v>
      </c>
      <c r="D63" s="3263">
        <f>SUM(D44:D62)</f>
        <v>1325633</v>
      </c>
      <c r="E63" s="3263">
        <f>SUM(E44:E62)</f>
        <v>0</v>
      </c>
      <c r="F63" s="50"/>
    </row>
    <row r="64" spans="1:17">
      <c r="B64" s="46"/>
      <c r="C64" s="50"/>
      <c r="D64" s="50"/>
      <c r="E64" s="50"/>
      <c r="F64" s="50"/>
    </row>
    <row r="65" spans="1:6">
      <c r="B65" s="44"/>
    </row>
    <row r="67" spans="1:6">
      <c r="B67" s="3111" t="s">
        <v>833</v>
      </c>
    </row>
    <row r="68" spans="1:6">
      <c r="B68" s="3848" t="s">
        <v>709</v>
      </c>
      <c r="C68" s="3925" t="s">
        <v>414</v>
      </c>
      <c r="D68" s="3925"/>
      <c r="E68" s="3925"/>
      <c r="F68" s="94"/>
    </row>
    <row r="69" spans="1:6">
      <c r="B69" s="3848"/>
      <c r="C69" s="3256" t="s">
        <v>826</v>
      </c>
      <c r="D69" s="3256" t="s">
        <v>419</v>
      </c>
      <c r="E69" s="3257"/>
      <c r="F69" s="95"/>
    </row>
    <row r="70" spans="1:6">
      <c r="A70" s="58">
        <v>1</v>
      </c>
      <c r="B70" s="2938" t="s">
        <v>175</v>
      </c>
      <c r="C70" s="3260">
        <v>566</v>
      </c>
      <c r="D70" s="3260">
        <v>7911</v>
      </c>
      <c r="E70" s="3260"/>
      <c r="F70" s="96"/>
    </row>
    <row r="71" spans="1:6">
      <c r="A71" s="58">
        <v>2</v>
      </c>
      <c r="B71" s="2939" t="s">
        <v>177</v>
      </c>
      <c r="C71" s="3262"/>
      <c r="D71" s="3262"/>
      <c r="E71" s="3262"/>
      <c r="F71" s="97"/>
    </row>
    <row r="72" spans="1:6">
      <c r="A72" s="58">
        <v>3</v>
      </c>
      <c r="B72" s="2938" t="s">
        <v>179</v>
      </c>
      <c r="C72" s="3262">
        <v>3151</v>
      </c>
      <c r="D72" s="3262">
        <v>71071</v>
      </c>
      <c r="E72" s="3262"/>
      <c r="F72" s="97"/>
    </row>
    <row r="73" spans="1:6">
      <c r="A73" s="58">
        <v>4</v>
      </c>
      <c r="B73" s="2938" t="s">
        <v>180</v>
      </c>
      <c r="C73" s="3262">
        <v>54711</v>
      </c>
      <c r="D73" s="3262">
        <v>19102</v>
      </c>
      <c r="E73" s="3262"/>
      <c r="F73" s="97"/>
    </row>
    <row r="74" spans="1:6">
      <c r="A74" s="58">
        <v>5</v>
      </c>
      <c r="B74" s="2939" t="s">
        <v>181</v>
      </c>
      <c r="C74" s="3262">
        <v>0</v>
      </c>
      <c r="D74" s="3262">
        <v>15383</v>
      </c>
      <c r="E74" s="3262"/>
      <c r="F74" s="97"/>
    </row>
    <row r="75" spans="1:6">
      <c r="A75" s="58">
        <v>6</v>
      </c>
      <c r="B75" s="2939" t="s">
        <v>182</v>
      </c>
      <c r="C75" s="3262">
        <v>572</v>
      </c>
      <c r="D75" s="3262">
        <v>6312</v>
      </c>
      <c r="E75" s="3262"/>
      <c r="F75" s="97"/>
    </row>
    <row r="76" spans="1:6">
      <c r="A76" s="58">
        <v>7</v>
      </c>
      <c r="B76" s="2938" t="s">
        <v>183</v>
      </c>
      <c r="C76" s="3262">
        <v>554499</v>
      </c>
      <c r="D76" s="3262">
        <v>266406</v>
      </c>
      <c r="E76" s="3262"/>
      <c r="F76" s="97"/>
    </row>
    <row r="77" spans="1:6">
      <c r="A77" s="58">
        <v>8</v>
      </c>
      <c r="B77" s="2938" t="s">
        <v>184</v>
      </c>
      <c r="C77" s="3262">
        <v>12757</v>
      </c>
      <c r="D77" s="3262">
        <v>57719</v>
      </c>
      <c r="E77" s="3262"/>
      <c r="F77" s="97"/>
    </row>
    <row r="78" spans="1:6">
      <c r="A78" s="58">
        <v>9</v>
      </c>
      <c r="B78" s="2939" t="s">
        <v>185</v>
      </c>
      <c r="C78" s="3262"/>
      <c r="D78" s="3262"/>
      <c r="E78" s="3262"/>
      <c r="F78" s="97"/>
    </row>
    <row r="79" spans="1:6">
      <c r="A79" s="58">
        <v>10</v>
      </c>
      <c r="B79" s="2938" t="s">
        <v>186</v>
      </c>
      <c r="C79" s="3262">
        <v>3613</v>
      </c>
      <c r="D79" s="3262">
        <v>49053</v>
      </c>
      <c r="E79" s="3262"/>
      <c r="F79" s="97"/>
    </row>
    <row r="80" spans="1:6">
      <c r="A80" s="58">
        <v>11</v>
      </c>
      <c r="B80" s="2938" t="s">
        <v>187</v>
      </c>
      <c r="C80" s="3262">
        <v>119219</v>
      </c>
      <c r="D80" s="3262">
        <v>221939</v>
      </c>
      <c r="E80" s="3261"/>
      <c r="F80" s="97"/>
    </row>
    <row r="81" spans="1:6">
      <c r="A81" s="58">
        <v>12</v>
      </c>
      <c r="B81" s="2938" t="s">
        <v>189</v>
      </c>
      <c r="C81" s="3262"/>
      <c r="D81" s="3262"/>
      <c r="E81" s="3262"/>
      <c r="F81" s="97"/>
    </row>
    <row r="82" spans="1:6">
      <c r="A82" s="58">
        <v>13</v>
      </c>
      <c r="B82" s="2938" t="s">
        <v>190</v>
      </c>
      <c r="C82" s="3262">
        <v>0</v>
      </c>
      <c r="D82" s="3262">
        <v>25652</v>
      </c>
      <c r="E82" s="3262"/>
      <c r="F82" s="97"/>
    </row>
    <row r="83" spans="1:6">
      <c r="A83" s="58">
        <v>14</v>
      </c>
      <c r="B83" s="2939" t="s">
        <v>192</v>
      </c>
      <c r="C83" s="3262">
        <v>3</v>
      </c>
      <c r="D83" s="3262">
        <v>480</v>
      </c>
      <c r="E83" s="3262"/>
      <c r="F83" s="97"/>
    </row>
    <row r="84" spans="1:6">
      <c r="A84" s="58">
        <v>15</v>
      </c>
      <c r="B84" s="2938" t="s">
        <v>193</v>
      </c>
      <c r="C84" s="3262">
        <v>816881</v>
      </c>
      <c r="D84" s="3262">
        <v>227488</v>
      </c>
      <c r="E84" s="3262"/>
      <c r="F84" s="97"/>
    </row>
    <row r="85" spans="1:6">
      <c r="A85" s="58">
        <v>16</v>
      </c>
      <c r="B85" s="2938" t="s">
        <v>194</v>
      </c>
      <c r="C85" s="3262">
        <v>19286</v>
      </c>
      <c r="D85" s="3262">
        <v>9264</v>
      </c>
      <c r="E85" s="3262"/>
      <c r="F85" s="97"/>
    </row>
    <row r="86" spans="1:6">
      <c r="A86" s="58">
        <v>17</v>
      </c>
      <c r="B86" s="2938" t="s">
        <v>195</v>
      </c>
      <c r="C86" s="3262">
        <v>5789</v>
      </c>
      <c r="D86" s="3262">
        <v>89119</v>
      </c>
      <c r="E86" s="3262"/>
      <c r="F86" s="97"/>
    </row>
    <row r="87" spans="1:6">
      <c r="A87" s="58">
        <v>18</v>
      </c>
      <c r="B87" s="2939" t="s">
        <v>191</v>
      </c>
      <c r="C87" s="3262"/>
      <c r="D87" s="3262"/>
      <c r="E87" s="3262"/>
      <c r="F87" s="97"/>
    </row>
    <row r="88" spans="1:6">
      <c r="A88" s="58">
        <v>19</v>
      </c>
      <c r="B88" s="2939" t="s">
        <v>110</v>
      </c>
      <c r="C88" s="3262"/>
      <c r="D88" s="3262"/>
      <c r="E88" s="3262"/>
      <c r="F88" s="97"/>
    </row>
    <row r="89" spans="1:6">
      <c r="B89" s="3122" t="s">
        <v>118</v>
      </c>
      <c r="C89" s="3263">
        <f>SUM(C70:C88)</f>
        <v>1591047</v>
      </c>
      <c r="D89" s="3263">
        <f>SUM(D70:D88)</f>
        <v>1066899</v>
      </c>
      <c r="E89" s="3263"/>
      <c r="F89" s="50"/>
    </row>
    <row r="90" spans="1:6">
      <c r="B90" s="46"/>
      <c r="C90" s="50"/>
      <c r="D90" s="50"/>
      <c r="E90" s="50"/>
      <c r="F90" s="50"/>
    </row>
    <row r="93" spans="1:6">
      <c r="B93" s="3111" t="s">
        <v>834</v>
      </c>
    </row>
    <row r="94" spans="1:6">
      <c r="B94" s="3848" t="s">
        <v>709</v>
      </c>
      <c r="C94" s="3925" t="s">
        <v>414</v>
      </c>
      <c r="D94" s="3925"/>
      <c r="E94" s="3925"/>
      <c r="F94" s="94"/>
    </row>
    <row r="95" spans="1:6" ht="33.75">
      <c r="B95" s="3848"/>
      <c r="C95" s="3256" t="s">
        <v>826</v>
      </c>
      <c r="D95" s="3256" t="s">
        <v>419</v>
      </c>
      <c r="E95" s="3257" t="s">
        <v>829</v>
      </c>
      <c r="F95" s="95"/>
    </row>
    <row r="96" spans="1:6">
      <c r="A96" s="58">
        <v>1</v>
      </c>
      <c r="B96" s="2938" t="s">
        <v>175</v>
      </c>
      <c r="C96" s="3260">
        <v>687</v>
      </c>
      <c r="D96" s="3260">
        <v>9329</v>
      </c>
      <c r="E96" s="3260"/>
      <c r="F96" s="96"/>
    </row>
    <row r="97" spans="1:7">
      <c r="A97" s="58">
        <v>2</v>
      </c>
      <c r="B97" s="2939" t="s">
        <v>177</v>
      </c>
      <c r="C97" s="3262"/>
      <c r="D97" s="3262"/>
      <c r="E97" s="3262"/>
      <c r="F97" s="97"/>
    </row>
    <row r="98" spans="1:7">
      <c r="A98" s="58">
        <v>3</v>
      </c>
      <c r="B98" s="2938" t="s">
        <v>179</v>
      </c>
      <c r="C98" s="3262">
        <v>2610</v>
      </c>
      <c r="D98" s="3262">
        <v>37261</v>
      </c>
      <c r="E98" s="3262"/>
      <c r="F98" s="97"/>
    </row>
    <row r="99" spans="1:7">
      <c r="A99" s="58">
        <v>4</v>
      </c>
      <c r="B99" s="2938" t="s">
        <v>180</v>
      </c>
      <c r="C99" s="3262">
        <v>34020</v>
      </c>
      <c r="D99" s="3262">
        <v>14757</v>
      </c>
      <c r="E99" s="3262"/>
      <c r="F99" s="97"/>
    </row>
    <row r="100" spans="1:7">
      <c r="A100" s="58">
        <v>5</v>
      </c>
      <c r="B100" s="2939" t="s">
        <v>181</v>
      </c>
      <c r="C100" s="3262">
        <v>0</v>
      </c>
      <c r="D100" s="3262">
        <v>11499</v>
      </c>
      <c r="E100" s="3262"/>
      <c r="F100" s="97"/>
    </row>
    <row r="101" spans="1:7">
      <c r="A101" s="58">
        <v>6</v>
      </c>
      <c r="B101" s="2939" t="s">
        <v>182</v>
      </c>
      <c r="C101" s="3262"/>
      <c r="D101" s="3262"/>
      <c r="E101" s="3262"/>
      <c r="F101" s="97"/>
    </row>
    <row r="102" spans="1:7">
      <c r="A102" s="58">
        <v>7</v>
      </c>
      <c r="B102" s="2938" t="s">
        <v>183</v>
      </c>
      <c r="C102" s="3262">
        <v>479246</v>
      </c>
      <c r="D102" s="3262">
        <v>257234</v>
      </c>
      <c r="E102" s="3262"/>
      <c r="F102" s="97"/>
    </row>
    <row r="103" spans="1:7">
      <c r="A103" s="58">
        <v>8</v>
      </c>
      <c r="B103" s="2938" t="s">
        <v>184</v>
      </c>
      <c r="C103" s="3262">
        <v>13863</v>
      </c>
      <c r="D103" s="3262">
        <v>70192</v>
      </c>
      <c r="E103" s="3262"/>
      <c r="F103" s="97"/>
    </row>
    <row r="104" spans="1:7">
      <c r="A104" s="58">
        <v>9</v>
      </c>
      <c r="B104" s="2939" t="s">
        <v>185</v>
      </c>
      <c r="C104" s="3262"/>
      <c r="D104" s="3262"/>
      <c r="E104" s="3262"/>
      <c r="F104" s="97"/>
    </row>
    <row r="105" spans="1:7" s="72" customFormat="1">
      <c r="A105" s="71">
        <v>10</v>
      </c>
      <c r="B105" s="3268" t="s">
        <v>186</v>
      </c>
      <c r="C105" s="3261"/>
      <c r="D105" s="3261"/>
      <c r="E105" s="3261"/>
      <c r="F105" s="98"/>
      <c r="G105" s="72" t="s">
        <v>835</v>
      </c>
    </row>
    <row r="106" spans="1:7">
      <c r="A106" s="58">
        <v>11</v>
      </c>
      <c r="B106" s="2938" t="s">
        <v>187</v>
      </c>
      <c r="C106" s="3262">
        <v>103782</v>
      </c>
      <c r="D106" s="3262">
        <v>182106</v>
      </c>
      <c r="E106" s="3261"/>
      <c r="F106" s="97"/>
    </row>
    <row r="107" spans="1:7">
      <c r="A107" s="58">
        <v>12</v>
      </c>
      <c r="B107" s="2938" t="s">
        <v>189</v>
      </c>
      <c r="C107" s="3262"/>
      <c r="D107" s="3262"/>
      <c r="E107" s="3262"/>
      <c r="F107" s="97"/>
    </row>
    <row r="108" spans="1:7">
      <c r="A108" s="58">
        <v>13</v>
      </c>
      <c r="B108" s="2938" t="s">
        <v>190</v>
      </c>
      <c r="C108" s="3262"/>
      <c r="D108" s="3262">
        <v>20729</v>
      </c>
      <c r="E108" s="3262"/>
      <c r="F108" s="97"/>
    </row>
    <row r="109" spans="1:7">
      <c r="A109" s="58">
        <v>14</v>
      </c>
      <c r="B109" s="2939" t="s">
        <v>192</v>
      </c>
      <c r="C109" s="3262"/>
      <c r="D109" s="3262"/>
      <c r="E109" s="3262"/>
      <c r="F109" s="97"/>
    </row>
    <row r="110" spans="1:7">
      <c r="A110" s="58">
        <v>15</v>
      </c>
      <c r="B110" s="2938" t="s">
        <v>193</v>
      </c>
      <c r="C110" s="3262">
        <v>764519</v>
      </c>
      <c r="D110" s="3262">
        <v>217522</v>
      </c>
      <c r="E110" s="3262"/>
      <c r="F110" s="97"/>
    </row>
    <row r="111" spans="1:7">
      <c r="A111" s="58">
        <v>16</v>
      </c>
      <c r="B111" s="2938" t="s">
        <v>194</v>
      </c>
      <c r="C111" s="3262">
        <v>13133</v>
      </c>
      <c r="D111" s="3262">
        <v>5616</v>
      </c>
      <c r="E111" s="3262"/>
      <c r="F111" s="97"/>
    </row>
    <row r="112" spans="1:7">
      <c r="A112" s="58">
        <v>17</v>
      </c>
      <c r="B112" s="2938" t="s">
        <v>195</v>
      </c>
      <c r="C112" s="3262">
        <v>3160</v>
      </c>
      <c r="D112" s="3262">
        <v>66727</v>
      </c>
      <c r="E112" s="3262"/>
      <c r="F112" s="97"/>
    </row>
    <row r="113" spans="1:6">
      <c r="A113" s="58">
        <v>18</v>
      </c>
      <c r="B113" s="2939" t="s">
        <v>191</v>
      </c>
      <c r="C113" s="3262"/>
      <c r="D113" s="3262"/>
      <c r="E113" s="3262"/>
      <c r="F113" s="97"/>
    </row>
    <row r="114" spans="1:6">
      <c r="A114" s="58">
        <v>19</v>
      </c>
      <c r="B114" s="2939" t="s">
        <v>110</v>
      </c>
      <c r="C114" s="3262"/>
      <c r="D114" s="3262"/>
      <c r="E114" s="3262"/>
      <c r="F114" s="97"/>
    </row>
    <row r="115" spans="1:6">
      <c r="B115" s="3122" t="s">
        <v>118</v>
      </c>
      <c r="C115" s="3263">
        <f>SUM(C96:C114)</f>
        <v>1415020</v>
      </c>
      <c r="D115" s="3263">
        <f>SUM(D96:D114)</f>
        <v>892972</v>
      </c>
      <c r="E115" s="3263"/>
      <c r="F115" s="50"/>
    </row>
    <row r="116" spans="1:6">
      <c r="B116" s="46"/>
      <c r="C116" s="50"/>
      <c r="D116" s="50"/>
      <c r="E116" s="50"/>
      <c r="F116" s="50"/>
    </row>
    <row r="119" spans="1:6">
      <c r="B119" s="3111" t="s">
        <v>836</v>
      </c>
    </row>
    <row r="120" spans="1:6">
      <c r="B120" s="3848" t="s">
        <v>709</v>
      </c>
      <c r="C120" s="3925" t="s">
        <v>414</v>
      </c>
      <c r="D120" s="3925"/>
      <c r="E120" s="3925"/>
      <c r="F120" s="94"/>
    </row>
    <row r="121" spans="1:6" ht="33.75">
      <c r="B121" s="3848"/>
      <c r="C121" s="3256" t="s">
        <v>826</v>
      </c>
      <c r="D121" s="3256" t="s">
        <v>419</v>
      </c>
      <c r="E121" s="3257" t="s">
        <v>829</v>
      </c>
      <c r="F121" s="95"/>
    </row>
    <row r="122" spans="1:6">
      <c r="A122" s="58">
        <v>1</v>
      </c>
      <c r="B122" s="2938" t="s">
        <v>175</v>
      </c>
      <c r="C122" s="3260">
        <v>612</v>
      </c>
      <c r="D122" s="3260">
        <v>3462</v>
      </c>
      <c r="E122" s="3260"/>
      <c r="F122" s="96"/>
    </row>
    <row r="123" spans="1:6">
      <c r="A123" s="58">
        <v>2</v>
      </c>
      <c r="B123" s="2939" t="s">
        <v>177</v>
      </c>
      <c r="C123" s="3262"/>
      <c r="D123" s="3262"/>
      <c r="E123" s="3262"/>
      <c r="F123" s="97"/>
    </row>
    <row r="124" spans="1:6">
      <c r="A124" s="58">
        <v>3</v>
      </c>
      <c r="B124" s="2938" t="s">
        <v>179</v>
      </c>
      <c r="C124" s="3262">
        <v>2350</v>
      </c>
      <c r="D124" s="3262">
        <v>26560</v>
      </c>
      <c r="E124" s="3262"/>
      <c r="F124" s="97"/>
    </row>
    <row r="125" spans="1:6">
      <c r="A125" s="58">
        <v>4</v>
      </c>
      <c r="B125" s="2938" t="s">
        <v>180</v>
      </c>
      <c r="C125" s="3262">
        <v>26144</v>
      </c>
      <c r="D125" s="3262">
        <v>13518</v>
      </c>
      <c r="E125" s="3262"/>
      <c r="F125" s="97"/>
    </row>
    <row r="126" spans="1:6">
      <c r="A126" s="58">
        <v>5</v>
      </c>
      <c r="B126" s="2939" t="s">
        <v>181</v>
      </c>
      <c r="C126" s="3262">
        <v>0</v>
      </c>
      <c r="D126" s="3262">
        <v>7959</v>
      </c>
      <c r="E126" s="3262"/>
      <c r="F126" s="97"/>
    </row>
    <row r="127" spans="1:6">
      <c r="A127" s="58">
        <v>6</v>
      </c>
      <c r="B127" s="2939" t="s">
        <v>182</v>
      </c>
      <c r="C127" s="3262"/>
      <c r="D127" s="3262"/>
      <c r="E127" s="3262"/>
      <c r="F127" s="97"/>
    </row>
    <row r="128" spans="1:6">
      <c r="A128" s="58">
        <v>7</v>
      </c>
      <c r="B128" s="2938" t="s">
        <v>183</v>
      </c>
      <c r="C128" s="3262">
        <v>429665</v>
      </c>
      <c r="D128" s="3262">
        <v>260448</v>
      </c>
      <c r="E128" s="3262"/>
      <c r="F128" s="97"/>
    </row>
    <row r="129" spans="1:7">
      <c r="A129" s="58">
        <v>8</v>
      </c>
      <c r="B129" s="2938" t="s">
        <v>184</v>
      </c>
      <c r="C129" s="3262">
        <v>11340</v>
      </c>
      <c r="D129" s="3262">
        <v>51755</v>
      </c>
      <c r="E129" s="3262"/>
      <c r="F129" s="97"/>
    </row>
    <row r="130" spans="1:7">
      <c r="A130" s="58">
        <v>9</v>
      </c>
      <c r="B130" s="2939" t="s">
        <v>185</v>
      </c>
      <c r="C130" s="3262"/>
      <c r="D130" s="3262"/>
      <c r="E130" s="3262"/>
      <c r="F130" s="97"/>
    </row>
    <row r="131" spans="1:7">
      <c r="A131" s="58">
        <v>10</v>
      </c>
      <c r="B131" s="2938" t="s">
        <v>186</v>
      </c>
      <c r="C131" s="3262"/>
      <c r="D131" s="3262"/>
      <c r="E131" s="3262"/>
      <c r="F131" s="97"/>
    </row>
    <row r="132" spans="1:7">
      <c r="A132" s="58">
        <v>11</v>
      </c>
      <c r="B132" s="2938" t="s">
        <v>187</v>
      </c>
      <c r="C132" s="3261"/>
      <c r="D132" s="3261"/>
      <c r="E132" s="3261"/>
      <c r="F132" s="97"/>
    </row>
    <row r="133" spans="1:7">
      <c r="A133" s="58">
        <v>12</v>
      </c>
      <c r="B133" s="2938" t="s">
        <v>189</v>
      </c>
      <c r="C133" s="3262"/>
      <c r="D133" s="3262"/>
      <c r="E133" s="3262"/>
      <c r="F133" s="97"/>
    </row>
    <row r="134" spans="1:7">
      <c r="A134" s="58">
        <v>13</v>
      </c>
      <c r="B134" s="2938" t="s">
        <v>190</v>
      </c>
      <c r="C134" s="3261"/>
      <c r="D134" s="3261"/>
      <c r="E134" s="3261"/>
      <c r="F134" s="98"/>
      <c r="G134" t="s">
        <v>837</v>
      </c>
    </row>
    <row r="135" spans="1:7">
      <c r="A135" s="58">
        <v>14</v>
      </c>
      <c r="B135" s="2939" t="s">
        <v>192</v>
      </c>
      <c r="C135" s="3262"/>
      <c r="D135" s="3262"/>
      <c r="E135" s="3262"/>
      <c r="F135" s="97"/>
    </row>
    <row r="136" spans="1:7">
      <c r="A136" s="58">
        <v>15</v>
      </c>
      <c r="B136" s="2938" t="s">
        <v>193</v>
      </c>
      <c r="C136" s="3262">
        <v>726255</v>
      </c>
      <c r="D136" s="3262">
        <v>241226</v>
      </c>
      <c r="E136" s="3262"/>
      <c r="F136" s="97"/>
    </row>
    <row r="137" spans="1:7">
      <c r="A137" s="58">
        <v>16</v>
      </c>
      <c r="B137" s="2938" t="s">
        <v>194</v>
      </c>
      <c r="C137" s="3262">
        <v>5147</v>
      </c>
      <c r="D137" s="3262">
        <v>5715</v>
      </c>
      <c r="E137" s="3262"/>
      <c r="F137" s="97"/>
    </row>
    <row r="138" spans="1:7">
      <c r="A138" s="58">
        <v>17</v>
      </c>
      <c r="B138" s="2938" t="s">
        <v>195</v>
      </c>
      <c r="C138" s="3262">
        <v>3732</v>
      </c>
      <c r="D138" s="3262">
        <v>59817</v>
      </c>
      <c r="E138" s="3262"/>
      <c r="F138" s="97"/>
    </row>
    <row r="139" spans="1:7">
      <c r="A139" s="58">
        <v>18</v>
      </c>
      <c r="B139" s="2939" t="s">
        <v>191</v>
      </c>
      <c r="C139" s="3262"/>
      <c r="D139" s="3262"/>
      <c r="E139" s="3262"/>
      <c r="F139" s="97"/>
    </row>
    <row r="140" spans="1:7">
      <c r="A140" s="58">
        <v>19</v>
      </c>
      <c r="B140" s="2939" t="s">
        <v>110</v>
      </c>
      <c r="C140" s="3262"/>
      <c r="D140" s="3262"/>
      <c r="E140" s="3262"/>
      <c r="F140" s="97"/>
    </row>
    <row r="141" spans="1:7">
      <c r="B141" s="3122" t="s">
        <v>118</v>
      </c>
      <c r="C141" s="3263">
        <f>SUM(C122:C140)</f>
        <v>1205245</v>
      </c>
      <c r="D141" s="3263">
        <f>SUM(D122:D140)</f>
        <v>670460</v>
      </c>
      <c r="E141" s="3263"/>
      <c r="F141" s="50"/>
    </row>
    <row r="142" spans="1:7">
      <c r="B142" s="46"/>
      <c r="C142" s="50"/>
      <c r="D142" s="50"/>
      <c r="E142" s="50"/>
      <c r="F142" s="50"/>
    </row>
    <row r="145" spans="1:7">
      <c r="B145" s="3111" t="s">
        <v>838</v>
      </c>
    </row>
    <row r="146" spans="1:7">
      <c r="B146" s="3848" t="s">
        <v>709</v>
      </c>
      <c r="C146" s="3925" t="s">
        <v>414</v>
      </c>
      <c r="D146" s="3925"/>
      <c r="E146" s="3925"/>
      <c r="F146" s="94"/>
    </row>
    <row r="147" spans="1:7" ht="33.75">
      <c r="B147" s="3848"/>
      <c r="C147" s="3256" t="s">
        <v>826</v>
      </c>
      <c r="D147" s="3256" t="s">
        <v>419</v>
      </c>
      <c r="E147" s="3257" t="s">
        <v>829</v>
      </c>
      <c r="F147" s="95"/>
    </row>
    <row r="148" spans="1:7">
      <c r="A148" s="58">
        <v>1</v>
      </c>
      <c r="B148" s="2938" t="s">
        <v>175</v>
      </c>
      <c r="C148" s="3260">
        <v>434</v>
      </c>
      <c r="D148" s="3260">
        <v>4453</v>
      </c>
      <c r="E148" s="3260"/>
      <c r="F148" s="96"/>
    </row>
    <row r="149" spans="1:7">
      <c r="A149" s="58">
        <v>2</v>
      </c>
      <c r="B149" s="2939" t="s">
        <v>177</v>
      </c>
      <c r="C149" s="3262"/>
      <c r="D149" s="3262"/>
      <c r="E149" s="3262"/>
      <c r="F149" s="97"/>
    </row>
    <row r="150" spans="1:7">
      <c r="A150" s="58">
        <v>3</v>
      </c>
      <c r="B150" s="2938" t="s">
        <v>179</v>
      </c>
      <c r="C150" s="3262">
        <v>1481</v>
      </c>
      <c r="D150" s="3262">
        <v>23922</v>
      </c>
      <c r="E150" s="3262"/>
      <c r="F150" s="97"/>
    </row>
    <row r="151" spans="1:7">
      <c r="A151" s="58">
        <v>4</v>
      </c>
      <c r="B151" s="2938" t="s">
        <v>180</v>
      </c>
      <c r="C151" s="3262">
        <v>24264</v>
      </c>
      <c r="D151" s="3262">
        <v>11799</v>
      </c>
      <c r="E151" s="3262"/>
      <c r="F151" s="97"/>
    </row>
    <row r="152" spans="1:7">
      <c r="A152" s="58">
        <v>5</v>
      </c>
      <c r="B152" s="2939" t="s">
        <v>181</v>
      </c>
      <c r="C152" s="3262">
        <v>0</v>
      </c>
      <c r="D152" s="3262">
        <v>4645</v>
      </c>
      <c r="E152" s="3262"/>
      <c r="F152" s="97"/>
    </row>
    <row r="153" spans="1:7">
      <c r="A153" s="58">
        <v>6</v>
      </c>
      <c r="B153" s="2939" t="s">
        <v>182</v>
      </c>
      <c r="C153" s="3262"/>
      <c r="D153" s="3262"/>
      <c r="E153" s="3262"/>
      <c r="F153" s="97"/>
    </row>
    <row r="154" spans="1:7">
      <c r="A154" s="58">
        <v>7</v>
      </c>
      <c r="B154" s="2938" t="s">
        <v>183</v>
      </c>
      <c r="C154" s="3262">
        <v>488500</v>
      </c>
      <c r="D154" s="3262">
        <v>116992</v>
      </c>
      <c r="E154" s="3262"/>
      <c r="F154" s="97"/>
    </row>
    <row r="155" spans="1:7">
      <c r="A155" s="58">
        <v>8</v>
      </c>
      <c r="B155" s="2938" t="s">
        <v>184</v>
      </c>
      <c r="C155" s="3262">
        <v>7405</v>
      </c>
      <c r="D155" s="3262">
        <v>33283</v>
      </c>
      <c r="E155" s="3262"/>
      <c r="F155" s="97"/>
    </row>
    <row r="156" spans="1:7">
      <c r="A156" s="58">
        <v>9</v>
      </c>
      <c r="B156" s="2939" t="s">
        <v>185</v>
      </c>
      <c r="C156" s="3262"/>
      <c r="D156" s="3262"/>
      <c r="E156" s="3262"/>
      <c r="F156" s="97"/>
    </row>
    <row r="157" spans="1:7">
      <c r="A157" s="58">
        <v>10</v>
      </c>
      <c r="B157" s="2938" t="s">
        <v>186</v>
      </c>
      <c r="C157" s="3262"/>
      <c r="D157" s="3262"/>
      <c r="E157" s="3262"/>
      <c r="F157" s="97"/>
    </row>
    <row r="158" spans="1:7">
      <c r="A158" s="58">
        <v>11</v>
      </c>
      <c r="B158" s="2938" t="s">
        <v>187</v>
      </c>
      <c r="C158" s="3261"/>
      <c r="D158" s="3261"/>
      <c r="E158" s="3261"/>
      <c r="F158" s="97"/>
    </row>
    <row r="159" spans="1:7">
      <c r="A159" s="58">
        <v>12</v>
      </c>
      <c r="B159" s="2938" t="s">
        <v>189</v>
      </c>
      <c r="C159" s="3262"/>
      <c r="D159" s="3262"/>
      <c r="E159" s="3262"/>
      <c r="F159" s="97"/>
    </row>
    <row r="160" spans="1:7">
      <c r="A160" s="58">
        <v>13</v>
      </c>
      <c r="B160" s="2938" t="s">
        <v>190</v>
      </c>
      <c r="C160" s="3261"/>
      <c r="D160" s="3261"/>
      <c r="E160" s="3261"/>
      <c r="F160" s="98"/>
      <c r="G160" t="s">
        <v>837</v>
      </c>
    </row>
    <row r="161" spans="1:6">
      <c r="A161" s="58">
        <v>14</v>
      </c>
      <c r="B161" s="2939" t="s">
        <v>192</v>
      </c>
      <c r="C161" s="3262"/>
      <c r="D161" s="3262"/>
      <c r="E161" s="3262"/>
      <c r="F161" s="97"/>
    </row>
    <row r="162" spans="1:6">
      <c r="A162" s="58">
        <v>15</v>
      </c>
      <c r="B162" s="2938" t="s">
        <v>193</v>
      </c>
      <c r="C162" s="3262">
        <v>706091</v>
      </c>
      <c r="D162" s="3262">
        <v>251465</v>
      </c>
      <c r="E162" s="3262"/>
      <c r="F162" s="97"/>
    </row>
    <row r="163" spans="1:6">
      <c r="A163" s="58">
        <v>16</v>
      </c>
      <c r="B163" s="2938" t="s">
        <v>194</v>
      </c>
      <c r="C163" s="3262">
        <v>8646</v>
      </c>
      <c r="D163" s="3262">
        <v>2034</v>
      </c>
      <c r="E163" s="3262"/>
      <c r="F163" s="97"/>
    </row>
    <row r="164" spans="1:6">
      <c r="A164" s="58">
        <v>17</v>
      </c>
      <c r="B164" s="2938" t="s">
        <v>195</v>
      </c>
      <c r="C164" s="3262">
        <v>3518</v>
      </c>
      <c r="D164" s="3262">
        <v>49517</v>
      </c>
      <c r="E164" s="3262"/>
      <c r="F164" s="97"/>
    </row>
    <row r="165" spans="1:6">
      <c r="A165" s="58">
        <v>18</v>
      </c>
      <c r="B165" s="2939" t="s">
        <v>191</v>
      </c>
      <c r="C165" s="3262"/>
      <c r="D165" s="3262"/>
      <c r="E165" s="3262"/>
      <c r="F165" s="97"/>
    </row>
    <row r="166" spans="1:6">
      <c r="A166" s="58">
        <v>19</v>
      </c>
      <c r="B166" s="2939" t="s">
        <v>110</v>
      </c>
      <c r="C166" s="3262"/>
      <c r="D166" s="3262"/>
      <c r="E166" s="3262"/>
      <c r="F166" s="97"/>
    </row>
    <row r="167" spans="1:6">
      <c r="B167" s="3122" t="s">
        <v>118</v>
      </c>
      <c r="C167" s="3263">
        <f>SUM(C148:C166)</f>
        <v>1240339</v>
      </c>
      <c r="D167" s="3263">
        <f>SUM(D148:D166)</f>
        <v>498110</v>
      </c>
      <c r="E167" s="3263"/>
      <c r="F167" s="50"/>
    </row>
    <row r="168" spans="1:6">
      <c r="B168" s="46"/>
      <c r="C168" s="50"/>
      <c r="D168" s="50"/>
      <c r="E168" s="50"/>
      <c r="F168" s="50"/>
    </row>
    <row r="178" spans="3:6">
      <c r="C178" s="3926"/>
      <c r="D178" s="3926"/>
      <c r="E178" s="3926"/>
      <c r="F178" s="93"/>
    </row>
    <row r="179" spans="3:6">
      <c r="C179" s="69"/>
      <c r="D179" s="69"/>
      <c r="E179" s="69"/>
      <c r="F179" s="69"/>
    </row>
    <row r="180" spans="3:6">
      <c r="C180" s="14"/>
      <c r="D180" s="14"/>
      <c r="E180" s="14"/>
      <c r="F180" s="14"/>
    </row>
  </sheetData>
  <customSheetViews>
    <customSheetView guid="{5E394B0B-7867-4722-9497-A93AB2A9A773}" showPageBreaks="1" state="hidden">
      <selection activeCell="D25" sqref="D25"/>
      <pageMargins left="0" right="0" top="0" bottom="0" header="0" footer="0"/>
      <pageSetup orientation="portrait" r:id="rId1"/>
    </customSheetView>
    <customSheetView guid="{B1E1B596-A9A1-411D-A882-A48CB025B978}" state="hidden">
      <selection activeCell="D25" sqref="D25"/>
      <pageMargins left="0" right="0" top="0" bottom="0" header="0" footer="0"/>
      <pageSetup orientation="portrait" r:id="rId2"/>
    </customSheetView>
    <customSheetView guid="{E82B35BE-4719-4C53-A9EF-1CC6F153A6F3}" state="hidden">
      <selection activeCell="D25" sqref="D25"/>
      <pageMargins left="0" right="0" top="0" bottom="0" header="0" footer="0"/>
      <pageSetup orientation="portrait" r:id="rId3"/>
    </customSheetView>
    <customSheetView guid="{46F31544-8E6F-41C5-8628-1D6EE074AF15}" state="hidden">
      <selection activeCell="D25" sqref="D25"/>
      <pageMargins left="0" right="0" top="0" bottom="0" header="0" footer="0"/>
      <pageSetup orientation="portrait" r:id="rId4"/>
    </customSheetView>
    <customSheetView guid="{B2E1A0C6-5BA1-4CF1-B412-16D81FCDF11F}" state="hidden">
      <selection activeCell="D25" sqref="D25"/>
      <pageMargins left="0" right="0" top="0" bottom="0" header="0" footer="0"/>
      <pageSetup orientation="portrait" r:id="rId5"/>
    </customSheetView>
    <customSheetView guid="{967E0446-E234-427F-8E57-7FE287052E2E}" showPageBreaks="1" state="hidden">
      <selection activeCell="D25" sqref="D25"/>
      <pageMargins left="0" right="0" top="0" bottom="0" header="0" footer="0"/>
      <pageSetup orientation="portrait" r:id="rId6"/>
    </customSheetView>
    <customSheetView guid="{2ACFE167-4169-43A6-9AB2-59D5A2DA2DB4}" showPageBreaks="1" state="hidden">
      <selection activeCell="D25" sqref="D25"/>
      <pageMargins left="0" right="0" top="0" bottom="0" header="0" footer="0"/>
      <pageSetup orientation="portrait" r:id="rId7"/>
    </customSheetView>
  </customSheetViews>
  <mergeCells count="15">
    <mergeCell ref="C68:E68"/>
    <mergeCell ref="B42:B43"/>
    <mergeCell ref="C42:E42"/>
    <mergeCell ref="C178:E178"/>
    <mergeCell ref="B3:B4"/>
    <mergeCell ref="C3:E3"/>
    <mergeCell ref="B146:B147"/>
    <mergeCell ref="C146:E146"/>
    <mergeCell ref="B120:B121"/>
    <mergeCell ref="C120:E120"/>
    <mergeCell ref="B94:B95"/>
    <mergeCell ref="C94:E94"/>
    <mergeCell ref="B68:B69"/>
    <mergeCell ref="B15:B16"/>
    <mergeCell ref="C15:E15"/>
  </mergeCells>
  <hyperlinks>
    <hyperlink ref="B1" location="'List of tables'!A1" display="'List of tables'!A1"/>
  </hyperlinks>
  <pageMargins left="0.7" right="0.7" top="0.75" bottom="0.75" header="0.3" footer="0.3"/>
  <pageSetup orientation="portrait" r:id="rId8"/>
  <drawing r:id="rId9"/>
  <legacyDrawing r:id="rId1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B1:E46"/>
  <sheetViews>
    <sheetView workbookViewId="0"/>
  </sheetViews>
  <sheetFormatPr defaultRowHeight="15"/>
  <cols>
    <col min="1" max="1" width="4.140625" customWidth="1"/>
    <col min="2" max="2" width="92.28515625" customWidth="1"/>
    <col min="3" max="3" width="20.140625" bestFit="1" customWidth="1"/>
    <col min="4" max="4" width="17.140625" customWidth="1"/>
    <col min="5" max="5" width="21.7109375" bestFit="1" customWidth="1"/>
  </cols>
  <sheetData>
    <row r="1" spans="2:5" ht="26.25" customHeight="1">
      <c r="C1" s="2980" t="s">
        <v>839</v>
      </c>
      <c r="D1" s="2980" t="s">
        <v>840</v>
      </c>
      <c r="E1" s="2980" t="s">
        <v>841</v>
      </c>
    </row>
    <row r="2" spans="2:5" s="39" customFormat="1" ht="21.75" customHeight="1">
      <c r="B2" s="39" t="s">
        <v>842</v>
      </c>
      <c r="C2" s="149"/>
    </row>
    <row r="3" spans="2:5" s="39" customFormat="1" ht="21.75" customHeight="1">
      <c r="B3" s="39" t="s">
        <v>843</v>
      </c>
      <c r="C3" s="149"/>
    </row>
    <row r="4" spans="2:5" s="39" customFormat="1" ht="21" customHeight="1">
      <c r="B4" s="39" t="s">
        <v>844</v>
      </c>
      <c r="D4" s="149"/>
    </row>
    <row r="5" spans="2:5" s="39" customFormat="1" ht="21" customHeight="1">
      <c r="B5" s="39" t="s">
        <v>845</v>
      </c>
      <c r="E5" s="149"/>
    </row>
    <row r="6" spans="2:5" s="39" customFormat="1" ht="21" customHeight="1">
      <c r="B6" s="39" t="s">
        <v>846</v>
      </c>
      <c r="C6" s="149"/>
    </row>
    <row r="7" spans="2:5" s="39" customFormat="1" ht="19.5" customHeight="1">
      <c r="B7" s="39" t="s">
        <v>847</v>
      </c>
      <c r="D7" s="149"/>
    </row>
    <row r="8" spans="2:5" s="39" customFormat="1" ht="21.75" customHeight="1">
      <c r="B8" s="39" t="s">
        <v>848</v>
      </c>
      <c r="E8" s="149"/>
    </row>
    <row r="9" spans="2:5" s="39" customFormat="1" ht="24" customHeight="1">
      <c r="B9" s="39" t="s">
        <v>849</v>
      </c>
      <c r="E9" s="149"/>
    </row>
    <row r="10" spans="2:5" s="39" customFormat="1" ht="21.75" customHeight="1">
      <c r="B10" s="39" t="s">
        <v>850</v>
      </c>
      <c r="C10" s="149"/>
    </row>
    <row r="11" spans="2:5" s="39" customFormat="1" ht="21" customHeight="1">
      <c r="B11" s="39" t="s">
        <v>851</v>
      </c>
      <c r="D11" s="149"/>
    </row>
    <row r="12" spans="2:5" s="39" customFormat="1" ht="21" customHeight="1">
      <c r="B12" s="39" t="s">
        <v>852</v>
      </c>
      <c r="E12" s="149"/>
    </row>
    <row r="13" spans="2:5" s="39" customFormat="1" ht="20.25" customHeight="1">
      <c r="B13" s="39" t="s">
        <v>853</v>
      </c>
      <c r="E13" s="149"/>
    </row>
    <row r="14" spans="2:5" s="39" customFormat="1" ht="21" customHeight="1">
      <c r="B14" s="39" t="s">
        <v>854</v>
      </c>
      <c r="E14" s="149"/>
    </row>
    <row r="15" spans="2:5" s="39" customFormat="1" ht="21" customHeight="1">
      <c r="B15" s="39" t="s">
        <v>855</v>
      </c>
      <c r="E15" s="149"/>
    </row>
    <row r="16" spans="2:5" s="39" customFormat="1" ht="21.75" customHeight="1">
      <c r="B16" s="39" t="s">
        <v>856</v>
      </c>
      <c r="E16" s="149"/>
    </row>
    <row r="17" spans="2:5" s="39" customFormat="1" ht="20.25" customHeight="1">
      <c r="B17" s="39" t="s">
        <v>857</v>
      </c>
      <c r="C17" s="149"/>
    </row>
    <row r="18" spans="2:5" s="39" customFormat="1" ht="21" customHeight="1">
      <c r="B18" s="39" t="s">
        <v>858</v>
      </c>
      <c r="C18" s="149"/>
    </row>
    <row r="19" spans="2:5" s="39" customFormat="1" ht="22.5" customHeight="1">
      <c r="B19" s="39" t="s">
        <v>859</v>
      </c>
      <c r="C19" s="149"/>
    </row>
    <row r="20" spans="2:5" s="39" customFormat="1" ht="21.75" customHeight="1">
      <c r="B20" s="39" t="s">
        <v>860</v>
      </c>
      <c r="E20" s="149"/>
    </row>
    <row r="21" spans="2:5" s="39" customFormat="1" ht="22.5" customHeight="1">
      <c r="B21" s="39" t="s">
        <v>861</v>
      </c>
      <c r="D21" s="149"/>
    </row>
    <row r="22" spans="2:5" s="39" customFormat="1" ht="22.5" customHeight="1">
      <c r="B22" s="39" t="s">
        <v>862</v>
      </c>
      <c r="E22" s="149"/>
    </row>
    <row r="23" spans="2:5" s="39" customFormat="1" ht="22.5" customHeight="1">
      <c r="B23" s="39" t="s">
        <v>832</v>
      </c>
      <c r="E23" s="149"/>
    </row>
    <row r="24" spans="2:5" s="39" customFormat="1" ht="20.25" customHeight="1">
      <c r="B24" s="39" t="s">
        <v>863</v>
      </c>
      <c r="E24" s="149"/>
    </row>
    <row r="25" spans="2:5" s="39" customFormat="1" ht="21.75" customHeight="1">
      <c r="B25" s="39" t="s">
        <v>864</v>
      </c>
      <c r="D25" s="149"/>
    </row>
    <row r="26" spans="2:5" s="39" customFormat="1" ht="17.45" customHeight="1">
      <c r="B26" s="39" t="s">
        <v>865</v>
      </c>
      <c r="E26" s="149"/>
    </row>
    <row r="27" spans="2:5" s="39" customFormat="1" ht="18.75" customHeight="1">
      <c r="B27" s="39" t="s">
        <v>866</v>
      </c>
      <c r="D27" s="149"/>
    </row>
    <row r="28" spans="2:5" s="39" customFormat="1" ht="20.25" customHeight="1">
      <c r="B28" s="39" t="s">
        <v>867</v>
      </c>
      <c r="D28" s="149"/>
    </row>
    <row r="29" spans="2:5" s="39" customFormat="1" ht="19.5" customHeight="1">
      <c r="B29" s="39" t="s">
        <v>868</v>
      </c>
      <c r="D29" s="149"/>
    </row>
    <row r="30" spans="2:5" s="39" customFormat="1" ht="21" customHeight="1">
      <c r="B30" s="39" t="s">
        <v>869</v>
      </c>
    </row>
    <row r="31" spans="2:5" s="39" customFormat="1" ht="21" customHeight="1">
      <c r="B31" s="39" t="s">
        <v>870</v>
      </c>
    </row>
    <row r="32" spans="2:5" s="39" customFormat="1" ht="21.75" customHeight="1">
      <c r="B32" s="39" t="s">
        <v>871</v>
      </c>
    </row>
    <row r="33" spans="2:2" s="39" customFormat="1" ht="17.45" customHeight="1">
      <c r="B33" s="39" t="s">
        <v>872</v>
      </c>
    </row>
    <row r="34" spans="2:2" s="39" customFormat="1" ht="17.45" customHeight="1">
      <c r="B34" s="39" t="s">
        <v>873</v>
      </c>
    </row>
    <row r="35" spans="2:2" s="39" customFormat="1" ht="17.45" customHeight="1">
      <c r="B35" s="39" t="s">
        <v>874</v>
      </c>
    </row>
    <row r="36" spans="2:2" s="39" customFormat="1" ht="17.45" customHeight="1">
      <c r="B36" s="39" t="s">
        <v>875</v>
      </c>
    </row>
    <row r="37" spans="2:2" s="39" customFormat="1" ht="17.45" customHeight="1">
      <c r="B37" s="39" t="s">
        <v>876</v>
      </c>
    </row>
    <row r="38" spans="2:2" s="39" customFormat="1" ht="17.45" customHeight="1">
      <c r="B38" s="39" t="s">
        <v>877</v>
      </c>
    </row>
    <row r="39" spans="2:2" s="39" customFormat="1" ht="17.45" customHeight="1">
      <c r="B39" s="39" t="s">
        <v>878</v>
      </c>
    </row>
    <row r="40" spans="2:2" s="39" customFormat="1" ht="17.45" customHeight="1">
      <c r="B40" s="39" t="s">
        <v>879</v>
      </c>
    </row>
    <row r="41" spans="2:2" s="39" customFormat="1" ht="17.45" customHeight="1">
      <c r="B41" s="39" t="s">
        <v>880</v>
      </c>
    </row>
    <row r="42" spans="2:2" s="39" customFormat="1" ht="17.45" customHeight="1">
      <c r="B42" s="39" t="s">
        <v>881</v>
      </c>
    </row>
    <row r="43" spans="2:2" s="39" customFormat="1" ht="17.45" customHeight="1">
      <c r="B43" s="39" t="s">
        <v>882</v>
      </c>
    </row>
    <row r="44" spans="2:2" s="39" customFormat="1" ht="17.45" customHeight="1">
      <c r="B44" s="39" t="s">
        <v>883</v>
      </c>
    </row>
    <row r="45" spans="2:2" s="39" customFormat="1" ht="17.45" customHeight="1">
      <c r="B45" s="39" t="s">
        <v>884</v>
      </c>
    </row>
    <row r="46" spans="2:2" s="39" customFormat="1" ht="17.45" customHeight="1">
      <c r="B46" s="39" t="s">
        <v>885</v>
      </c>
    </row>
  </sheetData>
  <customSheetViews>
    <customSheetView guid="{5E394B0B-7867-4722-9497-A93AB2A9A773}" showPageBreaks="1" state="hidden">
      <pageMargins left="0" right="0" top="0" bottom="0" header="0" footer="0"/>
      <pageSetup orientation="portrait" r:id="rId1"/>
    </customSheetView>
    <customSheetView guid="{B1E1B596-A9A1-411D-A882-A48CB025B978}" state="hidden">
      <pageMargins left="0" right="0" top="0" bottom="0" header="0" footer="0"/>
      <pageSetup orientation="portrait" r:id="rId2"/>
    </customSheetView>
    <customSheetView guid="{E82B35BE-4719-4C53-A9EF-1CC6F153A6F3}" state="hidden">
      <pageMargins left="0" right="0" top="0" bottom="0" header="0" footer="0"/>
      <pageSetup orientation="portrait" r:id="rId3"/>
    </customSheetView>
    <customSheetView guid="{46F31544-8E6F-41C5-8628-1D6EE074AF15}" state="hidden">
      <pageMargins left="0" right="0" top="0" bottom="0" header="0" footer="0"/>
      <pageSetup orientation="portrait" r:id="rId4"/>
    </customSheetView>
    <customSheetView guid="{B2E1A0C6-5BA1-4CF1-B412-16D81FCDF11F}" state="hidden">
      <pageMargins left="0" right="0" top="0" bottom="0" header="0" footer="0"/>
      <pageSetup orientation="portrait" r:id="rId5"/>
    </customSheetView>
    <customSheetView guid="{967E0446-E234-427F-8E57-7FE287052E2E}" showPageBreaks="1" state="hidden">
      <pageMargins left="0" right="0" top="0" bottom="0" header="0" footer="0"/>
      <pageSetup orientation="portrait" r:id="rId6"/>
    </customSheetView>
    <customSheetView guid="{2ACFE167-4169-43A6-9AB2-59D5A2DA2DB4}" showPageBreaks="1" state="hidden">
      <pageMargins left="0" right="0" top="0" bottom="0" header="0" footer="0"/>
      <pageSetup orientation="portrait" r:id="rId7"/>
    </customSheetView>
  </customSheetViews>
  <pageMargins left="0.7" right="0.7" top="0.75" bottom="0.75" header="0.3" footer="0.3"/>
  <pageSetup orientation="portrait" r:id="rId8"/>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N29"/>
  <sheetViews>
    <sheetView workbookViewId="0">
      <selection activeCell="B21" sqref="B21"/>
    </sheetView>
  </sheetViews>
  <sheetFormatPr defaultRowHeight="15"/>
  <cols>
    <col min="1" max="1" width="3.5703125" customWidth="1"/>
    <col min="2" max="2" width="8.7109375" customWidth="1"/>
    <col min="3" max="3" width="14.28515625" bestFit="1" customWidth="1"/>
    <col min="4" max="4" width="13.140625" bestFit="1" customWidth="1"/>
    <col min="5" max="5" width="8.5703125" customWidth="1"/>
    <col min="6" max="6" width="14.28515625" bestFit="1" customWidth="1"/>
    <col min="7" max="7" width="13.140625" bestFit="1" customWidth="1"/>
    <col min="8" max="8" width="9.28515625" customWidth="1"/>
    <col min="9" max="9" width="14.7109375" customWidth="1"/>
    <col min="10" max="10" width="12" style="111" customWidth="1"/>
    <col min="11" max="11" width="10.140625" bestFit="1" customWidth="1"/>
    <col min="12" max="12" width="10.5703125" customWidth="1"/>
    <col min="13" max="13" width="11.7109375" customWidth="1"/>
    <col min="14" max="14" width="12" customWidth="1"/>
  </cols>
  <sheetData>
    <row r="1" spans="1:14">
      <c r="B1" s="150" t="s">
        <v>594</v>
      </c>
      <c r="C1" s="3"/>
      <c r="D1" s="3"/>
      <c r="E1" s="3"/>
      <c r="F1" s="3"/>
      <c r="G1" s="3"/>
      <c r="H1" s="3"/>
    </row>
    <row r="2" spans="1:14">
      <c r="B2" s="3929" t="s">
        <v>886</v>
      </c>
      <c r="C2" s="3930"/>
      <c r="D2" s="3930"/>
      <c r="E2" s="3930"/>
      <c r="F2" s="3930"/>
      <c r="G2" s="3930"/>
      <c r="H2" s="3931"/>
    </row>
    <row r="3" spans="1:14">
      <c r="B3" s="3927" t="s">
        <v>83</v>
      </c>
      <c r="C3" s="3476" t="s">
        <v>887</v>
      </c>
      <c r="D3" s="3928"/>
      <c r="E3" s="3928"/>
      <c r="F3" s="3476" t="s">
        <v>726</v>
      </c>
      <c r="G3" s="3928"/>
      <c r="H3" s="3478"/>
    </row>
    <row r="4" spans="1:14" ht="32.25" customHeight="1">
      <c r="B4" s="3480"/>
      <c r="C4" s="2086" t="s">
        <v>888</v>
      </c>
      <c r="D4" s="2086" t="s">
        <v>889</v>
      </c>
      <c r="E4" s="2086" t="s">
        <v>890</v>
      </c>
      <c r="F4" s="2086" t="s">
        <v>888</v>
      </c>
      <c r="G4" s="2086" t="s">
        <v>889</v>
      </c>
      <c r="H4" s="2086" t="s">
        <v>890</v>
      </c>
      <c r="J4" s="106"/>
      <c r="K4" s="43"/>
      <c r="L4" s="43"/>
      <c r="M4" s="106"/>
      <c r="N4" s="43"/>
    </row>
    <row r="5" spans="1:14" ht="17.45" customHeight="1">
      <c r="A5">
        <v>1</v>
      </c>
      <c r="B5" s="2089" t="s">
        <v>175</v>
      </c>
      <c r="C5" s="2102" t="e">
        <f>+#REF!+#REF!</f>
        <v>#REF!</v>
      </c>
      <c r="D5" s="2102" t="e">
        <f>VLOOKUP(B5,#REF!,12,0)</f>
        <v>#REF!</v>
      </c>
      <c r="E5" s="3269" t="e">
        <f>+D5/$D$20*100</f>
        <v>#REF!</v>
      </c>
      <c r="F5" s="2102" t="e">
        <f>+#REF!+#REF!</f>
        <v>#REF!</v>
      </c>
      <c r="G5" s="2102" t="e">
        <f>VLOOKUP(B5,#REF!,14,0)</f>
        <v>#REF!</v>
      </c>
      <c r="H5" s="3269" t="e">
        <f>+G5/$G$20*100</f>
        <v>#REF!</v>
      </c>
      <c r="M5" s="14"/>
      <c r="N5" s="14"/>
    </row>
    <row r="6" spans="1:14" ht="17.45" customHeight="1">
      <c r="A6">
        <v>2</v>
      </c>
      <c r="B6" s="2089" t="s">
        <v>176</v>
      </c>
      <c r="C6" s="2102" t="e">
        <f>+#REF!+#REF!+#REF!</f>
        <v>#REF!</v>
      </c>
      <c r="D6" s="2102" t="e">
        <f>VLOOKUP(B6,#REF!,12,0)</f>
        <v>#REF!</v>
      </c>
      <c r="E6" s="3269" t="e">
        <f t="shared" ref="E6:E19" si="0">+D6/$D$20*100</f>
        <v>#REF!</v>
      </c>
      <c r="F6" s="2102" t="e">
        <f>+#REF!+#REF!+#REF!</f>
        <v>#REF!</v>
      </c>
      <c r="G6" s="2102" t="e">
        <f>VLOOKUP(B6,#REF!,14,0)</f>
        <v>#REF!</v>
      </c>
      <c r="H6" s="3269" t="e">
        <f t="shared" ref="H6:H19" si="1">+G6/$G$20*100</f>
        <v>#REF!</v>
      </c>
      <c r="J6" s="58"/>
      <c r="K6" s="58"/>
      <c r="L6" s="58"/>
      <c r="M6" s="58"/>
      <c r="N6" s="58"/>
    </row>
    <row r="7" spans="1:14" ht="17.45" customHeight="1">
      <c r="A7">
        <v>3</v>
      </c>
      <c r="B7" s="2089" t="s">
        <v>178</v>
      </c>
      <c r="C7" s="2102" t="e">
        <f>+#REF!+#REF!+#REF!</f>
        <v>#REF!</v>
      </c>
      <c r="D7" s="2102" t="e">
        <f>VLOOKUP(B7,#REF!,12,0)</f>
        <v>#REF!</v>
      </c>
      <c r="E7" s="3269" t="e">
        <f t="shared" si="0"/>
        <v>#REF!</v>
      </c>
      <c r="F7" s="2102" t="e">
        <f>+#REF!+#REF!+#REF!</f>
        <v>#REF!</v>
      </c>
      <c r="G7" s="2102" t="e">
        <f>VLOOKUP(B7,#REF!,14,0)</f>
        <v>#REF!</v>
      </c>
      <c r="H7" s="3269" t="e">
        <f t="shared" si="1"/>
        <v>#REF!</v>
      </c>
      <c r="J7" s="21"/>
      <c r="M7" s="14"/>
      <c r="N7" s="14"/>
    </row>
    <row r="8" spans="1:14" ht="17.45" customHeight="1">
      <c r="A8">
        <v>4</v>
      </c>
      <c r="B8" s="2089" t="s">
        <v>179</v>
      </c>
      <c r="C8" s="2102" t="e">
        <f>+#REF!+#REF!</f>
        <v>#REF!</v>
      </c>
      <c r="D8" s="2102" t="e">
        <f>VLOOKUP(B8,#REF!,12,0)</f>
        <v>#REF!</v>
      </c>
      <c r="E8" s="3269" t="e">
        <f t="shared" si="0"/>
        <v>#REF!</v>
      </c>
      <c r="F8" s="2102" t="e">
        <f>+#REF!+#REF!</f>
        <v>#REF!</v>
      </c>
      <c r="G8" s="2102" t="e">
        <f>VLOOKUP(B8,#REF!,14,0)</f>
        <v>#REF!</v>
      </c>
      <c r="H8" s="3269" t="e">
        <f t="shared" si="1"/>
        <v>#REF!</v>
      </c>
      <c r="J8" s="20"/>
    </row>
    <row r="9" spans="1:14" ht="17.45" customHeight="1">
      <c r="A9">
        <v>5</v>
      </c>
      <c r="B9" s="2089" t="s">
        <v>180</v>
      </c>
      <c r="C9" s="2102" t="e">
        <f>+#REF!+#REF!</f>
        <v>#REF!</v>
      </c>
      <c r="D9" s="2102" t="e">
        <f>VLOOKUP(B9,#REF!,12,0)</f>
        <v>#REF!</v>
      </c>
      <c r="E9" s="3269" t="e">
        <f t="shared" si="0"/>
        <v>#REF!</v>
      </c>
      <c r="F9" s="2102" t="e">
        <f>+#REF!+#REF!</f>
        <v>#REF!</v>
      </c>
      <c r="G9" s="2102" t="e">
        <f>VLOOKUP(B9,#REF!,14,0)</f>
        <v>#REF!</v>
      </c>
      <c r="H9" s="3269" t="e">
        <f t="shared" si="1"/>
        <v>#REF!</v>
      </c>
      <c r="J9" s="20"/>
    </row>
    <row r="10" spans="1:14" ht="17.45" customHeight="1">
      <c r="A10">
        <v>6</v>
      </c>
      <c r="B10" s="2089" t="s">
        <v>183</v>
      </c>
      <c r="C10" s="3270" t="e">
        <f>+#REF!+#REF!</f>
        <v>#REF!</v>
      </c>
      <c r="D10" s="2102" t="e">
        <f>VLOOKUP(B10,#REF!,12,0)</f>
        <v>#REF!</v>
      </c>
      <c r="E10" s="3269" t="e">
        <f t="shared" si="0"/>
        <v>#REF!</v>
      </c>
      <c r="F10" s="3270" t="e">
        <f>+#REF!+#REF!</f>
        <v>#REF!</v>
      </c>
      <c r="G10" s="2102" t="e">
        <f>VLOOKUP(B10,#REF!,14,0)</f>
        <v>#REF!</v>
      </c>
      <c r="H10" s="3269" t="e">
        <f t="shared" si="1"/>
        <v>#REF!</v>
      </c>
      <c r="J10" s="20"/>
    </row>
    <row r="11" spans="1:14" ht="17.45" customHeight="1">
      <c r="A11">
        <v>7</v>
      </c>
      <c r="B11" s="2089" t="s">
        <v>184</v>
      </c>
      <c r="C11" s="2102" t="e">
        <f>+#REF!+#REF!</f>
        <v>#REF!</v>
      </c>
      <c r="D11" s="2102" t="e">
        <f>VLOOKUP(B11,#REF!,12,0)</f>
        <v>#REF!</v>
      </c>
      <c r="E11" s="3269" t="e">
        <f t="shared" si="0"/>
        <v>#REF!</v>
      </c>
      <c r="F11" s="2102" t="e">
        <f>+#REF!+#REF!</f>
        <v>#REF!</v>
      </c>
      <c r="G11" s="2102" t="e">
        <f>VLOOKUP(B11,#REF!,14,0)</f>
        <v>#REF!</v>
      </c>
      <c r="H11" s="3269" t="e">
        <f t="shared" si="1"/>
        <v>#REF!</v>
      </c>
      <c r="J11" s="20"/>
    </row>
    <row r="12" spans="1:14" ht="17.45" customHeight="1">
      <c r="A12">
        <v>8</v>
      </c>
      <c r="B12" s="2089" t="s">
        <v>186</v>
      </c>
      <c r="C12" s="2102" t="e">
        <f>+#REF!+#REF!</f>
        <v>#REF!</v>
      </c>
      <c r="D12" s="2102" t="e">
        <f>VLOOKUP(B12,#REF!,12,0)</f>
        <v>#REF!</v>
      </c>
      <c r="E12" s="3269" t="e">
        <f t="shared" si="0"/>
        <v>#REF!</v>
      </c>
      <c r="F12" s="2102" t="e">
        <f>+#REF!+#REF!</f>
        <v>#REF!</v>
      </c>
      <c r="G12" s="2102" t="e">
        <f>VLOOKUP(B12,#REF!,14,0)</f>
        <v>#REF!</v>
      </c>
      <c r="H12" s="3269" t="e">
        <f t="shared" si="1"/>
        <v>#REF!</v>
      </c>
      <c r="J12" s="20"/>
    </row>
    <row r="13" spans="1:14" ht="17.45" customHeight="1">
      <c r="A13">
        <v>9</v>
      </c>
      <c r="B13" s="2089" t="s">
        <v>187</v>
      </c>
      <c r="C13" s="2102" t="e">
        <f>+#REF!+#REF!</f>
        <v>#REF!</v>
      </c>
      <c r="D13" s="2102" t="e">
        <f>VLOOKUP(B13,#REF!,12,0)</f>
        <v>#REF!</v>
      </c>
      <c r="E13" s="3269" t="e">
        <f t="shared" si="0"/>
        <v>#REF!</v>
      </c>
      <c r="F13" s="2102" t="e">
        <f>+#REF!+#REF!</f>
        <v>#REF!</v>
      </c>
      <c r="G13" s="2102" t="e">
        <f>VLOOKUP(B13,#REF!,14,0)</f>
        <v>#REF!</v>
      </c>
      <c r="H13" s="3269" t="e">
        <f t="shared" si="1"/>
        <v>#REF!</v>
      </c>
      <c r="J13" s="20"/>
    </row>
    <row r="14" spans="1:14" ht="17.45" customHeight="1">
      <c r="A14">
        <v>10</v>
      </c>
      <c r="B14" s="2089" t="s">
        <v>188</v>
      </c>
      <c r="C14" s="2102" t="e">
        <f>+#REF!+#REF!+#REF!</f>
        <v>#REF!</v>
      </c>
      <c r="D14" s="2102" t="e">
        <f>VLOOKUP(B14,#REF!,12,0)</f>
        <v>#REF!</v>
      </c>
      <c r="E14" s="3269" t="e">
        <f t="shared" si="0"/>
        <v>#REF!</v>
      </c>
      <c r="F14" s="2102" t="e">
        <f>+#REF!+#REF!+#REF!</f>
        <v>#REF!</v>
      </c>
      <c r="G14" s="2102" t="e">
        <f>VLOOKUP(B14,#REF!,14,0)</f>
        <v>#REF!</v>
      </c>
      <c r="H14" s="3269" t="e">
        <f t="shared" si="1"/>
        <v>#REF!</v>
      </c>
      <c r="J14" s="20"/>
    </row>
    <row r="15" spans="1:14" ht="17.45" customHeight="1">
      <c r="A15">
        <v>11</v>
      </c>
      <c r="B15" s="2089" t="s">
        <v>189</v>
      </c>
      <c r="C15" s="2102" t="e">
        <f>+#REF!+#REF!</f>
        <v>#REF!</v>
      </c>
      <c r="D15" s="2102" t="e">
        <f>VLOOKUP(B15,#REF!,12,0)</f>
        <v>#REF!</v>
      </c>
      <c r="E15" s="3269" t="e">
        <f t="shared" si="0"/>
        <v>#REF!</v>
      </c>
      <c r="F15" s="2102" t="e">
        <f>+#REF!+#REF!</f>
        <v>#REF!</v>
      </c>
      <c r="G15" s="2102" t="e">
        <f>VLOOKUP(B15,#REF!,14,0)</f>
        <v>#REF!</v>
      </c>
      <c r="H15" s="3269" t="e">
        <f t="shared" si="1"/>
        <v>#REF!</v>
      </c>
      <c r="I15" s="112"/>
      <c r="J15" s="22"/>
    </row>
    <row r="16" spans="1:14" ht="17.45" customHeight="1">
      <c r="A16">
        <v>12</v>
      </c>
      <c r="B16" s="2089" t="s">
        <v>190</v>
      </c>
      <c r="C16" s="2102" t="e">
        <f>+#REF!+#REF!</f>
        <v>#REF!</v>
      </c>
      <c r="D16" s="2102" t="e">
        <f>VLOOKUP(B16,#REF!,12,0)</f>
        <v>#REF!</v>
      </c>
      <c r="E16" s="3269" t="e">
        <f t="shared" si="0"/>
        <v>#REF!</v>
      </c>
      <c r="F16" s="2102" t="e">
        <f>+#REF!+#REF!</f>
        <v>#REF!</v>
      </c>
      <c r="G16" s="2102" t="e">
        <f>VLOOKUP(B16,#REF!,14,0)</f>
        <v>#REF!</v>
      </c>
      <c r="H16" s="3269" t="e">
        <f t="shared" si="1"/>
        <v>#REF!</v>
      </c>
    </row>
    <row r="17" spans="1:10" ht="17.45" customHeight="1">
      <c r="A17">
        <v>13</v>
      </c>
      <c r="B17" s="2089" t="s">
        <v>193</v>
      </c>
      <c r="C17" s="2102" t="e">
        <f>+#REF!+#REF!</f>
        <v>#REF!</v>
      </c>
      <c r="D17" s="2102" t="e">
        <f>VLOOKUP(B17,#REF!,12,0)</f>
        <v>#REF!</v>
      </c>
      <c r="E17" s="3269" t="e">
        <f t="shared" si="0"/>
        <v>#REF!</v>
      </c>
      <c r="F17" s="2102" t="e">
        <f>+#REF!+#REF!</f>
        <v>#REF!</v>
      </c>
      <c r="G17" s="2102" t="e">
        <f>VLOOKUP(B17,#REF!,14,0)</f>
        <v>#REF!</v>
      </c>
      <c r="H17" s="3269" t="e">
        <f t="shared" si="1"/>
        <v>#REF!</v>
      </c>
      <c r="J17" s="17"/>
    </row>
    <row r="18" spans="1:10" ht="17.45" customHeight="1">
      <c r="A18">
        <v>14</v>
      </c>
      <c r="B18" s="2089" t="s">
        <v>194</v>
      </c>
      <c r="C18" s="2102" t="e">
        <f>+#REF!+#REF!</f>
        <v>#REF!</v>
      </c>
      <c r="D18" s="2102" t="e">
        <f>VLOOKUP(B18,#REF!,12,0)</f>
        <v>#REF!</v>
      </c>
      <c r="E18" s="3269" t="e">
        <f t="shared" si="0"/>
        <v>#REF!</v>
      </c>
      <c r="F18" s="2102" t="e">
        <f>+#REF!+#REF!</f>
        <v>#REF!</v>
      </c>
      <c r="G18" s="2102" t="e">
        <f>VLOOKUP(B18,#REF!,14,0)</f>
        <v>#REF!</v>
      </c>
      <c r="H18" s="3269" t="e">
        <f t="shared" si="1"/>
        <v>#REF!</v>
      </c>
    </row>
    <row r="19" spans="1:10" ht="17.45" customHeight="1">
      <c r="A19">
        <v>15</v>
      </c>
      <c r="B19" s="2089" t="s">
        <v>195</v>
      </c>
      <c r="C19" s="2103" t="e">
        <f>+#REF!+#REF!</f>
        <v>#REF!</v>
      </c>
      <c r="D19" s="2102" t="e">
        <f>VLOOKUP(B19,#REF!,12,0)</f>
        <v>#REF!</v>
      </c>
      <c r="E19" s="3269" t="e">
        <f t="shared" si="0"/>
        <v>#REF!</v>
      </c>
      <c r="F19" s="2102" t="e">
        <f>+#REF!+#REF!</f>
        <v>#REF!</v>
      </c>
      <c r="G19" s="2102" t="e">
        <f>VLOOKUP(B19,#REF!,14,0)</f>
        <v>#REF!</v>
      </c>
      <c r="H19" s="3269" t="e">
        <f t="shared" si="1"/>
        <v>#REF!</v>
      </c>
    </row>
    <row r="20" spans="1:10" ht="17.45" customHeight="1">
      <c r="B20" s="2094" t="s">
        <v>158</v>
      </c>
      <c r="C20" s="3271" t="e">
        <f t="shared" ref="C20:H20" si="2">SUM(C5:C19)</f>
        <v>#REF!</v>
      </c>
      <c r="D20" s="3271" t="e">
        <f t="shared" si="2"/>
        <v>#REF!</v>
      </c>
      <c r="E20" s="3271" t="e">
        <f t="shared" si="2"/>
        <v>#REF!</v>
      </c>
      <c r="F20" s="3271" t="e">
        <f t="shared" si="2"/>
        <v>#REF!</v>
      </c>
      <c r="G20" s="3271" t="e">
        <f t="shared" si="2"/>
        <v>#REF!</v>
      </c>
      <c r="H20" s="3271" t="e">
        <f t="shared" si="2"/>
        <v>#REF!</v>
      </c>
      <c r="I20" s="16"/>
    </row>
    <row r="21" spans="1:10">
      <c r="B21" s="4"/>
      <c r="C21" s="4"/>
      <c r="F21" s="5"/>
      <c r="G21" s="5"/>
      <c r="H21" s="5"/>
      <c r="J21" s="19"/>
    </row>
    <row r="22" spans="1:10">
      <c r="F22" s="16"/>
      <c r="G22" s="16"/>
      <c r="H22" s="16"/>
    </row>
    <row r="23" spans="1:10">
      <c r="B23" s="36" t="s">
        <v>891</v>
      </c>
    </row>
    <row r="24" spans="1:10">
      <c r="B24" s="3" t="s">
        <v>892</v>
      </c>
    </row>
    <row r="25" spans="1:10">
      <c r="B25" s="36" t="s">
        <v>893</v>
      </c>
    </row>
    <row r="26" spans="1:10">
      <c r="B26" s="36" t="s">
        <v>894</v>
      </c>
      <c r="F26" s="16"/>
      <c r="G26" s="16"/>
      <c r="H26" s="16"/>
    </row>
    <row r="27" spans="1:10">
      <c r="B27" s="36" t="s">
        <v>895</v>
      </c>
    </row>
    <row r="28" spans="1:10">
      <c r="B28" s="2" t="s">
        <v>896</v>
      </c>
      <c r="F28" s="10"/>
      <c r="G28" s="10"/>
      <c r="H28" s="10"/>
    </row>
    <row r="29" spans="1:10">
      <c r="B29" s="2" t="s">
        <v>897</v>
      </c>
    </row>
  </sheetData>
  <customSheetViews>
    <customSheetView guid="{5E394B0B-7867-4722-9497-A93AB2A9A773}" showPageBreaks="1" state="hidden">
      <selection activeCell="B21" sqref="B21"/>
      <colBreaks count="1" manualBreakCount="1">
        <brk id="8" max="1048575" man="1"/>
      </colBreaks>
      <pageMargins left="0" right="0" top="0" bottom="0" header="0" footer="0"/>
      <pageSetup scale="92" orientation="landscape" r:id="rId1"/>
    </customSheetView>
    <customSheetView guid="{B1E1B596-A9A1-411D-A882-A48CB025B978}" state="hidden">
      <selection activeCell="B21" sqref="B21"/>
      <colBreaks count="1" manualBreakCount="1">
        <brk id="8" max="1048575" man="1"/>
      </colBreaks>
      <pageMargins left="0" right="0" top="0" bottom="0" header="0" footer="0"/>
      <pageSetup scale="92" orientation="landscape" r:id="rId2"/>
    </customSheetView>
    <customSheetView guid="{E82B35BE-4719-4C53-A9EF-1CC6F153A6F3}" state="hidden">
      <selection activeCell="B21" sqref="B21"/>
      <colBreaks count="1" manualBreakCount="1">
        <brk id="8" max="1048575" man="1"/>
      </colBreaks>
      <pageMargins left="0" right="0" top="0" bottom="0" header="0" footer="0"/>
      <pageSetup scale="92" orientation="landscape" r:id="rId3"/>
    </customSheetView>
    <customSheetView guid="{46F31544-8E6F-41C5-8628-1D6EE074AF15}" state="hidden">
      <selection activeCell="B21" sqref="B21"/>
      <colBreaks count="1" manualBreakCount="1">
        <brk id="8" max="1048575" man="1"/>
      </colBreaks>
      <pageMargins left="0" right="0" top="0" bottom="0" header="0" footer="0"/>
      <pageSetup scale="92" orientation="landscape" r:id="rId4"/>
    </customSheetView>
    <customSheetView guid="{B2E1A0C6-5BA1-4CF1-B412-16D81FCDF11F}" state="hidden">
      <selection activeCell="B21" sqref="B21"/>
      <colBreaks count="1" manualBreakCount="1">
        <brk id="8" max="1048575" man="1"/>
      </colBreaks>
      <pageMargins left="0" right="0" top="0" bottom="0" header="0" footer="0"/>
      <pageSetup scale="92" orientation="landscape" r:id="rId5"/>
    </customSheetView>
    <customSheetView guid="{967E0446-E234-427F-8E57-7FE287052E2E}" showPageBreaks="1" state="hidden">
      <selection activeCell="B21" sqref="B21"/>
      <colBreaks count="1" manualBreakCount="1">
        <brk id="8" max="1048575" man="1"/>
      </colBreaks>
      <pageMargins left="0" right="0" top="0" bottom="0" header="0" footer="0"/>
      <pageSetup scale="92" orientation="landscape" r:id="rId6"/>
    </customSheetView>
    <customSheetView guid="{2ACFE167-4169-43A6-9AB2-59D5A2DA2DB4}" showPageBreaks="1" state="hidden">
      <selection activeCell="B21" sqref="B21"/>
      <colBreaks count="1" manualBreakCount="1">
        <brk id="8" max="1048575" man="1"/>
      </colBreaks>
      <pageMargins left="0" right="0" top="0" bottom="0" header="0" footer="0"/>
      <pageSetup scale="92" orientation="landscape" r:id="rId7"/>
    </customSheetView>
  </customSheetViews>
  <mergeCells count="4">
    <mergeCell ref="B3:B4"/>
    <mergeCell ref="C3:E3"/>
    <mergeCell ref="F3:H3"/>
    <mergeCell ref="B2:H2"/>
  </mergeCells>
  <hyperlinks>
    <hyperlink ref="B1" location="'List of tables'!A1" display="'List of tables'!A1"/>
  </hyperlinks>
  <pageMargins left="0.31" right="0.2" top="0.65" bottom="0.75" header="0.3" footer="0.3"/>
  <pageSetup scale="92" orientation="landscape" r:id="rId8"/>
  <colBreaks count="1" manualBreakCount="1">
    <brk id="8"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tabColor rgb="FF00B050"/>
  </sheetPr>
  <dimension ref="B1:J27"/>
  <sheetViews>
    <sheetView workbookViewId="0">
      <selection activeCell="E13" sqref="E13"/>
    </sheetView>
  </sheetViews>
  <sheetFormatPr defaultRowHeight="15"/>
  <cols>
    <col min="1" max="1" width="4.7109375" customWidth="1"/>
    <col min="2" max="2" width="37.140625" customWidth="1"/>
    <col min="3" max="3" width="11.28515625" hidden="1" customWidth="1"/>
    <col min="4" max="4" width="11.5703125" hidden="1" customWidth="1"/>
    <col min="5" max="5" width="10.42578125" customWidth="1"/>
    <col min="6" max="6" width="11.42578125" customWidth="1"/>
    <col min="7" max="7" width="11.140625" customWidth="1"/>
    <col min="8" max="9" width="12" customWidth="1"/>
    <col min="10" max="10" width="12.42578125" customWidth="1"/>
    <col min="11" max="11" width="13.42578125" customWidth="1"/>
  </cols>
  <sheetData>
    <row r="1" spans="2:10">
      <c r="B1" s="150" t="s">
        <v>594</v>
      </c>
    </row>
    <row r="2" spans="2:10">
      <c r="B2" s="250" t="s">
        <v>898</v>
      </c>
      <c r="C2" s="1"/>
      <c r="D2" s="2"/>
      <c r="E2" s="2"/>
      <c r="F2" s="2"/>
      <c r="G2" s="2"/>
      <c r="H2" s="2"/>
      <c r="I2" s="2"/>
    </row>
    <row r="3" spans="2:10">
      <c r="B3" t="s">
        <v>899</v>
      </c>
      <c r="D3" s="2"/>
      <c r="E3" s="2"/>
      <c r="F3" s="2"/>
      <c r="G3" s="2"/>
      <c r="H3" s="2"/>
      <c r="I3" s="2"/>
    </row>
    <row r="4" spans="2:10">
      <c r="B4" s="3932"/>
      <c r="C4" s="3932"/>
      <c r="D4" s="3932"/>
      <c r="E4" s="3932"/>
      <c r="F4" s="3932"/>
      <c r="G4" s="3932"/>
      <c r="H4" s="3932"/>
    </row>
    <row r="5" spans="2:10" ht="24" customHeight="1">
      <c r="B5" s="3272"/>
      <c r="C5" s="3272">
        <v>2006</v>
      </c>
      <c r="D5" s="3273">
        <v>2007</v>
      </c>
      <c r="E5" s="3274">
        <v>2008</v>
      </c>
      <c r="F5" s="3274">
        <v>2009</v>
      </c>
      <c r="G5" s="3274">
        <v>2010</v>
      </c>
      <c r="H5" s="3274" t="s">
        <v>900</v>
      </c>
      <c r="I5" s="3274" t="s">
        <v>901</v>
      </c>
    </row>
    <row r="6" spans="2:10" ht="18.75" customHeight="1">
      <c r="B6" s="2112" t="s">
        <v>902</v>
      </c>
      <c r="C6" s="2102">
        <v>17104</v>
      </c>
      <c r="D6" s="3275" t="e">
        <f>+#REF!/1000</f>
        <v>#REF!</v>
      </c>
      <c r="E6" s="2022" t="e">
        <f>+#REF!/1000</f>
        <v>#REF!</v>
      </c>
      <c r="F6" s="2022" t="e">
        <f>+#REF!/1000</f>
        <v>#REF!</v>
      </c>
      <c r="G6" s="3208" t="e">
        <f>+#REF!/1000</f>
        <v>#REF!</v>
      </c>
      <c r="H6" s="2022" t="e">
        <f>+#REF!/1000</f>
        <v>#REF!</v>
      </c>
      <c r="I6" s="2022" t="e">
        <f>+#REF!/1000</f>
        <v>#REF!</v>
      </c>
    </row>
    <row r="7" spans="2:10" ht="19.5" customHeight="1">
      <c r="B7" s="2112" t="s">
        <v>903</v>
      </c>
      <c r="C7" s="2102">
        <v>25931</v>
      </c>
      <c r="D7" s="3275" t="e">
        <f>+#REF!/1000</f>
        <v>#REF!</v>
      </c>
      <c r="E7" s="2022" t="e">
        <f>+#REF!/1000</f>
        <v>#REF!</v>
      </c>
      <c r="F7" s="2022" t="e">
        <f>+#REF!/1000</f>
        <v>#REF!</v>
      </c>
      <c r="G7" s="2022" t="e">
        <f>+#REF!/1000</f>
        <v>#REF!</v>
      </c>
      <c r="H7" s="2022" t="e">
        <f>+#REF!/1000</f>
        <v>#REF!</v>
      </c>
      <c r="I7" s="2022" t="e">
        <f>+#REF!/1000</f>
        <v>#REF!</v>
      </c>
    </row>
    <row r="8" spans="2:10" ht="19.5" customHeight="1">
      <c r="B8" s="2112" t="s">
        <v>904</v>
      </c>
      <c r="C8" s="2102">
        <f>SUM(C6:C7)</f>
        <v>43035</v>
      </c>
      <c r="D8" s="3276" t="e">
        <f t="shared" ref="D8:I8" si="0">+D6+D7</f>
        <v>#REF!</v>
      </c>
      <c r="E8" s="3208" t="e">
        <f t="shared" si="0"/>
        <v>#REF!</v>
      </c>
      <c r="F8" s="3208" t="e">
        <f t="shared" si="0"/>
        <v>#REF!</v>
      </c>
      <c r="G8" s="3208" t="e">
        <f>+G6+G7-1</f>
        <v>#REF!</v>
      </c>
      <c r="H8" s="3208" t="e">
        <f t="shared" si="0"/>
        <v>#REF!</v>
      </c>
      <c r="I8" s="3208" t="e">
        <f t="shared" si="0"/>
        <v>#REF!</v>
      </c>
    </row>
    <row r="9" spans="2:10" ht="21.75" customHeight="1">
      <c r="B9" s="2112" t="s">
        <v>905</v>
      </c>
      <c r="C9" s="3277">
        <v>15.61</v>
      </c>
      <c r="D9" s="3278" t="e">
        <f t="shared" ref="D9:I9" si="1">((D8-C8)/C8)*100</f>
        <v>#REF!</v>
      </c>
      <c r="E9" s="3279" t="e">
        <f t="shared" si="1"/>
        <v>#REF!</v>
      </c>
      <c r="F9" s="3279" t="e">
        <f t="shared" si="1"/>
        <v>#REF!</v>
      </c>
      <c r="G9" s="3279" t="e">
        <f t="shared" si="1"/>
        <v>#REF!</v>
      </c>
      <c r="H9" s="3279" t="e">
        <f t="shared" si="1"/>
        <v>#REF!</v>
      </c>
      <c r="I9" s="3279" t="e">
        <f t="shared" si="1"/>
        <v>#REF!</v>
      </c>
    </row>
    <row r="10" spans="2:10" ht="20.25" customHeight="1">
      <c r="B10" s="2112" t="s">
        <v>906</v>
      </c>
      <c r="C10" s="2102">
        <v>2939</v>
      </c>
      <c r="D10" s="3280">
        <v>3579</v>
      </c>
      <c r="E10" s="3281">
        <v>4411</v>
      </c>
      <c r="F10" s="3281">
        <v>4835</v>
      </c>
      <c r="G10" s="3282">
        <v>5604</v>
      </c>
      <c r="H10" s="3281">
        <v>6544.009</v>
      </c>
      <c r="I10" s="3281">
        <v>7582.3760000000002</v>
      </c>
      <c r="J10" s="10"/>
    </row>
    <row r="11" spans="2:10" ht="25.5" customHeight="1">
      <c r="B11" s="2112" t="s">
        <v>907</v>
      </c>
      <c r="C11" s="3283">
        <f t="shared" ref="C11:H11" si="2">+C8/(C10*1000)*100</f>
        <v>1.4642735624362029</v>
      </c>
      <c r="D11" s="3283" t="e">
        <f t="shared" si="2"/>
        <v>#REF!</v>
      </c>
      <c r="E11" s="3284" t="e">
        <f t="shared" si="2"/>
        <v>#REF!</v>
      </c>
      <c r="F11" s="3284" t="e">
        <f t="shared" si="2"/>
        <v>#REF!</v>
      </c>
      <c r="G11" s="3284" t="e">
        <f t="shared" si="2"/>
        <v>#REF!</v>
      </c>
      <c r="H11" s="3284" t="e">
        <f t="shared" si="2"/>
        <v>#REF!</v>
      </c>
      <c r="I11" s="3284" t="e">
        <f>+I8/(I10*1000)*100</f>
        <v>#REF!</v>
      </c>
    </row>
    <row r="12" spans="2:10" ht="30" customHeight="1">
      <c r="B12" s="2112" t="s">
        <v>908</v>
      </c>
      <c r="C12" s="3283"/>
      <c r="D12" s="3283" t="e">
        <f>+(D6/($D$10*1000))*100</f>
        <v>#REF!</v>
      </c>
      <c r="E12" s="3284" t="e">
        <f>+(E6/(E10*1000))*100</f>
        <v>#REF!</v>
      </c>
      <c r="F12" s="3284" t="e">
        <f>+(F6/(F10*1000))*100</f>
        <v>#REF!</v>
      </c>
      <c r="G12" s="3284" t="e">
        <f>+(G6/(G10*1000))*100</f>
        <v>#REF!</v>
      </c>
      <c r="H12" s="3284" t="e">
        <f>+(H6/(H10*1000))*100</f>
        <v>#REF!</v>
      </c>
      <c r="I12" s="3284" t="e">
        <f>+(I6/(I10*1000))*100</f>
        <v>#REF!</v>
      </c>
    </row>
    <row r="13" spans="2:10" ht="28.5" customHeight="1">
      <c r="B13" s="2112" t="s">
        <v>909</v>
      </c>
      <c r="C13" s="3283"/>
      <c r="D13" s="3283" t="e">
        <f>+(D7/($D$10*1000))*100</f>
        <v>#REF!</v>
      </c>
      <c r="E13" s="3284" t="e">
        <f>+(E7/(E10*1000))*100</f>
        <v>#REF!</v>
      </c>
      <c r="F13" s="3284" t="e">
        <f>+(F7/(F10*1000))*100</f>
        <v>#REF!</v>
      </c>
      <c r="G13" s="3284" t="e">
        <f>+(G7/(G10*1000))*100</f>
        <v>#REF!</v>
      </c>
      <c r="H13" s="3284" t="e">
        <f>+(H7/(H10*1000))*100</f>
        <v>#REF!</v>
      </c>
      <c r="I13" s="3284" t="e">
        <f>+(I7/(I10*1000))*100</f>
        <v>#REF!</v>
      </c>
    </row>
    <row r="14" spans="2:10" ht="30.75" customHeight="1">
      <c r="B14" s="2112" t="s">
        <v>910</v>
      </c>
      <c r="C14" s="3283"/>
      <c r="D14" s="3283" t="e">
        <f>+(D8*1000)/D15+0.01</f>
        <v>#REF!</v>
      </c>
      <c r="E14" s="3284" t="e">
        <f>+(E8*1000)/E15</f>
        <v>#REF!</v>
      </c>
      <c r="F14" s="3284" t="e">
        <f>+(F8*1000)/F15-0.01</f>
        <v>#REF!</v>
      </c>
      <c r="G14" s="3284" t="e">
        <f>+(G8*1000)/G15+0.02</f>
        <v>#REF!</v>
      </c>
      <c r="H14" s="3284" t="e">
        <f>+(H8*1000)/H15</f>
        <v>#REF!</v>
      </c>
      <c r="I14" s="3284" t="e">
        <f>+(I8*1000)/I15</f>
        <v>#REF!</v>
      </c>
    </row>
    <row r="15" spans="2:10" ht="19.5" customHeight="1">
      <c r="B15" s="2112" t="s">
        <v>911</v>
      </c>
      <c r="C15" s="3283"/>
      <c r="D15" s="3157">
        <v>20039</v>
      </c>
      <c r="E15" s="3208">
        <v>20217</v>
      </c>
      <c r="F15" s="3208">
        <v>20450</v>
      </c>
      <c r="G15" s="3208">
        <v>20653</v>
      </c>
      <c r="H15" s="3208">
        <v>20869</v>
      </c>
      <c r="I15" s="3208">
        <v>20328</v>
      </c>
    </row>
    <row r="17" spans="2:10">
      <c r="B17" s="198" t="s">
        <v>912</v>
      </c>
      <c r="C17" s="175"/>
      <c r="D17" s="175"/>
      <c r="E17" s="175"/>
      <c r="F17" s="175"/>
      <c r="G17" s="175"/>
      <c r="H17" s="175"/>
      <c r="I17" s="175"/>
    </row>
    <row r="18" spans="2:10">
      <c r="B18" s="199" t="s">
        <v>913</v>
      </c>
      <c r="C18" s="175"/>
      <c r="D18" s="175"/>
      <c r="E18" s="175"/>
      <c r="F18" s="175"/>
      <c r="G18" s="175"/>
      <c r="H18" s="175"/>
      <c r="I18" s="175"/>
      <c r="J18" s="12"/>
    </row>
    <row r="19" spans="2:10">
      <c r="B19" s="200" t="s">
        <v>613</v>
      </c>
      <c r="C19" s="175"/>
      <c r="D19" s="175"/>
      <c r="E19" s="175"/>
      <c r="F19" s="175"/>
      <c r="G19" s="175"/>
      <c r="H19" s="175"/>
      <c r="I19" s="175"/>
      <c r="J19" s="12"/>
    </row>
    <row r="20" spans="2:10">
      <c r="B20" s="173"/>
      <c r="C20" s="166"/>
      <c r="D20" s="166"/>
      <c r="E20" s="166"/>
      <c r="F20" s="166"/>
      <c r="G20" s="166"/>
      <c r="H20" s="166"/>
      <c r="I20" s="166"/>
      <c r="J20" s="12"/>
    </row>
    <row r="21" spans="2:10">
      <c r="B21" s="173" t="s">
        <v>147</v>
      </c>
      <c r="C21" s="166"/>
      <c r="D21" s="166"/>
      <c r="E21" s="166"/>
      <c r="F21" s="166"/>
      <c r="G21" s="166"/>
      <c r="H21" s="166"/>
      <c r="I21" s="166"/>
      <c r="J21" s="12"/>
    </row>
    <row r="22" spans="2:10">
      <c r="B22" s="174"/>
      <c r="C22" s="166"/>
      <c r="D22" s="166"/>
      <c r="E22" s="166"/>
      <c r="F22" s="166"/>
      <c r="G22" s="166"/>
      <c r="H22" s="166"/>
      <c r="I22" s="166"/>
      <c r="J22" s="12"/>
    </row>
    <row r="23" spans="2:10" ht="15" customHeight="1">
      <c r="B23" s="3933" t="s">
        <v>689</v>
      </c>
      <c r="C23" s="3933"/>
      <c r="D23" s="3933"/>
      <c r="E23" s="3933"/>
      <c r="F23" s="3933"/>
      <c r="G23" s="3933"/>
      <c r="H23" s="3933"/>
      <c r="I23" s="164"/>
      <c r="J23" s="12"/>
    </row>
    <row r="24" spans="2:10">
      <c r="B24" s="3933"/>
      <c r="C24" s="3933"/>
      <c r="D24" s="3933"/>
      <c r="E24" s="3933"/>
      <c r="F24" s="3933"/>
      <c r="G24" s="3933"/>
      <c r="H24" s="3933"/>
      <c r="I24" s="68"/>
    </row>
    <row r="25" spans="2:10" ht="15" customHeight="1">
      <c r="B25" s="3934" t="s">
        <v>149</v>
      </c>
      <c r="C25" s="3934"/>
      <c r="D25" s="3934"/>
      <c r="E25" s="3934"/>
      <c r="F25" s="3934"/>
      <c r="G25" s="3934"/>
      <c r="H25" s="3934"/>
      <c r="I25" s="68"/>
    </row>
    <row r="26" spans="2:10">
      <c r="B26" s="3934"/>
      <c r="C26" s="3934"/>
      <c r="D26" s="3934"/>
      <c r="E26" s="3934"/>
      <c r="F26" s="3934"/>
      <c r="G26" s="3934"/>
      <c r="H26" s="3934"/>
      <c r="I26" s="68"/>
    </row>
    <row r="27" spans="2:10" ht="49.5" customHeight="1">
      <c r="B27" s="3935" t="s">
        <v>914</v>
      </c>
      <c r="C27" s="3935"/>
      <c r="D27" s="3935"/>
      <c r="E27" s="3935"/>
      <c r="F27" s="3935"/>
      <c r="G27" s="3935"/>
      <c r="H27" s="3935"/>
      <c r="I27" s="68"/>
    </row>
  </sheetData>
  <customSheetViews>
    <customSheetView guid="{5E394B0B-7867-4722-9497-A93AB2A9A773}" showPageBreaks="1" hiddenColumns="1" state="hidden">
      <selection activeCell="E13" sqref="E13"/>
      <pageMargins left="0" right="0" top="0" bottom="0" header="0" footer="0"/>
      <pageSetup orientation="landscape" r:id="rId1"/>
    </customSheetView>
    <customSheetView guid="{B1E1B596-A9A1-411D-A882-A48CB025B978}" hiddenColumns="1" state="hidden">
      <selection activeCell="E13" sqref="E13"/>
      <pageMargins left="0" right="0" top="0" bottom="0" header="0" footer="0"/>
      <pageSetup orientation="landscape" r:id="rId2"/>
    </customSheetView>
    <customSheetView guid="{E82B35BE-4719-4C53-A9EF-1CC6F153A6F3}" hiddenColumns="1" state="hidden">
      <selection activeCell="E13" sqref="E13"/>
      <pageMargins left="0" right="0" top="0" bottom="0" header="0" footer="0"/>
      <pageSetup orientation="landscape" r:id="rId3"/>
    </customSheetView>
    <customSheetView guid="{B4A67912-05A8-4D20-958A-E8812294BB39}">
      <selection activeCell="E9" sqref="E9"/>
      <pageMargins left="0" right="0" top="0" bottom="0" header="0" footer="0"/>
      <pageSetup orientation="landscape" r:id="rId4"/>
    </customSheetView>
    <customSheetView guid="{F7C0CA98-A3B8-42B1-9940-E27294444C95}">
      <selection activeCell="I6" sqref="I6"/>
      <pageMargins left="0" right="0" top="0" bottom="0" header="0" footer="0"/>
      <pageSetup orientation="landscape" r:id="rId5"/>
    </customSheetView>
    <customSheetView guid="{B8318771-9061-42D8-AFEA-0FF27D639C94}">
      <selection activeCell="A15" sqref="A15:IV15"/>
      <pageMargins left="0" right="0" top="0" bottom="0" header="0" footer="0"/>
      <pageSetup orientation="landscape" r:id="rId6"/>
    </customSheetView>
    <customSheetView guid="{3199A5C7-1303-43ED-A74D-8C27C3B99779}">
      <selection activeCell="A15" sqref="A15:IV15"/>
      <pageMargins left="0" right="0" top="0" bottom="0" header="0" footer="0"/>
      <pageSetup orientation="landscape" r:id="rId7"/>
    </customSheetView>
    <customSheetView guid="{C4538C36-F6A2-4603-9311-8D97FB7695CB}">
      <selection activeCell="I6" sqref="I6"/>
      <pageMargins left="0" right="0" top="0" bottom="0" header="0" footer="0"/>
      <pageSetup orientation="landscape" r:id="rId8"/>
    </customSheetView>
    <customSheetView guid="{F66B1C5E-2E3D-4890-AA4B-3A6E976CA29E}">
      <selection activeCell="I6" sqref="I6"/>
      <pageMargins left="0" right="0" top="0" bottom="0" header="0" footer="0"/>
      <pageSetup orientation="landscape" r:id="rId9"/>
    </customSheetView>
    <customSheetView guid="{D020F570-D9CD-4C16-921E-7638848CF929}">
      <selection activeCell="I9" sqref="I9"/>
      <pageMargins left="0" right="0" top="0" bottom="0" header="0" footer="0"/>
      <pageSetup orientation="landscape" r:id="rId10"/>
    </customSheetView>
    <customSheetView guid="{46F31544-8E6F-41C5-8628-1D6EE074AF15}" hiddenColumns="1" state="hidden">
      <selection activeCell="E13" sqref="E13"/>
      <pageMargins left="0" right="0" top="0" bottom="0" header="0" footer="0"/>
      <pageSetup orientation="landscape" r:id="rId11"/>
    </customSheetView>
    <customSheetView guid="{B2E1A0C6-5BA1-4CF1-B412-16D81FCDF11F}" hiddenColumns="1" state="hidden">
      <selection activeCell="E13" sqref="E13"/>
      <pageMargins left="0" right="0" top="0" bottom="0" header="0" footer="0"/>
      <pageSetup orientation="landscape" r:id="rId12"/>
    </customSheetView>
    <customSheetView guid="{967E0446-E234-427F-8E57-7FE287052E2E}" showPageBreaks="1" hiddenColumns="1" state="hidden">
      <selection activeCell="E13" sqref="E13"/>
      <pageMargins left="0" right="0" top="0" bottom="0" header="0" footer="0"/>
      <pageSetup orientation="landscape" r:id="rId13"/>
    </customSheetView>
    <customSheetView guid="{2ACFE167-4169-43A6-9AB2-59D5A2DA2DB4}" showPageBreaks="1" hiddenColumns="1" state="hidden">
      <selection activeCell="E13" sqref="E13"/>
      <pageMargins left="0" right="0" top="0" bottom="0" header="0" footer="0"/>
      <pageSetup orientation="landscape" r:id="rId14"/>
    </customSheetView>
  </customSheetViews>
  <mergeCells count="4">
    <mergeCell ref="B4:H4"/>
    <mergeCell ref="B23:H24"/>
    <mergeCell ref="B25:H26"/>
    <mergeCell ref="B27:H27"/>
  </mergeCells>
  <hyperlinks>
    <hyperlink ref="B1" location="'List of tables'!A1" display="'List of tables'!A1"/>
  </hyperlinks>
  <pageMargins left="0.7" right="0.7" top="0.75" bottom="0.75" header="0.3" footer="0.3"/>
  <pageSetup orientation="landscape" r:id="rId15"/>
  <ignoredErrors>
    <ignoredError sqref="H11 H14:I14"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99"/>
  </sheetPr>
  <dimension ref="B1:R107"/>
  <sheetViews>
    <sheetView showGridLines="0" view="pageBreakPreview" topLeftCell="A10" zoomScale="70" zoomScaleNormal="85" zoomScaleSheetLayoutView="70" workbookViewId="0">
      <selection activeCell="O23" sqref="O23"/>
    </sheetView>
  </sheetViews>
  <sheetFormatPr defaultColWidth="9.140625" defaultRowHeight="12.75"/>
  <cols>
    <col min="1" max="1" width="4" style="292" customWidth="1"/>
    <col min="2" max="2" width="19.7109375" style="292" customWidth="1"/>
    <col min="3" max="4" width="16.28515625" style="292" customWidth="1"/>
    <col min="5" max="5" width="16.28515625" style="515" customWidth="1"/>
    <col min="6" max="12" width="16.28515625" style="292" customWidth="1"/>
    <col min="13" max="13" width="4.42578125" style="292" customWidth="1"/>
    <col min="14" max="14" width="16.42578125" style="292" customWidth="1"/>
    <col min="15" max="15" width="14.7109375" style="292" customWidth="1"/>
    <col min="16" max="16" width="12.5703125" style="292" customWidth="1"/>
    <col min="17" max="16384" width="9.140625" style="292"/>
  </cols>
  <sheetData>
    <row r="1" spans="2:18">
      <c r="B1" s="458"/>
      <c r="C1" s="458"/>
      <c r="D1" s="458"/>
      <c r="E1" s="513"/>
      <c r="F1" s="458"/>
      <c r="G1" s="458"/>
      <c r="H1" s="458"/>
      <c r="I1" s="458"/>
      <c r="J1" s="458"/>
    </row>
    <row r="2" spans="2:18">
      <c r="B2" s="295" t="s">
        <v>144</v>
      </c>
      <c r="C2" s="295"/>
      <c r="D2" s="295"/>
      <c r="E2" s="383"/>
      <c r="F2" s="295"/>
      <c r="G2" s="295"/>
      <c r="H2" s="295"/>
      <c r="I2" s="295"/>
    </row>
    <row r="4" spans="2:18">
      <c r="B4" s="3443" t="s">
        <v>83</v>
      </c>
      <c r="C4" s="3455">
        <v>2017</v>
      </c>
      <c r="D4" s="3456"/>
      <c r="E4" s="3455">
        <v>2018</v>
      </c>
      <c r="F4" s="3456"/>
      <c r="G4" s="3455">
        <v>2019</v>
      </c>
      <c r="H4" s="3456"/>
      <c r="I4" s="3455" t="s">
        <v>137</v>
      </c>
      <c r="J4" s="3456"/>
      <c r="K4" s="3455" t="s">
        <v>84</v>
      </c>
      <c r="L4" s="3456"/>
    </row>
    <row r="5" spans="2:18">
      <c r="B5" s="3444"/>
      <c r="C5" s="2026" t="s">
        <v>138</v>
      </c>
      <c r="D5" s="2027" t="s">
        <v>139</v>
      </c>
      <c r="E5" s="2028" t="s">
        <v>138</v>
      </c>
      <c r="F5" s="2027" t="s">
        <v>139</v>
      </c>
      <c r="G5" s="2026" t="s">
        <v>138</v>
      </c>
      <c r="H5" s="2027" t="s">
        <v>139</v>
      </c>
      <c r="I5" s="2026" t="s">
        <v>138</v>
      </c>
      <c r="J5" s="2027" t="s">
        <v>139</v>
      </c>
      <c r="K5" s="2029" t="s">
        <v>138</v>
      </c>
      <c r="L5" s="2027" t="s">
        <v>139</v>
      </c>
    </row>
    <row r="6" spans="2:18">
      <c r="B6" s="3445"/>
      <c r="C6" s="2026" t="s">
        <v>140</v>
      </c>
      <c r="D6" s="2026" t="s">
        <v>141</v>
      </c>
      <c r="E6" s="2028" t="s">
        <v>140</v>
      </c>
      <c r="F6" s="2026" t="s">
        <v>141</v>
      </c>
      <c r="G6" s="2026" t="s">
        <v>140</v>
      </c>
      <c r="H6" s="2026" t="s">
        <v>141</v>
      </c>
      <c r="I6" s="2026" t="s">
        <v>140</v>
      </c>
      <c r="J6" s="2026" t="s">
        <v>141</v>
      </c>
      <c r="K6" s="2026" t="s">
        <v>140</v>
      </c>
      <c r="L6" s="2026" t="s">
        <v>141</v>
      </c>
    </row>
    <row r="7" spans="2:18">
      <c r="B7" s="2030" t="s">
        <v>92</v>
      </c>
      <c r="C7" s="2031">
        <v>5956141.7227829993</v>
      </c>
      <c r="D7" s="2015">
        <v>6.3777924807865665</v>
      </c>
      <c r="E7" s="2022">
        <v>17983748.156054597</v>
      </c>
      <c r="F7" s="2032">
        <v>17.878959433778309</v>
      </c>
      <c r="G7" s="1981">
        <v>18095258.154735196</v>
      </c>
      <c r="H7" s="2032">
        <v>16.803919445087075</v>
      </c>
      <c r="I7" s="2033">
        <v>13852829.154496999</v>
      </c>
      <c r="J7" s="2034">
        <v>13.158567037006822</v>
      </c>
      <c r="K7" s="2035">
        <v>12490133</v>
      </c>
      <c r="L7" s="2036">
        <v>11.48</v>
      </c>
      <c r="M7" s="396"/>
      <c r="N7" s="567"/>
      <c r="O7" s="773"/>
      <c r="P7" s="396"/>
      <c r="Q7" s="396"/>
      <c r="R7" s="396"/>
    </row>
    <row r="8" spans="2:18">
      <c r="B8" s="2030" t="s">
        <v>95</v>
      </c>
      <c r="C8" s="2031">
        <v>1686270.2016931525</v>
      </c>
      <c r="D8" s="2015">
        <v>1.8056456534261116</v>
      </c>
      <c r="E8" s="2022">
        <v>1841066.7275658413</v>
      </c>
      <c r="F8" s="2037">
        <v>1.830339095687719</v>
      </c>
      <c r="G8" s="2031">
        <v>1621460.6148785669</v>
      </c>
      <c r="H8" s="2038">
        <v>1.5057477115169415</v>
      </c>
      <c r="I8" s="2039">
        <v>1631666</v>
      </c>
      <c r="J8" s="2040">
        <v>1.55</v>
      </c>
      <c r="K8" s="2035">
        <v>2173073</v>
      </c>
      <c r="L8" s="2036">
        <v>2</v>
      </c>
      <c r="M8" s="396"/>
      <c r="N8" s="567"/>
      <c r="O8" s="773"/>
      <c r="P8" s="396"/>
      <c r="Q8" s="396"/>
      <c r="R8" s="396"/>
    </row>
    <row r="9" spans="2:18">
      <c r="B9" s="2030" t="s">
        <v>98</v>
      </c>
      <c r="C9" s="2031">
        <v>17012087</v>
      </c>
      <c r="D9" s="2015">
        <v>18.216416868668905</v>
      </c>
      <c r="E9" s="2022">
        <v>18137933</v>
      </c>
      <c r="F9" s="2037">
        <v>18.032245864742659</v>
      </c>
      <c r="G9" s="2031">
        <v>18401405</v>
      </c>
      <c r="H9" s="2038">
        <v>17.08821861795359</v>
      </c>
      <c r="I9" s="2033">
        <v>18680545</v>
      </c>
      <c r="J9" s="2034">
        <v>17.744332289734935</v>
      </c>
      <c r="K9" s="2035">
        <v>18498751</v>
      </c>
      <c r="L9" s="2036">
        <v>17.010000000000002</v>
      </c>
      <c r="M9" s="396"/>
      <c r="N9" s="567"/>
      <c r="O9" s="773"/>
      <c r="P9" s="396"/>
      <c r="Q9" s="396"/>
      <c r="R9" s="396"/>
    </row>
    <row r="10" spans="2:18">
      <c r="B10" s="2030" t="s">
        <v>99</v>
      </c>
      <c r="C10" s="2031">
        <v>3892779.6157199997</v>
      </c>
      <c r="D10" s="2015">
        <v>4.1683596056034906</v>
      </c>
      <c r="E10" s="2022">
        <v>4545405.4103501001</v>
      </c>
      <c r="F10" s="2037">
        <v>4.5189199846732535</v>
      </c>
      <c r="G10" s="2031">
        <v>5002547.9280199995</v>
      </c>
      <c r="H10" s="2038">
        <v>4.6455492197903645</v>
      </c>
      <c r="I10" s="2041">
        <v>4808964</v>
      </c>
      <c r="J10" s="2042">
        <v>4.57</v>
      </c>
      <c r="K10" s="2043">
        <v>4888930</v>
      </c>
      <c r="L10" s="2036">
        <v>4.5</v>
      </c>
      <c r="M10" s="396"/>
      <c r="N10" s="567"/>
      <c r="O10" s="773"/>
      <c r="P10" s="396"/>
      <c r="Q10" s="396"/>
      <c r="R10" s="396"/>
    </row>
    <row r="11" spans="2:18">
      <c r="B11" s="2030" t="s">
        <v>101</v>
      </c>
      <c r="C11" s="2031">
        <v>2966679.0211299998</v>
      </c>
      <c r="D11" s="2015">
        <v>3.1766979421418831</v>
      </c>
      <c r="E11" s="2022">
        <v>3692396.8000000003</v>
      </c>
      <c r="F11" s="2037">
        <v>3.6708817332046069</v>
      </c>
      <c r="G11" s="2031">
        <v>4192959.7913499996</v>
      </c>
      <c r="H11" s="2038">
        <v>3.8937360256392308</v>
      </c>
      <c r="I11" s="2033">
        <v>4274396.5043900004</v>
      </c>
      <c r="J11" s="2034">
        <v>4.0601766121907907</v>
      </c>
      <c r="K11" s="2035">
        <v>4374591</v>
      </c>
      <c r="L11" s="2036">
        <v>4.0199999999999996</v>
      </c>
      <c r="M11" s="396"/>
      <c r="N11" s="567"/>
      <c r="O11" s="773"/>
      <c r="P11" s="396"/>
      <c r="Q11" s="396"/>
      <c r="R11" s="396"/>
    </row>
    <row r="12" spans="2:18">
      <c r="B12" s="2030" t="s">
        <v>102</v>
      </c>
      <c r="C12" s="2031">
        <v>9610989.9670747072</v>
      </c>
      <c r="D12" s="2015">
        <v>10.291376934577592</v>
      </c>
      <c r="E12" s="2022">
        <v>10980850.294321876</v>
      </c>
      <c r="F12" s="2037">
        <v>10.916866453919742</v>
      </c>
      <c r="G12" s="2031">
        <v>11247669.343500011</v>
      </c>
      <c r="H12" s="2038">
        <v>10.444997688175588</v>
      </c>
      <c r="I12" s="2041">
        <v>11937482</v>
      </c>
      <c r="J12" s="2034">
        <v>11.339209686172563</v>
      </c>
      <c r="K12" s="2035">
        <v>11914064</v>
      </c>
      <c r="L12" s="2036">
        <v>10.95</v>
      </c>
      <c r="M12" s="396"/>
      <c r="N12" s="567"/>
      <c r="O12" s="773"/>
      <c r="P12" s="396"/>
      <c r="Q12" s="396"/>
      <c r="R12" s="396"/>
    </row>
    <row r="13" spans="2:18">
      <c r="B13" s="2030" t="s">
        <v>104</v>
      </c>
      <c r="C13" s="2031">
        <v>3662007.7559714955</v>
      </c>
      <c r="D13" s="2015">
        <v>3.9212508059167295</v>
      </c>
      <c r="E13" s="2022">
        <v>4062171.2964326967</v>
      </c>
      <c r="F13" s="2037">
        <v>4.038501606659084</v>
      </c>
      <c r="G13" s="2031">
        <v>4394456.6894074343</v>
      </c>
      <c r="H13" s="2038">
        <v>4.08085342481853</v>
      </c>
      <c r="I13" s="2033">
        <v>4583234.7639816711</v>
      </c>
      <c r="J13" s="2034">
        <v>4.3535368274295871</v>
      </c>
      <c r="K13" s="2035">
        <v>5166812</v>
      </c>
      <c r="L13" s="2036">
        <v>4.75</v>
      </c>
      <c r="M13" s="396"/>
      <c r="N13" s="567"/>
      <c r="O13" s="773"/>
      <c r="P13" s="396"/>
      <c r="Q13" s="396"/>
      <c r="R13" s="396"/>
    </row>
    <row r="14" spans="2:18">
      <c r="B14" s="2030" t="s">
        <v>145</v>
      </c>
      <c r="C14" s="2031">
        <v>11740185.019649999</v>
      </c>
      <c r="D14" s="2015">
        <v>12.571303240645678</v>
      </c>
      <c r="E14" s="2044"/>
      <c r="F14" s="2045"/>
      <c r="G14" s="1980"/>
      <c r="H14" s="1980"/>
      <c r="I14" s="1980"/>
      <c r="J14" s="1980"/>
      <c r="K14" s="1980"/>
      <c r="L14" s="1980"/>
      <c r="M14" s="396"/>
      <c r="N14" s="567"/>
      <c r="O14" s="773"/>
      <c r="P14" s="396"/>
      <c r="Q14" s="396"/>
      <c r="R14" s="396"/>
    </row>
    <row r="15" spans="2:18">
      <c r="B15" s="2030" t="s">
        <v>108</v>
      </c>
      <c r="C15" s="2031">
        <v>3795105.8672800004</v>
      </c>
      <c r="D15" s="2015">
        <v>4.0637712785682165</v>
      </c>
      <c r="E15" s="2022">
        <v>4318721.2391500007</v>
      </c>
      <c r="F15" s="2037">
        <v>4.2935566696403002</v>
      </c>
      <c r="G15" s="2031">
        <v>4954896.4164499994</v>
      </c>
      <c r="H15" s="2038">
        <v>4.6012982809525909</v>
      </c>
      <c r="I15" s="2033">
        <v>5612895.0055699898</v>
      </c>
      <c r="J15" s="2034">
        <v>5.3315935957022411</v>
      </c>
      <c r="K15" s="2043">
        <v>6562651</v>
      </c>
      <c r="L15" s="2036">
        <v>6.03</v>
      </c>
      <c r="M15" s="396"/>
      <c r="N15" s="567"/>
      <c r="O15" s="773"/>
      <c r="P15" s="396"/>
      <c r="Q15" s="396"/>
      <c r="R15" s="396"/>
    </row>
    <row r="16" spans="2:18">
      <c r="B16" s="2030" t="s">
        <v>109</v>
      </c>
      <c r="C16" s="2031">
        <v>260805.79303599973</v>
      </c>
      <c r="D16" s="2015">
        <v>0.27926891319727892</v>
      </c>
      <c r="E16" s="2022">
        <v>-511.79377999999997</v>
      </c>
      <c r="F16" s="2037">
        <v>-5.088116310169419E-4</v>
      </c>
      <c r="G16" s="2031">
        <v>95978.615808300019</v>
      </c>
      <c r="H16" s="2032">
        <v>8.9129257770306516E-2</v>
      </c>
      <c r="I16" s="2041">
        <v>297995</v>
      </c>
      <c r="J16" s="2042">
        <v>0.28000000000000003</v>
      </c>
      <c r="K16" s="2035">
        <v>413070</v>
      </c>
      <c r="L16" s="2036">
        <v>0.38</v>
      </c>
      <c r="M16" s="396"/>
      <c r="N16" s="567"/>
      <c r="O16" s="773"/>
      <c r="P16" s="396"/>
      <c r="Q16" s="396"/>
      <c r="R16" s="396"/>
    </row>
    <row r="17" spans="2:18">
      <c r="B17" s="2030" t="s">
        <v>110</v>
      </c>
      <c r="C17" s="2046">
        <v>8114411.9462399995</v>
      </c>
      <c r="D17" s="2015">
        <v>8.6888522646759814</v>
      </c>
      <c r="E17" s="2047">
        <v>9644900.5014300011</v>
      </c>
      <c r="F17" s="2048">
        <v>9.5887010489434239</v>
      </c>
      <c r="G17" s="2046">
        <v>13358203.161800399</v>
      </c>
      <c r="H17" s="2038">
        <v>12.404916688257451</v>
      </c>
      <c r="I17" s="2041">
        <v>12051863</v>
      </c>
      <c r="J17" s="2042">
        <v>11.45</v>
      </c>
      <c r="K17" s="2035">
        <v>13365348</v>
      </c>
      <c r="L17" s="2036">
        <v>12.29</v>
      </c>
      <c r="M17" s="396"/>
      <c r="N17" s="567"/>
      <c r="O17" s="773"/>
      <c r="P17" s="396"/>
      <c r="Q17" s="396"/>
      <c r="R17" s="396"/>
    </row>
    <row r="18" spans="2:18">
      <c r="B18" s="2030" t="s">
        <v>111</v>
      </c>
      <c r="C18" s="2031">
        <v>1179000.0045040983</v>
      </c>
      <c r="D18" s="2015">
        <v>1.2624644801198803</v>
      </c>
      <c r="E18" s="2022">
        <v>1376397.8123066744</v>
      </c>
      <c r="F18" s="2037">
        <v>1.368377739580793</v>
      </c>
      <c r="G18" s="2031">
        <v>1564902</v>
      </c>
      <c r="H18" s="2038">
        <v>1.4532253103321628</v>
      </c>
      <c r="I18" s="2033">
        <v>1628153</v>
      </c>
      <c r="J18" s="2034">
        <v>1.5465548703492753</v>
      </c>
      <c r="K18" s="2035">
        <v>2027885</v>
      </c>
      <c r="L18" s="2036">
        <v>1.86</v>
      </c>
      <c r="M18" s="396"/>
      <c r="N18" s="567"/>
      <c r="O18" s="773"/>
      <c r="P18" s="396"/>
      <c r="Q18" s="396"/>
      <c r="R18" s="396"/>
    </row>
    <row r="19" spans="2:18">
      <c r="B19" s="2030" t="s">
        <v>112</v>
      </c>
      <c r="C19" s="2031">
        <v>4587432.0722523658</v>
      </c>
      <c r="D19" s="2015">
        <v>4.9121883155694386</v>
      </c>
      <c r="E19" s="2022">
        <v>5354368.4769099997</v>
      </c>
      <c r="F19" s="2037">
        <v>5.3231693394208035</v>
      </c>
      <c r="G19" s="2031">
        <v>5694164</v>
      </c>
      <c r="H19" s="2038">
        <v>5.2878092340493072</v>
      </c>
      <c r="I19" s="2033">
        <v>5686758</v>
      </c>
      <c r="J19" s="2034">
        <v>5.4017538492038737</v>
      </c>
      <c r="K19" s="2035">
        <v>5634586</v>
      </c>
      <c r="L19" s="2036">
        <v>5.18</v>
      </c>
      <c r="M19" s="396"/>
      <c r="N19" s="567"/>
      <c r="O19" s="773"/>
      <c r="P19" s="396"/>
      <c r="Q19" s="396"/>
      <c r="R19" s="396"/>
    </row>
    <row r="20" spans="2:18">
      <c r="B20" s="2030" t="s">
        <v>114</v>
      </c>
      <c r="C20" s="2031">
        <v>569509.43500000006</v>
      </c>
      <c r="D20" s="2015">
        <v>0.60982648857839128</v>
      </c>
      <c r="E20" s="2022">
        <v>732379.25039000006</v>
      </c>
      <c r="F20" s="2037">
        <v>0.72811178149508027</v>
      </c>
      <c r="G20" s="2031">
        <v>898079.36861</v>
      </c>
      <c r="H20" s="2038">
        <v>0.83398939304261865</v>
      </c>
      <c r="I20" s="2039">
        <v>847117</v>
      </c>
      <c r="J20" s="2040">
        <v>0.8</v>
      </c>
      <c r="K20" s="2035">
        <v>868306</v>
      </c>
      <c r="L20" s="2036">
        <v>0.8</v>
      </c>
      <c r="M20" s="396"/>
      <c r="N20" s="567"/>
      <c r="O20" s="773"/>
      <c r="P20" s="396"/>
      <c r="Q20" s="396"/>
      <c r="R20" s="396"/>
    </row>
    <row r="21" spans="2:18">
      <c r="B21" s="2030" t="s">
        <v>115</v>
      </c>
      <c r="C21" s="2031">
        <v>18355361</v>
      </c>
      <c r="D21" s="2015">
        <v>19.654784727523868</v>
      </c>
      <c r="E21" s="2022">
        <v>17916273.617700003</v>
      </c>
      <c r="F21" s="2037">
        <v>17.811878059885263</v>
      </c>
      <c r="G21" s="2031">
        <v>18162766</v>
      </c>
      <c r="H21" s="2038">
        <v>16.866609702614255</v>
      </c>
      <c r="I21" s="2033">
        <v>19370895</v>
      </c>
      <c r="J21" s="2034">
        <v>18.400084024827169</v>
      </c>
      <c r="K21" s="2035">
        <v>20382188</v>
      </c>
      <c r="L21" s="2036">
        <v>18.739999999999998</v>
      </c>
      <c r="M21" s="396"/>
      <c r="N21" s="567"/>
      <c r="O21" s="773"/>
      <c r="P21" s="396"/>
      <c r="Q21" s="396"/>
      <c r="R21" s="396"/>
    </row>
    <row r="22" spans="2:18">
      <c r="B22" s="1994" t="s">
        <v>118</v>
      </c>
      <c r="C22" s="1872">
        <v>93388766.42233482</v>
      </c>
      <c r="D22" s="1872">
        <v>100</v>
      </c>
      <c r="E22" s="1873">
        <f>SUM(E7:E21)</f>
        <v>100586100.78883177</v>
      </c>
      <c r="F22" s="1873">
        <f>SUM(F7:F21)</f>
        <v>100</v>
      </c>
      <c r="G22" s="1872">
        <v>107684747.08455989</v>
      </c>
      <c r="H22" s="2049">
        <v>100</v>
      </c>
      <c r="I22" s="2050">
        <v>105264792.5</v>
      </c>
      <c r="J22" s="2050">
        <v>100</v>
      </c>
      <c r="K22" s="1886">
        <v>108760388</v>
      </c>
      <c r="L22" s="2051">
        <v>100</v>
      </c>
      <c r="M22" s="396"/>
      <c r="N22" s="567"/>
      <c r="O22" s="773"/>
      <c r="P22" s="396"/>
      <c r="Q22" s="396"/>
      <c r="R22" s="396"/>
    </row>
    <row r="23" spans="2:18">
      <c r="B23" s="3453" t="s">
        <v>146</v>
      </c>
      <c r="C23" s="3427">
        <v>17.337478343617725</v>
      </c>
      <c r="D23" s="3428"/>
      <c r="E23" s="3427">
        <f>(E22-C22)/C22*100</f>
        <v>7.7068523787413881</v>
      </c>
      <c r="F23" s="3428"/>
      <c r="G23" s="3427">
        <f>(G22-E22)/E22*100</f>
        <v>7.0572835014559896</v>
      </c>
      <c r="H23" s="3428"/>
      <c r="I23" s="3461">
        <v>-2.25</v>
      </c>
      <c r="J23" s="3462"/>
      <c r="K23" s="3457">
        <v>3.32</v>
      </c>
      <c r="L23" s="3458"/>
    </row>
    <row r="24" spans="2:18">
      <c r="B24" s="3454"/>
      <c r="C24" s="3429"/>
      <c r="D24" s="3430"/>
      <c r="E24" s="3429"/>
      <c r="F24" s="3430"/>
      <c r="G24" s="3429"/>
      <c r="H24" s="3430"/>
      <c r="I24" s="3463"/>
      <c r="J24" s="3464"/>
      <c r="K24" s="3459"/>
      <c r="L24" s="3460"/>
    </row>
    <row r="25" spans="2:18">
      <c r="B25" s="493"/>
      <c r="C25" s="386"/>
      <c r="D25" s="386"/>
      <c r="E25" s="387"/>
      <c r="F25" s="386"/>
      <c r="G25" s="386"/>
    </row>
    <row r="26" spans="2:18">
      <c r="B26" s="491"/>
      <c r="C26" s="387"/>
      <c r="D26" s="387"/>
      <c r="E26" s="387"/>
      <c r="F26" s="387"/>
      <c r="G26" s="387"/>
      <c r="L26" s="292">
        <v>3</v>
      </c>
    </row>
    <row r="27" spans="2:18">
      <c r="B27" s="622"/>
    </row>
    <row r="28" spans="2:18">
      <c r="B28" s="37"/>
    </row>
    <row r="31" spans="2:18">
      <c r="B31" s="384"/>
    </row>
    <row r="32" spans="2:18">
      <c r="B32" s="384"/>
    </row>
    <row r="33" spans="2:2">
      <c r="B33" s="3448"/>
    </row>
    <row r="34" spans="2:2">
      <c r="B34" s="3448"/>
    </row>
    <row r="35" spans="2:2">
      <c r="B35" s="3449"/>
    </row>
    <row r="36" spans="2:2">
      <c r="B36" s="3449"/>
    </row>
    <row r="37" spans="2:2">
      <c r="B37" s="329"/>
    </row>
    <row r="38" spans="2:2">
      <c r="B38" s="329"/>
    </row>
    <row r="39" spans="2:2">
      <c r="B39" s="329"/>
    </row>
    <row r="40" spans="2:2">
      <c r="B40" s="329"/>
    </row>
    <row r="41" spans="2:2">
      <c r="B41" s="329"/>
    </row>
    <row r="43" spans="2:2">
      <c r="B43" s="396"/>
    </row>
    <row r="74" spans="2:2">
      <c r="B74" s="481" t="s">
        <v>147</v>
      </c>
    </row>
    <row r="75" spans="2:2">
      <c r="B75" s="623"/>
    </row>
    <row r="76" spans="2:2">
      <c r="B76" s="3448" t="s">
        <v>148</v>
      </c>
    </row>
    <row r="77" spans="2:2">
      <c r="B77" s="3448"/>
    </row>
    <row r="78" spans="2:2">
      <c r="B78" s="3449" t="s">
        <v>149</v>
      </c>
    </row>
    <row r="79" spans="2:2">
      <c r="B79" s="3449"/>
    </row>
    <row r="80" spans="2:2" ht="153">
      <c r="B80" s="329" t="s">
        <v>150</v>
      </c>
    </row>
    <row r="83" spans="2:2">
      <c r="B83" s="624" t="s">
        <v>151</v>
      </c>
    </row>
    <row r="84" spans="2:2">
      <c r="B84" s="3450" t="s">
        <v>83</v>
      </c>
    </row>
    <row r="85" spans="2:2">
      <c r="B85" s="3451"/>
    </row>
    <row r="86" spans="2:2">
      <c r="B86" s="3452"/>
    </row>
    <row r="87" spans="2:2">
      <c r="B87" s="2052" t="e">
        <v>#REF!</v>
      </c>
    </row>
    <row r="88" spans="2:2">
      <c r="B88" s="2052" t="e">
        <v>#REF!</v>
      </c>
    </row>
    <row r="89" spans="2:2">
      <c r="B89" s="2052" t="e">
        <v>#REF!</v>
      </c>
    </row>
    <row r="90" spans="2:2">
      <c r="B90" s="2052" t="e">
        <v>#REF!</v>
      </c>
    </row>
    <row r="91" spans="2:2">
      <c r="B91" s="2052" t="e">
        <v>#REF!</v>
      </c>
    </row>
    <row r="92" spans="2:2">
      <c r="B92" s="2052" t="e">
        <v>#REF!</v>
      </c>
    </row>
    <row r="93" spans="2:2">
      <c r="B93" s="2052" t="e">
        <v>#REF!</v>
      </c>
    </row>
    <row r="94" spans="2:2">
      <c r="B94" s="2052" t="e">
        <v>#REF!</v>
      </c>
    </row>
    <row r="95" spans="2:2">
      <c r="B95" s="2052" t="e">
        <v>#REF!</v>
      </c>
    </row>
    <row r="96" spans="2:2">
      <c r="B96" s="2052" t="e">
        <v>#REF!</v>
      </c>
    </row>
    <row r="97" spans="2:2">
      <c r="B97" s="2052" t="e">
        <v>#REF!</v>
      </c>
    </row>
    <row r="98" spans="2:2">
      <c r="B98" s="2052" t="e">
        <v>#REF!</v>
      </c>
    </row>
    <row r="99" spans="2:2">
      <c r="B99" s="2052" t="e">
        <v>#REF!</v>
      </c>
    </row>
    <row r="100" spans="2:2">
      <c r="B100" s="2052" t="e">
        <v>#REF!</v>
      </c>
    </row>
    <row r="101" spans="2:2">
      <c r="B101" s="2052" t="e">
        <v>#REF!</v>
      </c>
    </row>
    <row r="102" spans="2:2">
      <c r="B102" s="2052" t="e">
        <v>#REF!</v>
      </c>
    </row>
    <row r="103" spans="2:2">
      <c r="B103" s="2052" t="e">
        <v>#REF!</v>
      </c>
    </row>
    <row r="104" spans="2:2">
      <c r="B104" s="2052" t="e">
        <v>#REF!</v>
      </c>
    </row>
    <row r="105" spans="2:2">
      <c r="B105" s="2053" t="s">
        <v>118</v>
      </c>
    </row>
    <row r="106" spans="2:2">
      <c r="B106" s="3446" t="s">
        <v>146</v>
      </c>
    </row>
    <row r="107" spans="2:2">
      <c r="B107" s="3447"/>
    </row>
  </sheetData>
  <mergeCells count="18">
    <mergeCell ref="K4:L4"/>
    <mergeCell ref="K23:L24"/>
    <mergeCell ref="I4:J4"/>
    <mergeCell ref="C23:D24"/>
    <mergeCell ref="E23:F24"/>
    <mergeCell ref="G23:H24"/>
    <mergeCell ref="I23:J24"/>
    <mergeCell ref="C4:D4"/>
    <mergeCell ref="E4:F4"/>
    <mergeCell ref="G4:H4"/>
    <mergeCell ref="B4:B6"/>
    <mergeCell ref="B106:B107"/>
    <mergeCell ref="B33:B34"/>
    <mergeCell ref="B35:B36"/>
    <mergeCell ref="B76:B77"/>
    <mergeCell ref="B78:B79"/>
    <mergeCell ref="B84:B86"/>
    <mergeCell ref="B23:B24"/>
  </mergeCells>
  <pageMargins left="0.24" right="0.2" top="0.31" bottom="0.28000000000000003" header="0.3" footer="0.3"/>
  <pageSetup paperSize="9" scale="76" orientation="landscape" r:id="rId1"/>
  <rowBreaks count="1" manualBreakCount="1">
    <brk id="45" max="16383"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tabColor rgb="FF00B050"/>
  </sheetPr>
  <dimension ref="A1:T46"/>
  <sheetViews>
    <sheetView workbookViewId="0">
      <selection activeCell="Q58" sqref="Q58"/>
    </sheetView>
  </sheetViews>
  <sheetFormatPr defaultColWidth="9.140625" defaultRowHeight="15"/>
  <cols>
    <col min="1" max="1" width="3.5703125" customWidth="1"/>
    <col min="2" max="2" width="8.7109375" customWidth="1"/>
    <col min="3" max="3" width="13.28515625" customWidth="1"/>
    <col min="4" max="4" width="12" customWidth="1"/>
    <col min="5" max="5" width="12.28515625" customWidth="1"/>
    <col min="6" max="6" width="11" customWidth="1"/>
    <col min="7" max="7" width="12.28515625" customWidth="1"/>
    <col min="8" max="8" width="6.42578125" customWidth="1"/>
    <col min="9" max="9" width="12.140625" customWidth="1"/>
    <col min="10" max="10" width="12.28515625" customWidth="1"/>
    <col min="11" max="11" width="10.85546875" customWidth="1"/>
    <col min="12" max="12" width="12.140625" customWidth="1"/>
    <col min="13" max="13" width="5.5703125" customWidth="1"/>
    <col min="14" max="14" width="14.7109375" customWidth="1"/>
    <col min="15" max="15" width="12" style="17" customWidth="1"/>
    <col min="16" max="16" width="10.140625" bestFit="1" customWidth="1"/>
    <col min="17" max="17" width="10.5703125" customWidth="1"/>
    <col min="18" max="18" width="11.7109375" customWidth="1"/>
    <col min="19" max="19" width="12" customWidth="1"/>
  </cols>
  <sheetData>
    <row r="1" spans="1:20">
      <c r="B1" s="3"/>
      <c r="C1" s="3"/>
      <c r="D1" s="40" t="s">
        <v>915</v>
      </c>
      <c r="F1" s="41" t="s">
        <v>916</v>
      </c>
      <c r="H1" s="41" t="s">
        <v>917</v>
      </c>
      <c r="I1" s="202" t="s">
        <v>594</v>
      </c>
    </row>
    <row r="2" spans="1:20">
      <c r="B2" s="201" t="s">
        <v>918</v>
      </c>
      <c r="C2" s="201"/>
      <c r="D2" s="3"/>
      <c r="E2" s="3"/>
      <c r="F2" s="3"/>
      <c r="G2" s="3"/>
      <c r="H2" s="3"/>
      <c r="I2" s="3"/>
      <c r="J2" s="3"/>
      <c r="K2" s="3"/>
      <c r="L2" s="3"/>
      <c r="M2" s="3"/>
    </row>
    <row r="3" spans="1:20">
      <c r="B3" s="42" t="s">
        <v>169</v>
      </c>
      <c r="C3" s="42" t="s">
        <v>169</v>
      </c>
      <c r="D3" s="3"/>
      <c r="E3" s="3"/>
      <c r="F3" s="3"/>
      <c r="G3" s="3"/>
      <c r="H3" s="3"/>
      <c r="I3" s="3"/>
      <c r="J3" s="3"/>
      <c r="K3" s="3"/>
      <c r="L3" s="3"/>
      <c r="M3" s="3"/>
    </row>
    <row r="4" spans="1:20">
      <c r="B4" s="2083" t="s">
        <v>170</v>
      </c>
      <c r="C4" s="3495" t="s">
        <v>170</v>
      </c>
      <c r="D4" s="3495"/>
      <c r="E4" s="3495"/>
      <c r="F4" s="3495"/>
      <c r="G4" s="3495"/>
      <c r="H4" s="3495"/>
      <c r="I4" s="3495"/>
      <c r="J4" s="3495"/>
      <c r="K4" s="3495"/>
      <c r="L4" s="3495"/>
      <c r="M4" s="3495"/>
    </row>
    <row r="5" spans="1:20">
      <c r="B5" s="3927" t="s">
        <v>83</v>
      </c>
      <c r="C5" s="3938" t="s">
        <v>83</v>
      </c>
      <c r="D5" s="3476" t="s">
        <v>887</v>
      </c>
      <c r="E5" s="3939"/>
      <c r="F5" s="3939"/>
      <c r="G5" s="3939"/>
      <c r="H5" s="3482"/>
      <c r="I5" s="3476" t="s">
        <v>726</v>
      </c>
      <c r="J5" s="3939"/>
      <c r="K5" s="3939"/>
      <c r="L5" s="3939"/>
      <c r="M5" s="3482"/>
      <c r="O5" s="17" t="s">
        <v>919</v>
      </c>
    </row>
    <row r="6" spans="1:20" ht="45.75" customHeight="1">
      <c r="B6" s="3480"/>
      <c r="C6" s="3938"/>
      <c r="D6" s="2086" t="s">
        <v>920</v>
      </c>
      <c r="E6" s="2087" t="s">
        <v>921</v>
      </c>
      <c r="F6" s="2086" t="s">
        <v>922</v>
      </c>
      <c r="G6" s="2086" t="s">
        <v>923</v>
      </c>
      <c r="H6" s="3400" t="s">
        <v>157</v>
      </c>
      <c r="I6" s="2087" t="s">
        <v>924</v>
      </c>
      <c r="J6" s="2087" t="s">
        <v>921</v>
      </c>
      <c r="K6" s="2086" t="s">
        <v>922</v>
      </c>
      <c r="L6" s="2086" t="s">
        <v>925</v>
      </c>
      <c r="M6" s="3400" t="s">
        <v>157</v>
      </c>
      <c r="N6">
        <v>2006</v>
      </c>
      <c r="O6" s="227">
        <v>2007</v>
      </c>
      <c r="P6" s="43">
        <v>2008</v>
      </c>
      <c r="Q6" s="43">
        <v>2009</v>
      </c>
      <c r="R6" s="227">
        <v>2010</v>
      </c>
      <c r="S6" s="43" t="s">
        <v>887</v>
      </c>
      <c r="T6" s="43" t="s">
        <v>726</v>
      </c>
    </row>
    <row r="7" spans="1:20">
      <c r="A7">
        <v>1</v>
      </c>
      <c r="B7" s="2089" t="s">
        <v>175</v>
      </c>
      <c r="C7" s="228" t="s">
        <v>124</v>
      </c>
      <c r="D7" s="3058" t="e">
        <f>+#REF!+#REF!</f>
        <v>#REF!</v>
      </c>
      <c r="E7" s="3058" t="e">
        <f>+#REF!+#REF!</f>
        <v>#REF!</v>
      </c>
      <c r="F7" s="3058" t="e">
        <f>+#REF!</f>
        <v>#REF!</v>
      </c>
      <c r="G7" s="3058" t="e">
        <f t="shared" ref="G7:G27" si="0">D7+E7-F7</f>
        <v>#REF!</v>
      </c>
      <c r="H7" s="3059" t="e">
        <f>(G7/G$28)*100</f>
        <v>#REF!</v>
      </c>
      <c r="I7" s="3058" t="e">
        <f>+#REF!+#REF!</f>
        <v>#REF!</v>
      </c>
      <c r="J7" s="3058" t="e">
        <f>+#REF!+#REF!</f>
        <v>#REF!</v>
      </c>
      <c r="K7" s="3058" t="e">
        <f>+#REF!</f>
        <v>#REF!</v>
      </c>
      <c r="L7" s="3058" t="e">
        <f t="shared" ref="L7:L27" si="1">I7+J7-K7</f>
        <v>#REF!</v>
      </c>
      <c r="M7" s="3059" t="e">
        <f>L7/$L$28*100</f>
        <v>#REF!</v>
      </c>
      <c r="N7" t="s">
        <v>926</v>
      </c>
      <c r="R7" s="193">
        <f>+'[3]AR Table 8 &amp; Chart 9'!$Q$7</f>
        <v>2995.414006</v>
      </c>
      <c r="S7" s="14" t="e">
        <f>+F28/1000</f>
        <v>#REF!</v>
      </c>
      <c r="T7" s="14" t="e">
        <f>+K28/1000</f>
        <v>#REF!</v>
      </c>
    </row>
    <row r="8" spans="1:20">
      <c r="A8">
        <v>2</v>
      </c>
      <c r="B8" s="2089" t="s">
        <v>176</v>
      </c>
      <c r="C8" s="228" t="s">
        <v>96</v>
      </c>
      <c r="D8" s="3058" t="e">
        <f>+#REF!+#REF!+#REF!</f>
        <v>#REF!</v>
      </c>
      <c r="E8" s="3058" t="e">
        <f>+#REF!</f>
        <v>#REF!</v>
      </c>
      <c r="F8" s="3058" t="e">
        <f>+#REF!</f>
        <v>#REF!</v>
      </c>
      <c r="G8" s="3058" t="e">
        <f t="shared" si="0"/>
        <v>#REF!</v>
      </c>
      <c r="H8" s="3059" t="e">
        <f t="shared" ref="H8:H27" si="2">(G8/G$28)*100</f>
        <v>#REF!</v>
      </c>
      <c r="I8" s="3058" t="e">
        <f>+#REF!+#REF!+#REF!</f>
        <v>#REF!</v>
      </c>
      <c r="J8" s="3058" t="e">
        <f>+#REF!</f>
        <v>#REF!</v>
      </c>
      <c r="K8" s="3058" t="e">
        <f>+#REF!</f>
        <v>#REF!</v>
      </c>
      <c r="L8" s="3058" t="e">
        <f t="shared" si="1"/>
        <v>#REF!</v>
      </c>
      <c r="M8" s="3059" t="e">
        <f t="shared" ref="M8:M27" si="3">L8/$L$28*100</f>
        <v>#REF!</v>
      </c>
      <c r="N8" s="81">
        <v>117659</v>
      </c>
      <c r="O8" s="81">
        <v>134876</v>
      </c>
      <c r="P8" s="81">
        <v>155993</v>
      </c>
      <c r="Q8" s="81">
        <v>181045</v>
      </c>
      <c r="R8" s="193">
        <f>+'[3]AR Table 8 &amp; Chart 9'!$Q$8</f>
        <v>219102.12200337049</v>
      </c>
      <c r="S8" s="81" t="e">
        <f>+G28/1000</f>
        <v>#REF!</v>
      </c>
      <c r="T8" s="81" t="e">
        <f>+L28/1000</f>
        <v>#REF!</v>
      </c>
    </row>
    <row r="9" spans="1:20">
      <c r="A9">
        <v>3</v>
      </c>
      <c r="B9" s="2089" t="s">
        <v>177</v>
      </c>
      <c r="C9" s="228" t="s">
        <v>92</v>
      </c>
      <c r="D9" s="3058" t="e">
        <f>+#REF!+#REF!</f>
        <v>#REF!</v>
      </c>
      <c r="E9" s="3058" t="e">
        <f>+#REF!+#REF!</f>
        <v>#REF!</v>
      </c>
      <c r="F9" s="3058" t="e">
        <f>+#REF!</f>
        <v>#REF!</v>
      </c>
      <c r="G9" s="3058" t="e">
        <f t="shared" si="0"/>
        <v>#REF!</v>
      </c>
      <c r="H9" s="3059" t="e">
        <f t="shared" si="2"/>
        <v>#REF!</v>
      </c>
      <c r="I9" s="3058" t="e">
        <f>+#REF!+#REF!</f>
        <v>#REF!</v>
      </c>
      <c r="J9" s="3058" t="e">
        <f>+#REF!+#REF!</f>
        <v>#REF!</v>
      </c>
      <c r="K9" s="3058" t="e">
        <f>+#REF!</f>
        <v>#REF!</v>
      </c>
      <c r="L9" s="3058" t="e">
        <f t="shared" si="1"/>
        <v>#REF!</v>
      </c>
      <c r="M9" s="3059" t="e">
        <f t="shared" si="3"/>
        <v>#REF!</v>
      </c>
      <c r="N9" t="s">
        <v>598</v>
      </c>
      <c r="O9" s="121">
        <f>+(O8-N8)/N8*100</f>
        <v>14.632964754077459</v>
      </c>
      <c r="P9" s="121">
        <f>+(P8-O8)/O8*100</f>
        <v>15.656603102108605</v>
      </c>
      <c r="Q9" s="121">
        <f>+(Q8-P8)/P8*100</f>
        <v>16.059694986313488</v>
      </c>
      <c r="R9" s="121">
        <f>+((R8+R7)-(Q8+Q7))/(Q8+Q7)*100</f>
        <v>22.67532161030158</v>
      </c>
      <c r="S9" s="81" t="e">
        <f>+((S8+S7)-(R8+R7))/(R8+R7)*100</f>
        <v>#REF!</v>
      </c>
      <c r="T9" s="121" t="e">
        <f>+((T8+T7)-(S8+S7))/(S8+S7)*100</f>
        <v>#REF!</v>
      </c>
    </row>
    <row r="10" spans="1:20">
      <c r="A10">
        <v>4</v>
      </c>
      <c r="B10" s="2089" t="s">
        <v>178</v>
      </c>
      <c r="C10" s="228" t="s">
        <v>93</v>
      </c>
      <c r="D10" s="3285" t="e">
        <f>+#REF!+#REF!+#REF!</f>
        <v>#REF!</v>
      </c>
      <c r="E10" s="3285" t="e">
        <f>+#REF!</f>
        <v>#REF!</v>
      </c>
      <c r="F10" s="3058" t="e">
        <f>+#REF!</f>
        <v>#REF!</v>
      </c>
      <c r="G10" s="3058" t="e">
        <f t="shared" si="0"/>
        <v>#REF!</v>
      </c>
      <c r="H10" s="3059" t="e">
        <f t="shared" si="2"/>
        <v>#REF!</v>
      </c>
      <c r="I10" s="3058" t="e">
        <f>+#REF!+#REF!+#REF!</f>
        <v>#REF!</v>
      </c>
      <c r="J10" s="3058" t="e">
        <f>+#REF!</f>
        <v>#REF!</v>
      </c>
      <c r="K10" s="3058" t="e">
        <f>+#REF!</f>
        <v>#REF!</v>
      </c>
      <c r="L10" s="3058" t="e">
        <f t="shared" si="1"/>
        <v>#REF!</v>
      </c>
      <c r="M10" s="3059" t="e">
        <f t="shared" si="3"/>
        <v>#REF!</v>
      </c>
      <c r="O10" s="21"/>
      <c r="S10" s="14" t="e">
        <f>+S7+S8</f>
        <v>#REF!</v>
      </c>
      <c r="T10" s="14" t="e">
        <f>+T7+T8</f>
        <v>#REF!</v>
      </c>
    </row>
    <row r="11" spans="1:20">
      <c r="A11">
        <v>5</v>
      </c>
      <c r="B11" s="2089" t="s">
        <v>179</v>
      </c>
      <c r="C11" s="228" t="s">
        <v>125</v>
      </c>
      <c r="D11" s="3058" t="e">
        <f>+#REF!+#REF!</f>
        <v>#REF!</v>
      </c>
      <c r="E11" s="3058" t="e">
        <f>+#REF!+#REF!</f>
        <v>#REF!</v>
      </c>
      <c r="F11" s="3058" t="e">
        <f>+#REF!</f>
        <v>#REF!</v>
      </c>
      <c r="G11" s="3058" t="e">
        <f t="shared" si="0"/>
        <v>#REF!</v>
      </c>
      <c r="H11" s="3059" t="e">
        <f t="shared" si="2"/>
        <v>#REF!</v>
      </c>
      <c r="I11" s="3058" t="e">
        <f>+#REF!+#REF!</f>
        <v>#REF!</v>
      </c>
      <c r="J11" s="3058" t="e">
        <f>+#REF!+#REF!</f>
        <v>#REF!</v>
      </c>
      <c r="K11" s="3058" t="e">
        <f>+#REF!</f>
        <v>#REF!</v>
      </c>
      <c r="L11" s="3058" t="e">
        <f t="shared" si="1"/>
        <v>#REF!</v>
      </c>
      <c r="M11" s="3059" t="e">
        <f t="shared" si="3"/>
        <v>#REF!</v>
      </c>
      <c r="O11" s="21"/>
    </row>
    <row r="12" spans="1:20" ht="18.75" customHeight="1">
      <c r="A12">
        <v>6</v>
      </c>
      <c r="B12" s="2089" t="s">
        <v>180</v>
      </c>
      <c r="C12" s="228" t="s">
        <v>126</v>
      </c>
      <c r="D12" s="3058" t="e">
        <f>+#REF!+#REF!</f>
        <v>#REF!</v>
      </c>
      <c r="E12" s="3058" t="e">
        <f>+#REF!+#REF!</f>
        <v>#REF!</v>
      </c>
      <c r="F12" s="3058" t="e">
        <f>+#REF!</f>
        <v>#REF!</v>
      </c>
      <c r="G12" s="3058" t="e">
        <f t="shared" si="0"/>
        <v>#REF!</v>
      </c>
      <c r="H12" s="3059" t="e">
        <f t="shared" si="2"/>
        <v>#REF!</v>
      </c>
      <c r="I12" s="3058" t="e">
        <f>+#REF!+#REF!</f>
        <v>#REF!</v>
      </c>
      <c r="J12" s="3058" t="e">
        <f>+#REF!+#REF!</f>
        <v>#REF!</v>
      </c>
      <c r="K12" s="3058" t="e">
        <f>+#REF!</f>
        <v>#REF!</v>
      </c>
      <c r="L12" s="3058" t="e">
        <f t="shared" si="1"/>
        <v>#REF!</v>
      </c>
      <c r="M12" s="3059" t="e">
        <f t="shared" si="3"/>
        <v>#REF!</v>
      </c>
      <c r="O12" s="21"/>
    </row>
    <row r="13" spans="1:20">
      <c r="A13">
        <v>7</v>
      </c>
      <c r="B13" s="2089" t="s">
        <v>181</v>
      </c>
      <c r="C13" s="228" t="s">
        <v>127</v>
      </c>
      <c r="D13" s="3058" t="e">
        <f>+#REF!+#REF!</f>
        <v>#REF!</v>
      </c>
      <c r="E13" s="3058" t="e">
        <f>+#REF!+#REF!</f>
        <v>#REF!</v>
      </c>
      <c r="F13" s="3058" t="e">
        <f>+#REF!</f>
        <v>#REF!</v>
      </c>
      <c r="G13" s="3058" t="e">
        <f t="shared" si="0"/>
        <v>#REF!</v>
      </c>
      <c r="H13" s="3059" t="e">
        <f t="shared" si="2"/>
        <v>#REF!</v>
      </c>
      <c r="I13" s="3058" t="e">
        <f>+#REF!+#REF!</f>
        <v>#REF!</v>
      </c>
      <c r="J13" s="3058" t="e">
        <f>+#REF!+#REF!</f>
        <v>#REF!</v>
      </c>
      <c r="K13" s="3058" t="e">
        <f>+#REF!</f>
        <v>#REF!</v>
      </c>
      <c r="L13" s="3058" t="e">
        <f t="shared" si="1"/>
        <v>#REF!</v>
      </c>
      <c r="M13" s="3059" t="e">
        <f t="shared" si="3"/>
        <v>#REF!</v>
      </c>
      <c r="O13" s="21"/>
    </row>
    <row r="14" spans="1:20">
      <c r="A14">
        <v>8</v>
      </c>
      <c r="B14" s="2089" t="s">
        <v>182</v>
      </c>
      <c r="C14" s="228" t="s">
        <v>99</v>
      </c>
      <c r="D14" s="3058" t="e">
        <f>+#REF!+#REF!</f>
        <v>#REF!</v>
      </c>
      <c r="E14" s="3058" t="e">
        <f>+#REF!+#REF!</f>
        <v>#REF!</v>
      </c>
      <c r="F14" s="3058" t="e">
        <f>+#REF!</f>
        <v>#REF!</v>
      </c>
      <c r="G14" s="3058" t="e">
        <f t="shared" si="0"/>
        <v>#REF!</v>
      </c>
      <c r="H14" s="3059" t="e">
        <f t="shared" si="2"/>
        <v>#REF!</v>
      </c>
      <c r="I14" s="3058" t="e">
        <f>+#REF!+#REF!</f>
        <v>#REF!</v>
      </c>
      <c r="J14" s="3058" t="e">
        <f>+#REF!+#REF!</f>
        <v>#REF!</v>
      </c>
      <c r="K14" s="3058" t="e">
        <f>+#REF!</f>
        <v>#REF!</v>
      </c>
      <c r="L14" s="3058" t="e">
        <f t="shared" si="1"/>
        <v>#REF!</v>
      </c>
      <c r="M14" s="3059" t="e">
        <f t="shared" si="3"/>
        <v>#REF!</v>
      </c>
      <c r="O14" s="21"/>
    </row>
    <row r="15" spans="1:20">
      <c r="A15">
        <v>9</v>
      </c>
      <c r="B15" s="2089" t="s">
        <v>183</v>
      </c>
      <c r="C15" s="228" t="s">
        <v>128</v>
      </c>
      <c r="D15" s="3062" t="e">
        <f>+#REF!+#REF!</f>
        <v>#REF!</v>
      </c>
      <c r="E15" s="3062" t="e">
        <f>+#REF!+#REF!</f>
        <v>#REF!</v>
      </c>
      <c r="F15" s="3062" t="e">
        <f>+#REF!</f>
        <v>#REF!</v>
      </c>
      <c r="G15" s="3058" t="e">
        <f t="shared" si="0"/>
        <v>#REF!</v>
      </c>
      <c r="H15" s="2962" t="e">
        <f t="shared" si="2"/>
        <v>#REF!</v>
      </c>
      <c r="I15" s="3062" t="e">
        <f>+#REF!+#REF!</f>
        <v>#REF!</v>
      </c>
      <c r="J15" s="3062" t="e">
        <f>+#REF!+#REF!</f>
        <v>#REF!</v>
      </c>
      <c r="K15" s="3062" t="e">
        <f>+#REF!</f>
        <v>#REF!</v>
      </c>
      <c r="L15" s="3058" t="e">
        <f t="shared" si="1"/>
        <v>#REF!</v>
      </c>
      <c r="M15" s="3059" t="e">
        <f t="shared" si="3"/>
        <v>#REF!</v>
      </c>
      <c r="O15" s="21"/>
    </row>
    <row r="16" spans="1:20">
      <c r="A16">
        <v>10</v>
      </c>
      <c r="B16" s="2089" t="s">
        <v>184</v>
      </c>
      <c r="C16" s="228" t="s">
        <v>129</v>
      </c>
      <c r="D16" s="3058" t="e">
        <f>+#REF!+#REF!</f>
        <v>#REF!</v>
      </c>
      <c r="E16" s="3058" t="e">
        <f>+#REF!+#REF!</f>
        <v>#REF!</v>
      </c>
      <c r="F16" s="3058" t="e">
        <f>+#REF!</f>
        <v>#REF!</v>
      </c>
      <c r="G16" s="3058" t="e">
        <f t="shared" si="0"/>
        <v>#REF!</v>
      </c>
      <c r="H16" s="3059" t="e">
        <f t="shared" si="2"/>
        <v>#REF!</v>
      </c>
      <c r="I16" s="3058" t="e">
        <f>+#REF!+#REF!</f>
        <v>#REF!</v>
      </c>
      <c r="J16" s="3058" t="e">
        <f>+#REF!+#REF!</f>
        <v>#REF!</v>
      </c>
      <c r="K16" s="3058" t="e">
        <f>+#REF!</f>
        <v>#REF!</v>
      </c>
      <c r="L16" s="3058" t="e">
        <f t="shared" si="1"/>
        <v>#REF!</v>
      </c>
      <c r="M16" s="3059" t="e">
        <f t="shared" si="3"/>
        <v>#REF!</v>
      </c>
      <c r="O16" s="21"/>
    </row>
    <row r="17" spans="1:15">
      <c r="A17">
        <v>11</v>
      </c>
      <c r="B17" s="2089" t="s">
        <v>185</v>
      </c>
      <c r="C17" s="228" t="s">
        <v>130</v>
      </c>
      <c r="D17" s="3058" t="e">
        <f>+#REF!+#REF!</f>
        <v>#REF!</v>
      </c>
      <c r="E17" s="3058" t="e">
        <f>+#REF!+#REF!</f>
        <v>#REF!</v>
      </c>
      <c r="F17" s="3058" t="e">
        <f>+#REF!</f>
        <v>#REF!</v>
      </c>
      <c r="G17" s="3058" t="e">
        <f t="shared" si="0"/>
        <v>#REF!</v>
      </c>
      <c r="H17" s="3059" t="e">
        <f t="shared" si="2"/>
        <v>#REF!</v>
      </c>
      <c r="I17" s="3058" t="e">
        <f>+#REF!+#REF!</f>
        <v>#REF!</v>
      </c>
      <c r="J17" s="3062" t="e">
        <f>+#REF!+#REF!</f>
        <v>#REF!</v>
      </c>
      <c r="K17" s="3062" t="e">
        <f>+#REF!</f>
        <v>#REF!</v>
      </c>
      <c r="L17" s="3058" t="e">
        <f t="shared" si="1"/>
        <v>#REF!</v>
      </c>
      <c r="M17" s="3059" t="e">
        <f>L17/$L$28*100</f>
        <v>#REF!</v>
      </c>
      <c r="O17" s="21"/>
    </row>
    <row r="18" spans="1:15">
      <c r="A18">
        <v>12</v>
      </c>
      <c r="B18" s="2089" t="s">
        <v>186</v>
      </c>
      <c r="C18" s="228" t="s">
        <v>131</v>
      </c>
      <c r="D18" s="3058" t="e">
        <f>+#REF!+#REF!</f>
        <v>#REF!</v>
      </c>
      <c r="E18" s="3058" t="e">
        <f>+#REF!+#REF!</f>
        <v>#REF!</v>
      </c>
      <c r="F18" s="3058" t="e">
        <f>+#REF!</f>
        <v>#REF!</v>
      </c>
      <c r="G18" s="3058" t="e">
        <f t="shared" si="0"/>
        <v>#REF!</v>
      </c>
      <c r="H18" s="3059" t="e">
        <f t="shared" si="2"/>
        <v>#REF!</v>
      </c>
      <c r="I18" s="3058" t="e">
        <f>+#REF!+#REF!</f>
        <v>#REF!</v>
      </c>
      <c r="J18" s="3058" t="e">
        <f>+#REF!+#REF!</f>
        <v>#REF!</v>
      </c>
      <c r="K18" s="3058" t="e">
        <f>+#REF!</f>
        <v>#REF!</v>
      </c>
      <c r="L18" s="3058" t="e">
        <f t="shared" si="1"/>
        <v>#REF!</v>
      </c>
      <c r="M18" s="3059" t="e">
        <f t="shared" si="3"/>
        <v>#REF!</v>
      </c>
      <c r="O18" s="21"/>
    </row>
    <row r="19" spans="1:15">
      <c r="A19">
        <v>13</v>
      </c>
      <c r="B19" s="2089" t="s">
        <v>187</v>
      </c>
      <c r="C19" s="228" t="s">
        <v>132</v>
      </c>
      <c r="D19" s="3058" t="e">
        <f>+#REF!+#REF!</f>
        <v>#REF!</v>
      </c>
      <c r="E19" s="3058" t="e">
        <f>+#REF!+#REF!</f>
        <v>#REF!</v>
      </c>
      <c r="F19" s="3058" t="e">
        <f>+#REF!</f>
        <v>#REF!</v>
      </c>
      <c r="G19" s="3058" t="e">
        <f t="shared" si="0"/>
        <v>#REF!</v>
      </c>
      <c r="H19" s="3059" t="e">
        <f t="shared" si="2"/>
        <v>#REF!</v>
      </c>
      <c r="I19" s="3058" t="e">
        <f>+#REF!+#REF!</f>
        <v>#REF!</v>
      </c>
      <c r="J19" s="3058" t="e">
        <f>+#REF!+#REF!</f>
        <v>#REF!</v>
      </c>
      <c r="K19" s="3058" t="e">
        <f>+#REF!</f>
        <v>#REF!</v>
      </c>
      <c r="L19" s="3058" t="e">
        <f>I19+J19-K19</f>
        <v>#REF!</v>
      </c>
      <c r="M19" s="3059" t="e">
        <f t="shared" si="3"/>
        <v>#REF!</v>
      </c>
      <c r="O19" s="21"/>
    </row>
    <row r="20" spans="1:15">
      <c r="A20">
        <v>14</v>
      </c>
      <c r="B20" s="2089" t="s">
        <v>188</v>
      </c>
      <c r="C20" s="228" t="s">
        <v>106</v>
      </c>
      <c r="D20" s="3058" t="e">
        <f>+#REF!+#REF!+#REF!</f>
        <v>#REF!</v>
      </c>
      <c r="E20" s="3058" t="e">
        <f>+#REF!</f>
        <v>#REF!</v>
      </c>
      <c r="F20" s="3058" t="e">
        <f>+#REF!</f>
        <v>#REF!</v>
      </c>
      <c r="G20" s="3058" t="e">
        <f t="shared" si="0"/>
        <v>#REF!</v>
      </c>
      <c r="H20" s="3059" t="e">
        <f t="shared" si="2"/>
        <v>#REF!</v>
      </c>
      <c r="I20" s="3058" t="e">
        <f>+#REF!+#REF!+#REF!</f>
        <v>#REF!</v>
      </c>
      <c r="J20" s="3058" t="e">
        <f>+#REF!</f>
        <v>#REF!</v>
      </c>
      <c r="K20" s="3058" t="e">
        <f>+#REF!</f>
        <v>#REF!</v>
      </c>
      <c r="L20" s="3058" t="e">
        <f t="shared" si="1"/>
        <v>#REF!</v>
      </c>
      <c r="M20" s="3059" t="e">
        <f t="shared" si="3"/>
        <v>#REF!</v>
      </c>
      <c r="O20" s="21"/>
    </row>
    <row r="21" spans="1:15">
      <c r="A21">
        <v>15</v>
      </c>
      <c r="B21" s="2089" t="s">
        <v>189</v>
      </c>
      <c r="C21" s="228" t="s">
        <v>133</v>
      </c>
      <c r="D21" s="3058" t="e">
        <f>+#REF!+#REF!</f>
        <v>#REF!</v>
      </c>
      <c r="E21" s="3058" t="e">
        <f>+#REF!+#REF!</f>
        <v>#REF!</v>
      </c>
      <c r="F21" s="3058" t="e">
        <f>+#REF!</f>
        <v>#REF!</v>
      </c>
      <c r="G21" s="3058" t="e">
        <f t="shared" si="0"/>
        <v>#REF!</v>
      </c>
      <c r="H21" s="3059" t="e">
        <f t="shared" si="2"/>
        <v>#REF!</v>
      </c>
      <c r="I21" s="3058" t="e">
        <f>+#REF!+#REF!</f>
        <v>#REF!</v>
      </c>
      <c r="J21" s="3058" t="e">
        <f>+#REF!+#REF!</f>
        <v>#REF!</v>
      </c>
      <c r="K21" s="3058" t="e">
        <f>+#REF!</f>
        <v>#REF!</v>
      </c>
      <c r="L21" s="3058" t="e">
        <f t="shared" si="1"/>
        <v>#REF!</v>
      </c>
      <c r="M21" s="3059" t="e">
        <f t="shared" si="3"/>
        <v>#REF!</v>
      </c>
      <c r="N21" s="18"/>
      <c r="O21" s="229"/>
    </row>
    <row r="22" spans="1:15">
      <c r="A22">
        <v>16</v>
      </c>
      <c r="B22" s="2089" t="s">
        <v>190</v>
      </c>
      <c r="C22" s="228" t="s">
        <v>109</v>
      </c>
      <c r="D22" s="3058" t="e">
        <f>+#REF!+#REF!</f>
        <v>#REF!</v>
      </c>
      <c r="E22" s="3058" t="e">
        <f>+#REF!+#REF!</f>
        <v>#REF!</v>
      </c>
      <c r="F22" s="3058" t="e">
        <f>+#REF!</f>
        <v>#REF!</v>
      </c>
      <c r="G22" s="3058" t="e">
        <f t="shared" si="0"/>
        <v>#REF!</v>
      </c>
      <c r="H22" s="3059" t="e">
        <f t="shared" si="2"/>
        <v>#REF!</v>
      </c>
      <c r="I22" s="3058" t="e">
        <f>+#REF!+#REF!</f>
        <v>#REF!</v>
      </c>
      <c r="J22" s="3058" t="e">
        <f>+#REF!+#REF!</f>
        <v>#REF!</v>
      </c>
      <c r="K22" s="3058" t="e">
        <f>+#REF!</f>
        <v>#REF!</v>
      </c>
      <c r="L22" s="3058" t="e">
        <f t="shared" si="1"/>
        <v>#REF!</v>
      </c>
      <c r="M22" s="3059" t="e">
        <f t="shared" si="3"/>
        <v>#REF!</v>
      </c>
    </row>
    <row r="23" spans="1:15">
      <c r="A23">
        <v>17</v>
      </c>
      <c r="B23" s="2089" t="s">
        <v>191</v>
      </c>
      <c r="C23" s="228" t="s">
        <v>111</v>
      </c>
      <c r="D23" s="3058" t="e">
        <f>+#REF!+#REF!</f>
        <v>#REF!</v>
      </c>
      <c r="E23" s="3058" t="e">
        <f>+#REF!+#REF!</f>
        <v>#REF!</v>
      </c>
      <c r="F23" s="3058" t="e">
        <f>+#REF!</f>
        <v>#REF!</v>
      </c>
      <c r="G23" s="3058" t="e">
        <f t="shared" si="0"/>
        <v>#REF!</v>
      </c>
      <c r="H23" s="3059" t="e">
        <f t="shared" si="2"/>
        <v>#REF!</v>
      </c>
      <c r="I23" s="3058" t="e">
        <f>+#REF!+#REF!</f>
        <v>#REF!</v>
      </c>
      <c r="J23" s="3058" t="e">
        <f>+#REF!+#REF!</f>
        <v>#REF!</v>
      </c>
      <c r="K23" s="3058" t="e">
        <f>+#REF!</f>
        <v>#REF!</v>
      </c>
      <c r="L23" s="3058" t="e">
        <f t="shared" si="1"/>
        <v>#REF!</v>
      </c>
      <c r="M23" s="3059" t="e">
        <f t="shared" si="3"/>
        <v>#REF!</v>
      </c>
    </row>
    <row r="24" spans="1:15">
      <c r="A24">
        <v>18</v>
      </c>
      <c r="B24" s="2089" t="s">
        <v>192</v>
      </c>
      <c r="C24" s="228" t="s">
        <v>112</v>
      </c>
      <c r="D24" s="3058" t="e">
        <f>+#REF!+#REF!</f>
        <v>#REF!</v>
      </c>
      <c r="E24" s="3058" t="e">
        <f>+#REF!+#REF!</f>
        <v>#REF!</v>
      </c>
      <c r="F24" s="3058" t="e">
        <f>+#REF!</f>
        <v>#REF!</v>
      </c>
      <c r="G24" s="3058" t="e">
        <f t="shared" si="0"/>
        <v>#REF!</v>
      </c>
      <c r="H24" s="2962" t="e">
        <f t="shared" si="2"/>
        <v>#REF!</v>
      </c>
      <c r="I24" s="3058" t="e">
        <f>+#REF!+#REF!</f>
        <v>#REF!</v>
      </c>
      <c r="J24" s="3058" t="e">
        <f>+#REF!+#REF!</f>
        <v>#REF!</v>
      </c>
      <c r="K24" s="3058" t="e">
        <f>+#REF!</f>
        <v>#REF!</v>
      </c>
      <c r="L24" s="3058" t="e">
        <f t="shared" si="1"/>
        <v>#REF!</v>
      </c>
      <c r="M24" s="3059" t="e">
        <f t="shared" si="3"/>
        <v>#REF!</v>
      </c>
    </row>
    <row r="25" spans="1:15">
      <c r="A25">
        <v>19</v>
      </c>
      <c r="B25" s="2089" t="s">
        <v>193</v>
      </c>
      <c r="C25" s="228" t="s">
        <v>115</v>
      </c>
      <c r="D25" s="3058" t="e">
        <f>+#REF!+#REF!</f>
        <v>#REF!</v>
      </c>
      <c r="E25" s="3058" t="e">
        <f>+#REF!+#REF!</f>
        <v>#REF!</v>
      </c>
      <c r="F25" s="3058" t="e">
        <f>+#REF!</f>
        <v>#REF!</v>
      </c>
      <c r="G25" s="3058" t="e">
        <f t="shared" si="0"/>
        <v>#REF!</v>
      </c>
      <c r="H25" s="3059" t="e">
        <f t="shared" si="2"/>
        <v>#REF!</v>
      </c>
      <c r="I25" s="3058" t="e">
        <f>+#REF!+#REF!</f>
        <v>#REF!</v>
      </c>
      <c r="J25" s="3058" t="e">
        <f>+#REF!+#REF!</f>
        <v>#REF!</v>
      </c>
      <c r="K25" s="3058" t="e">
        <f>+#REF!</f>
        <v>#REF!</v>
      </c>
      <c r="L25" s="3058" t="e">
        <f t="shared" si="1"/>
        <v>#REF!</v>
      </c>
      <c r="M25" s="3059" t="e">
        <f t="shared" si="3"/>
        <v>#REF!</v>
      </c>
    </row>
    <row r="26" spans="1:15">
      <c r="A26">
        <v>20</v>
      </c>
      <c r="B26" s="2089" t="s">
        <v>194</v>
      </c>
      <c r="C26" s="228" t="s">
        <v>134</v>
      </c>
      <c r="D26" s="3058" t="e">
        <f>+#REF!+#REF!</f>
        <v>#REF!</v>
      </c>
      <c r="E26" s="3058" t="e">
        <f>+#REF!+#REF!</f>
        <v>#REF!</v>
      </c>
      <c r="F26" s="3058" t="e">
        <f>+#REF!</f>
        <v>#REF!</v>
      </c>
      <c r="G26" s="3058" t="e">
        <f t="shared" si="0"/>
        <v>#REF!</v>
      </c>
      <c r="H26" s="3059" t="e">
        <f t="shared" si="2"/>
        <v>#REF!</v>
      </c>
      <c r="I26" s="3058" t="e">
        <f>+#REF!+#REF!</f>
        <v>#REF!</v>
      </c>
      <c r="J26" s="3058" t="e">
        <f>+#REF!+#REF!</f>
        <v>#REF!</v>
      </c>
      <c r="K26" s="3058" t="e">
        <f>+#REF!</f>
        <v>#REF!</v>
      </c>
      <c r="L26" s="3058" t="e">
        <f t="shared" si="1"/>
        <v>#REF!</v>
      </c>
      <c r="M26" s="3059" t="e">
        <f t="shared" si="3"/>
        <v>#REF!</v>
      </c>
    </row>
    <row r="27" spans="1:15">
      <c r="A27">
        <v>21</v>
      </c>
      <c r="B27" s="2089" t="s">
        <v>195</v>
      </c>
      <c r="C27" s="228" t="s">
        <v>135</v>
      </c>
      <c r="D27" s="3058" t="e">
        <f>+#REF!+#REF!</f>
        <v>#REF!</v>
      </c>
      <c r="E27" s="3058" t="e">
        <f>+#REF!+#REF!</f>
        <v>#REF!</v>
      </c>
      <c r="F27" s="3058" t="e">
        <f>+#REF!</f>
        <v>#REF!</v>
      </c>
      <c r="G27" s="3058" t="e">
        <f t="shared" si="0"/>
        <v>#REF!</v>
      </c>
      <c r="H27" s="3059" t="e">
        <f t="shared" si="2"/>
        <v>#REF!</v>
      </c>
      <c r="I27" s="3058" t="e">
        <f>+#REF!+#REF!</f>
        <v>#REF!</v>
      </c>
      <c r="J27" s="3058" t="e">
        <f>+#REF!+#REF!</f>
        <v>#REF!</v>
      </c>
      <c r="K27" s="3058" t="e">
        <f>+#REF!</f>
        <v>#REF!</v>
      </c>
      <c r="L27" s="3058" t="e">
        <f t="shared" si="1"/>
        <v>#REF!</v>
      </c>
      <c r="M27" s="3059" t="e">
        <f t="shared" si="3"/>
        <v>#REF!</v>
      </c>
    </row>
    <row r="28" spans="1:15">
      <c r="B28" s="2094" t="s">
        <v>158</v>
      </c>
      <c r="C28" s="2094" t="s">
        <v>158</v>
      </c>
      <c r="D28" s="3286" t="e">
        <f t="shared" ref="D28:M28" si="4">SUM(D7:D27)</f>
        <v>#REF!</v>
      </c>
      <c r="E28" s="3286" t="e">
        <f t="shared" si="4"/>
        <v>#REF!</v>
      </c>
      <c r="F28" s="3286" t="e">
        <f t="shared" si="4"/>
        <v>#REF!</v>
      </c>
      <c r="G28" s="3286" t="e">
        <f t="shared" si="4"/>
        <v>#REF!</v>
      </c>
      <c r="H28" s="3287" t="e">
        <f t="shared" si="4"/>
        <v>#REF!</v>
      </c>
      <c r="I28" s="3286" t="e">
        <f t="shared" si="4"/>
        <v>#REF!</v>
      </c>
      <c r="J28" s="3286" t="e">
        <f t="shared" si="4"/>
        <v>#REF!</v>
      </c>
      <c r="K28" s="3286" t="e">
        <f>SUM(K7:K27)</f>
        <v>#REF!</v>
      </c>
      <c r="L28" s="3286" t="e">
        <f t="shared" si="4"/>
        <v>#REF!</v>
      </c>
      <c r="M28" s="3287" t="e">
        <f t="shared" si="4"/>
        <v>#REF!</v>
      </c>
      <c r="N28" s="16" t="e">
        <f>(L28-G28)/G28</f>
        <v>#REF!</v>
      </c>
    </row>
    <row r="29" spans="1:15">
      <c r="B29" s="4"/>
      <c r="C29" s="4"/>
      <c r="D29" s="230" t="e">
        <f>+D28/I41*100</f>
        <v>#REF!</v>
      </c>
      <c r="E29" s="121" t="e">
        <f>+E28/I41*100</f>
        <v>#REF!</v>
      </c>
      <c r="G29" s="4"/>
      <c r="H29" s="4"/>
      <c r="I29" s="230" t="e">
        <f>+I28/J41*100</f>
        <v>#REF!</v>
      </c>
      <c r="J29" s="230" t="e">
        <f>+J28/J41*100</f>
        <v>#REF!</v>
      </c>
      <c r="K29" s="5"/>
      <c r="L29" s="5"/>
      <c r="M29" s="4"/>
      <c r="O29" s="231"/>
    </row>
    <row r="30" spans="1:15">
      <c r="I30" s="16"/>
      <c r="J30" s="16"/>
      <c r="K30" s="16"/>
      <c r="L30" s="16"/>
    </row>
    <row r="31" spans="1:15">
      <c r="B31" s="232"/>
      <c r="C31" s="232" t="s">
        <v>612</v>
      </c>
      <c r="D31" s="232"/>
      <c r="E31" s="175"/>
    </row>
    <row r="32" spans="1:15">
      <c r="B32" s="204"/>
      <c r="C32" s="204" t="s">
        <v>613</v>
      </c>
      <c r="D32" s="204"/>
      <c r="E32" s="175"/>
    </row>
    <row r="33" spans="2:13">
      <c r="B33" s="232"/>
      <c r="C33" s="232" t="s">
        <v>147</v>
      </c>
      <c r="D33" s="232"/>
      <c r="E33" s="175"/>
    </row>
    <row r="34" spans="2:13">
      <c r="B34" s="232"/>
      <c r="C34" s="3936" t="s">
        <v>927</v>
      </c>
      <c r="D34" s="3936"/>
      <c r="E34" s="3936"/>
      <c r="F34" s="3936"/>
      <c r="G34" s="3936"/>
      <c r="H34" s="3936"/>
      <c r="I34" s="3936"/>
      <c r="J34" s="3936"/>
      <c r="K34" s="3936"/>
      <c r="L34" s="3936"/>
      <c r="M34" s="3936"/>
    </row>
    <row r="35" spans="2:13">
      <c r="B35" s="232"/>
      <c r="C35" s="3494" t="s">
        <v>928</v>
      </c>
      <c r="D35" s="3494"/>
      <c r="E35" s="3494"/>
      <c r="F35" s="3494"/>
      <c r="G35" s="3494"/>
      <c r="H35" s="3494"/>
      <c r="I35" s="3494"/>
      <c r="J35" s="3494"/>
      <c r="K35" s="3494"/>
      <c r="L35" s="3494"/>
      <c r="M35" s="3494"/>
    </row>
    <row r="36" spans="2:13">
      <c r="B36" s="233"/>
      <c r="C36" s="3494"/>
      <c r="D36" s="3494"/>
      <c r="E36" s="3494"/>
      <c r="F36" s="3494"/>
      <c r="G36" s="3494"/>
      <c r="H36" s="3494"/>
      <c r="I36" s="3494"/>
      <c r="J36" s="3494"/>
      <c r="K36" s="3494"/>
      <c r="L36" s="3494"/>
      <c r="M36" s="3494"/>
    </row>
    <row r="37" spans="2:13">
      <c r="B37" s="233"/>
      <c r="C37" s="233" t="s">
        <v>929</v>
      </c>
      <c r="D37" s="233"/>
      <c r="E37" s="175"/>
    </row>
    <row r="38" spans="2:13">
      <c r="B38" s="175"/>
      <c r="C38" s="3937" t="s">
        <v>930</v>
      </c>
      <c r="D38" s="3937"/>
      <c r="E38" s="3937"/>
      <c r="F38" s="3937"/>
      <c r="G38" s="3937"/>
      <c r="H38" s="3937"/>
      <c r="I38" s="3937"/>
      <c r="J38" s="3937"/>
      <c r="K38" s="3937"/>
      <c r="L38" s="3937"/>
      <c r="M38" s="3937"/>
    </row>
    <row r="39" spans="2:13" ht="32.25" customHeight="1">
      <c r="B39" s="234"/>
      <c r="C39" s="3841" t="s">
        <v>718</v>
      </c>
      <c r="D39" s="3841"/>
      <c r="E39" s="3841"/>
      <c r="F39" s="3841"/>
      <c r="G39" s="3841"/>
      <c r="H39" s="3841"/>
      <c r="I39" s="3841"/>
      <c r="J39" s="3841"/>
      <c r="K39" s="3841"/>
      <c r="L39" s="3841"/>
      <c r="M39" s="3841"/>
    </row>
    <row r="40" spans="2:13" ht="32.25" customHeight="1">
      <c r="B40" s="175"/>
      <c r="C40" s="175"/>
      <c r="D40" s="175"/>
      <c r="E40" s="175"/>
      <c r="J40" s="9" t="e">
        <f>+J39/E28*100</f>
        <v>#REF!</v>
      </c>
    </row>
    <row r="41" spans="2:13">
      <c r="D41" s="81" t="e">
        <f>+'New - LT'!C20</f>
        <v>#REF!</v>
      </c>
      <c r="E41" s="81" t="e">
        <f>+'New GI'!C23</f>
        <v>#REF!</v>
      </c>
      <c r="I41" s="14" t="e">
        <f>+D28+E28</f>
        <v>#REF!</v>
      </c>
      <c r="J41" s="14" t="e">
        <f>+I28+J28</f>
        <v>#REF!</v>
      </c>
    </row>
    <row r="42" spans="2:13">
      <c r="E42" s="14" t="e">
        <f>+D41+E41</f>
        <v>#REF!</v>
      </c>
    </row>
    <row r="43" spans="2:13">
      <c r="J43" s="81" t="e">
        <f>+'New - LT'!F20</f>
        <v>#REF!</v>
      </c>
      <c r="K43" s="81" t="e">
        <f>+'New GI'!F23</f>
        <v>#REF!</v>
      </c>
    </row>
    <row r="44" spans="2:13">
      <c r="K44" s="14" t="e">
        <f>+J43+K43</f>
        <v>#REF!</v>
      </c>
    </row>
    <row r="46" spans="2:13">
      <c r="E46" s="250" t="s">
        <v>931</v>
      </c>
    </row>
  </sheetData>
  <customSheetViews>
    <customSheetView guid="{5E394B0B-7867-4722-9497-A93AB2A9A773}" showPageBreaks="1" state="hidden">
      <selection activeCell="Q58" sqref="Q58"/>
      <colBreaks count="1" manualBreakCount="1">
        <brk id="13" max="1048575" man="1"/>
      </colBreaks>
      <pageMargins left="0" right="0" top="0" bottom="0" header="0" footer="0"/>
      <pageSetup scale="92" orientation="landscape" r:id="rId1"/>
    </customSheetView>
    <customSheetView guid="{B1E1B596-A9A1-411D-A882-A48CB025B978}" state="hidden">
      <selection activeCell="Q58" sqref="Q58"/>
      <colBreaks count="1" manualBreakCount="1">
        <brk id="13" max="1048575" man="1"/>
      </colBreaks>
      <pageMargins left="0" right="0" top="0" bottom="0" header="0" footer="0"/>
      <pageSetup scale="92" orientation="landscape" r:id="rId2"/>
    </customSheetView>
    <customSheetView guid="{E82B35BE-4719-4C53-A9EF-1CC6F153A6F3}" state="hidden">
      <selection activeCell="Q58" sqref="Q58"/>
      <colBreaks count="1" manualBreakCount="1">
        <brk id="13" max="1048575" man="1"/>
      </colBreaks>
      <pageMargins left="0" right="0" top="0" bottom="0" header="0" footer="0"/>
      <pageSetup scale="92" orientation="landscape" r:id="rId3"/>
    </customSheetView>
    <customSheetView guid="{B4A67912-05A8-4D20-958A-E8812294BB39}" scale="120" topLeftCell="A10">
      <selection activeCell="I27" sqref="I27"/>
      <pageMargins left="0" right="0" top="0" bottom="0" header="0" footer="0"/>
      <pageSetup orientation="landscape" r:id="rId4"/>
    </customSheetView>
    <customSheetView guid="{F7C0CA98-A3B8-42B1-9940-E27294444C95}" showPageBreaks="1" topLeftCell="A13">
      <selection activeCell="I15" sqref="I15"/>
      <pageMargins left="0" right="0" top="0" bottom="0" header="0" footer="0"/>
      <pageSetup orientation="landscape" r:id="rId5"/>
    </customSheetView>
    <customSheetView guid="{B8318771-9061-42D8-AFEA-0FF27D639C94}" scale="120">
      <selection activeCell="I14" sqref="I14"/>
      <pageMargins left="0" right="0" top="0" bottom="0" header="0" footer="0"/>
      <pageSetup orientation="landscape" r:id="rId6"/>
    </customSheetView>
    <customSheetView guid="{3199A5C7-1303-43ED-A74D-8C27C3B99779}" scale="120" showPageBreaks="1" topLeftCell="A40">
      <selection activeCell="G30" sqref="G30"/>
      <pageMargins left="0" right="0" top="0" bottom="0" header="0" footer="0"/>
      <pageSetup orientation="landscape" r:id="rId7"/>
    </customSheetView>
    <customSheetView guid="{C4538C36-F6A2-4603-9311-8D97FB7695CB}" scale="120" topLeftCell="A10">
      <selection activeCell="G26" sqref="G26"/>
      <pageMargins left="0" right="0" top="0" bottom="0" header="0" footer="0"/>
      <pageSetup orientation="landscape" r:id="rId8"/>
    </customSheetView>
    <customSheetView guid="{F66B1C5E-2E3D-4890-AA4B-3A6E976CA29E}" scale="120">
      <selection activeCell="G26" sqref="G26"/>
      <pageMargins left="0" right="0" top="0" bottom="0" header="0" footer="0"/>
      <pageSetup orientation="landscape" r:id="rId9"/>
    </customSheetView>
    <customSheetView guid="{D020F570-D9CD-4C16-921E-7638848CF929}" scale="120">
      <selection activeCell="H27" sqref="H27"/>
      <pageMargins left="0" right="0" top="0" bottom="0" header="0" footer="0"/>
      <pageSetup orientation="landscape" r:id="rId10"/>
    </customSheetView>
    <customSheetView guid="{46F31544-8E6F-41C5-8628-1D6EE074AF15}" state="hidden">
      <selection activeCell="Q58" sqref="Q58"/>
      <colBreaks count="1" manualBreakCount="1">
        <brk id="13" max="1048575" man="1"/>
      </colBreaks>
      <pageMargins left="0" right="0" top="0" bottom="0" header="0" footer="0"/>
      <pageSetup scale="92" orientation="landscape" r:id="rId11"/>
    </customSheetView>
    <customSheetView guid="{B2E1A0C6-5BA1-4CF1-B412-16D81FCDF11F}" state="hidden">
      <selection activeCell="Q58" sqref="Q58"/>
      <colBreaks count="1" manualBreakCount="1">
        <brk id="13" max="1048575" man="1"/>
      </colBreaks>
      <pageMargins left="0" right="0" top="0" bottom="0" header="0" footer="0"/>
      <pageSetup scale="92" orientation="landscape" r:id="rId12"/>
    </customSheetView>
    <customSheetView guid="{967E0446-E234-427F-8E57-7FE287052E2E}" showPageBreaks="1" state="hidden">
      <selection activeCell="Q58" sqref="Q58"/>
      <colBreaks count="1" manualBreakCount="1">
        <brk id="13" max="1048575" man="1"/>
      </colBreaks>
      <pageMargins left="0" right="0" top="0" bottom="0" header="0" footer="0"/>
      <pageSetup scale="92" orientation="landscape" r:id="rId13"/>
    </customSheetView>
    <customSheetView guid="{2ACFE167-4169-43A6-9AB2-59D5A2DA2DB4}" showPageBreaks="1" state="hidden">
      <selection activeCell="Q58" sqref="Q58"/>
      <colBreaks count="1" manualBreakCount="1">
        <brk id="13" max="1048575" man="1"/>
      </colBreaks>
      <pageMargins left="0" right="0" top="0" bottom="0" header="0" footer="0"/>
      <pageSetup scale="92" orientation="landscape" r:id="rId14"/>
    </customSheetView>
  </customSheetViews>
  <mergeCells count="9">
    <mergeCell ref="C4:M4"/>
    <mergeCell ref="C5:C6"/>
    <mergeCell ref="D5:H5"/>
    <mergeCell ref="I5:M5"/>
    <mergeCell ref="B5:B6"/>
    <mergeCell ref="C34:M34"/>
    <mergeCell ref="C35:M36"/>
    <mergeCell ref="C39:M39"/>
    <mergeCell ref="C38:M38"/>
  </mergeCells>
  <hyperlinks>
    <hyperlink ref="I1" location="'List of tables'!A1" display="'List of tables'!A1"/>
  </hyperlinks>
  <pageMargins left="0.31" right="0.2" top="0.65" bottom="0.75" header="0.3" footer="0.3"/>
  <pageSetup scale="92" orientation="landscape" r:id="rId15"/>
  <colBreaks count="1" manualBreakCount="1">
    <brk id="13" max="1048575" man="1"/>
  </colBreaks>
  <drawing r:id="rId16"/>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tabColor rgb="FF00B050"/>
  </sheetPr>
  <dimension ref="A2:Q145"/>
  <sheetViews>
    <sheetView topLeftCell="J13" workbookViewId="0">
      <selection activeCell="C6" sqref="C6"/>
    </sheetView>
  </sheetViews>
  <sheetFormatPr defaultRowHeight="15"/>
  <cols>
    <col min="2" max="2" width="13.7109375" customWidth="1"/>
    <col min="3" max="3" width="11.42578125" customWidth="1"/>
    <col min="4" max="4" width="12.85546875" customWidth="1"/>
    <col min="5" max="5" width="12.7109375" customWidth="1"/>
    <col min="6" max="6" width="13.28515625" customWidth="1"/>
    <col min="7" max="7" width="13.42578125" customWidth="1"/>
    <col min="8" max="8" width="12.5703125" customWidth="1"/>
    <col min="9" max="9" width="13.140625" customWidth="1"/>
    <col min="10" max="10" width="15.28515625" customWidth="1"/>
    <col min="11" max="11" width="15" customWidth="1"/>
    <col min="12" max="12" width="17.5703125" customWidth="1"/>
    <col min="13" max="13" width="11.140625" customWidth="1"/>
    <col min="14" max="14" width="12.7109375" customWidth="1"/>
    <col min="15" max="15" width="12.42578125" customWidth="1"/>
  </cols>
  <sheetData>
    <row r="2" spans="1:17" s="52" customFormat="1" ht="20.25" customHeight="1">
      <c r="A2" s="51">
        <v>1</v>
      </c>
      <c r="B2" s="62" t="s">
        <v>932</v>
      </c>
    </row>
    <row r="3" spans="1:17" s="54" customFormat="1" ht="12.75">
      <c r="A3" s="53"/>
    </row>
    <row r="4" spans="1:17" s="54" customFormat="1" ht="12.75">
      <c r="A4" s="53"/>
      <c r="B4" s="3401" t="s">
        <v>789</v>
      </c>
      <c r="C4" s="3940" t="s">
        <v>933</v>
      </c>
      <c r="D4" s="3940"/>
      <c r="E4" s="3940"/>
      <c r="F4" s="3940"/>
      <c r="G4" s="3940"/>
      <c r="H4" s="3940"/>
      <c r="I4" s="3940"/>
    </row>
    <row r="5" spans="1:17" s="54" customFormat="1" ht="120">
      <c r="A5" s="53"/>
      <c r="B5" s="210"/>
      <c r="C5" s="209" t="s">
        <v>800</v>
      </c>
      <c r="D5" s="209" t="s">
        <v>801</v>
      </c>
      <c r="E5" s="209" t="s">
        <v>802</v>
      </c>
      <c r="F5" s="59" t="s">
        <v>803</v>
      </c>
      <c r="G5" s="3288" t="s">
        <v>807</v>
      </c>
      <c r="H5" s="3288" t="s">
        <v>808</v>
      </c>
      <c r="I5" s="3288" t="s">
        <v>806</v>
      </c>
      <c r="J5" s="3029" t="s">
        <v>934</v>
      </c>
      <c r="K5" s="3289" t="s">
        <v>935</v>
      </c>
      <c r="L5" s="3082" t="s">
        <v>936</v>
      </c>
      <c r="M5" s="3029" t="s">
        <v>937</v>
      </c>
      <c r="O5" s="3290" t="s">
        <v>938</v>
      </c>
      <c r="P5" s="3290" t="s">
        <v>939</v>
      </c>
    </row>
    <row r="6" spans="1:17" s="52" customFormat="1" ht="20.100000000000001" customHeight="1">
      <c r="A6" s="37"/>
      <c r="B6" s="3291">
        <v>2012</v>
      </c>
      <c r="C6" s="3227">
        <f t="shared" ref="C6:I10" si="0">+C15+C24+C33+C42+C51+C60+C69+C78+C87+C96+C105+C114+C123+C132+C141</f>
        <v>93178</v>
      </c>
      <c r="D6" s="3227">
        <f t="shared" si="0"/>
        <v>1645</v>
      </c>
      <c r="E6" s="3227">
        <f t="shared" si="0"/>
        <v>142</v>
      </c>
      <c r="F6" s="3227">
        <f t="shared" si="0"/>
        <v>1318</v>
      </c>
      <c r="G6" s="3227">
        <f t="shared" si="0"/>
        <v>0</v>
      </c>
      <c r="H6" s="3227">
        <f t="shared" si="0"/>
        <v>0</v>
      </c>
      <c r="I6" s="3227">
        <f t="shared" si="0"/>
        <v>16</v>
      </c>
      <c r="J6" s="2016">
        <f>SUM(C6:I6)</f>
        <v>96299</v>
      </c>
      <c r="K6" s="1988" t="e">
        <f>+#REF!</f>
        <v>#REF!</v>
      </c>
      <c r="L6" s="1988" t="e">
        <f>+#REF!</f>
        <v>#REF!</v>
      </c>
      <c r="M6" s="1988" t="e">
        <f>+#REF!</f>
        <v>#REF!</v>
      </c>
      <c r="O6" s="3292" t="e">
        <f>+J10/K10*100</f>
        <v>#REF!</v>
      </c>
      <c r="P6" s="3293" t="e">
        <f>+L10/M10*100</f>
        <v>#REF!</v>
      </c>
      <c r="Q6" s="3291">
        <v>2008</v>
      </c>
    </row>
    <row r="7" spans="1:17" s="52" customFormat="1" ht="20.100000000000001" customHeight="1">
      <c r="A7" s="37"/>
      <c r="B7" s="3291">
        <v>2011</v>
      </c>
      <c r="C7" s="3227">
        <f t="shared" si="0"/>
        <v>79199</v>
      </c>
      <c r="D7" s="3227">
        <f t="shared" si="0"/>
        <v>2498</v>
      </c>
      <c r="E7" s="3227">
        <f t="shared" si="0"/>
        <v>148</v>
      </c>
      <c r="F7" s="3227">
        <f t="shared" si="0"/>
        <v>186</v>
      </c>
      <c r="G7" s="3227">
        <f t="shared" si="0"/>
        <v>0</v>
      </c>
      <c r="H7" s="3227">
        <f t="shared" si="0"/>
        <v>0</v>
      </c>
      <c r="I7" s="3227">
        <f t="shared" si="0"/>
        <v>71</v>
      </c>
      <c r="J7" s="2016">
        <f>SUM(C7:I7)</f>
        <v>82102</v>
      </c>
      <c r="K7" s="1988" t="e">
        <f>+#REF!</f>
        <v>#REF!</v>
      </c>
      <c r="L7" s="1988" t="e">
        <f>+#REF!</f>
        <v>#REF!</v>
      </c>
      <c r="M7" s="1988" t="e">
        <f>+#REF!</f>
        <v>#REF!</v>
      </c>
      <c r="O7" s="3292" t="e">
        <f>+J9/K9*100</f>
        <v>#REF!</v>
      </c>
      <c r="P7" s="3293" t="e">
        <f>+L9/M9*100</f>
        <v>#REF!</v>
      </c>
      <c r="Q7" s="3291">
        <v>2009</v>
      </c>
    </row>
    <row r="8" spans="1:17" s="52" customFormat="1" ht="20.100000000000001" customHeight="1">
      <c r="A8" s="37"/>
      <c r="B8" s="3291">
        <v>2010</v>
      </c>
      <c r="C8" s="3227">
        <f t="shared" si="0"/>
        <v>82953</v>
      </c>
      <c r="D8" s="3227">
        <f t="shared" si="0"/>
        <v>1220</v>
      </c>
      <c r="E8" s="3227">
        <f t="shared" si="0"/>
        <v>208</v>
      </c>
      <c r="F8" s="3227">
        <f t="shared" si="0"/>
        <v>0</v>
      </c>
      <c r="G8" s="3227">
        <f t="shared" si="0"/>
        <v>0</v>
      </c>
      <c r="H8" s="3227">
        <f t="shared" si="0"/>
        <v>0</v>
      </c>
      <c r="I8" s="3227">
        <f t="shared" si="0"/>
        <v>32</v>
      </c>
      <c r="J8" s="2016">
        <f>SUM(C8:I8)</f>
        <v>84413</v>
      </c>
      <c r="K8" s="1988" t="e">
        <f>+#REF!</f>
        <v>#REF!</v>
      </c>
      <c r="L8" s="1988" t="e">
        <f>+#REF!</f>
        <v>#REF!</v>
      </c>
      <c r="M8" s="1988" t="e">
        <f>+#REF!</f>
        <v>#REF!</v>
      </c>
      <c r="O8" s="3292" t="e">
        <f>+J8/K8*100</f>
        <v>#REF!</v>
      </c>
      <c r="P8" s="3293" t="e">
        <f>+L8/M8*100</f>
        <v>#REF!</v>
      </c>
      <c r="Q8" s="3291">
        <v>2010</v>
      </c>
    </row>
    <row r="9" spans="1:17" s="52" customFormat="1" ht="20.100000000000001" customHeight="1">
      <c r="A9" s="37"/>
      <c r="B9" s="3291">
        <v>2009</v>
      </c>
      <c r="C9" s="3227">
        <f t="shared" si="0"/>
        <v>92959</v>
      </c>
      <c r="D9" s="3227">
        <f t="shared" si="0"/>
        <v>801</v>
      </c>
      <c r="E9" s="3227">
        <f t="shared" si="0"/>
        <v>199</v>
      </c>
      <c r="F9" s="3227">
        <f t="shared" si="0"/>
        <v>2</v>
      </c>
      <c r="G9" s="3227">
        <f t="shared" si="0"/>
        <v>0</v>
      </c>
      <c r="H9" s="3227">
        <f t="shared" si="0"/>
        <v>0</v>
      </c>
      <c r="I9" s="3227">
        <f t="shared" si="0"/>
        <v>154</v>
      </c>
      <c r="J9" s="2016">
        <f>SUM(C9:I9)</f>
        <v>94115</v>
      </c>
      <c r="K9" s="1988" t="e">
        <f>+#REF!</f>
        <v>#REF!</v>
      </c>
      <c r="L9" s="1988" t="e">
        <f>+#REF!</f>
        <v>#REF!</v>
      </c>
      <c r="M9" s="1988" t="e">
        <f>+#REF!</f>
        <v>#REF!</v>
      </c>
      <c r="O9" s="3292" t="e">
        <f>+J7/K7*100</f>
        <v>#REF!</v>
      </c>
      <c r="P9" s="3293" t="e">
        <f>+L7/M7*100</f>
        <v>#REF!</v>
      </c>
      <c r="Q9" s="3291" t="s">
        <v>887</v>
      </c>
    </row>
    <row r="10" spans="1:17" s="52" customFormat="1" ht="20.100000000000001" customHeight="1">
      <c r="A10" s="37"/>
      <c r="B10" s="3291">
        <v>2008</v>
      </c>
      <c r="C10" s="3227">
        <f t="shared" si="0"/>
        <v>107957</v>
      </c>
      <c r="D10" s="3227">
        <f t="shared" si="0"/>
        <v>558</v>
      </c>
      <c r="E10" s="3227">
        <f t="shared" si="0"/>
        <v>0</v>
      </c>
      <c r="F10" s="3227">
        <f t="shared" si="0"/>
        <v>5</v>
      </c>
      <c r="G10" s="3227">
        <f t="shared" si="0"/>
        <v>0</v>
      </c>
      <c r="H10" s="3227">
        <f t="shared" si="0"/>
        <v>0</v>
      </c>
      <c r="I10" s="3227">
        <f t="shared" si="0"/>
        <v>138</v>
      </c>
      <c r="J10" s="2016">
        <f>SUM(C10:I10)</f>
        <v>108658</v>
      </c>
      <c r="K10" s="1988" t="e">
        <f>+#REF!</f>
        <v>#REF!</v>
      </c>
      <c r="L10" s="1988" t="e">
        <f>+#REF!</f>
        <v>#REF!</v>
      </c>
      <c r="M10" s="1988" t="e">
        <f>+#REF!</f>
        <v>#REF!</v>
      </c>
      <c r="O10" s="3292" t="e">
        <f>+J6/K6*100</f>
        <v>#REF!</v>
      </c>
      <c r="P10" s="3293" t="e">
        <f>+L6/M6*100</f>
        <v>#REF!</v>
      </c>
      <c r="Q10" s="3291" t="s">
        <v>726</v>
      </c>
    </row>
    <row r="11" spans="1:17" s="52" customFormat="1" ht="20.100000000000001" customHeight="1">
      <c r="A11" s="37"/>
    </row>
    <row r="12" spans="1:17">
      <c r="B12">
        <v>1</v>
      </c>
      <c r="C12">
        <v>1</v>
      </c>
      <c r="D12" s="2938" t="s">
        <v>175</v>
      </c>
    </row>
    <row r="13" spans="1:17" s="54" customFormat="1" ht="12.75">
      <c r="A13" s="53"/>
      <c r="B13" s="3402" t="s">
        <v>789</v>
      </c>
      <c r="C13" s="3940" t="s">
        <v>933</v>
      </c>
      <c r="D13" s="3940"/>
      <c r="E13" s="3940"/>
      <c r="F13" s="3940"/>
      <c r="G13" s="3940"/>
      <c r="H13" s="3940"/>
      <c r="I13" s="3940"/>
    </row>
    <row r="14" spans="1:17" s="54" customFormat="1" ht="120">
      <c r="A14" s="53"/>
      <c r="B14" s="55"/>
      <c r="C14" s="56" t="s">
        <v>800</v>
      </c>
      <c r="D14" s="56" t="s">
        <v>801</v>
      </c>
      <c r="E14" s="56" t="s">
        <v>802</v>
      </c>
      <c r="F14" s="57" t="s">
        <v>803</v>
      </c>
      <c r="G14" s="3029" t="s">
        <v>807</v>
      </c>
      <c r="H14" s="3029" t="s">
        <v>808</v>
      </c>
      <c r="I14" s="3029" t="s">
        <v>806</v>
      </c>
      <c r="J14" s="54" t="s">
        <v>118</v>
      </c>
    </row>
    <row r="15" spans="1:17" s="54" customFormat="1" ht="12.75">
      <c r="A15" s="53"/>
      <c r="B15" s="3291">
        <v>2012</v>
      </c>
      <c r="C15" s="3025">
        <v>3189</v>
      </c>
      <c r="D15" s="3025"/>
      <c r="E15" s="3025"/>
      <c r="F15" s="3025"/>
      <c r="G15" s="3025"/>
      <c r="H15" s="3294"/>
      <c r="I15" s="3026"/>
      <c r="J15" s="77">
        <v>3189</v>
      </c>
    </row>
    <row r="16" spans="1:17" s="54" customFormat="1" ht="12.75">
      <c r="A16" s="53"/>
      <c r="B16" s="3291">
        <v>2011</v>
      </c>
      <c r="C16" s="3025">
        <v>3040</v>
      </c>
      <c r="D16" s="3025"/>
      <c r="E16" s="3025"/>
      <c r="F16" s="3025"/>
      <c r="G16" s="3025"/>
      <c r="H16" s="3294"/>
      <c r="I16" s="3026"/>
      <c r="J16" s="77">
        <v>3040</v>
      </c>
    </row>
    <row r="17" spans="1:10" s="54" customFormat="1" ht="12.75">
      <c r="A17" s="53"/>
      <c r="B17" s="3291">
        <v>2010</v>
      </c>
      <c r="C17" s="3025">
        <v>3301</v>
      </c>
      <c r="D17" s="3025"/>
      <c r="E17" s="3025"/>
      <c r="F17" s="3025"/>
      <c r="G17" s="3025"/>
      <c r="H17" s="3294"/>
      <c r="I17" s="3026"/>
      <c r="J17" s="77">
        <v>3301</v>
      </c>
    </row>
    <row r="18" spans="1:10" s="54" customFormat="1" ht="12.75">
      <c r="A18" s="53"/>
      <c r="B18" s="3291">
        <v>2009</v>
      </c>
      <c r="C18" s="3025">
        <v>3678</v>
      </c>
      <c r="D18" s="3025"/>
      <c r="E18" s="3025"/>
      <c r="F18" s="3025"/>
      <c r="G18" s="3025"/>
      <c r="H18" s="3294"/>
      <c r="I18" s="3026"/>
      <c r="J18" s="77">
        <v>3678</v>
      </c>
    </row>
    <row r="19" spans="1:10" s="54" customFormat="1" ht="12.75">
      <c r="A19" s="53"/>
      <c r="B19" s="3291">
        <v>2008</v>
      </c>
      <c r="C19" s="3025">
        <v>3136</v>
      </c>
      <c r="D19" s="3294"/>
      <c r="E19" s="3294"/>
      <c r="F19" s="3294"/>
      <c r="G19" s="3294"/>
      <c r="H19" s="3294"/>
      <c r="I19" s="3026"/>
      <c r="J19" s="77">
        <v>3136</v>
      </c>
    </row>
    <row r="21" spans="1:10">
      <c r="B21">
        <v>2</v>
      </c>
      <c r="C21">
        <v>2</v>
      </c>
      <c r="D21" s="2941" t="s">
        <v>178</v>
      </c>
    </row>
    <row r="22" spans="1:10" s="54" customFormat="1" ht="12.75">
      <c r="A22" s="53"/>
      <c r="B22" s="3402" t="s">
        <v>789</v>
      </c>
      <c r="C22" s="3940" t="s">
        <v>933</v>
      </c>
      <c r="D22" s="3940"/>
      <c r="E22" s="3940"/>
      <c r="F22" s="3940"/>
      <c r="G22" s="3940"/>
      <c r="H22" s="3940"/>
      <c r="I22" s="3940"/>
    </row>
    <row r="23" spans="1:10" s="54" customFormat="1" ht="120">
      <c r="A23" s="53"/>
      <c r="B23" s="55"/>
      <c r="C23" s="56" t="s">
        <v>800</v>
      </c>
      <c r="D23" s="56" t="s">
        <v>801</v>
      </c>
      <c r="E23" s="56" t="s">
        <v>802</v>
      </c>
      <c r="F23" s="57" t="s">
        <v>803</v>
      </c>
      <c r="G23" s="3029" t="s">
        <v>807</v>
      </c>
      <c r="H23" s="3029" t="s">
        <v>808</v>
      </c>
      <c r="I23" s="3029" t="s">
        <v>806</v>
      </c>
    </row>
    <row r="24" spans="1:10" s="54" customFormat="1" ht="12.75">
      <c r="A24" s="53"/>
      <c r="B24" s="3291">
        <v>2012</v>
      </c>
      <c r="C24" s="3025">
        <v>3433</v>
      </c>
      <c r="D24" s="3025">
        <v>0</v>
      </c>
      <c r="E24" s="3025">
        <v>0</v>
      </c>
      <c r="F24" s="3025">
        <v>0</v>
      </c>
      <c r="G24" s="3025">
        <v>0</v>
      </c>
      <c r="H24" s="3025">
        <v>0</v>
      </c>
      <c r="I24" s="3295">
        <v>0</v>
      </c>
      <c r="J24" s="77">
        <v>3433</v>
      </c>
    </row>
    <row r="25" spans="1:10" s="54" customFormat="1" ht="12.75">
      <c r="A25" s="53"/>
      <c r="B25" s="3291">
        <v>2011</v>
      </c>
      <c r="C25" s="3025">
        <v>2496</v>
      </c>
      <c r="D25" s="3025">
        <v>0</v>
      </c>
      <c r="E25" s="3025">
        <v>0</v>
      </c>
      <c r="F25" s="3025">
        <v>0</v>
      </c>
      <c r="G25" s="3025">
        <v>0</v>
      </c>
      <c r="H25" s="3025">
        <v>0</v>
      </c>
      <c r="I25" s="3295">
        <v>0</v>
      </c>
      <c r="J25" s="77">
        <v>2496</v>
      </c>
    </row>
    <row r="26" spans="1:10" s="54" customFormat="1" ht="12.75">
      <c r="A26" s="53"/>
      <c r="B26" s="3291">
        <v>2010</v>
      </c>
      <c r="C26" s="3025">
        <v>2571</v>
      </c>
      <c r="D26" s="3025">
        <v>0</v>
      </c>
      <c r="E26" s="3025">
        <v>0</v>
      </c>
      <c r="F26" s="3025">
        <v>0</v>
      </c>
      <c r="G26" s="3025">
        <v>0</v>
      </c>
      <c r="H26" s="3025">
        <v>0</v>
      </c>
      <c r="I26" s="3295">
        <v>0</v>
      </c>
      <c r="J26" s="77">
        <v>2571</v>
      </c>
    </row>
    <row r="27" spans="1:10" s="54" customFormat="1" ht="12.75">
      <c r="A27" s="53"/>
      <c r="B27" s="3291">
        <v>2009</v>
      </c>
      <c r="C27" s="3025">
        <v>2988</v>
      </c>
      <c r="D27" s="3025">
        <v>0</v>
      </c>
      <c r="E27" s="3025">
        <v>0</v>
      </c>
      <c r="F27" s="3025">
        <v>0</v>
      </c>
      <c r="G27" s="3025">
        <v>0</v>
      </c>
      <c r="H27" s="3025">
        <v>0</v>
      </c>
      <c r="I27" s="3295">
        <v>0</v>
      </c>
      <c r="J27" s="77">
        <v>2988</v>
      </c>
    </row>
    <row r="28" spans="1:10" s="54" customFormat="1" ht="12.75">
      <c r="A28" s="53"/>
      <c r="B28" s="3291">
        <v>2008</v>
      </c>
      <c r="C28" s="3025">
        <v>0</v>
      </c>
      <c r="D28" s="3025">
        <v>0</v>
      </c>
      <c r="E28" s="3025">
        <v>0</v>
      </c>
      <c r="F28" s="3025">
        <v>0</v>
      </c>
      <c r="G28" s="3025">
        <v>0</v>
      </c>
      <c r="H28" s="3025">
        <v>0</v>
      </c>
      <c r="I28" s="3295">
        <v>0</v>
      </c>
      <c r="J28" s="77">
        <v>0</v>
      </c>
    </row>
    <row r="30" spans="1:10">
      <c r="B30">
        <v>3</v>
      </c>
      <c r="C30">
        <v>3</v>
      </c>
      <c r="D30" s="2938" t="s">
        <v>179</v>
      </c>
    </row>
    <row r="31" spans="1:10" s="54" customFormat="1" ht="12.75">
      <c r="A31" s="53"/>
      <c r="B31" s="3402" t="s">
        <v>789</v>
      </c>
      <c r="C31" s="3940" t="s">
        <v>933</v>
      </c>
      <c r="D31" s="3940"/>
      <c r="E31" s="3940"/>
      <c r="F31" s="3940"/>
      <c r="G31" s="3940"/>
      <c r="H31" s="3940"/>
      <c r="I31" s="3940"/>
    </row>
    <row r="32" spans="1:10" s="54" customFormat="1" ht="120">
      <c r="A32" s="53"/>
      <c r="B32" s="55"/>
      <c r="C32" s="56" t="s">
        <v>800</v>
      </c>
      <c r="D32" s="56" t="s">
        <v>801</v>
      </c>
      <c r="E32" s="56" t="s">
        <v>802</v>
      </c>
      <c r="F32" s="57" t="s">
        <v>803</v>
      </c>
      <c r="G32" s="3029" t="s">
        <v>807</v>
      </c>
      <c r="H32" s="3029" t="s">
        <v>808</v>
      </c>
      <c r="I32" s="3029" t="s">
        <v>806</v>
      </c>
    </row>
    <row r="33" spans="1:10" s="54" customFormat="1" ht="12.75">
      <c r="A33" s="53"/>
      <c r="B33" s="3291">
        <v>2012</v>
      </c>
      <c r="C33" s="3174">
        <f>16557-F33</f>
        <v>15239</v>
      </c>
      <c r="D33" s="3174">
        <v>1421</v>
      </c>
      <c r="E33" s="3174">
        <v>0</v>
      </c>
      <c r="F33" s="3174">
        <v>1318</v>
      </c>
      <c r="G33" s="3174">
        <v>0</v>
      </c>
      <c r="H33" s="3174">
        <v>0</v>
      </c>
      <c r="I33" s="3174">
        <v>0</v>
      </c>
      <c r="J33" s="77">
        <f>SUM(C33:I33)</f>
        <v>17978</v>
      </c>
    </row>
    <row r="34" spans="1:10" s="54" customFormat="1" ht="12.75">
      <c r="A34" s="53"/>
      <c r="B34" s="3291">
        <v>2011</v>
      </c>
      <c r="C34" s="3174">
        <f>8954-F34</f>
        <v>8768</v>
      </c>
      <c r="D34" s="3174">
        <v>2444</v>
      </c>
      <c r="E34" s="3174">
        <v>0</v>
      </c>
      <c r="F34" s="3174">
        <v>186</v>
      </c>
      <c r="G34" s="3174">
        <v>0</v>
      </c>
      <c r="H34" s="3174">
        <v>0</v>
      </c>
      <c r="I34" s="3174">
        <v>0</v>
      </c>
      <c r="J34" s="77">
        <f>SUM(C34:I34)</f>
        <v>11398</v>
      </c>
    </row>
    <row r="35" spans="1:10" s="54" customFormat="1" ht="12.75">
      <c r="A35" s="53"/>
      <c r="B35" s="3291">
        <v>2010</v>
      </c>
      <c r="C35" s="3174">
        <f>11077-F35</f>
        <v>11077</v>
      </c>
      <c r="D35" s="3174">
        <v>1207</v>
      </c>
      <c r="E35" s="3174">
        <v>0</v>
      </c>
      <c r="F35" s="3174">
        <v>0</v>
      </c>
      <c r="G35" s="3174">
        <v>0</v>
      </c>
      <c r="H35" s="3174">
        <v>0</v>
      </c>
      <c r="I35" s="3174">
        <v>0</v>
      </c>
      <c r="J35" s="77">
        <f>SUM(C35:I35)</f>
        <v>12284</v>
      </c>
    </row>
    <row r="36" spans="1:10" s="54" customFormat="1" ht="12.75">
      <c r="A36" s="53"/>
      <c r="B36" s="3291">
        <v>2009</v>
      </c>
      <c r="C36" s="3174">
        <f>15935-F36</f>
        <v>15933</v>
      </c>
      <c r="D36" s="3174">
        <v>788</v>
      </c>
      <c r="E36" s="3174">
        <v>0</v>
      </c>
      <c r="F36" s="3174">
        <v>2</v>
      </c>
      <c r="G36" s="3174">
        <v>0</v>
      </c>
      <c r="H36" s="3174">
        <v>0</v>
      </c>
      <c r="I36" s="3174">
        <v>0</v>
      </c>
      <c r="J36" s="77">
        <f>SUM(C36:I36)</f>
        <v>16723</v>
      </c>
    </row>
    <row r="37" spans="1:10" s="54" customFormat="1" ht="12.75">
      <c r="A37" s="53"/>
      <c r="B37" s="3291">
        <v>2008</v>
      </c>
      <c r="C37" s="3174">
        <f>18208-F37</f>
        <v>18203</v>
      </c>
      <c r="D37" s="3174">
        <v>484</v>
      </c>
      <c r="E37" s="3174">
        <v>0</v>
      </c>
      <c r="F37" s="3174">
        <v>5</v>
      </c>
      <c r="G37" s="3174">
        <v>0</v>
      </c>
      <c r="H37" s="3174">
        <v>0</v>
      </c>
      <c r="I37" s="3174">
        <v>0</v>
      </c>
      <c r="J37" s="77">
        <f>SUM(C37:I37)</f>
        <v>18692</v>
      </c>
    </row>
    <row r="39" spans="1:10">
      <c r="B39">
        <v>4</v>
      </c>
      <c r="C39">
        <v>4</v>
      </c>
      <c r="D39" s="2938" t="s">
        <v>180</v>
      </c>
    </row>
    <row r="40" spans="1:10" s="54" customFormat="1" ht="12.75">
      <c r="A40" s="53"/>
      <c r="B40" s="3402" t="s">
        <v>789</v>
      </c>
      <c r="C40" s="3940" t="s">
        <v>933</v>
      </c>
      <c r="D40" s="3940"/>
      <c r="E40" s="3940"/>
      <c r="F40" s="3940"/>
      <c r="G40" s="3940"/>
      <c r="H40" s="3940"/>
      <c r="I40" s="3940"/>
    </row>
    <row r="41" spans="1:10" s="54" customFormat="1" ht="120">
      <c r="A41" s="53"/>
      <c r="B41" s="55"/>
      <c r="C41" s="56" t="s">
        <v>800</v>
      </c>
      <c r="D41" s="56" t="s">
        <v>801</v>
      </c>
      <c r="E41" s="56" t="s">
        <v>802</v>
      </c>
      <c r="F41" s="57" t="s">
        <v>803</v>
      </c>
      <c r="G41" s="3029" t="s">
        <v>807</v>
      </c>
      <c r="H41" s="3029" t="s">
        <v>808</v>
      </c>
      <c r="I41" s="3029" t="s">
        <v>806</v>
      </c>
    </row>
    <row r="42" spans="1:10" s="54" customFormat="1" ht="12.75">
      <c r="A42" s="53"/>
      <c r="B42" s="3291">
        <v>2012</v>
      </c>
      <c r="C42" s="3296">
        <v>342</v>
      </c>
      <c r="D42" s="3296">
        <v>212</v>
      </c>
      <c r="E42" s="3296">
        <v>0</v>
      </c>
      <c r="F42" s="3296">
        <v>0</v>
      </c>
      <c r="G42" s="3296">
        <v>0</v>
      </c>
      <c r="H42" s="3296">
        <v>0</v>
      </c>
      <c r="I42" s="3296">
        <v>0</v>
      </c>
      <c r="J42" s="3174">
        <v>554</v>
      </c>
    </row>
    <row r="43" spans="1:10" s="54" customFormat="1" ht="12.75">
      <c r="A43" s="53"/>
      <c r="B43" s="3291">
        <v>2011</v>
      </c>
      <c r="C43" s="3296">
        <v>822</v>
      </c>
      <c r="D43" s="3296">
        <v>24</v>
      </c>
      <c r="E43" s="3296">
        <v>0</v>
      </c>
      <c r="F43" s="3296">
        <v>0</v>
      </c>
      <c r="G43" s="3296">
        <v>0</v>
      </c>
      <c r="H43" s="3296">
        <v>0</v>
      </c>
      <c r="I43" s="3296">
        <v>0</v>
      </c>
      <c r="J43" s="3174">
        <v>846</v>
      </c>
    </row>
    <row r="44" spans="1:10" s="54" customFormat="1" ht="12.75">
      <c r="A44" s="53"/>
      <c r="B44" s="3291">
        <v>2010</v>
      </c>
      <c r="C44" s="3296">
        <v>690</v>
      </c>
      <c r="D44" s="3296">
        <v>0</v>
      </c>
      <c r="E44" s="3296">
        <v>0</v>
      </c>
      <c r="F44" s="3296">
        <v>0</v>
      </c>
      <c r="G44" s="3296">
        <v>0</v>
      </c>
      <c r="H44" s="3296">
        <v>0</v>
      </c>
      <c r="I44" s="3296">
        <v>0</v>
      </c>
      <c r="J44" s="3174">
        <v>690</v>
      </c>
    </row>
    <row r="45" spans="1:10" s="54" customFormat="1" ht="12.75">
      <c r="A45" s="53"/>
      <c r="B45" s="3291">
        <v>2009</v>
      </c>
      <c r="C45" s="3296">
        <v>242</v>
      </c>
      <c r="D45" s="3296">
        <v>0</v>
      </c>
      <c r="E45" s="3296">
        <v>0</v>
      </c>
      <c r="F45" s="3296">
        <v>0</v>
      </c>
      <c r="G45" s="3296">
        <v>0</v>
      </c>
      <c r="H45" s="3296">
        <v>0</v>
      </c>
      <c r="I45" s="3296">
        <v>0</v>
      </c>
      <c r="J45" s="3174">
        <v>242</v>
      </c>
    </row>
    <row r="46" spans="1:10" s="54" customFormat="1" ht="12.75">
      <c r="A46" s="53"/>
      <c r="B46" s="3291">
        <v>2008</v>
      </c>
      <c r="C46" s="3297">
        <v>149</v>
      </c>
      <c r="D46" s="3297"/>
      <c r="E46" s="3297"/>
      <c r="F46" s="3297"/>
      <c r="G46" s="3297"/>
      <c r="H46" s="3297"/>
      <c r="I46" s="3298"/>
      <c r="J46" s="207">
        <f>SUM(C46:I46)</f>
        <v>149</v>
      </c>
    </row>
    <row r="48" spans="1:10">
      <c r="B48">
        <v>5</v>
      </c>
      <c r="C48">
        <v>5</v>
      </c>
      <c r="D48" s="2938" t="s">
        <v>183</v>
      </c>
    </row>
    <row r="49" spans="1:10" s="54" customFormat="1" ht="12.75">
      <c r="A49" s="53"/>
      <c r="B49" s="3402" t="s">
        <v>789</v>
      </c>
      <c r="C49" s="3940" t="s">
        <v>933</v>
      </c>
      <c r="D49" s="3940"/>
      <c r="E49" s="3940"/>
      <c r="F49" s="3940"/>
      <c r="G49" s="3940"/>
      <c r="H49" s="3940"/>
      <c r="I49" s="3940"/>
    </row>
    <row r="50" spans="1:10" s="54" customFormat="1" ht="120">
      <c r="A50" s="53"/>
      <c r="B50" s="55"/>
      <c r="C50" s="56" t="s">
        <v>800</v>
      </c>
      <c r="D50" s="56" t="s">
        <v>801</v>
      </c>
      <c r="E50" s="56" t="s">
        <v>802</v>
      </c>
      <c r="F50" s="57" t="s">
        <v>803</v>
      </c>
      <c r="G50" s="3029" t="s">
        <v>807</v>
      </c>
      <c r="H50" s="3029" t="s">
        <v>808</v>
      </c>
      <c r="I50" s="3029" t="s">
        <v>806</v>
      </c>
    </row>
    <row r="51" spans="1:10" s="54" customFormat="1" ht="12.75">
      <c r="A51" s="53"/>
      <c r="B51" s="3291">
        <v>2012</v>
      </c>
      <c r="C51" s="3025">
        <v>31590</v>
      </c>
      <c r="D51" s="3025">
        <v>2</v>
      </c>
      <c r="E51" s="3025"/>
      <c r="F51" s="3025"/>
      <c r="G51" s="3025"/>
      <c r="H51" s="3025"/>
      <c r="I51" s="3026"/>
      <c r="J51" s="77">
        <v>31592</v>
      </c>
    </row>
    <row r="52" spans="1:10" s="54" customFormat="1" ht="12.75">
      <c r="A52" s="53"/>
      <c r="B52" s="3291">
        <v>2011</v>
      </c>
      <c r="C52" s="3025">
        <v>26073</v>
      </c>
      <c r="D52" s="3025">
        <v>14</v>
      </c>
      <c r="E52" s="3025"/>
      <c r="F52" s="3025"/>
      <c r="G52" s="3025"/>
      <c r="H52" s="3025"/>
      <c r="I52" s="3026"/>
      <c r="J52" s="77">
        <v>26087</v>
      </c>
    </row>
    <row r="53" spans="1:10" s="54" customFormat="1" ht="12.75">
      <c r="A53" s="53"/>
      <c r="B53" s="3291">
        <v>2010</v>
      </c>
      <c r="C53" s="3025">
        <v>29078</v>
      </c>
      <c r="D53" s="3025">
        <v>13</v>
      </c>
      <c r="E53" s="3025"/>
      <c r="F53" s="3025"/>
      <c r="G53" s="3025"/>
      <c r="H53" s="3025"/>
      <c r="I53" s="3026"/>
      <c r="J53" s="77">
        <v>29091</v>
      </c>
    </row>
    <row r="54" spans="1:10" s="54" customFormat="1" ht="12.75">
      <c r="A54" s="53"/>
      <c r="B54" s="3291">
        <v>2009</v>
      </c>
      <c r="C54" s="3025">
        <v>34073</v>
      </c>
      <c r="D54" s="3025">
        <v>13</v>
      </c>
      <c r="E54" s="3025"/>
      <c r="F54" s="3025"/>
      <c r="G54" s="3025"/>
      <c r="H54" s="3025"/>
      <c r="I54" s="3026"/>
      <c r="J54" s="77">
        <v>34086</v>
      </c>
    </row>
    <row r="55" spans="1:10" s="54" customFormat="1" ht="12.75">
      <c r="A55" s="53"/>
      <c r="B55" s="3291">
        <v>2008</v>
      </c>
      <c r="C55" s="3025">
        <v>37915</v>
      </c>
      <c r="D55" s="3025">
        <v>74</v>
      </c>
      <c r="E55" s="3025"/>
      <c r="F55" s="3025"/>
      <c r="G55" s="3025"/>
      <c r="H55" s="3025"/>
      <c r="I55" s="3026"/>
      <c r="J55" s="77">
        <v>37989</v>
      </c>
    </row>
    <row r="57" spans="1:10">
      <c r="B57">
        <v>6</v>
      </c>
      <c r="C57">
        <v>6</v>
      </c>
      <c r="D57" s="2938" t="s">
        <v>184</v>
      </c>
    </row>
    <row r="58" spans="1:10" s="54" customFormat="1" ht="12.75">
      <c r="A58" s="53"/>
      <c r="B58" s="3402" t="s">
        <v>789</v>
      </c>
      <c r="C58" s="3940" t="s">
        <v>933</v>
      </c>
      <c r="D58" s="3940"/>
      <c r="E58" s="3940"/>
      <c r="F58" s="3940"/>
      <c r="G58" s="3940"/>
      <c r="H58" s="3940"/>
      <c r="I58" s="3940"/>
    </row>
    <row r="59" spans="1:10" s="54" customFormat="1" ht="120">
      <c r="A59" s="53"/>
      <c r="B59" s="55"/>
      <c r="C59" s="56" t="s">
        <v>800</v>
      </c>
      <c r="D59" s="56" t="s">
        <v>801</v>
      </c>
      <c r="E59" s="56" t="s">
        <v>802</v>
      </c>
      <c r="F59" s="57" t="s">
        <v>803</v>
      </c>
      <c r="G59" s="3029" t="s">
        <v>807</v>
      </c>
      <c r="H59" s="3029" t="s">
        <v>808</v>
      </c>
      <c r="I59" s="3029" t="s">
        <v>806</v>
      </c>
    </row>
    <row r="60" spans="1:10" s="54" customFormat="1" ht="12.75">
      <c r="A60" s="53"/>
      <c r="B60" s="3291">
        <v>2012</v>
      </c>
      <c r="C60" s="3025">
        <v>1391</v>
      </c>
      <c r="D60" s="3025"/>
      <c r="E60" s="3025"/>
      <c r="F60" s="3025"/>
      <c r="G60" s="3025"/>
      <c r="H60" s="3025"/>
      <c r="I60" s="3026"/>
      <c r="J60" s="77">
        <v>1391</v>
      </c>
    </row>
    <row r="61" spans="1:10" s="54" customFormat="1" ht="12.75">
      <c r="A61" s="53"/>
      <c r="B61" s="3291">
        <v>2011</v>
      </c>
      <c r="C61" s="3025">
        <v>1290</v>
      </c>
      <c r="D61" s="3025"/>
      <c r="E61" s="3025"/>
      <c r="F61" s="3025"/>
      <c r="G61" s="3025"/>
      <c r="H61" s="3025"/>
      <c r="I61" s="3026"/>
      <c r="J61" s="77">
        <v>1290</v>
      </c>
    </row>
    <row r="62" spans="1:10" s="54" customFormat="1" ht="12.75">
      <c r="A62" s="53"/>
      <c r="B62" s="3291">
        <v>2010</v>
      </c>
      <c r="C62" s="3025">
        <v>1363</v>
      </c>
      <c r="D62" s="3025"/>
      <c r="E62" s="3025"/>
      <c r="F62" s="3025"/>
      <c r="G62" s="3025"/>
      <c r="H62" s="3025"/>
      <c r="I62" s="3026"/>
      <c r="J62" s="77">
        <v>1363</v>
      </c>
    </row>
    <row r="63" spans="1:10" s="54" customFormat="1" ht="12.75">
      <c r="A63" s="53"/>
      <c r="B63" s="3291">
        <v>2009</v>
      </c>
      <c r="C63" s="3025">
        <v>1051</v>
      </c>
      <c r="D63" s="3025"/>
      <c r="E63" s="3025"/>
      <c r="F63" s="3025"/>
      <c r="G63" s="3025"/>
      <c r="H63" s="3025"/>
      <c r="I63" s="3026"/>
      <c r="J63" s="77">
        <v>1051</v>
      </c>
    </row>
    <row r="64" spans="1:10" s="54" customFormat="1" ht="12.75">
      <c r="A64" s="53"/>
      <c r="B64" s="3291">
        <v>2008</v>
      </c>
      <c r="C64" s="3025">
        <v>835</v>
      </c>
      <c r="D64" s="3025"/>
      <c r="E64" s="3025"/>
      <c r="F64" s="3025"/>
      <c r="G64" s="3025"/>
      <c r="H64" s="3025"/>
      <c r="I64" s="3026"/>
      <c r="J64" s="77">
        <v>835</v>
      </c>
    </row>
    <row r="66" spans="1:10">
      <c r="B66">
        <v>7</v>
      </c>
      <c r="C66">
        <v>7</v>
      </c>
      <c r="D66" s="2938" t="s">
        <v>186</v>
      </c>
    </row>
    <row r="67" spans="1:10" s="54" customFormat="1" ht="12.75">
      <c r="A67" s="53"/>
      <c r="B67" s="3402" t="s">
        <v>789</v>
      </c>
      <c r="C67" s="3940" t="s">
        <v>933</v>
      </c>
      <c r="D67" s="3940"/>
      <c r="E67" s="3940"/>
      <c r="F67" s="3940"/>
      <c r="G67" s="3940"/>
      <c r="H67" s="3940"/>
      <c r="I67" s="3940"/>
    </row>
    <row r="68" spans="1:10" s="54" customFormat="1" ht="120">
      <c r="A68" s="53"/>
      <c r="B68" s="55"/>
      <c r="C68" s="56" t="s">
        <v>800</v>
      </c>
      <c r="D68" s="56" t="s">
        <v>801</v>
      </c>
      <c r="E68" s="56" t="s">
        <v>802</v>
      </c>
      <c r="F68" s="57" t="s">
        <v>803</v>
      </c>
      <c r="G68" s="3029" t="s">
        <v>807</v>
      </c>
      <c r="H68" s="3029" t="s">
        <v>808</v>
      </c>
      <c r="I68" s="3029" t="s">
        <v>806</v>
      </c>
    </row>
    <row r="69" spans="1:10" s="54" customFormat="1" ht="12.75">
      <c r="A69" s="53"/>
      <c r="B69" s="3291">
        <v>2012</v>
      </c>
      <c r="C69" s="3025">
        <v>6534</v>
      </c>
      <c r="D69" s="3025">
        <v>0</v>
      </c>
      <c r="E69" s="3025">
        <v>0</v>
      </c>
      <c r="F69" s="3025">
        <v>0</v>
      </c>
      <c r="G69" s="3025">
        <v>0</v>
      </c>
      <c r="H69" s="3025">
        <v>0</v>
      </c>
      <c r="I69" s="3295">
        <v>0</v>
      </c>
      <c r="J69" s="77">
        <v>6553</v>
      </c>
    </row>
    <row r="70" spans="1:10" s="54" customFormat="1" ht="12.75">
      <c r="A70" s="53"/>
      <c r="B70" s="3291">
        <v>2011</v>
      </c>
      <c r="C70" s="3025">
        <v>6536</v>
      </c>
      <c r="D70" s="3025">
        <v>0</v>
      </c>
      <c r="E70" s="3025">
        <v>0</v>
      </c>
      <c r="F70" s="3025">
        <v>0</v>
      </c>
      <c r="G70" s="3025">
        <v>0</v>
      </c>
      <c r="H70" s="3025">
        <v>0</v>
      </c>
      <c r="I70" s="3295">
        <v>0</v>
      </c>
      <c r="J70" s="77">
        <v>6536</v>
      </c>
    </row>
    <row r="71" spans="1:10" s="54" customFormat="1" ht="12.75">
      <c r="A71" s="53"/>
      <c r="B71" s="3291">
        <v>2010</v>
      </c>
      <c r="C71" s="3025">
        <v>6780</v>
      </c>
      <c r="D71" s="3025">
        <v>0</v>
      </c>
      <c r="E71" s="3025">
        <v>0</v>
      </c>
      <c r="F71" s="3025">
        <v>0</v>
      </c>
      <c r="G71" s="3025">
        <v>0</v>
      </c>
      <c r="H71" s="3025">
        <v>0</v>
      </c>
      <c r="I71" s="3295">
        <v>0</v>
      </c>
      <c r="J71" s="77">
        <v>6780</v>
      </c>
    </row>
    <row r="72" spans="1:10" s="54" customFormat="1" ht="12.75">
      <c r="A72" s="53"/>
      <c r="B72" s="3291">
        <v>2009</v>
      </c>
      <c r="C72" s="3025">
        <v>7838</v>
      </c>
      <c r="D72" s="3025">
        <v>0</v>
      </c>
      <c r="E72" s="3025">
        <v>0</v>
      </c>
      <c r="F72" s="3025">
        <v>0</v>
      </c>
      <c r="G72" s="3025">
        <v>0</v>
      </c>
      <c r="H72" s="3025">
        <v>0</v>
      </c>
      <c r="I72" s="3295">
        <v>0</v>
      </c>
      <c r="J72" s="77">
        <v>7838</v>
      </c>
    </row>
    <row r="73" spans="1:10" s="54" customFormat="1" ht="12.75">
      <c r="A73" s="53"/>
      <c r="B73" s="3291">
        <v>2008</v>
      </c>
      <c r="C73" s="3025">
        <v>15824</v>
      </c>
      <c r="D73" s="3025">
        <v>0</v>
      </c>
      <c r="E73" s="3025">
        <v>0</v>
      </c>
      <c r="F73" s="3025">
        <v>0</v>
      </c>
      <c r="G73" s="3025">
        <v>0</v>
      </c>
      <c r="H73" s="3025">
        <v>0</v>
      </c>
      <c r="I73" s="3295">
        <v>0</v>
      </c>
      <c r="J73" s="77">
        <v>15824</v>
      </c>
    </row>
    <row r="75" spans="1:10">
      <c r="B75">
        <v>8</v>
      </c>
      <c r="C75">
        <v>8</v>
      </c>
      <c r="D75" s="2938" t="s">
        <v>187</v>
      </c>
    </row>
    <row r="76" spans="1:10" s="54" customFormat="1" ht="12.75">
      <c r="A76" s="53"/>
      <c r="B76" s="3402" t="s">
        <v>789</v>
      </c>
      <c r="C76" s="3940" t="s">
        <v>933</v>
      </c>
      <c r="D76" s="3940"/>
      <c r="E76" s="3940"/>
      <c r="F76" s="3940"/>
      <c r="G76" s="3940"/>
      <c r="H76" s="3940"/>
      <c r="I76" s="3940"/>
    </row>
    <row r="77" spans="1:10" s="54" customFormat="1" ht="120">
      <c r="A77" s="53"/>
      <c r="B77" s="55"/>
      <c r="C77" s="56" t="s">
        <v>800</v>
      </c>
      <c r="D77" s="56" t="s">
        <v>801</v>
      </c>
      <c r="E77" s="56" t="s">
        <v>802</v>
      </c>
      <c r="F77" s="57" t="s">
        <v>803</v>
      </c>
      <c r="G77" s="3029" t="s">
        <v>807</v>
      </c>
      <c r="H77" s="3029" t="s">
        <v>808</v>
      </c>
      <c r="I77" s="3029" t="s">
        <v>806</v>
      </c>
    </row>
    <row r="78" spans="1:10" s="54" customFormat="1" ht="12.75">
      <c r="A78" s="53"/>
      <c r="B78" s="3291">
        <v>2012</v>
      </c>
      <c r="C78" s="3025">
        <v>3758</v>
      </c>
      <c r="D78" s="3025"/>
      <c r="E78" s="3025"/>
      <c r="F78" s="3025"/>
      <c r="G78" s="3025"/>
      <c r="H78" s="3025"/>
      <c r="I78" s="3025">
        <v>16</v>
      </c>
      <c r="J78" s="66">
        <v>3774</v>
      </c>
    </row>
    <row r="79" spans="1:10" s="54" customFormat="1" ht="12.75">
      <c r="A79" s="53"/>
      <c r="B79" s="3291">
        <v>2011</v>
      </c>
      <c r="C79" s="3025">
        <v>6748</v>
      </c>
      <c r="D79" s="3025"/>
      <c r="E79" s="3025"/>
      <c r="F79" s="3025"/>
      <c r="G79" s="3025"/>
      <c r="H79" s="3025"/>
      <c r="I79" s="3025">
        <v>71</v>
      </c>
      <c r="J79" s="66">
        <v>6819</v>
      </c>
    </row>
    <row r="80" spans="1:10" s="54" customFormat="1" ht="12.75">
      <c r="A80" s="53"/>
      <c r="B80" s="3291">
        <v>2010</v>
      </c>
      <c r="C80" s="3025">
        <v>4451</v>
      </c>
      <c r="D80" s="3025"/>
      <c r="E80" s="3025"/>
      <c r="F80" s="3025"/>
      <c r="G80" s="3025"/>
      <c r="H80" s="3025"/>
      <c r="I80" s="3025">
        <v>32</v>
      </c>
      <c r="J80" s="66">
        <v>4483</v>
      </c>
    </row>
    <row r="81" spans="1:10" s="54" customFormat="1" ht="12.75">
      <c r="A81" s="53"/>
      <c r="B81" s="3291">
        <v>2009</v>
      </c>
      <c r="C81" s="3025">
        <v>5810</v>
      </c>
      <c r="D81" s="3025"/>
      <c r="E81" s="3025"/>
      <c r="F81" s="3025"/>
      <c r="G81" s="3025"/>
      <c r="H81" s="3025"/>
      <c r="I81" s="3025">
        <v>154</v>
      </c>
      <c r="J81" s="66">
        <v>5964</v>
      </c>
    </row>
    <row r="82" spans="1:10" s="54" customFormat="1" ht="12.75">
      <c r="A82" s="53"/>
      <c r="B82" s="3291">
        <v>2008</v>
      </c>
      <c r="C82" s="3025">
        <v>7225</v>
      </c>
      <c r="D82" s="3025"/>
      <c r="E82" s="3025"/>
      <c r="F82" s="3025"/>
      <c r="G82" s="3025"/>
      <c r="H82" s="3025"/>
      <c r="I82" s="3025">
        <v>138</v>
      </c>
      <c r="J82" s="66">
        <v>7363</v>
      </c>
    </row>
    <row r="84" spans="1:10">
      <c r="B84">
        <v>9</v>
      </c>
      <c r="C84">
        <v>9</v>
      </c>
      <c r="D84" s="2941" t="s">
        <v>188</v>
      </c>
    </row>
    <row r="85" spans="1:10" s="54" customFormat="1" ht="12.75">
      <c r="A85" s="53"/>
      <c r="B85" s="3402" t="s">
        <v>789</v>
      </c>
      <c r="C85" s="3940" t="s">
        <v>933</v>
      </c>
      <c r="D85" s="3940"/>
      <c r="E85" s="3940"/>
      <c r="F85" s="3940"/>
      <c r="G85" s="3940"/>
      <c r="H85" s="3940"/>
      <c r="I85" s="3940"/>
    </row>
    <row r="86" spans="1:10" s="54" customFormat="1" ht="120">
      <c r="A86" s="53"/>
      <c r="B86" s="55"/>
      <c r="C86" s="56" t="s">
        <v>800</v>
      </c>
      <c r="D86" s="56" t="s">
        <v>801</v>
      </c>
      <c r="E86" s="56" t="s">
        <v>802</v>
      </c>
      <c r="F86" s="57" t="s">
        <v>803</v>
      </c>
      <c r="G86" s="3029" t="s">
        <v>807</v>
      </c>
      <c r="H86" s="3029" t="s">
        <v>808</v>
      </c>
      <c r="I86" s="3029" t="s">
        <v>806</v>
      </c>
    </row>
    <row r="87" spans="1:10" s="54" customFormat="1" ht="12.75">
      <c r="A87" s="53"/>
      <c r="B87" s="3291">
        <v>2012</v>
      </c>
      <c r="C87" s="3025">
        <v>391</v>
      </c>
      <c r="D87" s="3025"/>
      <c r="E87" s="3025"/>
      <c r="F87" s="3025"/>
      <c r="G87" s="3025"/>
      <c r="H87" s="3025"/>
      <c r="I87" s="3026"/>
      <c r="J87" s="77">
        <v>391</v>
      </c>
    </row>
    <row r="88" spans="1:10" s="54" customFormat="1" ht="12.75">
      <c r="A88" s="53"/>
      <c r="B88" s="3291">
        <v>2011</v>
      </c>
      <c r="C88" s="3025">
        <v>2551</v>
      </c>
      <c r="D88" s="3025"/>
      <c r="E88" s="3025"/>
      <c r="F88" s="3025"/>
      <c r="G88" s="3025"/>
      <c r="H88" s="3025"/>
      <c r="I88" s="3026"/>
      <c r="J88" s="77">
        <v>2551</v>
      </c>
    </row>
    <row r="89" spans="1:10" s="54" customFormat="1" ht="12.75">
      <c r="A89" s="53"/>
      <c r="B89" s="3291">
        <v>2010</v>
      </c>
      <c r="C89" s="3025">
        <v>2278</v>
      </c>
      <c r="D89" s="3025"/>
      <c r="E89" s="3025"/>
      <c r="F89" s="3025"/>
      <c r="G89" s="3025"/>
      <c r="H89" s="3025"/>
      <c r="I89" s="3026"/>
      <c r="J89" s="77">
        <v>2278</v>
      </c>
    </row>
    <row r="90" spans="1:10" s="54" customFormat="1" ht="12.75">
      <c r="A90" s="53"/>
      <c r="B90" s="3291">
        <v>2009</v>
      </c>
      <c r="C90" s="3025">
        <v>3150</v>
      </c>
      <c r="D90" s="3025"/>
      <c r="E90" s="3025"/>
      <c r="F90" s="3025"/>
      <c r="G90" s="3025"/>
      <c r="H90" s="3025"/>
      <c r="I90" s="3026"/>
      <c r="J90" s="77">
        <v>3150</v>
      </c>
    </row>
    <row r="91" spans="1:10" s="54" customFormat="1" ht="12.75">
      <c r="A91" s="53"/>
      <c r="B91" s="3291">
        <v>2008</v>
      </c>
      <c r="C91" s="3025">
        <v>7158</v>
      </c>
      <c r="D91" s="3025"/>
      <c r="E91" s="3025"/>
      <c r="F91" s="3025"/>
      <c r="G91" s="3025"/>
      <c r="H91" s="3025"/>
      <c r="I91" s="3026"/>
      <c r="J91" s="77">
        <v>7158</v>
      </c>
    </row>
    <row r="93" spans="1:10">
      <c r="B93">
        <v>10</v>
      </c>
      <c r="C93">
        <v>10</v>
      </c>
      <c r="D93" s="2938" t="s">
        <v>189</v>
      </c>
      <c r="J93" t="s">
        <v>940</v>
      </c>
    </row>
    <row r="94" spans="1:10" s="54" customFormat="1" ht="12.75">
      <c r="A94" s="53"/>
      <c r="B94" s="3402" t="s">
        <v>789</v>
      </c>
      <c r="C94" s="3940" t="s">
        <v>933</v>
      </c>
      <c r="D94" s="3940"/>
      <c r="E94" s="3940"/>
      <c r="F94" s="3940"/>
      <c r="G94" s="3940"/>
      <c r="H94" s="3940"/>
      <c r="I94" s="3940"/>
    </row>
    <row r="95" spans="1:10" s="54" customFormat="1" ht="120">
      <c r="A95" s="53"/>
      <c r="B95" s="55"/>
      <c r="C95" s="56" t="s">
        <v>800</v>
      </c>
      <c r="D95" s="56" t="s">
        <v>801</v>
      </c>
      <c r="E95" s="56" t="s">
        <v>802</v>
      </c>
      <c r="F95" s="57" t="s">
        <v>803</v>
      </c>
      <c r="G95" s="3029" t="s">
        <v>807</v>
      </c>
      <c r="H95" s="3029" t="s">
        <v>808</v>
      </c>
      <c r="I95" s="3029" t="s">
        <v>806</v>
      </c>
    </row>
    <row r="96" spans="1:10" s="54" customFormat="1" ht="12.75">
      <c r="A96" s="53"/>
      <c r="B96" s="3291">
        <v>2012</v>
      </c>
      <c r="C96" s="3025">
        <v>9</v>
      </c>
      <c r="D96" s="3025"/>
      <c r="E96" s="3025"/>
      <c r="F96" s="3025"/>
      <c r="G96" s="3025"/>
      <c r="H96" s="3025"/>
      <c r="I96" s="3026"/>
      <c r="J96" s="77">
        <f>SUM(C96:I96)</f>
        <v>9</v>
      </c>
    </row>
    <row r="97" spans="1:10" s="54" customFormat="1" ht="12.75">
      <c r="A97" s="53"/>
      <c r="B97" s="3291">
        <v>2011</v>
      </c>
      <c r="C97" s="3025"/>
      <c r="D97" s="3025"/>
      <c r="E97" s="3025"/>
      <c r="F97" s="3025"/>
      <c r="G97" s="3025"/>
      <c r="H97" s="3025"/>
      <c r="I97" s="3026"/>
      <c r="J97" s="77">
        <f>SUM(C97:I97)</f>
        <v>0</v>
      </c>
    </row>
    <row r="98" spans="1:10" s="54" customFormat="1" ht="12.75">
      <c r="A98" s="53"/>
      <c r="B98" s="3291">
        <v>2010</v>
      </c>
      <c r="C98" s="3025"/>
      <c r="D98" s="3025"/>
      <c r="E98" s="3025"/>
      <c r="F98" s="3025"/>
      <c r="G98" s="3025"/>
      <c r="H98" s="3025"/>
      <c r="I98" s="3026"/>
      <c r="J98" s="77">
        <f>SUM(C98:I98)</f>
        <v>0</v>
      </c>
    </row>
    <row r="99" spans="1:10" s="54" customFormat="1" ht="12.75">
      <c r="A99" s="53"/>
      <c r="B99" s="3291">
        <v>2009</v>
      </c>
      <c r="C99" s="3025"/>
      <c r="D99" s="3025"/>
      <c r="E99" s="3025"/>
      <c r="F99" s="3025"/>
      <c r="G99" s="3025"/>
      <c r="H99" s="3025"/>
      <c r="I99" s="3026"/>
      <c r="J99" s="77">
        <f>SUM(C99:I99)</f>
        <v>0</v>
      </c>
    </row>
    <row r="100" spans="1:10" s="54" customFormat="1" ht="12.75">
      <c r="A100" s="53"/>
      <c r="B100" s="3291">
        <v>2008</v>
      </c>
      <c r="C100" s="3025"/>
      <c r="D100" s="3025"/>
      <c r="E100" s="3025"/>
      <c r="F100" s="3025"/>
      <c r="G100" s="3025"/>
      <c r="H100" s="3025"/>
      <c r="I100" s="3026"/>
      <c r="J100" s="77">
        <f>SUM(C100:I100)</f>
        <v>0</v>
      </c>
    </row>
    <row r="102" spans="1:10">
      <c r="B102">
        <v>11</v>
      </c>
      <c r="C102">
        <v>11</v>
      </c>
      <c r="D102" s="2938" t="s">
        <v>190</v>
      </c>
    </row>
    <row r="103" spans="1:10" s="54" customFormat="1" ht="12.75">
      <c r="A103" s="53"/>
      <c r="B103" s="3402" t="s">
        <v>789</v>
      </c>
      <c r="C103" s="3940" t="s">
        <v>933</v>
      </c>
      <c r="D103" s="3940"/>
      <c r="E103" s="3940"/>
      <c r="F103" s="3940"/>
      <c r="G103" s="3940"/>
      <c r="H103" s="3940"/>
      <c r="I103" s="3940"/>
    </row>
    <row r="104" spans="1:10" s="54" customFormat="1" ht="120">
      <c r="A104" s="53"/>
      <c r="B104" s="55"/>
      <c r="C104" s="56" t="s">
        <v>800</v>
      </c>
      <c r="D104" s="56" t="s">
        <v>801</v>
      </c>
      <c r="E104" s="56" t="s">
        <v>802</v>
      </c>
      <c r="F104" s="57" t="s">
        <v>803</v>
      </c>
      <c r="G104" s="3029" t="s">
        <v>807</v>
      </c>
      <c r="H104" s="3029" t="s">
        <v>808</v>
      </c>
      <c r="I104" s="3029" t="s">
        <v>806</v>
      </c>
    </row>
    <row r="105" spans="1:10" s="54" customFormat="1" ht="12.75">
      <c r="A105" s="53"/>
      <c r="B105" s="3291">
        <v>2012</v>
      </c>
      <c r="C105" s="3025">
        <v>2456</v>
      </c>
      <c r="D105" s="3025"/>
      <c r="E105" s="3025"/>
      <c r="F105" s="3025"/>
      <c r="G105" s="3025"/>
      <c r="H105" s="3025"/>
      <c r="I105" s="3026"/>
      <c r="J105" s="77">
        <f>SUM(C105:I105)</f>
        <v>2456</v>
      </c>
    </row>
    <row r="106" spans="1:10" s="54" customFormat="1" ht="12.75">
      <c r="A106" s="53"/>
      <c r="B106" s="3291">
        <v>2011</v>
      </c>
      <c r="C106" s="3025">
        <v>2046</v>
      </c>
      <c r="D106" s="3025"/>
      <c r="E106" s="3025"/>
      <c r="F106" s="3025"/>
      <c r="G106" s="3025"/>
      <c r="H106" s="3025"/>
      <c r="I106" s="3026"/>
      <c r="J106" s="77">
        <f>SUM(C106:I106)</f>
        <v>2046</v>
      </c>
    </row>
    <row r="107" spans="1:10" s="54" customFormat="1" ht="12.75">
      <c r="A107" s="53"/>
      <c r="B107" s="3291">
        <v>2010</v>
      </c>
      <c r="C107" s="3025">
        <v>1401</v>
      </c>
      <c r="D107" s="3025"/>
      <c r="E107" s="3025"/>
      <c r="F107" s="3025"/>
      <c r="G107" s="3025"/>
      <c r="H107" s="3025"/>
      <c r="I107" s="3026"/>
      <c r="J107" s="77">
        <f>SUM(C107:I107)</f>
        <v>1401</v>
      </c>
    </row>
    <row r="108" spans="1:10" s="54" customFormat="1" ht="12.75">
      <c r="A108" s="53"/>
      <c r="B108" s="3291">
        <v>2009</v>
      </c>
      <c r="C108" s="3025">
        <v>918</v>
      </c>
      <c r="D108" s="3025"/>
      <c r="E108" s="3025"/>
      <c r="F108" s="3025"/>
      <c r="G108" s="3025"/>
      <c r="H108" s="3025"/>
      <c r="I108" s="3026"/>
      <c r="J108" s="77">
        <f>SUM(C108:I108)</f>
        <v>918</v>
      </c>
    </row>
    <row r="109" spans="1:10" s="54" customFormat="1" ht="12.75">
      <c r="A109" s="53"/>
      <c r="B109" s="3291">
        <v>2008</v>
      </c>
      <c r="C109" s="3294">
        <v>794</v>
      </c>
      <c r="D109" s="3025"/>
      <c r="E109" s="3025"/>
      <c r="F109" s="3025"/>
      <c r="G109" s="3025"/>
      <c r="H109" s="3025"/>
      <c r="I109" s="3026"/>
      <c r="J109" s="77">
        <f>SUM(C109:I109)</f>
        <v>794</v>
      </c>
    </row>
    <row r="111" spans="1:10">
      <c r="B111">
        <v>12</v>
      </c>
      <c r="C111">
        <v>12</v>
      </c>
      <c r="D111" s="2938" t="s">
        <v>193</v>
      </c>
    </row>
    <row r="112" spans="1:10" s="54" customFormat="1" ht="12.75">
      <c r="A112" s="53"/>
      <c r="B112" s="3402" t="s">
        <v>789</v>
      </c>
      <c r="C112" s="3940" t="s">
        <v>933</v>
      </c>
      <c r="D112" s="3940"/>
      <c r="E112" s="3940"/>
      <c r="F112" s="3940"/>
      <c r="G112" s="3940"/>
      <c r="H112" s="3940"/>
      <c r="I112" s="3940"/>
    </row>
    <row r="113" spans="1:10" s="54" customFormat="1" ht="120">
      <c r="A113" s="53"/>
      <c r="B113" s="55"/>
      <c r="C113" s="56" t="s">
        <v>800</v>
      </c>
      <c r="D113" s="56" t="s">
        <v>801</v>
      </c>
      <c r="E113" s="56" t="s">
        <v>802</v>
      </c>
      <c r="F113" s="57" t="s">
        <v>803</v>
      </c>
      <c r="G113" s="3029" t="s">
        <v>807</v>
      </c>
      <c r="H113" s="3029" t="s">
        <v>808</v>
      </c>
      <c r="I113" s="3389" t="s">
        <v>806</v>
      </c>
    </row>
    <row r="114" spans="1:10" s="54" customFormat="1" ht="12.75">
      <c r="A114" s="53"/>
      <c r="B114" s="3291">
        <v>2012</v>
      </c>
      <c r="C114" s="3025">
        <v>4049</v>
      </c>
      <c r="D114" s="3025"/>
      <c r="E114" s="3025">
        <v>142</v>
      </c>
      <c r="F114" s="3025"/>
      <c r="G114" s="3025"/>
      <c r="H114" s="3294"/>
      <c r="I114" s="3026"/>
      <c r="J114" s="77">
        <f>SUM(C114:I114)</f>
        <v>4191</v>
      </c>
    </row>
    <row r="115" spans="1:10" s="54" customFormat="1" ht="12.75">
      <c r="A115" s="53"/>
      <c r="B115" s="3291">
        <v>2011</v>
      </c>
      <c r="C115" s="3025">
        <v>3971</v>
      </c>
      <c r="D115" s="3025"/>
      <c r="E115" s="3025">
        <v>148</v>
      </c>
      <c r="F115" s="3025"/>
      <c r="G115" s="3025"/>
      <c r="H115" s="3294"/>
      <c r="I115" s="3026"/>
      <c r="J115" s="77">
        <f>SUM(C115:I115)</f>
        <v>4119</v>
      </c>
    </row>
    <row r="116" spans="1:10" s="54" customFormat="1" ht="12.75">
      <c r="A116" s="53"/>
      <c r="B116" s="3291">
        <v>2010</v>
      </c>
      <c r="C116" s="3025">
        <v>6060</v>
      </c>
      <c r="D116" s="3025"/>
      <c r="E116" s="3025">
        <v>208</v>
      </c>
      <c r="F116" s="3025"/>
      <c r="G116" s="3025"/>
      <c r="H116" s="3294"/>
      <c r="I116" s="3026"/>
      <c r="J116" s="77">
        <f>SUM(C116:I116)</f>
        <v>6268</v>
      </c>
    </row>
    <row r="117" spans="1:10" s="54" customFormat="1" ht="12.75">
      <c r="A117" s="53"/>
      <c r="B117" s="3291">
        <v>2009</v>
      </c>
      <c r="C117" s="3025">
        <v>4446</v>
      </c>
      <c r="D117" s="3025"/>
      <c r="E117" s="3025">
        <v>199</v>
      </c>
      <c r="F117" s="3025"/>
      <c r="G117" s="3025"/>
      <c r="H117" s="3294"/>
      <c r="I117" s="3026"/>
      <c r="J117" s="77">
        <f>SUM(C117:I117)</f>
        <v>4645</v>
      </c>
    </row>
    <row r="118" spans="1:10" s="54" customFormat="1" ht="12.75">
      <c r="A118" s="53"/>
      <c r="B118" s="3291">
        <v>2008</v>
      </c>
      <c r="C118" s="3294">
        <v>4440</v>
      </c>
      <c r="D118" s="3294"/>
      <c r="E118" s="3294"/>
      <c r="F118" s="3294"/>
      <c r="G118" s="3294"/>
      <c r="H118" s="3294"/>
      <c r="I118" s="3026"/>
      <c r="J118" s="77">
        <f>SUM(C118:I118)</f>
        <v>4440</v>
      </c>
    </row>
    <row r="120" spans="1:10">
      <c r="B120">
        <v>13</v>
      </c>
      <c r="C120">
        <v>13</v>
      </c>
      <c r="D120" s="2938" t="s">
        <v>194</v>
      </c>
    </row>
    <row r="121" spans="1:10" s="54" customFormat="1" ht="12.75">
      <c r="A121" s="53"/>
      <c r="B121" s="3402" t="s">
        <v>789</v>
      </c>
      <c r="C121" s="3940" t="s">
        <v>933</v>
      </c>
      <c r="D121" s="3940"/>
      <c r="E121" s="3940"/>
      <c r="F121" s="3940"/>
      <c r="G121" s="3940"/>
      <c r="H121" s="3940"/>
      <c r="I121" s="3940"/>
    </row>
    <row r="122" spans="1:10" s="54" customFormat="1" ht="120">
      <c r="A122" s="53"/>
      <c r="B122" s="55"/>
      <c r="C122" s="56" t="s">
        <v>800</v>
      </c>
      <c r="D122" s="56" t="s">
        <v>801</v>
      </c>
      <c r="E122" s="56" t="s">
        <v>802</v>
      </c>
      <c r="F122" s="57" t="s">
        <v>803</v>
      </c>
      <c r="G122" s="3029" t="s">
        <v>807</v>
      </c>
      <c r="H122" s="3029" t="s">
        <v>808</v>
      </c>
      <c r="I122" s="3029" t="s">
        <v>806</v>
      </c>
    </row>
    <row r="123" spans="1:10" s="54" customFormat="1" ht="12.75">
      <c r="A123" s="53"/>
      <c r="B123" s="3291">
        <v>2012</v>
      </c>
      <c r="C123" s="3025">
        <v>649</v>
      </c>
      <c r="D123" s="3025"/>
      <c r="E123" s="3025"/>
      <c r="F123" s="3025"/>
      <c r="G123" s="3025"/>
      <c r="H123" s="3025"/>
      <c r="I123" s="3026"/>
      <c r="J123" s="77">
        <v>649</v>
      </c>
    </row>
    <row r="124" spans="1:10" s="54" customFormat="1" ht="12.75">
      <c r="A124" s="53"/>
      <c r="B124" s="3291">
        <v>2011</v>
      </c>
      <c r="C124" s="3025">
        <v>561</v>
      </c>
      <c r="D124" s="3025"/>
      <c r="E124" s="3025"/>
      <c r="F124" s="3025"/>
      <c r="G124" s="3025"/>
      <c r="H124" s="3025"/>
      <c r="I124" s="3026"/>
      <c r="J124" s="77">
        <v>561</v>
      </c>
    </row>
    <row r="125" spans="1:10" s="54" customFormat="1" ht="12.75">
      <c r="A125" s="53"/>
      <c r="B125" s="3291">
        <v>2010</v>
      </c>
      <c r="C125" s="3025">
        <v>496</v>
      </c>
      <c r="D125" s="3025"/>
      <c r="E125" s="3025"/>
      <c r="F125" s="3025"/>
      <c r="G125" s="3025"/>
      <c r="H125" s="3025"/>
      <c r="I125" s="3026"/>
      <c r="J125" s="77">
        <v>496</v>
      </c>
    </row>
    <row r="126" spans="1:10" s="54" customFormat="1" ht="12.75">
      <c r="A126" s="53"/>
      <c r="B126" s="3291">
        <v>2009</v>
      </c>
      <c r="C126" s="3025">
        <v>513</v>
      </c>
      <c r="D126" s="3025"/>
      <c r="E126" s="3025"/>
      <c r="F126" s="3025"/>
      <c r="G126" s="3025"/>
      <c r="H126" s="3025"/>
      <c r="I126" s="3026"/>
      <c r="J126" s="77">
        <v>513</v>
      </c>
    </row>
    <row r="127" spans="1:10" s="54" customFormat="1" ht="12.75">
      <c r="A127" s="53"/>
      <c r="B127" s="3291">
        <v>2008</v>
      </c>
      <c r="C127" s="3025">
        <v>7</v>
      </c>
      <c r="D127" s="3025"/>
      <c r="E127" s="3025"/>
      <c r="F127" s="3025"/>
      <c r="G127" s="3025"/>
      <c r="H127" s="3025"/>
      <c r="I127" s="3026"/>
      <c r="J127" s="77">
        <v>7</v>
      </c>
    </row>
    <row r="129" spans="1:10">
      <c r="B129">
        <v>14</v>
      </c>
      <c r="C129">
        <v>14</v>
      </c>
      <c r="D129" s="2938" t="s">
        <v>195</v>
      </c>
    </row>
    <row r="130" spans="1:10" s="54" customFormat="1" ht="12.75">
      <c r="A130" s="53"/>
      <c r="B130" s="3402" t="s">
        <v>789</v>
      </c>
      <c r="C130" s="3940" t="s">
        <v>933</v>
      </c>
      <c r="D130" s="3940"/>
      <c r="E130" s="3940"/>
      <c r="F130" s="3940"/>
      <c r="G130" s="3940"/>
      <c r="H130" s="3940"/>
      <c r="I130" s="3940"/>
    </row>
    <row r="131" spans="1:10" s="54" customFormat="1" ht="120">
      <c r="A131" s="53"/>
      <c r="B131" s="55"/>
      <c r="C131" s="56" t="s">
        <v>800</v>
      </c>
      <c r="D131" s="56" t="s">
        <v>801</v>
      </c>
      <c r="E131" s="56" t="s">
        <v>802</v>
      </c>
      <c r="F131" s="57" t="s">
        <v>803</v>
      </c>
      <c r="G131" s="3029" t="s">
        <v>807</v>
      </c>
      <c r="H131" s="3029" t="s">
        <v>808</v>
      </c>
      <c r="I131" s="3029" t="s">
        <v>806</v>
      </c>
    </row>
    <row r="132" spans="1:10" s="54" customFormat="1" ht="12.75">
      <c r="A132" s="53"/>
      <c r="B132" s="3291">
        <v>2012</v>
      </c>
      <c r="C132" s="3174">
        <v>17334</v>
      </c>
      <c r="D132" s="3174">
        <v>10</v>
      </c>
      <c r="E132" s="3174">
        <v>0</v>
      </c>
      <c r="F132" s="3174">
        <v>0</v>
      </c>
      <c r="G132" s="3174">
        <v>0</v>
      </c>
      <c r="H132" s="3026">
        <v>0</v>
      </c>
      <c r="I132" s="3026">
        <v>0</v>
      </c>
      <c r="J132" s="3174">
        <f>SUM(C132:I132)</f>
        <v>17344</v>
      </c>
    </row>
    <row r="133" spans="1:10" s="54" customFormat="1" ht="12.75">
      <c r="A133" s="53"/>
      <c r="B133" s="3291">
        <v>2011</v>
      </c>
      <c r="C133" s="3174">
        <v>14297</v>
      </c>
      <c r="D133" s="3174">
        <v>16</v>
      </c>
      <c r="E133" s="3174">
        <v>0</v>
      </c>
      <c r="F133" s="3174">
        <v>0</v>
      </c>
      <c r="G133" s="3174">
        <v>0</v>
      </c>
      <c r="H133" s="3026">
        <v>0</v>
      </c>
      <c r="I133" s="3026">
        <v>0</v>
      </c>
      <c r="J133" s="3174">
        <f>SUM(C133:I133)</f>
        <v>14313</v>
      </c>
    </row>
    <row r="134" spans="1:10" s="54" customFormat="1" ht="12.75">
      <c r="A134" s="53"/>
      <c r="B134" s="3291">
        <v>2010</v>
      </c>
      <c r="C134" s="3174">
        <v>13407</v>
      </c>
      <c r="D134" s="3174">
        <v>0</v>
      </c>
      <c r="E134" s="3174">
        <v>0</v>
      </c>
      <c r="F134" s="3174">
        <v>0</v>
      </c>
      <c r="G134" s="3174">
        <v>0</v>
      </c>
      <c r="H134" s="3026">
        <v>0</v>
      </c>
      <c r="I134" s="3026">
        <v>0</v>
      </c>
      <c r="J134" s="3174">
        <f>SUM(C134:I134)</f>
        <v>13407</v>
      </c>
    </row>
    <row r="135" spans="1:10" s="54" customFormat="1" ht="12.75">
      <c r="A135" s="53"/>
      <c r="B135" s="3291">
        <v>2009</v>
      </c>
      <c r="C135" s="3174">
        <v>12319</v>
      </c>
      <c r="D135" s="3174">
        <v>0</v>
      </c>
      <c r="E135" s="3174">
        <v>0</v>
      </c>
      <c r="F135" s="3174">
        <v>0</v>
      </c>
      <c r="G135" s="3174">
        <v>0</v>
      </c>
      <c r="H135" s="3026">
        <v>0</v>
      </c>
      <c r="I135" s="3026">
        <v>0</v>
      </c>
      <c r="J135" s="3174">
        <f>SUM(C135:I135)</f>
        <v>12319</v>
      </c>
    </row>
    <row r="136" spans="1:10" s="54" customFormat="1" ht="12.75">
      <c r="A136" s="53"/>
      <c r="B136" s="3291">
        <v>2008</v>
      </c>
      <c r="C136" s="3026">
        <v>12271</v>
      </c>
      <c r="D136" s="3026">
        <v>0</v>
      </c>
      <c r="E136" s="3026">
        <v>0</v>
      </c>
      <c r="F136" s="3026">
        <v>0</v>
      </c>
      <c r="G136" s="3026">
        <v>0</v>
      </c>
      <c r="H136" s="3026">
        <v>0</v>
      </c>
      <c r="I136" s="3026">
        <v>0</v>
      </c>
      <c r="J136" s="3174">
        <f>SUM(C136:I136)</f>
        <v>12271</v>
      </c>
    </row>
    <row r="138" spans="1:10">
      <c r="B138">
        <v>15</v>
      </c>
      <c r="C138">
        <v>15</v>
      </c>
      <c r="D138" s="2941" t="s">
        <v>176</v>
      </c>
    </row>
    <row r="139" spans="1:10" s="54" customFormat="1" ht="12.75">
      <c r="A139" s="53"/>
      <c r="B139" s="3402" t="s">
        <v>789</v>
      </c>
      <c r="C139" s="3940" t="s">
        <v>933</v>
      </c>
      <c r="D139" s="3940"/>
      <c r="E139" s="3940"/>
      <c r="F139" s="3940"/>
      <c r="G139" s="3940"/>
      <c r="H139" s="3940"/>
      <c r="I139" s="3940"/>
    </row>
    <row r="140" spans="1:10" s="54" customFormat="1" ht="120">
      <c r="A140" s="53"/>
      <c r="B140" s="55"/>
      <c r="C140" s="56" t="s">
        <v>800</v>
      </c>
      <c r="D140" s="56" t="s">
        <v>801</v>
      </c>
      <c r="E140" s="56" t="s">
        <v>802</v>
      </c>
      <c r="F140" s="57" t="s">
        <v>803</v>
      </c>
      <c r="G140" s="3029" t="s">
        <v>807</v>
      </c>
      <c r="H140" s="3029" t="s">
        <v>808</v>
      </c>
      <c r="I140" s="3029" t="s">
        <v>806</v>
      </c>
    </row>
    <row r="141" spans="1:10" s="54" customFormat="1" ht="12.75">
      <c r="A141" s="53"/>
      <c r="B141" s="3291">
        <v>2012</v>
      </c>
      <c r="C141" s="3299">
        <v>2814</v>
      </c>
      <c r="D141" s="3025"/>
      <c r="E141" s="3025"/>
      <c r="F141" s="3025"/>
      <c r="G141" s="3025"/>
      <c r="H141" s="3025"/>
      <c r="I141" s="3026"/>
      <c r="J141" s="77">
        <f>SUM(C141:I141)</f>
        <v>2814</v>
      </c>
    </row>
    <row r="142" spans="1:10" s="54" customFormat="1" ht="12.75">
      <c r="A142" s="53"/>
      <c r="B142" s="3291">
        <v>2011</v>
      </c>
      <c r="C142" s="3025"/>
      <c r="D142" s="3025"/>
      <c r="E142" s="3025"/>
      <c r="F142" s="3025"/>
      <c r="G142" s="3025"/>
      <c r="H142" s="3025"/>
      <c r="I142" s="3026"/>
      <c r="J142" s="77">
        <f>SUM(C142:I142)</f>
        <v>0</v>
      </c>
    </row>
    <row r="143" spans="1:10" s="54" customFormat="1" ht="12.75">
      <c r="A143" s="53"/>
      <c r="B143" s="3291">
        <v>2010</v>
      </c>
      <c r="C143" s="3025"/>
      <c r="D143" s="3025"/>
      <c r="E143" s="3025"/>
      <c r="F143" s="3025"/>
      <c r="G143" s="3025"/>
      <c r="H143" s="3025"/>
      <c r="I143" s="3026"/>
      <c r="J143" s="77">
        <f>SUM(C143:I143)</f>
        <v>0</v>
      </c>
    </row>
    <row r="144" spans="1:10" s="54" customFormat="1" ht="12.75">
      <c r="A144" s="53"/>
      <c r="B144" s="3291">
        <v>2009</v>
      </c>
      <c r="C144" s="3025"/>
      <c r="D144" s="3025"/>
      <c r="E144" s="3025"/>
      <c r="F144" s="3025"/>
      <c r="G144" s="3025"/>
      <c r="H144" s="3025"/>
      <c r="I144" s="3026"/>
      <c r="J144" s="77">
        <f>SUM(C144:I144)</f>
        <v>0</v>
      </c>
    </row>
    <row r="145" spans="1:10" s="54" customFormat="1" ht="12.75">
      <c r="A145" s="53"/>
      <c r="B145" s="3291">
        <v>2008</v>
      </c>
      <c r="C145" s="3025"/>
      <c r="D145" s="3025"/>
      <c r="E145" s="3025"/>
      <c r="F145" s="3025"/>
      <c r="G145" s="3025"/>
      <c r="H145" s="3025"/>
      <c r="I145" s="3026"/>
      <c r="J145" s="77">
        <f>SUM(C145:I145)</f>
        <v>0</v>
      </c>
    </row>
  </sheetData>
  <customSheetViews>
    <customSheetView guid="{5E394B0B-7867-4722-9497-A93AB2A9A773}" showPageBreaks="1" state="hidden" topLeftCell="J13">
      <selection activeCell="C6" sqref="C6"/>
      <pageMargins left="0" right="0" top="0" bottom="0" header="0" footer="0"/>
      <pageSetup orientation="portrait" r:id="rId1"/>
    </customSheetView>
    <customSheetView guid="{B1E1B596-A9A1-411D-A882-A48CB025B978}" state="hidden" topLeftCell="J13">
      <selection activeCell="C6" sqref="C6"/>
      <pageMargins left="0" right="0" top="0" bottom="0" header="0" footer="0"/>
      <pageSetup orientation="portrait" r:id="rId2"/>
    </customSheetView>
    <customSheetView guid="{E82B35BE-4719-4C53-A9EF-1CC6F153A6F3}" state="hidden" topLeftCell="J13">
      <selection activeCell="C6" sqref="C6"/>
      <pageMargins left="0" right="0" top="0" bottom="0" header="0" footer="0"/>
    </customSheetView>
    <customSheetView guid="{46F31544-8E6F-41C5-8628-1D6EE074AF15}" state="hidden" topLeftCell="J13">
      <selection activeCell="C6" sqref="C6"/>
      <pageMargins left="0" right="0" top="0" bottom="0" header="0" footer="0"/>
      <pageSetup orientation="portrait" r:id="rId3"/>
    </customSheetView>
    <customSheetView guid="{B2E1A0C6-5BA1-4CF1-B412-16D81FCDF11F}" state="hidden" topLeftCell="J13">
      <selection activeCell="C6" sqref="C6"/>
      <pageMargins left="0" right="0" top="0" bottom="0" header="0" footer="0"/>
      <pageSetup orientation="portrait" r:id="rId4"/>
    </customSheetView>
    <customSheetView guid="{967E0446-E234-427F-8E57-7FE287052E2E}" showPageBreaks="1" state="hidden" topLeftCell="J13">
      <selection activeCell="C6" sqref="C6"/>
      <pageMargins left="0" right="0" top="0" bottom="0" header="0" footer="0"/>
      <pageSetup orientation="portrait" r:id="rId5"/>
    </customSheetView>
    <customSheetView guid="{2ACFE167-4169-43A6-9AB2-59D5A2DA2DB4}" showPageBreaks="1" state="hidden" topLeftCell="J13">
      <selection activeCell="C6" sqref="C6"/>
      <pageMargins left="0" right="0" top="0" bottom="0" header="0" footer="0"/>
      <pageSetup orientation="portrait" r:id="rId6"/>
    </customSheetView>
  </customSheetViews>
  <mergeCells count="16">
    <mergeCell ref="C49:I49"/>
    <mergeCell ref="C4:I4"/>
    <mergeCell ref="C13:I13"/>
    <mergeCell ref="C22:I22"/>
    <mergeCell ref="C31:I31"/>
    <mergeCell ref="C40:I40"/>
    <mergeCell ref="C112:I112"/>
    <mergeCell ref="C121:I121"/>
    <mergeCell ref="C130:I130"/>
    <mergeCell ref="C139:I139"/>
    <mergeCell ref="C58:I58"/>
    <mergeCell ref="C67:I67"/>
    <mergeCell ref="C76:I76"/>
    <mergeCell ref="C85:I85"/>
    <mergeCell ref="C94:I94"/>
    <mergeCell ref="C103:I103"/>
  </mergeCells>
  <pageMargins left="0.7" right="0.7" top="0.75" bottom="0.75" header="0.3" footer="0.3"/>
  <pageSetup orientation="portrait" r:id="rId7"/>
  <drawing r:id="rId8"/>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H190"/>
  <sheetViews>
    <sheetView showGridLines="0" view="pageBreakPreview" topLeftCell="A16" zoomScale="85" zoomScaleNormal="100" zoomScaleSheetLayoutView="85" workbookViewId="0">
      <pane xSplit="2" topLeftCell="D1" activePane="topRight" state="frozen"/>
      <selection pane="topRight" activeCell="L17" sqref="L17"/>
    </sheetView>
  </sheetViews>
  <sheetFormatPr defaultColWidth="9.140625" defaultRowHeight="15"/>
  <cols>
    <col min="1" max="1" width="3.140625" style="607" customWidth="1"/>
    <col min="2" max="2" width="28.140625" style="609" customWidth="1"/>
    <col min="3" max="3" width="20.5703125" style="609" hidden="1" customWidth="1"/>
    <col min="4" max="6" width="20.5703125" style="609" customWidth="1"/>
    <col min="7" max="8" width="21.42578125" style="610" customWidth="1"/>
    <col min="9" max="34" width="9.140625" style="610"/>
    <col min="35" max="16384" width="9.140625" style="609"/>
  </cols>
  <sheetData>
    <row r="1" spans="1:8">
      <c r="B1" s="608"/>
      <c r="C1" s="608"/>
      <c r="D1" s="608"/>
      <c r="E1" s="608"/>
      <c r="F1" s="608"/>
    </row>
    <row r="2" spans="1:8">
      <c r="B2" s="512" t="s">
        <v>941</v>
      </c>
      <c r="C2" s="608"/>
      <c r="D2" s="512"/>
      <c r="E2" s="512"/>
      <c r="F2" s="512"/>
    </row>
    <row r="3" spans="1:8">
      <c r="B3" s="470"/>
      <c r="C3" s="608"/>
      <c r="D3" s="608"/>
      <c r="E3" s="470"/>
      <c r="F3" s="470"/>
    </row>
    <row r="4" spans="1:8">
      <c r="B4" s="1956" t="s">
        <v>253</v>
      </c>
      <c r="C4" s="608"/>
      <c r="D4" s="608"/>
      <c r="E4" s="496"/>
      <c r="F4" s="496"/>
    </row>
    <row r="5" spans="1:8">
      <c r="A5" s="474"/>
      <c r="B5" s="1957"/>
      <c r="C5" s="3300">
        <v>2016</v>
      </c>
      <c r="D5" s="3301">
        <v>2017</v>
      </c>
      <c r="E5" s="3301">
        <v>2018</v>
      </c>
      <c r="F5" s="3301">
        <v>2019</v>
      </c>
      <c r="G5" s="3301" t="s">
        <v>137</v>
      </c>
      <c r="H5" s="3301" t="s">
        <v>84</v>
      </c>
    </row>
    <row r="6" spans="1:8">
      <c r="A6" s="497"/>
      <c r="B6" s="1926" t="s">
        <v>942</v>
      </c>
      <c r="C6" s="1981">
        <f t="shared" ref="C6:F10" si="0">+C162+C17+C27+C40+C50+C60+C73+C84+C94+C107+C117+C128+C141+C151+C172</f>
        <v>108680</v>
      </c>
      <c r="D6" s="1981">
        <f t="shared" si="0"/>
        <v>128266</v>
      </c>
      <c r="E6" s="1981">
        <f t="shared" si="0"/>
        <v>153856</v>
      </c>
      <c r="F6" s="1981">
        <f t="shared" si="0"/>
        <v>130723</v>
      </c>
      <c r="G6" s="2056">
        <f t="shared" ref="G6:H8" si="1">+G162+G17+G27+G40+G50+G60+G73+G84+G94+G107+G117+G128+G141+G151+G172</f>
        <v>153491</v>
      </c>
      <c r="H6" s="2020">
        <f t="shared" si="1"/>
        <v>157176</v>
      </c>
    </row>
    <row r="7" spans="1:8">
      <c r="A7" s="497"/>
      <c r="B7" s="3302" t="s">
        <v>943</v>
      </c>
      <c r="C7" s="1981">
        <f t="shared" si="0"/>
        <v>8418</v>
      </c>
      <c r="D7" s="1981">
        <f t="shared" si="0"/>
        <v>11247</v>
      </c>
      <c r="E7" s="1981">
        <f t="shared" si="0"/>
        <v>11935</v>
      </c>
      <c r="F7" s="1981">
        <f t="shared" si="0"/>
        <v>12958</v>
      </c>
      <c r="G7" s="2056">
        <f t="shared" si="1"/>
        <v>12105</v>
      </c>
      <c r="H7" s="2020">
        <f t="shared" si="1"/>
        <v>14454</v>
      </c>
    </row>
    <row r="8" spans="1:8">
      <c r="A8" s="497"/>
      <c r="B8" s="3302" t="s">
        <v>944</v>
      </c>
      <c r="C8" s="1981">
        <f t="shared" si="0"/>
        <v>9521</v>
      </c>
      <c r="D8" s="1981">
        <f t="shared" si="0"/>
        <v>10749</v>
      </c>
      <c r="E8" s="1981">
        <f t="shared" si="0"/>
        <v>10737</v>
      </c>
      <c r="F8" s="1981">
        <f t="shared" si="0"/>
        <v>12251</v>
      </c>
      <c r="G8" s="2056">
        <f t="shared" si="1"/>
        <v>11036</v>
      </c>
      <c r="H8" s="2020">
        <f t="shared" si="1"/>
        <v>13986</v>
      </c>
    </row>
    <row r="9" spans="1:8">
      <c r="A9" s="497"/>
      <c r="B9" s="3302" t="s">
        <v>945</v>
      </c>
      <c r="C9" s="1981">
        <f t="shared" si="0"/>
        <v>46484</v>
      </c>
      <c r="D9" s="1981">
        <f t="shared" si="0"/>
        <v>47191</v>
      </c>
      <c r="E9" s="1981">
        <f t="shared" si="0"/>
        <v>70412</v>
      </c>
      <c r="F9" s="1981">
        <f t="shared" si="0"/>
        <v>75988</v>
      </c>
      <c r="G9" s="2056">
        <f t="shared" ref="G9" si="2">+G165+G20+G30+G43+G53+G63+G76+G87+G97+G110+G120+G131+G144+G154+G175</f>
        <v>155718</v>
      </c>
      <c r="H9" s="2020">
        <f t="shared" ref="H9" si="3">+H165+H20+H30+H43+H53+H63+H76+H87+H97+H110+H120+H131+H144+H154+H175</f>
        <v>126686</v>
      </c>
    </row>
    <row r="10" spans="1:8">
      <c r="A10" s="497"/>
      <c r="B10" s="3302" t="s">
        <v>946</v>
      </c>
      <c r="C10" s="1981">
        <f t="shared" si="0"/>
        <v>143336</v>
      </c>
      <c r="D10" s="1981">
        <v>44754</v>
      </c>
      <c r="E10" s="1981">
        <f t="shared" si="0"/>
        <v>166745</v>
      </c>
      <c r="F10" s="1981">
        <f t="shared" si="0"/>
        <v>205076</v>
      </c>
      <c r="G10" s="2056">
        <f t="shared" ref="G10" si="4">+G166+G21+G31+G44+G54+G64+G77+G88+G98+G111+G121+G132+G145+G155+G176</f>
        <v>173183</v>
      </c>
      <c r="H10" s="2020">
        <f t="shared" ref="H10" si="5">+H166+H21+H31+H44+H54+H64+H77+H88+H98+H111+H121+H132+H145+H155+H176</f>
        <v>232373</v>
      </c>
    </row>
    <row r="11" spans="1:8">
      <c r="A11" s="497"/>
      <c r="B11" s="3303" t="s">
        <v>118</v>
      </c>
      <c r="C11" s="1996">
        <v>316439</v>
      </c>
      <c r="D11" s="1996">
        <v>342905</v>
      </c>
      <c r="E11" s="1996">
        <f>SUM(E6:E10)</f>
        <v>413685</v>
      </c>
      <c r="F11" s="1996">
        <f>SUM(F6:F10)</f>
        <v>436996</v>
      </c>
      <c r="G11" s="1996">
        <f>SUM(G6:G10)</f>
        <v>505533</v>
      </c>
      <c r="H11" s="1996">
        <f>SUM(H6:H10)</f>
        <v>544675</v>
      </c>
    </row>
    <row r="12" spans="1:8">
      <c r="A12" s="497"/>
      <c r="B12" s="529"/>
      <c r="C12" s="279"/>
      <c r="D12" s="279"/>
      <c r="E12" s="529"/>
      <c r="F12" s="529"/>
      <c r="G12" s="529"/>
      <c r="H12" s="529"/>
    </row>
    <row r="13" spans="1:8">
      <c r="G13" s="609"/>
      <c r="H13" s="609"/>
    </row>
    <row r="14" spans="1:8">
      <c r="A14" s="497"/>
      <c r="B14" s="278"/>
      <c r="C14" s="279"/>
      <c r="D14" s="278"/>
      <c r="E14" s="278"/>
      <c r="F14" s="278"/>
      <c r="G14" s="278"/>
      <c r="H14" s="278"/>
    </row>
    <row r="15" spans="1:8">
      <c r="A15" s="609"/>
      <c r="B15" s="1931" t="s">
        <v>314</v>
      </c>
      <c r="C15" s="611"/>
      <c r="D15" s="611"/>
      <c r="E15" s="512"/>
      <c r="F15" s="512"/>
      <c r="G15" s="512"/>
      <c r="H15" s="512"/>
    </row>
    <row r="16" spans="1:8">
      <c r="A16" s="529"/>
      <c r="B16" s="1932"/>
      <c r="C16" s="3403">
        <v>2016</v>
      </c>
      <c r="D16" s="1952">
        <v>2017</v>
      </c>
      <c r="E16" s="1949">
        <v>2018</v>
      </c>
      <c r="F16" s="1950">
        <v>2019</v>
      </c>
      <c r="G16" s="1949" t="s">
        <v>137</v>
      </c>
      <c r="H16" s="1953" t="s">
        <v>84</v>
      </c>
    </row>
    <row r="17" spans="1:8">
      <c r="A17" s="518"/>
      <c r="B17" s="235" t="s">
        <v>942</v>
      </c>
      <c r="C17" s="1988">
        <v>41</v>
      </c>
      <c r="D17" s="1923">
        <v>101</v>
      </c>
      <c r="E17" s="1923">
        <v>84</v>
      </c>
      <c r="F17" s="1923">
        <v>366</v>
      </c>
      <c r="G17" s="1925">
        <v>313</v>
      </c>
      <c r="H17" s="1924">
        <v>624</v>
      </c>
    </row>
    <row r="18" spans="1:8">
      <c r="A18" s="497"/>
      <c r="B18" s="1981" t="s">
        <v>943</v>
      </c>
      <c r="C18" s="1988">
        <v>28</v>
      </c>
      <c r="D18" s="1988">
        <v>28</v>
      </c>
      <c r="E18" s="1988">
        <v>59</v>
      </c>
      <c r="F18" s="1988">
        <v>73</v>
      </c>
      <c r="G18" s="2056">
        <v>91</v>
      </c>
      <c r="H18" s="2020">
        <v>38</v>
      </c>
    </row>
    <row r="19" spans="1:8">
      <c r="A19" s="497"/>
      <c r="B19" s="1981" t="s">
        <v>944</v>
      </c>
      <c r="C19" s="1988">
        <v>4</v>
      </c>
      <c r="D19" s="1988">
        <v>2</v>
      </c>
      <c r="E19" s="1988"/>
      <c r="F19" s="1988"/>
      <c r="G19" s="2056">
        <v>0</v>
      </c>
      <c r="H19" s="2020">
        <v>0</v>
      </c>
    </row>
    <row r="20" spans="1:8">
      <c r="A20" s="497"/>
      <c r="B20" s="1981" t="s">
        <v>945</v>
      </c>
      <c r="C20" s="1988">
        <v>75</v>
      </c>
      <c r="D20" s="1988">
        <v>153</v>
      </c>
      <c r="E20" s="1988">
        <v>435</v>
      </c>
      <c r="F20" s="1988">
        <v>775</v>
      </c>
      <c r="G20" s="2056">
        <v>1083</v>
      </c>
      <c r="H20" s="2020">
        <v>1442</v>
      </c>
    </row>
    <row r="21" spans="1:8">
      <c r="A21" s="497"/>
      <c r="B21" s="1981" t="s">
        <v>645</v>
      </c>
      <c r="C21" s="1988">
        <v>285</v>
      </c>
      <c r="D21" s="1988">
        <v>626</v>
      </c>
      <c r="E21" s="1988">
        <v>934</v>
      </c>
      <c r="F21" s="1988">
        <v>502</v>
      </c>
      <c r="G21" s="2056">
        <v>1072</v>
      </c>
      <c r="H21" s="2020">
        <v>2352</v>
      </c>
    </row>
    <row r="22" spans="1:8">
      <c r="A22" s="497"/>
      <c r="B22" s="278" t="s">
        <v>118</v>
      </c>
      <c r="C22" s="439">
        <v>433</v>
      </c>
      <c r="D22" s="663">
        <v>910</v>
      </c>
      <c r="E22" s="663">
        <f>SUM(E17:E21)</f>
        <v>1512</v>
      </c>
      <c r="F22" s="663">
        <f>SUM(F17:F21)</f>
        <v>1716</v>
      </c>
      <c r="G22" s="663">
        <f>SUM(G17:G21)</f>
        <v>2559</v>
      </c>
      <c r="H22" s="663">
        <f>SUM(H17:H21)</f>
        <v>4456</v>
      </c>
    </row>
    <row r="23" spans="1:8">
      <c r="A23" s="497"/>
      <c r="B23" s="278"/>
      <c r="C23" s="279"/>
      <c r="D23" s="278"/>
      <c r="E23" s="278"/>
      <c r="F23" s="278"/>
      <c r="G23" s="278"/>
      <c r="H23" s="278"/>
    </row>
    <row r="24" spans="1:8">
      <c r="A24" s="497"/>
      <c r="B24" s="278"/>
      <c r="C24" s="279"/>
      <c r="D24" s="278"/>
      <c r="E24" s="278"/>
      <c r="F24" s="278"/>
      <c r="G24" s="278"/>
      <c r="H24" s="278"/>
    </row>
    <row r="25" spans="1:8">
      <c r="A25" s="609"/>
      <c r="B25" s="1931" t="s">
        <v>93</v>
      </c>
      <c r="C25" s="611"/>
      <c r="D25" s="611"/>
      <c r="E25" s="512"/>
      <c r="F25" s="512"/>
      <c r="G25" s="512"/>
      <c r="H25" s="512"/>
    </row>
    <row r="26" spans="1:8">
      <c r="A26" s="529"/>
      <c r="B26" s="1932"/>
      <c r="C26" s="3403">
        <v>2016</v>
      </c>
      <c r="D26" s="1952">
        <v>2017</v>
      </c>
      <c r="E26" s="1949">
        <v>2018</v>
      </c>
      <c r="F26" s="1950">
        <v>2019</v>
      </c>
      <c r="G26" s="1949" t="s">
        <v>137</v>
      </c>
      <c r="H26" s="1953" t="s">
        <v>84</v>
      </c>
    </row>
    <row r="27" spans="1:8">
      <c r="A27" s="497"/>
      <c r="B27" s="235" t="s">
        <v>942</v>
      </c>
      <c r="C27" s="3304">
        <v>21</v>
      </c>
      <c r="D27" s="1958">
        <v>32</v>
      </c>
      <c r="E27" s="1923">
        <v>31</v>
      </c>
      <c r="F27" s="1923">
        <v>44</v>
      </c>
      <c r="G27" s="1925">
        <v>61</v>
      </c>
      <c r="H27" s="1924">
        <v>69</v>
      </c>
    </row>
    <row r="28" spans="1:8">
      <c r="A28" s="518"/>
      <c r="B28" s="1981" t="s">
        <v>943</v>
      </c>
      <c r="C28" s="3304">
        <v>29</v>
      </c>
      <c r="D28" s="2016">
        <v>56</v>
      </c>
      <c r="E28" s="1988">
        <v>54</v>
      </c>
      <c r="F28" s="1988">
        <v>136</v>
      </c>
      <c r="G28" s="2056">
        <v>196</v>
      </c>
      <c r="H28" s="2020">
        <v>110</v>
      </c>
    </row>
    <row r="29" spans="1:8">
      <c r="A29" s="497"/>
      <c r="B29" s="1981" t="s">
        <v>944</v>
      </c>
      <c r="C29" s="3304">
        <v>19</v>
      </c>
      <c r="D29" s="2016">
        <v>64</v>
      </c>
      <c r="E29" s="1988">
        <v>13</v>
      </c>
      <c r="F29" s="1988">
        <v>248</v>
      </c>
      <c r="G29" s="2056">
        <v>193</v>
      </c>
      <c r="H29" s="2020">
        <v>198</v>
      </c>
    </row>
    <row r="30" spans="1:8">
      <c r="A30" s="497"/>
      <c r="B30" s="1981" t="s">
        <v>945</v>
      </c>
      <c r="C30" s="3304">
        <v>339</v>
      </c>
      <c r="D30" s="2016">
        <v>379</v>
      </c>
      <c r="E30" s="1988">
        <v>587</v>
      </c>
      <c r="F30" s="1988">
        <v>760</v>
      </c>
      <c r="G30" s="2056">
        <v>709</v>
      </c>
      <c r="H30" s="2020">
        <v>986</v>
      </c>
    </row>
    <row r="31" spans="1:8">
      <c r="A31" s="497"/>
      <c r="B31" s="1981" t="s">
        <v>645</v>
      </c>
      <c r="C31" s="3304">
        <v>1290</v>
      </c>
      <c r="D31" s="2016">
        <v>2178</v>
      </c>
      <c r="E31" s="1988">
        <v>970</v>
      </c>
      <c r="F31" s="1988">
        <v>2203</v>
      </c>
      <c r="G31" s="2056">
        <v>1445</v>
      </c>
      <c r="H31" s="2020">
        <v>2268</v>
      </c>
    </row>
    <row r="32" spans="1:8">
      <c r="A32" s="497"/>
      <c r="B32" s="278" t="s">
        <v>118</v>
      </c>
      <c r="C32" s="439">
        <v>1698</v>
      </c>
      <c r="D32" s="663">
        <v>2709</v>
      </c>
      <c r="E32" s="663">
        <f>SUM(E27:E31)</f>
        <v>1655</v>
      </c>
      <c r="F32" s="663">
        <f>SUM(F27:F31)</f>
        <v>3391</v>
      </c>
      <c r="G32" s="663">
        <f>SUM(G27:G31)</f>
        <v>2604</v>
      </c>
      <c r="H32" s="663">
        <f>SUM(H27:H31)</f>
        <v>3631</v>
      </c>
    </row>
    <row r="33" spans="1:8">
      <c r="A33" s="497"/>
      <c r="B33" s="278"/>
      <c r="C33" s="279"/>
      <c r="D33" s="278"/>
      <c r="E33" s="278"/>
      <c r="F33" s="278"/>
      <c r="G33" s="278"/>
      <c r="H33" s="278"/>
    </row>
    <row r="34" spans="1:8">
      <c r="A34" s="497"/>
      <c r="B34" s="278"/>
      <c r="C34" s="279"/>
      <c r="D34" s="278"/>
      <c r="E34" s="278"/>
      <c r="G34" s="315"/>
      <c r="H34" s="315">
        <v>190</v>
      </c>
    </row>
    <row r="35" spans="1:8">
      <c r="A35" s="497"/>
      <c r="B35" s="278"/>
      <c r="C35" s="279"/>
      <c r="D35" s="278"/>
      <c r="E35" s="278"/>
      <c r="F35" s="278"/>
      <c r="G35" s="278"/>
      <c r="H35" s="278"/>
    </row>
    <row r="36" spans="1:8">
      <c r="A36" s="497"/>
      <c r="B36" s="529" t="s">
        <v>947</v>
      </c>
      <c r="C36" s="279"/>
      <c r="D36" s="529"/>
      <c r="E36" s="529"/>
      <c r="F36" s="529"/>
      <c r="G36" s="529"/>
      <c r="H36" s="529"/>
    </row>
    <row r="37" spans="1:8">
      <c r="A37" s="497"/>
      <c r="B37" s="279"/>
      <c r="C37" s="279"/>
      <c r="D37" s="278"/>
      <c r="E37" s="279"/>
      <c r="F37" s="279"/>
      <c r="G37" s="279"/>
      <c r="H37" s="279"/>
    </row>
    <row r="38" spans="1:8">
      <c r="A38" s="609"/>
      <c r="B38" s="1931" t="s">
        <v>91</v>
      </c>
      <c r="C38" s="611"/>
      <c r="D38" s="611"/>
      <c r="E38" s="512"/>
      <c r="F38" s="512"/>
      <c r="G38" s="512"/>
      <c r="H38" s="512"/>
    </row>
    <row r="39" spans="1:8">
      <c r="A39" s="529"/>
      <c r="B39" s="1932"/>
      <c r="C39" s="3403">
        <v>2016</v>
      </c>
      <c r="D39" s="1952">
        <v>2017</v>
      </c>
      <c r="E39" s="1949">
        <v>2018</v>
      </c>
      <c r="F39" s="1950">
        <v>2019</v>
      </c>
      <c r="G39" s="1949" t="s">
        <v>137</v>
      </c>
      <c r="H39" s="1953" t="s">
        <v>84</v>
      </c>
    </row>
    <row r="40" spans="1:8">
      <c r="A40" s="497"/>
      <c r="B40" s="235" t="s">
        <v>942</v>
      </c>
      <c r="C40" s="1988">
        <v>4326</v>
      </c>
      <c r="D40" s="1923">
        <v>4902</v>
      </c>
      <c r="E40" s="235">
        <v>4638</v>
      </c>
      <c r="F40" s="235">
        <v>5404</v>
      </c>
      <c r="G40" s="1925">
        <v>5991</v>
      </c>
      <c r="H40" s="1924">
        <v>5340</v>
      </c>
    </row>
    <row r="41" spans="1:8">
      <c r="A41" s="497"/>
      <c r="B41" s="1981" t="s">
        <v>943</v>
      </c>
      <c r="C41" s="1988">
        <v>385</v>
      </c>
      <c r="D41" s="1988">
        <v>377</v>
      </c>
      <c r="E41" s="1981">
        <v>359</v>
      </c>
      <c r="F41" s="1981">
        <v>857</v>
      </c>
      <c r="G41" s="2056">
        <v>674</v>
      </c>
      <c r="H41" s="2020">
        <v>781</v>
      </c>
    </row>
    <row r="42" spans="1:8">
      <c r="A42" s="518"/>
      <c r="B42" s="1981" t="s">
        <v>944</v>
      </c>
      <c r="C42" s="1988">
        <v>38</v>
      </c>
      <c r="D42" s="1988">
        <v>98</v>
      </c>
      <c r="E42" s="1981">
        <v>7413</v>
      </c>
      <c r="F42" s="1981">
        <v>7656</v>
      </c>
      <c r="G42" s="2056">
        <v>6635</v>
      </c>
      <c r="H42" s="2020">
        <v>10198</v>
      </c>
    </row>
    <row r="43" spans="1:8">
      <c r="A43" s="497"/>
      <c r="B43" s="1981" t="s">
        <v>945</v>
      </c>
      <c r="C43" s="1988">
        <v>10250</v>
      </c>
      <c r="D43" s="1988">
        <v>9159</v>
      </c>
      <c r="E43" s="1981">
        <v>8301</v>
      </c>
      <c r="F43" s="1981">
        <v>8073</v>
      </c>
      <c r="G43" s="2056">
        <v>6428</v>
      </c>
      <c r="H43" s="2020">
        <v>8278</v>
      </c>
    </row>
    <row r="44" spans="1:8">
      <c r="A44" s="497"/>
      <c r="B44" s="1981" t="s">
        <v>645</v>
      </c>
      <c r="C44" s="1988">
        <v>5519</v>
      </c>
      <c r="D44" s="1981">
        <v>6694</v>
      </c>
      <c r="E44" s="1981">
        <v>5673</v>
      </c>
      <c r="F44" s="1981">
        <v>3852</v>
      </c>
      <c r="G44" s="2056">
        <v>3791</v>
      </c>
      <c r="H44" s="2020">
        <v>3065</v>
      </c>
    </row>
    <row r="45" spans="1:8">
      <c r="A45" s="497"/>
      <c r="B45" s="278" t="s">
        <v>118</v>
      </c>
      <c r="C45" s="439">
        <v>20518</v>
      </c>
      <c r="D45" s="439">
        <v>21230</v>
      </c>
      <c r="E45" s="439">
        <f>SUM(E40:E44)</f>
        <v>26384</v>
      </c>
      <c r="F45" s="439">
        <f>SUM(F40:F44)</f>
        <v>25842</v>
      </c>
      <c r="G45" s="439">
        <f>SUM(G40:G44)</f>
        <v>23519</v>
      </c>
      <c r="H45" s="439">
        <f>SUM(H40:H44)</f>
        <v>27662</v>
      </c>
    </row>
    <row r="46" spans="1:8">
      <c r="A46" s="497"/>
      <c r="B46" s="278"/>
      <c r="C46" s="279"/>
      <c r="D46" s="278"/>
      <c r="E46" s="278"/>
      <c r="F46" s="278"/>
      <c r="G46" s="278"/>
      <c r="H46" s="278"/>
    </row>
    <row r="47" spans="1:8">
      <c r="A47" s="497"/>
      <c r="B47" s="278"/>
      <c r="C47" s="279"/>
      <c r="D47" s="278"/>
      <c r="E47" s="278"/>
      <c r="F47" s="278"/>
      <c r="G47" s="278"/>
      <c r="H47" s="278"/>
    </row>
    <row r="48" spans="1:8">
      <c r="A48" s="609"/>
      <c r="B48" s="1931" t="s">
        <v>94</v>
      </c>
      <c r="C48" s="611"/>
      <c r="D48" s="611"/>
      <c r="E48" s="512"/>
      <c r="F48" s="512"/>
      <c r="G48" s="512"/>
      <c r="H48" s="512"/>
    </row>
    <row r="49" spans="1:8">
      <c r="A49" s="529"/>
      <c r="B49" s="1932"/>
      <c r="C49" s="3403">
        <v>2016</v>
      </c>
      <c r="D49" s="1952">
        <v>2017</v>
      </c>
      <c r="E49" s="1949">
        <v>2018</v>
      </c>
      <c r="F49" s="1950">
        <v>2019</v>
      </c>
      <c r="G49" s="1949" t="s">
        <v>137</v>
      </c>
      <c r="H49" s="1953" t="s">
        <v>84</v>
      </c>
    </row>
    <row r="50" spans="1:8">
      <c r="A50" s="497"/>
      <c r="B50" s="235" t="s">
        <v>942</v>
      </c>
      <c r="C50" s="1988">
        <v>113</v>
      </c>
      <c r="D50" s="1923">
        <v>83</v>
      </c>
      <c r="E50" s="235">
        <v>206</v>
      </c>
      <c r="F50" s="235">
        <v>151</v>
      </c>
      <c r="G50" s="1925">
        <v>147</v>
      </c>
      <c r="H50" s="1924">
        <v>142</v>
      </c>
    </row>
    <row r="51" spans="1:8">
      <c r="A51" s="497"/>
      <c r="B51" s="1981" t="s">
        <v>943</v>
      </c>
      <c r="C51" s="1988">
        <v>3</v>
      </c>
      <c r="D51" s="1988">
        <v>19</v>
      </c>
      <c r="E51" s="1981">
        <v>16</v>
      </c>
      <c r="F51" s="1981">
        <v>21</v>
      </c>
      <c r="G51" s="2056">
        <v>17</v>
      </c>
      <c r="H51" s="2020">
        <v>27</v>
      </c>
    </row>
    <row r="52" spans="1:8">
      <c r="A52" s="497"/>
      <c r="B52" s="1981" t="s">
        <v>944</v>
      </c>
      <c r="C52" s="1988">
        <v>0</v>
      </c>
      <c r="D52" s="1988">
        <v>2</v>
      </c>
      <c r="E52" s="1981">
        <v>2</v>
      </c>
      <c r="F52" s="1981"/>
      <c r="G52" s="2056">
        <v>0</v>
      </c>
      <c r="H52" s="2020">
        <v>0</v>
      </c>
    </row>
    <row r="53" spans="1:8">
      <c r="A53" s="518"/>
      <c r="B53" s="1981" t="s">
        <v>945</v>
      </c>
      <c r="C53" s="1988">
        <v>1057</v>
      </c>
      <c r="D53" s="1988">
        <v>1163</v>
      </c>
      <c r="E53" s="1981">
        <v>1845</v>
      </c>
      <c r="F53" s="1981">
        <v>2430</v>
      </c>
      <c r="G53" s="2056">
        <v>1733</v>
      </c>
      <c r="H53" s="2020">
        <v>1422</v>
      </c>
    </row>
    <row r="54" spans="1:8">
      <c r="A54" s="497"/>
      <c r="B54" s="1981" t="s">
        <v>645</v>
      </c>
      <c r="C54" s="1988">
        <v>0</v>
      </c>
      <c r="D54" s="1988"/>
      <c r="E54" s="1981"/>
      <c r="F54" s="1981">
        <v>2363</v>
      </c>
      <c r="G54" s="2056">
        <v>1829</v>
      </c>
      <c r="H54" s="2020">
        <v>1356</v>
      </c>
    </row>
    <row r="55" spans="1:8">
      <c r="A55" s="497"/>
      <c r="B55" s="278" t="s">
        <v>118</v>
      </c>
      <c r="C55" s="439">
        <v>1173</v>
      </c>
      <c r="D55" s="439">
        <v>1267</v>
      </c>
      <c r="E55" s="439">
        <f>SUM(E50:E54)</f>
        <v>2069</v>
      </c>
      <c r="F55" s="439">
        <f>SUM(F50:F54)</f>
        <v>4965</v>
      </c>
      <c r="G55" s="439">
        <f>SUM(G50:G54)</f>
        <v>3726</v>
      </c>
      <c r="H55" s="439">
        <f>SUM(H50:H54)</f>
        <v>2947</v>
      </c>
    </row>
    <row r="56" spans="1:8">
      <c r="A56" s="497"/>
      <c r="B56" s="278"/>
      <c r="C56" s="279"/>
      <c r="D56" s="278"/>
      <c r="E56" s="278"/>
      <c r="F56" s="278"/>
      <c r="G56" s="278"/>
      <c r="H56" s="278"/>
    </row>
    <row r="57" spans="1:8">
      <c r="A57" s="497"/>
      <c r="B57" s="278"/>
      <c r="C57" s="279"/>
      <c r="D57" s="278"/>
      <c r="E57" s="278"/>
      <c r="F57" s="278"/>
      <c r="G57" s="278"/>
      <c r="H57" s="278"/>
    </row>
    <row r="58" spans="1:8">
      <c r="A58" s="609"/>
      <c r="B58" s="1931" t="s">
        <v>97</v>
      </c>
      <c r="C58" s="611"/>
      <c r="D58" s="611"/>
      <c r="E58" s="512"/>
      <c r="F58" s="512"/>
      <c r="G58" s="512"/>
      <c r="H58" s="512"/>
    </row>
    <row r="59" spans="1:8">
      <c r="A59" s="529"/>
      <c r="B59" s="1932"/>
      <c r="C59" s="3403">
        <v>2016</v>
      </c>
      <c r="D59" s="1952">
        <v>2017</v>
      </c>
      <c r="E59" s="1949">
        <v>2018</v>
      </c>
      <c r="F59" s="1950">
        <v>2019</v>
      </c>
      <c r="G59" s="1949" t="s">
        <v>137</v>
      </c>
      <c r="H59" s="1953" t="s">
        <v>84</v>
      </c>
    </row>
    <row r="60" spans="1:8">
      <c r="A60" s="497"/>
      <c r="B60" s="235" t="s">
        <v>942</v>
      </c>
      <c r="C60" s="3305">
        <v>25223</v>
      </c>
      <c r="D60" s="1923">
        <v>23096</v>
      </c>
      <c r="E60" s="1923">
        <v>32896</v>
      </c>
      <c r="F60" s="1923">
        <v>31332</v>
      </c>
      <c r="G60" s="1925">
        <v>45539</v>
      </c>
      <c r="H60" s="1924">
        <v>45896</v>
      </c>
    </row>
    <row r="61" spans="1:8">
      <c r="A61" s="497"/>
      <c r="B61" s="1981" t="s">
        <v>943</v>
      </c>
      <c r="C61" s="3305">
        <v>1055</v>
      </c>
      <c r="D61" s="1988">
        <v>1862</v>
      </c>
      <c r="E61" s="1988">
        <v>1710</v>
      </c>
      <c r="F61" s="1988">
        <v>1747</v>
      </c>
      <c r="G61" s="2056">
        <v>1692</v>
      </c>
      <c r="H61" s="2020">
        <v>2655</v>
      </c>
    </row>
    <row r="62" spans="1:8">
      <c r="A62" s="497"/>
      <c r="B62" s="1981" t="s">
        <v>944</v>
      </c>
      <c r="C62" s="3305">
        <v>2371</v>
      </c>
      <c r="D62" s="1988">
        <v>2459</v>
      </c>
      <c r="E62" s="1988">
        <v>2308</v>
      </c>
      <c r="F62" s="1988">
        <v>2327</v>
      </c>
      <c r="G62" s="2056">
        <v>2106</v>
      </c>
      <c r="H62" s="2020">
        <v>2329</v>
      </c>
    </row>
    <row r="63" spans="1:8">
      <c r="A63" s="497"/>
      <c r="B63" s="1981" t="s">
        <v>945</v>
      </c>
      <c r="C63" s="3305">
        <v>10789</v>
      </c>
      <c r="D63" s="1988">
        <v>11176</v>
      </c>
      <c r="E63" s="1981">
        <v>19413</v>
      </c>
      <c r="F63" s="1988">
        <v>16628</v>
      </c>
      <c r="G63" s="2056">
        <v>12979</v>
      </c>
      <c r="H63" s="2020">
        <v>11983</v>
      </c>
    </row>
    <row r="64" spans="1:8">
      <c r="A64" s="518"/>
      <c r="B64" s="1981" t="s">
        <v>645</v>
      </c>
      <c r="C64" s="3305">
        <v>66708</v>
      </c>
      <c r="D64" s="1981">
        <v>68781</v>
      </c>
      <c r="E64" s="1988">
        <v>68902</v>
      </c>
      <c r="F64" s="1988">
        <v>76311</v>
      </c>
      <c r="G64" s="2056">
        <v>76311</v>
      </c>
      <c r="H64" s="2020">
        <v>58181</v>
      </c>
    </row>
    <row r="65" spans="1:8">
      <c r="A65" s="497"/>
      <c r="B65" s="278" t="s">
        <v>118</v>
      </c>
      <c r="C65" s="439">
        <v>106146</v>
      </c>
      <c r="D65" s="439">
        <v>107374</v>
      </c>
      <c r="E65" s="439">
        <f>SUM(E60:E64)</f>
        <v>125229</v>
      </c>
      <c r="F65" s="439">
        <f>SUM(F60:F64)</f>
        <v>128345</v>
      </c>
      <c r="G65" s="439">
        <f>SUM(G60:G64)</f>
        <v>138627</v>
      </c>
      <c r="H65" s="439">
        <f>SUM(H60:H64)</f>
        <v>121044</v>
      </c>
    </row>
    <row r="66" spans="1:8">
      <c r="A66" s="497"/>
      <c r="B66" s="278"/>
      <c r="C66" s="279"/>
      <c r="D66" s="278"/>
      <c r="E66" s="278"/>
      <c r="F66" s="278"/>
      <c r="G66" s="278"/>
      <c r="H66" s="278"/>
    </row>
    <row r="67" spans="1:8">
      <c r="A67" s="497"/>
      <c r="B67" s="278"/>
      <c r="C67" s="279"/>
      <c r="D67" s="278"/>
      <c r="E67" s="278"/>
      <c r="G67" s="315"/>
      <c r="H67" s="315">
        <v>191</v>
      </c>
    </row>
    <row r="68" spans="1:8">
      <c r="A68" s="497"/>
      <c r="B68" s="278"/>
      <c r="C68" s="279"/>
      <c r="D68" s="278"/>
      <c r="E68" s="278"/>
      <c r="F68" s="278"/>
      <c r="G68" s="278"/>
      <c r="H68" s="278"/>
    </row>
    <row r="69" spans="1:8">
      <c r="A69" s="497"/>
      <c r="B69" s="529" t="s">
        <v>947</v>
      </c>
      <c r="C69" s="279"/>
      <c r="D69" s="278"/>
      <c r="E69" s="278"/>
      <c r="F69" s="278"/>
      <c r="G69" s="278"/>
      <c r="H69" s="278"/>
    </row>
    <row r="70" spans="1:8">
      <c r="A70" s="497"/>
      <c r="B70" s="529"/>
      <c r="C70" s="279"/>
      <c r="D70" s="278"/>
      <c r="E70" s="278"/>
      <c r="F70" s="278"/>
      <c r="G70" s="278"/>
      <c r="H70" s="278"/>
    </row>
    <row r="71" spans="1:8">
      <c r="A71" s="609"/>
      <c r="B71" s="1931" t="s">
        <v>233</v>
      </c>
      <c r="C71" s="611"/>
      <c r="D71" s="611"/>
      <c r="E71" s="512"/>
      <c r="F71" s="512"/>
      <c r="G71" s="512"/>
      <c r="H71" s="512"/>
    </row>
    <row r="72" spans="1:8">
      <c r="A72" s="529"/>
      <c r="B72" s="1932"/>
      <c r="C72" s="3403">
        <v>2016</v>
      </c>
      <c r="D72" s="1952">
        <v>2017</v>
      </c>
      <c r="E72" s="1949">
        <v>2018</v>
      </c>
      <c r="F72" s="1950">
        <v>2019</v>
      </c>
      <c r="G72" s="1949" t="s">
        <v>137</v>
      </c>
      <c r="H72" s="1953" t="s">
        <v>84</v>
      </c>
    </row>
    <row r="73" spans="1:8">
      <c r="A73" s="497"/>
      <c r="B73" s="235" t="s">
        <v>942</v>
      </c>
      <c r="C73" s="1988">
        <v>160</v>
      </c>
      <c r="D73" s="1923">
        <v>369</v>
      </c>
      <c r="E73" s="1923">
        <v>815</v>
      </c>
      <c r="F73" s="1923">
        <v>911</v>
      </c>
      <c r="G73" s="1925">
        <v>1359</v>
      </c>
      <c r="H73" s="1924">
        <v>721</v>
      </c>
    </row>
    <row r="74" spans="1:8">
      <c r="A74" s="497"/>
      <c r="B74" s="1981" t="s">
        <v>943</v>
      </c>
      <c r="C74" s="1988">
        <v>59</v>
      </c>
      <c r="D74" s="1988">
        <v>87</v>
      </c>
      <c r="E74" s="1988">
        <v>88</v>
      </c>
      <c r="F74" s="1988">
        <v>627</v>
      </c>
      <c r="G74" s="2056">
        <v>2047</v>
      </c>
      <c r="H74" s="2020">
        <v>661</v>
      </c>
    </row>
    <row r="75" spans="1:8">
      <c r="A75" s="497"/>
      <c r="B75" s="1981" t="s">
        <v>944</v>
      </c>
      <c r="C75" s="1988">
        <v>42</v>
      </c>
      <c r="D75" s="1988">
        <v>34</v>
      </c>
      <c r="E75" s="1988">
        <v>43</v>
      </c>
      <c r="F75" s="1988">
        <v>48</v>
      </c>
      <c r="G75" s="2056">
        <v>42</v>
      </c>
      <c r="H75" s="2020">
        <v>54</v>
      </c>
    </row>
    <row r="76" spans="1:8">
      <c r="A76" s="497"/>
      <c r="B76" s="1981" t="s">
        <v>945</v>
      </c>
      <c r="C76" s="1988">
        <v>397</v>
      </c>
      <c r="D76" s="1988">
        <v>464</v>
      </c>
      <c r="E76" s="1988">
        <v>525</v>
      </c>
      <c r="F76" s="1988">
        <v>400</v>
      </c>
      <c r="G76" s="2056">
        <v>352</v>
      </c>
      <c r="H76" s="2020">
        <v>610</v>
      </c>
    </row>
    <row r="77" spans="1:8">
      <c r="A77" s="497"/>
      <c r="B77" s="1981" t="s">
        <v>645</v>
      </c>
      <c r="C77" s="1988">
        <v>2462</v>
      </c>
      <c r="D77" s="1988">
        <v>3059</v>
      </c>
      <c r="E77" s="1988">
        <v>2793</v>
      </c>
      <c r="F77" s="1988">
        <v>3083</v>
      </c>
      <c r="G77" s="2056">
        <v>3664</v>
      </c>
      <c r="H77" s="2020">
        <v>3878</v>
      </c>
    </row>
    <row r="78" spans="1:8">
      <c r="A78" s="518"/>
      <c r="B78" s="278" t="s">
        <v>118</v>
      </c>
      <c r="C78" s="439">
        <v>3120</v>
      </c>
      <c r="D78" s="439">
        <v>4013</v>
      </c>
      <c r="E78" s="439">
        <f>SUM(E73:E77)</f>
        <v>4264</v>
      </c>
      <c r="F78" s="439">
        <f>SUM(F73:F77)</f>
        <v>5069</v>
      </c>
      <c r="G78" s="439">
        <f>SUM(G73:G77)</f>
        <v>7464</v>
      </c>
      <c r="H78" s="439">
        <f>SUM(H73:H77)</f>
        <v>5924</v>
      </c>
    </row>
    <row r="79" spans="1:8">
      <c r="A79" s="518"/>
      <c r="B79" s="278"/>
      <c r="C79" s="279"/>
      <c r="D79" s="278"/>
      <c r="E79" s="278"/>
      <c r="F79" s="278"/>
      <c r="G79" s="278"/>
      <c r="H79" s="278"/>
    </row>
    <row r="80" spans="1:8">
      <c r="A80" s="518"/>
      <c r="B80" s="279"/>
      <c r="C80" s="279"/>
      <c r="D80" s="278"/>
      <c r="E80" s="279"/>
      <c r="F80" s="279"/>
      <c r="G80" s="279"/>
      <c r="H80" s="279"/>
    </row>
    <row r="81" spans="1:22">
      <c r="A81" s="518"/>
      <c r="B81" s="279"/>
      <c r="C81" s="279"/>
      <c r="D81" s="278"/>
      <c r="E81" s="279"/>
      <c r="F81" s="279"/>
      <c r="G81" s="279"/>
      <c r="H81" s="279"/>
    </row>
    <row r="82" spans="1:22">
      <c r="A82" s="609"/>
      <c r="B82" s="1931" t="s">
        <v>103</v>
      </c>
      <c r="C82" s="611"/>
      <c r="D82" s="611"/>
      <c r="E82" s="512"/>
      <c r="F82" s="512"/>
      <c r="G82" s="512"/>
      <c r="H82" s="512"/>
    </row>
    <row r="83" spans="1:22">
      <c r="A83" s="529"/>
      <c r="B83" s="1932"/>
      <c r="C83" s="3403">
        <v>2016</v>
      </c>
      <c r="D83" s="1952">
        <v>2017</v>
      </c>
      <c r="E83" s="1949">
        <v>2018</v>
      </c>
      <c r="F83" s="1950">
        <v>2019</v>
      </c>
      <c r="G83" s="1949" t="s">
        <v>137</v>
      </c>
      <c r="H83" s="1953" t="s">
        <v>84</v>
      </c>
    </row>
    <row r="84" spans="1:22">
      <c r="A84" s="497"/>
      <c r="B84" s="235" t="s">
        <v>942</v>
      </c>
      <c r="C84" s="1988">
        <v>677</v>
      </c>
      <c r="D84" s="1923">
        <v>1008</v>
      </c>
      <c r="E84" s="1923">
        <v>2330</v>
      </c>
      <c r="F84" s="1923">
        <v>3260</v>
      </c>
      <c r="G84" s="1925">
        <v>4340</v>
      </c>
      <c r="H84" s="1924">
        <v>5600</v>
      </c>
    </row>
    <row r="85" spans="1:22">
      <c r="A85" s="497"/>
      <c r="B85" s="1981" t="s">
        <v>943</v>
      </c>
      <c r="C85" s="1988">
        <v>1572</v>
      </c>
      <c r="D85" s="1988">
        <v>979</v>
      </c>
      <c r="E85" s="1988">
        <v>226</v>
      </c>
      <c r="F85" s="1988">
        <v>260</v>
      </c>
      <c r="G85" s="2056">
        <v>225</v>
      </c>
      <c r="H85" s="2020">
        <v>292</v>
      </c>
    </row>
    <row r="86" spans="1:22">
      <c r="A86" s="497"/>
      <c r="B86" s="1981" t="s">
        <v>944</v>
      </c>
      <c r="C86" s="1988">
        <v>18</v>
      </c>
      <c r="D86" s="1988">
        <v>3</v>
      </c>
      <c r="E86" s="1988">
        <v>27</v>
      </c>
      <c r="F86" s="1988">
        <v>22</v>
      </c>
      <c r="G86" s="2056">
        <v>13</v>
      </c>
      <c r="H86" s="2020">
        <v>17</v>
      </c>
    </row>
    <row r="87" spans="1:22">
      <c r="A87" s="497"/>
      <c r="B87" s="1981" t="s">
        <v>945</v>
      </c>
      <c r="C87" s="1988">
        <v>1838</v>
      </c>
      <c r="D87" s="1988">
        <v>1951</v>
      </c>
      <c r="E87" s="1988">
        <v>2521</v>
      </c>
      <c r="F87" s="1988">
        <v>3063</v>
      </c>
      <c r="G87" s="2056">
        <v>2626</v>
      </c>
      <c r="H87" s="2020">
        <v>3396</v>
      </c>
    </row>
    <row r="88" spans="1:22">
      <c r="A88" s="497"/>
      <c r="B88" s="1981" t="s">
        <v>645</v>
      </c>
      <c r="C88" s="1988">
        <v>5256</v>
      </c>
      <c r="D88" s="1988">
        <v>6066</v>
      </c>
      <c r="E88" s="1988">
        <v>3722</v>
      </c>
      <c r="F88" s="1988">
        <v>7409</v>
      </c>
      <c r="G88" s="2056">
        <v>5247</v>
      </c>
      <c r="H88" s="2020">
        <v>7737</v>
      </c>
    </row>
    <row r="89" spans="1:22">
      <c r="A89" s="497"/>
      <c r="B89" s="466" t="s">
        <v>118</v>
      </c>
      <c r="C89" s="439">
        <v>9361</v>
      </c>
      <c r="D89" s="439">
        <v>10007</v>
      </c>
      <c r="E89" s="439">
        <f>SUM(E84:E88)</f>
        <v>8826</v>
      </c>
      <c r="F89" s="439">
        <f>SUM(F84:F88)</f>
        <v>14014</v>
      </c>
      <c r="G89" s="439">
        <f>SUM(G84:G88)</f>
        <v>12451</v>
      </c>
      <c r="H89" s="439">
        <f>SUM(H84:H88)</f>
        <v>17042</v>
      </c>
    </row>
    <row r="90" spans="1:22">
      <c r="A90" s="497"/>
      <c r="B90" s="466"/>
      <c r="C90" s="279"/>
      <c r="D90" s="278"/>
      <c r="E90" s="466"/>
      <c r="F90" s="466"/>
      <c r="G90" s="466"/>
      <c r="H90" s="466"/>
    </row>
    <row r="91" spans="1:22">
      <c r="A91" s="497"/>
      <c r="B91" s="466"/>
      <c r="C91" s="279"/>
      <c r="D91" s="278"/>
      <c r="E91" s="466"/>
      <c r="F91" s="466"/>
      <c r="G91" s="466"/>
      <c r="H91" s="466"/>
    </row>
    <row r="92" spans="1:22">
      <c r="A92" s="609"/>
      <c r="B92" s="1931" t="s">
        <v>132</v>
      </c>
      <c r="C92" s="611"/>
      <c r="D92" s="611"/>
      <c r="E92" s="512"/>
      <c r="F92" s="512"/>
      <c r="G92" s="512"/>
      <c r="H92" s="512"/>
    </row>
    <row r="93" spans="1:22">
      <c r="A93" s="529"/>
      <c r="B93" s="1932"/>
      <c r="C93" s="3403">
        <v>2016</v>
      </c>
      <c r="D93" s="1952">
        <v>2017</v>
      </c>
      <c r="E93" s="1949">
        <v>2018</v>
      </c>
      <c r="F93" s="1950">
        <v>2019</v>
      </c>
      <c r="G93" s="1949" t="s">
        <v>137</v>
      </c>
      <c r="H93" s="1953" t="s">
        <v>84</v>
      </c>
      <c r="I93" s="612"/>
      <c r="J93" s="612"/>
      <c r="K93" s="612"/>
      <c r="L93" s="612"/>
      <c r="M93" s="612"/>
      <c r="N93" s="612"/>
      <c r="O93" s="612"/>
      <c r="P93" s="612"/>
      <c r="Q93" s="612"/>
      <c r="R93" s="612"/>
      <c r="S93" s="612"/>
      <c r="T93" s="612"/>
      <c r="U93" s="612"/>
      <c r="V93" s="612"/>
    </row>
    <row r="94" spans="1:22">
      <c r="A94" s="497"/>
      <c r="B94" s="235" t="s">
        <v>942</v>
      </c>
      <c r="C94" s="3151">
        <v>8204</v>
      </c>
      <c r="D94" s="1923">
        <v>7247</v>
      </c>
      <c r="E94" s="235">
        <f>6201+893</f>
        <v>7094</v>
      </c>
      <c r="F94" s="1923">
        <v>7823</v>
      </c>
      <c r="G94" s="1925">
        <f>9096+2613</f>
        <v>11709</v>
      </c>
      <c r="H94" s="1924">
        <f>11179+546</f>
        <v>11725</v>
      </c>
      <c r="I94" s="488"/>
      <c r="J94" s="473"/>
      <c r="K94" s="473"/>
      <c r="L94" s="488"/>
      <c r="M94" s="473"/>
      <c r="N94" s="473"/>
      <c r="O94" s="488"/>
      <c r="P94" s="264"/>
      <c r="Q94" s="305"/>
      <c r="R94" s="604"/>
      <c r="S94" s="264"/>
      <c r="T94" s="410"/>
      <c r="U94" s="613"/>
      <c r="V94" s="612"/>
    </row>
    <row r="95" spans="1:22">
      <c r="A95" s="497"/>
      <c r="B95" s="1981" t="s">
        <v>943</v>
      </c>
      <c r="C95" s="3151">
        <v>765</v>
      </c>
      <c r="D95" s="1988">
        <v>743</v>
      </c>
      <c r="E95" s="1981">
        <f>1302+10</f>
        <v>1312</v>
      </c>
      <c r="F95" s="1988">
        <v>1118</v>
      </c>
      <c r="G95" s="2056">
        <f>897</f>
        <v>897</v>
      </c>
      <c r="H95" s="2020">
        <v>758</v>
      </c>
      <c r="I95" s="488"/>
      <c r="J95" s="473"/>
      <c r="K95" s="473"/>
      <c r="L95" s="488"/>
      <c r="M95" s="473"/>
      <c r="N95" s="473"/>
      <c r="O95" s="488"/>
      <c r="P95" s="264"/>
      <c r="Q95" s="305"/>
      <c r="R95" s="604"/>
      <c r="S95" s="264"/>
      <c r="T95" s="410"/>
      <c r="U95" s="613"/>
      <c r="V95" s="612"/>
    </row>
    <row r="96" spans="1:22">
      <c r="A96" s="497"/>
      <c r="B96" s="1981" t="s">
        <v>944</v>
      </c>
      <c r="C96" s="3151">
        <v>14</v>
      </c>
      <c r="D96" s="1988">
        <v>8</v>
      </c>
      <c r="E96" s="1981">
        <v>6</v>
      </c>
      <c r="F96" s="1988">
        <v>5</v>
      </c>
      <c r="G96" s="2056">
        <v>53</v>
      </c>
      <c r="H96" s="2020">
        <v>32</v>
      </c>
      <c r="I96" s="488"/>
      <c r="J96" s="473"/>
      <c r="K96" s="473"/>
      <c r="L96" s="488"/>
      <c r="M96" s="473"/>
      <c r="N96" s="473"/>
      <c r="O96" s="488"/>
      <c r="P96" s="264"/>
      <c r="Q96" s="305"/>
      <c r="R96" s="604"/>
      <c r="S96" s="264"/>
      <c r="T96" s="410"/>
      <c r="U96" s="613"/>
      <c r="V96" s="612"/>
    </row>
    <row r="97" spans="1:22">
      <c r="A97" s="497"/>
      <c r="B97" s="1981" t="s">
        <v>945</v>
      </c>
      <c r="C97" s="3151">
        <v>3181</v>
      </c>
      <c r="D97" s="1988">
        <v>3922</v>
      </c>
      <c r="E97" s="1981">
        <f>5091+40</f>
        <v>5131</v>
      </c>
      <c r="F97" s="1988">
        <v>4967</v>
      </c>
      <c r="G97" s="2056">
        <f>3914+16</f>
        <v>3930</v>
      </c>
      <c r="H97" s="2020">
        <f>4297+4</f>
        <v>4301</v>
      </c>
      <c r="I97" s="488"/>
      <c r="J97" s="473"/>
      <c r="K97" s="473"/>
      <c r="L97" s="488"/>
      <c r="M97" s="473"/>
      <c r="N97" s="473"/>
      <c r="O97" s="488"/>
      <c r="P97" s="264"/>
      <c r="Q97" s="305"/>
      <c r="R97" s="604"/>
      <c r="S97" s="264"/>
      <c r="T97" s="410"/>
      <c r="U97" s="613"/>
      <c r="V97" s="612"/>
    </row>
    <row r="98" spans="1:22">
      <c r="A98" s="497"/>
      <c r="B98" s="1981" t="s">
        <v>645</v>
      </c>
      <c r="C98" s="3151">
        <v>14305</v>
      </c>
      <c r="D98" s="1988">
        <v>14474</v>
      </c>
      <c r="E98" s="1981">
        <f>17645+159</f>
        <v>17804</v>
      </c>
      <c r="F98" s="1988">
        <v>19267</v>
      </c>
      <c r="G98" s="2056">
        <f>15887+17</f>
        <v>15904</v>
      </c>
      <c r="H98" s="2020">
        <f>14676+89</f>
        <v>14765</v>
      </c>
      <c r="I98" s="488"/>
      <c r="J98" s="473"/>
      <c r="K98" s="473"/>
      <c r="L98" s="488"/>
      <c r="M98" s="473"/>
      <c r="N98" s="473"/>
      <c r="O98" s="488"/>
      <c r="P98" s="264"/>
      <c r="Q98" s="305"/>
      <c r="R98" s="604"/>
      <c r="S98" s="264"/>
      <c r="T98" s="410"/>
      <c r="U98" s="613"/>
      <c r="V98" s="612"/>
    </row>
    <row r="99" spans="1:22">
      <c r="A99" s="497"/>
      <c r="B99" s="278" t="s">
        <v>118</v>
      </c>
      <c r="C99" s="439">
        <v>26469</v>
      </c>
      <c r="D99" s="439">
        <v>26394</v>
      </c>
      <c r="E99" s="439">
        <f>SUM(E94:E98)</f>
        <v>31347</v>
      </c>
      <c r="F99" s="439">
        <f>SUM(F94:F98)</f>
        <v>33180</v>
      </c>
      <c r="G99" s="439">
        <f>SUM(G94:G98)</f>
        <v>32493</v>
      </c>
      <c r="H99" s="439">
        <f>SUM(H94:H98)</f>
        <v>31581</v>
      </c>
      <c r="I99" s="612"/>
      <c r="J99" s="612"/>
      <c r="K99" s="612"/>
      <c r="L99" s="612"/>
      <c r="M99" s="612"/>
      <c r="N99" s="612"/>
      <c r="O99" s="612"/>
      <c r="P99" s="612"/>
      <c r="Q99" s="612"/>
      <c r="R99" s="612"/>
      <c r="S99" s="612"/>
      <c r="T99" s="612"/>
      <c r="U99" s="612"/>
      <c r="V99" s="612"/>
    </row>
    <row r="100" spans="1:22">
      <c r="A100" s="614"/>
      <c r="G100" s="609"/>
      <c r="H100" s="609"/>
      <c r="I100" s="612"/>
      <c r="J100" s="612"/>
      <c r="K100" s="612"/>
      <c r="L100" s="612"/>
      <c r="M100" s="612"/>
      <c r="N100" s="612"/>
      <c r="O100" s="612"/>
      <c r="P100" s="612"/>
      <c r="Q100" s="612"/>
      <c r="R100" s="612"/>
      <c r="S100" s="612"/>
      <c r="T100" s="612"/>
      <c r="U100" s="612"/>
      <c r="V100" s="612"/>
    </row>
    <row r="101" spans="1:22">
      <c r="A101" s="614"/>
      <c r="G101" s="609"/>
      <c r="H101" s="385">
        <v>192</v>
      </c>
      <c r="I101" s="612"/>
      <c r="J101" s="612"/>
      <c r="K101" s="612"/>
      <c r="L101" s="612"/>
      <c r="M101" s="612"/>
      <c r="N101" s="612"/>
      <c r="O101" s="612"/>
      <c r="P101" s="612"/>
      <c r="Q101" s="612"/>
      <c r="R101" s="612"/>
      <c r="S101" s="612"/>
      <c r="T101" s="612"/>
      <c r="U101" s="612"/>
      <c r="V101" s="612"/>
    </row>
    <row r="102" spans="1:22">
      <c r="A102" s="614"/>
      <c r="G102" s="609"/>
      <c r="H102" s="609"/>
      <c r="I102" s="612"/>
      <c r="J102" s="612"/>
      <c r="K102" s="612"/>
      <c r="L102" s="612"/>
      <c r="M102" s="612"/>
      <c r="N102" s="612"/>
      <c r="O102" s="612"/>
      <c r="P102" s="612"/>
      <c r="Q102" s="612"/>
      <c r="R102" s="612"/>
      <c r="S102" s="612"/>
      <c r="T102" s="612"/>
      <c r="U102" s="612"/>
      <c r="V102" s="612"/>
    </row>
    <row r="103" spans="1:22">
      <c r="A103" s="614"/>
      <c r="B103" s="529" t="s">
        <v>947</v>
      </c>
      <c r="G103" s="609"/>
      <c r="H103" s="609"/>
      <c r="I103" s="612"/>
      <c r="J103" s="612"/>
      <c r="K103" s="612"/>
      <c r="L103" s="612"/>
      <c r="M103" s="612"/>
      <c r="N103" s="612"/>
      <c r="O103" s="612"/>
      <c r="P103" s="612"/>
      <c r="Q103" s="612"/>
      <c r="R103" s="612"/>
      <c r="S103" s="612"/>
      <c r="T103" s="612"/>
      <c r="U103" s="612"/>
      <c r="V103" s="612"/>
    </row>
    <row r="104" spans="1:22">
      <c r="A104" s="615"/>
      <c r="B104" s="611"/>
      <c r="C104" s="611"/>
      <c r="G104" s="609"/>
      <c r="H104" s="609"/>
    </row>
    <row r="105" spans="1:22">
      <c r="A105" s="609"/>
      <c r="B105" s="1931" t="s">
        <v>106</v>
      </c>
      <c r="C105" s="611"/>
      <c r="G105" s="609"/>
      <c r="H105" s="609"/>
    </row>
    <row r="106" spans="1:22">
      <c r="A106" s="529"/>
      <c r="B106" s="1932"/>
      <c r="C106" s="3403">
        <v>2016</v>
      </c>
      <c r="D106" s="1952">
        <v>2017</v>
      </c>
      <c r="E106" s="1949">
        <v>2018</v>
      </c>
      <c r="F106" s="1950">
        <v>2019</v>
      </c>
      <c r="G106" s="1949" t="s">
        <v>137</v>
      </c>
      <c r="H106" s="1953" t="s">
        <v>84</v>
      </c>
    </row>
    <row r="107" spans="1:22">
      <c r="A107" s="497"/>
      <c r="B107" s="235" t="s">
        <v>942</v>
      </c>
      <c r="C107" s="1988">
        <v>257</v>
      </c>
      <c r="D107" s="1923">
        <v>257</v>
      </c>
      <c r="E107" s="235">
        <v>1046</v>
      </c>
      <c r="F107" s="235">
        <v>1706</v>
      </c>
      <c r="G107" s="1925">
        <v>2288</v>
      </c>
      <c r="H107" s="1924">
        <v>2749</v>
      </c>
    </row>
    <row r="108" spans="1:22">
      <c r="A108" s="497"/>
      <c r="B108" s="1981" t="s">
        <v>943</v>
      </c>
      <c r="C108" s="1988">
        <v>33</v>
      </c>
      <c r="D108" s="1988">
        <v>33</v>
      </c>
      <c r="E108" s="1981">
        <v>35</v>
      </c>
      <c r="F108" s="1981">
        <v>32</v>
      </c>
      <c r="G108" s="2056">
        <v>32</v>
      </c>
      <c r="H108" s="2020">
        <v>33</v>
      </c>
    </row>
    <row r="109" spans="1:22">
      <c r="A109" s="497"/>
      <c r="B109" s="1981" t="s">
        <v>944</v>
      </c>
      <c r="C109" s="1988">
        <v>0</v>
      </c>
      <c r="D109" s="1988"/>
      <c r="E109" s="1981"/>
      <c r="F109" s="1981"/>
      <c r="G109" s="2056">
        <v>0</v>
      </c>
      <c r="H109" s="2020">
        <v>0</v>
      </c>
    </row>
    <row r="110" spans="1:22">
      <c r="A110" s="497"/>
      <c r="B110" s="1981" t="s">
        <v>945</v>
      </c>
      <c r="C110" s="1988">
        <v>326</v>
      </c>
      <c r="D110" s="1988">
        <v>228</v>
      </c>
      <c r="E110" s="1981">
        <v>168</v>
      </c>
      <c r="F110" s="1981">
        <v>155</v>
      </c>
      <c r="G110" s="2056">
        <v>215</v>
      </c>
      <c r="H110" s="2020">
        <v>298</v>
      </c>
    </row>
    <row r="111" spans="1:22">
      <c r="A111" s="497"/>
      <c r="B111" s="1981" t="s">
        <v>948</v>
      </c>
      <c r="C111" s="1988">
        <v>2823</v>
      </c>
      <c r="D111" s="1988">
        <v>2823</v>
      </c>
      <c r="E111" s="1981">
        <v>1260</v>
      </c>
      <c r="F111" s="1981">
        <v>956</v>
      </c>
      <c r="G111" s="2056">
        <v>1118</v>
      </c>
      <c r="H111" s="2020">
        <v>1635</v>
      </c>
    </row>
    <row r="112" spans="1:22">
      <c r="A112" s="497"/>
      <c r="B112" s="466" t="s">
        <v>118</v>
      </c>
      <c r="C112" s="439">
        <v>3439</v>
      </c>
      <c r="D112" s="439">
        <v>3341</v>
      </c>
      <c r="E112" s="439">
        <f>SUM(E107:E111)</f>
        <v>2509</v>
      </c>
      <c r="F112" s="439">
        <f>SUM(F107:F111)</f>
        <v>2849</v>
      </c>
      <c r="G112" s="439">
        <f>SUM(G107:G111)</f>
        <v>3653</v>
      </c>
      <c r="H112" s="439">
        <f>SUM(H107:H111)</f>
        <v>4715</v>
      </c>
    </row>
    <row r="113" spans="1:8">
      <c r="A113" s="497"/>
      <c r="B113" s="466"/>
      <c r="C113" s="279"/>
      <c r="D113" s="278"/>
      <c r="E113" s="466"/>
      <c r="F113" s="466"/>
      <c r="G113" s="466"/>
      <c r="H113" s="466"/>
    </row>
    <row r="114" spans="1:8">
      <c r="A114" s="497"/>
      <c r="B114" s="279"/>
      <c r="C114" s="279"/>
      <c r="D114" s="278"/>
      <c r="E114" s="279"/>
      <c r="F114" s="279"/>
      <c r="G114" s="279"/>
      <c r="H114" s="279"/>
    </row>
    <row r="115" spans="1:8">
      <c r="A115" s="609"/>
      <c r="B115" s="1931" t="s">
        <v>107</v>
      </c>
      <c r="C115" s="611"/>
      <c r="D115" s="611"/>
      <c r="E115" s="512"/>
      <c r="F115" s="512"/>
      <c r="G115" s="512"/>
      <c r="H115" s="512"/>
    </row>
    <row r="116" spans="1:8">
      <c r="A116" s="529"/>
      <c r="B116" s="1932"/>
      <c r="C116" s="3403">
        <v>2016</v>
      </c>
      <c r="D116" s="1952">
        <v>2017</v>
      </c>
      <c r="E116" s="1949">
        <v>2018</v>
      </c>
      <c r="F116" s="1950">
        <v>2019</v>
      </c>
      <c r="G116" s="1949" t="s">
        <v>137</v>
      </c>
      <c r="H116" s="1953" t="s">
        <v>84</v>
      </c>
    </row>
    <row r="117" spans="1:8">
      <c r="A117" s="497"/>
      <c r="B117" s="235" t="s">
        <v>942</v>
      </c>
      <c r="C117" s="1988">
        <v>0</v>
      </c>
      <c r="D117" s="1923">
        <v>1</v>
      </c>
      <c r="E117" s="235">
        <v>176</v>
      </c>
      <c r="F117" s="235">
        <v>347</v>
      </c>
      <c r="G117" s="1925">
        <v>29</v>
      </c>
      <c r="H117" s="1924">
        <v>16</v>
      </c>
    </row>
    <row r="118" spans="1:8">
      <c r="A118" s="497"/>
      <c r="B118" s="1981" t="s">
        <v>943</v>
      </c>
      <c r="C118" s="1988">
        <v>1055</v>
      </c>
      <c r="D118" s="1988">
        <v>3313</v>
      </c>
      <c r="E118" s="1981">
        <v>3727</v>
      </c>
      <c r="F118" s="1981">
        <v>2869</v>
      </c>
      <c r="G118" s="2056">
        <v>1985</v>
      </c>
      <c r="H118" s="2020">
        <v>2015</v>
      </c>
    </row>
    <row r="119" spans="1:8">
      <c r="A119" s="497"/>
      <c r="B119" s="1981" t="s">
        <v>944</v>
      </c>
      <c r="C119" s="1988">
        <v>62</v>
      </c>
      <c r="D119" s="1988">
        <v>114</v>
      </c>
      <c r="E119" s="1981">
        <v>183</v>
      </c>
      <c r="F119" s="1981">
        <v>171</v>
      </c>
      <c r="G119" s="2056">
        <v>1160</v>
      </c>
      <c r="H119" s="2020">
        <v>339</v>
      </c>
    </row>
    <row r="120" spans="1:8">
      <c r="A120" s="497"/>
      <c r="B120" s="1981" t="s">
        <v>945</v>
      </c>
      <c r="C120" s="1988">
        <v>305</v>
      </c>
      <c r="D120" s="1988">
        <v>354</v>
      </c>
      <c r="E120" s="1981">
        <v>743</v>
      </c>
      <c r="F120" s="1981">
        <v>1660</v>
      </c>
      <c r="G120" s="2056">
        <v>4557</v>
      </c>
      <c r="H120" s="2020">
        <v>5891</v>
      </c>
    </row>
    <row r="121" spans="1:8">
      <c r="A121" s="497"/>
      <c r="B121" s="1981" t="s">
        <v>645</v>
      </c>
      <c r="C121" s="3305">
        <v>646</v>
      </c>
      <c r="D121" s="3305">
        <v>1023</v>
      </c>
      <c r="E121" s="1981">
        <v>999</v>
      </c>
      <c r="F121" s="1981">
        <v>1298</v>
      </c>
      <c r="G121" s="2056">
        <v>318</v>
      </c>
      <c r="H121" s="2020">
        <v>13843</v>
      </c>
    </row>
    <row r="122" spans="1:8">
      <c r="A122" s="497"/>
      <c r="B122" s="278" t="s">
        <v>118</v>
      </c>
      <c r="C122" s="439">
        <v>2068</v>
      </c>
      <c r="D122" s="439">
        <v>4805</v>
      </c>
      <c r="E122" s="439">
        <f>SUM(E117:E121)</f>
        <v>5828</v>
      </c>
      <c r="F122" s="439">
        <f>SUM(F117:F121)</f>
        <v>6345</v>
      </c>
      <c r="G122" s="439">
        <f>SUM(G117:G121)</f>
        <v>8049</v>
      </c>
      <c r="H122" s="439">
        <f>SUM(H117:H121)</f>
        <v>22104</v>
      </c>
    </row>
    <row r="123" spans="1:8">
      <c r="A123" s="497"/>
      <c r="B123" s="278"/>
      <c r="C123" s="278"/>
      <c r="D123" s="278"/>
      <c r="E123" s="278"/>
      <c r="F123" s="278"/>
      <c r="G123" s="278"/>
      <c r="H123" s="278"/>
    </row>
    <row r="124" spans="1:8">
      <c r="A124" s="497"/>
      <c r="B124" s="278"/>
      <c r="C124" s="279"/>
      <c r="D124" s="278"/>
      <c r="E124" s="278"/>
      <c r="F124" s="315"/>
      <c r="G124" s="315"/>
      <c r="H124" s="315"/>
    </row>
    <row r="125" spans="1:8">
      <c r="A125" s="497"/>
      <c r="B125" s="279"/>
      <c r="C125" s="279"/>
      <c r="D125" s="278"/>
      <c r="E125" s="278"/>
      <c r="F125" s="278"/>
      <c r="G125" s="278"/>
      <c r="H125" s="278"/>
    </row>
    <row r="126" spans="1:8">
      <c r="A126" s="609"/>
      <c r="B126" s="1931" t="s">
        <v>109</v>
      </c>
      <c r="E126" s="512"/>
      <c r="F126" s="512"/>
      <c r="G126" s="512"/>
      <c r="H126" s="512"/>
    </row>
    <row r="127" spans="1:8">
      <c r="A127" s="474"/>
      <c r="B127" s="1932"/>
      <c r="C127" s="3403">
        <v>2016</v>
      </c>
      <c r="D127" s="1952">
        <v>2017</v>
      </c>
      <c r="E127" s="1949">
        <v>2018</v>
      </c>
      <c r="F127" s="1950">
        <v>2019</v>
      </c>
      <c r="G127" s="1949" t="s">
        <v>137</v>
      </c>
      <c r="H127" s="1953" t="s">
        <v>84</v>
      </c>
    </row>
    <row r="128" spans="1:8">
      <c r="A128" s="497"/>
      <c r="B128" s="235" t="s">
        <v>942</v>
      </c>
      <c r="C128" s="1988">
        <v>21</v>
      </c>
      <c r="D128" s="1923">
        <v>12</v>
      </c>
      <c r="E128" s="235">
        <v>45</v>
      </c>
      <c r="F128" s="235">
        <v>85</v>
      </c>
      <c r="G128" s="1925">
        <v>44</v>
      </c>
      <c r="H128" s="1924">
        <v>90</v>
      </c>
    </row>
    <row r="129" spans="1:8">
      <c r="A129" s="497"/>
      <c r="B129" s="1981" t="s">
        <v>943</v>
      </c>
      <c r="C129" s="1988">
        <v>81</v>
      </c>
      <c r="D129" s="1988">
        <v>54</v>
      </c>
      <c r="E129" s="1981">
        <v>22</v>
      </c>
      <c r="F129" s="1981">
        <v>16</v>
      </c>
      <c r="G129" s="2056">
        <v>20</v>
      </c>
      <c r="H129" s="2020">
        <v>155</v>
      </c>
    </row>
    <row r="130" spans="1:8">
      <c r="A130" s="497"/>
      <c r="B130" s="1981" t="s">
        <v>944</v>
      </c>
      <c r="C130" s="1988">
        <v>1</v>
      </c>
      <c r="D130" s="1988">
        <v>2</v>
      </c>
      <c r="E130" s="1981">
        <v>3</v>
      </c>
      <c r="F130" s="1981">
        <v>3</v>
      </c>
      <c r="G130" s="2056"/>
      <c r="H130" s="2020">
        <v>0</v>
      </c>
    </row>
    <row r="131" spans="1:8">
      <c r="A131" s="497"/>
      <c r="B131" s="1981" t="s">
        <v>945</v>
      </c>
      <c r="C131" s="1988">
        <v>156</v>
      </c>
      <c r="D131" s="1988">
        <v>267</v>
      </c>
      <c r="E131" s="1981">
        <v>239</v>
      </c>
      <c r="F131" s="1981">
        <v>351</v>
      </c>
      <c r="G131" s="2056">
        <v>246</v>
      </c>
      <c r="H131" s="2020">
        <v>230</v>
      </c>
    </row>
    <row r="132" spans="1:8">
      <c r="A132" s="497"/>
      <c r="B132" s="1981" t="s">
        <v>645</v>
      </c>
      <c r="C132" s="1988">
        <v>2</v>
      </c>
      <c r="D132" s="1988">
        <v>295</v>
      </c>
      <c r="E132" s="1981"/>
      <c r="F132" s="1981"/>
      <c r="G132" s="2056"/>
      <c r="H132" s="2020">
        <v>0</v>
      </c>
    </row>
    <row r="133" spans="1:8">
      <c r="A133" s="497"/>
      <c r="B133" s="278" t="s">
        <v>118</v>
      </c>
      <c r="C133" s="439">
        <v>261</v>
      </c>
      <c r="D133" s="439">
        <v>630</v>
      </c>
      <c r="E133" s="439">
        <f>SUM(E128:E132)</f>
        <v>309</v>
      </c>
      <c r="F133" s="439">
        <f>SUM(F128:F132)</f>
        <v>455</v>
      </c>
      <c r="G133" s="439">
        <f>SUM(G128:G132)</f>
        <v>310</v>
      </c>
      <c r="H133" s="439">
        <f>SUM(H128:H132)</f>
        <v>475</v>
      </c>
    </row>
    <row r="134" spans="1:8">
      <c r="A134" s="497"/>
      <c r="B134" s="278"/>
      <c r="C134" s="279"/>
      <c r="D134" s="278"/>
      <c r="E134" s="278"/>
      <c r="F134" s="278"/>
      <c r="G134" s="278"/>
      <c r="H134" s="278"/>
    </row>
    <row r="135" spans="1:8">
      <c r="A135" s="497"/>
      <c r="B135" s="278"/>
      <c r="C135" s="279"/>
      <c r="D135" s="278"/>
      <c r="E135" s="278"/>
      <c r="G135" s="315"/>
      <c r="H135" s="315">
        <v>193</v>
      </c>
    </row>
    <row r="136" spans="1:8">
      <c r="A136" s="497"/>
      <c r="B136" s="278"/>
      <c r="C136" s="279"/>
      <c r="D136" s="278"/>
      <c r="E136" s="278"/>
      <c r="F136" s="278"/>
      <c r="G136" s="278"/>
      <c r="H136" s="278"/>
    </row>
    <row r="137" spans="1:8">
      <c r="A137" s="497"/>
      <c r="B137" s="529" t="s">
        <v>947</v>
      </c>
      <c r="C137" s="279"/>
      <c r="D137" s="278"/>
      <c r="E137" s="278"/>
      <c r="F137" s="278"/>
      <c r="G137" s="278"/>
      <c r="H137" s="278"/>
    </row>
    <row r="138" spans="1:8">
      <c r="A138" s="497"/>
      <c r="B138" s="278"/>
      <c r="C138" s="279"/>
      <c r="D138" s="278"/>
      <c r="E138" s="278"/>
      <c r="F138" s="278"/>
      <c r="G138" s="278"/>
      <c r="H138" s="278"/>
    </row>
    <row r="139" spans="1:8">
      <c r="A139" s="609"/>
      <c r="B139" s="1931" t="s">
        <v>115</v>
      </c>
      <c r="C139" s="611"/>
      <c r="D139" s="611"/>
      <c r="E139" s="512"/>
      <c r="F139" s="512"/>
      <c r="G139" s="512"/>
      <c r="H139" s="512"/>
    </row>
    <row r="140" spans="1:8">
      <c r="A140" s="529"/>
      <c r="B140" s="1932"/>
      <c r="C140" s="3403">
        <v>2016</v>
      </c>
      <c r="D140" s="1952">
        <v>2017</v>
      </c>
      <c r="E140" s="1949">
        <v>2018</v>
      </c>
      <c r="F140" s="1950">
        <v>2019</v>
      </c>
      <c r="G140" s="1949" t="s">
        <v>137</v>
      </c>
      <c r="H140" s="1953" t="s">
        <v>84</v>
      </c>
    </row>
    <row r="141" spans="1:8">
      <c r="A141" s="518"/>
      <c r="B141" s="235" t="s">
        <v>942</v>
      </c>
      <c r="C141" s="1988">
        <v>53811</v>
      </c>
      <c r="D141" s="1923">
        <v>69683</v>
      </c>
      <c r="E141" s="235">
        <v>74420</v>
      </c>
      <c r="F141" s="235">
        <v>64158</v>
      </c>
      <c r="G141" s="1925">
        <v>66459</v>
      </c>
      <c r="H141" s="1924">
        <v>70545</v>
      </c>
    </row>
    <row r="142" spans="1:8">
      <c r="A142" s="497"/>
      <c r="B142" s="1981" t="s">
        <v>943</v>
      </c>
      <c r="C142" s="1988">
        <v>2128</v>
      </c>
      <c r="D142" s="1988">
        <v>2298</v>
      </c>
      <c r="E142" s="1981">
        <v>2630</v>
      </c>
      <c r="F142" s="1981">
        <v>2775</v>
      </c>
      <c r="G142" s="2056">
        <v>2037</v>
      </c>
      <c r="H142" s="2020">
        <v>2878</v>
      </c>
    </row>
    <row r="143" spans="1:8">
      <c r="A143" s="497"/>
      <c r="B143" s="1981" t="s">
        <v>944</v>
      </c>
      <c r="C143" s="1988">
        <v>445</v>
      </c>
      <c r="D143" s="1988">
        <v>569</v>
      </c>
      <c r="E143" s="1981">
        <v>628</v>
      </c>
      <c r="F143" s="1981">
        <v>746</v>
      </c>
      <c r="G143" s="2056">
        <v>720</v>
      </c>
      <c r="H143" s="2020">
        <v>731</v>
      </c>
    </row>
    <row r="144" spans="1:8">
      <c r="A144" s="497"/>
      <c r="B144" s="1981" t="s">
        <v>945</v>
      </c>
      <c r="C144" s="1988">
        <v>8757</v>
      </c>
      <c r="D144" s="1988">
        <v>8544</v>
      </c>
      <c r="E144" s="1981">
        <v>16202</v>
      </c>
      <c r="F144" s="1981">
        <v>23060</v>
      </c>
      <c r="G144" s="2056">
        <v>65602</v>
      </c>
      <c r="H144" s="2020">
        <v>45367</v>
      </c>
    </row>
    <row r="145" spans="1:8">
      <c r="A145" s="497"/>
      <c r="B145" s="1981" t="s">
        <v>645</v>
      </c>
      <c r="C145" s="1981">
        <v>24618</v>
      </c>
      <c r="D145" s="1981">
        <v>13539</v>
      </c>
      <c r="E145" s="1981">
        <v>13127</v>
      </c>
      <c r="F145" s="1981">
        <v>16566</v>
      </c>
      <c r="G145" s="2056">
        <v>11493</v>
      </c>
      <c r="H145" s="2020">
        <v>14817</v>
      </c>
    </row>
    <row r="146" spans="1:8">
      <c r="A146" s="497"/>
      <c r="B146" s="278" t="s">
        <v>118</v>
      </c>
      <c r="C146" s="439">
        <v>89759</v>
      </c>
      <c r="D146" s="439">
        <v>94633</v>
      </c>
      <c r="E146" s="439">
        <f>SUM(E141:E145)</f>
        <v>107007</v>
      </c>
      <c r="F146" s="439">
        <f>SUM(F141:F145)</f>
        <v>107305</v>
      </c>
      <c r="G146" s="439">
        <f>SUM(G141:G145)</f>
        <v>146311</v>
      </c>
      <c r="H146" s="439">
        <f>SUM(H141:H145)</f>
        <v>134338</v>
      </c>
    </row>
    <row r="147" spans="1:8">
      <c r="A147" s="497"/>
      <c r="B147" s="278"/>
      <c r="C147" s="279"/>
      <c r="D147" s="278"/>
      <c r="E147" s="278"/>
      <c r="F147" s="278"/>
      <c r="G147" s="278"/>
      <c r="H147" s="278"/>
    </row>
    <row r="148" spans="1:8">
      <c r="A148" s="497"/>
      <c r="B148" s="278"/>
      <c r="C148" s="279"/>
      <c r="D148" s="278"/>
      <c r="E148" s="278"/>
      <c r="F148" s="278"/>
      <c r="G148" s="278"/>
      <c r="H148" s="278"/>
    </row>
    <row r="149" spans="1:8">
      <c r="A149" s="609"/>
      <c r="B149" s="1931" t="s">
        <v>113</v>
      </c>
      <c r="C149" s="611"/>
      <c r="D149" s="611"/>
      <c r="E149" s="512"/>
      <c r="F149" s="512"/>
      <c r="G149" s="512"/>
      <c r="H149" s="512"/>
    </row>
    <row r="150" spans="1:8">
      <c r="A150" s="529"/>
      <c r="B150" s="1932"/>
      <c r="C150" s="3403">
        <v>2016</v>
      </c>
      <c r="D150" s="1952">
        <v>2017</v>
      </c>
      <c r="E150" s="1949">
        <v>2018</v>
      </c>
      <c r="F150" s="1950">
        <v>2019</v>
      </c>
      <c r="G150" s="1949" t="s">
        <v>137</v>
      </c>
      <c r="H150" s="1953" t="s">
        <v>84</v>
      </c>
    </row>
    <row r="151" spans="1:8">
      <c r="A151" s="497"/>
      <c r="B151" s="235" t="s">
        <v>942</v>
      </c>
      <c r="C151" s="1988">
        <v>1424</v>
      </c>
      <c r="D151" s="1923">
        <v>3044</v>
      </c>
      <c r="E151" s="235">
        <v>5313</v>
      </c>
      <c r="F151" s="235">
        <v>1591</v>
      </c>
      <c r="G151" s="1925">
        <v>425</v>
      </c>
      <c r="H151" s="1924">
        <v>1537</v>
      </c>
    </row>
    <row r="152" spans="1:8">
      <c r="A152" s="518"/>
      <c r="B152" s="1981" t="s">
        <v>943</v>
      </c>
      <c r="C152" s="1988">
        <v>226</v>
      </c>
      <c r="D152" s="1988">
        <v>221</v>
      </c>
      <c r="E152" s="1981">
        <v>206</v>
      </c>
      <c r="F152" s="1981">
        <v>171</v>
      </c>
      <c r="G152" s="2056">
        <v>330</v>
      </c>
      <c r="H152" s="2020">
        <v>190</v>
      </c>
    </row>
    <row r="153" spans="1:8">
      <c r="A153" s="497"/>
      <c r="B153" s="1981" t="s">
        <v>944</v>
      </c>
      <c r="C153" s="1988">
        <v>15</v>
      </c>
      <c r="D153" s="1988">
        <v>114</v>
      </c>
      <c r="E153" s="1981">
        <v>6</v>
      </c>
      <c r="F153" s="1981">
        <v>30</v>
      </c>
      <c r="G153" s="2056">
        <v>15</v>
      </c>
      <c r="H153" s="2020">
        <v>12</v>
      </c>
    </row>
    <row r="154" spans="1:8">
      <c r="A154" s="497"/>
      <c r="B154" s="1981" t="s">
        <v>945</v>
      </c>
      <c r="C154" s="1988">
        <v>1788</v>
      </c>
      <c r="D154" s="1988">
        <v>332</v>
      </c>
      <c r="E154" s="1981">
        <v>70</v>
      </c>
      <c r="F154" s="1981">
        <v>61</v>
      </c>
      <c r="G154" s="2056">
        <v>90</v>
      </c>
      <c r="H154" s="2020">
        <v>166</v>
      </c>
    </row>
    <row r="155" spans="1:8">
      <c r="A155" s="497"/>
      <c r="B155" s="1981" t="s">
        <v>645</v>
      </c>
      <c r="C155" s="1988"/>
      <c r="D155" s="1988">
        <v>415</v>
      </c>
      <c r="E155" s="1981">
        <v>141</v>
      </c>
      <c r="F155" s="1981">
        <v>454</v>
      </c>
      <c r="G155" s="2056">
        <v>238</v>
      </c>
      <c r="H155" s="2020">
        <v>1067</v>
      </c>
    </row>
    <row r="156" spans="1:8">
      <c r="A156" s="497"/>
      <c r="B156" s="278" t="s">
        <v>118</v>
      </c>
      <c r="C156" s="439">
        <v>3453</v>
      </c>
      <c r="D156" s="439">
        <v>4126</v>
      </c>
      <c r="E156" s="439">
        <f>SUM(E151:E155)</f>
        <v>5736</v>
      </c>
      <c r="F156" s="439">
        <f>SUM(F151:F155)</f>
        <v>2307</v>
      </c>
      <c r="G156" s="439">
        <f>SUM(G151:G155)</f>
        <v>1098</v>
      </c>
      <c r="H156" s="439">
        <f>SUM(H151:H155)</f>
        <v>2972</v>
      </c>
    </row>
    <row r="157" spans="1:8">
      <c r="A157" s="497"/>
      <c r="B157" s="278"/>
      <c r="C157" s="278"/>
      <c r="D157" s="278"/>
      <c r="E157" s="278"/>
      <c r="F157" s="278"/>
      <c r="G157" s="278"/>
      <c r="H157" s="278"/>
    </row>
    <row r="158" spans="1:8">
      <c r="A158" s="497"/>
      <c r="B158" s="278"/>
      <c r="C158" s="278"/>
      <c r="D158" s="278"/>
      <c r="E158" s="278"/>
      <c r="F158" s="278"/>
      <c r="G158" s="278"/>
      <c r="H158" s="278"/>
    </row>
    <row r="159" spans="1:8">
      <c r="A159" s="497"/>
      <c r="B159" s="278"/>
      <c r="C159" s="419"/>
      <c r="D159" s="278"/>
      <c r="E159" s="278"/>
      <c r="F159" s="278"/>
      <c r="G159" s="278"/>
      <c r="H159" s="278"/>
    </row>
    <row r="160" spans="1:8">
      <c r="A160" s="609"/>
      <c r="B160" s="1931" t="s">
        <v>116</v>
      </c>
      <c r="E160" s="512"/>
      <c r="F160" s="512"/>
      <c r="G160" s="512"/>
      <c r="H160" s="512"/>
    </row>
    <row r="161" spans="1:8">
      <c r="A161" s="474"/>
      <c r="B161" s="1932"/>
      <c r="C161" s="3403">
        <v>2016</v>
      </c>
      <c r="D161" s="1952">
        <v>2017</v>
      </c>
      <c r="E161" s="1949">
        <v>2018</v>
      </c>
      <c r="F161" s="1950">
        <v>2019</v>
      </c>
      <c r="G161" s="1949" t="s">
        <v>137</v>
      </c>
      <c r="H161" s="1953" t="s">
        <v>84</v>
      </c>
    </row>
    <row r="162" spans="1:8">
      <c r="A162" s="497"/>
      <c r="B162" s="235" t="s">
        <v>942</v>
      </c>
      <c r="C162" s="1981">
        <v>658</v>
      </c>
      <c r="D162" s="235">
        <v>852</v>
      </c>
      <c r="E162" s="235">
        <v>875</v>
      </c>
      <c r="F162" s="235">
        <v>927</v>
      </c>
      <c r="G162" s="1925">
        <v>970</v>
      </c>
      <c r="H162" s="1924">
        <v>1060</v>
      </c>
    </row>
    <row r="163" spans="1:8">
      <c r="A163" s="497"/>
      <c r="B163" s="1981" t="s">
        <v>943</v>
      </c>
      <c r="C163" s="1981">
        <v>106</v>
      </c>
      <c r="D163" s="1981">
        <v>193</v>
      </c>
      <c r="E163" s="1981">
        <v>405</v>
      </c>
      <c r="F163" s="1981">
        <v>892</v>
      </c>
      <c r="G163" s="2056">
        <v>1092</v>
      </c>
      <c r="H163" s="2020">
        <v>3120</v>
      </c>
    </row>
    <row r="164" spans="1:8">
      <c r="A164" s="497"/>
      <c r="B164" s="1981" t="s">
        <v>944</v>
      </c>
      <c r="C164" s="1981">
        <v>5</v>
      </c>
      <c r="D164" s="1981">
        <v>17</v>
      </c>
      <c r="E164" s="1981">
        <v>32</v>
      </c>
      <c r="F164" s="1981">
        <v>26</v>
      </c>
      <c r="G164" s="2056">
        <v>19</v>
      </c>
      <c r="H164" s="2020">
        <v>28</v>
      </c>
    </row>
    <row r="165" spans="1:8">
      <c r="A165" s="497"/>
      <c r="B165" s="1981" t="s">
        <v>945</v>
      </c>
      <c r="C165" s="1981">
        <v>828</v>
      </c>
      <c r="D165" s="1981">
        <v>1476</v>
      </c>
      <c r="E165" s="1981">
        <v>1587</v>
      </c>
      <c r="F165" s="1981">
        <v>1389</v>
      </c>
      <c r="G165" s="2056">
        <v>45334</v>
      </c>
      <c r="H165" s="2020">
        <v>30889</v>
      </c>
    </row>
    <row r="166" spans="1:8">
      <c r="A166" s="497"/>
      <c r="B166" s="1981" t="s">
        <v>645</v>
      </c>
      <c r="C166" s="1981">
        <v>17053</v>
      </c>
      <c r="D166" s="1981">
        <v>22859</v>
      </c>
      <c r="E166" s="1981">
        <v>39708</v>
      </c>
      <c r="F166" s="1981">
        <v>67322</v>
      </c>
      <c r="G166" s="2056">
        <v>44753</v>
      </c>
      <c r="H166" s="2020">
        <v>67271</v>
      </c>
    </row>
    <row r="167" spans="1:8">
      <c r="A167" s="497"/>
      <c r="B167" s="278" t="s">
        <v>118</v>
      </c>
      <c r="C167" s="439">
        <v>18650</v>
      </c>
      <c r="D167" s="439">
        <v>25397</v>
      </c>
      <c r="E167" s="439">
        <f>SUM(E162:E166)</f>
        <v>42607</v>
      </c>
      <c r="F167" s="439">
        <f>SUM(F162:F166)</f>
        <v>70556</v>
      </c>
      <c r="G167" s="439">
        <f>SUM(G162:G166)</f>
        <v>92168</v>
      </c>
      <c r="H167" s="439">
        <f>SUM(H162:H166)</f>
        <v>102368</v>
      </c>
    </row>
    <row r="168" spans="1:8">
      <c r="A168" s="497"/>
      <c r="B168" s="278"/>
      <c r="C168" s="279"/>
      <c r="D168" s="278"/>
      <c r="E168" s="278"/>
      <c r="F168" s="278"/>
      <c r="G168" s="278"/>
      <c r="H168" s="278"/>
    </row>
    <row r="169" spans="1:8">
      <c r="A169" s="497"/>
      <c r="B169" s="278"/>
      <c r="C169" s="419"/>
      <c r="D169" s="278"/>
      <c r="E169" s="278"/>
      <c r="F169" s="278"/>
      <c r="G169" s="278"/>
      <c r="H169" s="278"/>
    </row>
    <row r="170" spans="1:8">
      <c r="A170" s="609"/>
      <c r="B170" s="1931" t="s">
        <v>117</v>
      </c>
      <c r="C170" s="616"/>
      <c r="D170" s="611"/>
      <c r="E170" s="512"/>
      <c r="F170" s="512"/>
      <c r="G170" s="512"/>
      <c r="H170" s="512"/>
    </row>
    <row r="171" spans="1:8">
      <c r="A171" s="529"/>
      <c r="B171" s="1932"/>
      <c r="C171" s="3403">
        <v>2016</v>
      </c>
      <c r="D171" s="1952">
        <v>2017</v>
      </c>
      <c r="E171" s="1949">
        <v>2018</v>
      </c>
      <c r="F171" s="1950">
        <v>2019</v>
      </c>
      <c r="G171" s="1949" t="s">
        <v>137</v>
      </c>
      <c r="H171" s="1953" t="s">
        <v>84</v>
      </c>
    </row>
    <row r="172" spans="1:8">
      <c r="A172" s="497"/>
      <c r="B172" s="235" t="s">
        <v>942</v>
      </c>
      <c r="C172" s="1988">
        <v>13744</v>
      </c>
      <c r="D172" s="1923">
        <v>17579</v>
      </c>
      <c r="E172" s="235">
        <v>23887</v>
      </c>
      <c r="F172" s="235">
        <v>12618</v>
      </c>
      <c r="G172" s="1925">
        <v>13817</v>
      </c>
      <c r="H172" s="1924">
        <v>11062</v>
      </c>
    </row>
    <row r="173" spans="1:8">
      <c r="A173" s="497"/>
      <c r="B173" s="1981" t="s">
        <v>943</v>
      </c>
      <c r="C173" s="1988">
        <v>893</v>
      </c>
      <c r="D173" s="1988">
        <v>984</v>
      </c>
      <c r="E173" s="1981">
        <v>1086</v>
      </c>
      <c r="F173" s="1981">
        <v>1364</v>
      </c>
      <c r="G173" s="2056">
        <v>770</v>
      </c>
      <c r="H173" s="2020">
        <v>741</v>
      </c>
    </row>
    <row r="174" spans="1:8">
      <c r="A174" s="518"/>
      <c r="B174" s="1981" t="s">
        <v>944</v>
      </c>
      <c r="C174" s="1988">
        <v>6487</v>
      </c>
      <c r="D174" s="1988">
        <v>7263</v>
      </c>
      <c r="E174" s="1981">
        <v>73</v>
      </c>
      <c r="F174" s="1981">
        <v>969</v>
      </c>
      <c r="G174" s="2056">
        <v>80</v>
      </c>
      <c r="H174" s="2020">
        <v>48</v>
      </c>
    </row>
    <row r="175" spans="1:8">
      <c r="A175" s="497"/>
      <c r="B175" s="1981" t="s">
        <v>945</v>
      </c>
      <c r="C175" s="1988">
        <v>6398</v>
      </c>
      <c r="D175" s="1988">
        <v>7623</v>
      </c>
      <c r="E175" s="1981">
        <v>12645</v>
      </c>
      <c r="F175" s="1981">
        <v>12216</v>
      </c>
      <c r="G175" s="2056">
        <v>9834</v>
      </c>
      <c r="H175" s="2020">
        <v>11427</v>
      </c>
    </row>
    <row r="176" spans="1:8">
      <c r="A176" s="497"/>
      <c r="B176" s="1981" t="s">
        <v>645</v>
      </c>
      <c r="C176" s="1988">
        <v>2369</v>
      </c>
      <c r="D176" s="1988">
        <v>2620</v>
      </c>
      <c r="E176" s="1981">
        <v>10712</v>
      </c>
      <c r="F176" s="1981">
        <v>3490</v>
      </c>
      <c r="G176" s="2056">
        <v>6000</v>
      </c>
      <c r="H176" s="2020">
        <v>40138</v>
      </c>
    </row>
    <row r="177" spans="1:8">
      <c r="A177" s="497"/>
      <c r="B177" s="278" t="s">
        <v>118</v>
      </c>
      <c r="C177" s="439">
        <v>29891</v>
      </c>
      <c r="D177" s="439">
        <v>36069</v>
      </c>
      <c r="E177" s="439">
        <f>SUM(E172:E176)</f>
        <v>48403</v>
      </c>
      <c r="F177" s="439">
        <f>SUM(F172:F176)</f>
        <v>30657</v>
      </c>
      <c r="G177" s="439">
        <f>SUM(G172:G176)</f>
        <v>30501</v>
      </c>
      <c r="H177" s="439">
        <f>SUM(H172:H176)</f>
        <v>63416</v>
      </c>
    </row>
    <row r="178" spans="1:8">
      <c r="A178" s="614"/>
      <c r="B178" s="611"/>
      <c r="C178" s="616"/>
      <c r="D178" s="611"/>
      <c r="E178" s="611"/>
      <c r="F178" s="611"/>
    </row>
    <row r="179" spans="1:8">
      <c r="A179" s="614"/>
      <c r="B179" s="611"/>
      <c r="C179" s="616"/>
      <c r="D179" s="611"/>
      <c r="E179" s="611"/>
      <c r="H179" s="264">
        <v>194</v>
      </c>
    </row>
    <row r="180" spans="1:8">
      <c r="A180" s="614"/>
      <c r="B180" s="490"/>
      <c r="C180" s="611"/>
      <c r="D180" s="611"/>
      <c r="E180" s="611"/>
      <c r="F180" s="611"/>
    </row>
    <row r="183" spans="1:8">
      <c r="A183" s="614"/>
    </row>
    <row r="184" spans="1:8">
      <c r="A184" s="615"/>
      <c r="B184" s="611"/>
      <c r="C184" s="611"/>
      <c r="D184" s="611"/>
      <c r="E184" s="611"/>
      <c r="F184" s="611"/>
    </row>
    <row r="185" spans="1:8">
      <c r="A185" s="614"/>
      <c r="B185" s="611"/>
      <c r="C185" s="616"/>
      <c r="D185" s="611"/>
      <c r="E185" s="611"/>
      <c r="F185" s="611"/>
    </row>
    <row r="186" spans="1:8">
      <c r="A186" s="614"/>
      <c r="B186" s="611"/>
      <c r="C186" s="616"/>
      <c r="D186" s="611"/>
      <c r="E186" s="611"/>
      <c r="F186" s="611"/>
    </row>
    <row r="187" spans="1:8">
      <c r="A187" s="614"/>
      <c r="B187" s="611"/>
      <c r="C187" s="616"/>
      <c r="D187" s="611"/>
      <c r="E187" s="611"/>
      <c r="F187" s="611"/>
    </row>
    <row r="188" spans="1:8">
      <c r="A188" s="614"/>
      <c r="B188" s="611"/>
      <c r="C188" s="616"/>
      <c r="D188" s="611"/>
      <c r="E188" s="611"/>
      <c r="F188" s="611"/>
    </row>
    <row r="189" spans="1:8">
      <c r="A189" s="614"/>
      <c r="B189" s="611"/>
      <c r="C189" s="616"/>
      <c r="D189" s="611"/>
      <c r="E189" s="611"/>
      <c r="F189" s="611"/>
    </row>
    <row r="190" spans="1:8">
      <c r="A190" s="614"/>
      <c r="B190" s="611"/>
      <c r="C190" s="611"/>
      <c r="D190" s="611"/>
      <c r="E190" s="611"/>
      <c r="F190" s="611"/>
    </row>
  </sheetData>
  <pageMargins left="0.7" right="0.7" top="0.59" bottom="0.48" header="0.3" footer="0.3"/>
  <pageSetup paperSize="9" scale="75" orientation="landscape" r:id="rId1"/>
  <rowBreaks count="4" manualBreakCount="4">
    <brk id="34" max="8" man="1"/>
    <brk id="67" max="8" man="1"/>
    <brk id="101" max="8" man="1"/>
    <brk id="135" max="8"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AB179"/>
  <sheetViews>
    <sheetView showGridLines="0" view="pageBreakPreview" topLeftCell="A100" zoomScale="85" zoomScaleNormal="100" zoomScaleSheetLayoutView="85" workbookViewId="0">
      <pane xSplit="2" topLeftCell="D1" activePane="topRight" state="frozen"/>
      <selection pane="topRight" activeCell="M19" sqref="M19"/>
    </sheetView>
  </sheetViews>
  <sheetFormatPr defaultColWidth="9.140625" defaultRowHeight="15"/>
  <cols>
    <col min="1" max="1" width="8.42578125" style="39" customWidth="1"/>
    <col min="2" max="2" width="25.28515625" style="39" customWidth="1"/>
    <col min="3" max="3" width="21.5703125" style="39" hidden="1" customWidth="1"/>
    <col min="4" max="8" width="21.5703125" style="39" customWidth="1"/>
    <col min="9" max="9" width="7.28515625" style="39" customWidth="1"/>
    <col min="10" max="10" width="9.140625" style="39"/>
    <col min="11" max="11" width="12.140625" style="39" customWidth="1"/>
    <col min="12" max="12" width="9.140625" style="39"/>
    <col min="13" max="13" width="11.5703125" style="39" bestFit="1" customWidth="1"/>
    <col min="14" max="15" width="11.5703125" style="39" customWidth="1"/>
    <col min="16" max="16" width="11.5703125" style="39" bestFit="1" customWidth="1"/>
    <col min="17" max="18" width="11.5703125" style="39" customWidth="1"/>
    <col min="19" max="19" width="11.5703125" style="39" bestFit="1" customWidth="1"/>
    <col min="20" max="21" width="11.5703125" style="39" customWidth="1"/>
    <col min="22" max="22" width="11.5703125" style="39" bestFit="1" customWidth="1"/>
    <col min="23" max="24" width="11.5703125" style="39" customWidth="1"/>
    <col min="25" max="25" width="11.5703125" style="39" bestFit="1" customWidth="1"/>
    <col min="26" max="16384" width="9.140625" style="39"/>
  </cols>
  <sheetData>
    <row r="2" spans="1:15">
      <c r="A2" s="279"/>
      <c r="B2" s="511" t="s">
        <v>949</v>
      </c>
      <c r="C2" s="511"/>
      <c r="D2" s="511"/>
      <c r="E2" s="511"/>
      <c r="F2" s="511"/>
      <c r="G2" s="511"/>
      <c r="H2" s="511"/>
      <c r="M2" s="385"/>
      <c r="N2" s="385"/>
      <c r="O2" s="416"/>
    </row>
    <row r="3" spans="1:15">
      <c r="A3" s="279"/>
      <c r="B3" s="1942"/>
      <c r="C3" s="385"/>
      <c r="D3" s="465"/>
      <c r="E3" s="463"/>
      <c r="F3" s="463"/>
      <c r="G3" s="463"/>
      <c r="H3" s="463"/>
      <c r="M3" s="385"/>
      <c r="N3" s="385"/>
      <c r="O3" s="416"/>
    </row>
    <row r="4" spans="1:15">
      <c r="A4" s="1943"/>
      <c r="B4" s="1935" t="s">
        <v>253</v>
      </c>
      <c r="C4" s="385"/>
      <c r="D4" s="1938"/>
      <c r="E4" s="1940"/>
      <c r="F4" s="1940"/>
      <c r="G4" s="1939"/>
      <c r="H4" s="1939" t="s">
        <v>473</v>
      </c>
      <c r="M4" s="385"/>
      <c r="N4" s="385"/>
      <c r="O4" s="416"/>
    </row>
    <row r="5" spans="1:15">
      <c r="A5" s="1944"/>
      <c r="B5" s="1936"/>
      <c r="C5" s="3403">
        <v>2016</v>
      </c>
      <c r="D5" s="1941">
        <v>2017</v>
      </c>
      <c r="E5" s="1941">
        <v>2018</v>
      </c>
      <c r="F5" s="1941">
        <v>2019</v>
      </c>
      <c r="G5" s="1941" t="s">
        <v>137</v>
      </c>
      <c r="H5" s="1945" t="s">
        <v>84</v>
      </c>
      <c r="M5" s="593"/>
      <c r="N5" s="593"/>
      <c r="O5" s="417"/>
    </row>
    <row r="6" spans="1:15">
      <c r="A6" s="264"/>
      <c r="B6" s="1937" t="s">
        <v>942</v>
      </c>
      <c r="C6" s="1981">
        <f t="shared" ref="C6:F9" si="0">+C16+C26+C38+C48+C58+C68+C80+C90+C100+C109+C121+C131+C141+C150+C159</f>
        <v>12370658.874232654</v>
      </c>
      <c r="D6" s="235">
        <f t="shared" si="0"/>
        <v>14393604.978669997</v>
      </c>
      <c r="E6" s="235">
        <f t="shared" si="0"/>
        <v>18343284.785413779</v>
      </c>
      <c r="F6" s="235">
        <f t="shared" si="0"/>
        <v>18485419.973701946</v>
      </c>
      <c r="G6" s="1925">
        <f>+G16+G26+G38+G48+G58+G68+G80+G90+G100+G109+G121+G131+G141+G150+G159</f>
        <v>21702672.415692538</v>
      </c>
      <c r="H6" s="1924">
        <f>+H16+H26+H48+H38+H58+H68+H80+H90+H100+H109+H121+H131+H141+H150+H159</f>
        <v>22428030.743519999</v>
      </c>
      <c r="I6" s="197"/>
      <c r="K6" s="752"/>
      <c r="L6" s="197"/>
      <c r="M6" s="593"/>
      <c r="N6" s="593"/>
      <c r="O6" s="417"/>
    </row>
    <row r="7" spans="1:15">
      <c r="A7" s="264"/>
      <c r="B7" s="3302" t="s">
        <v>943</v>
      </c>
      <c r="C7" s="1981">
        <f t="shared" si="0"/>
        <v>1616564.9543555072</v>
      </c>
      <c r="D7" s="1981">
        <f t="shared" si="0"/>
        <v>2106086.5609900001</v>
      </c>
      <c r="E7" s="1981">
        <f t="shared" si="0"/>
        <v>2842974.5773333488</v>
      </c>
      <c r="F7" s="1981">
        <f t="shared" si="0"/>
        <v>2991518.2771316669</v>
      </c>
      <c r="G7" s="2056">
        <f t="shared" ref="G7" si="1">+G17+G27+G39+G49+G59+G69+G81+G91+G101+G110+G122+G132+G142+G151+G160</f>
        <v>2646832.8414923325</v>
      </c>
      <c r="H7" s="2020">
        <f t="shared" ref="H7:H10" si="2">+H17+H27+H49+H39+H59+H69+H81+H91+H101+H110+H122+H132+H142+H151+H160</f>
        <v>6195906.0852489909</v>
      </c>
      <c r="I7" s="197"/>
      <c r="M7" s="593"/>
      <c r="N7" s="593"/>
      <c r="O7" s="417"/>
    </row>
    <row r="8" spans="1:15">
      <c r="A8" s="264"/>
      <c r="B8" s="3302" t="s">
        <v>944</v>
      </c>
      <c r="C8" s="1981">
        <f t="shared" si="0"/>
        <v>488818.59648597788</v>
      </c>
      <c r="D8" s="1981">
        <f t="shared" si="0"/>
        <v>636471.73288999998</v>
      </c>
      <c r="E8" s="1981">
        <f t="shared" si="0"/>
        <v>984922.69501306117</v>
      </c>
      <c r="F8" s="1981">
        <f t="shared" si="0"/>
        <v>731803.4760480891</v>
      </c>
      <c r="G8" s="2056">
        <f t="shared" ref="G8" si="3">+G18+G28+G40+G50+G60+G70+G82+G92+G102+G111+G123+G133+G143+G152+G161</f>
        <v>705887.46506600815</v>
      </c>
      <c r="H8" s="2020">
        <f t="shared" si="2"/>
        <v>925433.99755912635</v>
      </c>
      <c r="I8" s="197"/>
      <c r="M8" s="593"/>
      <c r="N8" s="593"/>
      <c r="O8" s="417"/>
    </row>
    <row r="9" spans="1:15">
      <c r="A9" s="264"/>
      <c r="B9" s="3302" t="s">
        <v>945</v>
      </c>
      <c r="C9" s="1981">
        <f t="shared" si="0"/>
        <v>5121636.1405557413</v>
      </c>
      <c r="D9" s="1981">
        <f t="shared" si="0"/>
        <v>5530517.2547839535</v>
      </c>
      <c r="E9" s="1981">
        <f t="shared" si="0"/>
        <v>7004688.4897291884</v>
      </c>
      <c r="F9" s="1981">
        <f t="shared" si="0"/>
        <v>7141731.1407065131</v>
      </c>
      <c r="G9" s="2056">
        <f t="shared" ref="G9" si="4">+G19+G29+G41+G51+G61+G71+G83+G93+G103+G112+G124+G134+G144+G153+G162</f>
        <v>6951595.6937713958</v>
      </c>
      <c r="H9" s="2020">
        <f t="shared" si="2"/>
        <v>8173792.6152220946</v>
      </c>
      <c r="I9" s="197"/>
      <c r="M9" s="593"/>
      <c r="N9" s="593"/>
      <c r="O9" s="417"/>
    </row>
    <row r="10" spans="1:15">
      <c r="A10" s="264"/>
      <c r="B10" s="3302" t="s">
        <v>645</v>
      </c>
      <c r="C10" s="1981">
        <v>2887039</v>
      </c>
      <c r="D10" s="1981">
        <v>3704468.5498700007</v>
      </c>
      <c r="E10" s="2814">
        <f>+E20+E30+E42+E52+E62+E72+E84+E94+E104+E113+E125+E135+E145+E154+E163</f>
        <v>5240493.1329498552</v>
      </c>
      <c r="F10" s="2814">
        <f>+F20+F30+F42+F52+F62+F72+F84+F94+F104+F113+F125+F135+F145+F154+F163</f>
        <v>5788921.6114517841</v>
      </c>
      <c r="G10" s="3306">
        <f>+G20+G30+G42+G52+G62+G72+G84+G94+G104+G113+G125+G135+G145+G154+G163</f>
        <v>5902182.6847477239</v>
      </c>
      <c r="H10" s="2020">
        <f t="shared" si="2"/>
        <v>8389628.3068297878</v>
      </c>
      <c r="I10" s="197"/>
      <c r="M10" s="385"/>
      <c r="N10" s="385"/>
      <c r="O10" s="416"/>
    </row>
    <row r="11" spans="1:15">
      <c r="A11" s="264"/>
      <c r="B11" s="278" t="s">
        <v>118</v>
      </c>
      <c r="C11" s="602">
        <f t="shared" ref="C11:H11" si="5">SUM(C6:C10)</f>
        <v>22484717.565629881</v>
      </c>
      <c r="D11" s="1933">
        <f t="shared" si="5"/>
        <v>26371149.077203952</v>
      </c>
      <c r="E11" s="1933">
        <f t="shared" si="5"/>
        <v>34416363.680439234</v>
      </c>
      <c r="F11" s="1933">
        <f t="shared" si="5"/>
        <v>35139394.479039997</v>
      </c>
      <c r="G11" s="1933">
        <f>SUM(G6:G10)</f>
        <v>37909171.100769997</v>
      </c>
      <c r="H11" s="1933">
        <f t="shared" si="5"/>
        <v>46112791.748379998</v>
      </c>
      <c r="I11" s="197"/>
      <c r="M11" s="385"/>
      <c r="N11" s="385"/>
      <c r="O11" s="416"/>
    </row>
    <row r="12" spans="1:15">
      <c r="A12" s="264"/>
      <c r="B12" s="278"/>
      <c r="C12" s="279"/>
      <c r="D12" s="279"/>
      <c r="E12" s="279"/>
      <c r="F12" s="279"/>
      <c r="G12" s="279"/>
      <c r="H12" s="279"/>
      <c r="M12" s="385"/>
      <c r="N12" s="385"/>
      <c r="O12" s="416"/>
    </row>
    <row r="13" spans="1:15" ht="18" customHeight="1">
      <c r="A13" s="264"/>
      <c r="B13" s="278"/>
      <c r="C13" s="279"/>
      <c r="D13" s="278"/>
      <c r="E13" s="278"/>
      <c r="F13" s="278"/>
      <c r="G13" s="278"/>
      <c r="H13" s="278"/>
    </row>
    <row r="14" spans="1:15">
      <c r="A14" s="385"/>
      <c r="B14" s="1929" t="s">
        <v>314</v>
      </c>
      <c r="C14" s="264"/>
      <c r="D14" s="264"/>
      <c r="E14" s="512"/>
      <c r="F14" s="512"/>
      <c r="G14" s="512"/>
      <c r="H14" s="512"/>
    </row>
    <row r="15" spans="1:15">
      <c r="A15" s="279"/>
      <c r="B15" s="1930"/>
      <c r="C15" s="3403">
        <v>2016</v>
      </c>
      <c r="D15" s="1949">
        <v>2017</v>
      </c>
      <c r="E15" s="1950">
        <v>2018</v>
      </c>
      <c r="F15" s="1949">
        <v>2019</v>
      </c>
      <c r="G15" s="1950" t="s">
        <v>137</v>
      </c>
      <c r="H15" s="1949" t="s">
        <v>84</v>
      </c>
    </row>
    <row r="16" spans="1:15">
      <c r="A16" s="264"/>
      <c r="B16" s="235" t="s">
        <v>942</v>
      </c>
      <c r="C16" s="1981">
        <v>18662</v>
      </c>
      <c r="D16" s="235">
        <v>40028.777670000003</v>
      </c>
      <c r="E16" s="235">
        <v>23203.830249999999</v>
      </c>
      <c r="F16" s="1946">
        <v>73411</v>
      </c>
      <c r="G16" s="1948">
        <v>118057.89</v>
      </c>
      <c r="H16" s="1947">
        <v>146895.685</v>
      </c>
      <c r="I16" s="197"/>
    </row>
    <row r="17" spans="1:9">
      <c r="A17" s="264"/>
      <c r="B17" s="1981" t="s">
        <v>943</v>
      </c>
      <c r="C17" s="1981">
        <v>8011</v>
      </c>
      <c r="D17" s="1981">
        <v>2682.7251099999999</v>
      </c>
      <c r="E17" s="1981">
        <v>11651.526300000001</v>
      </c>
      <c r="F17" s="3307">
        <v>34937</v>
      </c>
      <c r="G17" s="3308">
        <v>6656.5381500000003</v>
      </c>
      <c r="H17" s="3309">
        <v>14282</v>
      </c>
      <c r="I17" s="197"/>
    </row>
    <row r="18" spans="1:9">
      <c r="A18" s="264"/>
      <c r="B18" s="1981" t="s">
        <v>944</v>
      </c>
      <c r="C18" s="1981">
        <v>1216</v>
      </c>
      <c r="D18" s="1981">
        <v>1652.479</v>
      </c>
      <c r="E18" s="1981"/>
      <c r="F18" s="3307"/>
      <c r="G18" s="3308">
        <v>0</v>
      </c>
      <c r="H18" s="3309">
        <v>0</v>
      </c>
      <c r="I18" s="197"/>
    </row>
    <row r="19" spans="1:9">
      <c r="A19" s="264"/>
      <c r="B19" s="1981" t="s">
        <v>945</v>
      </c>
      <c r="C19" s="1981">
        <v>25110</v>
      </c>
      <c r="D19" s="1981">
        <v>28361.334859999999</v>
      </c>
      <c r="E19" s="1981">
        <v>87638</v>
      </c>
      <c r="F19" s="3307">
        <v>155272</v>
      </c>
      <c r="G19" s="3308">
        <v>234777.13351999997</v>
      </c>
      <c r="H19" s="3309">
        <v>354406.147</v>
      </c>
      <c r="I19" s="197"/>
    </row>
    <row r="20" spans="1:9">
      <c r="A20" s="264"/>
      <c r="B20" s="1981" t="s">
        <v>645</v>
      </c>
      <c r="C20" s="1981">
        <v>25126</v>
      </c>
      <c r="D20" s="1981">
        <v>45016.505060000003</v>
      </c>
      <c r="E20" s="1981">
        <v>46454</v>
      </c>
      <c r="F20" s="3307">
        <v>35115</v>
      </c>
      <c r="G20" s="3308">
        <v>35561.914040000011</v>
      </c>
      <c r="H20" s="3309">
        <v>57555</v>
      </c>
      <c r="I20" s="197"/>
    </row>
    <row r="21" spans="1:9">
      <c r="A21" s="264"/>
      <c r="B21" s="464" t="s">
        <v>118</v>
      </c>
      <c r="C21" s="439">
        <f t="shared" ref="C21:E21" si="6">SUM(C16:C20)</f>
        <v>78125</v>
      </c>
      <c r="D21" s="439">
        <f t="shared" si="6"/>
        <v>117741.8217</v>
      </c>
      <c r="E21" s="439">
        <f t="shared" si="6"/>
        <v>168947.35655</v>
      </c>
      <c r="F21" s="439">
        <f>SUM(F16:F20)</f>
        <v>298735</v>
      </c>
      <c r="G21" s="439">
        <f>SUM(G16:G20)</f>
        <v>395053.47570999997</v>
      </c>
      <c r="H21" s="439">
        <f>SUM(H16:H20)</f>
        <v>573138.83199999994</v>
      </c>
      <c r="I21" s="197"/>
    </row>
    <row r="22" spans="1:9" ht="18.75" customHeight="1">
      <c r="A22" s="264"/>
      <c r="B22" s="464"/>
      <c r="C22" s="278"/>
      <c r="D22" s="278"/>
      <c r="E22" s="464"/>
      <c r="F22" s="464"/>
      <c r="G22" s="464"/>
      <c r="H22" s="464"/>
    </row>
    <row r="23" spans="1:9" ht="21" customHeight="1">
      <c r="A23" s="264"/>
      <c r="B23" s="278"/>
      <c r="C23" s="279"/>
      <c r="D23" s="278"/>
      <c r="E23" s="278"/>
      <c r="F23" s="278"/>
      <c r="G23" s="278"/>
      <c r="H23" s="278"/>
    </row>
    <row r="24" spans="1:9">
      <c r="A24" s="385"/>
      <c r="B24" s="1929" t="s">
        <v>93</v>
      </c>
      <c r="C24" s="264"/>
      <c r="D24" s="264"/>
      <c r="E24" s="512"/>
      <c r="F24" s="512"/>
      <c r="G24" s="512"/>
      <c r="H24" s="512"/>
    </row>
    <row r="25" spans="1:9">
      <c r="A25" s="279"/>
      <c r="B25" s="1930"/>
      <c r="C25" s="3403">
        <v>2016</v>
      </c>
      <c r="D25" s="1949">
        <v>2017</v>
      </c>
      <c r="E25" s="1950">
        <v>2018</v>
      </c>
      <c r="F25" s="1949">
        <v>2019</v>
      </c>
      <c r="G25" s="1950" t="s">
        <v>137</v>
      </c>
      <c r="H25" s="1949" t="s">
        <v>84</v>
      </c>
    </row>
    <row r="26" spans="1:9">
      <c r="A26" s="264"/>
      <c r="B26" s="235" t="s">
        <v>942</v>
      </c>
      <c r="C26" s="1981">
        <v>4073</v>
      </c>
      <c r="D26" s="235">
        <v>5131.4634400000014</v>
      </c>
      <c r="E26" s="235">
        <v>7806</v>
      </c>
      <c r="F26" s="1946">
        <v>14353</v>
      </c>
      <c r="G26" s="1948">
        <v>19753</v>
      </c>
      <c r="H26" s="1951">
        <v>20781.382000000001</v>
      </c>
      <c r="I26" s="197"/>
    </row>
    <row r="27" spans="1:9">
      <c r="A27" s="264"/>
      <c r="B27" s="1981" t="s">
        <v>943</v>
      </c>
      <c r="C27" s="1981">
        <v>11606</v>
      </c>
      <c r="D27" s="1981">
        <v>32953</v>
      </c>
      <c r="E27" s="1981">
        <v>49462</v>
      </c>
      <c r="F27" s="3307">
        <v>56558.422831654214</v>
      </c>
      <c r="G27" s="3308">
        <v>63484.208859545462</v>
      </c>
      <c r="H27" s="3310">
        <v>82703.301714113826</v>
      </c>
      <c r="I27" s="197"/>
    </row>
    <row r="28" spans="1:9">
      <c r="A28" s="264"/>
      <c r="B28" s="1981" t="s">
        <v>944</v>
      </c>
      <c r="C28" s="1981">
        <v>546</v>
      </c>
      <c r="D28" s="1981">
        <v>1017</v>
      </c>
      <c r="E28" s="1981">
        <v>1668</v>
      </c>
      <c r="F28" s="3307">
        <v>11978.948397964998</v>
      </c>
      <c r="G28" s="3308">
        <v>17988.289339282866</v>
      </c>
      <c r="H28" s="3310">
        <v>9551.3971610213684</v>
      </c>
      <c r="I28" s="197"/>
    </row>
    <row r="29" spans="1:9">
      <c r="A29" s="264"/>
      <c r="B29" s="1981" t="s">
        <v>945</v>
      </c>
      <c r="C29" s="1981">
        <v>38534</v>
      </c>
      <c r="D29" s="1981">
        <v>65851.6823</v>
      </c>
      <c r="E29" s="1981">
        <v>159960</v>
      </c>
      <c r="F29" s="3307">
        <v>169915</v>
      </c>
      <c r="G29" s="3308">
        <v>153653</v>
      </c>
      <c r="H29" s="3310">
        <v>220793.36568999983</v>
      </c>
      <c r="I29" s="197"/>
    </row>
    <row r="30" spans="1:9">
      <c r="A30" s="264"/>
      <c r="B30" s="2814" t="s">
        <v>645</v>
      </c>
      <c r="C30" s="1981">
        <v>20959</v>
      </c>
      <c r="D30" s="1981">
        <v>20959</v>
      </c>
      <c r="E30" s="1981">
        <v>57887</v>
      </c>
      <c r="F30" s="1981">
        <v>59570.62877038079</v>
      </c>
      <c r="G30" s="3308">
        <v>55934.501801171667</v>
      </c>
      <c r="H30" s="3311">
        <v>80285.677264864964</v>
      </c>
      <c r="I30" s="197"/>
    </row>
    <row r="31" spans="1:9">
      <c r="A31" s="264"/>
      <c r="B31" s="278" t="s">
        <v>118</v>
      </c>
      <c r="C31" s="439">
        <f>SUM(C26:C30)</f>
        <v>75718</v>
      </c>
      <c r="D31" s="439">
        <f t="shared" ref="D31:E31" si="7">SUM(D26:D30)</f>
        <v>125912.14574000001</v>
      </c>
      <c r="E31" s="439">
        <f t="shared" si="7"/>
        <v>276783</v>
      </c>
      <c r="F31" s="439">
        <f>SUM(F26:F30)</f>
        <v>312376</v>
      </c>
      <c r="G31" s="439">
        <f>SUM(G26:G30)</f>
        <v>310813</v>
      </c>
      <c r="H31" s="439">
        <f>SUM(H26:H30)</f>
        <v>414115.12383</v>
      </c>
      <c r="I31" s="197"/>
    </row>
    <row r="32" spans="1:9">
      <c r="A32" s="264"/>
      <c r="B32" s="278"/>
      <c r="C32" s="279"/>
      <c r="D32" s="278"/>
      <c r="E32" s="278"/>
      <c r="F32" s="278"/>
      <c r="G32" s="278"/>
      <c r="H32" s="278"/>
    </row>
    <row r="33" spans="1:9">
      <c r="A33" s="264"/>
      <c r="B33" s="278"/>
      <c r="C33" s="279"/>
      <c r="D33" s="278"/>
      <c r="E33" s="278"/>
      <c r="G33" s="315"/>
      <c r="H33" s="315">
        <v>186</v>
      </c>
      <c r="I33" s="305"/>
    </row>
    <row r="34" spans="1:9">
      <c r="A34" s="264"/>
      <c r="B34" s="511" t="s">
        <v>950</v>
      </c>
      <c r="C34" s="463"/>
      <c r="D34" s="511"/>
      <c r="E34" s="511"/>
      <c r="F34" s="511"/>
      <c r="G34" s="511"/>
      <c r="H34" s="511"/>
    </row>
    <row r="35" spans="1:9">
      <c r="A35" s="264"/>
      <c r="B35" s="511"/>
      <c r="C35" s="463"/>
      <c r="D35" s="511"/>
      <c r="E35" s="511"/>
      <c r="F35" s="511"/>
      <c r="G35" s="511"/>
      <c r="H35" s="511"/>
    </row>
    <row r="36" spans="1:9">
      <c r="A36" s="385"/>
      <c r="B36" s="1929" t="s">
        <v>312</v>
      </c>
      <c r="C36" s="264"/>
      <c r="D36" s="264"/>
      <c r="F36" s="1731"/>
      <c r="G36" s="1731"/>
      <c r="H36" s="1731" t="s">
        <v>473</v>
      </c>
    </row>
    <row r="37" spans="1:9">
      <c r="A37" s="279"/>
      <c r="B37" s="1930"/>
      <c r="C37" s="3403">
        <v>2016</v>
      </c>
      <c r="D37" s="1952">
        <v>2017</v>
      </c>
      <c r="E37" s="1949">
        <v>2018</v>
      </c>
      <c r="F37" s="1950">
        <v>2019</v>
      </c>
      <c r="G37" s="1949" t="s">
        <v>137</v>
      </c>
      <c r="H37" s="1953" t="s">
        <v>84</v>
      </c>
    </row>
    <row r="38" spans="1:9">
      <c r="A38" s="264"/>
      <c r="B38" s="235" t="s">
        <v>942</v>
      </c>
      <c r="C38" s="1981">
        <v>1274498</v>
      </c>
      <c r="D38" s="235">
        <v>1525379.1630800001</v>
      </c>
      <c r="E38" s="235">
        <v>1514189.4391600001</v>
      </c>
      <c r="F38" s="1946">
        <v>1301333.28764</v>
      </c>
      <c r="G38" s="1948">
        <v>1674220.3852799998</v>
      </c>
      <c r="H38" s="1951">
        <v>1895791.68557</v>
      </c>
      <c r="I38" s="197"/>
    </row>
    <row r="39" spans="1:9">
      <c r="A39" s="264"/>
      <c r="B39" s="1981" t="s">
        <v>943</v>
      </c>
      <c r="C39" s="1981">
        <v>160742</v>
      </c>
      <c r="D39" s="1981">
        <v>180935.25241999998</v>
      </c>
      <c r="E39" s="1981">
        <v>228662.72108000002</v>
      </c>
      <c r="F39" s="3307">
        <v>190993.32906000002</v>
      </c>
      <c r="G39" s="3308">
        <v>161339.21755</v>
      </c>
      <c r="H39" s="3310">
        <v>312724.42024999997</v>
      </c>
      <c r="I39" s="197"/>
    </row>
    <row r="40" spans="1:9">
      <c r="A40" s="264"/>
      <c r="B40" s="1981" t="s">
        <v>944</v>
      </c>
      <c r="C40" s="1981">
        <v>8486</v>
      </c>
      <c r="D40" s="1981">
        <v>15151</v>
      </c>
      <c r="E40" s="1981">
        <v>260109.56539999999</v>
      </c>
      <c r="F40" s="3307">
        <v>243186.70422000001</v>
      </c>
      <c r="G40" s="3308">
        <v>229946.49828999999</v>
      </c>
      <c r="H40" s="3310">
        <v>296167.08851999999</v>
      </c>
      <c r="I40" s="197"/>
    </row>
    <row r="41" spans="1:9">
      <c r="A41" s="264"/>
      <c r="B41" s="2814" t="s">
        <v>945</v>
      </c>
      <c r="C41" s="1981">
        <v>2798373</v>
      </c>
      <c r="D41" s="1981">
        <v>2288672</v>
      </c>
      <c r="E41" s="2814">
        <v>2107294.4770599995</v>
      </c>
      <c r="F41" s="3307">
        <v>1769343.6175800001</v>
      </c>
      <c r="G41" s="3308">
        <v>1227993.3962300001</v>
      </c>
      <c r="H41" s="3310">
        <v>1117723.0389100001</v>
      </c>
      <c r="I41" s="197"/>
    </row>
    <row r="42" spans="1:9">
      <c r="A42" s="264"/>
      <c r="B42" s="1981" t="s">
        <v>645</v>
      </c>
      <c r="C42" s="1981">
        <v>592358</v>
      </c>
      <c r="D42" s="1981">
        <v>1215044</v>
      </c>
      <c r="E42" s="1981">
        <v>1698556.7076700001</v>
      </c>
      <c r="F42" s="3307">
        <v>1279670.6510300001</v>
      </c>
      <c r="G42" s="3308">
        <v>1160240.19976</v>
      </c>
      <c r="H42" s="3310">
        <v>1149403.0319600001</v>
      </c>
      <c r="I42" s="197"/>
    </row>
    <row r="43" spans="1:9">
      <c r="A43" s="264"/>
      <c r="B43" s="278" t="s">
        <v>118</v>
      </c>
      <c r="C43" s="439">
        <f t="shared" ref="C43:D43" si="8">SUM(C38:C42)</f>
        <v>4834457</v>
      </c>
      <c r="D43" s="439">
        <f t="shared" si="8"/>
        <v>5225181.4155000001</v>
      </c>
      <c r="E43" s="439">
        <f>SUM(E38:E42)</f>
        <v>5808812.9103699997</v>
      </c>
      <c r="F43" s="439">
        <f>SUM(F38:F42)</f>
        <v>4784527.5895300005</v>
      </c>
      <c r="G43" s="439">
        <f>SUM(G38:G42)</f>
        <v>4453739.6971100001</v>
      </c>
      <c r="H43" s="439">
        <f>SUM(H38:H42)</f>
        <v>4771809.2652099999</v>
      </c>
      <c r="I43" s="197"/>
    </row>
    <row r="44" spans="1:9">
      <c r="A44" s="264"/>
      <c r="B44" s="278"/>
      <c r="C44" s="278"/>
      <c r="D44" s="278"/>
      <c r="E44" s="278"/>
      <c r="F44" s="278"/>
      <c r="G44" s="278"/>
      <c r="H44" s="278"/>
    </row>
    <row r="45" spans="1:9">
      <c r="A45" s="264"/>
      <c r="B45" s="278"/>
      <c r="C45" s="279"/>
      <c r="D45" s="278"/>
      <c r="E45" s="278"/>
      <c r="F45" s="278"/>
      <c r="G45" s="278"/>
      <c r="H45" s="278"/>
    </row>
    <row r="46" spans="1:9">
      <c r="A46" s="385"/>
      <c r="B46" s="1929" t="s">
        <v>94</v>
      </c>
      <c r="C46" s="264"/>
      <c r="D46" s="264"/>
      <c r="E46" s="512"/>
      <c r="F46" s="512"/>
      <c r="G46" s="512"/>
      <c r="H46" s="512"/>
    </row>
    <row r="47" spans="1:9">
      <c r="A47" s="279"/>
      <c r="B47" s="1930"/>
      <c r="C47" s="3403">
        <v>2016</v>
      </c>
      <c r="D47" s="1952">
        <v>2017</v>
      </c>
      <c r="E47" s="1949">
        <v>2018</v>
      </c>
      <c r="F47" s="1950">
        <v>2019</v>
      </c>
      <c r="G47" s="1949" t="s">
        <v>137</v>
      </c>
      <c r="H47" s="1953" t="s">
        <v>84</v>
      </c>
    </row>
    <row r="48" spans="1:9">
      <c r="A48" s="264"/>
      <c r="B48" s="235" t="s">
        <v>942</v>
      </c>
      <c r="C48" s="1981">
        <v>25387</v>
      </c>
      <c r="D48" s="1923">
        <v>16487.198</v>
      </c>
      <c r="E48" s="235">
        <v>51364.521000000001</v>
      </c>
      <c r="F48" s="1946">
        <v>39999.464</v>
      </c>
      <c r="G48" s="1948">
        <v>33644.077109999998</v>
      </c>
      <c r="H48" s="1951">
        <v>22945</v>
      </c>
      <c r="I48" s="197"/>
    </row>
    <row r="49" spans="1:9">
      <c r="A49" s="264"/>
      <c r="B49" s="1981" t="s">
        <v>943</v>
      </c>
      <c r="C49" s="1981">
        <v>1260</v>
      </c>
      <c r="D49" s="1988">
        <v>14586.815709999999</v>
      </c>
      <c r="E49" s="1981">
        <v>34445</v>
      </c>
      <c r="F49" s="3404">
        <v>15193.57</v>
      </c>
      <c r="G49" s="3308">
        <v>8495.3657099999982</v>
      </c>
      <c r="H49" s="3310">
        <v>12374</v>
      </c>
      <c r="I49" s="197"/>
    </row>
    <row r="50" spans="1:9">
      <c r="A50" s="264"/>
      <c r="B50" s="2814" t="s">
        <v>944</v>
      </c>
      <c r="C50" s="3312">
        <v>0</v>
      </c>
      <c r="D50" s="1988">
        <v>3750.46738</v>
      </c>
      <c r="E50" s="2065">
        <v>380</v>
      </c>
      <c r="F50" s="1954"/>
      <c r="G50" s="3308">
        <v>0</v>
      </c>
      <c r="H50" s="3310">
        <v>0</v>
      </c>
      <c r="I50" s="197"/>
    </row>
    <row r="51" spans="1:9">
      <c r="A51" s="264"/>
      <c r="B51" s="1981" t="s">
        <v>945</v>
      </c>
      <c r="C51" s="1981">
        <v>227442</v>
      </c>
      <c r="D51" s="1988">
        <v>295397.53667999996</v>
      </c>
      <c r="E51" s="1981">
        <v>399762.43</v>
      </c>
      <c r="F51" s="1946">
        <v>402547.14</v>
      </c>
      <c r="G51" s="3308">
        <v>299283.39408999996</v>
      </c>
      <c r="H51" s="3310">
        <v>228018</v>
      </c>
      <c r="I51" s="197"/>
    </row>
    <row r="52" spans="1:9">
      <c r="A52" s="264"/>
      <c r="B52" s="1981" t="s">
        <v>645</v>
      </c>
      <c r="C52" s="1981">
        <v>66092</v>
      </c>
      <c r="D52" s="1988">
        <v>93253.40823000003</v>
      </c>
      <c r="E52" s="1981">
        <v>79872.100999999995</v>
      </c>
      <c r="F52" s="3307">
        <v>134154.72600000002</v>
      </c>
      <c r="G52" s="3308">
        <v>105797.41820000006</v>
      </c>
      <c r="H52" s="3310">
        <v>174526</v>
      </c>
      <c r="I52" s="197"/>
    </row>
    <row r="53" spans="1:9">
      <c r="A53" s="264"/>
      <c r="B53" s="278" t="s">
        <v>118</v>
      </c>
      <c r="C53" s="439">
        <f t="shared" ref="C53:F53" si="9">SUM(C48:C52)</f>
        <v>320181</v>
      </c>
      <c r="D53" s="439">
        <f t="shared" si="9"/>
        <v>423475.42599999998</v>
      </c>
      <c r="E53" s="439">
        <f t="shared" si="9"/>
        <v>565824.05200000003</v>
      </c>
      <c r="F53" s="439">
        <f t="shared" si="9"/>
        <v>591894.9</v>
      </c>
      <c r="G53" s="439">
        <f>SUM(G48:G52)</f>
        <v>447220.25511000003</v>
      </c>
      <c r="H53" s="439">
        <f>SUM(H48:H52)</f>
        <v>437863</v>
      </c>
      <c r="I53" s="197"/>
    </row>
    <row r="54" spans="1:9">
      <c r="A54" s="264"/>
      <c r="B54" s="278"/>
      <c r="C54" s="278"/>
      <c r="D54" s="278"/>
      <c r="E54" s="278"/>
      <c r="F54" s="278"/>
      <c r="G54" s="278"/>
      <c r="H54" s="278"/>
    </row>
    <row r="55" spans="1:9">
      <c r="A55" s="264"/>
      <c r="B55" s="278"/>
      <c r="C55" s="279"/>
      <c r="D55" s="278"/>
      <c r="E55" s="278"/>
      <c r="F55" s="278"/>
      <c r="G55" s="278"/>
      <c r="H55" s="278"/>
    </row>
    <row r="56" spans="1:9">
      <c r="A56" s="385"/>
      <c r="B56" s="1929" t="s">
        <v>97</v>
      </c>
      <c r="C56" s="284"/>
      <c r="D56" s="264"/>
      <c r="E56" s="512"/>
      <c r="F56" s="512"/>
      <c r="G56" s="512"/>
      <c r="H56" s="512"/>
    </row>
    <row r="57" spans="1:9">
      <c r="A57" s="279"/>
      <c r="B57" s="1930"/>
      <c r="C57" s="3403">
        <v>2016</v>
      </c>
      <c r="D57" s="1952">
        <v>2017</v>
      </c>
      <c r="E57" s="1949">
        <v>2018</v>
      </c>
      <c r="F57" s="1950">
        <v>2019</v>
      </c>
      <c r="G57" s="1949" t="s">
        <v>137</v>
      </c>
      <c r="H57" s="1953" t="s">
        <v>84</v>
      </c>
    </row>
    <row r="58" spans="1:9">
      <c r="A58" s="264"/>
      <c r="B58" s="235" t="s">
        <v>942</v>
      </c>
      <c r="C58" s="1981">
        <v>4220388</v>
      </c>
      <c r="D58" s="235">
        <v>3900156.1011299985</v>
      </c>
      <c r="E58" s="235">
        <v>6368351.0915799998</v>
      </c>
      <c r="F58" s="1946">
        <v>6949340.2354700007</v>
      </c>
      <c r="G58" s="1948">
        <v>8611773.4267100003</v>
      </c>
      <c r="H58" s="1951">
        <v>8151949</v>
      </c>
      <c r="I58" s="197"/>
    </row>
    <row r="59" spans="1:9">
      <c r="A59" s="264"/>
      <c r="B59" s="2814" t="s">
        <v>943</v>
      </c>
      <c r="C59" s="1981">
        <v>234748</v>
      </c>
      <c r="D59" s="1981">
        <v>283843.02794000006</v>
      </c>
      <c r="E59" s="2814">
        <v>320945.79706999997</v>
      </c>
      <c r="F59" s="3307">
        <v>308286</v>
      </c>
      <c r="G59" s="3308">
        <v>543651.97453000001</v>
      </c>
      <c r="H59" s="3310">
        <v>1249714</v>
      </c>
      <c r="I59" s="197"/>
    </row>
    <row r="60" spans="1:9">
      <c r="A60" s="264"/>
      <c r="B60" s="1981" t="s">
        <v>944</v>
      </c>
      <c r="C60" s="1981">
        <v>324950</v>
      </c>
      <c r="D60" s="1981">
        <v>394505.01721999998</v>
      </c>
      <c r="E60" s="1981">
        <v>381848</v>
      </c>
      <c r="F60" s="3307">
        <v>376464</v>
      </c>
      <c r="G60" s="3308">
        <v>348239</v>
      </c>
      <c r="H60" s="3310">
        <v>457895</v>
      </c>
      <c r="I60" s="197"/>
    </row>
    <row r="61" spans="1:9">
      <c r="A61" s="264"/>
      <c r="B61" s="1981" t="s">
        <v>945</v>
      </c>
      <c r="C61" s="1981">
        <v>907419</v>
      </c>
      <c r="D61" s="1981">
        <v>1127385.0408999999</v>
      </c>
      <c r="E61" s="1981">
        <v>1718132.0941999999</v>
      </c>
      <c r="F61" s="3307">
        <v>1648032.70508</v>
      </c>
      <c r="G61" s="3308">
        <v>1443211.29354</v>
      </c>
      <c r="H61" s="3310">
        <v>1722197</v>
      </c>
      <c r="I61" s="197"/>
    </row>
    <row r="62" spans="1:9">
      <c r="A62" s="264"/>
      <c r="B62" s="1981" t="s">
        <v>645</v>
      </c>
      <c r="C62" s="1981">
        <v>964177</v>
      </c>
      <c r="D62" s="1981">
        <v>1178124.04917</v>
      </c>
      <c r="E62" s="1981">
        <v>1208022.06299</v>
      </c>
      <c r="F62" s="3307">
        <v>1321943.4453799999</v>
      </c>
      <c r="G62" s="3308">
        <v>1319637.38953</v>
      </c>
      <c r="H62" s="3310">
        <v>1154553</v>
      </c>
      <c r="I62" s="197"/>
    </row>
    <row r="63" spans="1:9">
      <c r="A63" s="264"/>
      <c r="B63" s="278" t="s">
        <v>118</v>
      </c>
      <c r="C63" s="439">
        <f t="shared" ref="C63:D63" si="10">SUM(C58:C62)</f>
        <v>6651682</v>
      </c>
      <c r="D63" s="439">
        <f t="shared" si="10"/>
        <v>6884013.2363599986</v>
      </c>
      <c r="E63" s="439">
        <f>SUM(E58:E62)</f>
        <v>9997299.0458400007</v>
      </c>
      <c r="F63" s="439">
        <f>SUM(F58:F62)</f>
        <v>10604066.385930002</v>
      </c>
      <c r="G63" s="439">
        <f>SUM(G58:G62)</f>
        <v>12266513.084309999</v>
      </c>
      <c r="H63" s="439">
        <f>SUM(H58:H62)</f>
        <v>12736308</v>
      </c>
      <c r="I63" s="197"/>
    </row>
    <row r="64" spans="1:9">
      <c r="A64" s="264"/>
      <c r="B64" s="278"/>
      <c r="C64" s="279"/>
      <c r="D64" s="264"/>
      <c r="E64" s="278"/>
      <c r="F64" s="278"/>
      <c r="G64" s="278"/>
      <c r="H64" s="278"/>
    </row>
    <row r="65" spans="1:9">
      <c r="A65" s="264"/>
      <c r="B65" s="278"/>
      <c r="C65" s="279"/>
      <c r="D65" s="278"/>
      <c r="E65" s="278"/>
      <c r="F65" s="278"/>
      <c r="G65" s="278"/>
      <c r="H65" s="278"/>
    </row>
    <row r="66" spans="1:9">
      <c r="A66" s="385"/>
      <c r="B66" s="1929" t="s">
        <v>233</v>
      </c>
      <c r="C66" s="264"/>
      <c r="D66" s="264"/>
      <c r="E66" s="512"/>
      <c r="F66" s="512"/>
      <c r="G66" s="512"/>
      <c r="H66" s="512"/>
    </row>
    <row r="67" spans="1:9">
      <c r="A67" s="279"/>
      <c r="B67" s="1930"/>
      <c r="C67" s="3403">
        <v>2016</v>
      </c>
      <c r="D67" s="1952">
        <v>2017</v>
      </c>
      <c r="E67" s="1949">
        <v>2018</v>
      </c>
      <c r="F67" s="1950">
        <v>2019</v>
      </c>
      <c r="G67" s="1949" t="s">
        <v>137</v>
      </c>
      <c r="H67" s="1953" t="s">
        <v>84</v>
      </c>
    </row>
    <row r="68" spans="1:9">
      <c r="A68" s="264"/>
      <c r="B68" s="1928" t="s">
        <v>942</v>
      </c>
      <c r="C68" s="1988">
        <v>8927</v>
      </c>
      <c r="D68" s="1923">
        <v>26811</v>
      </c>
      <c r="E68" s="1928">
        <v>135704</v>
      </c>
      <c r="F68" s="1946">
        <v>112659</v>
      </c>
      <c r="G68" s="1948">
        <v>213081</v>
      </c>
      <c r="H68" s="1951">
        <v>126147</v>
      </c>
      <c r="I68" s="197"/>
    </row>
    <row r="69" spans="1:9">
      <c r="A69" s="264"/>
      <c r="B69" s="1981" t="s">
        <v>943</v>
      </c>
      <c r="C69" s="1988">
        <v>14329</v>
      </c>
      <c r="D69" s="1988">
        <v>17883</v>
      </c>
      <c r="E69" s="1981">
        <v>18189</v>
      </c>
      <c r="F69" s="3307">
        <v>32913</v>
      </c>
      <c r="G69" s="3308">
        <v>59954</v>
      </c>
      <c r="H69" s="3310">
        <v>34462</v>
      </c>
      <c r="I69" s="197"/>
    </row>
    <row r="70" spans="1:9">
      <c r="A70" s="264"/>
      <c r="B70" s="1981" t="s">
        <v>944</v>
      </c>
      <c r="C70" s="1988">
        <v>4701</v>
      </c>
      <c r="D70" s="1988">
        <v>2964</v>
      </c>
      <c r="E70" s="1981">
        <v>4487</v>
      </c>
      <c r="F70" s="3307">
        <v>10359</v>
      </c>
      <c r="G70" s="3308">
        <v>3173</v>
      </c>
      <c r="H70" s="3310">
        <v>5657</v>
      </c>
      <c r="I70" s="197"/>
    </row>
    <row r="71" spans="1:9">
      <c r="A71" s="264"/>
      <c r="B71" s="1981" t="s">
        <v>945</v>
      </c>
      <c r="C71" s="1988">
        <v>23805</v>
      </c>
      <c r="D71" s="1988">
        <v>35904</v>
      </c>
      <c r="E71" s="1981">
        <v>41378</v>
      </c>
      <c r="F71" s="3307">
        <v>35020</v>
      </c>
      <c r="G71" s="3308">
        <v>15357</v>
      </c>
      <c r="H71" s="3310">
        <v>31828</v>
      </c>
      <c r="I71" s="197"/>
    </row>
    <row r="72" spans="1:9">
      <c r="A72" s="264"/>
      <c r="B72" s="1981" t="s">
        <v>366</v>
      </c>
      <c r="C72" s="1988">
        <v>18880</v>
      </c>
      <c r="D72" s="1988">
        <v>25423</v>
      </c>
      <c r="E72" s="1981">
        <v>22671</v>
      </c>
      <c r="F72" s="3307">
        <v>19059</v>
      </c>
      <c r="G72" s="3308">
        <v>39654</v>
      </c>
      <c r="H72" s="3310">
        <v>52380</v>
      </c>
      <c r="I72" s="197"/>
    </row>
    <row r="73" spans="1:9">
      <c r="A73" s="264"/>
      <c r="B73" s="278" t="s">
        <v>118</v>
      </c>
      <c r="C73" s="439">
        <f t="shared" ref="C73:F73" si="11">SUM(C68:C72)</f>
        <v>70642</v>
      </c>
      <c r="D73" s="439">
        <f t="shared" si="11"/>
        <v>108985</v>
      </c>
      <c r="E73" s="439">
        <f t="shared" si="11"/>
        <v>222429</v>
      </c>
      <c r="F73" s="439">
        <f t="shared" si="11"/>
        <v>210010</v>
      </c>
      <c r="G73" s="439">
        <f t="shared" ref="G73:H73" si="12">SUM(G68:G72)</f>
        <v>331219</v>
      </c>
      <c r="H73" s="439">
        <f t="shared" si="12"/>
        <v>250474</v>
      </c>
      <c r="I73" s="197"/>
    </row>
    <row r="74" spans="1:9">
      <c r="A74" s="264"/>
      <c r="B74" s="278"/>
      <c r="C74" s="279"/>
      <c r="D74" s="278"/>
      <c r="E74" s="278"/>
      <c r="F74" s="278"/>
      <c r="G74" s="278"/>
      <c r="H74" s="278"/>
    </row>
    <row r="75" spans="1:9">
      <c r="A75" s="264"/>
      <c r="B75" s="278"/>
      <c r="C75" s="279"/>
      <c r="D75" s="278"/>
      <c r="E75" s="278"/>
      <c r="G75" s="315"/>
      <c r="H75" s="315">
        <v>187</v>
      </c>
    </row>
    <row r="76" spans="1:9">
      <c r="A76" s="264"/>
      <c r="B76" s="511" t="s">
        <v>950</v>
      </c>
      <c r="C76" s="463"/>
      <c r="D76" s="511"/>
      <c r="E76" s="511"/>
      <c r="F76" s="511"/>
      <c r="G76" s="511"/>
      <c r="H76" s="511"/>
    </row>
    <row r="77" spans="1:9">
      <c r="A77" s="264"/>
      <c r="B77" s="511"/>
      <c r="C77" s="463"/>
      <c r="D77" s="511"/>
      <c r="E77" s="511"/>
      <c r="F77" s="511"/>
      <c r="G77" s="511"/>
      <c r="H77" s="511"/>
    </row>
    <row r="78" spans="1:9">
      <c r="A78" s="385"/>
      <c r="B78" s="1929" t="s">
        <v>103</v>
      </c>
      <c r="C78" s="385"/>
      <c r="D78" s="385"/>
      <c r="F78" s="1731"/>
      <c r="G78" s="1731"/>
      <c r="H78" s="1731" t="s">
        <v>473</v>
      </c>
    </row>
    <row r="79" spans="1:9">
      <c r="A79" s="279"/>
      <c r="B79" s="1930"/>
      <c r="C79" s="3403">
        <v>2016</v>
      </c>
      <c r="D79" s="1952">
        <v>2017</v>
      </c>
      <c r="E79" s="1949">
        <v>2018</v>
      </c>
      <c r="F79" s="1950">
        <v>2019</v>
      </c>
      <c r="G79" s="1949" t="s">
        <v>137</v>
      </c>
      <c r="H79" s="1953" t="s">
        <v>84</v>
      </c>
    </row>
    <row r="80" spans="1:9">
      <c r="A80" s="264"/>
      <c r="B80" s="235" t="s">
        <v>942</v>
      </c>
      <c r="C80" s="1988">
        <v>91433</v>
      </c>
      <c r="D80" s="1923">
        <v>221436.64298999999</v>
      </c>
      <c r="E80" s="235">
        <v>709270.76859598618</v>
      </c>
      <c r="F80" s="1946">
        <v>852149.92336999904</v>
      </c>
      <c r="G80" s="1948">
        <v>955802.28160000104</v>
      </c>
      <c r="H80" s="1951">
        <v>1001758</v>
      </c>
      <c r="I80" s="197"/>
    </row>
    <row r="81" spans="1:28">
      <c r="A81" s="264"/>
      <c r="B81" s="1981" t="s">
        <v>943</v>
      </c>
      <c r="C81" s="472">
        <v>164541</v>
      </c>
      <c r="D81" s="472">
        <v>122938.19654</v>
      </c>
      <c r="E81" s="495">
        <v>101060.15214999999</v>
      </c>
      <c r="F81" s="3307">
        <v>93030.227000000014</v>
      </c>
      <c r="G81" s="3308">
        <v>73908.970650000003</v>
      </c>
      <c r="H81" s="3310">
        <v>90168</v>
      </c>
      <c r="I81" s="197"/>
    </row>
    <row r="82" spans="1:28">
      <c r="A82" s="264"/>
      <c r="B82" s="1981" t="s">
        <v>944</v>
      </c>
      <c r="C82" s="1988">
        <v>1908</v>
      </c>
      <c r="D82" s="1988">
        <v>1483.36996</v>
      </c>
      <c r="E82" s="1981">
        <v>8556.0858099999987</v>
      </c>
      <c r="F82" s="3307">
        <v>2401.8242199999995</v>
      </c>
      <c r="G82" s="3308">
        <v>808.78099999999995</v>
      </c>
      <c r="H82" s="3310">
        <v>2588</v>
      </c>
      <c r="I82" s="197"/>
    </row>
    <row r="83" spans="1:28">
      <c r="A83" s="264"/>
      <c r="B83" s="1981" t="s">
        <v>945</v>
      </c>
      <c r="C83" s="472">
        <v>84062</v>
      </c>
      <c r="D83" s="472">
        <v>171722.76276395496</v>
      </c>
      <c r="E83" s="495">
        <v>195805.97411324806</v>
      </c>
      <c r="F83" s="3307">
        <v>269696.64306651201</v>
      </c>
      <c r="G83" s="3308">
        <v>290293.27582139598</v>
      </c>
      <c r="H83" s="3310">
        <v>392077</v>
      </c>
      <c r="I83" s="197"/>
    </row>
    <row r="84" spans="1:28">
      <c r="A84" s="264"/>
      <c r="B84" s="1981" t="s">
        <v>645</v>
      </c>
      <c r="C84" s="1988">
        <v>59732</v>
      </c>
      <c r="D84" s="1981">
        <v>57970.119279999999</v>
      </c>
      <c r="E84" s="1981">
        <v>91926.829280000005</v>
      </c>
      <c r="F84" s="3307">
        <v>107865.024343489</v>
      </c>
      <c r="G84" s="3308">
        <v>107535.06433860346</v>
      </c>
      <c r="H84" s="3310">
        <v>152313</v>
      </c>
      <c r="I84" s="197"/>
    </row>
    <row r="85" spans="1:28">
      <c r="A85" s="264"/>
      <c r="B85" s="278" t="s">
        <v>118</v>
      </c>
      <c r="C85" s="439">
        <f t="shared" ref="C85:F85" si="13">SUM(C80:C84)</f>
        <v>401676</v>
      </c>
      <c r="D85" s="439">
        <f t="shared" si="13"/>
        <v>575551.09153395495</v>
      </c>
      <c r="E85" s="439">
        <f t="shared" si="13"/>
        <v>1106619.8099492341</v>
      </c>
      <c r="F85" s="439">
        <f t="shared" si="13"/>
        <v>1325143.642</v>
      </c>
      <c r="G85" s="439">
        <f t="shared" ref="G85:H85" si="14">SUM(G80:G84)</f>
        <v>1428348.3734100005</v>
      </c>
      <c r="H85" s="439">
        <f t="shared" si="14"/>
        <v>1638904</v>
      </c>
      <c r="I85" s="197"/>
      <c r="M85" s="385"/>
      <c r="N85" s="385"/>
      <c r="P85" s="385"/>
      <c r="Q85" s="385"/>
      <c r="R85" s="416"/>
      <c r="S85" s="385"/>
      <c r="T85" s="385"/>
      <c r="U85" s="385"/>
      <c r="V85" s="385"/>
      <c r="W85" s="385"/>
      <c r="X85" s="385"/>
      <c r="Y85" s="385"/>
      <c r="Z85" s="385"/>
      <c r="AA85" s="385"/>
      <c r="AB85" s="385"/>
    </row>
    <row r="86" spans="1:28">
      <c r="A86" s="264"/>
      <c r="B86" s="278"/>
      <c r="C86" s="279"/>
      <c r="D86" s="278"/>
      <c r="E86" s="278"/>
      <c r="F86" s="278"/>
      <c r="G86" s="278"/>
      <c r="H86" s="278"/>
      <c r="M86" s="385"/>
      <c r="N86" s="385"/>
      <c r="P86" s="385"/>
      <c r="Q86" s="385"/>
      <c r="R86" s="416"/>
      <c r="S86" s="385"/>
      <c r="T86" s="385"/>
      <c r="U86" s="385"/>
      <c r="V86" s="385"/>
      <c r="W86" s="385"/>
      <c r="X86" s="385"/>
      <c r="Y86" s="385"/>
      <c r="Z86" s="385"/>
      <c r="AA86" s="385"/>
      <c r="AB86" s="385"/>
    </row>
    <row r="87" spans="1:28">
      <c r="A87" s="264"/>
      <c r="B87" s="278"/>
      <c r="C87" s="463"/>
      <c r="D87" s="466"/>
      <c r="E87" s="278"/>
      <c r="F87" s="278"/>
      <c r="G87" s="278"/>
      <c r="H87" s="278"/>
      <c r="M87" s="385"/>
      <c r="N87" s="385"/>
      <c r="P87" s="385"/>
      <c r="Q87" s="385"/>
      <c r="R87" s="416"/>
      <c r="S87" s="385"/>
      <c r="T87" s="385"/>
      <c r="U87" s="385"/>
      <c r="V87" s="385"/>
      <c r="W87" s="385"/>
      <c r="X87" s="385"/>
      <c r="Y87" s="385"/>
      <c r="Z87" s="385"/>
      <c r="AA87" s="385"/>
      <c r="AB87" s="385"/>
    </row>
    <row r="88" spans="1:28">
      <c r="A88" s="385"/>
      <c r="B88" s="1929" t="s">
        <v>105</v>
      </c>
      <c r="C88" s="264"/>
      <c r="D88" s="293"/>
      <c r="E88" s="512"/>
      <c r="F88" s="512"/>
      <c r="G88" s="512"/>
      <c r="H88" s="512"/>
      <c r="M88" s="385"/>
      <c r="N88" s="385"/>
      <c r="P88" s="385"/>
      <c r="Q88" s="385"/>
      <c r="R88" s="416"/>
      <c r="S88" s="385"/>
      <c r="T88" s="385"/>
      <c r="U88" s="385"/>
      <c r="V88" s="385"/>
      <c r="W88" s="385"/>
      <c r="X88" s="385"/>
      <c r="Y88" s="385"/>
      <c r="Z88" s="385"/>
      <c r="AA88" s="385"/>
      <c r="AB88" s="385"/>
    </row>
    <row r="89" spans="1:28">
      <c r="A89" s="279"/>
      <c r="B89" s="1930"/>
      <c r="C89" s="3403">
        <v>2016</v>
      </c>
      <c r="D89" s="1952">
        <v>2017</v>
      </c>
      <c r="E89" s="1949">
        <v>2018</v>
      </c>
      <c r="F89" s="1950">
        <v>2019</v>
      </c>
      <c r="G89" s="1949" t="s">
        <v>137</v>
      </c>
      <c r="H89" s="1953" t="s">
        <v>84</v>
      </c>
      <c r="M89" s="385"/>
      <c r="N89" s="385"/>
      <c r="P89" s="385"/>
      <c r="Q89" s="385"/>
      <c r="R89" s="416"/>
      <c r="S89" s="385"/>
      <c r="T89" s="385"/>
      <c r="U89" s="385"/>
      <c r="V89" s="385"/>
      <c r="W89" s="385"/>
      <c r="X89" s="385"/>
      <c r="Y89" s="385"/>
      <c r="Z89" s="385"/>
      <c r="AA89" s="385"/>
      <c r="AB89" s="385"/>
    </row>
    <row r="90" spans="1:28">
      <c r="A90" s="264"/>
      <c r="B90" s="235" t="s">
        <v>942</v>
      </c>
      <c r="C90" s="2022">
        <v>435791</v>
      </c>
      <c r="D90" s="1845">
        <v>290322</v>
      </c>
      <c r="E90" s="235">
        <f>464170+41747</f>
        <v>505917</v>
      </c>
      <c r="F90" s="1946">
        <f>783400.895689999+20509</f>
        <v>803909.89568999899</v>
      </c>
      <c r="G90" s="1948">
        <f>737420+85159</f>
        <v>822579</v>
      </c>
      <c r="H90" s="1951">
        <f>771448+37898</f>
        <v>809346</v>
      </c>
      <c r="I90" s="197"/>
      <c r="M90" s="488"/>
      <c r="N90" s="473"/>
      <c r="P90" s="473"/>
      <c r="Q90" s="473"/>
      <c r="R90" s="488"/>
      <c r="S90" s="473"/>
      <c r="T90" s="473"/>
      <c r="U90" s="488"/>
      <c r="V90" s="473"/>
      <c r="W90" s="305"/>
      <c r="X90" s="604"/>
      <c r="Y90" s="264"/>
      <c r="Z90" s="305"/>
      <c r="AA90" s="604"/>
      <c r="AB90" s="293"/>
    </row>
    <row r="91" spans="1:28">
      <c r="A91" s="264"/>
      <c r="B91" s="1981" t="s">
        <v>943</v>
      </c>
      <c r="C91" s="2022">
        <v>241527.32519</v>
      </c>
      <c r="D91" s="2022">
        <v>268312</v>
      </c>
      <c r="E91" s="1981">
        <f>352755+452</f>
        <v>353207</v>
      </c>
      <c r="F91" s="3307">
        <f>245996.61284+341</f>
        <v>246337.61283999999</v>
      </c>
      <c r="G91" s="3308">
        <v>237178</v>
      </c>
      <c r="H91" s="3310">
        <v>396504</v>
      </c>
      <c r="I91" s="197"/>
      <c r="M91" s="753"/>
      <c r="N91" s="473"/>
      <c r="P91" s="473"/>
      <c r="Q91" s="473"/>
      <c r="R91" s="488"/>
      <c r="S91" s="473"/>
      <c r="T91" s="473"/>
      <c r="U91" s="488"/>
      <c r="V91" s="473"/>
      <c r="W91" s="305"/>
      <c r="X91" s="604"/>
      <c r="Y91" s="264"/>
      <c r="Z91" s="305"/>
      <c r="AA91" s="604"/>
      <c r="AB91" s="293"/>
    </row>
    <row r="92" spans="1:28">
      <c r="A92" s="264"/>
      <c r="B92" s="1981" t="s">
        <v>944</v>
      </c>
      <c r="C92" s="2022">
        <v>3900.4740000000002</v>
      </c>
      <c r="D92" s="2022">
        <v>4401</v>
      </c>
      <c r="E92" s="1981">
        <v>22095</v>
      </c>
      <c r="F92" s="3307">
        <v>1839.9488699999999</v>
      </c>
      <c r="G92" s="3308">
        <v>27901</v>
      </c>
      <c r="H92" s="3310">
        <v>37502</v>
      </c>
      <c r="I92" s="197"/>
      <c r="M92" s="473"/>
      <c r="N92" s="473"/>
      <c r="P92" s="473"/>
      <c r="Q92" s="473"/>
      <c r="R92" s="488"/>
      <c r="S92" s="473"/>
      <c r="T92" s="473"/>
      <c r="U92" s="488"/>
      <c r="V92" s="473"/>
      <c r="W92" s="305"/>
      <c r="X92" s="604"/>
      <c r="Y92" s="264"/>
      <c r="Z92" s="305"/>
      <c r="AA92" s="604"/>
      <c r="AB92" s="293"/>
    </row>
    <row r="93" spans="1:28">
      <c r="A93" s="264"/>
      <c r="B93" s="1981" t="s">
        <v>945</v>
      </c>
      <c r="C93" s="2022">
        <v>208246</v>
      </c>
      <c r="D93" s="2022">
        <v>288534</v>
      </c>
      <c r="E93" s="1981">
        <f>463368.3848+889</f>
        <v>464257.3848</v>
      </c>
      <c r="F93" s="3307">
        <f>476807.120060001+386</f>
        <v>477193.12006000098</v>
      </c>
      <c r="G93" s="3308">
        <f>429603+953</f>
        <v>430556</v>
      </c>
      <c r="H93" s="3310">
        <f>448159+64</f>
        <v>448223</v>
      </c>
      <c r="I93" s="197"/>
      <c r="M93" s="473"/>
      <c r="N93" s="473"/>
      <c r="P93" s="473"/>
      <c r="Q93" s="473"/>
      <c r="R93" s="488"/>
      <c r="S93" s="473"/>
      <c r="T93" s="473"/>
      <c r="U93" s="488"/>
      <c r="V93" s="473"/>
      <c r="W93" s="305"/>
      <c r="X93" s="604"/>
      <c r="Y93" s="264"/>
      <c r="Z93" s="305"/>
      <c r="AA93" s="604"/>
      <c r="AB93" s="293"/>
    </row>
    <row r="94" spans="1:28">
      <c r="A94" s="264"/>
      <c r="B94" s="1981" t="s">
        <v>645</v>
      </c>
      <c r="C94" s="2022">
        <v>263398</v>
      </c>
      <c r="D94" s="2022">
        <v>326428</v>
      </c>
      <c r="E94" s="1981">
        <f>218721+1390</f>
        <v>220111</v>
      </c>
      <c r="F94" s="3307">
        <f>334801.41882+807</f>
        <v>335608.41882000002</v>
      </c>
      <c r="G94" s="3308">
        <f>237919+149</f>
        <v>238068</v>
      </c>
      <c r="H94" s="3310">
        <f>464309+978</f>
        <v>465287</v>
      </c>
      <c r="I94" s="197"/>
      <c r="M94" s="473"/>
      <c r="N94" s="473"/>
      <c r="P94" s="473"/>
      <c r="Q94" s="473"/>
      <c r="R94" s="488"/>
      <c r="S94" s="473"/>
      <c r="T94" s="473"/>
      <c r="U94" s="488"/>
      <c r="V94" s="473"/>
      <c r="W94" s="305"/>
      <c r="X94" s="604"/>
      <c r="Y94" s="264"/>
      <c r="Z94" s="305"/>
      <c r="AA94" s="604"/>
      <c r="AB94" s="293"/>
    </row>
    <row r="95" spans="1:28">
      <c r="A95" s="264"/>
      <c r="B95" s="278" t="s">
        <v>118</v>
      </c>
      <c r="C95" s="439">
        <f t="shared" ref="C95:F95" si="15">SUM(C90:C94)</f>
        <v>1152862.7991900002</v>
      </c>
      <c r="D95" s="439">
        <f t="shared" si="15"/>
        <v>1177997</v>
      </c>
      <c r="E95" s="439">
        <f t="shared" si="15"/>
        <v>1565587.3848000001</v>
      </c>
      <c r="F95" s="439">
        <f t="shared" si="15"/>
        <v>1864888.9962800001</v>
      </c>
      <c r="G95" s="439">
        <f t="shared" ref="G95" si="16">SUM(G90:G94)</f>
        <v>1756282</v>
      </c>
      <c r="H95" s="439">
        <f>SUM(H90:H94)</f>
        <v>2156862</v>
      </c>
      <c r="I95" s="197"/>
      <c r="M95" s="293"/>
      <c r="N95" s="293"/>
      <c r="P95" s="293"/>
      <c r="Q95" s="293"/>
      <c r="R95" s="488"/>
      <c r="S95" s="293"/>
      <c r="T95" s="293"/>
      <c r="U95" s="488"/>
      <c r="V95" s="293"/>
      <c r="W95" s="293"/>
      <c r="X95" s="293"/>
      <c r="Y95" s="293"/>
      <c r="Z95" s="293"/>
      <c r="AA95" s="604"/>
      <c r="AB95" s="293"/>
    </row>
    <row r="96" spans="1:28">
      <c r="A96" s="264"/>
      <c r="B96" s="278"/>
      <c r="C96" s="463"/>
      <c r="D96" s="466"/>
      <c r="E96" s="278"/>
      <c r="F96" s="278"/>
      <c r="G96" s="278"/>
      <c r="H96" s="278"/>
      <c r="M96" s="385"/>
      <c r="N96" s="385"/>
      <c r="P96" s="385"/>
      <c r="Q96" s="385"/>
      <c r="R96" s="416"/>
      <c r="S96" s="385"/>
      <c r="T96" s="385"/>
      <c r="U96" s="385"/>
      <c r="V96" s="385"/>
      <c r="W96" s="385"/>
      <c r="X96" s="385"/>
      <c r="Y96" s="385"/>
      <c r="Z96" s="385"/>
      <c r="AA96" s="385"/>
      <c r="AB96" s="385"/>
    </row>
    <row r="97" spans="1:28">
      <c r="A97" s="264"/>
      <c r="B97" s="464"/>
      <c r="C97" s="605"/>
      <c r="D97" s="278"/>
      <c r="E97" s="464"/>
      <c r="F97" s="464"/>
      <c r="G97" s="464"/>
      <c r="H97" s="464"/>
      <c r="M97" s="385"/>
      <c r="N97" s="385"/>
      <c r="P97" s="385"/>
      <c r="Q97" s="385"/>
      <c r="R97" s="416"/>
      <c r="S97" s="385"/>
      <c r="T97" s="385"/>
      <c r="U97" s="385"/>
      <c r="V97" s="385"/>
      <c r="W97" s="385"/>
      <c r="X97" s="385"/>
      <c r="Y97" s="385"/>
      <c r="Z97" s="385"/>
      <c r="AA97" s="385"/>
      <c r="AB97" s="385"/>
    </row>
    <row r="98" spans="1:28">
      <c r="A98" s="385"/>
      <c r="B98" s="1929" t="s">
        <v>106</v>
      </c>
      <c r="C98" s="264"/>
      <c r="D98" s="264"/>
      <c r="E98" s="512"/>
      <c r="F98" s="512"/>
      <c r="G98" s="512"/>
      <c r="H98" s="512"/>
      <c r="M98" s="385"/>
      <c r="N98" s="385"/>
      <c r="P98" s="385"/>
      <c r="Q98" s="385"/>
      <c r="R98" s="416"/>
      <c r="S98" s="385"/>
      <c r="T98" s="385"/>
      <c r="U98" s="385"/>
      <c r="V98" s="385"/>
      <c r="W98" s="385"/>
      <c r="X98" s="385"/>
      <c r="Y98" s="385"/>
      <c r="Z98" s="385"/>
      <c r="AA98" s="385"/>
      <c r="AB98" s="385"/>
    </row>
    <row r="99" spans="1:28">
      <c r="A99" s="279"/>
      <c r="B99" s="1930"/>
      <c r="C99" s="3403">
        <v>2016</v>
      </c>
      <c r="D99" s="1949">
        <v>2017</v>
      </c>
      <c r="E99" s="1950">
        <v>2018</v>
      </c>
      <c r="F99" s="1949">
        <v>2019</v>
      </c>
      <c r="G99" s="1950" t="s">
        <v>137</v>
      </c>
      <c r="H99" s="1949" t="s">
        <v>84</v>
      </c>
      <c r="M99" s="385"/>
      <c r="N99" s="385"/>
      <c r="P99" s="385"/>
      <c r="Q99" s="385"/>
      <c r="R99" s="416"/>
      <c r="S99" s="385"/>
      <c r="T99" s="385"/>
      <c r="U99" s="385"/>
      <c r="V99" s="385"/>
      <c r="W99" s="385"/>
      <c r="X99" s="385"/>
      <c r="Y99" s="385"/>
      <c r="Z99" s="385"/>
      <c r="AA99" s="385"/>
      <c r="AB99" s="385"/>
    </row>
    <row r="100" spans="1:28">
      <c r="A100" s="264"/>
      <c r="B100" s="235" t="s">
        <v>942</v>
      </c>
      <c r="C100" s="1988">
        <v>54194</v>
      </c>
      <c r="D100" s="1923">
        <v>89261</v>
      </c>
      <c r="E100" s="235">
        <v>194375</v>
      </c>
      <c r="F100" s="1946">
        <v>338454</v>
      </c>
      <c r="G100" s="1948">
        <v>477510</v>
      </c>
      <c r="H100" s="1951">
        <v>430833</v>
      </c>
      <c r="I100" s="197"/>
      <c r="M100" s="385"/>
      <c r="N100" s="385"/>
      <c r="P100" s="385"/>
      <c r="Q100" s="385"/>
      <c r="R100" s="416"/>
      <c r="S100" s="385"/>
      <c r="T100" s="385"/>
      <c r="U100" s="385"/>
      <c r="V100" s="385"/>
      <c r="W100" s="385"/>
      <c r="X100" s="385"/>
      <c r="Y100" s="385"/>
      <c r="Z100" s="385"/>
      <c r="AA100" s="385"/>
      <c r="AB100" s="385"/>
    </row>
    <row r="101" spans="1:28">
      <c r="A101" s="264"/>
      <c r="B101" s="1981" t="s">
        <v>943</v>
      </c>
      <c r="C101" s="1988">
        <v>5031</v>
      </c>
      <c r="D101" s="1988">
        <v>9605</v>
      </c>
      <c r="E101" s="1981">
        <v>7123</v>
      </c>
      <c r="F101" s="3307">
        <v>6534</v>
      </c>
      <c r="G101" s="3308">
        <v>16342</v>
      </c>
      <c r="H101" s="3310">
        <v>4686</v>
      </c>
      <c r="I101" s="197"/>
    </row>
    <row r="102" spans="1:28">
      <c r="A102" s="264"/>
      <c r="B102" s="1981" t="s">
        <v>944</v>
      </c>
      <c r="C102" s="1988">
        <v>0</v>
      </c>
      <c r="D102" s="1988">
        <v>0</v>
      </c>
      <c r="E102" s="1981"/>
      <c r="F102" s="3307"/>
      <c r="G102" s="3308">
        <v>0</v>
      </c>
      <c r="H102" s="3310">
        <v>0</v>
      </c>
      <c r="I102" s="197"/>
    </row>
    <row r="103" spans="1:28">
      <c r="A103" s="264"/>
      <c r="B103" s="1981" t="s">
        <v>945</v>
      </c>
      <c r="C103" s="1988">
        <v>15448</v>
      </c>
      <c r="D103" s="1988">
        <v>16567</v>
      </c>
      <c r="E103" s="1981">
        <v>19643</v>
      </c>
      <c r="F103" s="3307">
        <v>31671</v>
      </c>
      <c r="G103" s="3308">
        <v>21972</v>
      </c>
      <c r="H103" s="3310">
        <v>47964</v>
      </c>
      <c r="I103" s="197"/>
    </row>
    <row r="104" spans="1:28">
      <c r="A104" s="264"/>
      <c r="B104" s="1981" t="s">
        <v>645</v>
      </c>
      <c r="C104" s="1988">
        <v>98248</v>
      </c>
      <c r="D104" s="1981">
        <v>59442</v>
      </c>
      <c r="E104" s="1981">
        <v>79385</v>
      </c>
      <c r="F104" s="3307">
        <v>97976</v>
      </c>
      <c r="G104" s="3308">
        <v>102343</v>
      </c>
      <c r="H104" s="3310">
        <v>399878</v>
      </c>
      <c r="I104" s="197"/>
    </row>
    <row r="105" spans="1:28">
      <c r="A105" s="264"/>
      <c r="B105" s="278" t="s">
        <v>118</v>
      </c>
      <c r="C105" s="439">
        <f t="shared" ref="C105:F105" si="17">SUM(C100:C104)</f>
        <v>172921</v>
      </c>
      <c r="D105" s="439">
        <f t="shared" si="17"/>
        <v>174875</v>
      </c>
      <c r="E105" s="439">
        <f t="shared" si="17"/>
        <v>300526</v>
      </c>
      <c r="F105" s="439">
        <f t="shared" si="17"/>
        <v>474635</v>
      </c>
      <c r="G105" s="439">
        <f t="shared" ref="G105:H105" si="18">SUM(G100:G104)</f>
        <v>618167</v>
      </c>
      <c r="H105" s="439">
        <f t="shared" si="18"/>
        <v>883361</v>
      </c>
      <c r="I105" s="197"/>
    </row>
    <row r="106" spans="1:28">
      <c r="A106" s="264"/>
      <c r="B106" s="464"/>
      <c r="C106" s="279"/>
      <c r="D106" s="278"/>
      <c r="E106" s="464"/>
      <c r="F106" s="464"/>
      <c r="G106" s="464"/>
      <c r="H106" s="464"/>
    </row>
    <row r="107" spans="1:28">
      <c r="A107" s="385"/>
      <c r="B107" s="1929" t="s">
        <v>107</v>
      </c>
      <c r="C107" s="264"/>
      <c r="D107" s="264"/>
      <c r="E107" s="512"/>
      <c r="F107" s="512"/>
      <c r="G107" s="512"/>
      <c r="H107" s="512"/>
    </row>
    <row r="108" spans="1:28">
      <c r="A108" s="279"/>
      <c r="B108" s="1930"/>
      <c r="C108" s="3403">
        <v>2016</v>
      </c>
      <c r="D108" s="1952">
        <v>2017</v>
      </c>
      <c r="E108" s="1949">
        <v>2018</v>
      </c>
      <c r="F108" s="1950">
        <v>2019</v>
      </c>
      <c r="G108" s="1949" t="s">
        <v>137</v>
      </c>
      <c r="H108" s="1953" t="s">
        <v>84</v>
      </c>
    </row>
    <row r="109" spans="1:28">
      <c r="A109" s="264"/>
      <c r="B109" s="235" t="s">
        <v>942</v>
      </c>
      <c r="C109" s="1988">
        <v>0</v>
      </c>
      <c r="D109" s="1923">
        <v>6240</v>
      </c>
      <c r="E109" s="235">
        <v>84389.025010000012</v>
      </c>
      <c r="F109" s="1946">
        <v>153077.40177</v>
      </c>
      <c r="G109" s="1948">
        <v>26505.511419999999</v>
      </c>
      <c r="H109" s="1951">
        <v>2233</v>
      </c>
      <c r="I109" s="197"/>
    </row>
    <row r="110" spans="1:28">
      <c r="A110" s="264"/>
      <c r="B110" s="1981" t="s">
        <v>943</v>
      </c>
      <c r="C110" s="1988">
        <v>119234.43182</v>
      </c>
      <c r="D110" s="1988">
        <v>274251.07306000002</v>
      </c>
      <c r="E110" s="1981">
        <v>335712.66822000005</v>
      </c>
      <c r="F110" s="3307">
        <v>323530.99598000001</v>
      </c>
      <c r="G110" s="3308">
        <v>305363.36979999999</v>
      </c>
      <c r="H110" s="3310">
        <v>369211</v>
      </c>
      <c r="I110" s="197"/>
    </row>
    <row r="111" spans="1:28">
      <c r="A111" s="264"/>
      <c r="B111" s="1981" t="s">
        <v>944</v>
      </c>
      <c r="C111" s="1988">
        <v>3299.8421600000001</v>
      </c>
      <c r="D111" s="1988">
        <v>13110.550160000001</v>
      </c>
      <c r="E111" s="1981">
        <v>10873.23918</v>
      </c>
      <c r="F111" s="3307">
        <v>27395.550510000001</v>
      </c>
      <c r="G111" s="3308">
        <v>47283.85426</v>
      </c>
      <c r="H111" s="3310">
        <v>47159</v>
      </c>
      <c r="I111" s="197"/>
    </row>
    <row r="112" spans="1:28">
      <c r="A112" s="264"/>
      <c r="B112" s="1981" t="s">
        <v>945</v>
      </c>
      <c r="C112" s="1988">
        <v>3194.1824900000001</v>
      </c>
      <c r="D112" s="1988">
        <v>8212.1585799999993</v>
      </c>
      <c r="E112" s="1981">
        <v>33433.579839999999</v>
      </c>
      <c r="F112" s="3307">
        <v>93859.213520000005</v>
      </c>
      <c r="G112" s="3308">
        <v>166594.78648000001</v>
      </c>
      <c r="H112" s="3310">
        <v>238797</v>
      </c>
      <c r="I112" s="197"/>
    </row>
    <row r="113" spans="1:9">
      <c r="A113" s="264"/>
      <c r="B113" s="1981" t="s">
        <v>645</v>
      </c>
      <c r="C113" s="1988">
        <v>5549.1840000000002</v>
      </c>
      <c r="D113" s="1988">
        <v>12035.558449999999</v>
      </c>
      <c r="E113" s="1981">
        <v>12632.823050000001</v>
      </c>
      <c r="F113" s="3307">
        <v>15183</v>
      </c>
      <c r="G113" s="3308">
        <v>21718</v>
      </c>
      <c r="H113" s="3310">
        <v>240987</v>
      </c>
      <c r="I113" s="197"/>
    </row>
    <row r="114" spans="1:9">
      <c r="A114" s="264"/>
      <c r="B114" s="464" t="s">
        <v>118</v>
      </c>
      <c r="C114" s="439">
        <f t="shared" ref="C114:F114" si="19">SUM(C109:C113)</f>
        <v>131277.64047000001</v>
      </c>
      <c r="D114" s="439">
        <f t="shared" si="19"/>
        <v>313849.34025000001</v>
      </c>
      <c r="E114" s="439">
        <f t="shared" si="19"/>
        <v>477041.33530000009</v>
      </c>
      <c r="F114" s="439">
        <f t="shared" si="19"/>
        <v>613046.16177999997</v>
      </c>
      <c r="G114" s="439">
        <f t="shared" ref="G114:H114" si="20">SUM(G109:G113)</f>
        <v>567465.52196000004</v>
      </c>
      <c r="H114" s="439">
        <f t="shared" si="20"/>
        <v>898387</v>
      </c>
      <c r="I114" s="197"/>
    </row>
    <row r="115" spans="1:9">
      <c r="A115" s="264"/>
      <c r="B115" s="464"/>
      <c r="C115" s="278"/>
      <c r="D115" s="278"/>
      <c r="E115" s="278"/>
      <c r="F115" s="278"/>
      <c r="G115" s="278"/>
      <c r="H115" s="278"/>
    </row>
    <row r="116" spans="1:9">
      <c r="A116" s="264"/>
      <c r="B116" s="464"/>
      <c r="C116" s="278"/>
      <c r="D116" s="278"/>
      <c r="E116" s="464"/>
      <c r="G116" s="527"/>
      <c r="H116" s="527">
        <v>188</v>
      </c>
      <c r="I116" s="264"/>
    </row>
    <row r="117" spans="1:9">
      <c r="A117" s="264"/>
      <c r="B117" s="511" t="s">
        <v>950</v>
      </c>
      <c r="C117" s="463"/>
      <c r="D117" s="511"/>
      <c r="E117" s="511"/>
      <c r="F117" s="511"/>
      <c r="G117" s="511"/>
      <c r="H117" s="511"/>
    </row>
    <row r="118" spans="1:9">
      <c r="A118" s="264"/>
      <c r="B118" s="511"/>
      <c r="C118" s="463"/>
      <c r="D118" s="511"/>
      <c r="E118" s="511"/>
      <c r="F118" s="511"/>
      <c r="G118" s="511"/>
      <c r="H118" s="511"/>
    </row>
    <row r="119" spans="1:9">
      <c r="A119" s="385"/>
      <c r="B119" s="1929" t="s">
        <v>109</v>
      </c>
      <c r="C119" s="264"/>
      <c r="D119" s="264"/>
      <c r="F119" s="1731"/>
      <c r="G119" s="1731"/>
      <c r="H119" s="1731" t="s">
        <v>473</v>
      </c>
    </row>
    <row r="120" spans="1:9">
      <c r="A120" s="279"/>
      <c r="B120" s="1930"/>
      <c r="C120" s="3403">
        <v>2016</v>
      </c>
      <c r="D120" s="1952">
        <v>2017</v>
      </c>
      <c r="E120" s="1949">
        <v>2018</v>
      </c>
      <c r="F120" s="1950">
        <v>2019</v>
      </c>
      <c r="G120" s="1949" t="s">
        <v>137</v>
      </c>
      <c r="H120" s="1953" t="s">
        <v>84</v>
      </c>
    </row>
    <row r="121" spans="1:9" ht="13.5" customHeight="1">
      <c r="A121" s="264"/>
      <c r="B121" s="235" t="s">
        <v>942</v>
      </c>
      <c r="C121" s="1988">
        <v>2745.857</v>
      </c>
      <c r="D121" s="1923">
        <v>1799</v>
      </c>
      <c r="E121" s="235">
        <v>5122</v>
      </c>
      <c r="F121" s="1946">
        <v>11429</v>
      </c>
      <c r="G121" s="1948">
        <v>5257</v>
      </c>
      <c r="H121" s="1951">
        <v>12795</v>
      </c>
      <c r="I121" s="197"/>
    </row>
    <row r="122" spans="1:9" ht="13.5" customHeight="1">
      <c r="A122" s="264"/>
      <c r="B122" s="1981" t="s">
        <v>943</v>
      </c>
      <c r="C122" s="1988">
        <v>23336.009750000001</v>
      </c>
      <c r="D122" s="1988">
        <v>6684.4833699999999</v>
      </c>
      <c r="E122" s="1981">
        <v>6632</v>
      </c>
      <c r="F122" s="3307">
        <v>2648</v>
      </c>
      <c r="G122" s="3308">
        <v>1944</v>
      </c>
      <c r="H122" s="3310">
        <v>21297</v>
      </c>
      <c r="I122" s="197"/>
    </row>
    <row r="123" spans="1:9" ht="13.5" customHeight="1">
      <c r="A123" s="264"/>
      <c r="B123" s="1981" t="s">
        <v>944</v>
      </c>
      <c r="C123" s="1988">
        <v>600</v>
      </c>
      <c r="D123" s="1988">
        <v>3340</v>
      </c>
      <c r="E123" s="1981">
        <v>354</v>
      </c>
      <c r="F123" s="3307">
        <v>1176</v>
      </c>
      <c r="G123" s="3308">
        <v>547</v>
      </c>
      <c r="H123" s="3310">
        <v>0</v>
      </c>
      <c r="I123" s="197"/>
    </row>
    <row r="124" spans="1:9" ht="13.5" customHeight="1">
      <c r="A124" s="264"/>
      <c r="B124" s="1981" t="s">
        <v>945</v>
      </c>
      <c r="C124" s="1988">
        <v>4952.93</v>
      </c>
      <c r="D124" s="1988">
        <v>13461</v>
      </c>
      <c r="E124" s="1981">
        <v>12904</v>
      </c>
      <c r="F124" s="3307">
        <v>17872</v>
      </c>
      <c r="G124" s="3308">
        <v>10998</v>
      </c>
      <c r="H124" s="3310">
        <v>14289</v>
      </c>
      <c r="I124" s="197"/>
    </row>
    <row r="125" spans="1:9" ht="13.5" customHeight="1">
      <c r="A125" s="264"/>
      <c r="B125" s="2814" t="s">
        <v>645</v>
      </c>
      <c r="C125" s="1988">
        <v>1759.85</v>
      </c>
      <c r="D125" s="1988">
        <v>1757</v>
      </c>
      <c r="E125" s="2814">
        <v>0</v>
      </c>
      <c r="F125" s="3300"/>
      <c r="G125" s="3308">
        <v>0</v>
      </c>
      <c r="H125" s="3310">
        <v>0</v>
      </c>
      <c r="I125" s="197"/>
    </row>
    <row r="126" spans="1:9" ht="13.5" customHeight="1">
      <c r="A126" s="264"/>
      <c r="B126" s="278" t="s">
        <v>118</v>
      </c>
      <c r="C126" s="439">
        <f t="shared" ref="C126:F126" si="21">SUM(C121:C125)</f>
        <v>33394.64675</v>
      </c>
      <c r="D126" s="439">
        <f t="shared" si="21"/>
        <v>27041.483370000002</v>
      </c>
      <c r="E126" s="439">
        <f t="shared" si="21"/>
        <v>25012</v>
      </c>
      <c r="F126" s="439">
        <f t="shared" si="21"/>
        <v>33125</v>
      </c>
      <c r="G126" s="439">
        <f t="shared" ref="G126:H126" si="22">SUM(G121:G125)</f>
        <v>18746</v>
      </c>
      <c r="H126" s="439">
        <f t="shared" si="22"/>
        <v>48381</v>
      </c>
      <c r="I126" s="197"/>
    </row>
    <row r="127" spans="1:9">
      <c r="A127" s="264"/>
      <c r="B127" s="278"/>
      <c r="C127" s="278"/>
      <c r="D127" s="278"/>
      <c r="E127" s="278"/>
      <c r="F127" s="278"/>
      <c r="G127" s="278"/>
      <c r="H127" s="278"/>
    </row>
    <row r="128" spans="1:9">
      <c r="A128" s="264"/>
      <c r="B128" s="278"/>
      <c r="C128" s="279"/>
      <c r="D128" s="278"/>
      <c r="E128" s="278"/>
      <c r="F128" s="278"/>
      <c r="G128" s="278"/>
      <c r="H128" s="278"/>
    </row>
    <row r="129" spans="1:9">
      <c r="A129" s="385"/>
      <c r="B129" s="1929" t="s">
        <v>951</v>
      </c>
      <c r="C129" s="264"/>
      <c r="D129" s="264"/>
      <c r="E129" s="512"/>
      <c r="F129" s="512"/>
      <c r="G129" s="512"/>
      <c r="H129" s="512"/>
    </row>
    <row r="130" spans="1:9">
      <c r="A130" s="279"/>
      <c r="B130" s="1930"/>
      <c r="C130" s="3403">
        <v>2016</v>
      </c>
      <c r="D130" s="1952">
        <v>2017</v>
      </c>
      <c r="E130" s="1949">
        <v>2018</v>
      </c>
      <c r="F130" s="1950">
        <v>2019</v>
      </c>
      <c r="G130" s="1949" t="s">
        <v>137</v>
      </c>
      <c r="H130" s="1953" t="s">
        <v>84</v>
      </c>
    </row>
    <row r="131" spans="1:9" ht="13.5" customHeight="1">
      <c r="A131" s="264"/>
      <c r="B131" s="235" t="s">
        <v>942</v>
      </c>
      <c r="C131" s="1988">
        <v>4976640.5633726539</v>
      </c>
      <c r="D131" s="1923">
        <v>5713880</v>
      </c>
      <c r="E131" s="235">
        <v>6023302.709297793</v>
      </c>
      <c r="F131" s="1946">
        <v>5576010.9709019493</v>
      </c>
      <c r="G131" s="1948">
        <v>6237806.8369725375</v>
      </c>
      <c r="H131" s="1951">
        <v>6798208</v>
      </c>
      <c r="I131" s="197"/>
    </row>
    <row r="132" spans="1:9" ht="13.5" customHeight="1">
      <c r="A132" s="264"/>
      <c r="B132" s="1981" t="s">
        <v>943</v>
      </c>
      <c r="C132" s="1988">
        <v>432423.37872550701</v>
      </c>
      <c r="D132" s="1988">
        <v>644261.86</v>
      </c>
      <c r="E132" s="1981">
        <v>953620.75779334921</v>
      </c>
      <c r="F132" s="3307">
        <v>928547.29128001281</v>
      </c>
      <c r="G132" s="3308">
        <v>788449.40777278703</v>
      </c>
      <c r="H132" s="3310">
        <v>1589340</v>
      </c>
      <c r="I132" s="197"/>
    </row>
    <row r="133" spans="1:9" ht="13.5" customHeight="1">
      <c r="A133" s="264"/>
      <c r="B133" s="1981" t="s">
        <v>944</v>
      </c>
      <c r="C133" s="1988">
        <v>8502.0231459778752</v>
      </c>
      <c r="D133" s="1988">
        <v>7810.2</v>
      </c>
      <c r="E133" s="1981">
        <v>21600.175918061137</v>
      </c>
      <c r="F133" s="3307">
        <v>21800.642010124135</v>
      </c>
      <c r="G133" s="3308">
        <v>7337.7276867253786</v>
      </c>
      <c r="H133" s="3310">
        <v>38498</v>
      </c>
      <c r="I133" s="197"/>
    </row>
    <row r="134" spans="1:9" ht="13.5" customHeight="1">
      <c r="A134" s="264"/>
      <c r="B134" s="2814" t="s">
        <v>945</v>
      </c>
      <c r="C134" s="1988">
        <v>332038.46364574216</v>
      </c>
      <c r="D134" s="1988">
        <v>446390.3</v>
      </c>
      <c r="E134" s="2814">
        <v>627907.54971594072</v>
      </c>
      <c r="F134" s="3307">
        <v>609109</v>
      </c>
      <c r="G134" s="3308">
        <v>762005.7</v>
      </c>
      <c r="H134" s="3310">
        <v>1327787</v>
      </c>
      <c r="I134" s="197"/>
    </row>
    <row r="135" spans="1:9" ht="13.5" customHeight="1">
      <c r="A135" s="264"/>
      <c r="B135" s="1981" t="s">
        <v>645</v>
      </c>
      <c r="C135" s="1988">
        <v>122062.57111011962</v>
      </c>
      <c r="D135" s="1981">
        <v>184693</v>
      </c>
      <c r="E135" s="1981">
        <v>217971.89539485477</v>
      </c>
      <c r="F135" s="3307">
        <v>197796.79722791433</v>
      </c>
      <c r="G135" s="3308">
        <v>190476.39693794915</v>
      </c>
      <c r="H135" s="3310">
        <v>223756</v>
      </c>
      <c r="I135" s="197"/>
    </row>
    <row r="136" spans="1:9" ht="13.5" customHeight="1">
      <c r="A136" s="264"/>
      <c r="B136" s="278" t="s">
        <v>118</v>
      </c>
      <c r="C136" s="439">
        <f t="shared" ref="C136:D136" si="23">SUM(C131:C135)</f>
        <v>5871667.0000000019</v>
      </c>
      <c r="D136" s="439">
        <f t="shared" si="23"/>
        <v>6997035.3600000003</v>
      </c>
      <c r="E136" s="439">
        <f>SUM(E131:E135)</f>
        <v>7844403.0881199995</v>
      </c>
      <c r="F136" s="439">
        <f>SUM(F131:F135)</f>
        <v>7333264.7014200008</v>
      </c>
      <c r="G136" s="439">
        <f>SUM(G131:G135)</f>
        <v>7986076.0693699997</v>
      </c>
      <c r="H136" s="439">
        <f>SUM(H131:H135)</f>
        <v>9977589</v>
      </c>
      <c r="I136" s="197"/>
    </row>
    <row r="137" spans="1:9">
      <c r="A137" s="264"/>
      <c r="B137" s="278"/>
      <c r="C137" s="279"/>
      <c r="D137" s="278"/>
      <c r="E137" s="278"/>
      <c r="F137" s="278"/>
      <c r="G137" s="278"/>
      <c r="H137" s="278"/>
    </row>
    <row r="138" spans="1:9">
      <c r="A138" s="264"/>
      <c r="B138" s="278"/>
      <c r="C138" s="279"/>
      <c r="D138" s="278"/>
      <c r="E138" s="278"/>
      <c r="F138" s="278"/>
      <c r="G138" s="278"/>
      <c r="H138" s="278"/>
    </row>
    <row r="139" spans="1:9">
      <c r="A139" s="385"/>
      <c r="B139" s="1929" t="s">
        <v>113</v>
      </c>
      <c r="C139" s="264"/>
      <c r="D139" s="264"/>
      <c r="E139" s="512"/>
      <c r="F139" s="512"/>
      <c r="G139" s="512"/>
      <c r="H139" s="512"/>
    </row>
    <row r="140" spans="1:9">
      <c r="A140" s="279"/>
      <c r="B140" s="1930"/>
      <c r="C140" s="3300">
        <v>2016</v>
      </c>
      <c r="D140" s="3313">
        <v>2017</v>
      </c>
      <c r="E140" s="3313">
        <v>2018</v>
      </c>
      <c r="F140" s="3313">
        <v>2019</v>
      </c>
      <c r="G140" s="3313" t="s">
        <v>137</v>
      </c>
      <c r="H140" s="3313" t="s">
        <v>84</v>
      </c>
    </row>
    <row r="141" spans="1:9" ht="13.5" customHeight="1">
      <c r="A141" s="394"/>
      <c r="B141" s="235" t="s">
        <v>942</v>
      </c>
      <c r="C141" s="1988">
        <v>41530</v>
      </c>
      <c r="D141" s="1988">
        <v>232300.03641999999</v>
      </c>
      <c r="E141" s="1981">
        <v>312330.57176999899</v>
      </c>
      <c r="F141" s="1981">
        <v>97224</v>
      </c>
      <c r="G141" s="2056">
        <v>54901.158909999896</v>
      </c>
      <c r="H141" s="3314">
        <v>159397.99095000001</v>
      </c>
      <c r="I141" s="197"/>
    </row>
    <row r="142" spans="1:9" ht="13.5" customHeight="1">
      <c r="A142" s="264"/>
      <c r="B142" s="1981" t="s">
        <v>943</v>
      </c>
      <c r="C142" s="1988">
        <v>34880</v>
      </c>
      <c r="D142" s="1988">
        <v>54983</v>
      </c>
      <c r="E142" s="1981">
        <v>49551</v>
      </c>
      <c r="F142" s="1981">
        <v>39278.665070000003</v>
      </c>
      <c r="G142" s="2056">
        <v>30611.029390000003</v>
      </c>
      <c r="H142" s="3314">
        <v>44079.363284876687</v>
      </c>
      <c r="I142" s="197"/>
    </row>
    <row r="143" spans="1:9" ht="13.5" customHeight="1">
      <c r="A143" s="264"/>
      <c r="B143" s="2814" t="s">
        <v>944</v>
      </c>
      <c r="C143" s="1988">
        <v>1520</v>
      </c>
      <c r="D143" s="1988">
        <v>3278.1779899999997</v>
      </c>
      <c r="E143" s="2814">
        <v>3060</v>
      </c>
      <c r="F143" s="2814">
        <v>5626</v>
      </c>
      <c r="G143" s="3306">
        <v>3989.6708199999998</v>
      </c>
      <c r="H143" s="3314">
        <v>10559.511878104997</v>
      </c>
      <c r="I143" s="197"/>
    </row>
    <row r="144" spans="1:9" ht="13.5" customHeight="1">
      <c r="A144" s="264"/>
      <c r="B144" s="1981" t="s">
        <v>945</v>
      </c>
      <c r="C144" s="1988">
        <v>4776</v>
      </c>
      <c r="D144" s="1988">
        <v>2895</v>
      </c>
      <c r="E144" s="1981">
        <v>1448</v>
      </c>
      <c r="F144" s="1981">
        <v>1490.0560600000001</v>
      </c>
      <c r="G144" s="2056">
        <v>1705.3596699999998</v>
      </c>
      <c r="H144" s="3314">
        <v>9718.0636220951037</v>
      </c>
      <c r="I144" s="197"/>
    </row>
    <row r="145" spans="1:14" ht="13.5" customHeight="1">
      <c r="A145" s="264"/>
      <c r="B145" s="1981" t="s">
        <v>645</v>
      </c>
      <c r="C145" s="3315">
        <v>0</v>
      </c>
      <c r="D145" s="3315">
        <v>5994</v>
      </c>
      <c r="E145" s="1981">
        <v>1084</v>
      </c>
      <c r="F145" s="1981">
        <v>8786.529410000001</v>
      </c>
      <c r="G145" s="2056">
        <v>4006.4050000000002</v>
      </c>
      <c r="H145" s="3314">
        <v>134742.59760492289</v>
      </c>
      <c r="I145" s="197"/>
    </row>
    <row r="146" spans="1:14" ht="13.5" customHeight="1">
      <c r="A146" s="264"/>
      <c r="B146" s="278" t="s">
        <v>118</v>
      </c>
      <c r="C146" s="439">
        <f t="shared" ref="C146:F146" si="24">SUM(C141:C145)</f>
        <v>82706</v>
      </c>
      <c r="D146" s="439">
        <f t="shared" si="24"/>
        <v>299450.21441000002</v>
      </c>
      <c r="E146" s="439">
        <f t="shared" si="24"/>
        <v>367473.57176999899</v>
      </c>
      <c r="F146" s="439">
        <f t="shared" si="24"/>
        <v>152405.25053999998</v>
      </c>
      <c r="G146" s="439">
        <f t="shared" ref="G146:H146" si="25">SUM(G141:G145)</f>
        <v>95213.623789999896</v>
      </c>
      <c r="H146" s="439">
        <f t="shared" si="25"/>
        <v>358497.52733999968</v>
      </c>
      <c r="I146" s="197"/>
    </row>
    <row r="147" spans="1:14">
      <c r="A147" s="264"/>
      <c r="B147" s="278"/>
      <c r="C147" s="279"/>
      <c r="D147" s="278"/>
      <c r="E147" s="278"/>
      <c r="F147" s="278"/>
      <c r="G147" s="278"/>
      <c r="H147" s="278"/>
      <c r="M147" s="385"/>
      <c r="N147" s="385"/>
    </row>
    <row r="148" spans="1:14">
      <c r="A148" s="385"/>
      <c r="B148" s="1929" t="s">
        <v>116</v>
      </c>
      <c r="C148" s="264"/>
      <c r="D148" s="264"/>
      <c r="E148" s="512"/>
      <c r="F148" s="512"/>
      <c r="G148" s="512"/>
      <c r="H148" s="512"/>
      <c r="M148" s="385"/>
      <c r="N148" s="385"/>
    </row>
    <row r="149" spans="1:14">
      <c r="A149" s="279"/>
      <c r="B149" s="1930"/>
      <c r="C149" s="3403">
        <v>2016</v>
      </c>
      <c r="D149" s="1952">
        <v>2017</v>
      </c>
      <c r="E149" s="1949">
        <v>2018</v>
      </c>
      <c r="F149" s="1950">
        <v>2019</v>
      </c>
      <c r="G149" s="1949" t="s">
        <v>137</v>
      </c>
      <c r="H149" s="1953" t="s">
        <v>84</v>
      </c>
      <c r="M149" s="385"/>
      <c r="N149" s="385"/>
    </row>
    <row r="150" spans="1:14" ht="12.75" customHeight="1">
      <c r="A150" s="264"/>
      <c r="B150" s="235" t="s">
        <v>942</v>
      </c>
      <c r="C150" s="1981">
        <v>266088</v>
      </c>
      <c r="D150" s="235">
        <v>444323.1</v>
      </c>
      <c r="E150" s="235">
        <v>462721.82875000016</v>
      </c>
      <c r="F150" s="1946">
        <v>357981.79485999991</v>
      </c>
      <c r="G150" s="1948">
        <v>362568.84769000008</v>
      </c>
      <c r="H150" s="1951">
        <v>469524</v>
      </c>
      <c r="I150" s="197"/>
      <c r="M150" s="385"/>
      <c r="N150" s="385"/>
    </row>
    <row r="151" spans="1:14" ht="12.75" customHeight="1">
      <c r="A151" s="264"/>
      <c r="B151" s="1981" t="s">
        <v>943</v>
      </c>
      <c r="C151" s="1981">
        <v>84459</v>
      </c>
      <c r="D151" s="1981">
        <v>99518.940490000008</v>
      </c>
      <c r="E151" s="1981">
        <v>230871.95471999998</v>
      </c>
      <c r="F151" s="3307">
        <v>508066.16306999995</v>
      </c>
      <c r="G151" s="3308">
        <v>348592.75908000005</v>
      </c>
      <c r="H151" s="3310">
        <v>1620565</v>
      </c>
      <c r="I151" s="197"/>
    </row>
    <row r="152" spans="1:14" ht="12.75" customHeight="1">
      <c r="A152" s="264"/>
      <c r="B152" s="1981" t="s">
        <v>944</v>
      </c>
      <c r="C152" s="1981">
        <v>1572</v>
      </c>
      <c r="D152" s="1981">
        <v>2721.0329999999999</v>
      </c>
      <c r="E152" s="1981">
        <v>38788.628705000003</v>
      </c>
      <c r="F152" s="3307">
        <v>11634.857820000001</v>
      </c>
      <c r="G152" s="3308">
        <v>15498.643670000001</v>
      </c>
      <c r="H152" s="3310">
        <v>17597</v>
      </c>
      <c r="I152" s="197"/>
    </row>
    <row r="153" spans="1:14" ht="12.75" customHeight="1">
      <c r="A153" s="264"/>
      <c r="B153" s="1981" t="s">
        <v>945</v>
      </c>
      <c r="C153" s="1981">
        <v>84472</v>
      </c>
      <c r="D153" s="1981">
        <v>234781</v>
      </c>
      <c r="E153" s="1981">
        <v>272023</v>
      </c>
      <c r="F153" s="3307">
        <v>289348.64534000005</v>
      </c>
      <c r="G153" s="3308">
        <v>882100.35441999987</v>
      </c>
      <c r="H153" s="3310">
        <v>626403</v>
      </c>
      <c r="I153" s="197"/>
    </row>
    <row r="154" spans="1:14" ht="12.75" customHeight="1">
      <c r="A154" s="264"/>
      <c r="B154" s="1981" t="s">
        <v>366</v>
      </c>
      <c r="C154" s="1981">
        <v>635575</v>
      </c>
      <c r="D154" s="1981">
        <v>441156.03861000028</v>
      </c>
      <c r="E154" s="1981">
        <v>1334599.7135649999</v>
      </c>
      <c r="F154" s="3307">
        <v>1705893.39047</v>
      </c>
      <c r="G154" s="3308">
        <v>1937046.3951399997</v>
      </c>
      <c r="H154" s="3310">
        <v>3231075</v>
      </c>
      <c r="I154" s="197"/>
    </row>
    <row r="155" spans="1:14" ht="12.75" customHeight="1">
      <c r="A155" s="264"/>
      <c r="B155" s="278" t="s">
        <v>118</v>
      </c>
      <c r="C155" s="439">
        <f t="shared" ref="C155:F155" si="26">SUM(C150:C154)</f>
        <v>1072166</v>
      </c>
      <c r="D155" s="439">
        <f t="shared" si="26"/>
        <v>1222500.1121000005</v>
      </c>
      <c r="E155" s="439">
        <f t="shared" si="26"/>
        <v>2339005.12574</v>
      </c>
      <c r="F155" s="439">
        <f t="shared" si="26"/>
        <v>2872924.8515599999</v>
      </c>
      <c r="G155" s="439">
        <f t="shared" ref="G155:H155" si="27">SUM(G150:G154)</f>
        <v>3545807</v>
      </c>
      <c r="H155" s="439">
        <f t="shared" si="27"/>
        <v>5965164</v>
      </c>
      <c r="I155" s="197"/>
    </row>
    <row r="156" spans="1:14">
      <c r="A156" s="264"/>
      <c r="B156" s="464"/>
      <c r="C156" s="279"/>
      <c r="D156" s="278"/>
      <c r="E156" s="464"/>
      <c r="F156" s="464"/>
      <c r="G156" s="464"/>
      <c r="H156" s="464"/>
    </row>
    <row r="157" spans="1:14">
      <c r="A157" s="385"/>
      <c r="B157" s="1929" t="s">
        <v>117</v>
      </c>
      <c r="C157" s="264"/>
      <c r="D157" s="264"/>
      <c r="E157" s="512"/>
      <c r="F157" s="512"/>
      <c r="G157" s="512"/>
      <c r="H157" s="512"/>
      <c r="M157" s="385"/>
      <c r="N157" s="385"/>
    </row>
    <row r="158" spans="1:14">
      <c r="A158" s="463"/>
      <c r="B158" s="1930"/>
      <c r="C158" s="3403">
        <v>2016</v>
      </c>
      <c r="D158" s="1952">
        <v>2017</v>
      </c>
      <c r="E158" s="1949">
        <v>2018</v>
      </c>
      <c r="F158" s="1950">
        <v>2019</v>
      </c>
      <c r="G158" s="1949" t="s">
        <v>137</v>
      </c>
      <c r="H158" s="1953" t="s">
        <v>84</v>
      </c>
      <c r="M158" s="385"/>
      <c r="N158" s="385"/>
    </row>
    <row r="159" spans="1:14" ht="12.75" customHeight="1">
      <c r="A159" s="394"/>
      <c r="B159" s="235" t="s">
        <v>942</v>
      </c>
      <c r="C159" s="1988">
        <v>950301.45386000001</v>
      </c>
      <c r="D159" s="1923">
        <v>1880049.4959399998</v>
      </c>
      <c r="E159" s="235">
        <v>1945237</v>
      </c>
      <c r="F159" s="235">
        <v>1804087</v>
      </c>
      <c r="G159" s="1925">
        <v>2089212</v>
      </c>
      <c r="H159" s="1955">
        <v>2379426</v>
      </c>
      <c r="I159" s="197"/>
      <c r="M159" s="385"/>
      <c r="N159" s="606"/>
    </row>
    <row r="160" spans="1:14" ht="12.75" customHeight="1">
      <c r="A160" s="394"/>
      <c r="B160" s="1981" t="s">
        <v>943</v>
      </c>
      <c r="C160" s="1981">
        <v>80436.808869999979</v>
      </c>
      <c r="D160" s="1988">
        <v>92648.186349999974</v>
      </c>
      <c r="E160" s="1981">
        <v>141840</v>
      </c>
      <c r="F160" s="1981">
        <v>204664</v>
      </c>
      <c r="G160" s="2056">
        <v>862</v>
      </c>
      <c r="H160" s="3314">
        <v>353796</v>
      </c>
      <c r="I160" s="197"/>
      <c r="M160" s="385"/>
      <c r="N160" s="385"/>
    </row>
    <row r="161" spans="1:15" ht="12.75" customHeight="1">
      <c r="A161" s="394"/>
      <c r="B161" s="1981" t="s">
        <v>944</v>
      </c>
      <c r="C161" s="1981">
        <v>127617.25718000002</v>
      </c>
      <c r="D161" s="1988">
        <v>181287.43818000003</v>
      </c>
      <c r="E161" s="1981">
        <v>231103</v>
      </c>
      <c r="F161" s="1981">
        <v>17940</v>
      </c>
      <c r="G161" s="2056">
        <v>3174</v>
      </c>
      <c r="H161" s="3314">
        <v>2260</v>
      </c>
      <c r="I161" s="197"/>
      <c r="M161" s="385"/>
      <c r="N161" s="385"/>
    </row>
    <row r="162" spans="1:15" ht="12.75" customHeight="1">
      <c r="A162" s="394"/>
      <c r="B162" s="1981" t="s">
        <v>945</v>
      </c>
      <c r="C162" s="1988">
        <v>363763.56442000001</v>
      </c>
      <c r="D162" s="1988">
        <v>506382.4387</v>
      </c>
      <c r="E162" s="1981">
        <v>863101</v>
      </c>
      <c r="F162" s="1981">
        <v>1171361</v>
      </c>
      <c r="G162" s="2056">
        <v>1011095</v>
      </c>
      <c r="H162" s="3314">
        <v>1393569</v>
      </c>
      <c r="I162" s="197"/>
      <c r="M162" s="385"/>
      <c r="N162" s="385"/>
    </row>
    <row r="163" spans="1:15" ht="12.75" customHeight="1">
      <c r="A163" s="394"/>
      <c r="B163" s="1981" t="s">
        <v>366</v>
      </c>
      <c r="C163" s="1988">
        <v>2191.1689999999999</v>
      </c>
      <c r="D163" s="1988">
        <v>13365.60274</v>
      </c>
      <c r="E163" s="1981">
        <v>169319</v>
      </c>
      <c r="F163" s="1981">
        <v>470299</v>
      </c>
      <c r="G163" s="2056">
        <v>584164</v>
      </c>
      <c r="H163" s="3314">
        <v>872887</v>
      </c>
      <c r="I163" s="197"/>
      <c r="M163" s="385"/>
      <c r="N163" s="385"/>
    </row>
    <row r="164" spans="1:15" ht="12.75" customHeight="1">
      <c r="A164" s="394"/>
      <c r="B164" s="466" t="s">
        <v>118</v>
      </c>
      <c r="C164" s="439">
        <f t="shared" ref="C164:D164" si="28">SUM(C159:C163)</f>
        <v>1524310.25333</v>
      </c>
      <c r="D164" s="439">
        <f t="shared" si="28"/>
        <v>2673733.1619099998</v>
      </c>
      <c r="E164" s="439">
        <f>SUM(E159:E163)</f>
        <v>3350600</v>
      </c>
      <c r="F164" s="439">
        <f>SUM(F159:F163)</f>
        <v>3668351</v>
      </c>
      <c r="G164" s="439">
        <f>SUM(G159:G163)</f>
        <v>3688507</v>
      </c>
      <c r="H164" s="439">
        <f>SUM(H159:H163)</f>
        <v>5001938</v>
      </c>
      <c r="I164" s="197"/>
      <c r="M164" s="385"/>
      <c r="N164" s="385"/>
    </row>
    <row r="165" spans="1:15">
      <c r="A165" s="385"/>
      <c r="B165" s="385"/>
      <c r="C165" s="385"/>
      <c r="D165" s="385"/>
      <c r="E165" s="385"/>
      <c r="F165" s="385"/>
      <c r="G165" s="385"/>
      <c r="H165" s="385"/>
      <c r="M165" s="385"/>
      <c r="N165" s="385"/>
    </row>
    <row r="166" spans="1:15">
      <c r="H166" s="39">
        <v>189</v>
      </c>
      <c r="I166" s="385"/>
    </row>
    <row r="167" spans="1:15">
      <c r="A167" s="385"/>
      <c r="B167" s="490"/>
      <c r="C167" s="385"/>
      <c r="D167" s="385"/>
      <c r="E167" s="385"/>
      <c r="F167" s="385"/>
      <c r="G167" s="385"/>
      <c r="H167" s="385"/>
      <c r="M167" s="385"/>
      <c r="N167" s="385"/>
    </row>
    <row r="170" spans="1:15" ht="15" hidden="1" customHeight="1">
      <c r="A170" s="385"/>
      <c r="B170" s="3405" t="s">
        <v>317</v>
      </c>
      <c r="C170" s="385"/>
      <c r="D170" s="385"/>
      <c r="E170" s="51"/>
      <c r="F170" s="51"/>
      <c r="G170" s="51"/>
      <c r="H170" s="51"/>
      <c r="M170" s="385"/>
      <c r="N170" s="385"/>
      <c r="O170" s="603"/>
    </row>
    <row r="171" spans="1:15" ht="15" hidden="1" customHeight="1">
      <c r="B171" s="528"/>
      <c r="C171" s="3200" t="s">
        <v>952</v>
      </c>
      <c r="D171" s="3300" t="s">
        <v>953</v>
      </c>
      <c r="E171" s="3316"/>
      <c r="F171" s="51"/>
      <c r="G171" s="51"/>
      <c r="H171" s="51"/>
    </row>
    <row r="172" spans="1:15" ht="15" hidden="1" customHeight="1">
      <c r="B172" s="1981" t="s">
        <v>942</v>
      </c>
      <c r="C172" s="385"/>
      <c r="D172" s="385"/>
      <c r="E172" s="264"/>
      <c r="F172" s="264"/>
      <c r="G172" s="264"/>
      <c r="H172" s="264"/>
    </row>
    <row r="173" spans="1:15" ht="15" hidden="1" customHeight="1">
      <c r="B173" s="1981" t="s">
        <v>943</v>
      </c>
      <c r="C173" s="385"/>
      <c r="D173" s="385"/>
      <c r="E173" s="264"/>
      <c r="F173" s="264"/>
      <c r="G173" s="264"/>
      <c r="H173" s="264"/>
    </row>
    <row r="174" spans="1:15" ht="15" hidden="1" customHeight="1">
      <c r="B174" s="1981" t="s">
        <v>944</v>
      </c>
      <c r="C174" s="385"/>
      <c r="D174" s="385"/>
      <c r="E174" s="264"/>
      <c r="F174" s="264"/>
      <c r="G174" s="264"/>
      <c r="H174" s="264"/>
    </row>
    <row r="175" spans="1:15" ht="15" hidden="1" customHeight="1">
      <c r="B175" s="1981" t="s">
        <v>945</v>
      </c>
      <c r="C175" s="385"/>
      <c r="D175" s="385"/>
      <c r="E175" s="264"/>
      <c r="F175" s="264"/>
      <c r="G175" s="264"/>
      <c r="H175" s="264"/>
    </row>
    <row r="176" spans="1:15" ht="15" hidden="1" customHeight="1">
      <c r="B176" s="1981" t="s">
        <v>948</v>
      </c>
      <c r="C176" s="385"/>
      <c r="D176" s="385"/>
      <c r="E176" s="264"/>
      <c r="F176" s="264"/>
      <c r="G176" s="264"/>
      <c r="H176" s="264"/>
    </row>
    <row r="177" spans="2:8" ht="15.75" hidden="1" customHeight="1">
      <c r="B177" s="466" t="s">
        <v>118</v>
      </c>
      <c r="C177" s="439">
        <v>0</v>
      </c>
      <c r="D177" s="439">
        <v>0</v>
      </c>
      <c r="E177" s="466"/>
      <c r="F177" s="466"/>
      <c r="G177" s="466"/>
      <c r="H177" s="466"/>
    </row>
    <row r="178" spans="2:8" ht="15" hidden="1" customHeight="1">
      <c r="B178" s="385"/>
      <c r="C178" s="385"/>
      <c r="D178" s="385"/>
      <c r="E178" s="385"/>
      <c r="F178" s="385"/>
      <c r="G178" s="385"/>
      <c r="H178" s="385"/>
    </row>
    <row r="179" spans="2:8">
      <c r="B179" s="385"/>
      <c r="C179" s="385"/>
      <c r="D179" s="385"/>
      <c r="E179" s="385"/>
      <c r="F179" s="385"/>
      <c r="G179" s="385"/>
      <c r="H179" s="385"/>
    </row>
  </sheetData>
  <pageMargins left="0.7" right="0.7" top="0.75" bottom="0.75" header="0.3" footer="0.3"/>
  <pageSetup paperSize="9" scale="70" orientation="landscape" r:id="rId1"/>
  <rowBreaks count="3" manualBreakCount="3">
    <brk id="33" max="7" man="1"/>
    <brk id="75" max="7" man="1"/>
    <brk id="116" max="7" man="1"/>
  </rowBreaks>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1"/>
  <dimension ref="A2:N152"/>
  <sheetViews>
    <sheetView topLeftCell="C1" workbookViewId="0">
      <selection activeCell="H83" sqref="H83"/>
    </sheetView>
  </sheetViews>
  <sheetFormatPr defaultColWidth="9.140625" defaultRowHeight="15"/>
  <cols>
    <col min="1" max="1" width="9.28515625" style="273" hidden="1" customWidth="1"/>
    <col min="2" max="2" width="9.140625" style="273" hidden="1" customWidth="1"/>
    <col min="3" max="3" width="4.5703125" style="273" customWidth="1"/>
    <col min="4" max="4" width="26.28515625" style="273" customWidth="1"/>
    <col min="5" max="6" width="15.42578125" style="157" customWidth="1"/>
    <col min="7" max="8" width="15.5703125" style="157" customWidth="1"/>
    <col min="9" max="9" width="16" style="157" customWidth="1"/>
    <col min="10" max="13" width="10.5703125" bestFit="1" customWidth="1"/>
    <col min="14" max="14" width="10.5703125" style="273" bestFit="1" customWidth="1"/>
    <col min="15" max="18" width="9.140625" style="273"/>
    <col min="19" max="19" width="5.140625" style="273" bestFit="1" customWidth="1"/>
    <col min="20" max="20" width="10.5703125" style="273" bestFit="1" customWidth="1"/>
    <col min="21" max="16384" width="9.140625" style="273"/>
  </cols>
  <sheetData>
    <row r="2" spans="3:14">
      <c r="D2" s="403" t="s">
        <v>954</v>
      </c>
      <c r="E2" s="404"/>
    </row>
    <row r="4" spans="3:14">
      <c r="D4" s="3317" t="s">
        <v>656</v>
      </c>
      <c r="E4" s="3318">
        <v>2008</v>
      </c>
      <c r="F4" s="3318">
        <v>2009</v>
      </c>
      <c r="G4" s="3318">
        <v>2010</v>
      </c>
      <c r="H4" s="3318" t="s">
        <v>887</v>
      </c>
      <c r="I4" s="3318" t="s">
        <v>726</v>
      </c>
    </row>
    <row r="5" spans="3:14">
      <c r="D5" s="1981" t="s">
        <v>942</v>
      </c>
      <c r="E5" s="3319">
        <v>4613967.7620000001</v>
      </c>
      <c r="F5" s="3319">
        <v>4866261.3091599997</v>
      </c>
      <c r="G5" s="3319">
        <v>6483801.1768899998</v>
      </c>
      <c r="H5" s="3319">
        <v>6316563.5789299998</v>
      </c>
      <c r="I5" s="3319">
        <v>7911018.4632799998</v>
      </c>
      <c r="J5" s="14"/>
      <c r="K5" s="14"/>
      <c r="L5" s="14"/>
      <c r="M5" s="14"/>
      <c r="N5" s="14"/>
    </row>
    <row r="6" spans="3:14">
      <c r="D6" s="1981" t="s">
        <v>943</v>
      </c>
      <c r="E6" s="3319">
        <v>823763.55226999999</v>
      </c>
      <c r="F6" s="3319">
        <v>1150731.1427</v>
      </c>
      <c r="G6" s="3319">
        <v>1074407.01082</v>
      </c>
      <c r="H6" s="3319">
        <v>678052.05180999986</v>
      </c>
      <c r="I6" s="3319">
        <v>900735.18171000003</v>
      </c>
      <c r="J6" s="14"/>
      <c r="K6" s="14"/>
      <c r="L6" s="14"/>
      <c r="M6" s="14"/>
      <c r="N6" s="14"/>
    </row>
    <row r="7" spans="3:14">
      <c r="D7" s="1981" t="s">
        <v>944</v>
      </c>
      <c r="E7" s="3319">
        <v>18684.092180000007</v>
      </c>
      <c r="F7" s="3319">
        <v>39613.892570000011</v>
      </c>
      <c r="G7" s="3319">
        <v>62650.019969999994</v>
      </c>
      <c r="H7" s="3319">
        <v>32032.638770000012</v>
      </c>
      <c r="I7" s="3319">
        <v>79037.019509999998</v>
      </c>
      <c r="J7" s="14"/>
      <c r="K7" s="14"/>
      <c r="L7" s="14"/>
      <c r="M7" s="14"/>
      <c r="N7" s="14"/>
    </row>
    <row r="8" spans="3:14">
      <c r="D8" s="1981" t="s">
        <v>945</v>
      </c>
      <c r="E8" s="3319">
        <v>1212674.871</v>
      </c>
      <c r="F8" s="3319">
        <v>2132234.3289000001</v>
      </c>
      <c r="G8" s="3319">
        <v>2244239.31593</v>
      </c>
      <c r="H8" s="3319">
        <v>2225293.3174099997</v>
      </c>
      <c r="I8" s="3319">
        <v>2841859.02532</v>
      </c>
      <c r="J8" s="14"/>
      <c r="K8" s="14"/>
      <c r="L8" s="14"/>
      <c r="M8" s="14"/>
      <c r="N8" s="14"/>
    </row>
    <row r="9" spans="3:14">
      <c r="D9" s="1981" t="s">
        <v>645</v>
      </c>
      <c r="E9" s="3319">
        <v>1112353.5879300002</v>
      </c>
      <c r="F9" s="3319">
        <v>1273364.1897099998</v>
      </c>
      <c r="G9" s="3319">
        <v>1776754.0272799996</v>
      </c>
      <c r="H9" s="3319">
        <v>1330555.9591600001</v>
      </c>
      <c r="I9" s="3319">
        <v>1757445.2869499999</v>
      </c>
      <c r="J9" s="14"/>
      <c r="K9" s="14"/>
      <c r="L9" s="14"/>
      <c r="M9" s="14"/>
      <c r="N9" s="14"/>
    </row>
    <row r="10" spans="3:14">
      <c r="D10" s="3081" t="s">
        <v>118</v>
      </c>
      <c r="E10" s="3319">
        <f>SUM(E5:E9)</f>
        <v>7781443.8653800003</v>
      </c>
      <c r="F10" s="3319">
        <f>SUM(F5:F9)</f>
        <v>9462204.8630400002</v>
      </c>
      <c r="G10" s="3319">
        <f>SUM(G5:G9)</f>
        <v>11641851.550889999</v>
      </c>
      <c r="H10" s="3319">
        <f>SUM(H5:H9)</f>
        <v>10582497.546080001</v>
      </c>
      <c r="I10" s="3319">
        <f>SUM(I5:I9)</f>
        <v>13490094.976769999</v>
      </c>
      <c r="J10" s="14"/>
      <c r="K10" s="14"/>
      <c r="L10" s="14"/>
      <c r="M10" s="14"/>
      <c r="N10" s="14"/>
    </row>
    <row r="11" spans="3:14">
      <c r="D11" s="278"/>
      <c r="E11" s="313"/>
      <c r="F11" s="313"/>
      <c r="G11" s="313"/>
      <c r="H11" s="313"/>
      <c r="I11" s="313"/>
      <c r="J11" s="273"/>
      <c r="K11" s="273"/>
      <c r="L11" s="273"/>
      <c r="M11" s="273"/>
    </row>
    <row r="12" spans="3:14">
      <c r="J12" s="273"/>
      <c r="K12" s="273"/>
      <c r="L12" s="273"/>
      <c r="M12" s="273"/>
    </row>
    <row r="13" spans="3:14">
      <c r="C13" s="273">
        <v>1</v>
      </c>
      <c r="D13" s="3317" t="s">
        <v>125</v>
      </c>
      <c r="E13" s="3318">
        <v>2008</v>
      </c>
      <c r="F13" s="3318">
        <v>2009</v>
      </c>
      <c r="G13" s="3318">
        <v>2010</v>
      </c>
      <c r="H13" s="3318" t="s">
        <v>887</v>
      </c>
      <c r="I13" s="3318" t="s">
        <v>726</v>
      </c>
      <c r="J13" s="273"/>
      <c r="K13" s="273"/>
      <c r="L13" s="273"/>
      <c r="M13" s="273"/>
    </row>
    <row r="14" spans="3:14">
      <c r="D14" s="1981" t="s">
        <v>942</v>
      </c>
      <c r="E14" s="3040">
        <v>517423</v>
      </c>
      <c r="F14" s="3040">
        <v>445421</v>
      </c>
      <c r="G14" s="3040">
        <v>606785</v>
      </c>
      <c r="H14" s="3040">
        <v>664331</v>
      </c>
      <c r="I14" s="3040">
        <v>763862</v>
      </c>
      <c r="J14" s="273"/>
      <c r="K14" s="273"/>
      <c r="L14" s="273"/>
      <c r="M14" s="273"/>
    </row>
    <row r="15" spans="3:14">
      <c r="D15" s="1981" t="s">
        <v>943</v>
      </c>
      <c r="E15" s="3040">
        <v>84465.513729999991</v>
      </c>
      <c r="F15" s="3040">
        <v>70667.007700000002</v>
      </c>
      <c r="G15" s="3040">
        <v>108311.13104000001</v>
      </c>
      <c r="H15" s="3040">
        <v>106983.97937999999</v>
      </c>
      <c r="I15" s="3040">
        <v>88353.625230000005</v>
      </c>
      <c r="J15" s="273"/>
      <c r="K15" s="273"/>
      <c r="L15" s="273"/>
      <c r="M15" s="273"/>
    </row>
    <row r="16" spans="3:14">
      <c r="D16" s="1981" t="s">
        <v>944</v>
      </c>
      <c r="E16" s="3040">
        <v>24274.711340000005</v>
      </c>
      <c r="F16" s="3040">
        <v>22665.720570000009</v>
      </c>
      <c r="G16" s="3040">
        <v>60112.968239999995</v>
      </c>
      <c r="H16" s="3040">
        <v>24439.315770000012</v>
      </c>
      <c r="I16" s="3040">
        <v>63535.669969999981</v>
      </c>
      <c r="J16" s="273"/>
      <c r="K16" s="273"/>
      <c r="L16" s="273"/>
      <c r="M16" s="273"/>
    </row>
    <row r="17" spans="3:13">
      <c r="D17" s="1981" t="s">
        <v>945</v>
      </c>
      <c r="E17" s="3040">
        <v>567453</v>
      </c>
      <c r="F17" s="3040">
        <v>1010499</v>
      </c>
      <c r="G17" s="3040">
        <v>1470340</v>
      </c>
      <c r="H17" s="3040">
        <v>1396805</v>
      </c>
      <c r="I17" s="3040">
        <v>1677274</v>
      </c>
      <c r="J17" s="273"/>
      <c r="K17" s="273"/>
      <c r="L17" s="273"/>
      <c r="M17" s="273"/>
    </row>
    <row r="18" spans="3:13">
      <c r="D18" s="1981" t="s">
        <v>645</v>
      </c>
      <c r="E18" s="3040">
        <v>241462</v>
      </c>
      <c r="F18" s="3040">
        <v>209586</v>
      </c>
      <c r="G18" s="3040">
        <v>258817</v>
      </c>
      <c r="H18" s="3040">
        <v>275509</v>
      </c>
      <c r="I18" s="3040">
        <v>570269</v>
      </c>
      <c r="J18" s="273"/>
      <c r="K18" s="273"/>
      <c r="L18" s="273"/>
      <c r="M18" s="273"/>
    </row>
    <row r="19" spans="3:13">
      <c r="D19" s="3081" t="s">
        <v>118</v>
      </c>
      <c r="E19" s="3040">
        <f>SUM(E14:E18)</f>
        <v>1435078.2250700002</v>
      </c>
      <c r="F19" s="3040">
        <f>SUM(F14:F18)</f>
        <v>1758838.7282700001</v>
      </c>
      <c r="G19" s="3040">
        <f>SUM(G14:G18)</f>
        <v>2504366.0992799997</v>
      </c>
      <c r="H19" s="3040">
        <f>SUM(H14:H18)</f>
        <v>2468068.2951500001</v>
      </c>
      <c r="I19" s="3040">
        <f>SUM(I14:I18)</f>
        <v>3163294.2952000001</v>
      </c>
      <c r="J19" s="273"/>
      <c r="K19" s="273"/>
      <c r="L19" s="273"/>
      <c r="M19" s="273"/>
    </row>
    <row r="20" spans="3:13">
      <c r="D20" s="278"/>
      <c r="E20" s="109"/>
      <c r="F20" s="109"/>
      <c r="G20" s="109"/>
      <c r="H20" s="109"/>
      <c r="I20" s="109"/>
      <c r="J20" s="273"/>
      <c r="K20" s="273"/>
      <c r="L20" s="273"/>
      <c r="M20" s="273"/>
    </row>
    <row r="21" spans="3:13">
      <c r="J21" s="273"/>
      <c r="K21" s="273"/>
      <c r="L21" s="273"/>
      <c r="M21" s="273"/>
    </row>
    <row r="22" spans="3:13">
      <c r="C22" s="273">
        <v>2</v>
      </c>
      <c r="D22" s="2095" t="s">
        <v>93</v>
      </c>
      <c r="E22" s="3318">
        <v>2008</v>
      </c>
      <c r="F22" s="3318">
        <v>2009</v>
      </c>
      <c r="G22" s="3318">
        <v>2010</v>
      </c>
      <c r="H22" s="3318" t="s">
        <v>887</v>
      </c>
      <c r="I22" s="3318" t="s">
        <v>726</v>
      </c>
      <c r="J22" s="273"/>
      <c r="K22" s="273"/>
      <c r="L22" s="273"/>
      <c r="M22" s="273"/>
    </row>
    <row r="23" spans="3:13">
      <c r="D23" s="1981" t="s">
        <v>942</v>
      </c>
      <c r="E23" s="3040">
        <v>0</v>
      </c>
      <c r="F23" s="3040">
        <v>0</v>
      </c>
      <c r="G23" s="3040">
        <v>0</v>
      </c>
      <c r="H23" s="3040">
        <v>0</v>
      </c>
      <c r="I23" s="3040">
        <v>0</v>
      </c>
      <c r="J23" s="273"/>
      <c r="K23" s="273"/>
      <c r="L23" s="273"/>
      <c r="M23" s="273"/>
    </row>
    <row r="24" spans="3:13">
      <c r="D24" s="1981" t="s">
        <v>943</v>
      </c>
      <c r="E24" s="3040">
        <v>0</v>
      </c>
      <c r="F24" s="3040"/>
      <c r="G24" s="3040">
        <v>2275</v>
      </c>
      <c r="H24" s="3040">
        <v>3225</v>
      </c>
      <c r="I24" s="3040">
        <v>4975</v>
      </c>
      <c r="J24" s="273"/>
      <c r="K24" s="273"/>
      <c r="L24" s="273"/>
      <c r="M24" s="273"/>
    </row>
    <row r="25" spans="3:13">
      <c r="D25" s="1981" t="s">
        <v>944</v>
      </c>
      <c r="E25" s="3040">
        <v>0</v>
      </c>
      <c r="F25" s="3040">
        <v>0</v>
      </c>
      <c r="G25" s="3040">
        <v>9</v>
      </c>
      <c r="H25" s="3040">
        <v>0</v>
      </c>
      <c r="I25" s="3040">
        <v>381</v>
      </c>
      <c r="J25" s="273"/>
      <c r="K25" s="273"/>
      <c r="L25" s="273"/>
      <c r="M25" s="273"/>
    </row>
    <row r="26" spans="3:13">
      <c r="D26" s="1981" t="s">
        <v>945</v>
      </c>
      <c r="E26" s="3040">
        <v>0</v>
      </c>
      <c r="F26" s="3040">
        <v>0</v>
      </c>
      <c r="G26" s="3040">
        <v>0</v>
      </c>
      <c r="H26" s="3040">
        <v>0</v>
      </c>
      <c r="I26" s="3040">
        <v>856.51869999999997</v>
      </c>
      <c r="J26" s="273"/>
      <c r="K26" s="273"/>
      <c r="L26" s="273"/>
      <c r="M26" s="273"/>
    </row>
    <row r="27" spans="3:13">
      <c r="D27" s="1981" t="s">
        <v>645</v>
      </c>
      <c r="E27" s="3040">
        <v>0</v>
      </c>
      <c r="F27" s="3040">
        <v>3283</v>
      </c>
      <c r="G27" s="3040">
        <v>3430.9295400000001</v>
      </c>
      <c r="H27" s="3040">
        <v>9386.6355499999991</v>
      </c>
      <c r="I27" s="3040">
        <v>9664</v>
      </c>
      <c r="J27" s="273"/>
      <c r="K27" s="273"/>
      <c r="L27" s="273"/>
      <c r="M27" s="273"/>
    </row>
    <row r="28" spans="3:13">
      <c r="D28" s="3081" t="s">
        <v>118</v>
      </c>
      <c r="E28" s="3040">
        <f>SUM(E23:E27)</f>
        <v>0</v>
      </c>
      <c r="F28" s="3040">
        <f>SUM(F23:F27)</f>
        <v>3283</v>
      </c>
      <c r="G28" s="3040">
        <f>SUM(G23:G27)</f>
        <v>5714.9295400000001</v>
      </c>
      <c r="H28" s="3040">
        <f>SUM(H23:H27)</f>
        <v>12611.635549999999</v>
      </c>
      <c r="I28" s="3040">
        <f>SUM(I23:I27)</f>
        <v>15876.518700000001</v>
      </c>
      <c r="J28" s="273"/>
      <c r="K28" s="273"/>
      <c r="L28" s="273"/>
      <c r="M28" s="273"/>
    </row>
    <row r="29" spans="3:13">
      <c r="D29" s="278"/>
      <c r="E29" s="109"/>
      <c r="F29" s="109"/>
      <c r="G29" s="109"/>
      <c r="H29" s="109"/>
      <c r="I29" s="109"/>
      <c r="J29" s="273"/>
      <c r="K29" s="273"/>
      <c r="L29" s="273"/>
      <c r="M29" s="273"/>
    </row>
    <row r="30" spans="3:13">
      <c r="D30" s="278"/>
      <c r="E30" s="109"/>
      <c r="F30" s="109"/>
      <c r="G30" s="109"/>
      <c r="H30" s="109"/>
      <c r="I30" s="109"/>
      <c r="J30" s="273"/>
      <c r="K30" s="273"/>
      <c r="L30" s="273"/>
      <c r="M30" s="273"/>
    </row>
    <row r="31" spans="3:13">
      <c r="C31" s="273">
        <v>3</v>
      </c>
      <c r="D31" s="2987" t="s">
        <v>126</v>
      </c>
      <c r="E31" s="3318">
        <v>2008</v>
      </c>
      <c r="F31" s="3318">
        <v>2009</v>
      </c>
      <c r="G31" s="3318">
        <v>2010</v>
      </c>
      <c r="H31" s="3318" t="s">
        <v>887</v>
      </c>
      <c r="I31" s="3318" t="s">
        <v>726</v>
      </c>
      <c r="J31" s="273"/>
      <c r="K31" s="273"/>
      <c r="L31" s="273"/>
      <c r="M31" s="273"/>
    </row>
    <row r="32" spans="3:13">
      <c r="D32" s="1981" t="s">
        <v>942</v>
      </c>
      <c r="E32" s="3040">
        <v>0</v>
      </c>
      <c r="F32" s="3040">
        <v>5081.0810000000001</v>
      </c>
      <c r="G32" s="3040">
        <v>3086.248</v>
      </c>
      <c r="H32" s="3040">
        <v>8947</v>
      </c>
      <c r="I32" s="3040">
        <v>5840.39</v>
      </c>
      <c r="J32" s="273"/>
      <c r="K32" s="273"/>
      <c r="L32" s="273"/>
      <c r="M32" s="273"/>
    </row>
    <row r="33" spans="1:13">
      <c r="D33" s="1981" t="s">
        <v>943</v>
      </c>
      <c r="E33" s="3040">
        <v>397</v>
      </c>
      <c r="F33" s="3040">
        <v>981</v>
      </c>
      <c r="G33" s="3040">
        <v>986</v>
      </c>
      <c r="H33" s="3040">
        <v>4355.1415299999999</v>
      </c>
      <c r="I33" s="3040">
        <v>1250</v>
      </c>
      <c r="J33" s="273"/>
      <c r="K33" s="273"/>
      <c r="L33" s="273"/>
      <c r="M33" s="273"/>
    </row>
    <row r="34" spans="1:13">
      <c r="D34" s="1981" t="s">
        <v>944</v>
      </c>
      <c r="E34" s="3040">
        <v>0</v>
      </c>
      <c r="F34" s="3040">
        <v>0</v>
      </c>
      <c r="G34" s="3040">
        <v>0</v>
      </c>
      <c r="H34" s="3040">
        <v>0</v>
      </c>
      <c r="I34" s="3040">
        <v>0</v>
      </c>
      <c r="J34" s="273"/>
      <c r="K34" s="273"/>
      <c r="L34" s="273"/>
      <c r="M34" s="273"/>
    </row>
    <row r="35" spans="1:13">
      <c r="D35" s="1981" t="s">
        <v>945</v>
      </c>
      <c r="E35" s="3040">
        <v>27467.628000000001</v>
      </c>
      <c r="F35" s="3040">
        <v>31899.095000000001</v>
      </c>
      <c r="G35" s="3040">
        <v>31659.478999999999</v>
      </c>
      <c r="H35" s="3040">
        <v>31558.633000000002</v>
      </c>
      <c r="I35" s="3040">
        <v>44102.940999999999</v>
      </c>
      <c r="J35" s="273"/>
      <c r="K35" s="273"/>
      <c r="L35" s="273"/>
      <c r="M35" s="273"/>
    </row>
    <row r="36" spans="1:13">
      <c r="D36" s="1981" t="s">
        <v>645</v>
      </c>
      <c r="E36" s="3040">
        <f>+'[10]Sheet 3 - Long term Insurance'!$G$143+'[10]Sheet 3 - Long term Insurance'!$G$144</f>
        <v>23508.919000000002</v>
      </c>
      <c r="F36" s="3040">
        <f>+'[10]Sheet 3 - Long term Insurance'!$F$143+'[10]Sheet 3 - Long term Insurance'!$F$144</f>
        <v>31668.425000000003</v>
      </c>
      <c r="G36" s="3040">
        <f>+'[10]Sheet 3 - Long term Insurance'!$E$143+'[10]Sheet 3 - Long term Insurance'!$E$144</f>
        <v>34850.911999999997</v>
      </c>
      <c r="H36" s="3040">
        <f>+'[10]Sheet 3 - Long term Insurance'!$D$143+'[10]Sheet 3 - Long term Insurance'!$D$144</f>
        <v>38500.705999999998</v>
      </c>
      <c r="I36" s="3040">
        <f>+'[10]Sheet 3 - Long term Insurance'!$C$143+'[10]Sheet 3 - Long term Insurance'!$C$144</f>
        <v>31282.341999999997</v>
      </c>
      <c r="J36" s="273"/>
      <c r="K36" s="273"/>
      <c r="L36" s="273"/>
      <c r="M36" s="273"/>
    </row>
    <row r="37" spans="1:13">
      <c r="D37" s="3081" t="s">
        <v>118</v>
      </c>
      <c r="E37" s="3040">
        <f>SUM(E32:E36)</f>
        <v>51373.547000000006</v>
      </c>
      <c r="F37" s="3040">
        <f>SUM(F32:F36)</f>
        <v>69629.600999999995</v>
      </c>
      <c r="G37" s="3040">
        <f>SUM(G32:G36)</f>
        <v>70582.638999999996</v>
      </c>
      <c r="H37" s="3040">
        <f>SUM(H32:H36)</f>
        <v>83361.480530000001</v>
      </c>
      <c r="I37" s="3040">
        <f>SUM(I32:I36)</f>
        <v>82475.672999999995</v>
      </c>
      <c r="J37" s="273"/>
      <c r="K37" s="273"/>
      <c r="L37" s="273"/>
      <c r="M37" s="273"/>
    </row>
    <row r="38" spans="1:13">
      <c r="D38" s="278"/>
      <c r="E38" s="109"/>
      <c r="F38" s="109"/>
      <c r="G38" s="109"/>
      <c r="H38" s="109"/>
      <c r="I38" s="109"/>
      <c r="J38" s="273"/>
      <c r="K38" s="273"/>
      <c r="L38" s="273"/>
      <c r="M38" s="273"/>
    </row>
    <row r="39" spans="1:13">
      <c r="D39" s="278"/>
      <c r="E39" s="109"/>
      <c r="F39" s="109"/>
      <c r="G39" s="109"/>
      <c r="H39" s="109"/>
      <c r="I39" s="109"/>
      <c r="J39" s="273"/>
      <c r="K39" s="273"/>
      <c r="L39" s="273"/>
      <c r="M39" s="273"/>
    </row>
    <row r="40" spans="1:13">
      <c r="C40" s="273">
        <v>4</v>
      </c>
      <c r="D40" s="3320" t="s">
        <v>96</v>
      </c>
      <c r="E40" s="3318">
        <v>2008</v>
      </c>
      <c r="F40" s="3318">
        <v>2009</v>
      </c>
      <c r="G40" s="3318">
        <v>2010</v>
      </c>
      <c r="H40" s="3318" t="s">
        <v>887</v>
      </c>
      <c r="I40" s="3318" t="s">
        <v>726</v>
      </c>
      <c r="J40" s="273"/>
      <c r="K40" s="273"/>
      <c r="L40" s="273"/>
      <c r="M40" s="273"/>
    </row>
    <row r="41" spans="1:13">
      <c r="D41" s="1981" t="s">
        <v>942</v>
      </c>
      <c r="E41" s="3321"/>
      <c r="F41" s="3321"/>
      <c r="G41" s="3321"/>
      <c r="H41" s="3321"/>
      <c r="I41" s="3321"/>
      <c r="J41" s="273"/>
      <c r="K41" s="273"/>
      <c r="L41" s="273"/>
      <c r="M41" s="273"/>
    </row>
    <row r="42" spans="1:13">
      <c r="D42" s="1981" t="s">
        <v>943</v>
      </c>
      <c r="E42" s="3321"/>
      <c r="F42" s="3321"/>
      <c r="G42" s="3321"/>
      <c r="H42" s="3055"/>
      <c r="I42" s="3055">
        <v>100</v>
      </c>
      <c r="J42" s="273"/>
      <c r="K42" s="273"/>
      <c r="L42" s="273"/>
      <c r="M42" s="273"/>
    </row>
    <row r="43" spans="1:13">
      <c r="D43" s="1981" t="s">
        <v>944</v>
      </c>
      <c r="E43" s="3321"/>
      <c r="F43" s="3321"/>
      <c r="G43" s="3321"/>
      <c r="H43" s="3055"/>
      <c r="I43" s="3055"/>
      <c r="J43" s="273"/>
      <c r="K43" s="273"/>
      <c r="L43" s="273"/>
      <c r="M43" s="273"/>
    </row>
    <row r="44" spans="1:13">
      <c r="D44" s="1981" t="s">
        <v>945</v>
      </c>
      <c r="E44" s="3321"/>
      <c r="F44" s="3321"/>
      <c r="G44" s="3321"/>
      <c r="H44" s="3055"/>
      <c r="I44" s="3055"/>
      <c r="J44" s="273"/>
      <c r="K44" s="273"/>
      <c r="L44" s="273"/>
      <c r="M44" s="273"/>
    </row>
    <row r="45" spans="1:13">
      <c r="D45" s="1981" t="s">
        <v>645</v>
      </c>
      <c r="E45" s="3321"/>
      <c r="F45" s="3321"/>
      <c r="G45" s="3321"/>
      <c r="H45" s="3055"/>
      <c r="I45" s="3055">
        <v>2995</v>
      </c>
      <c r="J45" s="273"/>
      <c r="K45" s="273"/>
      <c r="L45" s="273"/>
      <c r="M45" s="273"/>
    </row>
    <row r="46" spans="1:13">
      <c r="D46" s="3081" t="s">
        <v>118</v>
      </c>
      <c r="E46" s="3055">
        <f>SUM(E41:E45)</f>
        <v>0</v>
      </c>
      <c r="F46" s="3055">
        <f>SUM(F41:F45)</f>
        <v>0</v>
      </c>
      <c r="G46" s="3055">
        <f>SUM(G41:G45)</f>
        <v>0</v>
      </c>
      <c r="H46" s="3055">
        <f>SUM(H41:H45)</f>
        <v>0</v>
      </c>
      <c r="I46" s="3055">
        <f>SUM(I41:I45)</f>
        <v>3095</v>
      </c>
      <c r="J46" s="273"/>
      <c r="K46" s="273"/>
      <c r="L46" s="273"/>
      <c r="M46" s="273"/>
    </row>
    <row r="47" spans="1:13">
      <c r="D47" s="278"/>
      <c r="E47" s="109"/>
      <c r="F47" s="109"/>
      <c r="G47" s="109"/>
      <c r="H47" s="109"/>
      <c r="I47" s="109"/>
      <c r="J47" s="273"/>
      <c r="K47" s="273"/>
      <c r="L47" s="273"/>
      <c r="M47" s="273"/>
    </row>
    <row r="48" spans="1:13">
      <c r="A48" s="273">
        <v>1</v>
      </c>
      <c r="B48" s="312" t="s">
        <v>175</v>
      </c>
      <c r="C48" s="312"/>
      <c r="J48" s="273"/>
      <c r="K48" s="273"/>
      <c r="L48" s="273"/>
      <c r="M48" s="273"/>
    </row>
    <row r="49" spans="1:13">
      <c r="C49" s="273">
        <v>5</v>
      </c>
      <c r="D49" s="2095" t="s">
        <v>124</v>
      </c>
      <c r="E49" s="3318">
        <v>2008</v>
      </c>
      <c r="F49" s="3318">
        <v>2009</v>
      </c>
      <c r="G49" s="3318">
        <v>2010</v>
      </c>
      <c r="H49" s="3318" t="s">
        <v>887</v>
      </c>
      <c r="I49" s="3318" t="s">
        <v>726</v>
      </c>
      <c r="J49" s="273"/>
      <c r="K49" s="273"/>
      <c r="L49" s="273"/>
      <c r="M49" s="273"/>
    </row>
    <row r="50" spans="1:13">
      <c r="D50" s="1981" t="s">
        <v>942</v>
      </c>
      <c r="E50" s="3040">
        <v>2498.35</v>
      </c>
      <c r="F50" s="3040">
        <v>1677.01766</v>
      </c>
      <c r="G50" s="3040">
        <v>2226.8850000000002</v>
      </c>
      <c r="H50" s="3040">
        <v>19929.371609999998</v>
      </c>
      <c r="I50" s="3040">
        <v>29108.722290000002</v>
      </c>
      <c r="J50" s="273"/>
      <c r="K50" s="273"/>
      <c r="L50" s="273"/>
      <c r="M50" s="273"/>
    </row>
    <row r="51" spans="1:13">
      <c r="D51" s="1981" t="s">
        <v>943</v>
      </c>
      <c r="E51" s="3040"/>
      <c r="F51" s="3040"/>
      <c r="G51" s="3040"/>
      <c r="H51" s="3040"/>
      <c r="I51" s="3040"/>
      <c r="J51" s="273"/>
      <c r="K51" s="273"/>
      <c r="L51" s="273"/>
      <c r="M51" s="273"/>
    </row>
    <row r="52" spans="1:13">
      <c r="D52" s="1981" t="s">
        <v>944</v>
      </c>
      <c r="E52" s="3040"/>
      <c r="F52" s="3040"/>
      <c r="G52" s="3040"/>
      <c r="H52" s="3040"/>
      <c r="I52" s="3040"/>
      <c r="J52" s="273"/>
      <c r="K52" s="273"/>
      <c r="L52" s="273"/>
      <c r="M52" s="273"/>
    </row>
    <row r="53" spans="1:13">
      <c r="D53" s="1981" t="s">
        <v>945</v>
      </c>
      <c r="E53" s="3040">
        <v>7433.3490000000002</v>
      </c>
      <c r="F53" s="3040">
        <v>35545.493900000001</v>
      </c>
      <c r="G53" s="3040">
        <v>40603.01945</v>
      </c>
      <c r="H53" s="3040">
        <v>28118.304169999999</v>
      </c>
      <c r="I53" s="3040">
        <v>29671.287619999999</v>
      </c>
      <c r="J53" s="273"/>
      <c r="K53" s="273"/>
      <c r="L53" s="273"/>
      <c r="M53" s="273"/>
    </row>
    <row r="54" spans="1:13">
      <c r="D54" s="1981" t="s">
        <v>645</v>
      </c>
      <c r="E54" s="3040">
        <v>38970</v>
      </c>
      <c r="F54" s="3040">
        <v>50306.881710000001</v>
      </c>
      <c r="G54" s="3040">
        <v>60246.309159999997</v>
      </c>
      <c r="H54" s="3040">
        <v>75498.619859999992</v>
      </c>
      <c r="I54" s="3040">
        <v>84337.081479999993</v>
      </c>
      <c r="J54" s="273"/>
      <c r="K54" s="273"/>
      <c r="L54" s="273"/>
      <c r="M54" s="273"/>
    </row>
    <row r="55" spans="1:13">
      <c r="D55" s="3081" t="s">
        <v>118</v>
      </c>
      <c r="E55" s="3040">
        <f>SUM(E50:E54)</f>
        <v>48901.699000000001</v>
      </c>
      <c r="F55" s="3040">
        <f>SUM(F50:F54)</f>
        <v>87529.39327</v>
      </c>
      <c r="G55" s="3040">
        <f>SUM(G50:G54)</f>
        <v>103076.21361000001</v>
      </c>
      <c r="H55" s="3040">
        <f>SUM(H50:H54)</f>
        <v>123546.29564</v>
      </c>
      <c r="I55" s="3040">
        <f>SUM(I50:I54)</f>
        <v>143117.09138999999</v>
      </c>
      <c r="J55" s="273"/>
      <c r="K55" s="273"/>
      <c r="L55" s="273"/>
      <c r="M55" s="273"/>
    </row>
    <row r="56" spans="1:13">
      <c r="A56" s="273">
        <v>2</v>
      </c>
      <c r="B56" s="312" t="s">
        <v>176</v>
      </c>
      <c r="C56" s="312"/>
      <c r="J56" s="273"/>
      <c r="K56" s="273"/>
      <c r="L56" s="273"/>
      <c r="M56" s="273"/>
    </row>
    <row r="57" spans="1:13">
      <c r="A57" s="273">
        <v>6</v>
      </c>
      <c r="B57" s="312" t="s">
        <v>183</v>
      </c>
      <c r="C57" s="312"/>
      <c r="J57" s="273"/>
      <c r="K57" s="273"/>
      <c r="L57" s="273"/>
      <c r="M57" s="273"/>
    </row>
    <row r="58" spans="1:13">
      <c r="C58" s="273">
        <v>6</v>
      </c>
      <c r="D58" s="2987" t="s">
        <v>128</v>
      </c>
      <c r="E58" s="3318">
        <v>2008</v>
      </c>
      <c r="F58" s="3318">
        <v>2009</v>
      </c>
      <c r="G58" s="3318">
        <v>2010</v>
      </c>
      <c r="H58" s="3318" t="s">
        <v>887</v>
      </c>
      <c r="I58" s="3318" t="s">
        <v>726</v>
      </c>
      <c r="J58" s="273"/>
      <c r="K58" s="273"/>
      <c r="L58" s="273"/>
      <c r="M58" s="273"/>
    </row>
    <row r="59" spans="1:13">
      <c r="D59" s="1981" t="s">
        <v>942</v>
      </c>
      <c r="E59" s="3040">
        <v>894617</v>
      </c>
      <c r="F59" s="3040">
        <v>855417</v>
      </c>
      <c r="G59" s="3040">
        <v>1248352</v>
      </c>
      <c r="H59" s="3040">
        <v>1444870</v>
      </c>
      <c r="I59" s="3040">
        <v>2280137</v>
      </c>
      <c r="J59" s="273"/>
      <c r="K59" s="273"/>
      <c r="L59" s="273"/>
      <c r="M59" s="273"/>
    </row>
    <row r="60" spans="1:13">
      <c r="D60" s="1981" t="s">
        <v>943</v>
      </c>
      <c r="E60" s="3040">
        <v>327946</v>
      </c>
      <c r="F60" s="3040">
        <v>374563</v>
      </c>
      <c r="G60" s="3040">
        <v>365363</v>
      </c>
      <c r="H60" s="3040">
        <v>297454</v>
      </c>
      <c r="I60" s="3040">
        <v>345038</v>
      </c>
      <c r="J60" s="273"/>
      <c r="K60" s="273"/>
      <c r="L60" s="273"/>
      <c r="M60" s="273"/>
    </row>
    <row r="61" spans="1:13">
      <c r="D61" s="1981" t="s">
        <v>944</v>
      </c>
      <c r="E61" s="3040"/>
      <c r="F61" s="3040"/>
      <c r="G61" s="3040"/>
      <c r="H61" s="3040"/>
      <c r="I61" s="3040">
        <v>0</v>
      </c>
      <c r="J61" s="273"/>
      <c r="K61" s="273"/>
      <c r="L61" s="273"/>
      <c r="M61" s="273"/>
    </row>
    <row r="62" spans="1:13">
      <c r="D62" s="1981" t="s">
        <v>945</v>
      </c>
      <c r="E62" s="3040">
        <v>263428</v>
      </c>
      <c r="F62" s="3040">
        <v>745398</v>
      </c>
      <c r="G62" s="3040">
        <v>337556</v>
      </c>
      <c r="H62" s="3040">
        <v>420341</v>
      </c>
      <c r="I62" s="3040">
        <v>544571</v>
      </c>
      <c r="J62" s="273"/>
      <c r="K62" s="273"/>
      <c r="L62" s="273"/>
      <c r="M62" s="273"/>
    </row>
    <row r="63" spans="1:13">
      <c r="D63" s="1981" t="s">
        <v>645</v>
      </c>
      <c r="E63" s="3040">
        <v>627103</v>
      </c>
      <c r="F63" s="3040">
        <v>722899</v>
      </c>
      <c r="G63" s="3040">
        <v>734089</v>
      </c>
      <c r="H63" s="3040">
        <v>783629</v>
      </c>
      <c r="I63" s="3040">
        <v>821135</v>
      </c>
      <c r="J63" s="273"/>
      <c r="K63" s="273"/>
      <c r="L63" s="273"/>
      <c r="M63" s="273"/>
    </row>
    <row r="64" spans="1:13">
      <c r="D64" s="3081" t="s">
        <v>118</v>
      </c>
      <c r="E64" s="3040">
        <f>SUM(E59:E63)</f>
        <v>2113094</v>
      </c>
      <c r="F64" s="3040">
        <f>SUM(F59:F63)</f>
        <v>2698277</v>
      </c>
      <c r="G64" s="3040">
        <f>SUM(G59:G63)</f>
        <v>2685360</v>
      </c>
      <c r="H64" s="3040">
        <f>SUM(H59:H63)</f>
        <v>2946294</v>
      </c>
      <c r="I64" s="3040">
        <f>SUM(I59:I63)</f>
        <v>3990881</v>
      </c>
      <c r="J64" s="273"/>
      <c r="K64" s="273"/>
      <c r="L64" s="273"/>
      <c r="M64" s="273"/>
    </row>
    <row r="65" spans="1:13">
      <c r="D65" s="278"/>
      <c r="E65" s="109"/>
      <c r="F65" s="109"/>
      <c r="G65" s="109"/>
      <c r="H65" s="109"/>
      <c r="I65" s="109"/>
      <c r="J65" s="273"/>
      <c r="K65" s="273"/>
      <c r="L65" s="273"/>
      <c r="M65" s="273"/>
    </row>
    <row r="66" spans="1:13">
      <c r="A66" s="273">
        <v>7</v>
      </c>
      <c r="B66" s="312" t="s">
        <v>184</v>
      </c>
      <c r="C66" s="312"/>
      <c r="J66" s="273"/>
      <c r="K66" s="273"/>
      <c r="L66" s="273"/>
      <c r="M66" s="273"/>
    </row>
    <row r="67" spans="1:13">
      <c r="C67" s="273">
        <v>7</v>
      </c>
      <c r="D67" s="2987" t="s">
        <v>129</v>
      </c>
      <c r="E67" s="3318">
        <v>2008</v>
      </c>
      <c r="F67" s="3318">
        <v>2009</v>
      </c>
      <c r="G67" s="3318">
        <v>2010</v>
      </c>
      <c r="H67" s="3318" t="s">
        <v>887</v>
      </c>
      <c r="I67" s="3318" t="s">
        <v>726</v>
      </c>
      <c r="J67" s="273"/>
      <c r="K67" s="273"/>
      <c r="L67" s="273"/>
      <c r="M67" s="273"/>
    </row>
    <row r="68" spans="1:13">
      <c r="D68" s="1981" t="s">
        <v>942</v>
      </c>
      <c r="E68" s="3050">
        <v>227.24</v>
      </c>
      <c r="F68" s="3050">
        <v>2144.1705000000002</v>
      </c>
      <c r="G68" s="3050">
        <v>4971.8130000000001</v>
      </c>
      <c r="H68" s="3050">
        <v>5182.7709999999997</v>
      </c>
      <c r="I68" s="3050">
        <v>7448.4920000000002</v>
      </c>
      <c r="J68" s="273"/>
      <c r="K68" s="273"/>
      <c r="L68" s="273"/>
      <c r="M68" s="273"/>
    </row>
    <row r="69" spans="1:13">
      <c r="D69" s="1981" t="s">
        <v>943</v>
      </c>
      <c r="E69" s="3050">
        <v>4695.7205400000003</v>
      </c>
      <c r="F69" s="3050">
        <v>3928.221</v>
      </c>
      <c r="G69" s="3050">
        <v>7692.8969999999999</v>
      </c>
      <c r="H69" s="3050">
        <v>4004.08</v>
      </c>
      <c r="I69" s="3050">
        <v>9116.3249800000012</v>
      </c>
      <c r="J69" s="273"/>
      <c r="K69" s="273"/>
      <c r="L69" s="273"/>
      <c r="M69" s="273"/>
    </row>
    <row r="70" spans="1:13">
      <c r="D70" s="1981" t="s">
        <v>944</v>
      </c>
      <c r="E70" s="3050">
        <v>585.35583999999994</v>
      </c>
      <c r="F70" s="3050">
        <v>1546.683</v>
      </c>
      <c r="G70" s="3050">
        <v>0</v>
      </c>
      <c r="H70" s="3050">
        <v>1144.0809999999999</v>
      </c>
      <c r="I70" s="3050">
        <v>1483.0840000000001</v>
      </c>
      <c r="J70" s="273"/>
      <c r="K70" s="273"/>
      <c r="L70" s="273"/>
      <c r="M70" s="273"/>
    </row>
    <row r="71" spans="1:13">
      <c r="D71" s="1981" t="s">
        <v>945</v>
      </c>
      <c r="E71" s="3050">
        <v>576.303</v>
      </c>
      <c r="F71" s="3050">
        <v>761.55100000000004</v>
      </c>
      <c r="G71" s="3050">
        <v>2145.0729999999999</v>
      </c>
      <c r="H71" s="3050">
        <v>3962.451</v>
      </c>
      <c r="I71" s="3050">
        <v>11836.109</v>
      </c>
      <c r="J71" s="273"/>
      <c r="K71" s="273"/>
      <c r="L71" s="273"/>
      <c r="M71" s="273"/>
    </row>
    <row r="72" spans="1:13">
      <c r="D72" s="1981" t="s">
        <v>645</v>
      </c>
      <c r="E72" s="3050">
        <f>+'[38]Sheet 3 - Long term Insurance'!$G$147+'[38]Sheet 3 - Long term Insurance'!$G$148</f>
        <v>3069.5109299999999</v>
      </c>
      <c r="F72" s="3050">
        <f>+'[38]Sheet 3 - Long term Insurance'!$F$147+'[38]Sheet 3 - Long term Insurance'!$F$148</f>
        <v>3501.933</v>
      </c>
      <c r="G72" s="3050">
        <f>+'[38]Sheet 3 - Long term Insurance'!$E$147+'[38]Sheet 3 - Long term Insurance'!$E$148</f>
        <v>4358.25</v>
      </c>
      <c r="H72" s="3050">
        <f>+'[38]Sheet 3 - Long term Insurance'!$D$147+'[38]Sheet 3 - Long term Insurance'!$D$148</f>
        <v>2914.4670700000001</v>
      </c>
      <c r="I72" s="3050">
        <f>+'[38]Sheet 3 - Long term Insurance'!$C$147+'[38]Sheet 3 - Long term Insurance'!$C$148</f>
        <v>6249.416400000001</v>
      </c>
      <c r="J72" s="273"/>
      <c r="K72" s="273"/>
      <c r="L72" s="273"/>
      <c r="M72" s="273"/>
    </row>
    <row r="73" spans="1:13">
      <c r="D73" s="3081" t="s">
        <v>118</v>
      </c>
      <c r="E73" s="3270">
        <f>SUM(E68:E72)</f>
        <v>9154.1303100000005</v>
      </c>
      <c r="F73" s="3270">
        <f>SUM(F68:F72)</f>
        <v>11882.558499999999</v>
      </c>
      <c r="G73" s="3270">
        <f>SUM(G68:G72)</f>
        <v>19168.032999999999</v>
      </c>
      <c r="H73" s="3270">
        <f>SUM(H68:H72)</f>
        <v>17207.850069999997</v>
      </c>
      <c r="I73" s="3270">
        <f>SUM(I68:I72)</f>
        <v>36133.426380000004</v>
      </c>
      <c r="J73" s="273"/>
      <c r="K73" s="273"/>
      <c r="L73" s="273"/>
      <c r="M73" s="273"/>
    </row>
    <row r="74" spans="1:13">
      <c r="D74" s="278"/>
      <c r="E74" s="109"/>
      <c r="F74" s="109"/>
      <c r="G74" s="109"/>
      <c r="H74" s="109"/>
      <c r="I74" s="109"/>
      <c r="J74" s="273"/>
      <c r="K74" s="273"/>
      <c r="L74" s="273"/>
      <c r="M74" s="273"/>
    </row>
    <row r="75" spans="1:13">
      <c r="A75" s="273">
        <v>8</v>
      </c>
      <c r="B75" s="312" t="s">
        <v>186</v>
      </c>
      <c r="C75" s="312"/>
      <c r="J75" s="273"/>
      <c r="K75" s="273"/>
      <c r="L75" s="273"/>
      <c r="M75" s="273"/>
    </row>
    <row r="76" spans="1:13">
      <c r="C76" s="273">
        <v>8</v>
      </c>
      <c r="D76" s="2987" t="s">
        <v>131</v>
      </c>
      <c r="E76" s="3318">
        <v>2008</v>
      </c>
      <c r="F76" s="3318">
        <v>2009</v>
      </c>
      <c r="G76" s="3318">
        <v>2010</v>
      </c>
      <c r="H76" s="3318" t="s">
        <v>887</v>
      </c>
      <c r="I76" s="3318" t="s">
        <v>726</v>
      </c>
      <c r="J76" s="273"/>
      <c r="K76" s="273"/>
      <c r="L76" s="273"/>
      <c r="M76" s="273"/>
    </row>
    <row r="77" spans="1:13">
      <c r="D77" s="1981" t="s">
        <v>942</v>
      </c>
      <c r="E77" s="3050">
        <v>5931.9589999999998</v>
      </c>
      <c r="F77" s="3050">
        <v>6544.9629999999997</v>
      </c>
      <c r="G77" s="3050">
        <v>14699.81</v>
      </c>
      <c r="H77" s="3050">
        <v>7384</v>
      </c>
      <c r="I77" s="3050">
        <v>125466</v>
      </c>
      <c r="J77" s="273"/>
      <c r="K77" s="273"/>
      <c r="L77" s="273"/>
      <c r="M77" s="273"/>
    </row>
    <row r="78" spans="1:13">
      <c r="D78" s="1981" t="s">
        <v>943</v>
      </c>
      <c r="E78" s="3050">
        <v>19437.215</v>
      </c>
      <c r="F78" s="3050">
        <v>35295.17</v>
      </c>
      <c r="G78" s="3050">
        <v>32509.137999999999</v>
      </c>
      <c r="H78" s="3050">
        <v>28185</v>
      </c>
      <c r="I78" s="3050">
        <v>55294</v>
      </c>
      <c r="J78" s="273"/>
      <c r="K78" s="273"/>
      <c r="L78" s="273"/>
      <c r="M78" s="273"/>
    </row>
    <row r="79" spans="1:13">
      <c r="D79" s="1981" t="s">
        <v>944</v>
      </c>
      <c r="E79" s="3050">
        <v>1395.383</v>
      </c>
      <c r="F79" s="3050">
        <v>391.35500000000002</v>
      </c>
      <c r="G79" s="3050">
        <v>649.28599999999994</v>
      </c>
      <c r="H79" s="3050">
        <v>1015</v>
      </c>
      <c r="I79" s="3050">
        <v>3025</v>
      </c>
      <c r="J79" s="273"/>
      <c r="K79" s="273"/>
      <c r="L79" s="273"/>
      <c r="M79" s="273"/>
    </row>
    <row r="80" spans="1:13">
      <c r="D80" s="1981" t="s">
        <v>945</v>
      </c>
      <c r="E80" s="3050">
        <v>16089.397999999999</v>
      </c>
      <c r="F80" s="3050">
        <v>26021.846000000001</v>
      </c>
      <c r="G80" s="3050">
        <v>14128.568579999999</v>
      </c>
      <c r="H80" s="3050">
        <v>17818</v>
      </c>
      <c r="I80" s="3050">
        <v>44099</v>
      </c>
      <c r="J80" s="273"/>
      <c r="K80" s="273"/>
      <c r="L80" s="273"/>
      <c r="M80" s="273"/>
    </row>
    <row r="81" spans="1:13">
      <c r="D81" s="1981" t="s">
        <v>645</v>
      </c>
      <c r="E81" s="3050">
        <v>8826.1749999999993</v>
      </c>
      <c r="F81" s="3050">
        <v>11369.449000000001</v>
      </c>
      <c r="G81" s="3050">
        <v>14877.454</v>
      </c>
      <c r="H81" s="3050">
        <v>8359</v>
      </c>
      <c r="I81" s="3050">
        <v>33886</v>
      </c>
      <c r="J81" s="273"/>
      <c r="K81" s="273"/>
      <c r="L81" s="273"/>
      <c r="M81" s="273"/>
    </row>
    <row r="82" spans="1:13">
      <c r="D82" s="3081" t="s">
        <v>118</v>
      </c>
      <c r="E82" s="3050">
        <f>SUM(E77:E81)</f>
        <v>51680.130000000005</v>
      </c>
      <c r="F82" s="3050">
        <f>SUM(F77:F81)</f>
        <v>79622.782999999996</v>
      </c>
      <c r="G82" s="3050">
        <f>SUM(G77:G81)</f>
        <v>76864.256580000001</v>
      </c>
      <c r="H82" s="3050">
        <f>SUM(H77:H81)</f>
        <v>62761</v>
      </c>
      <c r="I82" s="3050">
        <f>SUM(I77:I81)</f>
        <v>261770</v>
      </c>
      <c r="J82" s="273"/>
      <c r="K82" s="273"/>
      <c r="L82" s="273"/>
      <c r="M82" s="273"/>
    </row>
    <row r="83" spans="1:13">
      <c r="D83" s="278"/>
      <c r="E83" s="109"/>
      <c r="F83" s="109"/>
      <c r="G83" s="109"/>
      <c r="H83" s="109"/>
      <c r="I83" s="109"/>
      <c r="J83" s="273"/>
      <c r="K83" s="273"/>
      <c r="L83" s="273"/>
      <c r="M83" s="273"/>
    </row>
    <row r="84" spans="1:13">
      <c r="A84" s="273">
        <v>9</v>
      </c>
      <c r="B84" s="312" t="s">
        <v>187</v>
      </c>
      <c r="C84" s="312"/>
      <c r="J84" s="273"/>
      <c r="K84" s="273"/>
      <c r="L84" s="273"/>
      <c r="M84" s="273"/>
    </row>
    <row r="85" spans="1:13">
      <c r="C85" s="273">
        <v>9</v>
      </c>
      <c r="D85" s="2987" t="s">
        <v>132</v>
      </c>
      <c r="E85" s="3318">
        <v>2008</v>
      </c>
      <c r="F85" s="3318">
        <v>2009</v>
      </c>
      <c r="G85" s="3318">
        <v>2010</v>
      </c>
      <c r="H85" s="3318" t="s">
        <v>887</v>
      </c>
      <c r="I85" s="3318" t="s">
        <v>726</v>
      </c>
      <c r="J85" s="273"/>
      <c r="K85" s="273"/>
      <c r="L85" s="273"/>
      <c r="M85" s="273"/>
    </row>
    <row r="86" spans="1:13">
      <c r="D86" s="1981" t="s">
        <v>942</v>
      </c>
      <c r="E86" s="3050">
        <v>59828</v>
      </c>
      <c r="F86" s="3050">
        <v>59820</v>
      </c>
      <c r="G86" s="3050">
        <v>175377.26504</v>
      </c>
      <c r="H86" s="3050">
        <v>168854.50432000001</v>
      </c>
      <c r="I86" s="3050">
        <v>158067.0919</v>
      </c>
      <c r="J86" s="273"/>
      <c r="K86" s="273"/>
      <c r="L86" s="273"/>
      <c r="M86" s="273"/>
    </row>
    <row r="87" spans="1:13">
      <c r="D87" s="1981" t="s">
        <v>943</v>
      </c>
      <c r="E87" s="3050">
        <v>136558</v>
      </c>
      <c r="F87" s="3050">
        <v>161358</v>
      </c>
      <c r="G87" s="3050">
        <v>108073.09011999999</v>
      </c>
      <c r="H87" s="3050">
        <v>110877.26027999999</v>
      </c>
      <c r="I87" s="3050">
        <v>111405.12412000001</v>
      </c>
      <c r="J87" s="273"/>
      <c r="K87" s="273"/>
      <c r="L87" s="273"/>
      <c r="M87" s="273"/>
    </row>
    <row r="88" spans="1:13">
      <c r="D88" s="1981" t="s">
        <v>944</v>
      </c>
      <c r="E88" s="3270"/>
      <c r="F88" s="3270"/>
      <c r="G88" s="3270"/>
      <c r="H88" s="3270"/>
      <c r="I88" s="3270"/>
      <c r="J88" s="273"/>
      <c r="K88" s="273"/>
      <c r="L88" s="273"/>
      <c r="M88" s="273"/>
    </row>
    <row r="89" spans="1:13">
      <c r="D89" s="1981" t="s">
        <v>945</v>
      </c>
      <c r="E89" s="3050">
        <v>23090</v>
      </c>
      <c r="F89" s="3050">
        <v>0</v>
      </c>
      <c r="G89" s="3050">
        <v>25802.291970000002</v>
      </c>
      <c r="H89" s="3050">
        <v>25108.668239999999</v>
      </c>
      <c r="I89" s="3050">
        <v>52329.352119999996</v>
      </c>
      <c r="J89" s="273"/>
      <c r="K89" s="273"/>
      <c r="L89" s="273"/>
      <c r="M89" s="273"/>
    </row>
    <row r="90" spans="1:13">
      <c r="D90" s="1981" t="s">
        <v>645</v>
      </c>
      <c r="E90" s="3050">
        <v>74754</v>
      </c>
      <c r="F90" s="3050">
        <v>85249</v>
      </c>
      <c r="G90" s="3050">
        <v>128550.18586999999</v>
      </c>
      <c r="H90" s="3050">
        <v>120444.18767999999</v>
      </c>
      <c r="I90" s="3050">
        <v>110752.24109000001</v>
      </c>
      <c r="J90" s="273"/>
      <c r="K90" s="273"/>
      <c r="L90" s="273"/>
      <c r="M90" s="273"/>
    </row>
    <row r="91" spans="1:13">
      <c r="D91" s="3081" t="s">
        <v>118</v>
      </c>
      <c r="E91" s="3050">
        <f>SUM(E86:E90)</f>
        <v>294230</v>
      </c>
      <c r="F91" s="3050">
        <f>SUM(F86:F90)</f>
        <v>306427</v>
      </c>
      <c r="G91" s="3050">
        <f>SUM(G86:G90)</f>
        <v>437802.83299999998</v>
      </c>
      <c r="H91" s="3050">
        <f>SUM(H86:H90)</f>
        <v>425284.62052</v>
      </c>
      <c r="I91" s="3050">
        <f>SUM(I86:I90)</f>
        <v>432553.80923000001</v>
      </c>
      <c r="J91" s="273"/>
      <c r="K91" s="273"/>
      <c r="L91" s="273"/>
      <c r="M91" s="273"/>
    </row>
    <row r="92" spans="1:13">
      <c r="D92" s="278"/>
      <c r="E92" s="109"/>
      <c r="F92" s="109"/>
      <c r="G92" s="109"/>
      <c r="H92" s="109"/>
      <c r="I92" s="109"/>
      <c r="J92" s="273"/>
      <c r="K92" s="273"/>
      <c r="L92" s="273"/>
      <c r="M92" s="273"/>
    </row>
    <row r="93" spans="1:13">
      <c r="A93" s="273">
        <v>10</v>
      </c>
      <c r="B93" s="312" t="s">
        <v>188</v>
      </c>
      <c r="C93" s="312"/>
      <c r="J93" s="273"/>
      <c r="K93" s="273"/>
      <c r="L93" s="273"/>
      <c r="M93" s="273"/>
    </row>
    <row r="94" spans="1:13">
      <c r="C94" s="273">
        <v>10</v>
      </c>
      <c r="D94" s="2987" t="s">
        <v>106</v>
      </c>
      <c r="E94" s="3318">
        <v>2008</v>
      </c>
      <c r="F94" s="3318">
        <v>2009</v>
      </c>
      <c r="G94" s="3318">
        <v>2010</v>
      </c>
      <c r="H94" s="3318" t="s">
        <v>887</v>
      </c>
      <c r="I94" s="3318" t="s">
        <v>726</v>
      </c>
      <c r="J94" s="273"/>
      <c r="K94" s="273"/>
      <c r="L94" s="273"/>
      <c r="M94" s="273"/>
    </row>
    <row r="95" spans="1:13">
      <c r="D95" s="1981" t="s">
        <v>942</v>
      </c>
      <c r="E95" s="3270">
        <f>17480+'[45]Sheet 3 - Long term Insurance'!$G$144</f>
        <v>19270</v>
      </c>
      <c r="F95" s="3270">
        <f>22211+'[45]Sheet 3 - Long term Insurance'!$F$144</f>
        <v>30185</v>
      </c>
      <c r="G95" s="3270">
        <f>42864+'[45]Sheet 3 - Long term Insurance'!$E$144</f>
        <v>51270</v>
      </c>
      <c r="H95" s="3270">
        <v>75742</v>
      </c>
      <c r="I95" s="3270">
        <f>50298+'[45]Sheet 3 - Long term Insurance'!$C$144</f>
        <v>55481</v>
      </c>
      <c r="J95" s="273"/>
      <c r="K95" s="273"/>
      <c r="L95" s="273"/>
      <c r="M95" s="273"/>
    </row>
    <row r="96" spans="1:13">
      <c r="D96" s="1981" t="s">
        <v>943</v>
      </c>
      <c r="E96" s="3050">
        <v>11732</v>
      </c>
      <c r="F96" s="3050">
        <v>16381</v>
      </c>
      <c r="G96" s="3050">
        <v>6447</v>
      </c>
      <c r="H96" s="3050">
        <v>6430</v>
      </c>
      <c r="I96" s="3050">
        <v>7039</v>
      </c>
      <c r="J96" s="273"/>
      <c r="K96" s="273"/>
      <c r="L96" s="273"/>
      <c r="M96" s="273"/>
    </row>
    <row r="97" spans="1:13">
      <c r="D97" s="1981" t="s">
        <v>944</v>
      </c>
      <c r="E97" s="3322"/>
      <c r="F97" s="3322"/>
      <c r="G97" s="3322"/>
      <c r="H97" s="3322"/>
      <c r="I97" s="3322"/>
      <c r="J97" s="273"/>
      <c r="K97" s="273"/>
      <c r="L97" s="273"/>
      <c r="M97" s="273"/>
    </row>
    <row r="98" spans="1:13">
      <c r="D98" s="1981" t="s">
        <v>945</v>
      </c>
      <c r="E98" s="3050">
        <v>19918</v>
      </c>
      <c r="F98" s="3050">
        <v>1570</v>
      </c>
      <c r="G98" s="3050">
        <v>2878</v>
      </c>
      <c r="H98" s="3050">
        <v>7589</v>
      </c>
      <c r="I98" s="3050">
        <v>36679</v>
      </c>
      <c r="J98" s="273"/>
      <c r="K98" s="273"/>
      <c r="L98" s="273"/>
      <c r="M98" s="273"/>
    </row>
    <row r="99" spans="1:13">
      <c r="D99" s="1981" t="s">
        <v>645</v>
      </c>
      <c r="E99" s="3322"/>
      <c r="F99" s="3322"/>
      <c r="G99" s="3322"/>
      <c r="H99" s="3050">
        <v>11</v>
      </c>
      <c r="I99" s="3050">
        <v>120</v>
      </c>
      <c r="J99" s="273"/>
      <c r="K99" s="273"/>
      <c r="L99" s="273"/>
      <c r="M99" s="273"/>
    </row>
    <row r="100" spans="1:13">
      <c r="D100" s="3081" t="s">
        <v>118</v>
      </c>
      <c r="E100" s="3050">
        <f>SUM(E95:E99)</f>
        <v>50920</v>
      </c>
      <c r="F100" s="3050">
        <f>SUM(F95:F99)</f>
        <v>48136</v>
      </c>
      <c r="G100" s="3050">
        <f>SUM(G95:G99)</f>
        <v>60595</v>
      </c>
      <c r="H100" s="3050">
        <f>SUM(H95:H99)</f>
        <v>89772</v>
      </c>
      <c r="I100" s="3050">
        <f>SUM(I95:I99)</f>
        <v>99319</v>
      </c>
      <c r="J100" s="273"/>
      <c r="K100" s="273"/>
      <c r="L100" s="273"/>
      <c r="M100" s="273"/>
    </row>
    <row r="101" spans="1:13">
      <c r="D101" s="278"/>
      <c r="E101" s="109"/>
      <c r="F101" s="109"/>
      <c r="G101" s="109"/>
      <c r="H101" s="109"/>
      <c r="I101" s="109"/>
      <c r="J101" s="273"/>
      <c r="K101" s="273"/>
      <c r="L101" s="273"/>
      <c r="M101" s="273"/>
    </row>
    <row r="102" spans="1:13">
      <c r="A102" s="273">
        <v>11</v>
      </c>
      <c r="B102" s="312" t="s">
        <v>189</v>
      </c>
      <c r="C102" s="312"/>
      <c r="J102" s="273"/>
      <c r="K102" s="273"/>
      <c r="L102" s="273"/>
      <c r="M102" s="273"/>
    </row>
    <row r="103" spans="1:13">
      <c r="C103" s="273">
        <v>11</v>
      </c>
      <c r="D103" s="2987" t="s">
        <v>133</v>
      </c>
      <c r="E103" s="3318">
        <v>2008</v>
      </c>
      <c r="F103" s="3318">
        <v>2009</v>
      </c>
      <c r="G103" s="3318">
        <v>2010</v>
      </c>
      <c r="H103" s="3318" t="s">
        <v>887</v>
      </c>
      <c r="I103" s="3318" t="s">
        <v>726</v>
      </c>
      <c r="J103" s="273"/>
      <c r="K103" s="273"/>
      <c r="L103" s="273"/>
      <c r="M103" s="273"/>
    </row>
    <row r="104" spans="1:13">
      <c r="D104" s="1981" t="s">
        <v>942</v>
      </c>
      <c r="E104" s="3270"/>
      <c r="F104" s="3270"/>
      <c r="G104" s="3270"/>
      <c r="H104" s="3270"/>
      <c r="I104" s="3270"/>
      <c r="J104" s="273"/>
      <c r="K104" s="273"/>
      <c r="L104" s="273"/>
      <c r="M104" s="273"/>
    </row>
    <row r="105" spans="1:13">
      <c r="D105" s="1981" t="s">
        <v>943</v>
      </c>
      <c r="E105" s="3270"/>
      <c r="F105" s="3270"/>
      <c r="G105" s="3270"/>
      <c r="H105" s="3050">
        <v>553.65161999999998</v>
      </c>
      <c r="I105" s="3050">
        <v>2998.9527899999998</v>
      </c>
      <c r="J105" s="273"/>
      <c r="K105" s="273"/>
      <c r="L105" s="273"/>
      <c r="M105" s="273"/>
    </row>
    <row r="106" spans="1:13">
      <c r="D106" s="1981" t="s">
        <v>944</v>
      </c>
      <c r="E106" s="3270"/>
      <c r="F106" s="3270"/>
      <c r="G106" s="3270"/>
      <c r="H106" s="3050">
        <v>0</v>
      </c>
      <c r="I106" s="3050">
        <v>20.742999999999999</v>
      </c>
      <c r="J106" s="273"/>
      <c r="K106" s="273"/>
      <c r="L106" s="273"/>
      <c r="M106" s="273"/>
    </row>
    <row r="107" spans="1:13">
      <c r="D107" s="1981" t="s">
        <v>945</v>
      </c>
      <c r="E107" s="3270"/>
      <c r="F107" s="3270"/>
      <c r="G107" s="3270"/>
      <c r="H107" s="3050"/>
      <c r="I107" s="3050"/>
      <c r="J107" s="273"/>
      <c r="K107" s="273"/>
      <c r="L107" s="273"/>
      <c r="M107" s="273"/>
    </row>
    <row r="108" spans="1:13">
      <c r="D108" s="1981" t="s">
        <v>645</v>
      </c>
      <c r="E108" s="3270"/>
      <c r="F108" s="3270"/>
      <c r="G108" s="3270"/>
      <c r="H108" s="3050"/>
      <c r="I108" s="3050"/>
      <c r="J108" s="273"/>
      <c r="K108" s="273"/>
      <c r="L108" s="273"/>
      <c r="M108" s="273"/>
    </row>
    <row r="109" spans="1:13">
      <c r="D109" s="3081" t="s">
        <v>118</v>
      </c>
      <c r="E109" s="3270">
        <f>SUM(E104:E108)</f>
        <v>0</v>
      </c>
      <c r="F109" s="3270">
        <f>SUM(F104:F108)</f>
        <v>0</v>
      </c>
      <c r="G109" s="3270">
        <f>SUM(G104:G108)</f>
        <v>0</v>
      </c>
      <c r="H109" s="3050">
        <f>SUM(H104:H108)</f>
        <v>553.65161999999998</v>
      </c>
      <c r="I109" s="3050">
        <f>SUM(I104:I108)</f>
        <v>3019.6957899999998</v>
      </c>
      <c r="J109" s="273"/>
      <c r="K109" s="273"/>
      <c r="L109" s="273"/>
      <c r="M109" s="273"/>
    </row>
    <row r="110" spans="1:13">
      <c r="D110" s="278"/>
      <c r="E110" s="109"/>
      <c r="F110" s="109"/>
      <c r="G110" s="109"/>
      <c r="H110" s="109"/>
      <c r="I110" s="109"/>
      <c r="J110" s="273"/>
      <c r="K110" s="273"/>
      <c r="L110" s="273"/>
      <c r="M110" s="273"/>
    </row>
    <row r="111" spans="1:13">
      <c r="A111" s="273">
        <v>12</v>
      </c>
      <c r="B111" s="312" t="s">
        <v>190</v>
      </c>
      <c r="C111" s="312"/>
      <c r="J111" s="273"/>
      <c r="K111" s="273"/>
      <c r="L111" s="273"/>
      <c r="M111" s="273"/>
    </row>
    <row r="112" spans="1:13">
      <c r="C112" s="273">
        <v>12</v>
      </c>
      <c r="D112" s="2987" t="s">
        <v>109</v>
      </c>
      <c r="E112" s="3318">
        <v>2008</v>
      </c>
      <c r="F112" s="3318">
        <v>2009</v>
      </c>
      <c r="G112" s="3318">
        <v>2010</v>
      </c>
      <c r="H112" s="3318" t="s">
        <v>887</v>
      </c>
      <c r="I112" s="3318" t="s">
        <v>726</v>
      </c>
      <c r="J112" s="273"/>
      <c r="K112" s="273"/>
      <c r="L112" s="273"/>
      <c r="M112" s="273"/>
    </row>
    <row r="113" spans="3:13">
      <c r="D113" s="1981" t="s">
        <v>942</v>
      </c>
      <c r="E113" s="3295"/>
      <c r="F113" s="3295"/>
      <c r="G113" s="3295"/>
      <c r="H113" s="3295"/>
      <c r="I113" s="3295"/>
      <c r="J113" s="273"/>
      <c r="K113" s="273"/>
      <c r="L113" s="273"/>
      <c r="M113" s="273"/>
    </row>
    <row r="114" spans="3:13">
      <c r="D114" s="1981" t="s">
        <v>943</v>
      </c>
      <c r="E114" s="3323">
        <v>814.02200000000005</v>
      </c>
      <c r="F114" s="3323">
        <v>2920</v>
      </c>
      <c r="G114" s="3323">
        <v>585</v>
      </c>
      <c r="H114" s="3323">
        <v>3912.0360000000001</v>
      </c>
      <c r="I114" s="3323">
        <v>4025.8562000000002</v>
      </c>
      <c r="J114" s="273"/>
      <c r="K114" s="273"/>
      <c r="L114" s="273"/>
      <c r="M114" s="273"/>
    </row>
    <row r="115" spans="3:13">
      <c r="D115" s="1981" t="s">
        <v>944</v>
      </c>
      <c r="E115" s="3323">
        <v>1</v>
      </c>
      <c r="F115" s="3323">
        <v>100</v>
      </c>
      <c r="G115" s="3323">
        <v>68.22</v>
      </c>
      <c r="H115" s="3323">
        <v>60</v>
      </c>
      <c r="I115" s="3323">
        <v>75</v>
      </c>
      <c r="J115" s="273"/>
      <c r="K115" s="273"/>
      <c r="L115" s="273"/>
      <c r="M115" s="273"/>
    </row>
    <row r="116" spans="3:13">
      <c r="D116" s="1981" t="s">
        <v>945</v>
      </c>
      <c r="E116" s="3323">
        <v>0</v>
      </c>
      <c r="F116" s="3323">
        <v>427.23700000000002</v>
      </c>
      <c r="G116" s="3323">
        <v>359.113</v>
      </c>
      <c r="H116" s="3323">
        <v>490.964</v>
      </c>
      <c r="I116" s="3323">
        <v>1361.88</v>
      </c>
      <c r="J116" s="273"/>
      <c r="K116" s="273"/>
      <c r="L116" s="273"/>
      <c r="M116" s="273"/>
    </row>
    <row r="117" spans="3:13">
      <c r="D117" s="1981" t="s">
        <v>645</v>
      </c>
      <c r="E117" s="3295"/>
      <c r="F117" s="3295"/>
      <c r="G117" s="3295"/>
      <c r="H117" s="3295"/>
      <c r="I117" s="3295"/>
      <c r="J117" s="273"/>
      <c r="K117" s="273"/>
      <c r="L117" s="273"/>
      <c r="M117" s="273"/>
    </row>
    <row r="118" spans="3:13">
      <c r="D118" s="3081" t="s">
        <v>118</v>
      </c>
      <c r="E118" s="3050">
        <f>SUM(E113:E117)</f>
        <v>815.02200000000005</v>
      </c>
      <c r="F118" s="3050">
        <f>SUM(F113:F117)</f>
        <v>3447.2370000000001</v>
      </c>
      <c r="G118" s="3050">
        <f>SUM(G113:G117)</f>
        <v>1012.3330000000001</v>
      </c>
      <c r="H118" s="3050">
        <f>SUM(H113:H117)</f>
        <v>4463</v>
      </c>
      <c r="I118" s="3050">
        <f>SUM(I113:I117)</f>
        <v>5462.7362000000003</v>
      </c>
      <c r="J118" s="273"/>
      <c r="K118" s="273"/>
      <c r="L118" s="273"/>
      <c r="M118" s="273"/>
    </row>
    <row r="119" spans="3:13">
      <c r="D119" s="278"/>
      <c r="E119" s="109"/>
      <c r="F119" s="109"/>
      <c r="G119" s="109"/>
      <c r="H119" s="109"/>
      <c r="I119" s="109"/>
      <c r="J119" s="273"/>
      <c r="K119" s="273"/>
      <c r="L119" s="273"/>
      <c r="M119" s="273"/>
    </row>
    <row r="120" spans="3:13">
      <c r="D120" s="278"/>
      <c r="E120" s="109"/>
      <c r="F120" s="109"/>
      <c r="G120" s="109"/>
      <c r="H120" s="109"/>
      <c r="I120" s="109"/>
      <c r="J120" s="273"/>
      <c r="K120" s="273"/>
      <c r="L120" s="273"/>
      <c r="M120" s="273"/>
    </row>
    <row r="121" spans="3:13">
      <c r="C121" s="273">
        <v>13</v>
      </c>
      <c r="D121" s="2987" t="s">
        <v>134</v>
      </c>
      <c r="E121" s="3318">
        <v>2008</v>
      </c>
      <c r="F121" s="3318">
        <v>2009</v>
      </c>
      <c r="G121" s="3318">
        <v>2010</v>
      </c>
      <c r="H121" s="3318" t="s">
        <v>887</v>
      </c>
      <c r="I121" s="3318" t="s">
        <v>726</v>
      </c>
      <c r="J121" s="273"/>
      <c r="K121" s="273"/>
      <c r="L121" s="273"/>
      <c r="M121" s="273"/>
    </row>
    <row r="122" spans="3:13">
      <c r="D122" s="1981" t="s">
        <v>942</v>
      </c>
      <c r="E122" s="3055"/>
      <c r="F122" s="3055"/>
      <c r="G122" s="3055"/>
      <c r="H122" s="3055"/>
      <c r="I122" s="3055"/>
      <c r="J122" s="273"/>
      <c r="K122" s="273"/>
      <c r="L122" s="273"/>
      <c r="M122" s="273"/>
    </row>
    <row r="123" spans="3:13">
      <c r="D123" s="1981" t="s">
        <v>943</v>
      </c>
      <c r="E123" s="3055">
        <v>1009</v>
      </c>
      <c r="F123" s="3055">
        <v>1428</v>
      </c>
      <c r="G123" s="3055">
        <v>3360</v>
      </c>
      <c r="H123" s="3055">
        <v>6169</v>
      </c>
      <c r="I123" s="3055">
        <v>19925</v>
      </c>
      <c r="J123" s="273"/>
      <c r="K123" s="273"/>
      <c r="L123" s="273"/>
      <c r="M123" s="273"/>
    </row>
    <row r="124" spans="3:13">
      <c r="D124" s="1981" t="s">
        <v>944</v>
      </c>
      <c r="E124" s="3055"/>
      <c r="F124" s="3055"/>
      <c r="G124" s="3055"/>
      <c r="H124" s="3055"/>
      <c r="I124" s="3055">
        <v>971</v>
      </c>
      <c r="J124" s="273"/>
      <c r="K124" s="273"/>
      <c r="L124" s="273"/>
      <c r="M124" s="273"/>
    </row>
    <row r="125" spans="3:13">
      <c r="D125" s="1981" t="s">
        <v>945</v>
      </c>
      <c r="E125" s="3055">
        <v>26</v>
      </c>
      <c r="F125" s="3055">
        <v>143</v>
      </c>
      <c r="G125" s="3055">
        <v>663</v>
      </c>
      <c r="H125" s="3055">
        <v>1070</v>
      </c>
      <c r="I125" s="3055">
        <v>774</v>
      </c>
      <c r="J125" s="273"/>
      <c r="K125" s="273"/>
      <c r="L125" s="273"/>
      <c r="M125" s="273"/>
    </row>
    <row r="126" spans="3:13">
      <c r="D126" s="1981" t="s">
        <v>645</v>
      </c>
      <c r="E126" s="3055"/>
      <c r="F126" s="3055"/>
      <c r="G126" s="3055"/>
      <c r="H126" s="3055">
        <v>1000</v>
      </c>
      <c r="I126" s="3055">
        <v>1000</v>
      </c>
      <c r="J126" s="273"/>
      <c r="K126" s="273"/>
      <c r="L126" s="273"/>
      <c r="M126" s="273"/>
    </row>
    <row r="127" spans="3:13">
      <c r="D127" s="3081" t="s">
        <v>118</v>
      </c>
      <c r="E127" s="3055">
        <f>SUM(E122:E126)</f>
        <v>1035</v>
      </c>
      <c r="F127" s="3055">
        <f>SUM(F122:F126)</f>
        <v>1571</v>
      </c>
      <c r="G127" s="3055">
        <f>SUM(G122:G126)</f>
        <v>4023</v>
      </c>
      <c r="H127" s="3055">
        <f>SUM(H122:H126)</f>
        <v>8239</v>
      </c>
      <c r="I127" s="3055">
        <f>SUM(I122:I126)</f>
        <v>22670</v>
      </c>
      <c r="J127" s="273"/>
      <c r="K127" s="273"/>
      <c r="L127" s="273"/>
      <c r="M127" s="273"/>
    </row>
    <row r="128" spans="3:13">
      <c r="D128" s="278"/>
      <c r="E128" s="109"/>
      <c r="F128" s="109"/>
      <c r="G128" s="109"/>
      <c r="H128" s="109"/>
      <c r="I128" s="109"/>
      <c r="J128" s="273"/>
      <c r="K128" s="273"/>
      <c r="L128" s="273"/>
      <c r="M128" s="273"/>
    </row>
    <row r="129" spans="1:14">
      <c r="A129" s="273">
        <v>13</v>
      </c>
      <c r="B129" s="312" t="s">
        <v>193</v>
      </c>
      <c r="C129" s="312"/>
      <c r="J129" s="273"/>
      <c r="K129" s="273"/>
      <c r="L129" s="273"/>
      <c r="M129" s="273"/>
    </row>
    <row r="130" spans="1:14">
      <c r="C130" s="273">
        <v>14</v>
      </c>
      <c r="D130" s="2987" t="s">
        <v>115</v>
      </c>
      <c r="E130" s="3324">
        <v>2008</v>
      </c>
      <c r="F130" s="3324">
        <v>2009</v>
      </c>
      <c r="G130" s="3324">
        <v>2010</v>
      </c>
      <c r="H130" s="3324" t="s">
        <v>887</v>
      </c>
      <c r="I130" s="3324" t="s">
        <v>726</v>
      </c>
      <c r="J130" s="273"/>
      <c r="K130" s="273"/>
      <c r="L130" s="273"/>
      <c r="M130" s="273"/>
    </row>
    <row r="131" spans="1:14">
      <c r="D131" s="1981" t="s">
        <v>942</v>
      </c>
      <c r="E131" s="3055">
        <v>2847434.213</v>
      </c>
      <c r="F131" s="3055">
        <v>3106535.077</v>
      </c>
      <c r="G131" s="3055">
        <v>3820311.1558499997</v>
      </c>
      <c r="H131" s="3055">
        <v>3392747.932</v>
      </c>
      <c r="I131" s="3055">
        <v>3698363.7670900002</v>
      </c>
      <c r="J131" s="273"/>
      <c r="K131" s="273"/>
      <c r="L131" s="273"/>
      <c r="M131" s="273"/>
    </row>
    <row r="132" spans="1:14">
      <c r="D132" s="1981" t="s">
        <v>943</v>
      </c>
      <c r="E132" s="3055">
        <v>127431.08100000001</v>
      </c>
      <c r="F132" s="3055">
        <v>357673.74400000001</v>
      </c>
      <c r="G132" s="3055">
        <v>313811.75465999998</v>
      </c>
      <c r="H132" s="3055">
        <v>-50859.097000000002</v>
      </c>
      <c r="I132" s="3055">
        <v>-14824.701610000015</v>
      </c>
      <c r="J132" s="273"/>
      <c r="K132" s="273"/>
      <c r="L132" s="273"/>
      <c r="M132" s="273"/>
    </row>
    <row r="133" spans="1:14">
      <c r="D133" s="1981" t="s">
        <v>944</v>
      </c>
      <c r="E133" s="3055">
        <v>-7572.3580000000002</v>
      </c>
      <c r="F133" s="3055">
        <v>14910.134</v>
      </c>
      <c r="G133" s="3055">
        <v>1810.5457300000005</v>
      </c>
      <c r="H133" s="3055">
        <v>5374.2420000000002</v>
      </c>
      <c r="I133" s="3055">
        <v>9545.5225399999999</v>
      </c>
      <c r="J133" s="273"/>
      <c r="K133" s="273"/>
      <c r="L133" s="273"/>
      <c r="M133" s="273"/>
    </row>
    <row r="134" spans="1:14">
      <c r="D134" s="1981" t="s">
        <v>945</v>
      </c>
      <c r="E134" s="3055">
        <v>208345.193</v>
      </c>
      <c r="F134" s="3055">
        <v>176721.106</v>
      </c>
      <c r="G134" s="3055">
        <v>214120.77093</v>
      </c>
      <c r="H134" s="3055">
        <v>188937.29699999999</v>
      </c>
      <c r="I134" s="3055">
        <v>262456.93687999999</v>
      </c>
      <c r="J134" s="273"/>
      <c r="K134" s="273"/>
      <c r="L134" s="273"/>
      <c r="M134" s="273"/>
    </row>
    <row r="135" spans="1:14">
      <c r="D135" s="1981" t="s">
        <v>645</v>
      </c>
      <c r="E135" s="3055">
        <v>114207.98300000004</v>
      </c>
      <c r="F135" s="3055">
        <v>176145.50099999996</v>
      </c>
      <c r="G135" s="3055">
        <v>607620.98670999974</v>
      </c>
      <c r="H135" s="3055">
        <v>56617.343000000015</v>
      </c>
      <c r="I135" s="3055">
        <v>133690.20598</v>
      </c>
      <c r="J135" s="273"/>
      <c r="K135" s="273"/>
      <c r="L135" s="273"/>
      <c r="M135" s="273"/>
    </row>
    <row r="136" spans="1:14">
      <c r="D136" s="3081" t="s">
        <v>118</v>
      </c>
      <c r="E136" s="3055">
        <f>SUM(E131:E135)</f>
        <v>3289846.1119999997</v>
      </c>
      <c r="F136" s="3055">
        <f>SUM(F131:F135)</f>
        <v>3831985.5620000004</v>
      </c>
      <c r="G136" s="3055">
        <f>SUM(G131:G135)</f>
        <v>4957675.2138799997</v>
      </c>
      <c r="H136" s="3055">
        <f>SUM(H131:H135)</f>
        <v>3592817.7169999997</v>
      </c>
      <c r="I136" s="3055">
        <f>SUM(I131:I135)</f>
        <v>4089231.7308800002</v>
      </c>
      <c r="J136" s="273"/>
      <c r="K136" s="273"/>
      <c r="L136" s="273"/>
      <c r="M136" s="273"/>
    </row>
    <row r="137" spans="1:14">
      <c r="A137" s="273">
        <v>14</v>
      </c>
      <c r="B137" s="312" t="s">
        <v>194</v>
      </c>
      <c r="C137" s="312"/>
      <c r="J137" s="273"/>
      <c r="K137" s="273"/>
      <c r="L137" s="273"/>
      <c r="M137" s="273"/>
    </row>
    <row r="138" spans="1:14">
      <c r="A138" s="273">
        <v>15</v>
      </c>
      <c r="B138" s="312" t="s">
        <v>195</v>
      </c>
      <c r="C138" s="312"/>
      <c r="J138" s="273"/>
      <c r="K138" s="273"/>
      <c r="L138" s="273"/>
      <c r="M138" s="273"/>
    </row>
    <row r="139" spans="1:14">
      <c r="C139" s="273">
        <v>15</v>
      </c>
      <c r="D139" s="2987" t="s">
        <v>760</v>
      </c>
      <c r="E139" s="3324">
        <v>2008</v>
      </c>
      <c r="F139" s="3324">
        <v>2009</v>
      </c>
      <c r="G139" s="3324">
        <v>2010</v>
      </c>
      <c r="H139" s="3324" t="s">
        <v>887</v>
      </c>
      <c r="I139" s="3324" t="s">
        <v>726</v>
      </c>
      <c r="J139" s="273"/>
      <c r="K139" s="273"/>
      <c r="L139" s="273"/>
      <c r="M139" s="273"/>
    </row>
    <row r="140" spans="1:14">
      <c r="D140" s="1981" t="s">
        <v>942</v>
      </c>
      <c r="E140" s="3055">
        <v>266738</v>
      </c>
      <c r="F140" s="3055">
        <v>353436</v>
      </c>
      <c r="G140" s="3055">
        <v>556721</v>
      </c>
      <c r="H140" s="3055">
        <v>528575</v>
      </c>
      <c r="I140" s="3055">
        <v>787244</v>
      </c>
      <c r="J140" s="273"/>
      <c r="K140" s="273"/>
      <c r="L140" s="273"/>
      <c r="M140" s="273"/>
    </row>
    <row r="141" spans="1:14">
      <c r="D141" s="1981" t="s">
        <v>943</v>
      </c>
      <c r="E141" s="3055">
        <v>109278</v>
      </c>
      <c r="F141" s="2020">
        <v>125536</v>
      </c>
      <c r="G141" s="2020">
        <v>124993</v>
      </c>
      <c r="H141" s="2020">
        <v>156762</v>
      </c>
      <c r="I141" s="2020">
        <v>266039</v>
      </c>
      <c r="J141" s="273"/>
      <c r="K141" s="273"/>
      <c r="L141" s="273"/>
      <c r="M141" s="273"/>
      <c r="N141" s="3941"/>
    </row>
    <row r="142" spans="1:14">
      <c r="D142" s="1981" t="s">
        <v>944</v>
      </c>
      <c r="E142" s="3055">
        <v>0</v>
      </c>
      <c r="F142" s="2020">
        <v>0</v>
      </c>
      <c r="G142" s="2020">
        <v>0</v>
      </c>
      <c r="H142" s="2020">
        <v>0</v>
      </c>
      <c r="I142" s="2020">
        <v>0</v>
      </c>
      <c r="J142" s="273"/>
      <c r="K142" s="273"/>
      <c r="L142" s="273"/>
      <c r="M142" s="273"/>
      <c r="N142" s="3941"/>
    </row>
    <row r="143" spans="1:14">
      <c r="D143" s="1981" t="s">
        <v>945</v>
      </c>
      <c r="E143" s="3055">
        <v>78848</v>
      </c>
      <c r="F143" s="3055">
        <v>103248</v>
      </c>
      <c r="G143" s="3055">
        <v>103984</v>
      </c>
      <c r="H143" s="3055">
        <v>103494</v>
      </c>
      <c r="I143" s="3055">
        <v>135847</v>
      </c>
      <c r="J143" s="273"/>
      <c r="K143" s="273"/>
      <c r="L143" s="273"/>
      <c r="M143" s="273"/>
    </row>
    <row r="144" spans="1:14">
      <c r="D144" s="1981" t="s">
        <v>645</v>
      </c>
      <c r="E144" s="3055">
        <v>-19548</v>
      </c>
      <c r="F144" s="3055">
        <v>-20645</v>
      </c>
      <c r="G144" s="3055">
        <v>-70087</v>
      </c>
      <c r="H144" s="3055">
        <v>-41314</v>
      </c>
      <c r="I144" s="3055">
        <v>-47935</v>
      </c>
      <c r="J144" s="273"/>
      <c r="K144" s="273"/>
      <c r="L144" s="273"/>
      <c r="M144" s="273"/>
    </row>
    <row r="145" spans="4:14">
      <c r="D145" s="3081" t="s">
        <v>118</v>
      </c>
      <c r="E145" s="3055">
        <f>SUM(E140:E144)</f>
        <v>435316</v>
      </c>
      <c r="F145" s="3055">
        <f>SUM(F140:F144)</f>
        <v>561575</v>
      </c>
      <c r="G145" s="3055">
        <f>SUM(G140:G144)</f>
        <v>715611</v>
      </c>
      <c r="H145" s="3055">
        <f>SUM(H140:H144)</f>
        <v>747517</v>
      </c>
      <c r="I145" s="3055">
        <f>SUM(I140:I144)</f>
        <v>1141195</v>
      </c>
      <c r="J145" s="273"/>
      <c r="K145" s="273"/>
      <c r="L145" s="273"/>
      <c r="M145" s="273"/>
    </row>
    <row r="146" spans="4:14">
      <c r="J146" s="273"/>
      <c r="K146" s="273"/>
      <c r="L146" s="273"/>
      <c r="M146" s="273"/>
    </row>
    <row r="147" spans="4:14">
      <c r="J147" s="273"/>
      <c r="K147" s="273"/>
      <c r="L147" s="273"/>
      <c r="M147" s="273"/>
    </row>
    <row r="148" spans="4:14">
      <c r="J148" s="157"/>
      <c r="K148" s="157"/>
      <c r="L148" s="157"/>
      <c r="M148" s="157"/>
      <c r="N148" s="157"/>
    </row>
    <row r="149" spans="4:14">
      <c r="J149" s="273"/>
      <c r="K149" s="273"/>
      <c r="L149" s="273"/>
      <c r="M149" s="273"/>
    </row>
    <row r="150" spans="4:14">
      <c r="J150" s="273"/>
      <c r="K150" s="273"/>
      <c r="L150" s="273"/>
      <c r="M150" s="273"/>
    </row>
    <row r="151" spans="4:14">
      <c r="J151" s="273"/>
      <c r="K151" s="273"/>
      <c r="L151" s="273"/>
      <c r="M151" s="273"/>
    </row>
    <row r="152" spans="4:14">
      <c r="J152" s="273"/>
      <c r="K152" s="273"/>
      <c r="L152" s="273"/>
      <c r="M152" s="273"/>
    </row>
  </sheetData>
  <customSheetViews>
    <customSheetView guid="{5E394B0B-7867-4722-9497-A93AB2A9A773}" showPageBreaks="1" printArea="1" hiddenColumns="1" state="hidden" topLeftCell="C1">
      <selection activeCell="H83" sqref="H83"/>
      <rowBreaks count="2" manualBreakCount="2">
        <brk id="55" max="8" man="1"/>
        <brk id="109" max="8" man="1"/>
      </rowBreaks>
      <pageMargins left="0" right="0" top="0" bottom="0" header="0" footer="0"/>
      <pageSetup scale="82" orientation="portrait" r:id="rId1"/>
    </customSheetView>
    <customSheetView guid="{B1E1B596-A9A1-411D-A882-A48CB025B978}" showPageBreaks="1" printArea="1" hiddenColumns="1" state="hidden" topLeftCell="C1">
      <selection activeCell="H83" sqref="H83"/>
      <rowBreaks count="2" manualBreakCount="2">
        <brk id="55" max="8" man="1"/>
        <brk id="109" max="8" man="1"/>
      </rowBreaks>
      <pageMargins left="0" right="0" top="0" bottom="0" header="0" footer="0"/>
      <pageSetup scale="82" orientation="portrait" r:id="rId2"/>
    </customSheetView>
    <customSheetView guid="{E82B35BE-4719-4C53-A9EF-1CC6F153A6F3}" showPageBreaks="1" printArea="1" hiddenColumns="1" topLeftCell="C16">
      <selection activeCell="D2" sqref="D2"/>
      <rowBreaks count="2" manualBreakCount="2">
        <brk id="55" max="8" man="1"/>
        <brk id="109" max="8" man="1"/>
      </rowBreaks>
      <pageMargins left="0" right="0" top="0" bottom="0" header="0" footer="0"/>
      <pageSetup scale="82" orientation="portrait" r:id="rId3"/>
    </customSheetView>
    <customSheetView guid="{46F31544-8E6F-41C5-8628-1D6EE074AF15}" hiddenColumns="1" state="hidden" topLeftCell="C1">
      <selection activeCell="H83" sqref="H83"/>
      <rowBreaks count="2" manualBreakCount="2">
        <brk id="55" max="8" man="1"/>
        <brk id="109" max="8" man="1"/>
      </rowBreaks>
      <pageMargins left="0" right="0" top="0" bottom="0" header="0" footer="0"/>
      <pageSetup scale="82" orientation="portrait" r:id="rId4"/>
    </customSheetView>
    <customSheetView guid="{B2E1A0C6-5BA1-4CF1-B412-16D81FCDF11F}" showPageBreaks="1" printArea="1" hiddenColumns="1" state="hidden" topLeftCell="C1">
      <selection activeCell="H83" sqref="H83"/>
      <rowBreaks count="2" manualBreakCount="2">
        <brk id="55" max="8" man="1"/>
        <brk id="109" max="8" man="1"/>
      </rowBreaks>
      <pageMargins left="0" right="0" top="0" bottom="0" header="0" footer="0"/>
      <pageSetup scale="82" orientation="portrait" r:id="rId5"/>
    </customSheetView>
    <customSheetView guid="{967E0446-E234-427F-8E57-7FE287052E2E}" showPageBreaks="1" printArea="1" hiddenColumns="1" state="hidden" topLeftCell="C1">
      <selection activeCell="H83" sqref="H83"/>
      <rowBreaks count="2" manualBreakCount="2">
        <brk id="55" max="8" man="1"/>
        <brk id="109" max="8" man="1"/>
      </rowBreaks>
      <pageMargins left="0" right="0" top="0" bottom="0" header="0" footer="0"/>
      <pageSetup scale="82" orientation="portrait" r:id="rId6"/>
    </customSheetView>
    <customSheetView guid="{2ACFE167-4169-43A6-9AB2-59D5A2DA2DB4}" showPageBreaks="1" printArea="1" hiddenColumns="1" state="hidden" topLeftCell="C1">
      <selection activeCell="H83" sqref="H83"/>
      <rowBreaks count="2" manualBreakCount="2">
        <brk id="55" max="8" man="1"/>
        <brk id="109" max="8" man="1"/>
      </rowBreaks>
      <pageMargins left="0" right="0" top="0" bottom="0" header="0" footer="0"/>
      <pageSetup scale="82" orientation="portrait" r:id="rId7"/>
    </customSheetView>
  </customSheetViews>
  <mergeCells count="1">
    <mergeCell ref="N141:N142"/>
  </mergeCells>
  <pageMargins left="0.7" right="0.7" top="0.75" bottom="0.75" header="0.3" footer="0.3"/>
  <pageSetup scale="82" orientation="portrait" r:id="rId8"/>
  <rowBreaks count="2" manualBreakCount="2">
    <brk id="55" max="8" man="1"/>
    <brk id="109" max="8" man="1"/>
  </rowBreaks>
  <ignoredErrors>
    <ignoredError sqref="I109 I145 I136 I118" formulaRange="1"/>
  </ignoredErrors>
  <legacyDrawing r:id="rId9"/>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2:M145"/>
  <sheetViews>
    <sheetView topLeftCell="C1" workbookViewId="0">
      <selection activeCell="H83" sqref="H83"/>
    </sheetView>
  </sheetViews>
  <sheetFormatPr defaultColWidth="9.140625" defaultRowHeight="15"/>
  <cols>
    <col min="1" max="1" width="9.42578125" style="81" hidden="1" customWidth="1"/>
    <col min="2" max="2" width="9.140625" style="81" hidden="1" customWidth="1"/>
    <col min="3" max="3" width="4.42578125" style="81" customWidth="1"/>
    <col min="4" max="4" width="41.28515625" style="81" bestFit="1" customWidth="1"/>
    <col min="5" max="6" width="11.5703125" style="81" bestFit="1" customWidth="1"/>
    <col min="7" max="7" width="12.42578125" style="81" customWidth="1"/>
    <col min="8" max="9" width="12.7109375" style="81" customWidth="1"/>
    <col min="10" max="13" width="8.85546875" customWidth="1"/>
    <col min="14" max="16384" width="9.140625" style="81"/>
  </cols>
  <sheetData>
    <row r="2" spans="3:9">
      <c r="D2" s="314" t="s">
        <v>955</v>
      </c>
    </row>
    <row r="4" spans="3:9">
      <c r="D4" s="3317" t="s">
        <v>656</v>
      </c>
      <c r="E4" s="3200">
        <v>2009</v>
      </c>
      <c r="F4" s="3200">
        <v>2010</v>
      </c>
      <c r="G4" s="3081">
        <v>2011</v>
      </c>
      <c r="H4" s="3081" t="s">
        <v>206</v>
      </c>
      <c r="I4" s="3081" t="s">
        <v>207</v>
      </c>
    </row>
    <row r="5" spans="3:9">
      <c r="D5" s="1981" t="s">
        <v>942</v>
      </c>
      <c r="E5" s="3270">
        <v>56911</v>
      </c>
      <c r="F5" s="3270">
        <v>85432</v>
      </c>
      <c r="G5" s="3270">
        <v>96116</v>
      </c>
      <c r="H5" s="3270">
        <v>100256</v>
      </c>
      <c r="I5" s="3270"/>
    </row>
    <row r="6" spans="3:9">
      <c r="D6" s="1981" t="s">
        <v>943</v>
      </c>
      <c r="E6" s="3270">
        <v>4371</v>
      </c>
      <c r="F6" s="3270">
        <v>5004</v>
      </c>
      <c r="G6" s="3270">
        <v>4283</v>
      </c>
      <c r="H6" s="3270">
        <v>4330</v>
      </c>
      <c r="I6" s="3270"/>
    </row>
    <row r="7" spans="3:9">
      <c r="D7" s="1981" t="s">
        <v>944</v>
      </c>
      <c r="E7" s="3270">
        <v>442</v>
      </c>
      <c r="F7" s="3270">
        <v>628</v>
      </c>
      <c r="G7" s="3270">
        <v>569</v>
      </c>
      <c r="H7" s="3270">
        <v>579</v>
      </c>
      <c r="I7" s="3270"/>
    </row>
    <row r="8" spans="3:9">
      <c r="D8" s="1981" t="s">
        <v>945</v>
      </c>
      <c r="E8" s="3270">
        <v>26639</v>
      </c>
      <c r="F8" s="3270">
        <v>25447</v>
      </c>
      <c r="G8" s="3270">
        <v>25459</v>
      </c>
      <c r="H8" s="3270">
        <v>24266</v>
      </c>
      <c r="I8" s="3270"/>
    </row>
    <row r="9" spans="3:9">
      <c r="D9" s="1981" t="s">
        <v>946</v>
      </c>
      <c r="E9" s="3270">
        <v>34768</v>
      </c>
      <c r="F9" s="3270">
        <v>38661</v>
      </c>
      <c r="G9" s="3270">
        <v>41901</v>
      </c>
      <c r="H9" s="3270">
        <v>50424</v>
      </c>
      <c r="I9" s="3270"/>
    </row>
    <row r="10" spans="3:9">
      <c r="D10" s="3084" t="s">
        <v>118</v>
      </c>
      <c r="E10" s="3319">
        <f>SUM(E5:E9)</f>
        <v>123131</v>
      </c>
      <c r="F10" s="3319">
        <f>SUM(F5:F9)</f>
        <v>155172</v>
      </c>
      <c r="G10" s="3319">
        <f>SUM(G5:G9)</f>
        <v>168328</v>
      </c>
      <c r="H10" s="3319">
        <f>SUM(H5:H9)</f>
        <v>179855</v>
      </c>
      <c r="I10" s="3319">
        <f>SUM(I5:I9)</f>
        <v>0</v>
      </c>
    </row>
    <row r="11" spans="3:9">
      <c r="D11" s="315"/>
      <c r="E11" s="313"/>
      <c r="F11" s="313"/>
      <c r="G11" s="313"/>
      <c r="H11" s="313"/>
      <c r="I11" s="313"/>
    </row>
    <row r="12" spans="3:9">
      <c r="E12" s="256"/>
      <c r="F12" s="256"/>
      <c r="G12" s="256"/>
      <c r="H12" s="256"/>
      <c r="I12" s="256"/>
    </row>
    <row r="13" spans="3:9">
      <c r="C13" s="81">
        <v>1</v>
      </c>
      <c r="D13" s="2107" t="s">
        <v>125</v>
      </c>
      <c r="E13" s="3200">
        <v>2009</v>
      </c>
      <c r="F13" s="3200">
        <v>2010</v>
      </c>
      <c r="G13" s="3081">
        <v>2011</v>
      </c>
      <c r="H13" s="3081" t="s">
        <v>206</v>
      </c>
      <c r="I13" s="3081" t="s">
        <v>207</v>
      </c>
    </row>
    <row r="14" spans="3:9">
      <c r="D14" s="1981" t="s">
        <v>942</v>
      </c>
      <c r="E14" s="3040">
        <v>4362</v>
      </c>
      <c r="F14" s="3040">
        <v>4842</v>
      </c>
      <c r="G14" s="3040">
        <v>6836</v>
      </c>
      <c r="H14" s="3040">
        <v>5030</v>
      </c>
      <c r="I14" s="3040"/>
    </row>
    <row r="15" spans="3:9">
      <c r="D15" s="1981" t="s">
        <v>943</v>
      </c>
      <c r="E15" s="3040">
        <v>498</v>
      </c>
      <c r="F15" s="3040">
        <v>560</v>
      </c>
      <c r="G15" s="3040">
        <v>421</v>
      </c>
      <c r="H15" s="3040">
        <v>354</v>
      </c>
      <c r="I15" s="3040"/>
    </row>
    <row r="16" spans="3:9">
      <c r="D16" s="1981" t="s">
        <v>944</v>
      </c>
      <c r="E16" s="3040">
        <v>71</v>
      </c>
      <c r="F16" s="3040">
        <v>49</v>
      </c>
      <c r="G16" s="3040">
        <v>39</v>
      </c>
      <c r="H16" s="3040">
        <v>44</v>
      </c>
      <c r="I16" s="3040"/>
    </row>
    <row r="17" spans="3:9">
      <c r="D17" s="1981" t="s">
        <v>945</v>
      </c>
      <c r="E17" s="3040">
        <v>10587</v>
      </c>
      <c r="F17" s="3040">
        <v>11050</v>
      </c>
      <c r="G17" s="3040">
        <v>9316</v>
      </c>
      <c r="H17" s="3040">
        <v>7377</v>
      </c>
      <c r="I17" s="3040"/>
    </row>
    <row r="18" spans="3:9">
      <c r="D18" s="1981" t="s">
        <v>946</v>
      </c>
      <c r="E18" s="3040"/>
      <c r="F18" s="3040"/>
      <c r="G18" s="3040"/>
      <c r="H18" s="3040"/>
      <c r="I18" s="3040"/>
    </row>
    <row r="19" spans="3:9">
      <c r="D19" s="3084" t="s">
        <v>118</v>
      </c>
      <c r="E19" s="3040">
        <f>SUM(E14:E18)</f>
        <v>15518</v>
      </c>
      <c r="F19" s="3040">
        <f>SUM(F14:F18)</f>
        <v>16501</v>
      </c>
      <c r="G19" s="3040">
        <f>SUM(G14:G18)</f>
        <v>16612</v>
      </c>
      <c r="H19" s="3040">
        <f>SUM(H14:H18)</f>
        <v>12805</v>
      </c>
      <c r="I19" s="3040">
        <f>SUM(I14:I18)</f>
        <v>0</v>
      </c>
    </row>
    <row r="20" spans="3:9">
      <c r="D20" s="315"/>
      <c r="E20" s="109"/>
      <c r="F20" s="109"/>
      <c r="G20" s="109"/>
      <c r="H20" s="109"/>
      <c r="I20" s="109"/>
    </row>
    <row r="21" spans="3:9">
      <c r="D21" s="315"/>
      <c r="E21" s="109"/>
      <c r="F21" s="109"/>
      <c r="G21" s="109"/>
      <c r="H21" s="109"/>
      <c r="I21" s="109"/>
    </row>
    <row r="22" spans="3:9">
      <c r="C22" s="81">
        <v>2</v>
      </c>
      <c r="D22" s="3325" t="s">
        <v>93</v>
      </c>
      <c r="E22" s="3200">
        <v>2009</v>
      </c>
      <c r="F22" s="3200">
        <v>2010</v>
      </c>
      <c r="G22" s="3081">
        <v>2011</v>
      </c>
      <c r="H22" s="3081" t="s">
        <v>206</v>
      </c>
      <c r="I22" s="3081" t="s">
        <v>207</v>
      </c>
    </row>
    <row r="23" spans="3:9">
      <c r="D23" s="1981" t="s">
        <v>942</v>
      </c>
      <c r="E23" s="3040">
        <v>0</v>
      </c>
      <c r="F23" s="3040">
        <v>0</v>
      </c>
      <c r="G23" s="3040">
        <v>0</v>
      </c>
      <c r="H23" s="3040">
        <v>0</v>
      </c>
      <c r="I23" s="3040"/>
    </row>
    <row r="24" spans="3:9">
      <c r="D24" s="1981" t="s">
        <v>943</v>
      </c>
      <c r="E24" s="3040">
        <v>0</v>
      </c>
      <c r="F24" s="3040">
        <v>5</v>
      </c>
      <c r="G24" s="3040">
        <v>8</v>
      </c>
      <c r="H24" s="3040">
        <v>11</v>
      </c>
      <c r="I24" s="3040"/>
    </row>
    <row r="25" spans="3:9">
      <c r="D25" s="1981" t="s">
        <v>944</v>
      </c>
      <c r="E25" s="3040">
        <v>0</v>
      </c>
      <c r="F25" s="3040">
        <v>2</v>
      </c>
      <c r="G25" s="3040">
        <v>0</v>
      </c>
      <c r="H25" s="3040">
        <v>3</v>
      </c>
      <c r="I25" s="3040"/>
    </row>
    <row r="26" spans="3:9">
      <c r="D26" s="1981" t="s">
        <v>945</v>
      </c>
      <c r="E26" s="3040">
        <v>0</v>
      </c>
      <c r="F26" s="3040">
        <v>0</v>
      </c>
      <c r="G26" s="3040">
        <v>0</v>
      </c>
      <c r="H26" s="3040">
        <v>8</v>
      </c>
      <c r="I26" s="3040"/>
    </row>
    <row r="27" spans="3:9">
      <c r="D27" s="1981" t="s">
        <v>946</v>
      </c>
      <c r="E27" s="3040">
        <v>38</v>
      </c>
      <c r="F27" s="3040">
        <v>244</v>
      </c>
      <c r="G27" s="3040">
        <v>382</v>
      </c>
      <c r="H27" s="3040">
        <v>894</v>
      </c>
      <c r="I27" s="3040"/>
    </row>
    <row r="28" spans="3:9" ht="16.5" customHeight="1">
      <c r="D28" s="3084" t="s">
        <v>118</v>
      </c>
      <c r="E28" s="3040">
        <f>SUM(E23:E27)</f>
        <v>38</v>
      </c>
      <c r="F28" s="3040">
        <f>SUM(F23:F27)</f>
        <v>251</v>
      </c>
      <c r="G28" s="3040">
        <f>SUM(G23:G27)</f>
        <v>390</v>
      </c>
      <c r="H28" s="3040">
        <f>SUM(H23:H27)</f>
        <v>916</v>
      </c>
      <c r="I28" s="3040">
        <f>SUM(I23:I27)</f>
        <v>0</v>
      </c>
    </row>
    <row r="29" spans="3:9" ht="16.5" customHeight="1">
      <c r="D29" s="315"/>
      <c r="E29" s="109"/>
      <c r="F29" s="109"/>
      <c r="G29" s="109"/>
      <c r="H29" s="109"/>
      <c r="I29" s="109"/>
    </row>
    <row r="30" spans="3:9" ht="16.5" customHeight="1">
      <c r="D30" s="315"/>
      <c r="E30" s="109"/>
      <c r="F30" s="109"/>
      <c r="G30" s="109"/>
      <c r="H30" s="109"/>
      <c r="I30" s="109"/>
    </row>
    <row r="31" spans="3:9">
      <c r="C31" s="81">
        <v>3</v>
      </c>
      <c r="D31" s="3325" t="s">
        <v>126</v>
      </c>
      <c r="E31" s="3200">
        <v>2009</v>
      </c>
      <c r="F31" s="3200">
        <v>2010</v>
      </c>
      <c r="G31" s="3081">
        <v>2011</v>
      </c>
      <c r="H31" s="3081" t="s">
        <v>206</v>
      </c>
      <c r="I31" s="3081" t="s">
        <v>207</v>
      </c>
    </row>
    <row r="32" spans="3:9">
      <c r="D32" s="1981" t="s">
        <v>942</v>
      </c>
      <c r="E32" s="3040">
        <v>0</v>
      </c>
      <c r="F32" s="3040">
        <v>33</v>
      </c>
      <c r="G32" s="3040">
        <v>42</v>
      </c>
      <c r="H32" s="3040">
        <v>44</v>
      </c>
      <c r="I32" s="3040"/>
    </row>
    <row r="33" spans="1:9">
      <c r="D33" s="1981" t="s">
        <v>943</v>
      </c>
      <c r="E33" s="3040">
        <v>5</v>
      </c>
      <c r="F33" s="3040">
        <v>3</v>
      </c>
      <c r="G33" s="3040">
        <v>7</v>
      </c>
      <c r="H33" s="3040">
        <v>2</v>
      </c>
      <c r="I33" s="3040"/>
    </row>
    <row r="34" spans="1:9">
      <c r="D34" s="1981" t="s">
        <v>944</v>
      </c>
      <c r="E34" s="3040">
        <v>0</v>
      </c>
      <c r="F34" s="3040">
        <v>0</v>
      </c>
      <c r="G34" s="3040">
        <v>0</v>
      </c>
      <c r="H34" s="3040">
        <v>0</v>
      </c>
      <c r="I34" s="3040"/>
    </row>
    <row r="35" spans="1:9">
      <c r="D35" s="1981" t="s">
        <v>945</v>
      </c>
      <c r="E35" s="3040">
        <v>2236</v>
      </c>
      <c r="F35" s="3040">
        <v>1487</v>
      </c>
      <c r="G35" s="3040">
        <v>2894</v>
      </c>
      <c r="H35" s="3040">
        <v>1841</v>
      </c>
      <c r="I35" s="3040"/>
    </row>
    <row r="36" spans="1:9">
      <c r="D36" s="1981" t="s">
        <v>946</v>
      </c>
      <c r="E36" s="3040"/>
      <c r="F36" s="3040"/>
      <c r="G36" s="3040">
        <v>0</v>
      </c>
      <c r="H36" s="3040">
        <v>0</v>
      </c>
      <c r="I36" s="3040"/>
    </row>
    <row r="37" spans="1:9">
      <c r="D37" s="3084" t="s">
        <v>118</v>
      </c>
      <c r="E37" s="3040">
        <f>SUM(E32:E36)</f>
        <v>2241</v>
      </c>
      <c r="F37" s="3040">
        <f>SUM(F32:F36)</f>
        <v>1523</v>
      </c>
      <c r="G37" s="3040">
        <f>SUM(G32:G36)</f>
        <v>2943</v>
      </c>
      <c r="H37" s="3040">
        <f>SUM(H32:H36)</f>
        <v>1887</v>
      </c>
      <c r="I37" s="3040">
        <f>SUM(I32:I36)</f>
        <v>0</v>
      </c>
    </row>
    <row r="38" spans="1:9">
      <c r="D38" s="315"/>
      <c r="E38" s="109"/>
      <c r="F38" s="109"/>
      <c r="G38" s="109"/>
      <c r="H38" s="109"/>
      <c r="I38" s="109"/>
    </row>
    <row r="39" spans="1:9">
      <c r="D39" s="315"/>
      <c r="E39" s="109"/>
      <c r="F39" s="109"/>
      <c r="G39" s="109"/>
      <c r="H39" s="109"/>
      <c r="I39" s="109"/>
    </row>
    <row r="40" spans="1:9">
      <c r="C40" s="81">
        <v>4</v>
      </c>
      <c r="D40" s="3325" t="s">
        <v>96</v>
      </c>
      <c r="E40" s="3200">
        <v>2009</v>
      </c>
      <c r="F40" s="3200">
        <v>2010</v>
      </c>
      <c r="G40" s="3081">
        <v>2011</v>
      </c>
      <c r="H40" s="3081" t="s">
        <v>206</v>
      </c>
      <c r="I40" s="3081" t="s">
        <v>207</v>
      </c>
    </row>
    <row r="41" spans="1:9">
      <c r="D41" s="1981" t="s">
        <v>942</v>
      </c>
      <c r="E41" s="3055"/>
      <c r="F41" s="3055"/>
      <c r="G41" s="3055"/>
      <c r="H41" s="3055"/>
      <c r="I41" s="3055"/>
    </row>
    <row r="42" spans="1:9">
      <c r="D42" s="1981" t="s">
        <v>943</v>
      </c>
      <c r="E42" s="3055"/>
      <c r="F42" s="3055"/>
      <c r="G42" s="3055"/>
      <c r="H42" s="3055">
        <v>1</v>
      </c>
      <c r="I42" s="3055"/>
    </row>
    <row r="43" spans="1:9">
      <c r="D43" s="1981" t="s">
        <v>944</v>
      </c>
      <c r="E43" s="3055"/>
      <c r="F43" s="3055"/>
      <c r="G43" s="3055"/>
      <c r="H43" s="3055"/>
      <c r="I43" s="3055"/>
    </row>
    <row r="44" spans="1:9">
      <c r="D44" s="1981" t="s">
        <v>945</v>
      </c>
      <c r="E44" s="3055"/>
      <c r="F44" s="3055"/>
      <c r="G44" s="3055"/>
      <c r="H44" s="3055"/>
      <c r="I44" s="3055"/>
    </row>
    <row r="45" spans="1:9">
      <c r="D45" s="1981" t="s">
        <v>946</v>
      </c>
      <c r="E45" s="3055"/>
      <c r="F45" s="3055"/>
      <c r="G45" s="3055"/>
      <c r="H45" s="3055">
        <v>71</v>
      </c>
      <c r="I45" s="3055"/>
    </row>
    <row r="46" spans="1:9">
      <c r="D46" s="3084" t="s">
        <v>118</v>
      </c>
      <c r="E46" s="3055">
        <f>SUM(E41:E45)</f>
        <v>0</v>
      </c>
      <c r="F46" s="3055">
        <f>SUM(F41:F45)</f>
        <v>0</v>
      </c>
      <c r="G46" s="3055">
        <f>SUM(G41:G45)</f>
        <v>0</v>
      </c>
      <c r="H46" s="3055">
        <f>SUM(H41:H45)</f>
        <v>72</v>
      </c>
      <c r="I46" s="3055">
        <f>SUM(I41:I45)</f>
        <v>0</v>
      </c>
    </row>
    <row r="48" spans="1:9">
      <c r="A48" s="81">
        <v>1</v>
      </c>
      <c r="B48" s="3062" t="s">
        <v>175</v>
      </c>
      <c r="C48" s="312"/>
    </row>
    <row r="49" spans="1:9">
      <c r="C49" s="81">
        <v>5</v>
      </c>
      <c r="D49" s="2052" t="s">
        <v>124</v>
      </c>
      <c r="E49" s="3200">
        <v>2009</v>
      </c>
      <c r="F49" s="3200">
        <v>2010</v>
      </c>
      <c r="G49" s="3081">
        <v>2011</v>
      </c>
      <c r="H49" s="3081" t="s">
        <v>206</v>
      </c>
      <c r="I49" s="3081" t="s">
        <v>207</v>
      </c>
    </row>
    <row r="50" spans="1:9">
      <c r="D50" s="1981" t="s">
        <v>942</v>
      </c>
      <c r="E50" s="3040">
        <v>23</v>
      </c>
      <c r="F50" s="3040">
        <v>22</v>
      </c>
      <c r="G50" s="3040">
        <v>133</v>
      </c>
      <c r="H50" s="3040">
        <v>138</v>
      </c>
      <c r="I50" s="3040"/>
    </row>
    <row r="51" spans="1:9">
      <c r="D51" s="1981" t="s">
        <v>943</v>
      </c>
      <c r="E51" s="3040"/>
      <c r="F51" s="3040"/>
      <c r="G51" s="3040"/>
      <c r="H51" s="3040"/>
      <c r="I51" s="3040"/>
    </row>
    <row r="52" spans="1:9">
      <c r="D52" s="1981" t="s">
        <v>944</v>
      </c>
      <c r="E52" s="3040"/>
      <c r="F52" s="3040"/>
      <c r="G52" s="3040"/>
      <c r="H52" s="3040"/>
      <c r="I52" s="3040"/>
    </row>
    <row r="53" spans="1:9">
      <c r="D53" s="1981" t="s">
        <v>945</v>
      </c>
      <c r="E53" s="3040">
        <v>863</v>
      </c>
      <c r="F53" s="3040">
        <v>824</v>
      </c>
      <c r="G53" s="3040">
        <v>416</v>
      </c>
      <c r="H53" s="3040">
        <v>408</v>
      </c>
      <c r="I53" s="3040"/>
    </row>
    <row r="54" spans="1:9">
      <c r="D54" s="1981" t="s">
        <v>946</v>
      </c>
      <c r="E54" s="3040">
        <v>3199</v>
      </c>
      <c r="F54" s="3040">
        <v>3640</v>
      </c>
      <c r="G54" s="3040">
        <v>3956</v>
      </c>
      <c r="H54" s="3040">
        <v>5197</v>
      </c>
      <c r="I54" s="3040"/>
    </row>
    <row r="55" spans="1:9">
      <c r="D55" s="3084" t="s">
        <v>118</v>
      </c>
      <c r="E55" s="3040">
        <f>SUM(E50:E54)</f>
        <v>4085</v>
      </c>
      <c r="F55" s="3040">
        <f>SUM(F50:F54)</f>
        <v>4486</v>
      </c>
      <c r="G55" s="3040">
        <f>SUM(G50:G54)</f>
        <v>4505</v>
      </c>
      <c r="H55" s="3040">
        <f>SUM(H50:H54)</f>
        <v>5743</v>
      </c>
      <c r="I55" s="3040">
        <f>SUM(I50:I54)</f>
        <v>0</v>
      </c>
    </row>
    <row r="56" spans="1:9">
      <c r="A56" s="81">
        <v>2</v>
      </c>
      <c r="B56" s="3062" t="s">
        <v>176</v>
      </c>
      <c r="C56" s="312"/>
    </row>
    <row r="57" spans="1:9">
      <c r="A57" s="81">
        <v>6</v>
      </c>
      <c r="B57" s="3062" t="s">
        <v>183</v>
      </c>
      <c r="C57" s="312"/>
    </row>
    <row r="58" spans="1:9">
      <c r="C58" s="81">
        <v>6</v>
      </c>
      <c r="D58" s="3325" t="s">
        <v>128</v>
      </c>
      <c r="E58" s="3200">
        <v>2009</v>
      </c>
      <c r="F58" s="3200">
        <v>2010</v>
      </c>
      <c r="G58" s="3081">
        <v>2011</v>
      </c>
      <c r="H58" s="3081" t="s">
        <v>206</v>
      </c>
      <c r="I58" s="3081" t="s">
        <v>207</v>
      </c>
    </row>
    <row r="59" spans="1:9">
      <c r="D59" s="1981" t="s">
        <v>942</v>
      </c>
      <c r="E59" s="3040">
        <v>19586</v>
      </c>
      <c r="F59" s="3040">
        <v>34581</v>
      </c>
      <c r="G59" s="3040">
        <v>41815</v>
      </c>
      <c r="H59" s="3040">
        <v>43198</v>
      </c>
      <c r="I59" s="3040"/>
    </row>
    <row r="60" spans="1:9">
      <c r="D60" s="1981" t="s">
        <v>943</v>
      </c>
      <c r="E60" s="3040">
        <v>1228</v>
      </c>
      <c r="F60" s="3040">
        <v>1217</v>
      </c>
      <c r="G60" s="3040">
        <v>1228</v>
      </c>
      <c r="H60" s="3040">
        <v>1333</v>
      </c>
      <c r="I60" s="3040"/>
    </row>
    <row r="61" spans="1:9">
      <c r="D61" s="1981" t="s">
        <v>944</v>
      </c>
      <c r="E61" s="3040">
        <v>71</v>
      </c>
      <c r="F61" s="3040">
        <v>68</v>
      </c>
      <c r="G61" s="3040">
        <v>85</v>
      </c>
      <c r="H61" s="3040">
        <v>74</v>
      </c>
      <c r="I61" s="3040"/>
    </row>
    <row r="62" spans="1:9">
      <c r="D62" s="1981" t="s">
        <v>945</v>
      </c>
      <c r="E62" s="3040">
        <v>8162</v>
      </c>
      <c r="F62" s="3040">
        <v>6613</v>
      </c>
      <c r="G62" s="3040">
        <v>7384</v>
      </c>
      <c r="H62" s="3040">
        <v>8764</v>
      </c>
      <c r="I62" s="3040"/>
    </row>
    <row r="63" spans="1:9">
      <c r="D63" s="1981" t="s">
        <v>946</v>
      </c>
      <c r="E63" s="3040"/>
      <c r="F63" s="3040"/>
      <c r="G63" s="3040"/>
      <c r="H63" s="3040">
        <v>1413</v>
      </c>
      <c r="I63" s="3040"/>
    </row>
    <row r="64" spans="1:9">
      <c r="D64" s="3084" t="s">
        <v>118</v>
      </c>
      <c r="E64" s="3040">
        <f>SUM(E59:E63)</f>
        <v>29047</v>
      </c>
      <c r="F64" s="3040">
        <f>SUM(F59:F63)</f>
        <v>42479</v>
      </c>
      <c r="G64" s="3040">
        <f>SUM(G59:G63)</f>
        <v>50512</v>
      </c>
      <c r="H64" s="3040">
        <f>SUM(H59:H63)</f>
        <v>54782</v>
      </c>
      <c r="I64" s="3040">
        <f>SUM(I59:I63)</f>
        <v>0</v>
      </c>
    </row>
    <row r="65" spans="1:9">
      <c r="D65" s="315"/>
      <c r="E65" s="109"/>
      <c r="F65" s="109"/>
      <c r="G65" s="109"/>
      <c r="H65" s="109"/>
      <c r="I65" s="109"/>
    </row>
    <row r="66" spans="1:9">
      <c r="A66" s="81">
        <v>7</v>
      </c>
      <c r="B66" s="3062" t="s">
        <v>184</v>
      </c>
      <c r="C66" s="312"/>
    </row>
    <row r="67" spans="1:9">
      <c r="C67" s="81">
        <v>7</v>
      </c>
      <c r="D67" s="3325" t="s">
        <v>129</v>
      </c>
      <c r="E67" s="3200">
        <v>2009</v>
      </c>
      <c r="F67" s="3200">
        <v>2010</v>
      </c>
      <c r="G67" s="3081">
        <v>2011</v>
      </c>
      <c r="H67" s="3081" t="s">
        <v>206</v>
      </c>
      <c r="I67" s="3081" t="s">
        <v>207</v>
      </c>
    </row>
    <row r="68" spans="1:9">
      <c r="D68" s="1981" t="s">
        <v>942</v>
      </c>
      <c r="E68" s="3050">
        <v>50</v>
      </c>
      <c r="F68" s="3050">
        <v>195</v>
      </c>
      <c r="G68" s="3050">
        <v>181</v>
      </c>
      <c r="H68" s="3050">
        <v>199</v>
      </c>
      <c r="I68" s="3050"/>
    </row>
    <row r="69" spans="1:9">
      <c r="D69" s="1981" t="s">
        <v>943</v>
      </c>
      <c r="E69" s="3050">
        <v>28</v>
      </c>
      <c r="F69" s="3050">
        <v>37</v>
      </c>
      <c r="G69" s="3050">
        <v>29</v>
      </c>
      <c r="H69" s="3050">
        <v>46</v>
      </c>
      <c r="I69" s="3050"/>
    </row>
    <row r="70" spans="1:9">
      <c r="D70" s="1981" t="s">
        <v>944</v>
      </c>
      <c r="E70" s="3050">
        <v>8</v>
      </c>
      <c r="F70" s="3050">
        <v>11</v>
      </c>
      <c r="G70" s="3050">
        <v>11</v>
      </c>
      <c r="H70" s="3050">
        <v>9</v>
      </c>
      <c r="I70" s="3050"/>
    </row>
    <row r="71" spans="1:9">
      <c r="D71" s="1981" t="s">
        <v>945</v>
      </c>
      <c r="E71" s="3050">
        <v>73</v>
      </c>
      <c r="F71" s="3050">
        <v>101</v>
      </c>
      <c r="G71" s="3050">
        <v>144</v>
      </c>
      <c r="H71" s="3050">
        <v>213</v>
      </c>
      <c r="I71" s="3050"/>
    </row>
    <row r="72" spans="1:9">
      <c r="D72" s="1981" t="s">
        <v>946</v>
      </c>
      <c r="E72" s="3050">
        <v>866</v>
      </c>
      <c r="F72" s="3050">
        <v>1189</v>
      </c>
      <c r="G72" s="3050">
        <v>1436</v>
      </c>
      <c r="H72" s="3050">
        <v>1802</v>
      </c>
      <c r="I72" s="3050"/>
    </row>
    <row r="73" spans="1:9">
      <c r="D73" s="3084" t="s">
        <v>118</v>
      </c>
      <c r="E73" s="3270">
        <f>SUM(E68:E72)</f>
        <v>1025</v>
      </c>
      <c r="F73" s="3270">
        <f>SUM(F68:F72)</f>
        <v>1533</v>
      </c>
      <c r="G73" s="3270">
        <f>SUM(G68:G72)</f>
        <v>1801</v>
      </c>
      <c r="H73" s="3270">
        <f>SUM(H68:H72)</f>
        <v>2269</v>
      </c>
      <c r="I73" s="3270">
        <f>SUM(I68:I72)</f>
        <v>0</v>
      </c>
    </row>
    <row r="74" spans="1:9">
      <c r="D74" s="315"/>
      <c r="E74" s="109"/>
      <c r="F74" s="109"/>
      <c r="G74" s="109"/>
      <c r="H74" s="109"/>
      <c r="I74" s="109"/>
    </row>
    <row r="75" spans="1:9">
      <c r="A75" s="81">
        <v>8</v>
      </c>
      <c r="B75" s="3062" t="s">
        <v>186</v>
      </c>
      <c r="C75" s="312"/>
    </row>
    <row r="76" spans="1:9">
      <c r="C76" s="81">
        <v>8</v>
      </c>
      <c r="D76" s="3325" t="s">
        <v>131</v>
      </c>
      <c r="E76" s="3200">
        <v>2009</v>
      </c>
      <c r="F76" s="3200">
        <v>2010</v>
      </c>
      <c r="G76" s="3081">
        <v>2011</v>
      </c>
      <c r="H76" s="3081" t="s">
        <v>206</v>
      </c>
      <c r="I76" s="3081" t="s">
        <v>207</v>
      </c>
    </row>
    <row r="77" spans="1:9">
      <c r="D77" s="1981" t="s">
        <v>942</v>
      </c>
      <c r="E77" s="3050">
        <v>69</v>
      </c>
      <c r="F77" s="3050">
        <v>82</v>
      </c>
      <c r="G77" s="3050">
        <v>82</v>
      </c>
      <c r="H77" s="3050">
        <v>575</v>
      </c>
      <c r="I77" s="3050"/>
    </row>
    <row r="78" spans="1:9">
      <c r="D78" s="1981" t="s">
        <v>943</v>
      </c>
      <c r="E78" s="3050">
        <v>103</v>
      </c>
      <c r="F78" s="3050">
        <v>112</v>
      </c>
      <c r="G78" s="3050">
        <v>98</v>
      </c>
      <c r="H78" s="3050">
        <v>151</v>
      </c>
      <c r="I78" s="3050"/>
    </row>
    <row r="79" spans="1:9">
      <c r="D79" s="1981" t="s">
        <v>944</v>
      </c>
      <c r="E79" s="3050">
        <v>11</v>
      </c>
      <c r="F79" s="3050">
        <v>13</v>
      </c>
      <c r="G79" s="3050">
        <v>21</v>
      </c>
      <c r="H79" s="3050">
        <v>18</v>
      </c>
      <c r="I79" s="3050"/>
    </row>
    <row r="80" spans="1:9">
      <c r="D80" s="1981" t="s">
        <v>945</v>
      </c>
      <c r="E80" s="3050">
        <v>552</v>
      </c>
      <c r="F80" s="3050">
        <v>645</v>
      </c>
      <c r="G80" s="3050">
        <v>701</v>
      </c>
      <c r="H80" s="3050">
        <v>808</v>
      </c>
      <c r="I80" s="3050"/>
    </row>
    <row r="81" spans="1:9">
      <c r="D81" s="1981" t="s">
        <v>946</v>
      </c>
      <c r="E81" s="3050">
        <v>1353</v>
      </c>
      <c r="F81" s="3050">
        <v>1700</v>
      </c>
      <c r="G81" s="3050">
        <v>1808</v>
      </c>
      <c r="H81" s="3050">
        <v>2510</v>
      </c>
      <c r="I81" s="3050"/>
    </row>
    <row r="82" spans="1:9">
      <c r="D82" s="3084" t="s">
        <v>118</v>
      </c>
      <c r="E82" s="3050">
        <f>SUM(E77:E81)</f>
        <v>2088</v>
      </c>
      <c r="F82" s="3050">
        <f>SUM(F77:F81)</f>
        <v>2552</v>
      </c>
      <c r="G82" s="3050">
        <f>SUM(G77:G81)</f>
        <v>2710</v>
      </c>
      <c r="H82" s="3050">
        <f>SUM(H77:H81)</f>
        <v>4062</v>
      </c>
      <c r="I82" s="3050">
        <f>SUM(I77:I81)</f>
        <v>0</v>
      </c>
    </row>
    <row r="83" spans="1:9">
      <c r="D83" s="315"/>
      <c r="E83" s="109"/>
      <c r="F83" s="109"/>
      <c r="G83" s="109"/>
      <c r="H83" s="109"/>
      <c r="I83" s="109"/>
    </row>
    <row r="84" spans="1:9">
      <c r="A84" s="81">
        <v>9</v>
      </c>
      <c r="B84" s="3062" t="s">
        <v>187</v>
      </c>
      <c r="C84" s="312"/>
    </row>
    <row r="85" spans="1:9">
      <c r="C85" s="81">
        <v>9</v>
      </c>
      <c r="D85" s="3325" t="s">
        <v>132</v>
      </c>
      <c r="E85" s="3200">
        <v>2009</v>
      </c>
      <c r="F85" s="3200">
        <v>2010</v>
      </c>
      <c r="G85" s="3081">
        <v>2011</v>
      </c>
      <c r="H85" s="3081" t="s">
        <v>206</v>
      </c>
      <c r="I85" s="3081" t="s">
        <v>207</v>
      </c>
    </row>
    <row r="86" spans="1:9">
      <c r="D86" s="1981" t="s">
        <v>942</v>
      </c>
      <c r="E86" s="3050">
        <v>1298</v>
      </c>
      <c r="F86" s="3050">
        <v>1152</v>
      </c>
      <c r="G86" s="3050">
        <v>1425</v>
      </c>
      <c r="H86" s="3050">
        <v>1545</v>
      </c>
      <c r="I86" s="3050"/>
    </row>
    <row r="87" spans="1:9">
      <c r="D87" s="1981" t="s">
        <v>943</v>
      </c>
      <c r="E87" s="3050">
        <v>52</v>
      </c>
      <c r="F87" s="3050">
        <v>274</v>
      </c>
      <c r="G87" s="3326">
        <v>316</v>
      </c>
      <c r="H87" s="3326">
        <v>313</v>
      </c>
      <c r="I87" s="3326"/>
    </row>
    <row r="88" spans="1:9">
      <c r="D88" s="1981" t="s">
        <v>944</v>
      </c>
      <c r="E88" s="3050"/>
      <c r="F88" s="3050"/>
      <c r="G88" s="3270"/>
      <c r="H88" s="3270"/>
      <c r="I88" s="3270"/>
    </row>
    <row r="89" spans="1:9">
      <c r="D89" s="1981" t="s">
        <v>945</v>
      </c>
      <c r="E89" s="3050"/>
      <c r="F89" s="3050"/>
      <c r="G89" s="3270"/>
      <c r="H89" s="3270"/>
      <c r="I89" s="3270"/>
    </row>
    <row r="90" spans="1:9">
      <c r="D90" s="1981" t="s">
        <v>946</v>
      </c>
      <c r="E90" s="3050">
        <v>2165</v>
      </c>
      <c r="F90" s="3050">
        <v>6972</v>
      </c>
      <c r="G90" s="3326">
        <v>7168</v>
      </c>
      <c r="H90" s="3326">
        <v>9955</v>
      </c>
      <c r="I90" s="3326"/>
    </row>
    <row r="91" spans="1:9">
      <c r="D91" s="3084" t="s">
        <v>118</v>
      </c>
      <c r="E91" s="3050">
        <f>SUM(E86:E90)</f>
        <v>3515</v>
      </c>
      <c r="F91" s="3050">
        <f>SUM(F86:F90)</f>
        <v>8398</v>
      </c>
      <c r="G91" s="3050">
        <f>SUM(G86:G90)</f>
        <v>8909</v>
      </c>
      <c r="H91" s="3050">
        <f>SUM(H86:H90)</f>
        <v>11813</v>
      </c>
      <c r="I91" s="3050">
        <f>SUM(I86:I90)</f>
        <v>0</v>
      </c>
    </row>
    <row r="92" spans="1:9">
      <c r="D92" s="315"/>
      <c r="E92" s="109"/>
      <c r="F92" s="109"/>
      <c r="G92" s="109"/>
      <c r="H92" s="109"/>
      <c r="I92" s="109"/>
    </row>
    <row r="93" spans="1:9">
      <c r="A93" s="81">
        <v>10</v>
      </c>
      <c r="B93" s="3062" t="s">
        <v>188</v>
      </c>
      <c r="C93" s="312"/>
    </row>
    <row r="94" spans="1:9">
      <c r="C94" s="81">
        <v>10</v>
      </c>
      <c r="D94" s="3325" t="s">
        <v>106</v>
      </c>
      <c r="E94" s="3200">
        <v>2009</v>
      </c>
      <c r="F94" s="3200">
        <v>2010</v>
      </c>
      <c r="G94" s="3081">
        <v>2011</v>
      </c>
      <c r="H94" s="3081" t="s">
        <v>206</v>
      </c>
      <c r="I94" s="3081" t="s">
        <v>207</v>
      </c>
    </row>
    <row r="95" spans="1:9">
      <c r="D95" s="1981" t="s">
        <v>942</v>
      </c>
      <c r="E95" s="3050">
        <v>63</v>
      </c>
      <c r="F95" s="3050">
        <v>46</v>
      </c>
      <c r="G95" s="3050">
        <v>31</v>
      </c>
      <c r="H95" s="3050">
        <v>46</v>
      </c>
      <c r="I95" s="3050"/>
    </row>
    <row r="96" spans="1:9">
      <c r="D96" s="1981" t="s">
        <v>943</v>
      </c>
      <c r="E96" s="3050">
        <v>82</v>
      </c>
      <c r="F96" s="3050">
        <v>32</v>
      </c>
      <c r="G96" s="3050">
        <v>25</v>
      </c>
      <c r="H96" s="3050">
        <v>26</v>
      </c>
      <c r="I96" s="3050"/>
    </row>
    <row r="97" spans="1:9">
      <c r="D97" s="1981" t="s">
        <v>944</v>
      </c>
      <c r="E97" s="3050">
        <v>0</v>
      </c>
      <c r="F97" s="3050">
        <v>0</v>
      </c>
      <c r="G97" s="3050">
        <v>0</v>
      </c>
      <c r="H97" s="3050">
        <v>0</v>
      </c>
      <c r="I97" s="3050"/>
    </row>
    <row r="98" spans="1:9">
      <c r="D98" s="1981" t="s">
        <v>945</v>
      </c>
      <c r="E98" s="3050">
        <v>98</v>
      </c>
      <c r="F98" s="3050">
        <v>111</v>
      </c>
      <c r="G98" s="3050">
        <v>180</v>
      </c>
      <c r="H98" s="3050">
        <v>215</v>
      </c>
      <c r="I98" s="3050"/>
    </row>
    <row r="99" spans="1:9">
      <c r="D99" s="1981" t="s">
        <v>946</v>
      </c>
      <c r="E99" s="3050"/>
      <c r="F99" s="3050"/>
      <c r="G99" s="3050"/>
      <c r="H99" s="3050"/>
      <c r="I99" s="3050"/>
    </row>
    <row r="100" spans="1:9">
      <c r="D100" s="3084" t="s">
        <v>118</v>
      </c>
      <c r="E100" s="3050">
        <f>SUM(E95:E99)</f>
        <v>243</v>
      </c>
      <c r="F100" s="3050">
        <f>SUM(F95:F99)</f>
        <v>189</v>
      </c>
      <c r="G100" s="3050">
        <f>SUM(G95:G99)</f>
        <v>236</v>
      </c>
      <c r="H100" s="3050">
        <f>SUM(H95:H99)</f>
        <v>287</v>
      </c>
      <c r="I100" s="3050">
        <f>SUM(I95:I99)</f>
        <v>0</v>
      </c>
    </row>
    <row r="101" spans="1:9">
      <c r="D101" s="315"/>
      <c r="E101" s="109"/>
      <c r="F101" s="109"/>
      <c r="G101" s="109"/>
      <c r="H101" s="109"/>
      <c r="I101" s="109"/>
    </row>
    <row r="102" spans="1:9">
      <c r="A102" s="81">
        <v>11</v>
      </c>
      <c r="B102" s="3062" t="s">
        <v>189</v>
      </c>
      <c r="C102" s="312"/>
    </row>
    <row r="103" spans="1:9">
      <c r="C103" s="81">
        <v>11</v>
      </c>
      <c r="D103" s="3325" t="s">
        <v>133</v>
      </c>
      <c r="E103" s="3200">
        <v>2009</v>
      </c>
      <c r="F103" s="3200">
        <v>2010</v>
      </c>
      <c r="G103" s="3081">
        <v>2011</v>
      </c>
      <c r="H103" s="3081" t="s">
        <v>206</v>
      </c>
      <c r="I103" s="3081" t="s">
        <v>207</v>
      </c>
    </row>
    <row r="104" spans="1:9">
      <c r="D104" s="1981" t="s">
        <v>942</v>
      </c>
      <c r="E104" s="3270"/>
      <c r="F104" s="3270"/>
      <c r="G104" s="3270"/>
      <c r="H104" s="3270"/>
      <c r="I104" s="3270"/>
    </row>
    <row r="105" spans="1:9">
      <c r="D105" s="1981" t="s">
        <v>943</v>
      </c>
      <c r="E105" s="3050"/>
      <c r="F105" s="3050"/>
      <c r="G105" s="3050">
        <v>14</v>
      </c>
      <c r="H105" s="3050">
        <v>62</v>
      </c>
      <c r="I105" s="3050"/>
    </row>
    <row r="106" spans="1:9">
      <c r="D106" s="1981" t="s">
        <v>944</v>
      </c>
      <c r="E106" s="3050"/>
      <c r="F106" s="3050"/>
      <c r="G106" s="3050"/>
      <c r="H106" s="3050">
        <v>2</v>
      </c>
      <c r="I106" s="3050"/>
    </row>
    <row r="107" spans="1:9">
      <c r="D107" s="1981" t="s">
        <v>945</v>
      </c>
      <c r="E107" s="3050"/>
      <c r="F107" s="3050"/>
      <c r="G107" s="3050"/>
      <c r="H107" s="3050"/>
      <c r="I107" s="3050"/>
    </row>
    <row r="108" spans="1:9">
      <c r="D108" s="1981" t="s">
        <v>946</v>
      </c>
      <c r="E108" s="3050"/>
      <c r="F108" s="3050"/>
      <c r="G108" s="3050"/>
      <c r="H108" s="3050"/>
      <c r="I108" s="3050"/>
    </row>
    <row r="109" spans="1:9">
      <c r="D109" s="3084" t="s">
        <v>118</v>
      </c>
      <c r="E109" s="3050">
        <f>SUM(E104:E108)</f>
        <v>0</v>
      </c>
      <c r="F109" s="3050">
        <f>SUM(F104:F108)</f>
        <v>0</v>
      </c>
      <c r="G109" s="3050">
        <f>SUM(G104:G108)</f>
        <v>14</v>
      </c>
      <c r="H109" s="3050">
        <f>SUM(H104:H108)</f>
        <v>64</v>
      </c>
      <c r="I109" s="3050">
        <f>SUM(I104:I108)</f>
        <v>0</v>
      </c>
    </row>
    <row r="110" spans="1:9">
      <c r="D110" s="315"/>
      <c r="E110" s="109"/>
      <c r="F110" s="109"/>
      <c r="G110" s="109"/>
      <c r="H110" s="109"/>
      <c r="I110" s="109"/>
    </row>
    <row r="111" spans="1:9">
      <c r="A111" s="81">
        <v>12</v>
      </c>
      <c r="B111" s="3062" t="s">
        <v>190</v>
      </c>
      <c r="C111" s="312"/>
    </row>
    <row r="112" spans="1:9">
      <c r="C112" s="81">
        <v>12</v>
      </c>
      <c r="D112" s="3325" t="s">
        <v>109</v>
      </c>
      <c r="E112" s="3200">
        <v>2009</v>
      </c>
      <c r="F112" s="3200">
        <v>2010</v>
      </c>
      <c r="G112" s="3081">
        <v>2011</v>
      </c>
      <c r="H112" s="3081" t="s">
        <v>206</v>
      </c>
      <c r="I112" s="3081" t="s">
        <v>207</v>
      </c>
    </row>
    <row r="113" spans="3:9">
      <c r="D113" s="1981" t="s">
        <v>942</v>
      </c>
      <c r="E113" s="3174"/>
      <c r="F113" s="3174"/>
      <c r="G113" s="3174"/>
      <c r="H113" s="3174"/>
      <c r="I113" s="3174"/>
    </row>
    <row r="114" spans="3:9">
      <c r="D114" s="1981" t="s">
        <v>943</v>
      </c>
      <c r="E114" s="3323">
        <v>5</v>
      </c>
      <c r="F114" s="3323">
        <v>3</v>
      </c>
      <c r="G114" s="3323">
        <v>8</v>
      </c>
      <c r="H114" s="3323">
        <v>12</v>
      </c>
      <c r="I114" s="3323"/>
    </row>
    <row r="115" spans="3:9">
      <c r="D115" s="1981" t="s">
        <v>944</v>
      </c>
      <c r="E115" s="3323">
        <v>1</v>
      </c>
      <c r="F115" s="3323">
        <v>2</v>
      </c>
      <c r="G115" s="3323">
        <v>1</v>
      </c>
      <c r="H115" s="3323">
        <v>2</v>
      </c>
      <c r="I115" s="3323"/>
    </row>
    <row r="116" spans="3:9">
      <c r="D116" s="1981" t="s">
        <v>945</v>
      </c>
      <c r="E116" s="3323">
        <v>22</v>
      </c>
      <c r="F116" s="3323">
        <v>18</v>
      </c>
      <c r="G116" s="3323">
        <v>25</v>
      </c>
      <c r="H116" s="3323">
        <v>59</v>
      </c>
      <c r="I116" s="3323"/>
    </row>
    <row r="117" spans="3:9">
      <c r="D117" s="1981" t="s">
        <v>946</v>
      </c>
      <c r="E117" s="3174"/>
      <c r="F117" s="3174"/>
      <c r="G117" s="3174"/>
      <c r="H117" s="3174"/>
      <c r="I117" s="3174"/>
    </row>
    <row r="118" spans="3:9">
      <c r="D118" s="3084" t="s">
        <v>118</v>
      </c>
      <c r="E118" s="3050">
        <f>SUM(E113:E117)</f>
        <v>28</v>
      </c>
      <c r="F118" s="3050">
        <f>SUM(F113:F117)</f>
        <v>23</v>
      </c>
      <c r="G118" s="3050">
        <f>SUM(G113:G117)</f>
        <v>34</v>
      </c>
      <c r="H118" s="3050">
        <f>SUM(H113:H117)</f>
        <v>73</v>
      </c>
      <c r="I118" s="3050">
        <f>SUM(I113:I117)</f>
        <v>0</v>
      </c>
    </row>
    <row r="119" spans="3:9">
      <c r="D119" s="315"/>
      <c r="E119" s="109"/>
      <c r="F119" s="109"/>
      <c r="G119" s="109"/>
      <c r="H119" s="109"/>
      <c r="I119" s="109"/>
    </row>
    <row r="120" spans="3:9">
      <c r="D120" s="315"/>
      <c r="E120" s="109"/>
      <c r="F120" s="109"/>
      <c r="G120" s="109"/>
      <c r="H120" s="109"/>
      <c r="I120" s="109"/>
    </row>
    <row r="121" spans="3:9">
      <c r="C121" s="81">
        <v>13</v>
      </c>
      <c r="D121" s="3325" t="s">
        <v>134</v>
      </c>
      <c r="E121" s="3200">
        <v>2009</v>
      </c>
      <c r="F121" s="3200">
        <v>2010</v>
      </c>
      <c r="G121" s="3081">
        <v>2011</v>
      </c>
      <c r="H121" s="3081" t="s">
        <v>206</v>
      </c>
      <c r="I121" s="3081" t="s">
        <v>207</v>
      </c>
    </row>
    <row r="122" spans="3:9">
      <c r="D122" s="1981" t="s">
        <v>942</v>
      </c>
      <c r="E122" s="3055"/>
      <c r="F122" s="3055"/>
      <c r="G122" s="3055"/>
      <c r="H122" s="3055"/>
      <c r="I122" s="3055"/>
    </row>
    <row r="123" spans="3:9">
      <c r="D123" s="1981" t="s">
        <v>943</v>
      </c>
      <c r="E123" s="3055">
        <v>9</v>
      </c>
      <c r="F123" s="3055">
        <v>21</v>
      </c>
      <c r="G123" s="3055">
        <v>31</v>
      </c>
      <c r="H123" s="3055">
        <v>59</v>
      </c>
      <c r="I123" s="3055"/>
    </row>
    <row r="124" spans="3:9">
      <c r="D124" s="1981" t="s">
        <v>944</v>
      </c>
      <c r="E124" s="3055"/>
      <c r="F124" s="3055"/>
      <c r="G124" s="3055"/>
      <c r="H124" s="3055">
        <v>11</v>
      </c>
      <c r="I124" s="3055"/>
    </row>
    <row r="125" spans="3:9">
      <c r="D125" s="1981" t="s">
        <v>945</v>
      </c>
      <c r="E125" s="3055">
        <v>31</v>
      </c>
      <c r="F125" s="3055">
        <v>114</v>
      </c>
      <c r="G125" s="3055">
        <v>208</v>
      </c>
      <c r="H125" s="3055">
        <v>139</v>
      </c>
      <c r="I125" s="3055"/>
    </row>
    <row r="126" spans="3:9">
      <c r="D126" s="1981" t="s">
        <v>946</v>
      </c>
      <c r="E126" s="3055"/>
      <c r="F126" s="3055"/>
      <c r="G126" s="3055"/>
      <c r="H126" s="3055"/>
      <c r="I126" s="3055"/>
    </row>
    <row r="127" spans="3:9">
      <c r="D127" s="3084" t="s">
        <v>118</v>
      </c>
      <c r="E127" s="3055">
        <f>SUM(E122:E126)</f>
        <v>40</v>
      </c>
      <c r="F127" s="3055">
        <f>SUM(F122:F126)</f>
        <v>135</v>
      </c>
      <c r="G127" s="3055">
        <f>SUM(G122:G126)</f>
        <v>239</v>
      </c>
      <c r="H127" s="3055">
        <f>SUM(H122:H126)</f>
        <v>209</v>
      </c>
      <c r="I127" s="3055">
        <f>SUM(I122:I126)</f>
        <v>0</v>
      </c>
    </row>
    <row r="128" spans="3:9">
      <c r="D128" s="315"/>
      <c r="E128" s="109"/>
      <c r="F128" s="109"/>
      <c r="G128" s="109"/>
      <c r="H128" s="109"/>
      <c r="I128" s="109"/>
    </row>
    <row r="129" spans="1:9">
      <c r="A129" s="81">
        <v>13</v>
      </c>
      <c r="B129" s="3062" t="s">
        <v>193</v>
      </c>
      <c r="C129" s="312"/>
    </row>
    <row r="130" spans="1:9">
      <c r="C130" s="81">
        <v>14</v>
      </c>
      <c r="D130" s="3325" t="s">
        <v>115</v>
      </c>
      <c r="E130" s="3200">
        <v>2009</v>
      </c>
      <c r="F130" s="3200">
        <v>2010</v>
      </c>
      <c r="G130" s="3081">
        <v>2011</v>
      </c>
      <c r="H130" s="3081" t="s">
        <v>206</v>
      </c>
      <c r="I130" s="3081" t="s">
        <v>207</v>
      </c>
    </row>
    <row r="131" spans="1:9">
      <c r="D131" s="1981" t="s">
        <v>942</v>
      </c>
      <c r="E131" s="3055">
        <v>28532</v>
      </c>
      <c r="F131" s="3055">
        <v>41103</v>
      </c>
      <c r="G131" s="3055">
        <v>41422</v>
      </c>
      <c r="H131" s="3055">
        <v>44286</v>
      </c>
      <c r="I131" s="3055"/>
    </row>
    <row r="132" spans="1:9">
      <c r="D132" s="1981" t="s">
        <v>943</v>
      </c>
      <c r="E132" s="3055">
        <v>2008</v>
      </c>
      <c r="F132" s="3055">
        <v>2456</v>
      </c>
      <c r="G132" s="3055">
        <v>1800</v>
      </c>
      <c r="H132" s="3055">
        <v>1615</v>
      </c>
      <c r="I132" s="3055"/>
    </row>
    <row r="133" spans="1:9">
      <c r="D133" s="1981" t="s">
        <v>944</v>
      </c>
      <c r="E133" s="3055">
        <v>259</v>
      </c>
      <c r="F133" s="3055">
        <v>458</v>
      </c>
      <c r="G133" s="3055">
        <v>379</v>
      </c>
      <c r="H133" s="3055">
        <v>376</v>
      </c>
      <c r="I133" s="3055"/>
    </row>
    <row r="134" spans="1:9">
      <c r="D134" s="1981" t="s">
        <v>945</v>
      </c>
      <c r="E134" s="3055">
        <v>3056</v>
      </c>
      <c r="F134" s="3055">
        <v>3778</v>
      </c>
      <c r="G134" s="3055">
        <v>3338</v>
      </c>
      <c r="H134" s="3055">
        <v>3334</v>
      </c>
      <c r="I134" s="3055"/>
    </row>
    <row r="135" spans="1:9">
      <c r="D135" s="1981" t="s">
        <v>946</v>
      </c>
      <c r="E135" s="3055">
        <v>27147</v>
      </c>
      <c r="F135" s="3055">
        <v>24916</v>
      </c>
      <c r="G135" s="3055">
        <v>27151</v>
      </c>
      <c r="H135" s="3055">
        <v>28582</v>
      </c>
      <c r="I135" s="3055"/>
    </row>
    <row r="136" spans="1:9">
      <c r="D136" s="3084" t="s">
        <v>118</v>
      </c>
      <c r="E136" s="3055">
        <f>SUM(E131:E135)</f>
        <v>61002</v>
      </c>
      <c r="F136" s="3055">
        <f>SUM(F131:F135)</f>
        <v>72711</v>
      </c>
      <c r="G136" s="3055">
        <f>SUM(G131:G135)</f>
        <v>74090</v>
      </c>
      <c r="H136" s="3055">
        <f>SUM(H131:H135)</f>
        <v>78193</v>
      </c>
      <c r="I136" s="3055">
        <f>SUM(I131:I135)</f>
        <v>0</v>
      </c>
    </row>
    <row r="137" spans="1:9">
      <c r="A137" s="81">
        <v>14</v>
      </c>
      <c r="B137" s="3062" t="s">
        <v>194</v>
      </c>
      <c r="C137" s="312"/>
    </row>
    <row r="138" spans="1:9">
      <c r="A138" s="81">
        <v>15</v>
      </c>
      <c r="B138" s="3062" t="s">
        <v>195</v>
      </c>
      <c r="C138" s="312"/>
    </row>
    <row r="139" spans="1:9">
      <c r="C139" s="81">
        <v>15</v>
      </c>
      <c r="D139" s="3325" t="s">
        <v>760</v>
      </c>
      <c r="E139" s="3200">
        <v>2009</v>
      </c>
      <c r="F139" s="3200">
        <v>2010</v>
      </c>
      <c r="G139" s="3081">
        <v>2011</v>
      </c>
      <c r="H139" s="3081" t="s">
        <v>206</v>
      </c>
      <c r="I139" s="3081" t="s">
        <v>207</v>
      </c>
    </row>
    <row r="140" spans="1:9">
      <c r="D140" s="1981" t="s">
        <v>942</v>
      </c>
      <c r="E140" s="3043">
        <v>2928</v>
      </c>
      <c r="F140" s="3043">
        <v>3376</v>
      </c>
      <c r="G140" s="3043">
        <v>4149</v>
      </c>
      <c r="H140" s="3043">
        <v>5195</v>
      </c>
      <c r="I140" s="3043"/>
    </row>
    <row r="141" spans="1:9">
      <c r="D141" s="1981" t="s">
        <v>943</v>
      </c>
      <c r="E141" s="3043">
        <v>353</v>
      </c>
      <c r="F141" s="3043">
        <v>284</v>
      </c>
      <c r="G141" s="3043">
        <v>298</v>
      </c>
      <c r="H141" s="3043">
        <v>345</v>
      </c>
      <c r="I141" s="3043"/>
    </row>
    <row r="142" spans="1:9">
      <c r="D142" s="1981" t="s">
        <v>944</v>
      </c>
      <c r="E142" s="3043">
        <v>21</v>
      </c>
      <c r="F142" s="3043">
        <v>25</v>
      </c>
      <c r="G142" s="3043">
        <v>33</v>
      </c>
      <c r="H142" s="3043">
        <v>40</v>
      </c>
      <c r="I142" s="3043"/>
    </row>
    <row r="143" spans="1:9">
      <c r="D143" s="1981" t="s">
        <v>945</v>
      </c>
      <c r="E143" s="3043">
        <v>959</v>
      </c>
      <c r="F143" s="3043">
        <v>706</v>
      </c>
      <c r="G143" s="3043">
        <v>853</v>
      </c>
      <c r="H143" s="3043">
        <v>1100</v>
      </c>
      <c r="I143" s="3043"/>
    </row>
    <row r="144" spans="1:9">
      <c r="D144" s="1981" t="s">
        <v>946</v>
      </c>
      <c r="E144" s="3043"/>
      <c r="F144" s="3043"/>
      <c r="G144" s="3043"/>
      <c r="H144" s="3043"/>
      <c r="I144" s="3043"/>
    </row>
    <row r="145" spans="4:9">
      <c r="D145" s="3084" t="s">
        <v>118</v>
      </c>
      <c r="E145" s="3055">
        <f>SUM(E140:E144)</f>
        <v>4261</v>
      </c>
      <c r="F145" s="3055">
        <f>SUM(F140:F144)</f>
        <v>4391</v>
      </c>
      <c r="G145" s="3055">
        <f>SUM(G140:G144)</f>
        <v>5333</v>
      </c>
      <c r="H145" s="3055">
        <f>SUM(H140:H144)</f>
        <v>6680</v>
      </c>
      <c r="I145" s="3055">
        <f>SUM(I140:I144)</f>
        <v>0</v>
      </c>
    </row>
  </sheetData>
  <customSheetViews>
    <customSheetView guid="{5E394B0B-7867-4722-9497-A93AB2A9A773}" showPageBreaks="1" printArea="1" hiddenColumns="1" state="hidden" topLeftCell="C1">
      <selection activeCell="H83" sqref="H83"/>
      <rowBreaks count="2" manualBreakCount="2">
        <brk id="64" max="8" man="1"/>
        <brk id="127" max="8" man="1"/>
      </rowBreaks>
      <pageMargins left="0" right="0" top="0" bottom="0" header="0" footer="0"/>
      <pageSetup scale="71" orientation="portrait" r:id="rId1"/>
    </customSheetView>
    <customSheetView guid="{B1E1B596-A9A1-411D-A882-A48CB025B978}" showPageBreaks="1" printArea="1" hiddenColumns="1" state="hidden" topLeftCell="C1">
      <selection activeCell="H83" sqref="H83"/>
      <rowBreaks count="2" manualBreakCount="2">
        <brk id="64" max="8" man="1"/>
        <brk id="127" max="8" man="1"/>
      </rowBreaks>
      <pageMargins left="0" right="0" top="0" bottom="0" header="0" footer="0"/>
      <pageSetup scale="71" orientation="portrait" r:id="rId2"/>
    </customSheetView>
    <customSheetView guid="{E82B35BE-4719-4C53-A9EF-1CC6F153A6F3}" showPageBreaks="1" printArea="1" hiddenColumns="1" topLeftCell="C1">
      <selection activeCell="D31" sqref="D31"/>
      <rowBreaks count="2" manualBreakCount="2">
        <brk id="64" max="8" man="1"/>
        <brk id="127" max="8" man="1"/>
      </rowBreaks>
      <pageMargins left="0" right="0" top="0" bottom="0" header="0" footer="0"/>
      <pageSetup scale="71" orientation="portrait" r:id="rId3"/>
    </customSheetView>
    <customSheetView guid="{46F31544-8E6F-41C5-8628-1D6EE074AF15}" hiddenColumns="1" state="hidden" topLeftCell="C1">
      <selection activeCell="H83" sqref="H83"/>
      <rowBreaks count="2" manualBreakCount="2">
        <brk id="64" max="8" man="1"/>
        <brk id="127" max="8" man="1"/>
      </rowBreaks>
      <pageMargins left="0" right="0" top="0" bottom="0" header="0" footer="0"/>
      <pageSetup scale="71" orientation="portrait" r:id="rId4"/>
    </customSheetView>
    <customSheetView guid="{B2E1A0C6-5BA1-4CF1-B412-16D81FCDF11F}" showPageBreaks="1" printArea="1" hiddenColumns="1" state="hidden" topLeftCell="C1">
      <selection activeCell="H83" sqref="H83"/>
      <rowBreaks count="2" manualBreakCount="2">
        <brk id="64" max="8" man="1"/>
        <brk id="127" max="8" man="1"/>
      </rowBreaks>
      <pageMargins left="0" right="0" top="0" bottom="0" header="0" footer="0"/>
      <pageSetup scale="71" orientation="portrait" r:id="rId5"/>
    </customSheetView>
    <customSheetView guid="{967E0446-E234-427F-8E57-7FE287052E2E}" showPageBreaks="1" printArea="1" hiddenColumns="1" state="hidden" topLeftCell="C1">
      <selection activeCell="H83" sqref="H83"/>
      <rowBreaks count="2" manualBreakCount="2">
        <brk id="64" max="8" man="1"/>
        <brk id="127" max="8" man="1"/>
      </rowBreaks>
      <pageMargins left="0" right="0" top="0" bottom="0" header="0" footer="0"/>
      <pageSetup scale="71" orientation="portrait" r:id="rId6"/>
    </customSheetView>
    <customSheetView guid="{2ACFE167-4169-43A6-9AB2-59D5A2DA2DB4}" showPageBreaks="1" printArea="1" hiddenColumns="1" state="hidden" topLeftCell="C1">
      <selection activeCell="H83" sqref="H83"/>
      <rowBreaks count="2" manualBreakCount="2">
        <brk id="64" max="8" man="1"/>
        <brk id="127" max="8" man="1"/>
      </rowBreaks>
      <pageMargins left="0" right="0" top="0" bottom="0" header="0" footer="0"/>
      <pageSetup scale="71" orientation="portrait" r:id="rId7"/>
    </customSheetView>
  </customSheetViews>
  <pageMargins left="0.7" right="0.7" top="0.75" bottom="0.75" header="0.3" footer="0.3"/>
  <pageSetup scale="71" orientation="portrait" r:id="rId8"/>
  <rowBreaks count="2" manualBreakCount="2">
    <brk id="64" max="8" man="1"/>
    <brk id="127" max="8" man="1"/>
  </rowBreaks>
  <legacyDrawing r:id="rId9"/>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C000"/>
  </sheetPr>
  <dimension ref="A1:AE171"/>
  <sheetViews>
    <sheetView workbookViewId="0">
      <pane xSplit="2" ySplit="5" topLeftCell="C144" activePane="bottomRight" state="frozen"/>
      <selection pane="topRight" activeCell="C1" sqref="C1"/>
      <selection pane="bottomLeft" activeCell="A6" sqref="A6"/>
      <selection pane="bottomRight" activeCell="J170" sqref="J170"/>
    </sheetView>
  </sheetViews>
  <sheetFormatPr defaultRowHeight="15"/>
  <cols>
    <col min="1" max="1" width="5.140625" customWidth="1"/>
    <col min="2" max="2" width="19" customWidth="1"/>
    <col min="3" max="8" width="13.140625" customWidth="1"/>
    <col min="9" max="11" width="12.42578125" customWidth="1"/>
    <col min="12" max="12" width="12" customWidth="1"/>
    <col min="13" max="13" width="11.85546875" customWidth="1"/>
    <col min="14" max="14" width="12.7109375" customWidth="1"/>
    <col min="15" max="17" width="10.42578125" customWidth="1"/>
    <col min="18" max="20" width="13.140625" customWidth="1"/>
  </cols>
  <sheetData>
    <row r="1" spans="1:31">
      <c r="B1" s="150" t="s">
        <v>594</v>
      </c>
    </row>
    <row r="2" spans="1:31">
      <c r="B2" s="150"/>
    </row>
    <row r="3" spans="1:31" ht="15" customHeight="1">
      <c r="B3" s="3111" t="s">
        <v>830</v>
      </c>
    </row>
    <row r="4" spans="1:31">
      <c r="B4" s="3942" t="s">
        <v>709</v>
      </c>
      <c r="C4" s="3955" t="s">
        <v>118</v>
      </c>
      <c r="D4" s="3956"/>
      <c r="E4" s="3957"/>
      <c r="F4" s="3945" t="s">
        <v>412</v>
      </c>
      <c r="G4" s="3946"/>
      <c r="H4" s="3947"/>
      <c r="I4" s="3949" t="s">
        <v>413</v>
      </c>
      <c r="J4" s="3950"/>
      <c r="K4" s="3951"/>
      <c r="L4" s="3952" t="s">
        <v>414</v>
      </c>
      <c r="M4" s="3953"/>
      <c r="N4" s="3954"/>
      <c r="O4" s="3949" t="s">
        <v>701</v>
      </c>
      <c r="P4" s="3950"/>
      <c r="Q4" s="3951"/>
      <c r="R4" s="3949" t="s">
        <v>416</v>
      </c>
      <c r="S4" s="3950"/>
      <c r="T4" s="3951"/>
    </row>
    <row r="5" spans="1:31">
      <c r="B5" s="3943"/>
      <c r="C5" s="3327" t="s">
        <v>956</v>
      </c>
      <c r="D5" s="3327" t="s">
        <v>957</v>
      </c>
      <c r="E5" s="3327" t="s">
        <v>958</v>
      </c>
      <c r="F5" s="3328" t="s">
        <v>956</v>
      </c>
      <c r="G5" s="3328" t="s">
        <v>957</v>
      </c>
      <c r="H5" s="3328" t="s">
        <v>958</v>
      </c>
      <c r="I5" s="2906" t="s">
        <v>956</v>
      </c>
      <c r="J5" s="2906" t="s">
        <v>957</v>
      </c>
      <c r="K5" s="2906" t="s">
        <v>958</v>
      </c>
      <c r="L5" s="3256" t="s">
        <v>956</v>
      </c>
      <c r="M5" s="3256" t="s">
        <v>957</v>
      </c>
      <c r="N5" s="3256" t="s">
        <v>958</v>
      </c>
      <c r="O5" s="2906" t="s">
        <v>956</v>
      </c>
      <c r="P5" s="2906" t="s">
        <v>957</v>
      </c>
      <c r="Q5" s="2906" t="s">
        <v>958</v>
      </c>
      <c r="R5" s="2906" t="s">
        <v>956</v>
      </c>
      <c r="S5" s="2906" t="s">
        <v>957</v>
      </c>
      <c r="T5" s="2906" t="s">
        <v>958</v>
      </c>
    </row>
    <row r="6" spans="1:31">
      <c r="A6" s="58">
        <v>1</v>
      </c>
      <c r="B6" s="2938" t="s">
        <v>175</v>
      </c>
      <c r="C6" s="3329">
        <f t="shared" ref="C6:E8" si="0">+F6+I6+L6+O6+R6</f>
        <v>22312</v>
      </c>
      <c r="D6" s="3329">
        <f t="shared" si="0"/>
        <v>10427</v>
      </c>
      <c r="E6" s="3329">
        <f t="shared" si="0"/>
        <v>30041</v>
      </c>
      <c r="F6" s="3330">
        <f>+'[11]Sheet 2 - General Insurance'!$C$10</f>
        <v>1107</v>
      </c>
      <c r="G6" s="3330">
        <f>+'[11]Sheet 2 - General Insurance'!$C$11</f>
        <v>1488</v>
      </c>
      <c r="H6" s="3330">
        <f>+'[11]Sheet 2 - General Insurance'!$C$15</f>
        <v>2406</v>
      </c>
      <c r="I6" s="3331">
        <f>+'[11]Sheet 2 - General Insurance'!$D$10</f>
        <v>6109</v>
      </c>
      <c r="J6" s="3331">
        <f>+'[11]Sheet 2 - General Insurance'!$D$11</f>
        <v>40</v>
      </c>
      <c r="K6" s="3331">
        <f>+'[11]Sheet 2 - General Insurance'!$D$15</f>
        <v>6038</v>
      </c>
      <c r="L6" s="3260">
        <f>+'[11]Sheet 2 - General Insurance'!$E$10+'[11]Sheet 2 - General Insurance'!$F$10</f>
        <v>13327</v>
      </c>
      <c r="M6" s="3260">
        <f>+'[11]Sheet 2 - General Insurance'!$E$11+'[11]Sheet 2 - General Insurance'!$F$11</f>
        <v>8225</v>
      </c>
      <c r="N6" s="3260">
        <f>+'[11]Sheet 2 - General Insurance'!$E$15+'[11]Sheet 2 - General Insurance'!$F$15</f>
        <v>19365</v>
      </c>
      <c r="O6" s="3331">
        <f>+'[11]Sheet 2 - General Insurance'!$G$10</f>
        <v>139</v>
      </c>
      <c r="P6" s="3331">
        <f>+'[11]Sheet 2 - General Insurance'!$G$11</f>
        <v>163</v>
      </c>
      <c r="Q6" s="3331">
        <f>+'[11]Sheet 2 - General Insurance'!$G$15</f>
        <v>296</v>
      </c>
      <c r="R6" s="3331">
        <f>+'[11]Sheet 2 - General Insurance'!$H$10</f>
        <v>1630</v>
      </c>
      <c r="S6" s="3331">
        <f>+'[11]Sheet 2 - General Insurance'!$H$11</f>
        <v>511</v>
      </c>
      <c r="T6" s="3331">
        <f>+'[11]Sheet 2 - General Insurance'!$H$15</f>
        <v>1936</v>
      </c>
    </row>
    <row r="7" spans="1:31">
      <c r="A7" s="81">
        <v>2</v>
      </c>
      <c r="B7" s="2089" t="s">
        <v>177</v>
      </c>
      <c r="C7" s="2932">
        <f t="shared" si="0"/>
        <v>2411</v>
      </c>
      <c r="D7" s="2932">
        <f t="shared" si="0"/>
        <v>5676</v>
      </c>
      <c r="E7" s="2932">
        <f t="shared" si="0"/>
        <v>8087</v>
      </c>
      <c r="F7" s="3157">
        <f>+'[9]Sheet 2 - General Insurance'!$C$10</f>
        <v>181</v>
      </c>
      <c r="G7" s="3157">
        <f>+'[9]Sheet 2 - General Insurance'!$C$11</f>
        <v>912</v>
      </c>
      <c r="H7" s="3157">
        <f>+'[9]Sheet 2 - General Insurance'!$C$15</f>
        <v>1093</v>
      </c>
      <c r="I7" s="2818">
        <f>+'[9]Sheet 2 - General Insurance'!$D$10</f>
        <v>1626</v>
      </c>
      <c r="J7" s="2818">
        <f>+'[9]Sheet 2 - General Insurance'!$D$11</f>
        <v>12</v>
      </c>
      <c r="K7" s="2818">
        <f>+'[9]Sheet 2 - General Insurance'!$D$15</f>
        <v>1638</v>
      </c>
      <c r="L7" s="2818">
        <f>+'[9]Sheet 2 - General Insurance'!$E$10</f>
        <v>502</v>
      </c>
      <c r="M7" s="2818">
        <f>+'[9]Sheet 2 - General Insurance'!$E$11</f>
        <v>2889</v>
      </c>
      <c r="N7" s="2818">
        <f>+'[9]Sheet 2 - General Insurance'!$E$15</f>
        <v>3391</v>
      </c>
      <c r="O7" s="2818">
        <f>+'[9]Sheet 2 - General Insurance'!$G$10</f>
        <v>14</v>
      </c>
      <c r="P7" s="2818">
        <f>+'[9]Sheet 2 - General Insurance'!$G$11</f>
        <v>207</v>
      </c>
      <c r="Q7" s="2818">
        <f>+'[9]Sheet 2 - General Insurance'!$G$15</f>
        <v>221</v>
      </c>
      <c r="R7" s="2818">
        <f>+'[9]Sheet 2 - General Insurance'!$H$10</f>
        <v>88</v>
      </c>
      <c r="S7" s="2818">
        <f>+'[9]Sheet 2 - General Insurance'!$H$11</f>
        <v>1656</v>
      </c>
      <c r="T7" s="2818">
        <f>+'[9]Sheet 2 - General Insurance'!$H$15</f>
        <v>1744</v>
      </c>
      <c r="X7" s="45"/>
      <c r="Y7" s="45"/>
      <c r="Z7" s="45"/>
      <c r="AA7" s="45"/>
      <c r="AB7" s="45"/>
      <c r="AC7" s="45"/>
      <c r="AD7" s="45"/>
      <c r="AE7" s="45"/>
    </row>
    <row r="8" spans="1:31">
      <c r="A8" s="58">
        <v>3</v>
      </c>
      <c r="B8" s="2938" t="s">
        <v>179</v>
      </c>
      <c r="C8" s="3329">
        <f t="shared" si="0"/>
        <v>64025</v>
      </c>
      <c r="D8" s="3329">
        <f t="shared" si="0"/>
        <v>56870</v>
      </c>
      <c r="E8" s="3329">
        <f t="shared" si="0"/>
        <v>118344</v>
      </c>
      <c r="F8" s="3330">
        <f>+'[8]Sheet 2 - General Insurance'!$C$10</f>
        <v>4945</v>
      </c>
      <c r="G8" s="3330">
        <f>+'[8]Sheet 2 - General Insurance'!$C$11</f>
        <v>11859</v>
      </c>
      <c r="H8" s="3330">
        <f>+'[8]Sheet 2 - General Insurance'!$C$15</f>
        <v>16647</v>
      </c>
      <c r="I8" s="2818">
        <f>+'[8]Sheet 2 - General Insurance'!$D$10</f>
        <v>13850</v>
      </c>
      <c r="J8" s="2818">
        <f>+'[8]Sheet 2 - General Insurance'!$D$11</f>
        <v>65</v>
      </c>
      <c r="K8" s="2818">
        <f>+'[8]Sheet 2 - General Insurance'!$D$15</f>
        <v>7583</v>
      </c>
      <c r="L8" s="3262">
        <f>+'[8]Sheet 2 - General Insurance'!$E$10+'[8]Sheet 2 - General Insurance'!$F$10</f>
        <v>38908</v>
      </c>
      <c r="M8" s="3262">
        <f>+'[8]Sheet 2 - General Insurance'!$E$11+'[8]Sheet 2 - General Insurance'!$F$11</f>
        <v>35440</v>
      </c>
      <c r="N8" s="3262">
        <f>+'[8]Sheet 2 - General Insurance'!$E$15+'[8]Sheet 2 - General Insurance'!$F$15</f>
        <v>72105</v>
      </c>
      <c r="O8" s="2818">
        <f>+'[8]Sheet 2 - General Insurance'!$G$10</f>
        <v>273</v>
      </c>
      <c r="P8" s="2818">
        <f>+'[8]Sheet 2 - General Insurance'!$G$11</f>
        <v>284</v>
      </c>
      <c r="Q8" s="2818">
        <f>+'[8]Sheet 2 - General Insurance'!$G$15</f>
        <v>526</v>
      </c>
      <c r="R8" s="2818">
        <f>+'[8]Sheet 2 - General Insurance'!$H$10</f>
        <v>6049</v>
      </c>
      <c r="S8" s="2818">
        <f>+'[8]Sheet 2 - General Insurance'!$H$11</f>
        <v>9222</v>
      </c>
      <c r="T8" s="2818">
        <f>+'[8]Sheet 2 - General Insurance'!$H$15</f>
        <v>21483</v>
      </c>
      <c r="X8" s="45"/>
      <c r="Y8" s="45"/>
      <c r="Z8" s="45"/>
      <c r="AA8" s="45"/>
      <c r="AB8" s="45"/>
      <c r="AC8" s="45"/>
      <c r="AD8" s="45"/>
      <c r="AE8" s="45"/>
    </row>
    <row r="9" spans="1:31">
      <c r="A9" s="58">
        <v>4</v>
      </c>
      <c r="B9" s="2938" t="s">
        <v>180</v>
      </c>
      <c r="C9" s="3329">
        <f t="shared" ref="C9:C24" si="1">+F9+I9+L9+O9+R9</f>
        <v>61941</v>
      </c>
      <c r="D9" s="3329">
        <f t="shared" ref="D9:D19" si="2">+G9+J9+M9+P9+S9</f>
        <v>62683</v>
      </c>
      <c r="E9" s="3329">
        <f t="shared" ref="E9:E24" si="3">+H9+K9+N9+Q9+T9</f>
        <v>129476</v>
      </c>
      <c r="F9" s="3330">
        <f>+'[10]Sheet 2 - General Insurance'!$C$10</f>
        <v>700</v>
      </c>
      <c r="G9" s="3330">
        <f>+'[10]Sheet 2 - General Insurance'!$C$11</f>
        <v>949</v>
      </c>
      <c r="H9" s="3330">
        <f>+'[10]Sheet 2 - General Insurance'!$C$15</f>
        <v>1885</v>
      </c>
      <c r="I9" s="2818">
        <f>+'[10]Sheet 2 - General Insurance'!$D$10</f>
        <v>5600</v>
      </c>
      <c r="J9" s="2818">
        <f>+'[10]Sheet 2 - General Insurance'!$D$11</f>
        <v>7</v>
      </c>
      <c r="K9" s="2818">
        <f>+'[10]Sheet 2 - General Insurance'!$D$15</f>
        <v>5794</v>
      </c>
      <c r="L9" s="3262">
        <f>+'[10]Sheet 2 - General Insurance'!$E$10+'[10]Sheet 2 - General Insurance'!$F$10</f>
        <v>53362</v>
      </c>
      <c r="M9" s="3262">
        <f>+'[10]Sheet 2 - General Insurance'!$E$11+'[10]Sheet 2 - General Insurance'!$F$11</f>
        <v>60596</v>
      </c>
      <c r="N9" s="3262">
        <f>+'[10]Sheet 2 - General Insurance'!$E$15+'[10]Sheet 2 - General Insurance'!$F$15</f>
        <v>117955</v>
      </c>
      <c r="O9" s="2818">
        <f>+'[10]Sheet 2 - General Insurance'!$G$10</f>
        <v>81</v>
      </c>
      <c r="P9" s="2818">
        <f>+'[10]Sheet 2 - General Insurance'!$G$11</f>
        <v>90</v>
      </c>
      <c r="Q9" s="2818">
        <f>+'[10]Sheet 2 - General Insurance'!$G$15</f>
        <v>210</v>
      </c>
      <c r="R9" s="2818">
        <f>+'[10]Sheet 2 - General Insurance'!$H$10</f>
        <v>2198</v>
      </c>
      <c r="S9" s="2818">
        <f>+'[10]Sheet 2 - General Insurance'!$H$11</f>
        <v>1041</v>
      </c>
      <c r="T9" s="2818">
        <f>+'[10]Sheet 2 - General Insurance'!$H$15</f>
        <v>3632</v>
      </c>
      <c r="X9" s="45"/>
      <c r="Y9" s="45"/>
      <c r="Z9" s="45"/>
      <c r="AA9" s="45"/>
      <c r="AB9" s="45"/>
      <c r="AC9" s="45"/>
      <c r="AD9" s="45"/>
      <c r="AE9" s="45"/>
    </row>
    <row r="10" spans="1:31">
      <c r="A10" s="58">
        <v>5</v>
      </c>
      <c r="B10" s="2939" t="s">
        <v>181</v>
      </c>
      <c r="C10" s="3329">
        <f t="shared" si="1"/>
        <v>25140</v>
      </c>
      <c r="D10" s="3329">
        <f>+G10+J10+M10+P10+S10</f>
        <v>24908</v>
      </c>
      <c r="E10" s="3329">
        <f>+H10+K10+N10+Q10+T10</f>
        <v>0</v>
      </c>
      <c r="F10" s="3158">
        <f>+'[46]Sheet 2 - General Insurance'!$C$10</f>
        <v>337</v>
      </c>
      <c r="G10" s="3158">
        <f>+'[46]Sheet 2 - General Insurance'!$C$11</f>
        <v>127</v>
      </c>
      <c r="H10" s="3332"/>
      <c r="I10" s="3084">
        <f>+'[46]Sheet 2 - General Insurance'!$D$10</f>
        <v>5479</v>
      </c>
      <c r="J10" s="3084">
        <f>+'[46]Sheet 2 - General Insurance'!$D$11</f>
        <v>30</v>
      </c>
      <c r="K10" s="3333"/>
      <c r="L10" s="3084">
        <f>+'[46]Sheet 2 - General Insurance'!$F$10</f>
        <v>430</v>
      </c>
      <c r="M10" s="3084">
        <f>+'[46]Sheet 2 - General Insurance'!$F$11</f>
        <v>716</v>
      </c>
      <c r="N10" s="3333"/>
      <c r="O10" s="3084">
        <f>+'[46]Sheet 2 - General Insurance'!$G$10</f>
        <v>4</v>
      </c>
      <c r="P10" s="3084">
        <f>+'[46]Sheet 2 - General Insurance'!$G$11</f>
        <v>1</v>
      </c>
      <c r="Q10" s="3333"/>
      <c r="R10" s="3084">
        <f>+'[46]Sheet 2 - General Insurance'!$H$10</f>
        <v>18890</v>
      </c>
      <c r="S10" s="3084">
        <f>+'[46]Sheet 2 - General Insurance'!$H$11</f>
        <v>24034</v>
      </c>
      <c r="T10" s="3333"/>
      <c r="X10" s="45"/>
      <c r="Y10" s="45"/>
      <c r="Z10" s="45"/>
      <c r="AA10" s="45"/>
      <c r="AB10" s="45"/>
      <c r="AC10" s="45"/>
      <c r="AD10" s="45"/>
      <c r="AE10" s="45"/>
    </row>
    <row r="11" spans="1:31">
      <c r="A11" s="58">
        <v>6</v>
      </c>
      <c r="B11" s="2939" t="s">
        <v>182</v>
      </c>
      <c r="C11" s="3329">
        <f t="shared" si="1"/>
        <v>24762</v>
      </c>
      <c r="D11" s="3329">
        <f t="shared" si="2"/>
        <v>22325</v>
      </c>
      <c r="E11" s="3329">
        <f t="shared" si="3"/>
        <v>45803</v>
      </c>
      <c r="F11" s="3330">
        <f>+'[37]Sheet 2 - General Insurance'!$C$10</f>
        <v>126</v>
      </c>
      <c r="G11" s="3330">
        <f>+'[37]Sheet 2 - General Insurance'!$C$11</f>
        <v>217</v>
      </c>
      <c r="H11" s="3330">
        <f>+'[37]Sheet 2 - General Insurance'!$C$15</f>
        <v>312</v>
      </c>
      <c r="I11" s="2818">
        <f>+'[37]Sheet 2 - General Insurance'!$D$10</f>
        <v>1339</v>
      </c>
      <c r="J11" s="2818">
        <f>+'[37]Sheet 2 - General Insurance'!$D$11</f>
        <v>1</v>
      </c>
      <c r="K11" s="2818">
        <f>+'[37]Sheet 2 - General Insurance'!$D$15</f>
        <v>427</v>
      </c>
      <c r="L11" s="3262">
        <f>+'[37]Sheet 2 - General Insurance'!$E$10+'[37]Sheet 2 - General Insurance'!$F$10</f>
        <v>23186</v>
      </c>
      <c r="M11" s="3262">
        <f>+'[37]Sheet 2 - General Insurance'!$E$11+'[37]Sheet 2 - General Insurance'!$F$11</f>
        <v>21919</v>
      </c>
      <c r="N11" s="3262">
        <f>+'[37]Sheet 2 - General Insurance'!$E$15+'[37]Sheet 2 - General Insurance'!$F$15</f>
        <v>44825</v>
      </c>
      <c r="O11" s="2818">
        <f>+'[37]Sheet 2 - General Insurance'!$G$10</f>
        <v>9</v>
      </c>
      <c r="P11" s="2818">
        <f>+'[37]Sheet 2 - General Insurance'!$G$11</f>
        <v>7</v>
      </c>
      <c r="Q11" s="2818">
        <f>+'[37]Sheet 2 - General Insurance'!$G$15</f>
        <v>46</v>
      </c>
      <c r="R11" s="2818">
        <f>+'[37]Sheet 2 - General Insurance'!$H$10</f>
        <v>102</v>
      </c>
      <c r="S11" s="2818">
        <f>+'[37]Sheet 2 - General Insurance'!$H$11</f>
        <v>181</v>
      </c>
      <c r="T11" s="2818">
        <f>+'[37]Sheet 2 - General Insurance'!$H$15</f>
        <v>193</v>
      </c>
      <c r="X11" s="45"/>
      <c r="Y11" s="45"/>
      <c r="Z11" s="45"/>
      <c r="AA11" s="45"/>
      <c r="AB11" s="45"/>
      <c r="AC11" s="45"/>
      <c r="AD11" s="45"/>
      <c r="AE11" s="45"/>
    </row>
    <row r="12" spans="1:31">
      <c r="A12" s="58">
        <v>7</v>
      </c>
      <c r="B12" s="2938" t="s">
        <v>183</v>
      </c>
      <c r="C12" s="3329">
        <f t="shared" si="1"/>
        <v>546605</v>
      </c>
      <c r="D12" s="3329">
        <f t="shared" si="2"/>
        <v>508362</v>
      </c>
      <c r="E12" s="3329">
        <f t="shared" si="3"/>
        <v>1054967</v>
      </c>
      <c r="F12" s="3330">
        <f>+'[12]Sheet 2 - General Insurance'!$C$10</f>
        <v>20227</v>
      </c>
      <c r="G12" s="3330">
        <f>+'[12]Sheet 2 - General Insurance'!$C$11</f>
        <v>34806</v>
      </c>
      <c r="H12" s="3330">
        <f>+'[12]Sheet 2 - General Insurance'!$C$15</f>
        <v>55033</v>
      </c>
      <c r="I12" s="2818">
        <f>+'[12]Sheet 2 - General Insurance'!$D$10</f>
        <v>47963</v>
      </c>
      <c r="J12" s="2818">
        <f>+'[12]Sheet 2 - General Insurance'!$D$11</f>
        <v>70</v>
      </c>
      <c r="K12" s="2818">
        <f>+'[12]Sheet 2 - General Insurance'!$D$15</f>
        <v>48033</v>
      </c>
      <c r="L12" s="3262">
        <f>+'[12]Sheet 2 - General Insurance'!$E$10+'[12]Sheet 2 - General Insurance'!$F$10</f>
        <v>433510</v>
      </c>
      <c r="M12" s="3262">
        <f>+'[12]Sheet 2 - General Insurance'!$E$11+'[12]Sheet 2 - General Insurance'!$F$11</f>
        <v>463165</v>
      </c>
      <c r="N12" s="3262">
        <f>+'[12]Sheet 2 - General Insurance'!$E$15+'[12]Sheet 2 - General Insurance'!$F$15</f>
        <v>896675</v>
      </c>
      <c r="O12" s="2818">
        <f>+'[12]Sheet 2 - General Insurance'!$G$10</f>
        <v>2135</v>
      </c>
      <c r="P12" s="2818">
        <f>+'[12]Sheet 2 - General Insurance'!$G$11</f>
        <v>2961</v>
      </c>
      <c r="Q12" s="2818">
        <f>+'[12]Sheet 2 - General Insurance'!$G$15</f>
        <v>5096</v>
      </c>
      <c r="R12" s="2818">
        <f>+'[12]Sheet 2 - General Insurance'!$H$10</f>
        <v>42770</v>
      </c>
      <c r="S12" s="2818">
        <f>+'[12]Sheet 2 - General Insurance'!$H$11</f>
        <v>7360</v>
      </c>
      <c r="T12" s="2818">
        <f>+'[12]Sheet 2 - General Insurance'!$H$15</f>
        <v>50130</v>
      </c>
      <c r="X12" s="45"/>
      <c r="Y12" s="45"/>
      <c r="Z12" s="45"/>
      <c r="AA12" s="45"/>
      <c r="AB12" s="45"/>
      <c r="AC12" s="45"/>
      <c r="AD12" s="45"/>
      <c r="AE12" s="45"/>
    </row>
    <row r="13" spans="1:31">
      <c r="A13" s="58">
        <v>8</v>
      </c>
      <c r="B13" s="2938" t="s">
        <v>184</v>
      </c>
      <c r="C13" s="3329">
        <f t="shared" si="1"/>
        <v>195571</v>
      </c>
      <c r="D13" s="3329">
        <f t="shared" si="2"/>
        <v>147341</v>
      </c>
      <c r="E13" s="3329">
        <f t="shared" si="3"/>
        <v>327789</v>
      </c>
      <c r="F13" s="3330">
        <f>+'[38]Sheet 2 - General Insurance'!$C$10</f>
        <v>2351</v>
      </c>
      <c r="G13" s="3330">
        <f>+'[38]Sheet 2 - General Insurance'!$C$11</f>
        <v>1354</v>
      </c>
      <c r="H13" s="3330">
        <f>+'[38]Sheet 2 - General Insurance'!$C$15</f>
        <v>3871</v>
      </c>
      <c r="I13" s="2818">
        <f>+'[38]Sheet 2 - General Insurance'!$D$10</f>
        <v>1574</v>
      </c>
      <c r="J13" s="2818">
        <f>+'[38]Sheet 2 - General Insurance'!$D$11</f>
        <v>103</v>
      </c>
      <c r="K13" s="2818">
        <f>+'[38]Sheet 2 - General Insurance'!$D$15</f>
        <v>1225</v>
      </c>
      <c r="L13" s="3262">
        <f>+'[38]Sheet 2 - General Insurance'!$E$10+'[38]Sheet 2 - General Insurance'!$F$10</f>
        <v>176809</v>
      </c>
      <c r="M13" s="3262">
        <f>+'[38]Sheet 2 - General Insurance'!$E$11+'[38]Sheet 2 - General Insurance'!$F$11</f>
        <v>144422</v>
      </c>
      <c r="N13" s="3262">
        <f>+'[38]Sheet 2 - General Insurance'!$E$15+'[38]Sheet 2 - General Insurance'!$F$15</f>
        <v>321231</v>
      </c>
      <c r="O13" s="2818">
        <f>+'[38]Sheet 2 - General Insurance'!$G$10</f>
        <v>489</v>
      </c>
      <c r="P13" s="2818">
        <f>+'[38]Sheet 2 - General Insurance'!$G$11</f>
        <v>129</v>
      </c>
      <c r="Q13" s="2818">
        <f>+'[38]Sheet 2 - General Insurance'!$G$15</f>
        <v>129</v>
      </c>
      <c r="R13" s="2818">
        <f>+'[38]Sheet 2 - General Insurance'!$H$10</f>
        <v>14348</v>
      </c>
      <c r="S13" s="2818">
        <f>+'[38]Sheet 2 - General Insurance'!$H$11</f>
        <v>1333</v>
      </c>
      <c r="T13" s="2818">
        <f>+'[38]Sheet 2 - General Insurance'!$H$15</f>
        <v>1333</v>
      </c>
      <c r="X13" s="45"/>
      <c r="Y13" s="45"/>
      <c r="Z13" s="45"/>
      <c r="AA13" s="45"/>
      <c r="AB13" s="45"/>
      <c r="AC13" s="45"/>
      <c r="AD13" s="45"/>
      <c r="AE13" s="45"/>
    </row>
    <row r="14" spans="1:31">
      <c r="A14" s="58">
        <v>9</v>
      </c>
      <c r="B14" s="2939" t="s">
        <v>185</v>
      </c>
      <c r="C14" s="3329">
        <f t="shared" si="1"/>
        <v>0</v>
      </c>
      <c r="D14" s="3329">
        <f t="shared" si="2"/>
        <v>0</v>
      </c>
      <c r="E14" s="3329">
        <f t="shared" si="3"/>
        <v>0</v>
      </c>
      <c r="F14" s="3330"/>
      <c r="G14" s="3330"/>
      <c r="H14" s="3330"/>
      <c r="I14" s="2818"/>
      <c r="J14" s="2818"/>
      <c r="K14" s="2818"/>
      <c r="L14" s="3262"/>
      <c r="M14" s="3262"/>
      <c r="N14" s="3262"/>
      <c r="O14" s="2818"/>
      <c r="P14" s="2818"/>
      <c r="Q14" s="2818"/>
      <c r="R14" s="2818"/>
      <c r="S14" s="2818"/>
      <c r="T14" s="2818"/>
      <c r="X14" s="45"/>
      <c r="Y14" s="45"/>
      <c r="Z14" s="45"/>
      <c r="AA14" s="45"/>
      <c r="AB14" s="45"/>
      <c r="AC14" s="45"/>
      <c r="AD14" s="45"/>
      <c r="AE14" s="45"/>
    </row>
    <row r="15" spans="1:31">
      <c r="A15" s="81">
        <v>10</v>
      </c>
      <c r="B15" s="2089" t="s">
        <v>186</v>
      </c>
      <c r="C15" s="2932">
        <f t="shared" si="1"/>
        <v>32378</v>
      </c>
      <c r="D15" s="2932">
        <f t="shared" si="2"/>
        <v>53618</v>
      </c>
      <c r="E15" s="2932">
        <f>+H15+K15+N15+Q15+T15</f>
        <v>85996</v>
      </c>
      <c r="F15" s="3157">
        <f>+'[13]Sheet 2 - General Insurance'!$C$10</f>
        <v>7544</v>
      </c>
      <c r="G15" s="3157">
        <f>+'[13]Sheet 2 - General Insurance'!$C$11</f>
        <v>18384</v>
      </c>
      <c r="H15" s="3157">
        <f>+'[13]Sheet 2 - General Insurance'!$C$15</f>
        <v>25928</v>
      </c>
      <c r="I15" s="2818">
        <f>+'[13]Sheet 2 - General Insurance'!$D$10</f>
        <v>2047</v>
      </c>
      <c r="J15" s="2818">
        <f>+'[13]Sheet 2 - General Insurance'!$D$11</f>
        <v>32</v>
      </c>
      <c r="K15" s="2818">
        <f>+'[13]Sheet 2 - General Insurance'!$D$15</f>
        <v>2079</v>
      </c>
      <c r="L15" s="2818">
        <f>+'[13]Sheet 2 - General Insurance'!$E$10+'[13]Sheet 2 - General Insurance'!$F$10</f>
        <v>18673</v>
      </c>
      <c r="M15" s="2818">
        <f>+'[13]Sheet 2 - General Insurance'!$E$11+'[13]Sheet 2 - General Insurance'!$F$11</f>
        <v>32346</v>
      </c>
      <c r="N15" s="2818">
        <f>+'[13]Sheet 2 - General Insurance'!$E$15+'[13]Sheet 2 - General Insurance'!$F$15</f>
        <v>51019</v>
      </c>
      <c r="O15" s="2818">
        <f>+'[13]Sheet 2 - General Insurance'!$G$10</f>
        <v>112</v>
      </c>
      <c r="P15" s="2818">
        <f>+'[13]Sheet 2 - General Insurance'!$G$11</f>
        <v>108</v>
      </c>
      <c r="Q15" s="2818">
        <f>+'[13]Sheet 2 - General Insurance'!$G$15</f>
        <v>220</v>
      </c>
      <c r="R15" s="2818">
        <f>+'[13]Sheet 2 - General Insurance'!$H$10</f>
        <v>4002</v>
      </c>
      <c r="S15" s="2818">
        <f>+'[13]Sheet 2 - General Insurance'!$H$11</f>
        <v>2748</v>
      </c>
      <c r="T15" s="2818">
        <f>+'[13]Sheet 2 - General Insurance'!$H$15</f>
        <v>6750</v>
      </c>
      <c r="X15" s="45"/>
      <c r="Y15" s="45"/>
      <c r="Z15" s="45"/>
      <c r="AA15" s="45"/>
      <c r="AB15" s="45"/>
      <c r="AC15" s="45"/>
      <c r="AD15" s="45"/>
      <c r="AE15" s="45"/>
    </row>
    <row r="16" spans="1:31">
      <c r="A16" s="58">
        <v>11</v>
      </c>
      <c r="B16" s="2938" t="s">
        <v>187</v>
      </c>
      <c r="C16" s="3329">
        <f t="shared" si="1"/>
        <v>215809</v>
      </c>
      <c r="D16" s="3329">
        <f t="shared" si="2"/>
        <v>250398</v>
      </c>
      <c r="E16" s="3329">
        <f t="shared" si="3"/>
        <v>425300</v>
      </c>
      <c r="F16" s="3330">
        <f>+'[14]Sheet 2 - General Insurance'!$C$10</f>
        <v>8769</v>
      </c>
      <c r="G16" s="3330">
        <f>+'[14]Sheet 2 - General Insurance'!$C$11</f>
        <v>6956</v>
      </c>
      <c r="H16" s="3330">
        <f>+'[14]Sheet 2 - General Insurance'!$C$15</f>
        <v>12871</v>
      </c>
      <c r="I16" s="2818">
        <f>+'[14]Sheet 2 - General Insurance'!$D$10</f>
        <v>17031</v>
      </c>
      <c r="J16" s="2818">
        <f>+'[14]Sheet 2 - General Insurance'!$D$11</f>
        <v>170</v>
      </c>
      <c r="K16" s="2818">
        <f>+'[14]Sheet 2 - General Insurance'!$D$15</f>
        <v>16410</v>
      </c>
      <c r="L16" s="3262">
        <f>+'[14]Sheet 2 - General Insurance'!$E$10+'[14]Sheet 2 - General Insurance'!$F$10</f>
        <v>181667</v>
      </c>
      <c r="M16" s="3262">
        <f>+'[14]Sheet 2 - General Insurance'!$E$11+'[14]Sheet 2 - General Insurance'!$F$11</f>
        <v>238490</v>
      </c>
      <c r="N16" s="3262">
        <f>+'[14]Sheet 2 - General Insurance'!$E$15+'[14]Sheet 2 - General Insurance'!$F$15</f>
        <v>385354</v>
      </c>
      <c r="O16" s="2818">
        <v>0</v>
      </c>
      <c r="P16" s="2818">
        <v>0</v>
      </c>
      <c r="Q16" s="2818">
        <v>0</v>
      </c>
      <c r="R16" s="2818">
        <f>+'[14]Sheet 2 - General Insurance'!$H$10</f>
        <v>8342</v>
      </c>
      <c r="S16" s="2818">
        <f>+'[14]Sheet 2 - General Insurance'!$H$11</f>
        <v>4782</v>
      </c>
      <c r="T16" s="2818">
        <f>+'[14]Sheet 2 - General Insurance'!$H$15</f>
        <v>10665</v>
      </c>
      <c r="X16" s="45"/>
      <c r="Y16" s="45"/>
      <c r="Z16" s="45"/>
      <c r="AA16" s="45"/>
      <c r="AB16" s="45"/>
      <c r="AC16" s="45"/>
      <c r="AD16" s="45"/>
      <c r="AE16" s="45"/>
    </row>
    <row r="17" spans="1:31">
      <c r="A17" s="58">
        <v>12</v>
      </c>
      <c r="B17" s="2938" t="s">
        <v>189</v>
      </c>
      <c r="C17" s="3329">
        <f t="shared" si="1"/>
        <v>64196</v>
      </c>
      <c r="D17" s="3329">
        <f t="shared" si="2"/>
        <v>27923</v>
      </c>
      <c r="E17" s="3329">
        <f t="shared" si="3"/>
        <v>92119</v>
      </c>
      <c r="F17" s="3330">
        <f>+'[42]Sheet 2 - General Insurance'!$C$10</f>
        <v>544</v>
      </c>
      <c r="G17" s="3330">
        <v>0</v>
      </c>
      <c r="H17" s="3330">
        <f>+'[42]Sheet 2 - General Insurance'!$C$15</f>
        <v>544</v>
      </c>
      <c r="I17" s="2818">
        <f>+'[42]Sheet 2 - General Insurance'!$D$10</f>
        <v>106</v>
      </c>
      <c r="J17" s="2818"/>
      <c r="K17" s="2818">
        <f>+'[42]Sheet 2 - General Insurance'!$D$15</f>
        <v>106</v>
      </c>
      <c r="L17" s="3262">
        <f>+'[42]Sheet 2 - General Insurance'!$E$10+'[42]Sheet 2 - General Insurance'!$F$10</f>
        <v>63410</v>
      </c>
      <c r="M17" s="3262">
        <f>+'[42]Sheet 2 - General Insurance'!$F$11</f>
        <v>27923</v>
      </c>
      <c r="N17" s="3262">
        <f>+'[42]Sheet 2 - General Insurance'!$E$15+'[42]Sheet 2 - General Insurance'!$F$15</f>
        <v>91333</v>
      </c>
      <c r="O17" s="2818">
        <f>+'[42]Sheet 2 - General Insurance'!$G$10</f>
        <v>41</v>
      </c>
      <c r="P17" s="2818">
        <v>0</v>
      </c>
      <c r="Q17" s="2818">
        <f>+'[42]Sheet 2 - General Insurance'!$G$15</f>
        <v>41</v>
      </c>
      <c r="R17" s="2818">
        <f>+'[42]Sheet 2 - General Insurance'!$H$10</f>
        <v>95</v>
      </c>
      <c r="S17" s="2818">
        <v>0</v>
      </c>
      <c r="T17" s="2818">
        <f>+'[42]Sheet 2 - General Insurance'!$H$15</f>
        <v>95</v>
      </c>
      <c r="X17" s="45"/>
      <c r="Y17" s="45"/>
      <c r="Z17" s="45"/>
      <c r="AA17" s="45"/>
      <c r="AB17" s="45"/>
      <c r="AC17" s="45"/>
      <c r="AD17" s="45"/>
      <c r="AE17" s="45"/>
    </row>
    <row r="18" spans="1:31">
      <c r="A18" s="58">
        <v>13</v>
      </c>
      <c r="B18" s="2938" t="s">
        <v>190</v>
      </c>
      <c r="C18" s="3329">
        <f t="shared" si="1"/>
        <v>41224</v>
      </c>
      <c r="D18" s="3329">
        <f t="shared" si="2"/>
        <v>49497</v>
      </c>
      <c r="E18" s="3329">
        <f t="shared" si="3"/>
        <v>54274</v>
      </c>
      <c r="F18" s="3330">
        <f>+'[43]Sheet 2 - General Insurance'!$C$10</f>
        <v>1090</v>
      </c>
      <c r="G18" s="3330">
        <f>+'[43]Sheet 2 - General Insurance'!$C$11</f>
        <v>487</v>
      </c>
      <c r="H18" s="3330">
        <f>+'[43]Sheet 2 - General Insurance'!$C$15</f>
        <v>1294</v>
      </c>
      <c r="I18" s="2818">
        <f>+'[43]Sheet 2 - General Insurance'!$D$10</f>
        <v>1817</v>
      </c>
      <c r="J18" s="2818">
        <f>+'[43]Sheet 2 - General Insurance'!$D$11</f>
        <v>227</v>
      </c>
      <c r="K18" s="2818">
        <f>+'[43]Sheet 2 - General Insurance'!$D$15</f>
        <v>1802</v>
      </c>
      <c r="L18" s="3262">
        <f>+'[43]Sheet 2 - General Insurance'!$E$10+'[43]Sheet 2 - General Insurance'!$F$10</f>
        <v>35737</v>
      </c>
      <c r="M18" s="3262">
        <f>+'[43]Sheet 2 - General Insurance'!$F$11</f>
        <v>48451</v>
      </c>
      <c r="N18" s="3262">
        <f>+'[43]Sheet 2 - General Insurance'!$E$15+'[43]Sheet 2 - General Insurance'!$F$15</f>
        <v>48451</v>
      </c>
      <c r="O18" s="2818">
        <f>+'[43]Sheet 2 - General Insurance'!$G$10</f>
        <v>0</v>
      </c>
      <c r="P18" s="2818"/>
      <c r="Q18" s="2818"/>
      <c r="R18" s="2818">
        <f>+'[43]Sheet 2 - General Insurance'!$H$10</f>
        <v>2580</v>
      </c>
      <c r="S18" s="2818">
        <f>+'[43]Sheet 2 - General Insurance'!$H$11</f>
        <v>332</v>
      </c>
      <c r="T18" s="2818">
        <f>+'[43]Sheet 2 - General Insurance'!$H$15</f>
        <v>2727</v>
      </c>
      <c r="X18" s="45"/>
      <c r="Y18" s="45"/>
      <c r="Z18" s="45"/>
      <c r="AA18" s="45"/>
      <c r="AB18" s="45"/>
      <c r="AC18" s="45"/>
      <c r="AD18" s="45"/>
      <c r="AE18" s="45"/>
    </row>
    <row r="19" spans="1:31">
      <c r="A19" s="58">
        <v>14</v>
      </c>
      <c r="B19" s="2939" t="s">
        <v>192</v>
      </c>
      <c r="C19" s="3329">
        <f t="shared" si="1"/>
        <v>33221</v>
      </c>
      <c r="D19" s="3329">
        <f t="shared" si="2"/>
        <v>61482</v>
      </c>
      <c r="E19" s="3329">
        <f t="shared" si="3"/>
        <v>88712</v>
      </c>
      <c r="F19" s="3330">
        <f>+'[40]Sheet 2 - General Insurance'!$C$10</f>
        <v>3495</v>
      </c>
      <c r="G19" s="3330">
        <f>+'[40]Sheet 2 - General Insurance'!$C$11</f>
        <v>5013</v>
      </c>
      <c r="H19" s="3330">
        <f>+'[40]Sheet 2 - General Insurance'!$C$15</f>
        <v>8508</v>
      </c>
      <c r="I19" s="2818">
        <f>+'[40]Sheet 2 - General Insurance'!$D$10</f>
        <v>337</v>
      </c>
      <c r="J19" s="2818">
        <v>0</v>
      </c>
      <c r="K19" s="2818">
        <f>+'[40]Sheet 2 - General Insurance'!$D$15</f>
        <v>337</v>
      </c>
      <c r="L19" s="3262">
        <f>+'[40]Sheet 2 - General Insurance'!$E$10+'[40]Sheet 2 - General Insurance'!$F$10</f>
        <v>27308</v>
      </c>
      <c r="M19" s="3262">
        <f>+'[40]Sheet 2 - General Insurance'!$E$11+'[40]Sheet 2 - General Insurance'!$F$11</f>
        <v>56380</v>
      </c>
      <c r="N19" s="3262">
        <f>+'[40]Sheet 2 - General Insurance'!$E$15+'[40]Sheet 2 - General Insurance'!$F$15</f>
        <v>77697</v>
      </c>
      <c r="O19" s="2818">
        <f>+'[40]Sheet 2 - General Insurance'!$G$10</f>
        <v>1</v>
      </c>
      <c r="P19" s="2818">
        <f>+'[40]Sheet 2 - General Insurance'!$G$11</f>
        <v>2</v>
      </c>
      <c r="Q19" s="2818">
        <f>+'[40]Sheet 2 - General Insurance'!$G$15</f>
        <v>3</v>
      </c>
      <c r="R19" s="2818">
        <f>+'[40]Sheet 2 - General Insurance'!$H$10</f>
        <v>2080</v>
      </c>
      <c r="S19" s="2818">
        <f>+'[40]Sheet 2 - General Insurance'!$H$11</f>
        <v>87</v>
      </c>
      <c r="T19" s="2818">
        <f>+'[40]Sheet 2 - General Insurance'!$H$15</f>
        <v>2167</v>
      </c>
      <c r="X19" s="45"/>
      <c r="Y19" s="45"/>
      <c r="Z19" s="45"/>
      <c r="AA19" s="45"/>
      <c r="AB19" s="45"/>
      <c r="AC19" s="45"/>
      <c r="AD19" s="45"/>
      <c r="AE19" s="45"/>
    </row>
    <row r="20" spans="1:31">
      <c r="A20" s="58">
        <v>15</v>
      </c>
      <c r="B20" s="2938" t="s">
        <v>193</v>
      </c>
      <c r="C20" s="3329">
        <f t="shared" si="1"/>
        <v>438458</v>
      </c>
      <c r="D20" s="3329">
        <f>+G20+J20+M20+P20+S20</f>
        <v>814353</v>
      </c>
      <c r="E20" s="3329">
        <f t="shared" si="3"/>
        <v>1230479</v>
      </c>
      <c r="F20" s="3330">
        <f>+'[47]Sheet 2 - General Insurance'!$C$10</f>
        <v>14169</v>
      </c>
      <c r="G20" s="3330">
        <f>+'[47]Sheet 2 - General Insurance'!$C$11</f>
        <v>24810</v>
      </c>
      <c r="H20" s="3330">
        <f>+'[47]Sheet 2 - General Insurance'!$C$15</f>
        <v>39435</v>
      </c>
      <c r="I20" s="2818">
        <f>+'[47]Sheet 2 - General Insurance'!$D$10</f>
        <v>19342</v>
      </c>
      <c r="J20" s="2818">
        <f>+'[47]Sheet 2 - General Insurance'!$D$11</f>
        <v>934</v>
      </c>
      <c r="K20" s="2818">
        <f>+'[47]Sheet 2 - General Insurance'!$D$15</f>
        <v>2350</v>
      </c>
      <c r="L20" s="3262">
        <f>+'[47]Sheet 2 - General Insurance'!$E$10+'[47]Sheet 2 - General Insurance'!$F$10</f>
        <v>392719</v>
      </c>
      <c r="M20" s="3262">
        <f>+'[47]Sheet 2 - General Insurance'!$E$11+'[47]Sheet 2 - General Insurance'!$F$11</f>
        <v>769386</v>
      </c>
      <c r="N20" s="3262">
        <f>+'[47]Sheet 2 - General Insurance'!$E$15+'[47]Sheet 2 - General Insurance'!$F$15</f>
        <v>1167726</v>
      </c>
      <c r="O20" s="2818">
        <f>+'[47]Sheet 2 - General Insurance'!$G$10</f>
        <v>858</v>
      </c>
      <c r="P20" s="2818">
        <f>+'[47]Sheet 2 - General Insurance'!$G$11</f>
        <v>1401</v>
      </c>
      <c r="Q20" s="2818">
        <f>+'[47]Sheet 2 - General Insurance'!$G$15</f>
        <v>2015</v>
      </c>
      <c r="R20" s="2818">
        <f>+'[47]Sheet 2 - General Insurance'!$H$10</f>
        <v>11370</v>
      </c>
      <c r="S20" s="2818">
        <f>+'[47]Sheet 2 - General Insurance'!$H$11</f>
        <v>17822</v>
      </c>
      <c r="T20" s="2818">
        <f>+'[47]Sheet 2 - General Insurance'!$H$15</f>
        <v>18953</v>
      </c>
      <c r="X20" s="45"/>
      <c r="Y20" s="45"/>
      <c r="Z20" s="45"/>
      <c r="AA20" s="45"/>
      <c r="AB20" s="45"/>
      <c r="AC20" s="45"/>
      <c r="AD20" s="45"/>
      <c r="AE20" s="45"/>
    </row>
    <row r="21" spans="1:31">
      <c r="A21" s="58">
        <v>16</v>
      </c>
      <c r="B21" s="2938" t="s">
        <v>194</v>
      </c>
      <c r="C21" s="3329">
        <f t="shared" si="1"/>
        <v>27492</v>
      </c>
      <c r="D21" s="3329">
        <f>+G21+J21+M21+P21+S21</f>
        <v>23944</v>
      </c>
      <c r="E21" s="3329">
        <f t="shared" si="3"/>
        <v>49436</v>
      </c>
      <c r="F21" s="3330">
        <f>+'[15]Sheet 2 - General Insurance'!$C$10</f>
        <v>392</v>
      </c>
      <c r="G21" s="3330">
        <f>+'[15]Sheet 2 - General Insurance'!$C$11</f>
        <v>680</v>
      </c>
      <c r="H21" s="3330">
        <f>+'[15]Sheet 2 - General Insurance'!$C$15</f>
        <v>1072</v>
      </c>
      <c r="I21" s="2818">
        <v>0</v>
      </c>
      <c r="J21" s="2818">
        <v>0</v>
      </c>
      <c r="K21" s="2818">
        <v>0</v>
      </c>
      <c r="L21" s="3262">
        <f>+'[15]Sheet 2 - General Insurance'!$E$10+'[15]Sheet 2 - General Insurance'!$F$10</f>
        <v>22241</v>
      </c>
      <c r="M21" s="3262">
        <f>+'[15]Sheet 2 - General Insurance'!$E$11+'[15]Sheet 2 - General Insurance'!$F$11</f>
        <v>19299</v>
      </c>
      <c r="N21" s="3262">
        <f>+'[15]Sheet 2 - General Insurance'!$E$15+'[15]Sheet 2 - General Insurance'!$F$15</f>
        <v>39540</v>
      </c>
      <c r="O21" s="2818">
        <f>+'[15]Sheet 2 - General Insurance'!$G$10</f>
        <v>2</v>
      </c>
      <c r="P21" s="2818">
        <f>+'[15]Sheet 2 - General Insurance'!$G$11</f>
        <v>16</v>
      </c>
      <c r="Q21" s="2818">
        <f>+'[15]Sheet 2 - General Insurance'!$G$15</f>
        <v>18</v>
      </c>
      <c r="R21" s="2818">
        <f>+'[15]Sheet 2 - General Insurance'!$H$10</f>
        <v>4857</v>
      </c>
      <c r="S21" s="2818">
        <f>+'[15]Sheet 2 - General Insurance'!$H$11</f>
        <v>3949</v>
      </c>
      <c r="T21" s="2818">
        <f>+'[15]Sheet 2 - General Insurance'!$H$15</f>
        <v>8806</v>
      </c>
      <c r="X21" s="45"/>
      <c r="Y21" s="45"/>
      <c r="Z21" s="45"/>
      <c r="AA21" s="45"/>
      <c r="AB21" s="45"/>
      <c r="AC21" s="45"/>
      <c r="AD21" s="45"/>
      <c r="AE21" s="45"/>
    </row>
    <row r="22" spans="1:31">
      <c r="A22" s="58">
        <v>17</v>
      </c>
      <c r="B22" s="2938" t="s">
        <v>195</v>
      </c>
      <c r="C22" s="3329">
        <f t="shared" si="1"/>
        <v>78565</v>
      </c>
      <c r="D22" s="3329">
        <f>+G22+J22+M22+P22+S22</f>
        <v>67550</v>
      </c>
      <c r="E22" s="3329">
        <f t="shared" si="3"/>
        <v>146115</v>
      </c>
      <c r="F22" s="3330">
        <f>+'[48]Sheet 2 - General Insurance'!$C$10</f>
        <v>3923</v>
      </c>
      <c r="G22" s="3330">
        <f>+'[48]Sheet 2 - General Insurance'!$C$11</f>
        <v>7671</v>
      </c>
      <c r="H22" s="3330">
        <f>+'[48]Sheet 2 - General Insurance'!$C$15</f>
        <v>11594</v>
      </c>
      <c r="I22" s="2818">
        <f>+'[48]Sheet 2 - General Insurance'!$D$10</f>
        <v>24058</v>
      </c>
      <c r="J22" s="2818">
        <f>+'[48]Sheet 2 - General Insurance'!$D$11</f>
        <v>404</v>
      </c>
      <c r="K22" s="2818">
        <f>+'[48]Sheet 2 - General Insurance'!$D$15</f>
        <v>24462</v>
      </c>
      <c r="L22" s="3262">
        <f>+'[48]Sheet 2 - General Insurance'!$E$10+'[48]Sheet 2 - General Insurance'!$F$10</f>
        <v>43773</v>
      </c>
      <c r="M22" s="3262">
        <f>+'[48]Sheet 2 - General Insurance'!$E$11+'[48]Sheet 2 - General Insurance'!$F$11</f>
        <v>54916</v>
      </c>
      <c r="N22" s="3262">
        <f>+'[48]Sheet 2 - General Insurance'!$E$15+'[48]Sheet 2 - General Insurance'!$F$15</f>
        <v>98689</v>
      </c>
      <c r="O22" s="2818">
        <f>+'[48]Sheet 2 - General Insurance'!$G$10</f>
        <v>532</v>
      </c>
      <c r="P22" s="2818">
        <f>+'[44]Sheet 2 - General Insurance'!$G$11</f>
        <v>999</v>
      </c>
      <c r="Q22" s="2818">
        <f>+'[44]Sheet 2 - General Insurance'!$G$15</f>
        <v>1531</v>
      </c>
      <c r="R22" s="2818">
        <f>+'[44]Sheet 2 - General Insurance'!$H$10</f>
        <v>6279</v>
      </c>
      <c r="S22" s="2818">
        <f>+'[44]Sheet 2 - General Insurance'!$H$11</f>
        <v>3560</v>
      </c>
      <c r="T22" s="2818">
        <f>+'[44]Sheet 2 - General Insurance'!$H$15</f>
        <v>9839</v>
      </c>
      <c r="X22" s="45"/>
      <c r="Y22" s="45"/>
      <c r="Z22" s="45"/>
      <c r="AA22" s="45"/>
      <c r="AB22" s="45"/>
      <c r="AC22" s="45"/>
      <c r="AD22" s="45"/>
      <c r="AE22" s="45"/>
    </row>
    <row r="23" spans="1:31">
      <c r="A23" s="58">
        <v>18</v>
      </c>
      <c r="B23" s="2939" t="s">
        <v>191</v>
      </c>
      <c r="C23" s="3329">
        <f t="shared" si="1"/>
        <v>10132</v>
      </c>
      <c r="D23" s="3329">
        <f>+G23+J23+M23+P23+S23</f>
        <v>42</v>
      </c>
      <c r="E23" s="3329">
        <f t="shared" si="3"/>
        <v>8941</v>
      </c>
      <c r="F23" s="3330">
        <f>+'[36]Sheet 2 - General Insurance'!$C$10</f>
        <v>299</v>
      </c>
      <c r="G23" s="3330">
        <f>+'[36]Sheet 2 - General Insurance'!$C$11</f>
        <v>1</v>
      </c>
      <c r="H23" s="3330">
        <f>+'[36]Sheet 2 - General Insurance'!$C$15</f>
        <v>252</v>
      </c>
      <c r="I23" s="2818">
        <f>+'[36]Sheet 2 - General Insurance'!$D$10</f>
        <v>591</v>
      </c>
      <c r="J23" s="2818">
        <f>+'[36]Sheet 2 - General Insurance'!$D$11</f>
        <v>0</v>
      </c>
      <c r="K23" s="2818">
        <f>+'[36]Sheet 2 - General Insurance'!$D$15</f>
        <v>561</v>
      </c>
      <c r="L23" s="3262">
        <f>+'[36]Sheet 2 - General Insurance'!$E$10+'[36]Sheet 2 - General Insurance'!$F$10</f>
        <v>9134</v>
      </c>
      <c r="M23" s="3262">
        <f>+'[36]Sheet 2 - General Insurance'!$E$11+'[36]Sheet 2 - General Insurance'!$F$11</f>
        <v>41</v>
      </c>
      <c r="N23" s="3262">
        <f>+'[36]Sheet 2 - General Insurance'!$E$15+'[36]Sheet 2 - General Insurance'!$F$15</f>
        <v>8032</v>
      </c>
      <c r="O23" s="2818">
        <f>+'[36]Sheet 2 - General Insurance'!$G$10</f>
        <v>19</v>
      </c>
      <c r="P23" s="2818"/>
      <c r="Q23" s="2818">
        <f>+'[36]Sheet 2 - General Insurance'!$G$15</f>
        <v>16</v>
      </c>
      <c r="R23" s="2818">
        <f>+'[36]Sheet 2 - General Insurance'!$H$10</f>
        <v>89</v>
      </c>
      <c r="S23" s="2818"/>
      <c r="T23" s="2818">
        <f>+'[36]Sheet 2 - General Insurance'!$H$15</f>
        <v>80</v>
      </c>
      <c r="X23" s="45"/>
      <c r="Y23" s="45"/>
      <c r="Z23" s="45"/>
      <c r="AA23" s="45"/>
      <c r="AB23" s="45"/>
      <c r="AC23" s="45"/>
      <c r="AD23" s="45"/>
      <c r="AE23" s="45"/>
    </row>
    <row r="24" spans="1:31">
      <c r="A24" s="58">
        <v>19</v>
      </c>
      <c r="B24" s="2939" t="s">
        <v>110</v>
      </c>
      <c r="C24" s="3329">
        <f t="shared" si="1"/>
        <v>0</v>
      </c>
      <c r="D24" s="3329">
        <f>+G24+J24+M24+P24+S24</f>
        <v>0</v>
      </c>
      <c r="E24" s="3329">
        <f t="shared" si="3"/>
        <v>0</v>
      </c>
      <c r="F24" s="3330"/>
      <c r="G24" s="3330"/>
      <c r="H24" s="3330"/>
      <c r="I24" s="2818"/>
      <c r="J24" s="2818"/>
      <c r="K24" s="2818"/>
      <c r="L24" s="3262"/>
      <c r="M24" s="3262"/>
      <c r="N24" s="3262"/>
      <c r="O24" s="2818"/>
      <c r="P24" s="2818"/>
      <c r="Q24" s="2818"/>
      <c r="R24" s="2818"/>
      <c r="S24" s="2818"/>
      <c r="T24" s="2818"/>
      <c r="X24" s="45"/>
      <c r="Y24" s="45"/>
      <c r="Z24" s="45"/>
      <c r="AA24" s="45"/>
      <c r="AB24" s="45"/>
      <c r="AC24" s="45"/>
      <c r="AD24" s="45"/>
      <c r="AE24" s="45"/>
    </row>
    <row r="25" spans="1:31">
      <c r="B25" s="3122" t="s">
        <v>118</v>
      </c>
      <c r="C25" s="3117">
        <f>SUM(C6:C24)</f>
        <v>1884242</v>
      </c>
      <c r="D25" s="3117">
        <f>SUM(D6:D24)</f>
        <v>2187399</v>
      </c>
      <c r="E25" s="3117">
        <f>SUM(E6:E24)</f>
        <v>3895879</v>
      </c>
      <c r="F25" s="3330">
        <f>SUM(F6:F24)</f>
        <v>70199</v>
      </c>
      <c r="G25" s="3330">
        <f t="shared" ref="G25:S25" si="4">SUM(G6:G24)</f>
        <v>115714</v>
      </c>
      <c r="H25" s="3330">
        <f t="shared" si="4"/>
        <v>182745</v>
      </c>
      <c r="I25" s="3259">
        <f t="shared" si="4"/>
        <v>148869</v>
      </c>
      <c r="J25" s="3259">
        <f t="shared" si="4"/>
        <v>2095</v>
      </c>
      <c r="K25" s="3259">
        <f t="shared" si="4"/>
        <v>118845</v>
      </c>
      <c r="L25" s="3263">
        <f t="shared" si="4"/>
        <v>1534696</v>
      </c>
      <c r="M25" s="3263">
        <f t="shared" si="4"/>
        <v>1984604</v>
      </c>
      <c r="N25" s="3263">
        <f t="shared" si="4"/>
        <v>3443388</v>
      </c>
      <c r="O25" s="3259">
        <f t="shared" si="4"/>
        <v>4709</v>
      </c>
      <c r="P25" s="3259">
        <f t="shared" si="4"/>
        <v>6368</v>
      </c>
      <c r="Q25" s="3259">
        <f t="shared" si="4"/>
        <v>10368</v>
      </c>
      <c r="R25" s="3259">
        <f t="shared" si="4"/>
        <v>125769</v>
      </c>
      <c r="S25" s="3259">
        <f t="shared" si="4"/>
        <v>78618</v>
      </c>
      <c r="T25" s="3259">
        <f>SUM(T6:T24)</f>
        <v>140533</v>
      </c>
    </row>
    <row r="26" spans="1:31">
      <c r="B26" s="44"/>
      <c r="C26" s="157"/>
      <c r="D26" s="157"/>
      <c r="E26" s="157"/>
      <c r="F26" s="157"/>
      <c r="G26" s="157"/>
      <c r="H26" s="157"/>
      <c r="I26" s="157"/>
      <c r="J26" s="157"/>
      <c r="K26" s="157"/>
      <c r="L26" s="157"/>
      <c r="M26" s="157"/>
      <c r="N26" s="157"/>
      <c r="O26" s="157"/>
      <c r="P26" s="157"/>
      <c r="Q26" s="157"/>
      <c r="R26" s="157"/>
      <c r="S26" s="157"/>
      <c r="T26" s="157"/>
    </row>
    <row r="27" spans="1:31">
      <c r="B27" s="44"/>
      <c r="C27" s="157"/>
      <c r="D27" s="157"/>
      <c r="E27" s="157"/>
      <c r="F27" s="157"/>
      <c r="G27" s="157"/>
      <c r="H27" s="157"/>
      <c r="I27" s="157"/>
      <c r="J27" s="157"/>
      <c r="K27" s="157"/>
      <c r="L27" s="157"/>
      <c r="M27" s="157"/>
      <c r="N27" s="157"/>
      <c r="O27" s="157"/>
      <c r="P27" s="157"/>
      <c r="Q27" s="157"/>
      <c r="R27" s="157"/>
      <c r="S27" s="157"/>
      <c r="T27" s="157"/>
    </row>
    <row r="28" spans="1:31">
      <c r="B28" s="3942" t="s">
        <v>709</v>
      </c>
      <c r="C28" s="3955" t="s">
        <v>118</v>
      </c>
      <c r="D28" s="3956"/>
      <c r="E28" s="3957"/>
      <c r="F28" s="3945" t="s">
        <v>412</v>
      </c>
      <c r="G28" s="3946"/>
      <c r="H28" s="3947"/>
      <c r="I28" s="3949" t="s">
        <v>413</v>
      </c>
      <c r="J28" s="3950"/>
      <c r="K28" s="3951"/>
      <c r="L28" s="3952" t="s">
        <v>414</v>
      </c>
      <c r="M28" s="3953"/>
      <c r="N28" s="3954"/>
      <c r="O28" s="3949" t="s">
        <v>701</v>
      </c>
      <c r="P28" s="3950"/>
      <c r="Q28" s="3951"/>
      <c r="R28" s="3949" t="s">
        <v>416</v>
      </c>
      <c r="S28" s="3950"/>
      <c r="T28" s="3951"/>
    </row>
    <row r="29" spans="1:31">
      <c r="B29" s="3943"/>
      <c r="C29" s="3327" t="s">
        <v>956</v>
      </c>
      <c r="D29" s="3327" t="s">
        <v>957</v>
      </c>
      <c r="E29" s="3327" t="s">
        <v>958</v>
      </c>
      <c r="F29" s="3328" t="s">
        <v>956</v>
      </c>
      <c r="G29" s="3328" t="s">
        <v>957</v>
      </c>
      <c r="H29" s="3328" t="s">
        <v>958</v>
      </c>
      <c r="I29" s="2906" t="s">
        <v>956</v>
      </c>
      <c r="J29" s="2906" t="s">
        <v>957</v>
      </c>
      <c r="K29" s="2906" t="s">
        <v>958</v>
      </c>
      <c r="L29" s="3256" t="s">
        <v>956</v>
      </c>
      <c r="M29" s="3256" t="s">
        <v>957</v>
      </c>
      <c r="N29" s="3256" t="s">
        <v>958</v>
      </c>
      <c r="O29" s="2906" t="s">
        <v>956</v>
      </c>
      <c r="P29" s="2906" t="s">
        <v>957</v>
      </c>
      <c r="Q29" s="2906" t="s">
        <v>958</v>
      </c>
      <c r="R29" s="2906" t="s">
        <v>956</v>
      </c>
      <c r="S29" s="2906" t="s">
        <v>957</v>
      </c>
      <c r="T29" s="2906" t="s">
        <v>958</v>
      </c>
    </row>
    <row r="30" spans="1:31">
      <c r="A30" s="58">
        <v>1</v>
      </c>
      <c r="B30" s="2938" t="s">
        <v>175</v>
      </c>
      <c r="C30" s="3329">
        <f t="shared" ref="C30:C42" si="5">+F30+I30+L30+O30+R30</f>
        <v>13693</v>
      </c>
      <c r="D30" s="3329">
        <f t="shared" ref="D30:D42" si="6">+G30+J30+M30+P30+S30</f>
        <v>6904</v>
      </c>
      <c r="E30" s="3329">
        <f t="shared" ref="E30:E42" si="7">+H30+K30+N30+Q30+T30</f>
        <v>18131</v>
      </c>
      <c r="F30" s="3330">
        <f>+'[11]Sheet 2 - General Insurance'!$C$12</f>
        <v>882</v>
      </c>
      <c r="G30" s="3330">
        <f>+'[11]Sheet 2 - General Insurance'!$C$13</f>
        <v>1388</v>
      </c>
      <c r="H30" s="3330">
        <f>+'[11]Sheet 2 - General Insurance'!$C$16</f>
        <v>2082</v>
      </c>
      <c r="I30" s="3331">
        <f>+'[11]Sheet 2 - General Insurance'!$D$12</f>
        <v>5475</v>
      </c>
      <c r="J30" s="3331">
        <f>+'[11]Sheet 2 - General Insurance'!$D$13</f>
        <v>33</v>
      </c>
      <c r="K30" s="3331">
        <f>+'[11]Sheet 2 - General Insurance'!$D$16</f>
        <v>5422</v>
      </c>
      <c r="L30" s="3260">
        <f>+'[11]Sheet 2 - General Insurance'!$E$12+'[11]Sheet 2 - General Insurance'!$F$12</f>
        <v>6437</v>
      </c>
      <c r="M30" s="3260">
        <f>+'[11]Sheet 2 - General Insurance'!$E$13+'[11]Sheet 2 - General Insurance'!$F$13</f>
        <v>4919</v>
      </c>
      <c r="N30" s="3260">
        <f>+'[11]Sheet 2 - General Insurance'!$E$16+'[11]Sheet 2 - General Insurance'!$F$16</f>
        <v>9315</v>
      </c>
      <c r="O30" s="3331">
        <f>+'[11]Sheet 2 - General Insurance'!$G$12</f>
        <v>102</v>
      </c>
      <c r="P30" s="3331">
        <f>+'[11]Sheet 2 - General Insurance'!$G$13</f>
        <v>134</v>
      </c>
      <c r="Q30" s="3331">
        <f>+'[11]Sheet 2 - General Insurance'!$G$16</f>
        <v>229</v>
      </c>
      <c r="R30" s="3331">
        <f>+'[11]Sheet 2 - General Insurance'!$H$12</f>
        <v>797</v>
      </c>
      <c r="S30" s="3331">
        <f>+'[11]Sheet 2 - General Insurance'!$H$13</f>
        <v>430</v>
      </c>
      <c r="T30" s="3331">
        <f>+'[11]Sheet 2 - General Insurance'!$H$16</f>
        <v>1083</v>
      </c>
    </row>
    <row r="31" spans="1:31">
      <c r="A31" s="81">
        <v>2</v>
      </c>
      <c r="B31" s="2089" t="s">
        <v>177</v>
      </c>
      <c r="C31" s="2932">
        <f t="shared" si="5"/>
        <v>2218</v>
      </c>
      <c r="D31" s="2932">
        <f t="shared" si="6"/>
        <v>4393</v>
      </c>
      <c r="E31" s="2932">
        <f t="shared" si="7"/>
        <v>6611</v>
      </c>
      <c r="F31" s="3157">
        <f>+'[9]Sheet 2 - General Insurance'!$C$12</f>
        <v>102</v>
      </c>
      <c r="G31" s="3157">
        <f>+'[9]Sheet 2 - General Insurance'!$C$13</f>
        <v>730</v>
      </c>
      <c r="H31" s="3157">
        <f>+'[9]Sheet 2 - General Insurance'!$C$16</f>
        <v>832</v>
      </c>
      <c r="I31" s="2818">
        <f>+'[9]Sheet 2 - General Insurance'!$D$12</f>
        <v>1648</v>
      </c>
      <c r="J31" s="2818">
        <f>+'[9]Sheet 2 - General Insurance'!$D$13</f>
        <v>22</v>
      </c>
      <c r="K31" s="2818">
        <f>+'[9]Sheet 2 - General Insurance'!$D$16</f>
        <v>1670</v>
      </c>
      <c r="L31" s="2818">
        <f>+'[9]Sheet 2 - General Insurance'!$E$12</f>
        <v>398</v>
      </c>
      <c r="M31" s="2818">
        <f>+'[9]Sheet 2 - General Insurance'!$E$13</f>
        <v>1816</v>
      </c>
      <c r="N31" s="2818">
        <f>+'[9]Sheet 2 - General Insurance'!$E$16</f>
        <v>2214</v>
      </c>
      <c r="O31" s="2818">
        <f>+'[9]Sheet 2 - General Insurance'!$G$12</f>
        <v>9</v>
      </c>
      <c r="P31" s="2818">
        <f>+'[9]Sheet 2 - General Insurance'!$G$13</f>
        <v>184</v>
      </c>
      <c r="Q31" s="2818">
        <f>+'[9]Sheet 2 - General Insurance'!$G$16</f>
        <v>193</v>
      </c>
      <c r="R31" s="2818">
        <f>+'[9]Sheet 2 - General Insurance'!$H$12</f>
        <v>61</v>
      </c>
      <c r="S31" s="2818">
        <f>+'[9]Sheet 2 - General Insurance'!$H$13</f>
        <v>1641</v>
      </c>
      <c r="T31" s="2818">
        <f>+'[9]Sheet 2 - General Insurance'!$H$16</f>
        <v>1702</v>
      </c>
      <c r="X31" s="45"/>
      <c r="Y31" s="45"/>
      <c r="Z31" s="45"/>
      <c r="AA31" s="45"/>
      <c r="AB31" s="45"/>
      <c r="AC31" s="45"/>
      <c r="AD31" s="45"/>
      <c r="AE31" s="45"/>
    </row>
    <row r="32" spans="1:31">
      <c r="A32" s="58">
        <v>3</v>
      </c>
      <c r="B32" s="2938" t="s">
        <v>179</v>
      </c>
      <c r="C32" s="3329">
        <f>+F32+I32+L32+O32+R32</f>
        <v>78498</v>
      </c>
      <c r="D32" s="3329">
        <f>+G32+J32+M32+P32+S32</f>
        <v>62882</v>
      </c>
      <c r="E32" s="3329">
        <f>+H32+K32+N32+Q32+T32</f>
        <v>128781</v>
      </c>
      <c r="F32" s="3330">
        <f>+'[8]Sheet 2 - General Insurance'!$C$12</f>
        <v>5658</v>
      </c>
      <c r="G32" s="3330">
        <f>+'[8]Sheet 2 - General Insurance'!$C$13</f>
        <v>10146</v>
      </c>
      <c r="H32" s="3330">
        <f>+'[8]Sheet 2 - General Insurance'!$C$16</f>
        <v>14028</v>
      </c>
      <c r="I32" s="2818">
        <f>+'[8]Sheet 2 - General Insurance'!$D$12</f>
        <v>15870</v>
      </c>
      <c r="J32" s="2818">
        <f>+'[8]Sheet 2 - General Insurance'!$D$13</f>
        <v>67</v>
      </c>
      <c r="K32" s="2818">
        <f>+'[8]Sheet 2 - General Insurance'!$D$16</f>
        <v>9548</v>
      </c>
      <c r="L32" s="3262">
        <f>+'[8]Sheet 2 - General Insurance'!$E$12+'[8]Sheet 2 - General Insurance'!$F$12</f>
        <v>49962</v>
      </c>
      <c r="M32" s="3262">
        <f>+'[8]Sheet 2 - General Insurance'!$E$13+'[8]Sheet 2 - General Insurance'!$F$13</f>
        <v>45159</v>
      </c>
      <c r="N32" s="3262">
        <f>+'[8]Sheet 2 - General Insurance'!$E$16+'[8]Sheet 2 - General Insurance'!$F$16</f>
        <v>85508</v>
      </c>
      <c r="O32" s="2818">
        <f>+'[8]Sheet 2 - General Insurance'!$G$12</f>
        <v>188</v>
      </c>
      <c r="P32" s="2818">
        <f>+'[8]Sheet 2 - General Insurance'!$G$13</f>
        <v>303</v>
      </c>
      <c r="Q32" s="2818">
        <f>+'[8]Sheet 2 - General Insurance'!$G$16</f>
        <v>393</v>
      </c>
      <c r="R32" s="2818">
        <f>+'[8]Sheet 2 - General Insurance'!$H$12</f>
        <v>6820</v>
      </c>
      <c r="S32" s="2818">
        <f>+'[8]Sheet 2 - General Insurance'!$H$13</f>
        <v>7207</v>
      </c>
      <c r="T32" s="2818">
        <f>+'[8]Sheet 2 - General Insurance'!$H$16</f>
        <v>19304</v>
      </c>
      <c r="X32" s="45"/>
      <c r="Y32" s="45"/>
      <c r="Z32" s="45"/>
      <c r="AA32" s="45"/>
      <c r="AB32" s="45"/>
      <c r="AC32" s="45"/>
      <c r="AD32" s="45"/>
      <c r="AE32" s="45"/>
    </row>
    <row r="33" spans="1:31">
      <c r="A33" s="58">
        <v>4</v>
      </c>
      <c r="B33" s="2938" t="s">
        <v>180</v>
      </c>
      <c r="C33" s="3329">
        <f t="shared" si="5"/>
        <v>85003</v>
      </c>
      <c r="D33" s="3329">
        <f t="shared" si="6"/>
        <v>47598</v>
      </c>
      <c r="E33" s="3329">
        <f t="shared" si="7"/>
        <v>107094</v>
      </c>
      <c r="F33" s="3330">
        <f>+'[49]Sheet 2 - General Insurance'!$C$12</f>
        <v>937</v>
      </c>
      <c r="G33" s="3330">
        <f>+'[49]Sheet 2 - General Insurance'!$C$13</f>
        <v>616</v>
      </c>
      <c r="H33" s="3330">
        <f>+'[49]Sheet 2 - General Insurance'!$C$16</f>
        <v>1263</v>
      </c>
      <c r="I33" s="2818">
        <f>+'[49]Sheet 2 - General Insurance'!$D$12</f>
        <v>5889</v>
      </c>
      <c r="J33" s="2818">
        <f>+'[49]Sheet 2 - General Insurance'!$D$13</f>
        <v>12</v>
      </c>
      <c r="K33" s="2818">
        <f>+'[49]Sheet 2 - General Insurance'!$D$16</f>
        <v>5850</v>
      </c>
      <c r="L33" s="3262">
        <f>+'[49]Sheet 2 - General Insurance'!$E$12+'[49]Sheet 2 - General Insurance'!$F$12</f>
        <v>76811</v>
      </c>
      <c r="M33" s="3262">
        <f>+'[49]Sheet 2 - General Insurance'!$E$13+'[49]Sheet 2 - General Insurance'!$F$13</f>
        <v>45192</v>
      </c>
      <c r="N33" s="3262">
        <f>+'[49]Sheet 2 - General Insurance'!$E$16+'[49]Sheet 2 - General Insurance'!$F$16</f>
        <v>97673</v>
      </c>
      <c r="O33" s="2818">
        <f>+'[49]Sheet 2 - General Insurance'!$G$12</f>
        <v>109</v>
      </c>
      <c r="P33" s="2818">
        <f>+'[49]Sheet 2 - General Insurance'!$G$13</f>
        <v>86</v>
      </c>
      <c r="Q33" s="2818">
        <f>+'[49]Sheet 2 - General Insurance'!$G$16</f>
        <v>145</v>
      </c>
      <c r="R33" s="2818">
        <f>+'[49]Sheet 2 - General Insurance'!$H$12</f>
        <v>1257</v>
      </c>
      <c r="S33" s="2818">
        <f>+'[49]Sheet 2 - General Insurance'!$H$13</f>
        <v>1692</v>
      </c>
      <c r="T33" s="2818">
        <f>+'[49]Sheet 2 - General Insurance'!$H$16</f>
        <v>2163</v>
      </c>
      <c r="X33" s="45"/>
      <c r="Y33" s="45"/>
      <c r="Z33" s="45"/>
      <c r="AA33" s="45"/>
      <c r="AB33" s="45"/>
      <c r="AC33" s="45"/>
      <c r="AD33" s="45"/>
      <c r="AE33" s="45"/>
    </row>
    <row r="34" spans="1:31">
      <c r="A34" s="58">
        <v>5</v>
      </c>
      <c r="B34" s="2939" t="s">
        <v>181</v>
      </c>
      <c r="C34" s="3329">
        <f t="shared" si="5"/>
        <v>29036</v>
      </c>
      <c r="D34" s="3329">
        <f t="shared" si="6"/>
        <v>37443</v>
      </c>
      <c r="E34" s="3329">
        <f t="shared" si="7"/>
        <v>340979</v>
      </c>
      <c r="F34" s="3330">
        <f>+'[50]Sheet 2 - General Insurance'!$C$12</f>
        <v>597</v>
      </c>
      <c r="G34" s="3330">
        <f>+'[50]Sheet 2 - General Insurance'!$C$13</f>
        <v>788</v>
      </c>
      <c r="H34" s="3330">
        <f>+'[50]Sheet 2 - General Insurance'!$C$16</f>
        <v>5585</v>
      </c>
      <c r="I34" s="2818">
        <f>+'[50]Sheet 2 - General Insurance'!$D$12</f>
        <v>6466</v>
      </c>
      <c r="J34" s="2818">
        <f>+'[50]Sheet 2 - General Insurance'!$D$13</f>
        <v>29</v>
      </c>
      <c r="K34" s="2818">
        <f>+'[50]Sheet 2 - General Insurance'!$D$16</f>
        <v>36765</v>
      </c>
      <c r="L34" s="3262">
        <f>+'[50]Sheet 2 - General Insurance'!$F$12</f>
        <v>696</v>
      </c>
      <c r="M34" s="3262">
        <f>+'[50]Sheet 2 - General Insurance'!$F$13</f>
        <v>1155</v>
      </c>
      <c r="N34" s="3262">
        <f>+'[50]Sheet 2 - General Insurance'!$F$16</f>
        <v>17736</v>
      </c>
      <c r="O34" s="2818">
        <f>+'[50]Sheet 2 - General Insurance'!$G$12</f>
        <v>6</v>
      </c>
      <c r="P34" s="2818">
        <f>+'[50]Sheet 2 - General Insurance'!$G$13</f>
        <v>10</v>
      </c>
      <c r="Q34" s="2818">
        <f>+'[50]Sheet 2 - General Insurance'!$G$16</f>
        <v>658</v>
      </c>
      <c r="R34" s="2818">
        <f>+'[50]Sheet 2 - General Insurance'!$H$12</f>
        <v>21271</v>
      </c>
      <c r="S34" s="2818">
        <f>+'[50]Sheet 2 - General Insurance'!$H$13</f>
        <v>35461</v>
      </c>
      <c r="T34" s="2818">
        <f>+'[50]Sheet 2 - General Insurance'!$H$16</f>
        <v>280235</v>
      </c>
      <c r="X34" s="45"/>
      <c r="Y34" s="45"/>
      <c r="Z34" s="45"/>
      <c r="AA34" s="45"/>
      <c r="AB34" s="45"/>
      <c r="AC34" s="45"/>
      <c r="AD34" s="45"/>
      <c r="AE34" s="45"/>
    </row>
    <row r="35" spans="1:31">
      <c r="A35" s="58">
        <v>6</v>
      </c>
      <c r="B35" s="2939" t="s">
        <v>182</v>
      </c>
      <c r="C35" s="3329">
        <f t="shared" si="5"/>
        <v>31573</v>
      </c>
      <c r="D35" s="3329">
        <f t="shared" si="6"/>
        <v>12137</v>
      </c>
      <c r="E35" s="3329">
        <f t="shared" si="7"/>
        <v>37248</v>
      </c>
      <c r="F35" s="3330">
        <f>+'[37]Sheet 2 - General Insurance'!$C$12</f>
        <v>92</v>
      </c>
      <c r="G35" s="3330">
        <f>+'[37]Sheet 2 - General Insurance'!$C$13</f>
        <v>437</v>
      </c>
      <c r="H35" s="3330">
        <f>+'[37]Sheet 2 - General Insurance'!$C$16</f>
        <v>476</v>
      </c>
      <c r="I35" s="2818">
        <f>+'[37]Sheet 2 - General Insurance'!$D$12</f>
        <v>785</v>
      </c>
      <c r="J35" s="2818">
        <f>+'[37]Sheet 2 - General Insurance'!$D$13</f>
        <v>193</v>
      </c>
      <c r="K35" s="2818">
        <f>+'[37]Sheet 2 - General Insurance'!$D$16</f>
        <v>797</v>
      </c>
      <c r="L35" s="3262">
        <f>+'[37]Sheet 2 - General Insurance'!$E$12+'[37]Sheet 2 - General Insurance'!$F$12</f>
        <v>30608</v>
      </c>
      <c r="M35" s="3262">
        <f>+'[37]Sheet 2 - General Insurance'!$E$13+'[37]Sheet 2 - General Insurance'!$F$13</f>
        <v>10884</v>
      </c>
      <c r="N35" s="3262">
        <f>+'[37]Sheet 2 - General Insurance'!$E$16+'[37]Sheet 2 - General Insurance'!$F$16</f>
        <v>35364</v>
      </c>
      <c r="O35" s="2818">
        <f>+'[37]Sheet 2 - General Insurance'!$G$12</f>
        <v>8</v>
      </c>
      <c r="P35" s="2818">
        <f>+'[37]Sheet 2 - General Insurance'!$G$13</f>
        <v>15</v>
      </c>
      <c r="Q35" s="2818">
        <f>+'[37]Sheet 2 - General Insurance'!$G$16</f>
        <v>18</v>
      </c>
      <c r="R35" s="2818">
        <f>+'[37]Sheet 2 - General Insurance'!$H$12</f>
        <v>80</v>
      </c>
      <c r="S35" s="2818">
        <f>+'[37]Sheet 2 - General Insurance'!$H$13</f>
        <v>608</v>
      </c>
      <c r="T35" s="2818">
        <f>+'[37]Sheet 2 - General Insurance'!$H$16</f>
        <v>593</v>
      </c>
      <c r="X35" s="45"/>
      <c r="Y35" s="45"/>
      <c r="Z35" s="45"/>
      <c r="AA35" s="45"/>
      <c r="AB35" s="45"/>
      <c r="AC35" s="45"/>
      <c r="AD35" s="45"/>
      <c r="AE35" s="45"/>
    </row>
    <row r="36" spans="1:31">
      <c r="A36" s="58">
        <v>7</v>
      </c>
      <c r="B36" s="2938" t="s">
        <v>183</v>
      </c>
      <c r="C36" s="3329">
        <f t="shared" si="5"/>
        <v>650308</v>
      </c>
      <c r="D36" s="3329">
        <f t="shared" si="6"/>
        <v>628651</v>
      </c>
      <c r="E36" s="3329">
        <f t="shared" si="7"/>
        <v>1278959</v>
      </c>
      <c r="F36" s="3330">
        <f>+'[12]Sheet 2 - General Insurance'!$C$12</f>
        <v>20637</v>
      </c>
      <c r="G36" s="3330">
        <f>+'[12]Sheet 2 - General Insurance'!$C$13</f>
        <v>56007</v>
      </c>
      <c r="H36" s="3330">
        <f>+'[12]Sheet 2 - General Insurance'!$C$16</f>
        <v>76644</v>
      </c>
      <c r="I36" s="2818">
        <f>+'[12]Sheet 2 - General Insurance'!$D$12</f>
        <v>55436</v>
      </c>
      <c r="J36" s="2818">
        <f>+'[12]Sheet 2 - General Insurance'!$D$13</f>
        <v>65</v>
      </c>
      <c r="K36" s="2818">
        <f>+'[12]Sheet 2 - General Insurance'!$D$16</f>
        <v>55501</v>
      </c>
      <c r="L36" s="3262">
        <f>+'[12]Sheet 2 - General Insurance'!$E$12+'[12]Sheet 2 - General Insurance'!$F$12</f>
        <v>423259</v>
      </c>
      <c r="M36" s="3262">
        <f>+'[12]Sheet 2 - General Insurance'!$E$13+'[12]Sheet 2 - General Insurance'!$F$13</f>
        <v>523274</v>
      </c>
      <c r="N36" s="3262">
        <f>+'[12]Sheet 2 - General Insurance'!$E$16+'[12]Sheet 2 - General Insurance'!$F$16</f>
        <v>946533</v>
      </c>
      <c r="O36" s="2818">
        <f>+'[12]Sheet 2 - General Insurance'!$G$12</f>
        <v>2539</v>
      </c>
      <c r="P36" s="2818">
        <f>+'[12]Sheet 2 - General Insurance'!$G$13</f>
        <v>4239</v>
      </c>
      <c r="Q36" s="2818">
        <f>+'[12]Sheet 2 - General Insurance'!$G$16</f>
        <v>6778</v>
      </c>
      <c r="R36" s="2818">
        <f>+'[12]Sheet 2 - General Insurance'!$H$12</f>
        <v>148437</v>
      </c>
      <c r="S36" s="2818">
        <f>+'[12]Sheet 2 - General Insurance'!$H$13</f>
        <v>45066</v>
      </c>
      <c r="T36" s="2818">
        <f>+'[12]Sheet 2 - General Insurance'!$H$16</f>
        <v>193503</v>
      </c>
      <c r="X36" s="45"/>
      <c r="Y36" s="45"/>
      <c r="Z36" s="45"/>
      <c r="AA36" s="45"/>
      <c r="AB36" s="45"/>
      <c r="AC36" s="45"/>
      <c r="AD36" s="45"/>
      <c r="AE36" s="45"/>
    </row>
    <row r="37" spans="1:31">
      <c r="A37" s="58">
        <v>8</v>
      </c>
      <c r="B37" s="2938" t="s">
        <v>184</v>
      </c>
      <c r="C37" s="3329">
        <f t="shared" si="5"/>
        <v>145213</v>
      </c>
      <c r="D37" s="3329">
        <f t="shared" si="6"/>
        <v>40943</v>
      </c>
      <c r="E37" s="3329">
        <f t="shared" si="7"/>
        <v>171396</v>
      </c>
      <c r="F37" s="3330">
        <f>+'[38]Sheet 2 - General Insurance'!$C$12</f>
        <v>3049</v>
      </c>
      <c r="G37" s="3330">
        <f>+'[38]Sheet 2 - General Insurance'!$C$13</f>
        <v>1160</v>
      </c>
      <c r="H37" s="3330">
        <f>+'[38]Sheet 2 - General Insurance'!$C$16</f>
        <v>4584</v>
      </c>
      <c r="I37" s="2818">
        <f>+'[38]Sheet 2 - General Insurance'!$D$12</f>
        <v>1397</v>
      </c>
      <c r="J37" s="2818">
        <f>+'[38]Sheet 2 - General Insurance'!$D$13</f>
        <v>172</v>
      </c>
      <c r="K37" s="2818">
        <f>+'[38]Sheet 2 - General Insurance'!$D$16</f>
        <v>1101</v>
      </c>
      <c r="L37" s="3262">
        <f>+'[38]Sheet 2 - General Insurance'!$E$12+'[38]Sheet 2 - General Insurance'!$F$12</f>
        <v>126100</v>
      </c>
      <c r="M37" s="3262">
        <f>+'[38]Sheet 2 - General Insurance'!$E$13+'[38]Sheet 2 - General Insurance'!$F$13</f>
        <v>38238</v>
      </c>
      <c r="N37" s="3262">
        <f>+'[38]Sheet 2 - General Insurance'!$E$16+'[38]Sheet 2 - General Insurance'!$F$16</f>
        <v>164338</v>
      </c>
      <c r="O37" s="2818">
        <f>+'[38]Sheet 2 - General Insurance'!$G$12</f>
        <v>406</v>
      </c>
      <c r="P37" s="2818">
        <f>+'[38]Sheet 2 - General Insurance'!$G$13</f>
        <v>95</v>
      </c>
      <c r="Q37" s="2818">
        <f>+'[38]Sheet 2 - General Insurance'!$G$16</f>
        <v>95</v>
      </c>
      <c r="R37" s="2818">
        <f>+'[38]Sheet 2 - General Insurance'!$H$12</f>
        <v>14261</v>
      </c>
      <c r="S37" s="2818">
        <f>+'[38]Sheet 2 - General Insurance'!$H$13</f>
        <v>1278</v>
      </c>
      <c r="T37" s="2818">
        <f>+'[38]Sheet 2 - General Insurance'!$H$16</f>
        <v>1278</v>
      </c>
      <c r="X37" s="45"/>
      <c r="Y37" s="45"/>
      <c r="Z37" s="45"/>
      <c r="AA37" s="45"/>
      <c r="AB37" s="45"/>
      <c r="AC37" s="45"/>
      <c r="AD37" s="45"/>
      <c r="AE37" s="45"/>
    </row>
    <row r="38" spans="1:31">
      <c r="A38" s="58">
        <v>9</v>
      </c>
      <c r="B38" s="2939" t="s">
        <v>185</v>
      </c>
      <c r="C38" s="3329">
        <f t="shared" si="5"/>
        <v>0</v>
      </c>
      <c r="D38" s="3329">
        <f t="shared" si="6"/>
        <v>0</v>
      </c>
      <c r="E38" s="3329">
        <f t="shared" si="7"/>
        <v>0</v>
      </c>
      <c r="F38" s="3330"/>
      <c r="G38" s="3330"/>
      <c r="H38" s="3330"/>
      <c r="I38" s="2818"/>
      <c r="J38" s="2818"/>
      <c r="K38" s="2818"/>
      <c r="L38" s="3262"/>
      <c r="M38" s="3262"/>
      <c r="N38" s="3262"/>
      <c r="O38" s="2818"/>
      <c r="P38" s="2818"/>
      <c r="Q38" s="2818"/>
      <c r="R38" s="2818"/>
      <c r="S38" s="2818"/>
      <c r="T38" s="2818"/>
      <c r="X38" s="45"/>
      <c r="Y38" s="45"/>
      <c r="Z38" s="45"/>
      <c r="AA38" s="45"/>
      <c r="AB38" s="45"/>
      <c r="AC38" s="45"/>
      <c r="AD38" s="45"/>
      <c r="AE38" s="45"/>
    </row>
    <row r="39" spans="1:31">
      <c r="A39" s="81">
        <v>10</v>
      </c>
      <c r="B39" s="2089" t="s">
        <v>186</v>
      </c>
      <c r="C39" s="2932">
        <f t="shared" si="5"/>
        <v>62952</v>
      </c>
      <c r="D39" s="2932">
        <f t="shared" si="6"/>
        <v>52211</v>
      </c>
      <c r="E39" s="2932">
        <f t="shared" si="7"/>
        <v>115163</v>
      </c>
      <c r="F39" s="3157">
        <f>+'[13]Sheet 2 - General Insurance'!$C$12</f>
        <v>13515</v>
      </c>
      <c r="G39" s="3157">
        <f>+'[13]Sheet 2 - General Insurance'!$C$13</f>
        <v>14917</v>
      </c>
      <c r="H39" s="3157">
        <f>+'[13]Sheet 2 - General Insurance'!$C$16</f>
        <v>28432</v>
      </c>
      <c r="I39" s="2818">
        <f>+'[13]Sheet 2 - General Insurance'!$D$12</f>
        <v>5002</v>
      </c>
      <c r="J39" s="2818">
        <f>+'[13]Sheet 2 - General Insurance'!$D$13</f>
        <v>329</v>
      </c>
      <c r="K39" s="2818">
        <f>+'[13]Sheet 2 - General Insurance'!$D$16</f>
        <v>5331</v>
      </c>
      <c r="L39" s="2818">
        <f>+'[13]Sheet 2 - General Insurance'!$E$12+'[13]Sheet 2 - General Insurance'!$F$12</f>
        <v>38690</v>
      </c>
      <c r="M39" s="2818">
        <f>+'[13]Sheet 2 - General Insurance'!$E$13+'[13]Sheet 2 - General Insurance'!$F$13</f>
        <v>34628</v>
      </c>
      <c r="N39" s="2818">
        <f>+'[13]Sheet 2 - General Insurance'!$E$16+'[13]Sheet 2 - General Insurance'!$F$16</f>
        <v>73318</v>
      </c>
      <c r="O39" s="2818">
        <f>+'[13]Sheet 2 - General Insurance'!$G$12</f>
        <v>407</v>
      </c>
      <c r="P39" s="2818">
        <f>+'[13]Sheet 2 - General Insurance'!$G$13</f>
        <v>153</v>
      </c>
      <c r="Q39" s="2818">
        <f>+'[13]Sheet 2 - General Insurance'!$G$16</f>
        <v>560</v>
      </c>
      <c r="R39" s="2818">
        <f>+'[13]Sheet 2 - General Insurance'!$H$12</f>
        <v>5338</v>
      </c>
      <c r="S39" s="2818">
        <f>+'[13]Sheet 2 - General Insurance'!$H$13</f>
        <v>2184</v>
      </c>
      <c r="T39" s="2818">
        <f>+'[13]Sheet 2 - General Insurance'!$H$16</f>
        <v>7522</v>
      </c>
      <c r="X39" s="45"/>
      <c r="Y39" s="45"/>
      <c r="Z39" s="45"/>
      <c r="AA39" s="45"/>
      <c r="AB39" s="45"/>
      <c r="AC39" s="45"/>
      <c r="AD39" s="45"/>
      <c r="AE39" s="45"/>
    </row>
    <row r="40" spans="1:31">
      <c r="A40" s="58">
        <v>11</v>
      </c>
      <c r="B40" s="2938" t="s">
        <v>187</v>
      </c>
      <c r="C40" s="3329">
        <f t="shared" si="5"/>
        <v>229393</v>
      </c>
      <c r="D40" s="3329">
        <f t="shared" si="6"/>
        <v>226856</v>
      </c>
      <c r="E40" s="3329">
        <f t="shared" si="7"/>
        <v>412673</v>
      </c>
      <c r="F40" s="3157">
        <f>+'[14]Sheet 2 - General Insurance'!$C$12</f>
        <v>5147</v>
      </c>
      <c r="G40" s="3157">
        <f>+'[14]Sheet 2 - General Insurance'!$C$13</f>
        <v>5454</v>
      </c>
      <c r="H40" s="3157">
        <v>9968</v>
      </c>
      <c r="I40" s="2818">
        <f>+'[14]Sheet 2 - General Insurance'!$D$12</f>
        <v>15261</v>
      </c>
      <c r="J40" s="2818">
        <f>+'[14]Sheet 2 - General Insurance'!$D$13</f>
        <v>83</v>
      </c>
      <c r="K40" s="2818">
        <f>+'[51]Sheet 2 - General Insurance'!$D$16</f>
        <v>14630</v>
      </c>
      <c r="L40" s="2818">
        <v>195647</v>
      </c>
      <c r="M40" s="2818">
        <v>218314</v>
      </c>
      <c r="N40" s="2818">
        <v>373127</v>
      </c>
      <c r="O40" s="2818">
        <v>0</v>
      </c>
      <c r="P40" s="2818">
        <v>0</v>
      </c>
      <c r="Q40" s="2818">
        <v>0</v>
      </c>
      <c r="R40" s="2818">
        <f>+'[14]Sheet 2 - General Insurance'!$H$12</f>
        <v>13338</v>
      </c>
      <c r="S40" s="2818">
        <f>+'[14]Sheet 2 - General Insurance'!$H$13</f>
        <v>3005</v>
      </c>
      <c r="T40" s="2818">
        <f>+'[51]Sheet 2 - General Insurance'!$H$16</f>
        <v>14948</v>
      </c>
      <c r="X40" s="45"/>
      <c r="Y40" s="45"/>
      <c r="Z40" s="45"/>
      <c r="AA40" s="45"/>
      <c r="AB40" s="45"/>
      <c r="AC40" s="45"/>
      <c r="AD40" s="45"/>
      <c r="AE40" s="45"/>
    </row>
    <row r="41" spans="1:31">
      <c r="A41" s="58">
        <v>12</v>
      </c>
      <c r="B41" s="2938" t="s">
        <v>189</v>
      </c>
      <c r="C41" s="3329">
        <f t="shared" si="5"/>
        <v>28290</v>
      </c>
      <c r="D41" s="3329">
        <f t="shared" si="6"/>
        <v>0</v>
      </c>
      <c r="E41" s="3329">
        <f t="shared" si="7"/>
        <v>28290</v>
      </c>
      <c r="F41" s="3330">
        <v>0</v>
      </c>
      <c r="G41" s="3330"/>
      <c r="H41" s="3330">
        <v>0</v>
      </c>
      <c r="I41" s="2818"/>
      <c r="J41" s="2818"/>
      <c r="K41" s="2818"/>
      <c r="L41" s="3262">
        <f>+'[39]Sheet 2 - General Insurance'!$F$12</f>
        <v>28290</v>
      </c>
      <c r="M41" s="3262"/>
      <c r="N41" s="3262">
        <f>+'[42]Sheet 2 - General Insurance'!$F$16</f>
        <v>28290</v>
      </c>
      <c r="O41" s="2818">
        <v>0</v>
      </c>
      <c r="P41" s="2818"/>
      <c r="Q41" s="2818">
        <v>0</v>
      </c>
      <c r="R41" s="2818">
        <v>0</v>
      </c>
      <c r="S41" s="2818"/>
      <c r="T41" s="2818"/>
      <c r="X41" s="45"/>
      <c r="Y41" s="45"/>
      <c r="Z41" s="45"/>
      <c r="AA41" s="45"/>
      <c r="AB41" s="45"/>
      <c r="AC41" s="45"/>
      <c r="AD41" s="45"/>
      <c r="AE41" s="45"/>
    </row>
    <row r="42" spans="1:31">
      <c r="A42" s="58">
        <v>13</v>
      </c>
      <c r="B42" s="2938" t="s">
        <v>190</v>
      </c>
      <c r="C42" s="3329">
        <f t="shared" si="5"/>
        <v>27091</v>
      </c>
      <c r="D42" s="3329">
        <f t="shared" si="6"/>
        <v>11480</v>
      </c>
      <c r="E42" s="3329">
        <f t="shared" si="7"/>
        <v>33960</v>
      </c>
      <c r="F42" s="3330">
        <f>+'[43]Sheet 2 - General Insurance'!$C$12</f>
        <v>844</v>
      </c>
      <c r="G42" s="3330">
        <f>+'[43]Sheet 2 - General Insurance'!$C$13</f>
        <v>292</v>
      </c>
      <c r="H42" s="3330">
        <f>+'[43]Sheet 2 - General Insurance'!$C$16</f>
        <v>1008</v>
      </c>
      <c r="I42" s="2818">
        <f>+'[43]Sheet 2 - General Insurance'!$D$12</f>
        <v>1540</v>
      </c>
      <c r="J42" s="2818">
        <f>+'[43]Sheet 2 - General Insurance'!$D$13</f>
        <v>145</v>
      </c>
      <c r="K42" s="2818">
        <f>+'[43]Sheet 2 - General Insurance'!$D$16</f>
        <v>1532</v>
      </c>
      <c r="L42" s="3262">
        <f>+'[43]Sheet 2 - General Insurance'!$F$12</f>
        <v>23081</v>
      </c>
      <c r="M42" s="3262">
        <f>+'[43]Sheet 2 - General Insurance'!$F$13</f>
        <v>10665</v>
      </c>
      <c r="N42" s="3262">
        <f>+'[43]Sheet 2 - General Insurance'!$F$16</f>
        <v>29587</v>
      </c>
      <c r="O42" s="2818">
        <v>0</v>
      </c>
      <c r="P42" s="2818"/>
      <c r="Q42" s="2818"/>
      <c r="R42" s="2818">
        <f>+'[43]Sheet 2 - General Insurance'!$H$12</f>
        <v>1626</v>
      </c>
      <c r="S42" s="2818">
        <f>+'[43]Sheet 2 - General Insurance'!$H$13</f>
        <v>378</v>
      </c>
      <c r="T42" s="2818">
        <f>+'[43]Sheet 2 - General Insurance'!$H$16</f>
        <v>1833</v>
      </c>
      <c r="X42" s="45"/>
      <c r="Y42" s="45"/>
      <c r="Z42" s="45"/>
      <c r="AA42" s="45"/>
      <c r="AB42" s="45"/>
      <c r="AC42" s="45"/>
      <c r="AD42" s="45"/>
      <c r="AE42" s="45"/>
    </row>
    <row r="43" spans="1:31">
      <c r="A43" s="58">
        <v>14</v>
      </c>
      <c r="B43" s="2939" t="s">
        <v>192</v>
      </c>
      <c r="C43" s="3329">
        <f t="shared" ref="C43:C48" si="8">+F43+I43+L43+O43+R43</f>
        <v>56735</v>
      </c>
      <c r="D43" s="3329">
        <f t="shared" ref="D43:D48" si="9">+G43+J43+M43+P43+S43</f>
        <v>20358</v>
      </c>
      <c r="E43" s="3329">
        <f t="shared" ref="E43:E48" si="10">+H43+K43+N43+Q43+T43</f>
        <v>72987</v>
      </c>
      <c r="F43" s="3330">
        <f>+'[40]Sheet 2 - General Insurance'!$C$12</f>
        <v>4535</v>
      </c>
      <c r="G43" s="3330">
        <f>+'[40]Sheet 2 - General Insurance'!$C$13</f>
        <v>1545</v>
      </c>
      <c r="H43" s="3330">
        <f>+'[40]Sheet 2 - General Insurance'!$C$16</f>
        <v>6080</v>
      </c>
      <c r="I43" s="2818">
        <f>+'[40]Sheet 2 - General Insurance'!$D$12</f>
        <v>2346</v>
      </c>
      <c r="J43" s="2818"/>
      <c r="K43" s="2818">
        <f>+'[40]Sheet 2 - General Insurance'!$D$16</f>
        <v>2346</v>
      </c>
      <c r="L43" s="3262">
        <f>+'[40]Sheet 2 - General Insurance'!$E$12+'[40]Sheet 2 - General Insurance'!$F$12</f>
        <v>47377</v>
      </c>
      <c r="M43" s="3262">
        <f>+'[40]Sheet 2 - General Insurance'!$E$13+'[40]Sheet 2 - General Insurance'!$F$13</f>
        <v>18760</v>
      </c>
      <c r="N43" s="3262">
        <f>+'[40]Sheet 2 - General Insurance'!$E$16+'[40]Sheet 2 - General Insurance'!$F$16</f>
        <v>62031</v>
      </c>
      <c r="O43" s="2818">
        <f>+'[40]Sheet 2 - General Insurance'!$G$12</f>
        <v>3</v>
      </c>
      <c r="P43" s="2818">
        <f>+'[40]Sheet 2 - General Insurance'!$G$13</f>
        <v>1</v>
      </c>
      <c r="Q43" s="2818">
        <f>+'[40]Sheet 2 - General Insurance'!$G$16</f>
        <v>4</v>
      </c>
      <c r="R43" s="2818">
        <f>+'[40]Sheet 2 - General Insurance'!$H$12</f>
        <v>2474</v>
      </c>
      <c r="S43" s="2818">
        <f>+'[40]Sheet 2 - General Insurance'!$H$13</f>
        <v>52</v>
      </c>
      <c r="T43" s="2818">
        <f>+'[40]Sheet 2 - General Insurance'!$H$16</f>
        <v>2526</v>
      </c>
      <c r="X43" s="45"/>
      <c r="Y43" s="45"/>
      <c r="Z43" s="45"/>
      <c r="AA43" s="45"/>
      <c r="AB43" s="45"/>
      <c r="AC43" s="45"/>
      <c r="AD43" s="45"/>
      <c r="AE43" s="45"/>
    </row>
    <row r="44" spans="1:31">
      <c r="A44" s="58">
        <v>15</v>
      </c>
      <c r="B44" s="2938" t="s">
        <v>193</v>
      </c>
      <c r="C44" s="3329">
        <f t="shared" si="8"/>
        <v>483938</v>
      </c>
      <c r="D44" s="3329">
        <f>+G44+J44+M44+P44+S44</f>
        <v>734810</v>
      </c>
      <c r="E44" s="3329">
        <f t="shared" si="10"/>
        <v>1199211</v>
      </c>
      <c r="F44" s="3330">
        <f>+'[47]Sheet 2 - General Insurance'!$C$12</f>
        <v>14492</v>
      </c>
      <c r="G44" s="3330">
        <f>+'[47]Sheet 2 - General Insurance'!$C$13</f>
        <v>25017</v>
      </c>
      <c r="H44" s="3330">
        <f>+'[47]Sheet 2 - General Insurance'!$C$16</f>
        <v>41196</v>
      </c>
      <c r="I44" s="2818">
        <f>+'[47]Sheet 2 - General Insurance'!$D$12</f>
        <v>20656</v>
      </c>
      <c r="J44" s="2818">
        <f>+'[47]Sheet 2 - General Insurance'!$D$13</f>
        <v>605</v>
      </c>
      <c r="K44" s="2818">
        <f>+'[47]Sheet 2 - General Insurance'!$D$16</f>
        <v>2291</v>
      </c>
      <c r="L44" s="3262">
        <f>+'[47]Sheet 2 - General Insurance'!$E$12+'[47]Sheet 2 - General Insurance'!$F$12</f>
        <v>436467</v>
      </c>
      <c r="M44" s="3262">
        <f>+'[47]Sheet 2 - General Insurance'!$E$13+'[47]Sheet 2 - General Insurance'!$F$13</f>
        <v>689350</v>
      </c>
      <c r="N44" s="3262">
        <f>+'[47]Sheet 2 - General Insurance'!$E$16+'[47]Sheet 2 - General Insurance'!$F$16</f>
        <v>1132406</v>
      </c>
      <c r="O44" s="2818">
        <f>+'[47]Sheet 2 - General Insurance'!$G$12</f>
        <v>891</v>
      </c>
      <c r="P44" s="2818">
        <f>+'[47]Sheet 2 - General Insurance'!$G$13</f>
        <v>1325</v>
      </c>
      <c r="Q44" s="2818">
        <f>+'[47]Sheet 2 - General Insurance'!$G$16</f>
        <v>2004</v>
      </c>
      <c r="R44" s="2818">
        <f>+'[47]Sheet 2 - General Insurance'!$H$12</f>
        <v>11432</v>
      </c>
      <c r="S44" s="2818">
        <f>+'[47]Sheet 2 - General Insurance'!$H$13</f>
        <v>18513</v>
      </c>
      <c r="T44" s="2818">
        <f>+'[47]Sheet 2 - General Insurance'!$H$16</f>
        <v>21314</v>
      </c>
      <c r="X44" s="45"/>
      <c r="Y44" s="45"/>
      <c r="Z44" s="45"/>
      <c r="AA44" s="45"/>
      <c r="AB44" s="45"/>
      <c r="AC44" s="45"/>
      <c r="AD44" s="45"/>
      <c r="AE44" s="45"/>
    </row>
    <row r="45" spans="1:31">
      <c r="A45" s="58">
        <v>16</v>
      </c>
      <c r="B45" s="2938" t="s">
        <v>194</v>
      </c>
      <c r="C45" s="3329">
        <f t="shared" si="8"/>
        <v>30152</v>
      </c>
      <c r="D45" s="3329">
        <f t="shared" si="9"/>
        <v>14687</v>
      </c>
      <c r="E45" s="3329">
        <f t="shared" si="10"/>
        <v>44104</v>
      </c>
      <c r="F45" s="3330">
        <f>+'[15]Sheet 2 - General Insurance'!$C$12</f>
        <v>945</v>
      </c>
      <c r="G45" s="3330">
        <f>+'[15]Sheet 2 - General Insurance'!$C$13</f>
        <v>170</v>
      </c>
      <c r="H45" s="3330">
        <f>+'[15]Sheet 2 - General Insurance'!$C$16</f>
        <v>1115</v>
      </c>
      <c r="I45" s="2818">
        <v>0</v>
      </c>
      <c r="J45" s="2818">
        <v>0</v>
      </c>
      <c r="K45" s="2818">
        <v>0</v>
      </c>
      <c r="L45" s="3262">
        <f>+'[15]Sheet 2 - General Insurance'!$E$12</f>
        <v>24166</v>
      </c>
      <c r="M45" s="3262">
        <f>+'[15]Sheet 2 - General Insurance'!$E$13</f>
        <v>13185</v>
      </c>
      <c r="N45" s="3262">
        <f>+'[15]Sheet 2 - General Insurance'!$E$16+'[15]Sheet 2 - General Insurance'!$F$16</f>
        <v>37179</v>
      </c>
      <c r="O45" s="2818">
        <f>+'[15]Sheet 2 - General Insurance'!$G$12</f>
        <v>24</v>
      </c>
      <c r="P45" s="2818">
        <f>+'[15]Sheet 2 - General Insurance'!$G$13</f>
        <v>2</v>
      </c>
      <c r="Q45" s="2818">
        <f>+'[15]Sheet 2 - General Insurance'!$G$16</f>
        <v>26</v>
      </c>
      <c r="R45" s="2818">
        <f>+'[15]Sheet 2 - General Insurance'!$H$12</f>
        <v>5017</v>
      </c>
      <c r="S45" s="2818">
        <f>+'[15]Sheet 2 - General Insurance'!$H$13</f>
        <v>1330</v>
      </c>
      <c r="T45" s="2818">
        <f>+'[15]Sheet 2 - General Insurance'!$H$16</f>
        <v>5784</v>
      </c>
      <c r="X45" s="45"/>
      <c r="Y45" s="45"/>
      <c r="Z45" s="45"/>
      <c r="AA45" s="45"/>
      <c r="AB45" s="45"/>
      <c r="AC45" s="45"/>
      <c r="AD45" s="45"/>
      <c r="AE45" s="45"/>
    </row>
    <row r="46" spans="1:31">
      <c r="A46" s="58">
        <v>17</v>
      </c>
      <c r="B46" s="2938" t="s">
        <v>195</v>
      </c>
      <c r="C46" s="3329">
        <f t="shared" si="8"/>
        <v>80553</v>
      </c>
      <c r="D46" s="3329">
        <f t="shared" si="9"/>
        <v>62855</v>
      </c>
      <c r="E46" s="3329">
        <f>+H46+K46+N46+Q46+T46</f>
        <v>143408</v>
      </c>
      <c r="F46" s="3330">
        <f>+'[44]Sheet 2 - General Insurance'!$C$12</f>
        <v>3341</v>
      </c>
      <c r="G46" s="3330">
        <f>+'[44]Sheet 2 - General Insurance'!$C$13</f>
        <v>7201</v>
      </c>
      <c r="H46" s="3330">
        <f>+'[44]Sheet 2 - General Insurance'!$C$16</f>
        <v>10542</v>
      </c>
      <c r="I46" s="2818">
        <f>+'[44]Sheet 2 - General Insurance'!$D$12</f>
        <v>25472</v>
      </c>
      <c r="J46" s="2818">
        <f>+'[44]Sheet 2 - General Insurance'!$D$13</f>
        <v>304</v>
      </c>
      <c r="K46" s="2818">
        <f>+'[44]Sheet 2 - General Insurance'!$D$16</f>
        <v>25776</v>
      </c>
      <c r="L46" s="3262">
        <f>+'[48]Sheet 2 - General Insurance'!$E$12+'[48]Sheet 2 - General Insurance'!$F$12</f>
        <v>43709</v>
      </c>
      <c r="M46" s="3262">
        <f>+'[48]Sheet 2 - General Insurance'!$E$13+'[48]Sheet 2 - General Insurance'!$F$13</f>
        <v>51199</v>
      </c>
      <c r="N46" s="3262">
        <f>+'[48]Sheet 2 - General Insurance'!$E$16+'[48]Sheet 2 - General Insurance'!$F$16</f>
        <v>94908</v>
      </c>
      <c r="O46" s="2818">
        <f>+'[44]Sheet 2 - General Insurance'!$G$12</f>
        <v>452</v>
      </c>
      <c r="P46" s="2818">
        <f>+'[44]Sheet 2 - General Insurance'!$G$13</f>
        <v>970</v>
      </c>
      <c r="Q46" s="2818">
        <f>+'[44]Sheet 2 - General Insurance'!$G$16</f>
        <v>1422</v>
      </c>
      <c r="R46" s="2818">
        <f>+'[44]Sheet 2 - General Insurance'!$H$12</f>
        <v>7579</v>
      </c>
      <c r="S46" s="2818">
        <f>+'[44]Sheet 2 - General Insurance'!$H$13</f>
        <v>3181</v>
      </c>
      <c r="T46" s="2818">
        <f>+'[44]Sheet 2 - General Insurance'!$H$16</f>
        <v>10760</v>
      </c>
      <c r="X46" s="45"/>
      <c r="Y46" s="45"/>
      <c r="Z46" s="45"/>
      <c r="AA46" s="45"/>
      <c r="AB46" s="45"/>
      <c r="AC46" s="45"/>
      <c r="AD46" s="45"/>
      <c r="AE46" s="45"/>
    </row>
    <row r="47" spans="1:31">
      <c r="A47" s="58">
        <v>18</v>
      </c>
      <c r="B47" s="2939" t="s">
        <v>191</v>
      </c>
      <c r="C47" s="3329">
        <f t="shared" si="8"/>
        <v>22</v>
      </c>
      <c r="D47" s="3329">
        <f t="shared" si="9"/>
        <v>0</v>
      </c>
      <c r="E47" s="3329">
        <f>+H47+K47+N47+Q47+T47</f>
        <v>75</v>
      </c>
      <c r="F47" s="3330">
        <f>+'[36]Sheet 2 - General Insurance'!$C$12</f>
        <v>3</v>
      </c>
      <c r="G47" s="3330"/>
      <c r="H47" s="3330">
        <f>+'[36]Sheet 2 - General Insurance'!$C$16</f>
        <v>3</v>
      </c>
      <c r="I47" s="2818">
        <f>+'[36]Sheet 2 - General Insurance'!$D$12</f>
        <v>1</v>
      </c>
      <c r="J47" s="2818"/>
      <c r="K47" s="2818">
        <f>+'[36]Sheet 2 - General Insurance'!$D$16</f>
        <v>15</v>
      </c>
      <c r="L47" s="3262">
        <f>+'[36]Sheet 2 - General Insurance'!$E$12+'[36]Sheet 2 - General Insurance'!$F$12</f>
        <v>18</v>
      </c>
      <c r="M47" s="3262"/>
      <c r="N47" s="3262">
        <f>+'[36]Sheet 2 - General Insurance'!$E$16+'[36]Sheet 2 - General Insurance'!$F$16</f>
        <v>56</v>
      </c>
      <c r="O47" s="2818">
        <v>0</v>
      </c>
      <c r="P47" s="2818"/>
      <c r="Q47" s="2818">
        <v>0</v>
      </c>
      <c r="R47" s="2818">
        <v>0</v>
      </c>
      <c r="S47" s="2818"/>
      <c r="T47" s="2818">
        <v>1</v>
      </c>
      <c r="X47" s="45"/>
      <c r="Y47" s="45"/>
      <c r="Z47" s="45"/>
      <c r="AA47" s="45"/>
      <c r="AB47" s="45"/>
      <c r="AC47" s="45"/>
      <c r="AD47" s="45"/>
      <c r="AE47" s="45"/>
    </row>
    <row r="48" spans="1:31">
      <c r="A48" s="58">
        <v>19</v>
      </c>
      <c r="B48" s="2939" t="s">
        <v>110</v>
      </c>
      <c r="C48" s="3329">
        <f t="shared" si="8"/>
        <v>0</v>
      </c>
      <c r="D48" s="3329">
        <f t="shared" si="9"/>
        <v>0</v>
      </c>
      <c r="E48" s="3329">
        <f t="shared" si="10"/>
        <v>0</v>
      </c>
      <c r="F48" s="3330"/>
      <c r="G48" s="3330"/>
      <c r="H48" s="3330"/>
      <c r="I48" s="2818"/>
      <c r="J48" s="2818"/>
      <c r="K48" s="2818"/>
      <c r="L48" s="3262"/>
      <c r="M48" s="3262"/>
      <c r="N48" s="3262"/>
      <c r="O48" s="2818"/>
      <c r="P48" s="2818"/>
      <c r="Q48" s="2818"/>
      <c r="R48" s="2818"/>
      <c r="S48" s="2818"/>
      <c r="T48" s="2818"/>
      <c r="X48" s="45"/>
      <c r="Y48" s="45"/>
      <c r="Z48" s="45"/>
      <c r="AA48" s="45"/>
      <c r="AB48" s="45"/>
      <c r="AC48" s="45"/>
      <c r="AD48" s="45"/>
      <c r="AE48" s="45"/>
    </row>
    <row r="49" spans="1:20">
      <c r="B49" s="3122" t="s">
        <v>118</v>
      </c>
      <c r="C49" s="3117">
        <f>SUM(C30:C48)</f>
        <v>2034668</v>
      </c>
      <c r="D49" s="3117">
        <f>SUM(D30:D48)</f>
        <v>1964208</v>
      </c>
      <c r="E49" s="3117">
        <f>SUM(E30:E48)</f>
        <v>4139070</v>
      </c>
      <c r="F49" s="3330">
        <f>SUM(F30:F48)</f>
        <v>74776</v>
      </c>
      <c r="G49" s="3330">
        <f t="shared" ref="G49:T49" si="11">SUM(G30:G48)</f>
        <v>125868</v>
      </c>
      <c r="H49" s="3330">
        <f t="shared" si="11"/>
        <v>203838</v>
      </c>
      <c r="I49" s="3259">
        <f t="shared" si="11"/>
        <v>163244</v>
      </c>
      <c r="J49" s="3259">
        <f t="shared" si="11"/>
        <v>2059</v>
      </c>
      <c r="K49" s="3259">
        <f t="shared" si="11"/>
        <v>168575</v>
      </c>
      <c r="L49" s="3263">
        <f t="shared" si="11"/>
        <v>1551716</v>
      </c>
      <c r="M49" s="3263">
        <f t="shared" si="11"/>
        <v>1706738</v>
      </c>
      <c r="N49" s="3263">
        <f t="shared" si="11"/>
        <v>3189583</v>
      </c>
      <c r="O49" s="3259">
        <f t="shared" si="11"/>
        <v>5144</v>
      </c>
      <c r="P49" s="3259">
        <f t="shared" si="11"/>
        <v>7517</v>
      </c>
      <c r="Q49" s="3259">
        <f t="shared" si="11"/>
        <v>12525</v>
      </c>
      <c r="R49" s="3259">
        <f t="shared" si="11"/>
        <v>239788</v>
      </c>
      <c r="S49" s="3259">
        <f t="shared" si="11"/>
        <v>122026</v>
      </c>
      <c r="T49" s="3259">
        <f t="shared" si="11"/>
        <v>564549</v>
      </c>
    </row>
    <row r="50" spans="1:20">
      <c r="B50" s="46"/>
      <c r="C50" s="47"/>
      <c r="D50" s="47"/>
      <c r="E50" s="47"/>
      <c r="F50" s="48"/>
      <c r="G50" s="48"/>
      <c r="H50" s="48"/>
      <c r="I50" s="49"/>
      <c r="J50" s="49"/>
      <c r="K50" s="49"/>
      <c r="L50" s="50"/>
      <c r="M50" s="50"/>
      <c r="N50" s="50"/>
      <c r="O50" s="49"/>
      <c r="P50" s="49"/>
      <c r="Q50" s="49"/>
      <c r="R50" s="49"/>
      <c r="S50" s="49"/>
      <c r="T50" s="49"/>
    </row>
    <row r="51" spans="1:20">
      <c r="B51" s="44"/>
    </row>
    <row r="53" spans="1:20">
      <c r="B53" s="3111" t="s">
        <v>833</v>
      </c>
    </row>
    <row r="54" spans="1:20">
      <c r="B54" s="3848" t="s">
        <v>709</v>
      </c>
      <c r="C54" s="3958" t="s">
        <v>118</v>
      </c>
      <c r="D54" s="3958"/>
      <c r="E54" s="3958"/>
      <c r="F54" s="3944" t="s">
        <v>412</v>
      </c>
      <c r="G54" s="3944"/>
      <c r="H54" s="3944"/>
      <c r="I54" s="3948" t="s">
        <v>413</v>
      </c>
      <c r="J54" s="3948"/>
      <c r="K54" s="3948"/>
      <c r="L54" s="3925" t="s">
        <v>414</v>
      </c>
      <c r="M54" s="3925"/>
      <c r="N54" s="3925"/>
      <c r="O54" s="3948" t="s">
        <v>701</v>
      </c>
      <c r="P54" s="3948"/>
      <c r="Q54" s="3948"/>
      <c r="R54" s="3948" t="s">
        <v>416</v>
      </c>
      <c r="S54" s="3948"/>
      <c r="T54" s="3948"/>
    </row>
    <row r="55" spans="1:20">
      <c r="B55" s="3848"/>
      <c r="C55" s="3327" t="s">
        <v>956</v>
      </c>
      <c r="D55" s="3327" t="s">
        <v>957</v>
      </c>
      <c r="E55" s="3327" t="s">
        <v>958</v>
      </c>
      <c r="F55" s="3328" t="s">
        <v>956</v>
      </c>
      <c r="G55" s="3328" t="s">
        <v>957</v>
      </c>
      <c r="H55" s="3328" t="s">
        <v>958</v>
      </c>
      <c r="I55" s="2906" t="s">
        <v>956</v>
      </c>
      <c r="J55" s="2906" t="s">
        <v>957</v>
      </c>
      <c r="K55" s="2906" t="s">
        <v>958</v>
      </c>
      <c r="L55" s="3256" t="s">
        <v>956</v>
      </c>
      <c r="M55" s="3256" t="s">
        <v>957</v>
      </c>
      <c r="N55" s="3256" t="s">
        <v>958</v>
      </c>
      <c r="O55" s="2906" t="s">
        <v>956</v>
      </c>
      <c r="P55" s="2906" t="s">
        <v>957</v>
      </c>
      <c r="Q55" s="2906" t="s">
        <v>958</v>
      </c>
      <c r="R55" s="2906" t="s">
        <v>956</v>
      </c>
      <c r="S55" s="2906" t="s">
        <v>957</v>
      </c>
      <c r="T55" s="2906" t="s">
        <v>958</v>
      </c>
    </row>
    <row r="56" spans="1:20">
      <c r="A56" s="58">
        <v>1</v>
      </c>
      <c r="B56" s="2938" t="s">
        <v>175</v>
      </c>
      <c r="C56" s="3329">
        <f t="shared" ref="C56:C68" si="12">+F56+I56+L56+O56+R56</f>
        <v>11000</v>
      </c>
      <c r="D56" s="3329">
        <f t="shared" ref="D56:D68" si="13">+G56+J56+M56+P56+S56</f>
        <v>5031</v>
      </c>
      <c r="E56" s="3329">
        <f t="shared" ref="E56:E68" si="14">+H56+K56+N56+Q56+T56</f>
        <v>16006</v>
      </c>
      <c r="F56" s="3330">
        <v>835</v>
      </c>
      <c r="G56" s="3330">
        <v>1215</v>
      </c>
      <c r="H56" s="3330">
        <v>2051</v>
      </c>
      <c r="I56" s="3331">
        <v>4170</v>
      </c>
      <c r="J56" s="3331">
        <v>35</v>
      </c>
      <c r="K56" s="3331">
        <v>4205</v>
      </c>
      <c r="L56" s="3260">
        <v>5186</v>
      </c>
      <c r="M56" s="3260">
        <v>3292</v>
      </c>
      <c r="N56" s="3260">
        <v>8477</v>
      </c>
      <c r="O56" s="3331">
        <v>83</v>
      </c>
      <c r="P56" s="3331">
        <v>112</v>
      </c>
      <c r="Q56" s="3331">
        <v>195</v>
      </c>
      <c r="R56" s="3331">
        <v>726</v>
      </c>
      <c r="S56" s="3331">
        <v>377</v>
      </c>
      <c r="T56" s="3331">
        <v>1078</v>
      </c>
    </row>
    <row r="57" spans="1:20">
      <c r="A57" s="58">
        <v>2</v>
      </c>
      <c r="B57" s="2939" t="s">
        <v>177</v>
      </c>
      <c r="C57" s="3329">
        <f t="shared" si="12"/>
        <v>0</v>
      </c>
      <c r="D57" s="3329">
        <f t="shared" si="13"/>
        <v>0</v>
      </c>
      <c r="E57" s="3329">
        <f t="shared" si="14"/>
        <v>0</v>
      </c>
      <c r="F57" s="3330"/>
      <c r="G57" s="3330"/>
      <c r="H57" s="3330"/>
      <c r="I57" s="2818"/>
      <c r="J57" s="2818"/>
      <c r="K57" s="2818"/>
      <c r="L57" s="3262"/>
      <c r="M57" s="3262"/>
      <c r="N57" s="3262"/>
      <c r="O57" s="2818"/>
      <c r="P57" s="2818"/>
      <c r="Q57" s="2818"/>
      <c r="R57" s="2818"/>
      <c r="S57" s="2818"/>
      <c r="T57" s="2818"/>
    </row>
    <row r="58" spans="1:20">
      <c r="A58" s="58">
        <v>3</v>
      </c>
      <c r="B58" s="2938" t="s">
        <v>179</v>
      </c>
      <c r="C58" s="3329">
        <f>+F58+I58+L58+O58+R58</f>
        <v>85638</v>
      </c>
      <c r="D58" s="3329">
        <f>+G58+J58+M58+P58+S58</f>
        <v>37990</v>
      </c>
      <c r="E58" s="3329">
        <f>+H58+K58+N58+Q58+T58</f>
        <v>106160</v>
      </c>
      <c r="F58" s="3330">
        <v>5143</v>
      </c>
      <c r="G58" s="3330">
        <v>9814</v>
      </c>
      <c r="H58" s="3330">
        <v>14028</v>
      </c>
      <c r="I58" s="2818">
        <v>17876</v>
      </c>
      <c r="J58" s="2818">
        <v>46</v>
      </c>
      <c r="K58" s="2818">
        <v>9548</v>
      </c>
      <c r="L58" s="3262">
        <v>58417</v>
      </c>
      <c r="M58" s="3262">
        <v>26580</v>
      </c>
      <c r="N58" s="3262">
        <v>74222</v>
      </c>
      <c r="O58" s="2818">
        <v>213</v>
      </c>
      <c r="P58" s="2818">
        <v>254</v>
      </c>
      <c r="Q58" s="2818">
        <v>438</v>
      </c>
      <c r="R58" s="2818">
        <v>3989</v>
      </c>
      <c r="S58" s="2818">
        <v>1296</v>
      </c>
      <c r="T58" s="2818">
        <v>7924</v>
      </c>
    </row>
    <row r="59" spans="1:20">
      <c r="A59" s="58">
        <v>4</v>
      </c>
      <c r="B59" s="2938" t="s">
        <v>180</v>
      </c>
      <c r="C59" s="3329">
        <f t="shared" si="12"/>
        <v>57075</v>
      </c>
      <c r="D59" s="3329">
        <f t="shared" si="13"/>
        <v>28023</v>
      </c>
      <c r="E59" s="3329">
        <f t="shared" si="14"/>
        <v>84464</v>
      </c>
      <c r="F59" s="3330">
        <v>508</v>
      </c>
      <c r="G59" s="3330">
        <v>817</v>
      </c>
      <c r="H59" s="3330">
        <v>1337</v>
      </c>
      <c r="I59" s="2818">
        <v>6822</v>
      </c>
      <c r="J59" s="2818">
        <v>89</v>
      </c>
      <c r="K59" s="2818">
        <v>6910</v>
      </c>
      <c r="L59" s="3262">
        <v>48303</v>
      </c>
      <c r="M59" s="3262">
        <v>26088</v>
      </c>
      <c r="N59" s="3262">
        <v>73813</v>
      </c>
      <c r="O59" s="2818">
        <v>46</v>
      </c>
      <c r="P59" s="2818">
        <v>71</v>
      </c>
      <c r="Q59" s="2818">
        <v>119</v>
      </c>
      <c r="R59" s="2818">
        <v>1396</v>
      </c>
      <c r="S59" s="2818">
        <v>958</v>
      </c>
      <c r="T59" s="2818">
        <v>2285</v>
      </c>
    </row>
    <row r="60" spans="1:20">
      <c r="A60" s="58">
        <v>5</v>
      </c>
      <c r="B60" s="2939" t="s">
        <v>181</v>
      </c>
      <c r="C60" s="3329">
        <f t="shared" si="12"/>
        <v>23595</v>
      </c>
      <c r="D60" s="3329">
        <f t="shared" si="13"/>
        <v>27163</v>
      </c>
      <c r="E60" s="3329">
        <f t="shared" si="14"/>
        <v>292856</v>
      </c>
      <c r="F60" s="3330">
        <v>534</v>
      </c>
      <c r="G60" s="3330">
        <v>726</v>
      </c>
      <c r="H60" s="3330">
        <v>4331</v>
      </c>
      <c r="I60" s="2818">
        <v>6069</v>
      </c>
      <c r="J60" s="2818">
        <v>28</v>
      </c>
      <c r="K60" s="2818">
        <v>30006</v>
      </c>
      <c r="L60" s="3262">
        <v>1444</v>
      </c>
      <c r="M60" s="3262">
        <v>1398</v>
      </c>
      <c r="N60" s="3262">
        <v>15383</v>
      </c>
      <c r="O60" s="2818">
        <v>3</v>
      </c>
      <c r="P60" s="2818">
        <v>8</v>
      </c>
      <c r="Q60" s="2818">
        <v>632</v>
      </c>
      <c r="R60" s="2818">
        <v>15545</v>
      </c>
      <c r="S60" s="2818">
        <v>25003</v>
      </c>
      <c r="T60" s="2818">
        <v>242504</v>
      </c>
    </row>
    <row r="61" spans="1:20">
      <c r="A61" s="58">
        <v>6</v>
      </c>
      <c r="B61" s="2939" t="s">
        <v>182</v>
      </c>
      <c r="C61" s="3329">
        <f t="shared" si="12"/>
        <v>7234</v>
      </c>
      <c r="D61" s="3329">
        <f t="shared" si="13"/>
        <v>798</v>
      </c>
      <c r="E61" s="3329">
        <f t="shared" si="14"/>
        <v>7644</v>
      </c>
      <c r="F61" s="3330">
        <v>226</v>
      </c>
      <c r="G61" s="3330">
        <v>125</v>
      </c>
      <c r="H61" s="3330">
        <v>293</v>
      </c>
      <c r="I61" s="2818">
        <v>254</v>
      </c>
      <c r="J61" s="2818">
        <v>5</v>
      </c>
      <c r="K61" s="2818">
        <v>257</v>
      </c>
      <c r="L61" s="3262">
        <v>6591</v>
      </c>
      <c r="M61" s="3262">
        <v>583</v>
      </c>
      <c r="N61" s="3262">
        <v>6884</v>
      </c>
      <c r="O61" s="2818">
        <v>6</v>
      </c>
      <c r="P61" s="2818">
        <v>2</v>
      </c>
      <c r="Q61" s="2818">
        <v>6</v>
      </c>
      <c r="R61" s="2818">
        <v>157</v>
      </c>
      <c r="S61" s="2818">
        <v>83</v>
      </c>
      <c r="T61" s="2818">
        <v>204</v>
      </c>
    </row>
    <row r="62" spans="1:20">
      <c r="A62" s="58">
        <v>7</v>
      </c>
      <c r="B62" s="2938" t="s">
        <v>183</v>
      </c>
      <c r="C62" s="3329">
        <f t="shared" si="12"/>
        <v>619733</v>
      </c>
      <c r="D62" s="3329">
        <f t="shared" si="13"/>
        <v>488686</v>
      </c>
      <c r="E62" s="3329">
        <f t="shared" si="14"/>
        <v>1100200</v>
      </c>
      <c r="F62" s="3330">
        <v>22326</v>
      </c>
      <c r="G62" s="3330">
        <v>39929</v>
      </c>
      <c r="H62" s="3330">
        <v>60098</v>
      </c>
      <c r="I62" s="2818">
        <v>46294</v>
      </c>
      <c r="J62" s="2818">
        <v>64</v>
      </c>
      <c r="K62" s="2818">
        <v>44966</v>
      </c>
      <c r="L62" s="3262">
        <v>408222</v>
      </c>
      <c r="M62" s="3262">
        <v>416878</v>
      </c>
      <c r="N62" s="3262">
        <v>820905</v>
      </c>
      <c r="O62" s="2818">
        <v>2632</v>
      </c>
      <c r="P62" s="2818">
        <v>2559</v>
      </c>
      <c r="Q62" s="2818">
        <v>5077</v>
      </c>
      <c r="R62" s="2818">
        <v>140259</v>
      </c>
      <c r="S62" s="2818">
        <v>29256</v>
      </c>
      <c r="T62" s="2818">
        <v>169154</v>
      </c>
    </row>
    <row r="63" spans="1:20">
      <c r="A63" s="58">
        <v>8</v>
      </c>
      <c r="B63" s="2938" t="s">
        <v>184</v>
      </c>
      <c r="C63" s="3329">
        <f t="shared" si="12"/>
        <v>47183</v>
      </c>
      <c r="D63" s="3329">
        <f t="shared" si="13"/>
        <v>23524</v>
      </c>
      <c r="E63" s="3329">
        <f t="shared" si="14"/>
        <v>77327.75</v>
      </c>
      <c r="F63" s="3330">
        <v>1999</v>
      </c>
      <c r="G63" s="3330">
        <v>976</v>
      </c>
      <c r="H63" s="3330">
        <v>2647.75</v>
      </c>
      <c r="I63" s="2818">
        <v>858</v>
      </c>
      <c r="J63" s="2818">
        <v>129</v>
      </c>
      <c r="K63" s="2818">
        <v>145</v>
      </c>
      <c r="L63" s="3262">
        <v>36372</v>
      </c>
      <c r="M63" s="3262">
        <v>21347</v>
      </c>
      <c r="N63" s="3262">
        <v>70476</v>
      </c>
      <c r="O63" s="2818">
        <v>225</v>
      </c>
      <c r="P63" s="2818">
        <v>60</v>
      </c>
      <c r="Q63" s="2818">
        <v>85</v>
      </c>
      <c r="R63" s="2818">
        <v>7729</v>
      </c>
      <c r="S63" s="2818">
        <v>1012</v>
      </c>
      <c r="T63" s="2818">
        <v>3974</v>
      </c>
    </row>
    <row r="64" spans="1:20">
      <c r="A64" s="58">
        <v>9</v>
      </c>
      <c r="B64" s="2939" t="s">
        <v>185</v>
      </c>
      <c r="C64" s="3329">
        <f t="shared" si="12"/>
        <v>0</v>
      </c>
      <c r="D64" s="3329">
        <f t="shared" si="13"/>
        <v>0</v>
      </c>
      <c r="E64" s="3329">
        <f t="shared" si="14"/>
        <v>0</v>
      </c>
      <c r="F64" s="3330"/>
      <c r="G64" s="3330"/>
      <c r="H64" s="3330"/>
      <c r="I64" s="2818"/>
      <c r="J64" s="2818"/>
      <c r="K64" s="2818"/>
      <c r="L64" s="3262"/>
      <c r="M64" s="3262"/>
      <c r="N64" s="3262"/>
      <c r="O64" s="2818"/>
      <c r="P64" s="2818"/>
      <c r="Q64" s="2818"/>
      <c r="R64" s="2818"/>
      <c r="S64" s="2818"/>
      <c r="T64" s="2818"/>
    </row>
    <row r="65" spans="1:20">
      <c r="A65" s="81">
        <v>10</v>
      </c>
      <c r="B65" s="2089" t="s">
        <v>186</v>
      </c>
      <c r="C65" s="2932">
        <f t="shared" si="12"/>
        <v>55751</v>
      </c>
      <c r="D65" s="2932">
        <f t="shared" si="13"/>
        <v>20929</v>
      </c>
      <c r="E65" s="2932">
        <f t="shared" si="14"/>
        <v>76680</v>
      </c>
      <c r="F65" s="3157">
        <v>7483</v>
      </c>
      <c r="G65" s="3157">
        <v>7879</v>
      </c>
      <c r="H65" s="3157">
        <v>15362</v>
      </c>
      <c r="I65" s="2818">
        <v>3463</v>
      </c>
      <c r="J65" s="2818">
        <v>145</v>
      </c>
      <c r="K65" s="2818">
        <v>3608</v>
      </c>
      <c r="L65" s="2818">
        <v>41208</v>
      </c>
      <c r="M65" s="2818">
        <v>11458</v>
      </c>
      <c r="N65" s="2818">
        <v>52666</v>
      </c>
      <c r="O65" s="2818">
        <v>162</v>
      </c>
      <c r="P65" s="2818">
        <v>118</v>
      </c>
      <c r="Q65" s="2818">
        <v>280</v>
      </c>
      <c r="R65" s="2818">
        <v>3435</v>
      </c>
      <c r="S65" s="2818">
        <v>1329</v>
      </c>
      <c r="T65" s="2818">
        <v>4764</v>
      </c>
    </row>
    <row r="66" spans="1:20">
      <c r="A66" s="58">
        <v>11</v>
      </c>
      <c r="B66" s="2938" t="s">
        <v>187</v>
      </c>
      <c r="C66" s="3329">
        <f t="shared" si="12"/>
        <v>217430</v>
      </c>
      <c r="D66" s="3329">
        <f t="shared" si="13"/>
        <v>186001</v>
      </c>
      <c r="E66" s="3329">
        <f t="shared" si="14"/>
        <v>374689</v>
      </c>
      <c r="F66" s="3330">
        <v>4016</v>
      </c>
      <c r="G66" s="3330">
        <v>5470</v>
      </c>
      <c r="H66" s="3330">
        <v>8478</v>
      </c>
      <c r="I66" s="2818">
        <v>12688</v>
      </c>
      <c r="J66" s="2818">
        <v>83</v>
      </c>
      <c r="K66" s="2818">
        <v>12359</v>
      </c>
      <c r="L66" s="3262">
        <v>190051</v>
      </c>
      <c r="M66" s="3262">
        <v>177546</v>
      </c>
      <c r="N66" s="3262">
        <v>341158</v>
      </c>
      <c r="O66" s="2818">
        <v>0</v>
      </c>
      <c r="P66" s="2818"/>
      <c r="Q66" s="2818"/>
      <c r="R66" s="2818">
        <v>10675</v>
      </c>
      <c r="S66" s="2818">
        <v>2902</v>
      </c>
      <c r="T66" s="2818">
        <v>12694</v>
      </c>
    </row>
    <row r="67" spans="1:20">
      <c r="A67" s="58">
        <v>12</v>
      </c>
      <c r="B67" s="2938" t="s">
        <v>189</v>
      </c>
      <c r="C67" s="3329">
        <f t="shared" si="12"/>
        <v>0</v>
      </c>
      <c r="D67" s="3329">
        <f t="shared" si="13"/>
        <v>0</v>
      </c>
      <c r="E67" s="3329">
        <f t="shared" si="14"/>
        <v>0</v>
      </c>
      <c r="F67" s="3330"/>
      <c r="G67" s="3330"/>
      <c r="H67" s="3330"/>
      <c r="I67" s="2818"/>
      <c r="J67" s="2818"/>
      <c r="K67" s="2818"/>
      <c r="L67" s="3262"/>
      <c r="M67" s="3262"/>
      <c r="N67" s="3262"/>
      <c r="O67" s="2818"/>
      <c r="P67" s="2818"/>
      <c r="Q67" s="2818"/>
      <c r="R67" s="2818"/>
      <c r="S67" s="2818"/>
      <c r="T67" s="2818"/>
    </row>
    <row r="68" spans="1:20">
      <c r="A68" s="58">
        <v>13</v>
      </c>
      <c r="B68" s="2938" t="s">
        <v>190</v>
      </c>
      <c r="C68" s="3329">
        <f t="shared" si="12"/>
        <v>20972</v>
      </c>
      <c r="D68" s="3329">
        <f t="shared" si="13"/>
        <v>8082</v>
      </c>
      <c r="E68" s="3329">
        <f t="shared" si="14"/>
        <v>25652</v>
      </c>
      <c r="F68" s="3330">
        <v>593</v>
      </c>
      <c r="G68" s="3330">
        <v>183</v>
      </c>
      <c r="H68" s="3330">
        <v>560</v>
      </c>
      <c r="I68" s="2818">
        <v>1311</v>
      </c>
      <c r="J68" s="2818">
        <v>92</v>
      </c>
      <c r="K68" s="2818">
        <v>1146</v>
      </c>
      <c r="L68" s="3262">
        <v>18224</v>
      </c>
      <c r="M68" s="3262">
        <v>7748</v>
      </c>
      <c r="N68" s="3262">
        <v>22923</v>
      </c>
      <c r="O68" s="2818"/>
      <c r="P68" s="2818"/>
      <c r="Q68" s="2818"/>
      <c r="R68" s="2818">
        <v>844</v>
      </c>
      <c r="S68" s="2818">
        <v>59</v>
      </c>
      <c r="T68" s="2818">
        <v>1023</v>
      </c>
    </row>
    <row r="69" spans="1:20">
      <c r="A69" s="58">
        <v>14</v>
      </c>
      <c r="B69" s="2939" t="s">
        <v>192</v>
      </c>
      <c r="C69" s="3329">
        <f t="shared" ref="C69:C74" si="15">+F69+I69+L69+O69+R69</f>
        <v>24309</v>
      </c>
      <c r="D69" s="3329">
        <f t="shared" ref="D69:D74" si="16">+G69+J69+M69+P69+S69</f>
        <v>0</v>
      </c>
      <c r="E69" s="3329">
        <f t="shared" ref="E69:E74" si="17">+H69+K69+N69+Q69+T69</f>
        <v>3230</v>
      </c>
      <c r="F69" s="3330">
        <v>1704</v>
      </c>
      <c r="G69" s="3330">
        <v>0</v>
      </c>
      <c r="H69" s="3330">
        <v>1704</v>
      </c>
      <c r="I69" s="2818">
        <v>81</v>
      </c>
      <c r="J69" s="2818">
        <v>0</v>
      </c>
      <c r="K69" s="2818">
        <v>81</v>
      </c>
      <c r="L69" s="3262">
        <v>21562</v>
      </c>
      <c r="M69" s="3262">
        <v>0</v>
      </c>
      <c r="N69" s="3262">
        <v>483</v>
      </c>
      <c r="O69" s="2818">
        <v>0</v>
      </c>
      <c r="P69" s="2818"/>
      <c r="Q69" s="2818"/>
      <c r="R69" s="2818">
        <v>962</v>
      </c>
      <c r="S69" s="2818">
        <v>0</v>
      </c>
      <c r="T69" s="2818">
        <v>962</v>
      </c>
    </row>
    <row r="70" spans="1:20">
      <c r="A70" s="58">
        <v>15</v>
      </c>
      <c r="B70" s="2938" t="s">
        <v>193</v>
      </c>
      <c r="C70" s="3329">
        <f t="shared" si="15"/>
        <v>405294</v>
      </c>
      <c r="D70" s="3329">
        <f t="shared" si="16"/>
        <v>685553</v>
      </c>
      <c r="E70" s="3329">
        <f t="shared" si="17"/>
        <v>1108526</v>
      </c>
      <c r="F70" s="3330">
        <v>16361</v>
      </c>
      <c r="G70" s="3330">
        <v>32034</v>
      </c>
      <c r="H70" s="3330">
        <v>40766</v>
      </c>
      <c r="I70" s="2818">
        <v>17941</v>
      </c>
      <c r="J70" s="2818">
        <v>1181</v>
      </c>
      <c r="K70" s="2818">
        <v>1892</v>
      </c>
      <c r="L70" s="3262">
        <v>357874</v>
      </c>
      <c r="M70" s="3262">
        <v>626951</v>
      </c>
      <c r="N70" s="3262">
        <v>1044368</v>
      </c>
      <c r="O70" s="2818">
        <v>791</v>
      </c>
      <c r="P70" s="2818">
        <v>1551</v>
      </c>
      <c r="Q70" s="2818">
        <v>1874</v>
      </c>
      <c r="R70" s="2818">
        <v>12327</v>
      </c>
      <c r="S70" s="2818">
        <v>23836</v>
      </c>
      <c r="T70" s="2818">
        <v>19626</v>
      </c>
    </row>
    <row r="71" spans="1:20">
      <c r="A71" s="58">
        <v>16</v>
      </c>
      <c r="B71" s="2938" t="s">
        <v>194</v>
      </c>
      <c r="C71" s="3329">
        <f t="shared" si="15"/>
        <v>25864</v>
      </c>
      <c r="D71" s="3329">
        <f t="shared" si="16"/>
        <v>277</v>
      </c>
      <c r="E71" s="3329">
        <f t="shared" si="17"/>
        <v>33320</v>
      </c>
      <c r="F71" s="3330">
        <v>401</v>
      </c>
      <c r="G71" s="3330">
        <v>236</v>
      </c>
      <c r="H71" s="3330">
        <v>637</v>
      </c>
      <c r="I71" s="2818">
        <v>0</v>
      </c>
      <c r="J71" s="2818"/>
      <c r="K71" s="2818"/>
      <c r="L71" s="3262">
        <v>25461</v>
      </c>
      <c r="M71" s="3262">
        <v>40</v>
      </c>
      <c r="N71" s="3262">
        <v>28550</v>
      </c>
      <c r="O71" s="2818">
        <v>2</v>
      </c>
      <c r="P71" s="2818">
        <v>1</v>
      </c>
      <c r="Q71" s="2818">
        <v>3</v>
      </c>
      <c r="R71" s="3261"/>
      <c r="S71" s="3261"/>
      <c r="T71" s="2818">
        <v>4130</v>
      </c>
    </row>
    <row r="72" spans="1:20">
      <c r="A72" s="58">
        <v>17</v>
      </c>
      <c r="B72" s="2938" t="s">
        <v>195</v>
      </c>
      <c r="C72" s="3329">
        <f t="shared" si="15"/>
        <v>66649</v>
      </c>
      <c r="D72" s="3329">
        <f t="shared" si="16"/>
        <v>55381</v>
      </c>
      <c r="E72" s="3329">
        <f t="shared" si="17"/>
        <v>122030</v>
      </c>
      <c r="F72" s="3330">
        <v>4199</v>
      </c>
      <c r="G72" s="3330">
        <v>6725</v>
      </c>
      <c r="H72" s="3330">
        <v>10924</v>
      </c>
      <c r="I72" s="2818">
        <v>24263</v>
      </c>
      <c r="J72" s="2818">
        <v>259</v>
      </c>
      <c r="K72" s="2818">
        <v>24522</v>
      </c>
      <c r="L72" s="3262">
        <v>33353</v>
      </c>
      <c r="M72" s="3262">
        <v>43585</v>
      </c>
      <c r="N72" s="3262">
        <v>76938</v>
      </c>
      <c r="O72" s="2818">
        <v>435</v>
      </c>
      <c r="P72" s="2818">
        <v>989</v>
      </c>
      <c r="Q72" s="2818">
        <v>1424</v>
      </c>
      <c r="R72" s="2818">
        <v>4399</v>
      </c>
      <c r="S72" s="2818">
        <v>3823</v>
      </c>
      <c r="T72" s="2818">
        <v>8222</v>
      </c>
    </row>
    <row r="73" spans="1:20">
      <c r="A73" s="58">
        <v>18</v>
      </c>
      <c r="B73" s="2939" t="s">
        <v>191</v>
      </c>
      <c r="C73" s="3329">
        <f t="shared" si="15"/>
        <v>0</v>
      </c>
      <c r="D73" s="3329">
        <f t="shared" si="16"/>
        <v>0</v>
      </c>
      <c r="E73" s="3329">
        <f t="shared" si="17"/>
        <v>0</v>
      </c>
      <c r="F73" s="3330"/>
      <c r="G73" s="3330"/>
      <c r="H73" s="3330"/>
      <c r="I73" s="2818"/>
      <c r="J73" s="2818"/>
      <c r="K73" s="2818"/>
      <c r="L73" s="3262"/>
      <c r="M73" s="3262"/>
      <c r="N73" s="3262"/>
      <c r="O73" s="2818"/>
      <c r="P73" s="2818"/>
      <c r="Q73" s="2818"/>
      <c r="R73" s="2818"/>
      <c r="S73" s="2818"/>
      <c r="T73" s="2818"/>
    </row>
    <row r="74" spans="1:20">
      <c r="A74" s="58">
        <v>19</v>
      </c>
      <c r="B74" s="2939" t="s">
        <v>110</v>
      </c>
      <c r="C74" s="3329">
        <f t="shared" si="15"/>
        <v>0</v>
      </c>
      <c r="D74" s="3329">
        <f t="shared" si="16"/>
        <v>0</v>
      </c>
      <c r="E74" s="3329">
        <f t="shared" si="17"/>
        <v>0</v>
      </c>
      <c r="F74" s="3330"/>
      <c r="G74" s="3330"/>
      <c r="H74" s="3330"/>
      <c r="I74" s="2818"/>
      <c r="J74" s="2818"/>
      <c r="K74" s="2818"/>
      <c r="L74" s="3262"/>
      <c r="M74" s="3262"/>
      <c r="N74" s="3262"/>
      <c r="O74" s="2818"/>
      <c r="P74" s="2818"/>
      <c r="Q74" s="2818"/>
      <c r="R74" s="2818"/>
      <c r="S74" s="2818"/>
      <c r="T74" s="2818"/>
    </row>
    <row r="75" spans="1:20">
      <c r="B75" s="3122" t="s">
        <v>118</v>
      </c>
      <c r="C75" s="3117">
        <f t="shared" ref="C75:T75" si="18">SUM(C56:C74)</f>
        <v>1667727</v>
      </c>
      <c r="D75" s="3117">
        <f t="shared" si="18"/>
        <v>1567438</v>
      </c>
      <c r="E75" s="3117">
        <f t="shared" si="18"/>
        <v>3428784.75</v>
      </c>
      <c r="F75" s="3330">
        <f t="shared" si="18"/>
        <v>66328</v>
      </c>
      <c r="G75" s="3330">
        <f t="shared" si="18"/>
        <v>106129</v>
      </c>
      <c r="H75" s="3330">
        <f t="shared" si="18"/>
        <v>163216.75</v>
      </c>
      <c r="I75" s="3259">
        <f t="shared" si="18"/>
        <v>142090</v>
      </c>
      <c r="J75" s="3259">
        <f t="shared" si="18"/>
        <v>2156</v>
      </c>
      <c r="K75" s="3259">
        <f t="shared" si="18"/>
        <v>139645</v>
      </c>
      <c r="L75" s="3263">
        <f t="shared" si="18"/>
        <v>1252268</v>
      </c>
      <c r="M75" s="3263">
        <f t="shared" si="18"/>
        <v>1363494</v>
      </c>
      <c r="N75" s="3263">
        <f t="shared" si="18"/>
        <v>2637246</v>
      </c>
      <c r="O75" s="3259">
        <f t="shared" si="18"/>
        <v>4598</v>
      </c>
      <c r="P75" s="3259">
        <f t="shared" si="18"/>
        <v>5725</v>
      </c>
      <c r="Q75" s="3259">
        <f t="shared" si="18"/>
        <v>10133</v>
      </c>
      <c r="R75" s="3259">
        <f t="shared" si="18"/>
        <v>202443</v>
      </c>
      <c r="S75" s="3259">
        <f t="shared" si="18"/>
        <v>89934</v>
      </c>
      <c r="T75" s="3259">
        <f t="shared" si="18"/>
        <v>478544</v>
      </c>
    </row>
    <row r="76" spans="1:20">
      <c r="B76" s="46"/>
      <c r="C76" s="47"/>
      <c r="D76" s="47"/>
      <c r="E76" s="47"/>
      <c r="F76" s="48"/>
      <c r="G76" s="48"/>
      <c r="H76" s="48"/>
      <c r="I76" s="49"/>
      <c r="J76" s="49"/>
      <c r="K76" s="49"/>
      <c r="L76" s="50"/>
      <c r="M76" s="50"/>
      <c r="N76" s="50"/>
      <c r="O76" s="49"/>
      <c r="P76" s="49"/>
      <c r="Q76" s="49"/>
      <c r="R76" s="49"/>
      <c r="S76" s="49"/>
      <c r="T76" s="49"/>
    </row>
    <row r="79" spans="1:20">
      <c r="B79" s="3111" t="s">
        <v>834</v>
      </c>
    </row>
    <row r="80" spans="1:20">
      <c r="B80" s="3848" t="s">
        <v>709</v>
      </c>
      <c r="C80" s="3958" t="s">
        <v>118</v>
      </c>
      <c r="D80" s="3958"/>
      <c r="E80" s="3958"/>
      <c r="F80" s="3944" t="s">
        <v>412</v>
      </c>
      <c r="G80" s="3944"/>
      <c r="H80" s="3944"/>
      <c r="I80" s="3948" t="s">
        <v>413</v>
      </c>
      <c r="J80" s="3948"/>
      <c r="K80" s="3948"/>
      <c r="L80" s="3925" t="s">
        <v>414</v>
      </c>
      <c r="M80" s="3925"/>
      <c r="N80" s="3925"/>
      <c r="O80" s="3948" t="s">
        <v>701</v>
      </c>
      <c r="P80" s="3948"/>
      <c r="Q80" s="3948"/>
      <c r="R80" s="3948" t="s">
        <v>416</v>
      </c>
      <c r="S80" s="3948"/>
      <c r="T80" s="3948"/>
    </row>
    <row r="81" spans="1:21">
      <c r="B81" s="3848"/>
      <c r="C81" s="3327" t="s">
        <v>956</v>
      </c>
      <c r="D81" s="3327" t="s">
        <v>957</v>
      </c>
      <c r="E81" s="3327" t="s">
        <v>958</v>
      </c>
      <c r="F81" s="3328" t="s">
        <v>956</v>
      </c>
      <c r="G81" s="3328" t="s">
        <v>957</v>
      </c>
      <c r="H81" s="3328" t="s">
        <v>958</v>
      </c>
      <c r="I81" s="2906" t="s">
        <v>956</v>
      </c>
      <c r="J81" s="2906" t="s">
        <v>957</v>
      </c>
      <c r="K81" s="2906" t="s">
        <v>958</v>
      </c>
      <c r="L81" s="3256" t="s">
        <v>956</v>
      </c>
      <c r="M81" s="3256" t="s">
        <v>957</v>
      </c>
      <c r="N81" s="3256" t="s">
        <v>958</v>
      </c>
      <c r="O81" s="2906" t="s">
        <v>956</v>
      </c>
      <c r="P81" s="2906" t="s">
        <v>957</v>
      </c>
      <c r="Q81" s="2906" t="s">
        <v>958</v>
      </c>
      <c r="R81" s="2906" t="s">
        <v>956</v>
      </c>
      <c r="S81" s="2906" t="s">
        <v>957</v>
      </c>
      <c r="T81" s="2906" t="s">
        <v>958</v>
      </c>
    </row>
    <row r="82" spans="1:21">
      <c r="A82" s="58">
        <v>1</v>
      </c>
      <c r="B82" s="2938" t="s">
        <v>175</v>
      </c>
      <c r="C82" s="3329">
        <f t="shared" ref="C82:C94" si="19">+F82+I82+L82+O82+R82</f>
        <v>10963</v>
      </c>
      <c r="D82" s="3329">
        <f t="shared" ref="D82:D94" si="20">+G82+J82+M82+P82+S82</f>
        <v>6202</v>
      </c>
      <c r="E82" s="3329">
        <f t="shared" ref="E82:E94" si="21">+H82+K82+N82+Q82+T82</f>
        <v>16702</v>
      </c>
      <c r="F82" s="3330">
        <v>979</v>
      </c>
      <c r="G82" s="3330">
        <v>1102</v>
      </c>
      <c r="H82" s="3330">
        <v>2080</v>
      </c>
      <c r="I82" s="3331">
        <v>3418</v>
      </c>
      <c r="J82" s="3331">
        <v>38</v>
      </c>
      <c r="K82" s="3331">
        <v>3456</v>
      </c>
      <c r="L82" s="3260">
        <v>5714</v>
      </c>
      <c r="M82" s="3260">
        <v>4407</v>
      </c>
      <c r="N82" s="3260">
        <v>10016</v>
      </c>
      <c r="O82" s="3331">
        <v>104</v>
      </c>
      <c r="P82" s="3331">
        <v>135</v>
      </c>
      <c r="Q82" s="3331">
        <v>180</v>
      </c>
      <c r="R82" s="3331">
        <v>748</v>
      </c>
      <c r="S82" s="3331">
        <v>520</v>
      </c>
      <c r="T82" s="3331">
        <v>970</v>
      </c>
    </row>
    <row r="83" spans="1:21">
      <c r="A83" s="58">
        <v>2</v>
      </c>
      <c r="B83" s="2939" t="s">
        <v>177</v>
      </c>
      <c r="C83" s="3329">
        <f t="shared" si="19"/>
        <v>0</v>
      </c>
      <c r="D83" s="3329">
        <f t="shared" si="20"/>
        <v>0</v>
      </c>
      <c r="E83" s="3329">
        <f t="shared" si="21"/>
        <v>0</v>
      </c>
      <c r="F83" s="3330"/>
      <c r="G83" s="3330"/>
      <c r="H83" s="3330"/>
      <c r="I83" s="2818"/>
      <c r="J83" s="2818"/>
      <c r="K83" s="2818"/>
      <c r="L83" s="3262"/>
      <c r="M83" s="3262"/>
      <c r="N83" s="3262"/>
      <c r="O83" s="2818"/>
      <c r="P83" s="2818"/>
      <c r="Q83" s="2818"/>
      <c r="R83" s="2818"/>
      <c r="S83" s="2818"/>
      <c r="T83" s="2818"/>
    </row>
    <row r="84" spans="1:21">
      <c r="A84" s="58">
        <v>3</v>
      </c>
      <c r="B84" s="2938" t="s">
        <v>179</v>
      </c>
      <c r="C84" s="3329">
        <f>+F84+I84+L84+O84+R84</f>
        <v>47718</v>
      </c>
      <c r="D84" s="3329">
        <f>+G84+J84+M84+P84+S84</f>
        <v>30894</v>
      </c>
      <c r="E84" s="3329">
        <f>+H84+K84+N84+Q84+T84</f>
        <v>67919</v>
      </c>
      <c r="F84" s="3330">
        <v>3331</v>
      </c>
      <c r="G84" s="3330">
        <v>11224</v>
      </c>
      <c r="H84" s="3330">
        <v>13752</v>
      </c>
      <c r="I84" s="2818">
        <v>14437</v>
      </c>
      <c r="J84" s="2818">
        <v>59</v>
      </c>
      <c r="K84" s="2818">
        <v>8074</v>
      </c>
      <c r="L84" s="3262">
        <v>26991</v>
      </c>
      <c r="M84" s="3262">
        <v>17949</v>
      </c>
      <c r="N84" s="3262">
        <v>39871</v>
      </c>
      <c r="O84" s="2818">
        <v>181</v>
      </c>
      <c r="P84" s="2818">
        <v>268</v>
      </c>
      <c r="Q84" s="2818">
        <v>406</v>
      </c>
      <c r="R84" s="2818">
        <v>2778</v>
      </c>
      <c r="S84" s="2818">
        <v>1394</v>
      </c>
      <c r="T84" s="2818">
        <v>5816</v>
      </c>
    </row>
    <row r="85" spans="1:21">
      <c r="A85" s="58">
        <v>4</v>
      </c>
      <c r="B85" s="2938" t="s">
        <v>180</v>
      </c>
      <c r="C85" s="3329">
        <f t="shared" si="19"/>
        <v>36154</v>
      </c>
      <c r="D85" s="3329">
        <f t="shared" si="20"/>
        <v>22811</v>
      </c>
      <c r="E85" s="3329">
        <f t="shared" si="21"/>
        <v>59002</v>
      </c>
      <c r="F85" s="3330">
        <v>555</v>
      </c>
      <c r="G85" s="3330">
        <v>898</v>
      </c>
      <c r="H85" s="3330">
        <v>1388</v>
      </c>
      <c r="I85" s="2818">
        <v>5728</v>
      </c>
      <c r="J85" s="2818">
        <v>90</v>
      </c>
      <c r="K85" s="2818">
        <v>5812</v>
      </c>
      <c r="L85" s="3262">
        <v>28083</v>
      </c>
      <c r="M85" s="3262">
        <v>20553</v>
      </c>
      <c r="N85" s="3262">
        <v>48775</v>
      </c>
      <c r="O85" s="2818">
        <v>58</v>
      </c>
      <c r="P85" s="2818">
        <v>77</v>
      </c>
      <c r="Q85" s="2818">
        <v>133</v>
      </c>
      <c r="R85" s="2818">
        <v>1730</v>
      </c>
      <c r="S85" s="2818">
        <v>1193</v>
      </c>
      <c r="T85" s="2818">
        <v>2894</v>
      </c>
    </row>
    <row r="86" spans="1:21">
      <c r="A86" s="58">
        <v>5</v>
      </c>
      <c r="B86" s="2939" t="s">
        <v>181</v>
      </c>
      <c r="C86" s="3329">
        <f t="shared" si="19"/>
        <v>31530</v>
      </c>
      <c r="D86" s="3329">
        <f t="shared" si="20"/>
        <v>28591</v>
      </c>
      <c r="E86" s="3329">
        <f t="shared" si="21"/>
        <v>253026</v>
      </c>
      <c r="F86" s="3330">
        <v>382</v>
      </c>
      <c r="G86" s="3330">
        <v>608</v>
      </c>
      <c r="H86" s="3330">
        <v>2827</v>
      </c>
      <c r="I86" s="2818">
        <v>5602</v>
      </c>
      <c r="J86" s="2818">
        <v>23</v>
      </c>
      <c r="K86" s="2818">
        <v>23676</v>
      </c>
      <c r="L86" s="3262">
        <v>1598</v>
      </c>
      <c r="M86" s="3262">
        <v>1634</v>
      </c>
      <c r="N86" s="3262">
        <v>11499</v>
      </c>
      <c r="O86" s="2818">
        <v>3</v>
      </c>
      <c r="P86" s="2818">
        <v>11</v>
      </c>
      <c r="Q86" s="2818">
        <v>611</v>
      </c>
      <c r="R86" s="2818">
        <v>23945</v>
      </c>
      <c r="S86" s="2818">
        <v>26315</v>
      </c>
      <c r="T86" s="2818">
        <v>214413</v>
      </c>
    </row>
    <row r="87" spans="1:21">
      <c r="A87" s="58">
        <v>6</v>
      </c>
      <c r="B87" s="2939" t="s">
        <v>182</v>
      </c>
      <c r="C87" s="3329">
        <f t="shared" si="19"/>
        <v>0</v>
      </c>
      <c r="D87" s="3329">
        <f t="shared" si="20"/>
        <v>0</v>
      </c>
      <c r="E87" s="3329">
        <f t="shared" si="21"/>
        <v>0</v>
      </c>
      <c r="F87" s="3330"/>
      <c r="G87" s="3330"/>
      <c r="H87" s="3330"/>
      <c r="I87" s="2818"/>
      <c r="J87" s="2818"/>
      <c r="K87" s="2818"/>
      <c r="L87" s="3262"/>
      <c r="M87" s="3262"/>
      <c r="N87" s="3262"/>
      <c r="O87" s="2818"/>
      <c r="P87" s="2818"/>
      <c r="Q87" s="2818"/>
      <c r="R87" s="2818"/>
      <c r="S87" s="2818"/>
      <c r="T87" s="2818"/>
    </row>
    <row r="88" spans="1:21">
      <c r="A88" s="58">
        <v>7</v>
      </c>
      <c r="B88" s="2938" t="s">
        <v>183</v>
      </c>
      <c r="C88" s="3329">
        <f t="shared" si="19"/>
        <v>507364</v>
      </c>
      <c r="D88" s="3329">
        <f t="shared" si="20"/>
        <v>492795</v>
      </c>
      <c r="E88" s="3329">
        <f>+H88+K88+N88+Q88+T88</f>
        <v>979481</v>
      </c>
      <c r="F88" s="3330">
        <v>19766</v>
      </c>
      <c r="G88" s="3330">
        <v>41272</v>
      </c>
      <c r="H88" s="3330">
        <v>57065</v>
      </c>
      <c r="I88" s="2818">
        <v>36831</v>
      </c>
      <c r="J88" s="2818">
        <v>55</v>
      </c>
      <c r="K88" s="2818">
        <v>36739</v>
      </c>
      <c r="L88" s="3262">
        <v>330386</v>
      </c>
      <c r="M88" s="3262">
        <v>418186</v>
      </c>
      <c r="N88" s="3262">
        <v>736480</v>
      </c>
      <c r="O88" s="2818">
        <v>2102</v>
      </c>
      <c r="P88" s="2818">
        <v>2789</v>
      </c>
      <c r="Q88" s="2818">
        <v>4891</v>
      </c>
      <c r="R88" s="2818">
        <v>118279</v>
      </c>
      <c r="S88" s="2818">
        <v>30493</v>
      </c>
      <c r="T88" s="2818">
        <v>144306</v>
      </c>
    </row>
    <row r="89" spans="1:21">
      <c r="A89" s="58">
        <v>8</v>
      </c>
      <c r="B89" s="2938" t="s">
        <v>184</v>
      </c>
      <c r="C89" s="3329">
        <f t="shared" si="19"/>
        <v>55827</v>
      </c>
      <c r="D89" s="3329">
        <f t="shared" si="20"/>
        <v>27753</v>
      </c>
      <c r="E89" s="3329">
        <f t="shared" si="21"/>
        <v>89370.34</v>
      </c>
      <c r="F89" s="3330">
        <v>1432</v>
      </c>
      <c r="G89" s="3330">
        <v>850</v>
      </c>
      <c r="H89" s="3330">
        <v>1985.34</v>
      </c>
      <c r="I89" s="2818">
        <v>1034</v>
      </c>
      <c r="J89" s="2818">
        <v>88</v>
      </c>
      <c r="K89" s="2818">
        <v>163</v>
      </c>
      <c r="L89" s="3262">
        <v>44615</v>
      </c>
      <c r="M89" s="3262">
        <v>25577</v>
      </c>
      <c r="N89" s="3262">
        <v>84055</v>
      </c>
      <c r="O89" s="2818">
        <v>174</v>
      </c>
      <c r="P89" s="2818">
        <v>55</v>
      </c>
      <c r="Q89" s="2818">
        <v>72</v>
      </c>
      <c r="R89" s="2818">
        <v>8572</v>
      </c>
      <c r="S89" s="2818">
        <v>1183</v>
      </c>
      <c r="T89" s="2818">
        <v>3095</v>
      </c>
    </row>
    <row r="90" spans="1:21">
      <c r="A90" s="58">
        <v>9</v>
      </c>
      <c r="B90" s="2939" t="s">
        <v>185</v>
      </c>
      <c r="C90" s="3329">
        <f t="shared" si="19"/>
        <v>0</v>
      </c>
      <c r="D90" s="3329">
        <f t="shared" si="20"/>
        <v>0</v>
      </c>
      <c r="E90" s="3329">
        <f t="shared" si="21"/>
        <v>0</v>
      </c>
      <c r="F90" s="3330"/>
      <c r="G90" s="3330"/>
      <c r="H90" s="3330"/>
      <c r="I90" s="2818"/>
      <c r="J90" s="2818"/>
      <c r="K90" s="2818"/>
      <c r="L90" s="3262"/>
      <c r="M90" s="3262"/>
      <c r="N90" s="3262"/>
      <c r="O90" s="2818"/>
      <c r="P90" s="2818"/>
      <c r="Q90" s="2818"/>
      <c r="R90" s="2818"/>
      <c r="S90" s="2818"/>
      <c r="T90" s="2818"/>
    </row>
    <row r="91" spans="1:21" s="72" customFormat="1">
      <c r="A91" s="71">
        <v>10</v>
      </c>
      <c r="B91" s="3268" t="s">
        <v>186</v>
      </c>
      <c r="C91" s="3334">
        <f t="shared" si="19"/>
        <v>0</v>
      </c>
      <c r="D91" s="3334">
        <f t="shared" si="20"/>
        <v>0</v>
      </c>
      <c r="E91" s="3334">
        <f t="shared" si="21"/>
        <v>0</v>
      </c>
      <c r="F91" s="3335"/>
      <c r="G91" s="3335"/>
      <c r="H91" s="3335"/>
      <c r="I91" s="3261"/>
      <c r="J91" s="3261"/>
      <c r="K91" s="3261"/>
      <c r="L91" s="3261"/>
      <c r="M91" s="3261"/>
      <c r="N91" s="3261"/>
      <c r="O91" s="3261"/>
      <c r="P91" s="3261"/>
      <c r="Q91" s="3261"/>
      <c r="R91" s="3261"/>
      <c r="S91" s="3261"/>
      <c r="T91" s="3261"/>
      <c r="U91" t="s">
        <v>959</v>
      </c>
    </row>
    <row r="92" spans="1:21">
      <c r="A92" s="58">
        <v>11</v>
      </c>
      <c r="B92" s="2938" t="s">
        <v>187</v>
      </c>
      <c r="C92" s="3329">
        <f t="shared" si="19"/>
        <v>188861</v>
      </c>
      <c r="D92" s="3329">
        <f t="shared" si="20"/>
        <v>163814</v>
      </c>
      <c r="E92" s="3329">
        <f t="shared" si="21"/>
        <v>327036</v>
      </c>
      <c r="F92" s="3330">
        <v>5941</v>
      </c>
      <c r="G92" s="3330">
        <v>5077</v>
      </c>
      <c r="H92" s="3330">
        <v>9576</v>
      </c>
      <c r="I92" s="2818">
        <v>10362</v>
      </c>
      <c r="J92" s="2818">
        <v>77</v>
      </c>
      <c r="K92" s="2818">
        <v>10026</v>
      </c>
      <c r="L92" s="3262">
        <v>152611</v>
      </c>
      <c r="M92" s="3262">
        <v>155849</v>
      </c>
      <c r="N92" s="3262">
        <v>285888</v>
      </c>
      <c r="O92" s="2818"/>
      <c r="P92" s="2818"/>
      <c r="Q92" s="2818"/>
      <c r="R92" s="2818">
        <v>19947</v>
      </c>
      <c r="S92" s="2818">
        <v>2811</v>
      </c>
      <c r="T92" s="2818">
        <v>21546</v>
      </c>
    </row>
    <row r="93" spans="1:21">
      <c r="A93" s="58">
        <v>12</v>
      </c>
      <c r="B93" s="2938" t="s">
        <v>189</v>
      </c>
      <c r="C93" s="3329">
        <f t="shared" si="19"/>
        <v>0</v>
      </c>
      <c r="D93" s="3329">
        <f t="shared" si="20"/>
        <v>0</v>
      </c>
      <c r="E93" s="3329">
        <f t="shared" si="21"/>
        <v>0</v>
      </c>
      <c r="F93" s="3330"/>
      <c r="G93" s="3330"/>
      <c r="H93" s="3330"/>
      <c r="I93" s="2818"/>
      <c r="J93" s="2818"/>
      <c r="K93" s="2818"/>
      <c r="L93" s="3262"/>
      <c r="M93" s="3262"/>
      <c r="N93" s="3262"/>
      <c r="O93" s="2818"/>
      <c r="P93" s="2818"/>
      <c r="Q93" s="2818"/>
      <c r="R93" s="2818"/>
      <c r="S93" s="2818"/>
      <c r="T93" s="2818"/>
    </row>
    <row r="94" spans="1:21">
      <c r="A94" s="58">
        <v>13</v>
      </c>
      <c r="B94" s="2938" t="s">
        <v>190</v>
      </c>
      <c r="C94" s="3329">
        <f t="shared" si="19"/>
        <v>0</v>
      </c>
      <c r="D94" s="3329">
        <f t="shared" si="20"/>
        <v>0</v>
      </c>
      <c r="E94" s="3329">
        <f t="shared" si="21"/>
        <v>20729</v>
      </c>
      <c r="F94" s="3336"/>
      <c r="G94" s="3336"/>
      <c r="H94" s="3330">
        <v>568</v>
      </c>
      <c r="I94" s="3261"/>
      <c r="J94" s="3261"/>
      <c r="K94" s="2818">
        <v>643</v>
      </c>
      <c r="L94" s="3261"/>
      <c r="M94" s="3261"/>
      <c r="N94" s="3262">
        <v>18474</v>
      </c>
      <c r="O94" s="2818"/>
      <c r="P94" s="2818"/>
      <c r="Q94" s="2818">
        <v>0</v>
      </c>
      <c r="R94" s="3261"/>
      <c r="S94" s="3261"/>
      <c r="T94" s="2818">
        <v>1044</v>
      </c>
      <c r="U94" t="s">
        <v>959</v>
      </c>
    </row>
    <row r="95" spans="1:21">
      <c r="A95" s="58">
        <v>14</v>
      </c>
      <c r="B95" s="2939" t="s">
        <v>192</v>
      </c>
      <c r="C95" s="3329">
        <f t="shared" ref="C95:C100" si="22">+F95+I95+L95+O95+R95</f>
        <v>0</v>
      </c>
      <c r="D95" s="3329">
        <f t="shared" ref="D95:D100" si="23">+G95+J95+M95+P95+S95</f>
        <v>0</v>
      </c>
      <c r="E95" s="3329">
        <f t="shared" ref="E95:E100" si="24">+H95+K95+N95+Q95+T95</f>
        <v>0</v>
      </c>
      <c r="F95" s="3330"/>
      <c r="G95" s="3330"/>
      <c r="H95" s="3330"/>
      <c r="I95" s="2818"/>
      <c r="J95" s="2818"/>
      <c r="K95" s="2818"/>
      <c r="L95" s="3262"/>
      <c r="M95" s="3262"/>
      <c r="N95" s="3262"/>
      <c r="O95" s="2818"/>
      <c r="P95" s="2818"/>
      <c r="Q95" s="2818"/>
      <c r="R95" s="2818"/>
      <c r="S95" s="2818"/>
      <c r="T95" s="2818"/>
    </row>
    <row r="96" spans="1:21">
      <c r="A96" s="58">
        <v>15</v>
      </c>
      <c r="B96" s="2938" t="s">
        <v>193</v>
      </c>
      <c r="C96" s="3329">
        <f t="shared" si="22"/>
        <v>389171</v>
      </c>
      <c r="D96" s="3329">
        <f t="shared" si="23"/>
        <v>699012</v>
      </c>
      <c r="E96" s="3329">
        <f t="shared" si="24"/>
        <v>1046357</v>
      </c>
      <c r="F96" s="3330">
        <v>12682</v>
      </c>
      <c r="G96" s="3330">
        <v>31163</v>
      </c>
      <c r="H96" s="3330">
        <v>41040</v>
      </c>
      <c r="I96" s="2818">
        <v>16161</v>
      </c>
      <c r="J96" s="2818">
        <v>1010</v>
      </c>
      <c r="K96" s="2818">
        <v>1620</v>
      </c>
      <c r="L96" s="3262">
        <v>349653</v>
      </c>
      <c r="M96" s="3262">
        <v>644004</v>
      </c>
      <c r="N96" s="3262">
        <v>982036</v>
      </c>
      <c r="O96" s="2818">
        <v>825</v>
      </c>
      <c r="P96" s="2818">
        <v>1450</v>
      </c>
      <c r="Q96" s="2818">
        <v>1802</v>
      </c>
      <c r="R96" s="2818">
        <v>9850</v>
      </c>
      <c r="S96" s="2818">
        <v>21385</v>
      </c>
      <c r="T96" s="2818">
        <v>19859</v>
      </c>
    </row>
    <row r="97" spans="1:20">
      <c r="A97" s="58">
        <v>16</v>
      </c>
      <c r="B97" s="2938" t="s">
        <v>194</v>
      </c>
      <c r="C97" s="3329">
        <f t="shared" si="22"/>
        <v>289</v>
      </c>
      <c r="D97" s="3329">
        <f t="shared" si="23"/>
        <v>397</v>
      </c>
      <c r="E97" s="3329">
        <f t="shared" si="24"/>
        <v>20843</v>
      </c>
      <c r="F97" s="3330">
        <v>285</v>
      </c>
      <c r="G97" s="3330">
        <v>397</v>
      </c>
      <c r="H97" s="3330">
        <v>682</v>
      </c>
      <c r="I97" s="2818"/>
      <c r="J97" s="2818"/>
      <c r="K97" s="2818"/>
      <c r="L97" s="3261"/>
      <c r="M97" s="3261"/>
      <c r="N97" s="3262">
        <v>18749</v>
      </c>
      <c r="O97" s="2818">
        <v>4</v>
      </c>
      <c r="P97" s="2818">
        <v>0</v>
      </c>
      <c r="Q97" s="2818">
        <v>4</v>
      </c>
      <c r="R97" s="3261"/>
      <c r="S97" s="3261"/>
      <c r="T97" s="2818">
        <v>1408</v>
      </c>
    </row>
    <row r="98" spans="1:20">
      <c r="A98" s="58">
        <v>17</v>
      </c>
      <c r="B98" s="2938" t="s">
        <v>195</v>
      </c>
      <c r="C98" s="3329">
        <f t="shared" si="22"/>
        <v>54402</v>
      </c>
      <c r="D98" s="3329">
        <f t="shared" si="23"/>
        <v>55888</v>
      </c>
      <c r="E98" s="3329">
        <f t="shared" si="24"/>
        <v>110290</v>
      </c>
      <c r="F98" s="3330">
        <v>3963</v>
      </c>
      <c r="G98" s="3330">
        <v>6268</v>
      </c>
      <c r="H98" s="3330">
        <v>10231</v>
      </c>
      <c r="I98" s="2818">
        <v>19702</v>
      </c>
      <c r="J98" s="2818">
        <v>241</v>
      </c>
      <c r="K98" s="2818">
        <v>19943</v>
      </c>
      <c r="L98" s="3262">
        <v>25624</v>
      </c>
      <c r="M98" s="3262">
        <v>44263</v>
      </c>
      <c r="N98" s="3262">
        <v>69887</v>
      </c>
      <c r="O98" s="2818">
        <v>501</v>
      </c>
      <c r="P98" s="2818">
        <v>1007</v>
      </c>
      <c r="Q98" s="2818">
        <v>1508</v>
      </c>
      <c r="R98" s="2818">
        <v>4612</v>
      </c>
      <c r="S98" s="2818">
        <v>4109</v>
      </c>
      <c r="T98" s="2818">
        <v>8721</v>
      </c>
    </row>
    <row r="99" spans="1:20">
      <c r="A99" s="58">
        <v>18</v>
      </c>
      <c r="B99" s="2939" t="s">
        <v>191</v>
      </c>
      <c r="C99" s="3329">
        <f t="shared" si="22"/>
        <v>0</v>
      </c>
      <c r="D99" s="3329">
        <f t="shared" si="23"/>
        <v>0</v>
      </c>
      <c r="E99" s="3329">
        <f t="shared" si="24"/>
        <v>0</v>
      </c>
      <c r="F99" s="3330"/>
      <c r="G99" s="3330"/>
      <c r="H99" s="3330"/>
      <c r="I99" s="2818"/>
      <c r="J99" s="2818"/>
      <c r="K99" s="2818"/>
      <c r="L99" s="3262"/>
      <c r="M99" s="3262"/>
      <c r="N99" s="3262"/>
      <c r="O99" s="2818"/>
      <c r="P99" s="2818"/>
      <c r="Q99" s="2818"/>
      <c r="R99" s="2818"/>
      <c r="S99" s="2818"/>
      <c r="T99" s="2818"/>
    </row>
    <row r="100" spans="1:20">
      <c r="A100" s="58">
        <v>19</v>
      </c>
      <c r="B100" s="2939" t="s">
        <v>110</v>
      </c>
      <c r="C100" s="3329">
        <f t="shared" si="22"/>
        <v>0</v>
      </c>
      <c r="D100" s="3329">
        <f t="shared" si="23"/>
        <v>0</v>
      </c>
      <c r="E100" s="3329">
        <f t="shared" si="24"/>
        <v>0</v>
      </c>
      <c r="F100" s="3330"/>
      <c r="G100" s="3330"/>
      <c r="H100" s="3330"/>
      <c r="I100" s="2818"/>
      <c r="J100" s="2818"/>
      <c r="K100" s="2818"/>
      <c r="L100" s="3262"/>
      <c r="M100" s="3262"/>
      <c r="N100" s="3262"/>
      <c r="O100" s="2818"/>
      <c r="P100" s="2818"/>
      <c r="Q100" s="2818"/>
      <c r="R100" s="2818"/>
      <c r="S100" s="2818"/>
      <c r="T100" s="2818"/>
    </row>
    <row r="101" spans="1:20">
      <c r="B101" s="3122" t="s">
        <v>118</v>
      </c>
      <c r="C101" s="3117">
        <f t="shared" ref="C101:T101" si="25">SUM(C82:C100)</f>
        <v>1322279</v>
      </c>
      <c r="D101" s="3117">
        <f t="shared" si="25"/>
        <v>1528157</v>
      </c>
      <c r="E101" s="3117">
        <f t="shared" si="25"/>
        <v>2990755.34</v>
      </c>
      <c r="F101" s="3330">
        <f t="shared" si="25"/>
        <v>49316</v>
      </c>
      <c r="G101" s="3330">
        <f t="shared" si="25"/>
        <v>98859</v>
      </c>
      <c r="H101" s="3330">
        <f t="shared" si="25"/>
        <v>141194.34</v>
      </c>
      <c r="I101" s="3259">
        <f t="shared" si="25"/>
        <v>113275</v>
      </c>
      <c r="J101" s="3259">
        <f t="shared" si="25"/>
        <v>1681</v>
      </c>
      <c r="K101" s="3259">
        <f t="shared" si="25"/>
        <v>110152</v>
      </c>
      <c r="L101" s="3263">
        <f t="shared" si="25"/>
        <v>965275</v>
      </c>
      <c r="M101" s="3263">
        <f t="shared" si="25"/>
        <v>1332422</v>
      </c>
      <c r="N101" s="3263">
        <f t="shared" si="25"/>
        <v>2305730</v>
      </c>
      <c r="O101" s="3259">
        <f t="shared" si="25"/>
        <v>3952</v>
      </c>
      <c r="P101" s="3259">
        <f t="shared" si="25"/>
        <v>5792</v>
      </c>
      <c r="Q101" s="3259">
        <f t="shared" si="25"/>
        <v>9607</v>
      </c>
      <c r="R101" s="3259">
        <f t="shared" si="25"/>
        <v>190461</v>
      </c>
      <c r="S101" s="3259">
        <f t="shared" si="25"/>
        <v>89403</v>
      </c>
      <c r="T101" s="3259">
        <f t="shared" si="25"/>
        <v>424072</v>
      </c>
    </row>
    <row r="102" spans="1:20">
      <c r="B102" s="46"/>
      <c r="C102" s="47"/>
      <c r="D102" s="47"/>
      <c r="E102" s="47"/>
      <c r="F102" s="48"/>
      <c r="G102" s="48"/>
      <c r="H102" s="48"/>
      <c r="I102" s="49"/>
      <c r="J102" s="49"/>
      <c r="K102" s="49"/>
      <c r="L102" s="50"/>
      <c r="M102" s="50"/>
      <c r="N102" s="50"/>
      <c r="O102" s="49"/>
      <c r="P102" s="49"/>
      <c r="Q102" s="49"/>
      <c r="R102" s="49"/>
      <c r="S102" s="49"/>
      <c r="T102" s="49"/>
    </row>
    <row r="105" spans="1:20">
      <c r="B105" s="3111" t="s">
        <v>836</v>
      </c>
    </row>
    <row r="106" spans="1:20">
      <c r="B106" s="3848" t="s">
        <v>709</v>
      </c>
      <c r="C106" s="3958" t="s">
        <v>118</v>
      </c>
      <c r="D106" s="3958"/>
      <c r="E106" s="3958"/>
      <c r="F106" s="3944" t="s">
        <v>412</v>
      </c>
      <c r="G106" s="3944"/>
      <c r="H106" s="3944"/>
      <c r="I106" s="3948" t="s">
        <v>413</v>
      </c>
      <c r="J106" s="3948"/>
      <c r="K106" s="3948"/>
      <c r="L106" s="3925" t="s">
        <v>414</v>
      </c>
      <c r="M106" s="3925"/>
      <c r="N106" s="3925"/>
      <c r="O106" s="3948" t="s">
        <v>701</v>
      </c>
      <c r="P106" s="3948"/>
      <c r="Q106" s="3948"/>
      <c r="R106" s="3948" t="s">
        <v>416</v>
      </c>
      <c r="S106" s="3948"/>
      <c r="T106" s="3948"/>
    </row>
    <row r="107" spans="1:20">
      <c r="B107" s="3848"/>
      <c r="C107" s="3327" t="s">
        <v>956</v>
      </c>
      <c r="D107" s="3327" t="s">
        <v>957</v>
      </c>
      <c r="E107" s="3327" t="s">
        <v>958</v>
      </c>
      <c r="F107" s="3328" t="s">
        <v>956</v>
      </c>
      <c r="G107" s="3328" t="s">
        <v>957</v>
      </c>
      <c r="H107" s="3328" t="s">
        <v>958</v>
      </c>
      <c r="I107" s="2906" t="s">
        <v>956</v>
      </c>
      <c r="J107" s="2906" t="s">
        <v>957</v>
      </c>
      <c r="K107" s="2906" t="s">
        <v>958</v>
      </c>
      <c r="L107" s="3256" t="s">
        <v>956</v>
      </c>
      <c r="M107" s="3256" t="s">
        <v>957</v>
      </c>
      <c r="N107" s="3256" t="s">
        <v>958</v>
      </c>
      <c r="O107" s="2906" t="s">
        <v>956</v>
      </c>
      <c r="P107" s="2906" t="s">
        <v>957</v>
      </c>
      <c r="Q107" s="2906" t="s">
        <v>958</v>
      </c>
      <c r="R107" s="2906" t="s">
        <v>956</v>
      </c>
      <c r="S107" s="2906" t="s">
        <v>957</v>
      </c>
      <c r="T107" s="2906" t="s">
        <v>958</v>
      </c>
    </row>
    <row r="108" spans="1:20">
      <c r="A108" s="58">
        <v>1</v>
      </c>
      <c r="B108" s="2938" t="s">
        <v>175</v>
      </c>
      <c r="C108" s="3329">
        <f t="shared" ref="C108:C120" si="26">+F108+I108+L108+O108+R108</f>
        <v>11313</v>
      </c>
      <c r="D108" s="3329">
        <f t="shared" ref="D108:D120" si="27">+G108+J108+M108+P108+S108</f>
        <v>4258</v>
      </c>
      <c r="E108" s="3329">
        <f t="shared" ref="E108:E120" si="28">+H108+K108+N108+Q108+T108</f>
        <v>15524</v>
      </c>
      <c r="F108" s="3330">
        <v>1006</v>
      </c>
      <c r="G108" s="3330">
        <v>625</v>
      </c>
      <c r="H108" s="3330">
        <v>1980</v>
      </c>
      <c r="I108" s="3331">
        <v>4038</v>
      </c>
      <c r="J108" s="3331">
        <v>38</v>
      </c>
      <c r="K108" s="3331">
        <v>4074</v>
      </c>
      <c r="L108" s="3260">
        <v>5639</v>
      </c>
      <c r="M108" s="3260">
        <v>3193</v>
      </c>
      <c r="N108" s="3260">
        <v>8827</v>
      </c>
      <c r="O108" s="3331">
        <v>133</v>
      </c>
      <c r="P108" s="3331">
        <v>78</v>
      </c>
      <c r="Q108" s="3331">
        <v>133</v>
      </c>
      <c r="R108" s="3331">
        <v>497</v>
      </c>
      <c r="S108" s="3331">
        <v>324</v>
      </c>
      <c r="T108" s="3331">
        <v>510</v>
      </c>
    </row>
    <row r="109" spans="1:20">
      <c r="A109" s="58">
        <v>2</v>
      </c>
      <c r="B109" s="2939" t="s">
        <v>177</v>
      </c>
      <c r="C109" s="3329">
        <f t="shared" si="26"/>
        <v>0</v>
      </c>
      <c r="D109" s="3329">
        <f t="shared" si="27"/>
        <v>0</v>
      </c>
      <c r="E109" s="3329">
        <f t="shared" si="28"/>
        <v>0</v>
      </c>
      <c r="F109" s="3330"/>
      <c r="G109" s="3330"/>
      <c r="H109" s="3330"/>
      <c r="I109" s="2818"/>
      <c r="J109" s="2818"/>
      <c r="K109" s="2818"/>
      <c r="L109" s="3262"/>
      <c r="M109" s="3262"/>
      <c r="N109" s="3262"/>
      <c r="O109" s="2818"/>
      <c r="P109" s="2818"/>
      <c r="Q109" s="2818"/>
      <c r="R109" s="2818"/>
      <c r="S109" s="2818"/>
      <c r="T109" s="2818"/>
    </row>
    <row r="110" spans="1:20">
      <c r="A110" s="58">
        <v>3</v>
      </c>
      <c r="B110" s="2938" t="s">
        <v>179</v>
      </c>
      <c r="C110" s="3329">
        <f>+F110+I110+L110+O110+R110</f>
        <v>41255</v>
      </c>
      <c r="D110" s="3329">
        <f>+G110+J110+M110+P110+S110</f>
        <v>27936</v>
      </c>
      <c r="E110" s="3329">
        <f>+H110+K110+N110+Q110+T110</f>
        <v>56265</v>
      </c>
      <c r="F110" s="3330">
        <v>5323</v>
      </c>
      <c r="G110" s="3330">
        <v>9673</v>
      </c>
      <c r="H110" s="3330">
        <v>14097</v>
      </c>
      <c r="I110" s="2818">
        <v>16544</v>
      </c>
      <c r="J110" s="2818">
        <v>78</v>
      </c>
      <c r="K110" s="2818">
        <v>8105</v>
      </c>
      <c r="L110" s="3262">
        <v>15548</v>
      </c>
      <c r="M110" s="3262">
        <v>16308</v>
      </c>
      <c r="N110" s="3262">
        <v>28910</v>
      </c>
      <c r="O110" s="2818">
        <v>112</v>
      </c>
      <c r="P110" s="2818">
        <v>326</v>
      </c>
      <c r="Q110" s="2818">
        <v>380</v>
      </c>
      <c r="R110" s="2818">
        <v>3728</v>
      </c>
      <c r="S110" s="2818">
        <v>1551</v>
      </c>
      <c r="T110" s="2818">
        <v>4773</v>
      </c>
    </row>
    <row r="111" spans="1:20">
      <c r="A111" s="58">
        <v>4</v>
      </c>
      <c r="B111" s="2938" t="s">
        <v>180</v>
      </c>
      <c r="C111" s="3329">
        <f t="shared" si="26"/>
        <v>32929</v>
      </c>
      <c r="D111" s="3329">
        <f t="shared" si="27"/>
        <v>18607</v>
      </c>
      <c r="E111" s="3329">
        <f t="shared" si="28"/>
        <v>51376</v>
      </c>
      <c r="F111" s="3330">
        <v>507</v>
      </c>
      <c r="G111" s="3330">
        <v>916</v>
      </c>
      <c r="H111" s="3330">
        <v>1475</v>
      </c>
      <c r="I111" s="2818">
        <v>6615</v>
      </c>
      <c r="J111" s="2818">
        <v>93</v>
      </c>
      <c r="K111" s="2818">
        <v>6736</v>
      </c>
      <c r="L111" s="3262">
        <v>23749</v>
      </c>
      <c r="M111" s="3262">
        <v>16190</v>
      </c>
      <c r="N111" s="3262">
        <v>39662</v>
      </c>
      <c r="O111" s="2818">
        <v>56</v>
      </c>
      <c r="P111" s="2818">
        <v>72</v>
      </c>
      <c r="Q111" s="2818">
        <v>128</v>
      </c>
      <c r="R111" s="2818">
        <v>2002</v>
      </c>
      <c r="S111" s="2818">
        <v>1336</v>
      </c>
      <c r="T111" s="2818">
        <v>3375</v>
      </c>
    </row>
    <row r="112" spans="1:20">
      <c r="A112" s="58">
        <v>5</v>
      </c>
      <c r="B112" s="2939" t="s">
        <v>181</v>
      </c>
      <c r="C112" s="3329">
        <f t="shared" si="26"/>
        <v>38631</v>
      </c>
      <c r="D112" s="3329">
        <f t="shared" si="27"/>
        <v>16030</v>
      </c>
      <c r="E112" s="3329">
        <f t="shared" si="28"/>
        <v>202615</v>
      </c>
      <c r="F112" s="3330">
        <v>477</v>
      </c>
      <c r="G112" s="3330">
        <v>473</v>
      </c>
      <c r="H112" s="3330">
        <v>2052</v>
      </c>
      <c r="I112" s="2818">
        <v>6759</v>
      </c>
      <c r="J112" s="2818">
        <v>5</v>
      </c>
      <c r="K112" s="2818">
        <v>17774</v>
      </c>
      <c r="L112" s="3262">
        <v>1790</v>
      </c>
      <c r="M112" s="3262">
        <v>1431</v>
      </c>
      <c r="N112" s="3262">
        <v>7959</v>
      </c>
      <c r="O112" s="2818">
        <v>56</v>
      </c>
      <c r="P112" s="2818">
        <v>100</v>
      </c>
      <c r="Q112" s="2818">
        <v>591</v>
      </c>
      <c r="R112" s="2818">
        <v>29549</v>
      </c>
      <c r="S112" s="2818">
        <v>14021</v>
      </c>
      <c r="T112" s="2818">
        <v>174239</v>
      </c>
    </row>
    <row r="113" spans="1:21">
      <c r="A113" s="58">
        <v>6</v>
      </c>
      <c r="B113" s="2939" t="s">
        <v>182</v>
      </c>
      <c r="C113" s="3329">
        <f t="shared" si="26"/>
        <v>0</v>
      </c>
      <c r="D113" s="3329">
        <f t="shared" si="27"/>
        <v>0</v>
      </c>
      <c r="E113" s="3329">
        <f t="shared" si="28"/>
        <v>0</v>
      </c>
      <c r="F113" s="3330"/>
      <c r="G113" s="3330"/>
      <c r="H113" s="3330"/>
      <c r="I113" s="2818"/>
      <c r="J113" s="2818"/>
      <c r="K113" s="2818"/>
      <c r="L113" s="3262"/>
      <c r="M113" s="3262"/>
      <c r="N113" s="3262"/>
      <c r="O113" s="2818"/>
      <c r="P113" s="2818"/>
      <c r="Q113" s="2818"/>
      <c r="R113" s="2818"/>
      <c r="S113" s="2818"/>
      <c r="T113" s="2818"/>
    </row>
    <row r="114" spans="1:21">
      <c r="A114" s="58">
        <v>7</v>
      </c>
      <c r="B114" s="2938" t="s">
        <v>183</v>
      </c>
      <c r="C114" s="3329">
        <f t="shared" si="26"/>
        <v>542230</v>
      </c>
      <c r="D114" s="3329">
        <f t="shared" si="27"/>
        <v>448366</v>
      </c>
      <c r="E114" s="3329">
        <f>+H114+K114+N114+Q114+T114</f>
        <v>937216</v>
      </c>
      <c r="F114" s="3330">
        <v>26077</v>
      </c>
      <c r="G114" s="3330">
        <v>42905</v>
      </c>
      <c r="H114" s="3330">
        <v>64896</v>
      </c>
      <c r="I114" s="2818">
        <v>40703</v>
      </c>
      <c r="J114" s="2818">
        <v>47</v>
      </c>
      <c r="K114" s="2818">
        <v>40570</v>
      </c>
      <c r="L114" s="3262">
        <v>351215</v>
      </c>
      <c r="M114" s="3262">
        <v>372407</v>
      </c>
      <c r="N114" s="3262">
        <v>690113</v>
      </c>
      <c r="O114" s="2818">
        <v>3101</v>
      </c>
      <c r="P114" s="2818">
        <v>3682</v>
      </c>
      <c r="Q114" s="2818">
        <v>6635</v>
      </c>
      <c r="R114" s="2818">
        <v>121134</v>
      </c>
      <c r="S114" s="2818">
        <v>29325</v>
      </c>
      <c r="T114" s="2818">
        <v>135002</v>
      </c>
    </row>
    <row r="115" spans="1:21">
      <c r="A115" s="58">
        <v>8</v>
      </c>
      <c r="B115" s="2938" t="s">
        <v>184</v>
      </c>
      <c r="C115" s="3329">
        <f t="shared" si="26"/>
        <v>47004</v>
      </c>
      <c r="D115" s="3329">
        <f t="shared" si="27"/>
        <v>14700</v>
      </c>
      <c r="E115" s="3329">
        <f t="shared" si="28"/>
        <v>68609.149999999994</v>
      </c>
      <c r="F115" s="3330">
        <v>1302</v>
      </c>
      <c r="G115" s="3330">
        <v>837</v>
      </c>
      <c r="H115" s="3330">
        <v>1818.15</v>
      </c>
      <c r="I115" s="2818">
        <v>654</v>
      </c>
      <c r="J115" s="2818">
        <v>23</v>
      </c>
      <c r="K115" s="2818">
        <v>96</v>
      </c>
      <c r="L115" s="3262">
        <v>39233</v>
      </c>
      <c r="M115" s="3262">
        <v>12522</v>
      </c>
      <c r="N115" s="3262">
        <v>63095</v>
      </c>
      <c r="O115" s="2818">
        <v>210</v>
      </c>
      <c r="P115" s="2818">
        <v>68</v>
      </c>
      <c r="Q115" s="2818">
        <v>122</v>
      </c>
      <c r="R115" s="2818">
        <v>5605</v>
      </c>
      <c r="S115" s="2818">
        <v>1250</v>
      </c>
      <c r="T115" s="2818">
        <v>3478</v>
      </c>
    </row>
    <row r="116" spans="1:21">
      <c r="A116" s="58">
        <v>9</v>
      </c>
      <c r="B116" s="2939" t="s">
        <v>185</v>
      </c>
      <c r="C116" s="3329">
        <f t="shared" si="26"/>
        <v>0</v>
      </c>
      <c r="D116" s="3329">
        <f t="shared" si="27"/>
        <v>0</v>
      </c>
      <c r="E116" s="3329">
        <f t="shared" si="28"/>
        <v>0</v>
      </c>
      <c r="F116" s="3330"/>
      <c r="G116" s="3330"/>
      <c r="H116" s="3330"/>
      <c r="I116" s="2818"/>
      <c r="J116" s="2818"/>
      <c r="K116" s="2818"/>
      <c r="L116" s="3262"/>
      <c r="M116" s="3262"/>
      <c r="N116" s="3262"/>
      <c r="O116" s="2818"/>
      <c r="P116" s="2818"/>
      <c r="Q116" s="2818"/>
      <c r="R116" s="2818"/>
      <c r="S116" s="2818"/>
      <c r="T116" s="2818"/>
    </row>
    <row r="117" spans="1:21">
      <c r="A117" s="58">
        <v>10</v>
      </c>
      <c r="B117" s="2938" t="s">
        <v>186</v>
      </c>
      <c r="C117" s="3329">
        <f t="shared" si="26"/>
        <v>0</v>
      </c>
      <c r="D117" s="3329">
        <f t="shared" si="27"/>
        <v>0</v>
      </c>
      <c r="E117" s="3329">
        <f t="shared" si="28"/>
        <v>0</v>
      </c>
      <c r="F117" s="3330"/>
      <c r="G117" s="3330"/>
      <c r="H117" s="3330"/>
      <c r="I117" s="2818"/>
      <c r="J117" s="2818"/>
      <c r="K117" s="2818"/>
      <c r="L117" s="3262"/>
      <c r="M117" s="3262"/>
      <c r="N117" s="3262"/>
      <c r="O117" s="2818"/>
      <c r="P117" s="2818"/>
      <c r="Q117" s="2818"/>
      <c r="R117" s="2818"/>
      <c r="S117" s="2818"/>
      <c r="T117" s="2818"/>
    </row>
    <row r="118" spans="1:21" s="72" customFormat="1">
      <c r="A118" s="71">
        <v>11</v>
      </c>
      <c r="B118" s="3268" t="s">
        <v>187</v>
      </c>
      <c r="C118" s="3334">
        <f t="shared" si="26"/>
        <v>0</v>
      </c>
      <c r="D118" s="3334">
        <f t="shared" si="27"/>
        <v>0</v>
      </c>
      <c r="E118" s="3334">
        <f t="shared" si="28"/>
        <v>0</v>
      </c>
      <c r="F118" s="3335"/>
      <c r="G118" s="3335"/>
      <c r="H118" s="3335"/>
      <c r="I118" s="3261"/>
      <c r="J118" s="3261"/>
      <c r="K118" s="3261"/>
      <c r="L118" s="3261"/>
      <c r="M118" s="3261"/>
      <c r="N118" s="3261"/>
      <c r="O118" s="3261"/>
      <c r="P118" s="3261"/>
      <c r="Q118" s="3261"/>
      <c r="R118" s="3261"/>
      <c r="S118" s="3261"/>
      <c r="T118" s="3261"/>
      <c r="U118" s="72" t="s">
        <v>960</v>
      </c>
    </row>
    <row r="119" spans="1:21">
      <c r="A119" s="58">
        <v>12</v>
      </c>
      <c r="B119" s="2938" t="s">
        <v>189</v>
      </c>
      <c r="C119" s="3329">
        <f t="shared" si="26"/>
        <v>0</v>
      </c>
      <c r="D119" s="3329">
        <f t="shared" si="27"/>
        <v>0</v>
      </c>
      <c r="E119" s="3329">
        <f t="shared" si="28"/>
        <v>0</v>
      </c>
      <c r="F119" s="3330"/>
      <c r="G119" s="3330"/>
      <c r="H119" s="3330"/>
      <c r="I119" s="2818"/>
      <c r="J119" s="2818"/>
      <c r="K119" s="2818"/>
      <c r="L119" s="3262"/>
      <c r="M119" s="3262"/>
      <c r="N119" s="3262"/>
      <c r="O119" s="2818"/>
      <c r="P119" s="2818"/>
      <c r="Q119" s="2818"/>
      <c r="R119" s="2818"/>
      <c r="S119" s="2818"/>
      <c r="T119" s="2818"/>
    </row>
    <row r="120" spans="1:21">
      <c r="A120" s="58">
        <v>13</v>
      </c>
      <c r="B120" s="2938" t="s">
        <v>190</v>
      </c>
      <c r="C120" s="3329">
        <f t="shared" si="26"/>
        <v>0</v>
      </c>
      <c r="D120" s="3329">
        <f t="shared" si="27"/>
        <v>0</v>
      </c>
      <c r="E120" s="3329">
        <f t="shared" si="28"/>
        <v>0</v>
      </c>
      <c r="F120" s="3330"/>
      <c r="G120" s="3330"/>
      <c r="H120" s="3330"/>
      <c r="I120" s="2818"/>
      <c r="J120" s="2818"/>
      <c r="K120" s="2818"/>
      <c r="L120" s="3262"/>
      <c r="M120" s="3262"/>
      <c r="N120" s="3262"/>
      <c r="O120" s="2818"/>
      <c r="P120" s="2818"/>
      <c r="Q120" s="2818"/>
      <c r="R120" s="2818"/>
      <c r="S120" s="2818"/>
      <c r="T120" s="2818"/>
    </row>
    <row r="121" spans="1:21">
      <c r="A121" s="58">
        <v>14</v>
      </c>
      <c r="B121" s="2939" t="s">
        <v>192</v>
      </c>
      <c r="C121" s="3329">
        <f t="shared" ref="C121:C126" si="29">+F121+I121+L121+O121+R121</f>
        <v>0</v>
      </c>
      <c r="D121" s="3329">
        <f t="shared" ref="D121:D126" si="30">+G121+J121+M121+P121+S121</f>
        <v>0</v>
      </c>
      <c r="E121" s="3329">
        <f t="shared" ref="E121:E126" si="31">+H121+K121+N121+Q121+T121</f>
        <v>0</v>
      </c>
      <c r="F121" s="3330"/>
      <c r="G121" s="3330"/>
      <c r="H121" s="3330"/>
      <c r="I121" s="2818"/>
      <c r="J121" s="2818"/>
      <c r="K121" s="2818"/>
      <c r="L121" s="3262"/>
      <c r="M121" s="3262"/>
      <c r="N121" s="3262"/>
      <c r="O121" s="2818"/>
      <c r="P121" s="2818"/>
      <c r="Q121" s="2818"/>
      <c r="R121" s="2818"/>
      <c r="S121" s="2818"/>
      <c r="T121" s="2818"/>
    </row>
    <row r="122" spans="1:21">
      <c r="A122" s="58">
        <v>15</v>
      </c>
      <c r="B122" s="2938" t="s">
        <v>193</v>
      </c>
      <c r="C122" s="3329">
        <f t="shared" si="29"/>
        <v>426914</v>
      </c>
      <c r="D122" s="3329">
        <f t="shared" si="30"/>
        <v>731081</v>
      </c>
      <c r="E122" s="3329">
        <f t="shared" si="31"/>
        <v>1039652</v>
      </c>
      <c r="F122" s="3330">
        <v>14297</v>
      </c>
      <c r="G122" s="3330">
        <v>29484</v>
      </c>
      <c r="H122" s="3330">
        <v>46013</v>
      </c>
      <c r="I122" s="2818">
        <v>19546</v>
      </c>
      <c r="J122" s="2818">
        <v>1071</v>
      </c>
      <c r="K122" s="2818">
        <v>2176</v>
      </c>
      <c r="L122" s="3262">
        <v>380882</v>
      </c>
      <c r="M122" s="3262">
        <v>677904</v>
      </c>
      <c r="N122" s="3262">
        <v>967479</v>
      </c>
      <c r="O122" s="2818">
        <v>807</v>
      </c>
      <c r="P122" s="2818">
        <v>1432</v>
      </c>
      <c r="Q122" s="2818">
        <v>1948</v>
      </c>
      <c r="R122" s="2818">
        <v>11382</v>
      </c>
      <c r="S122" s="2818">
        <v>21190</v>
      </c>
      <c r="T122" s="2818">
        <v>22036</v>
      </c>
    </row>
    <row r="123" spans="1:21" s="72" customFormat="1">
      <c r="A123" s="71">
        <v>16</v>
      </c>
      <c r="B123" s="3268" t="s">
        <v>194</v>
      </c>
      <c r="C123" s="3334">
        <f t="shared" si="29"/>
        <v>0</v>
      </c>
      <c r="D123" s="3334">
        <f t="shared" si="30"/>
        <v>0</v>
      </c>
      <c r="E123" s="3334">
        <f t="shared" si="31"/>
        <v>0</v>
      </c>
      <c r="F123" s="3335"/>
      <c r="G123" s="3335"/>
      <c r="H123" s="3335"/>
      <c r="I123" s="3261"/>
      <c r="J123" s="3261"/>
      <c r="K123" s="3261"/>
      <c r="L123" s="3261"/>
      <c r="M123" s="3261"/>
      <c r="N123" s="3261"/>
      <c r="O123" s="3261"/>
      <c r="P123" s="3261"/>
      <c r="Q123" s="3261"/>
      <c r="R123" s="3261"/>
      <c r="S123" s="3261"/>
      <c r="T123" s="3261"/>
    </row>
    <row r="124" spans="1:21">
      <c r="A124" s="58">
        <v>17</v>
      </c>
      <c r="B124" s="2938" t="s">
        <v>195</v>
      </c>
      <c r="C124" s="3329">
        <f t="shared" si="29"/>
        <v>52456</v>
      </c>
      <c r="D124" s="3329">
        <f t="shared" si="30"/>
        <v>49630</v>
      </c>
      <c r="E124" s="3329">
        <f t="shared" si="31"/>
        <v>102086</v>
      </c>
      <c r="F124" s="3330">
        <v>3129</v>
      </c>
      <c r="G124" s="3330">
        <v>6286</v>
      </c>
      <c r="H124" s="3330">
        <v>9415</v>
      </c>
      <c r="I124" s="2818">
        <v>18498</v>
      </c>
      <c r="J124" s="2818">
        <v>217</v>
      </c>
      <c r="K124" s="2818">
        <v>18715</v>
      </c>
      <c r="L124" s="3262">
        <v>25782</v>
      </c>
      <c r="M124" s="3262">
        <v>37767</v>
      </c>
      <c r="N124" s="3262">
        <v>63549</v>
      </c>
      <c r="O124" s="2818">
        <v>459</v>
      </c>
      <c r="P124" s="2818">
        <v>1050</v>
      </c>
      <c r="Q124" s="2818">
        <v>1509</v>
      </c>
      <c r="R124" s="2818">
        <v>4588</v>
      </c>
      <c r="S124" s="2818">
        <v>4310</v>
      </c>
      <c r="T124" s="2818">
        <v>8898</v>
      </c>
    </row>
    <row r="125" spans="1:21">
      <c r="A125" s="58">
        <v>18</v>
      </c>
      <c r="B125" s="2939" t="s">
        <v>191</v>
      </c>
      <c r="C125" s="3329">
        <f t="shared" si="29"/>
        <v>0</v>
      </c>
      <c r="D125" s="3329">
        <f t="shared" si="30"/>
        <v>0</v>
      </c>
      <c r="E125" s="3329">
        <f t="shared" si="31"/>
        <v>0</v>
      </c>
      <c r="F125" s="3330"/>
      <c r="G125" s="3330"/>
      <c r="H125" s="3330"/>
      <c r="I125" s="2818"/>
      <c r="J125" s="2818"/>
      <c r="K125" s="2818"/>
      <c r="L125" s="3262"/>
      <c r="M125" s="3262"/>
      <c r="N125" s="3262"/>
      <c r="O125" s="2818"/>
      <c r="P125" s="2818"/>
      <c r="Q125" s="2818"/>
      <c r="R125" s="2818"/>
      <c r="S125" s="2818"/>
      <c r="T125" s="2818"/>
    </row>
    <row r="126" spans="1:21">
      <c r="A126" s="58">
        <v>19</v>
      </c>
      <c r="B126" s="2939" t="s">
        <v>110</v>
      </c>
      <c r="C126" s="3329">
        <f t="shared" si="29"/>
        <v>0</v>
      </c>
      <c r="D126" s="3329">
        <f t="shared" si="30"/>
        <v>0</v>
      </c>
      <c r="E126" s="3329">
        <f t="shared" si="31"/>
        <v>0</v>
      </c>
      <c r="F126" s="3330"/>
      <c r="G126" s="3330"/>
      <c r="H126" s="3330"/>
      <c r="I126" s="2818"/>
      <c r="J126" s="2818"/>
      <c r="K126" s="2818"/>
      <c r="L126" s="3262"/>
      <c r="M126" s="3262"/>
      <c r="N126" s="3262"/>
      <c r="O126" s="2818"/>
      <c r="P126" s="2818"/>
      <c r="Q126" s="2818"/>
      <c r="R126" s="2818"/>
      <c r="S126" s="2818"/>
      <c r="T126" s="2818"/>
    </row>
    <row r="127" spans="1:21">
      <c r="B127" s="3122" t="s">
        <v>118</v>
      </c>
      <c r="C127" s="3117">
        <f t="shared" ref="C127:T127" si="32">SUM(C108:C126)</f>
        <v>1192732</v>
      </c>
      <c r="D127" s="3117">
        <f t="shared" si="32"/>
        <v>1310608</v>
      </c>
      <c r="E127" s="3117">
        <f t="shared" si="32"/>
        <v>2473343.15</v>
      </c>
      <c r="F127" s="3330">
        <f t="shared" si="32"/>
        <v>52118</v>
      </c>
      <c r="G127" s="3330">
        <f t="shared" si="32"/>
        <v>91199</v>
      </c>
      <c r="H127" s="3330">
        <f t="shared" si="32"/>
        <v>141746.15</v>
      </c>
      <c r="I127" s="3259">
        <f t="shared" si="32"/>
        <v>113357</v>
      </c>
      <c r="J127" s="3259">
        <f t="shared" si="32"/>
        <v>1572</v>
      </c>
      <c r="K127" s="3259">
        <f t="shared" si="32"/>
        <v>98246</v>
      </c>
      <c r="L127" s="3263">
        <f t="shared" si="32"/>
        <v>843838</v>
      </c>
      <c r="M127" s="3263">
        <f t="shared" si="32"/>
        <v>1137722</v>
      </c>
      <c r="N127" s="3263">
        <f t="shared" si="32"/>
        <v>1869594</v>
      </c>
      <c r="O127" s="3259">
        <f t="shared" si="32"/>
        <v>4934</v>
      </c>
      <c r="P127" s="3259">
        <f t="shared" si="32"/>
        <v>6808</v>
      </c>
      <c r="Q127" s="3259">
        <f t="shared" si="32"/>
        <v>11446</v>
      </c>
      <c r="R127" s="3259">
        <f t="shared" si="32"/>
        <v>178485</v>
      </c>
      <c r="S127" s="3259">
        <f t="shared" si="32"/>
        <v>73307</v>
      </c>
      <c r="T127" s="3259">
        <f t="shared" si="32"/>
        <v>352311</v>
      </c>
    </row>
    <row r="128" spans="1:21">
      <c r="B128" s="46"/>
      <c r="C128" s="47"/>
      <c r="D128" s="47"/>
      <c r="E128" s="47"/>
      <c r="F128" s="48"/>
      <c r="G128" s="48"/>
      <c r="H128" s="48"/>
      <c r="I128" s="49"/>
      <c r="J128" s="49"/>
      <c r="K128" s="49"/>
      <c r="L128" s="50"/>
      <c r="M128" s="50"/>
      <c r="N128" s="50"/>
      <c r="O128" s="49"/>
      <c r="P128" s="49"/>
      <c r="Q128" s="49"/>
      <c r="R128" s="49"/>
      <c r="S128" s="49"/>
      <c r="T128" s="49"/>
    </row>
    <row r="131" spans="1:21">
      <c r="B131" s="3111" t="s">
        <v>838</v>
      </c>
    </row>
    <row r="132" spans="1:21">
      <c r="B132" s="3848" t="s">
        <v>709</v>
      </c>
      <c r="C132" s="3958" t="s">
        <v>118</v>
      </c>
      <c r="D132" s="3958"/>
      <c r="E132" s="3958"/>
      <c r="F132" s="3944" t="s">
        <v>412</v>
      </c>
      <c r="G132" s="3944"/>
      <c r="H132" s="3944"/>
      <c r="I132" s="3948" t="s">
        <v>413</v>
      </c>
      <c r="J132" s="3948"/>
      <c r="K132" s="3948"/>
      <c r="L132" s="3925" t="s">
        <v>414</v>
      </c>
      <c r="M132" s="3925"/>
      <c r="N132" s="3925"/>
      <c r="O132" s="3948" t="s">
        <v>701</v>
      </c>
      <c r="P132" s="3948"/>
      <c r="Q132" s="3948"/>
      <c r="R132" s="3948" t="s">
        <v>416</v>
      </c>
      <c r="S132" s="3948"/>
      <c r="T132" s="3948"/>
    </row>
    <row r="133" spans="1:21">
      <c r="B133" s="3848"/>
      <c r="C133" s="3327" t="s">
        <v>956</v>
      </c>
      <c r="D133" s="3327" t="s">
        <v>957</v>
      </c>
      <c r="E133" s="3327" t="s">
        <v>958</v>
      </c>
      <c r="F133" s="3328" t="s">
        <v>956</v>
      </c>
      <c r="G133" s="3328" t="s">
        <v>957</v>
      </c>
      <c r="H133" s="3328" t="s">
        <v>958</v>
      </c>
      <c r="I133" s="2906" t="s">
        <v>956</v>
      </c>
      <c r="J133" s="2906" t="s">
        <v>957</v>
      </c>
      <c r="K133" s="2906" t="s">
        <v>958</v>
      </c>
      <c r="L133" s="3256" t="s">
        <v>956</v>
      </c>
      <c r="M133" s="3256" t="s">
        <v>957</v>
      </c>
      <c r="N133" s="3256" t="s">
        <v>958</v>
      </c>
      <c r="O133" s="2906" t="s">
        <v>956</v>
      </c>
      <c r="P133" s="2906" t="s">
        <v>957</v>
      </c>
      <c r="Q133" s="2906" t="s">
        <v>958</v>
      </c>
      <c r="R133" s="2906" t="s">
        <v>956</v>
      </c>
      <c r="S133" s="2906" t="s">
        <v>957</v>
      </c>
      <c r="T133" s="2906" t="s">
        <v>958</v>
      </c>
    </row>
    <row r="134" spans="1:21">
      <c r="A134" s="58">
        <v>1</v>
      </c>
      <c r="B134" s="2938" t="s">
        <v>175</v>
      </c>
      <c r="C134" s="3329">
        <f t="shared" ref="C134:C146" si="33">+F134+I134+L134+O134+R134</f>
        <v>9285</v>
      </c>
      <c r="D134" s="3329">
        <f t="shared" ref="D134:D146" si="34">+G134+J134+M134+P134+S134</f>
        <v>4005</v>
      </c>
      <c r="E134" s="3329">
        <f t="shared" ref="E134:E146" si="35">+H134+K134+N134+Q134+T134</f>
        <v>9983</v>
      </c>
      <c r="F134" s="3330">
        <v>830</v>
      </c>
      <c r="G134" s="3330">
        <v>1221</v>
      </c>
      <c r="H134" s="3330">
        <v>1011</v>
      </c>
      <c r="I134" s="3331">
        <v>4856</v>
      </c>
      <c r="J134" s="3331">
        <v>38</v>
      </c>
      <c r="K134" s="3331">
        <v>4887</v>
      </c>
      <c r="L134" s="3260">
        <v>2988</v>
      </c>
      <c r="M134" s="3260">
        <v>2653</v>
      </c>
      <c r="N134" s="3260">
        <v>3479</v>
      </c>
      <c r="O134" s="3331">
        <v>85</v>
      </c>
      <c r="P134" s="3331">
        <v>21</v>
      </c>
      <c r="Q134" s="3331">
        <v>84</v>
      </c>
      <c r="R134" s="3331">
        <v>526</v>
      </c>
      <c r="S134" s="3331">
        <v>72</v>
      </c>
      <c r="T134" s="3331">
        <v>522</v>
      </c>
    </row>
    <row r="135" spans="1:21">
      <c r="A135" s="58">
        <v>2</v>
      </c>
      <c r="B135" s="2939" t="s">
        <v>177</v>
      </c>
      <c r="C135" s="3329">
        <f t="shared" si="33"/>
        <v>0</v>
      </c>
      <c r="D135" s="3329">
        <f t="shared" si="34"/>
        <v>0</v>
      </c>
      <c r="E135" s="3329">
        <f t="shared" si="35"/>
        <v>0</v>
      </c>
      <c r="F135" s="3330"/>
      <c r="G135" s="3330"/>
      <c r="H135" s="3330"/>
      <c r="I135" s="2818"/>
      <c r="J135" s="2818"/>
      <c r="K135" s="2818"/>
      <c r="L135" s="3262"/>
      <c r="M135" s="3262"/>
      <c r="N135" s="3262"/>
      <c r="O135" s="2818"/>
      <c r="P135" s="2818"/>
      <c r="Q135" s="2818"/>
      <c r="R135" s="2818"/>
      <c r="S135" s="2818"/>
      <c r="T135" s="2818"/>
    </row>
    <row r="136" spans="1:21">
      <c r="A136" s="58">
        <v>3</v>
      </c>
      <c r="B136" s="2938" t="s">
        <v>179</v>
      </c>
      <c r="C136" s="3329">
        <f>+F136+I136+L136+O136+R136</f>
        <v>43359</v>
      </c>
      <c r="D136" s="3329">
        <f>+G136+J136+M136+P136+S136</f>
        <v>23183</v>
      </c>
      <c r="E136" s="3329">
        <f>+H136+K136+N136+Q136+T136</f>
        <v>51039</v>
      </c>
      <c r="F136" s="3330">
        <v>4199</v>
      </c>
      <c r="G136" s="3330">
        <v>8845</v>
      </c>
      <c r="H136" s="3330">
        <v>12099</v>
      </c>
      <c r="I136" s="2818">
        <v>18682</v>
      </c>
      <c r="J136" s="2818">
        <v>75</v>
      </c>
      <c r="K136" s="2818">
        <v>9809</v>
      </c>
      <c r="L136" s="3262">
        <v>16787</v>
      </c>
      <c r="M136" s="3262">
        <v>12322</v>
      </c>
      <c r="N136" s="3262">
        <v>25403</v>
      </c>
      <c r="O136" s="2818">
        <v>187</v>
      </c>
      <c r="P136" s="2818">
        <v>322</v>
      </c>
      <c r="Q136" s="2818">
        <v>436</v>
      </c>
      <c r="R136" s="2818">
        <v>3504</v>
      </c>
      <c r="S136" s="2818">
        <v>1619</v>
      </c>
      <c r="T136" s="2818">
        <v>3292</v>
      </c>
    </row>
    <row r="137" spans="1:21">
      <c r="A137" s="58">
        <v>4</v>
      </c>
      <c r="B137" s="2938" t="s">
        <v>180</v>
      </c>
      <c r="C137" s="3329">
        <f t="shared" si="33"/>
        <v>34207</v>
      </c>
      <c r="D137" s="3329">
        <f t="shared" si="34"/>
        <v>15672</v>
      </c>
      <c r="E137" s="3329">
        <f t="shared" si="35"/>
        <v>49321</v>
      </c>
      <c r="F137" s="3330">
        <v>570</v>
      </c>
      <c r="G137" s="3330">
        <v>1017</v>
      </c>
      <c r="H137" s="3330">
        <v>1587</v>
      </c>
      <c r="I137" s="2818">
        <v>7473</v>
      </c>
      <c r="J137" s="2818">
        <v>69</v>
      </c>
      <c r="K137" s="2818">
        <v>7516</v>
      </c>
      <c r="L137" s="3262">
        <v>23367</v>
      </c>
      <c r="M137" s="3262">
        <v>13215</v>
      </c>
      <c r="N137" s="3262">
        <v>36063</v>
      </c>
      <c r="O137" s="2818">
        <v>82</v>
      </c>
      <c r="P137" s="2818">
        <v>72</v>
      </c>
      <c r="Q137" s="2818">
        <v>150</v>
      </c>
      <c r="R137" s="2818">
        <v>2715</v>
      </c>
      <c r="S137" s="2818">
        <v>1299</v>
      </c>
      <c r="T137" s="2818">
        <v>4005</v>
      </c>
    </row>
    <row r="138" spans="1:21">
      <c r="A138" s="58">
        <v>5</v>
      </c>
      <c r="B138" s="2939" t="s">
        <v>181</v>
      </c>
      <c r="C138" s="3329">
        <f t="shared" si="33"/>
        <v>61526</v>
      </c>
      <c r="D138" s="3329">
        <f t="shared" si="34"/>
        <v>4753</v>
      </c>
      <c r="E138" s="3329">
        <f t="shared" si="35"/>
        <v>142231</v>
      </c>
      <c r="F138" s="3330">
        <v>499</v>
      </c>
      <c r="G138" s="3330">
        <v>221</v>
      </c>
      <c r="H138" s="3330">
        <v>1185</v>
      </c>
      <c r="I138" s="2818">
        <v>5775</v>
      </c>
      <c r="J138" s="2818">
        <v>3</v>
      </c>
      <c r="K138" s="2818">
        <v>10729</v>
      </c>
      <c r="L138" s="3262">
        <v>1404</v>
      </c>
      <c r="M138" s="3262">
        <v>1001</v>
      </c>
      <c r="N138" s="3262">
        <v>4645</v>
      </c>
      <c r="O138" s="2818">
        <v>63</v>
      </c>
      <c r="P138" s="2818">
        <v>72</v>
      </c>
      <c r="Q138" s="2818">
        <v>376</v>
      </c>
      <c r="R138" s="2818">
        <v>53785</v>
      </c>
      <c r="S138" s="2818">
        <v>3456</v>
      </c>
      <c r="T138" s="2818">
        <v>125296</v>
      </c>
    </row>
    <row r="139" spans="1:21">
      <c r="A139" s="58">
        <v>6</v>
      </c>
      <c r="B139" s="2939" t="s">
        <v>182</v>
      </c>
      <c r="C139" s="3329">
        <f t="shared" si="33"/>
        <v>0</v>
      </c>
      <c r="D139" s="3329">
        <f t="shared" si="34"/>
        <v>0</v>
      </c>
      <c r="E139" s="3329">
        <f t="shared" si="35"/>
        <v>0</v>
      </c>
      <c r="F139" s="3330"/>
      <c r="G139" s="3330"/>
      <c r="H139" s="3330"/>
      <c r="I139" s="2818"/>
      <c r="J139" s="2818"/>
      <c r="K139" s="2818"/>
      <c r="L139" s="3262"/>
      <c r="M139" s="3262"/>
      <c r="N139" s="3262"/>
      <c r="O139" s="2818"/>
      <c r="P139" s="2818"/>
      <c r="Q139" s="2818"/>
      <c r="R139" s="2818"/>
      <c r="S139" s="2818"/>
      <c r="T139" s="2818"/>
    </row>
    <row r="140" spans="1:21">
      <c r="A140" s="58">
        <v>7</v>
      </c>
      <c r="B140" s="2938" t="s">
        <v>183</v>
      </c>
      <c r="C140" s="3329">
        <f t="shared" si="33"/>
        <v>613165</v>
      </c>
      <c r="D140" s="3329">
        <f t="shared" si="34"/>
        <v>523645</v>
      </c>
      <c r="E140" s="3329">
        <f t="shared" si="35"/>
        <v>819489</v>
      </c>
      <c r="F140" s="3330">
        <v>34060</v>
      </c>
      <c r="G140" s="3330">
        <v>41347</v>
      </c>
      <c r="H140" s="3330">
        <v>59991</v>
      </c>
      <c r="I140" s="2818">
        <v>51008</v>
      </c>
      <c r="J140" s="2818">
        <v>66</v>
      </c>
      <c r="K140" s="2818">
        <v>39634</v>
      </c>
      <c r="L140" s="3262">
        <v>423175</v>
      </c>
      <c r="M140" s="3262">
        <v>448838</v>
      </c>
      <c r="N140" s="3262">
        <v>605492</v>
      </c>
      <c r="O140" s="2818">
        <v>4407</v>
      </c>
      <c r="P140" s="2818">
        <v>3984</v>
      </c>
      <c r="Q140" s="2818">
        <v>6404</v>
      </c>
      <c r="R140" s="2818">
        <v>100515</v>
      </c>
      <c r="S140" s="2818">
        <v>29410</v>
      </c>
      <c r="T140" s="2818">
        <v>107968</v>
      </c>
    </row>
    <row r="141" spans="1:21">
      <c r="A141" s="58">
        <v>8</v>
      </c>
      <c r="B141" s="2938" t="s">
        <v>184</v>
      </c>
      <c r="C141" s="3329">
        <f t="shared" si="33"/>
        <v>30946</v>
      </c>
      <c r="D141" s="3329">
        <f t="shared" si="34"/>
        <v>11539</v>
      </c>
      <c r="E141" s="3329">
        <f t="shared" si="35"/>
        <v>44342.61</v>
      </c>
      <c r="F141" s="3330">
        <v>940</v>
      </c>
      <c r="G141" s="3330">
        <v>809</v>
      </c>
      <c r="H141" s="3330">
        <v>1556.61</v>
      </c>
      <c r="I141" s="2818">
        <v>425</v>
      </c>
      <c r="J141" s="2818">
        <v>24</v>
      </c>
      <c r="K141" s="2818">
        <v>15</v>
      </c>
      <c r="L141" s="3262">
        <v>24038</v>
      </c>
      <c r="M141" s="3262">
        <v>9245</v>
      </c>
      <c r="N141" s="3262">
        <v>40688</v>
      </c>
      <c r="O141" s="2818">
        <v>371</v>
      </c>
      <c r="P141" s="2818">
        <v>54</v>
      </c>
      <c r="Q141" s="2818">
        <v>163</v>
      </c>
      <c r="R141" s="2818">
        <v>5172</v>
      </c>
      <c r="S141" s="2818">
        <v>1407</v>
      </c>
      <c r="T141" s="2818">
        <v>1920</v>
      </c>
    </row>
    <row r="142" spans="1:21">
      <c r="A142" s="58">
        <v>9</v>
      </c>
      <c r="B142" s="2939" t="s">
        <v>185</v>
      </c>
      <c r="C142" s="3329">
        <f t="shared" si="33"/>
        <v>0</v>
      </c>
      <c r="D142" s="3329">
        <f t="shared" si="34"/>
        <v>0</v>
      </c>
      <c r="E142" s="3329">
        <f t="shared" si="35"/>
        <v>0</v>
      </c>
      <c r="F142" s="3330"/>
      <c r="G142" s="3330"/>
      <c r="H142" s="3330"/>
      <c r="I142" s="2818"/>
      <c r="J142" s="2818"/>
      <c r="K142" s="2818"/>
      <c r="L142" s="3262"/>
      <c r="M142" s="3262"/>
      <c r="N142" s="3262"/>
      <c r="O142" s="2818"/>
      <c r="P142" s="2818"/>
      <c r="Q142" s="2818"/>
      <c r="R142" s="2818"/>
      <c r="S142" s="2818"/>
      <c r="T142" s="2818"/>
    </row>
    <row r="143" spans="1:21">
      <c r="A143" s="58">
        <v>10</v>
      </c>
      <c r="B143" s="2938" t="s">
        <v>186</v>
      </c>
      <c r="C143" s="3329">
        <f t="shared" si="33"/>
        <v>0</v>
      </c>
      <c r="D143" s="3329">
        <f t="shared" si="34"/>
        <v>0</v>
      </c>
      <c r="E143" s="3329">
        <f t="shared" si="35"/>
        <v>0</v>
      </c>
      <c r="F143" s="3330"/>
      <c r="G143" s="3330"/>
      <c r="H143" s="3330"/>
      <c r="I143" s="2818"/>
      <c r="J143" s="2818"/>
      <c r="K143" s="2818"/>
      <c r="L143" s="3262"/>
      <c r="M143" s="3262"/>
      <c r="N143" s="3262"/>
      <c r="O143" s="2818"/>
      <c r="P143" s="2818"/>
      <c r="Q143" s="2818"/>
      <c r="R143" s="2818"/>
      <c r="S143" s="2818"/>
      <c r="T143" s="2818"/>
    </row>
    <row r="144" spans="1:21" s="72" customFormat="1">
      <c r="A144" s="71">
        <v>11</v>
      </c>
      <c r="B144" s="3268" t="s">
        <v>187</v>
      </c>
      <c r="C144" s="3334">
        <f t="shared" si="33"/>
        <v>0</v>
      </c>
      <c r="D144" s="3334">
        <f t="shared" si="34"/>
        <v>0</v>
      </c>
      <c r="E144" s="3334">
        <f t="shared" si="35"/>
        <v>0</v>
      </c>
      <c r="F144" s="3335"/>
      <c r="G144" s="3335"/>
      <c r="H144" s="3335"/>
      <c r="I144" s="3261"/>
      <c r="J144" s="3261"/>
      <c r="K144" s="3261"/>
      <c r="L144" s="3261"/>
      <c r="M144" s="3261"/>
      <c r="N144" s="3261"/>
      <c r="O144" s="3261"/>
      <c r="P144" s="3261"/>
      <c r="Q144" s="3261"/>
      <c r="R144" s="3261"/>
      <c r="S144" s="3261"/>
      <c r="T144" s="3261"/>
      <c r="U144" s="72" t="s">
        <v>960</v>
      </c>
    </row>
    <row r="145" spans="1:20">
      <c r="A145" s="58">
        <v>12</v>
      </c>
      <c r="B145" s="2938" t="s">
        <v>189</v>
      </c>
      <c r="C145" s="3329">
        <f t="shared" si="33"/>
        <v>0</v>
      </c>
      <c r="D145" s="3329">
        <f t="shared" si="34"/>
        <v>0</v>
      </c>
      <c r="E145" s="3329">
        <f t="shared" si="35"/>
        <v>0</v>
      </c>
      <c r="F145" s="3330"/>
      <c r="G145" s="3330"/>
      <c r="H145" s="3330"/>
      <c r="I145" s="2818"/>
      <c r="J145" s="2818"/>
      <c r="K145" s="2818"/>
      <c r="L145" s="3262"/>
      <c r="M145" s="3262"/>
      <c r="N145" s="3262"/>
      <c r="O145" s="2818"/>
      <c r="P145" s="2818"/>
      <c r="Q145" s="2818"/>
      <c r="R145" s="2818"/>
      <c r="S145" s="2818"/>
      <c r="T145" s="2818"/>
    </row>
    <row r="146" spans="1:20">
      <c r="A146" s="58">
        <v>13</v>
      </c>
      <c r="B146" s="2938" t="s">
        <v>190</v>
      </c>
      <c r="C146" s="3329">
        <f t="shared" si="33"/>
        <v>0</v>
      </c>
      <c r="D146" s="3329">
        <f t="shared" si="34"/>
        <v>0</v>
      </c>
      <c r="E146" s="3329">
        <f t="shared" si="35"/>
        <v>0</v>
      </c>
      <c r="F146" s="3330"/>
      <c r="G146" s="3330"/>
      <c r="H146" s="3330"/>
      <c r="I146" s="2818"/>
      <c r="J146" s="2818"/>
      <c r="K146" s="2818"/>
      <c r="L146" s="3262"/>
      <c r="M146" s="3262"/>
      <c r="N146" s="3262"/>
      <c r="O146" s="2818"/>
      <c r="P146" s="2818"/>
      <c r="Q146" s="2818"/>
      <c r="R146" s="2818"/>
      <c r="S146" s="2818"/>
      <c r="T146" s="2818"/>
    </row>
    <row r="147" spans="1:20">
      <c r="A147" s="58">
        <v>14</v>
      </c>
      <c r="B147" s="2939" t="s">
        <v>192</v>
      </c>
      <c r="C147" s="3329">
        <f t="shared" ref="C147:C152" si="36">+F147+I147+L147+O147+R147</f>
        <v>0</v>
      </c>
      <c r="D147" s="3329">
        <f t="shared" ref="D147:D152" si="37">+G147+J147+M147+P147+S147</f>
        <v>0</v>
      </c>
      <c r="E147" s="3329">
        <f t="shared" ref="E147:E152" si="38">+H147+K147+N147+Q147+T147</f>
        <v>0</v>
      </c>
      <c r="F147" s="3330"/>
      <c r="G147" s="3330"/>
      <c r="H147" s="3330"/>
      <c r="I147" s="2818"/>
      <c r="J147" s="2818"/>
      <c r="K147" s="2818"/>
      <c r="L147" s="3262"/>
      <c r="M147" s="3262"/>
      <c r="N147" s="3262"/>
      <c r="O147" s="2818"/>
      <c r="P147" s="2818"/>
      <c r="Q147" s="2818"/>
      <c r="R147" s="2818"/>
      <c r="S147" s="2818"/>
      <c r="T147" s="2818"/>
    </row>
    <row r="148" spans="1:20">
      <c r="A148" s="58">
        <v>15</v>
      </c>
      <c r="B148" s="2938" t="s">
        <v>193</v>
      </c>
      <c r="C148" s="3329">
        <f t="shared" si="36"/>
        <v>489790</v>
      </c>
      <c r="D148" s="3329">
        <f t="shared" si="37"/>
        <v>763416</v>
      </c>
      <c r="E148" s="3329">
        <f t="shared" si="38"/>
        <v>1033310</v>
      </c>
      <c r="F148" s="3330">
        <v>14682</v>
      </c>
      <c r="G148" s="3330">
        <v>27984</v>
      </c>
      <c r="H148" s="3330">
        <v>47956</v>
      </c>
      <c r="I148" s="2818">
        <v>20686</v>
      </c>
      <c r="J148" s="2818">
        <v>2492</v>
      </c>
      <c r="K148" s="2818">
        <v>571</v>
      </c>
      <c r="L148" s="3262">
        <v>441854</v>
      </c>
      <c r="M148" s="3262">
        <v>710029</v>
      </c>
      <c r="N148" s="3262">
        <v>957553</v>
      </c>
      <c r="O148" s="2818">
        <v>938</v>
      </c>
      <c r="P148" s="2818">
        <v>1521</v>
      </c>
      <c r="Q148" s="2818">
        <v>2047</v>
      </c>
      <c r="R148" s="2818">
        <v>11630</v>
      </c>
      <c r="S148" s="2818">
        <v>21390</v>
      </c>
      <c r="T148" s="2818">
        <v>25183</v>
      </c>
    </row>
    <row r="149" spans="1:20" s="72" customFormat="1">
      <c r="A149" s="71">
        <v>16</v>
      </c>
      <c r="B149" s="3268" t="s">
        <v>194</v>
      </c>
      <c r="C149" s="3334">
        <f t="shared" si="36"/>
        <v>0</v>
      </c>
      <c r="D149" s="3334">
        <f t="shared" si="37"/>
        <v>0</v>
      </c>
      <c r="E149" s="3334">
        <f t="shared" si="38"/>
        <v>0</v>
      </c>
      <c r="F149" s="3335"/>
      <c r="G149" s="3335"/>
      <c r="H149" s="3335"/>
      <c r="I149" s="3261"/>
      <c r="J149" s="3261"/>
      <c r="K149" s="3261"/>
      <c r="L149" s="3261"/>
      <c r="M149" s="3261"/>
      <c r="N149" s="3261"/>
      <c r="O149" s="3261"/>
      <c r="P149" s="3261"/>
      <c r="Q149" s="3261"/>
      <c r="R149" s="3261"/>
      <c r="S149" s="3261"/>
      <c r="T149" s="3261"/>
    </row>
    <row r="150" spans="1:20">
      <c r="A150" s="58">
        <v>17</v>
      </c>
      <c r="B150" s="2938" t="s">
        <v>195</v>
      </c>
      <c r="C150" s="3329">
        <f t="shared" si="36"/>
        <v>48258</v>
      </c>
      <c r="D150" s="3329">
        <f t="shared" si="37"/>
        <v>43182</v>
      </c>
      <c r="E150" s="3329">
        <f t="shared" si="38"/>
        <v>91440</v>
      </c>
      <c r="F150" s="3330">
        <v>3413</v>
      </c>
      <c r="G150" s="3330">
        <v>5985</v>
      </c>
      <c r="H150" s="3330">
        <v>9398</v>
      </c>
      <c r="I150" s="2818">
        <v>18049</v>
      </c>
      <c r="J150" s="2818">
        <v>192</v>
      </c>
      <c r="K150" s="2818">
        <v>18241</v>
      </c>
      <c r="L150" s="3262">
        <v>21795</v>
      </c>
      <c r="M150" s="3262">
        <v>31240</v>
      </c>
      <c r="N150" s="3262">
        <v>53035</v>
      </c>
      <c r="O150" s="2818">
        <v>451</v>
      </c>
      <c r="P150" s="2818">
        <v>1114</v>
      </c>
      <c r="Q150" s="2818">
        <v>1565</v>
      </c>
      <c r="R150" s="2818">
        <v>4550</v>
      </c>
      <c r="S150" s="2818">
        <v>4651</v>
      </c>
      <c r="T150" s="2818">
        <v>9201</v>
      </c>
    </row>
    <row r="151" spans="1:20">
      <c r="A151" s="58">
        <v>18</v>
      </c>
      <c r="B151" s="2939" t="s">
        <v>191</v>
      </c>
      <c r="C151" s="3329">
        <f t="shared" si="36"/>
        <v>0</v>
      </c>
      <c r="D151" s="3329">
        <f t="shared" si="37"/>
        <v>0</v>
      </c>
      <c r="E151" s="3329">
        <f t="shared" si="38"/>
        <v>0</v>
      </c>
      <c r="F151" s="3330"/>
      <c r="G151" s="3330"/>
      <c r="H151" s="3330"/>
      <c r="I151" s="2818"/>
      <c r="J151" s="2818"/>
      <c r="K151" s="2818"/>
      <c r="L151" s="3262"/>
      <c r="M151" s="3262"/>
      <c r="N151" s="3262"/>
      <c r="O151" s="2818"/>
      <c r="P151" s="2818"/>
      <c r="Q151" s="2818"/>
      <c r="R151" s="2818"/>
      <c r="S151" s="2818"/>
      <c r="T151" s="2818"/>
    </row>
    <row r="152" spans="1:20">
      <c r="A152" s="58">
        <v>19</v>
      </c>
      <c r="B152" s="2939" t="s">
        <v>110</v>
      </c>
      <c r="C152" s="3329">
        <f t="shared" si="36"/>
        <v>0</v>
      </c>
      <c r="D152" s="3329">
        <f t="shared" si="37"/>
        <v>0</v>
      </c>
      <c r="E152" s="3329">
        <f t="shared" si="38"/>
        <v>0</v>
      </c>
      <c r="F152" s="3330"/>
      <c r="G152" s="3330"/>
      <c r="H152" s="3330"/>
      <c r="I152" s="2818"/>
      <c r="J152" s="2818"/>
      <c r="K152" s="2818"/>
      <c r="L152" s="3262"/>
      <c r="M152" s="3262"/>
      <c r="N152" s="3262"/>
      <c r="O152" s="2818"/>
      <c r="P152" s="2818"/>
      <c r="Q152" s="2818"/>
      <c r="R152" s="2818"/>
      <c r="S152" s="2818"/>
      <c r="T152" s="2818"/>
    </row>
    <row r="153" spans="1:20">
      <c r="B153" s="3122" t="s">
        <v>118</v>
      </c>
      <c r="C153" s="3117">
        <f t="shared" ref="C153:T153" si="39">SUM(C134:C152)</f>
        <v>1330536</v>
      </c>
      <c r="D153" s="3117">
        <f t="shared" si="39"/>
        <v>1389395</v>
      </c>
      <c r="E153" s="3117">
        <f t="shared" si="39"/>
        <v>2241155.6100000003</v>
      </c>
      <c r="F153" s="3330">
        <f t="shared" si="39"/>
        <v>59193</v>
      </c>
      <c r="G153" s="3330">
        <f t="shared" si="39"/>
        <v>87429</v>
      </c>
      <c r="H153" s="3330">
        <f t="shared" si="39"/>
        <v>134783.60999999999</v>
      </c>
      <c r="I153" s="3259">
        <f t="shared" si="39"/>
        <v>126954</v>
      </c>
      <c r="J153" s="3259">
        <f t="shared" si="39"/>
        <v>2959</v>
      </c>
      <c r="K153" s="3259">
        <f t="shared" si="39"/>
        <v>91402</v>
      </c>
      <c r="L153" s="3263">
        <f t="shared" si="39"/>
        <v>955408</v>
      </c>
      <c r="M153" s="3263">
        <f t="shared" si="39"/>
        <v>1228543</v>
      </c>
      <c r="N153" s="3263">
        <f t="shared" si="39"/>
        <v>1726358</v>
      </c>
      <c r="O153" s="3259">
        <f t="shared" si="39"/>
        <v>6584</v>
      </c>
      <c r="P153" s="3259">
        <f t="shared" si="39"/>
        <v>7160</v>
      </c>
      <c r="Q153" s="3259">
        <f t="shared" si="39"/>
        <v>11225</v>
      </c>
      <c r="R153" s="3259">
        <f t="shared" si="39"/>
        <v>182397</v>
      </c>
      <c r="S153" s="3259">
        <f t="shared" si="39"/>
        <v>63304</v>
      </c>
      <c r="T153" s="3259">
        <f t="shared" si="39"/>
        <v>277387</v>
      </c>
    </row>
    <row r="154" spans="1:20">
      <c r="B154" s="46"/>
      <c r="C154" s="47"/>
      <c r="D154" s="47"/>
      <c r="E154" s="47"/>
      <c r="F154" s="48"/>
      <c r="G154" s="48"/>
      <c r="H154" s="48"/>
      <c r="I154" s="49"/>
      <c r="J154" s="49"/>
      <c r="K154" s="49"/>
      <c r="L154" s="50"/>
      <c r="M154" s="50"/>
      <c r="N154" s="50"/>
      <c r="O154" s="49"/>
      <c r="P154" s="49"/>
      <c r="Q154" s="49"/>
      <c r="R154" s="49"/>
      <c r="S154" s="49"/>
      <c r="T154" s="49"/>
    </row>
    <row r="157" spans="1:20">
      <c r="C157" s="3955">
        <v>2007</v>
      </c>
      <c r="D157" s="3956"/>
      <c r="E157" s="3957"/>
      <c r="F157" s="3945">
        <v>2008</v>
      </c>
      <c r="G157" s="3946"/>
      <c r="H157" s="3947"/>
      <c r="I157" s="3949">
        <v>2009</v>
      </c>
      <c r="J157" s="3950"/>
      <c r="K157" s="3951"/>
      <c r="L157" s="3925">
        <v>2010</v>
      </c>
      <c r="M157" s="3925"/>
      <c r="N157" s="3925"/>
      <c r="O157" s="3948">
        <v>2011</v>
      </c>
      <c r="P157" s="3948"/>
      <c r="Q157" s="3948"/>
    </row>
    <row r="158" spans="1:20">
      <c r="C158" s="3327" t="s">
        <v>956</v>
      </c>
      <c r="D158" s="3327" t="s">
        <v>957</v>
      </c>
      <c r="E158" s="3327" t="s">
        <v>958</v>
      </c>
      <c r="F158" s="3327" t="s">
        <v>956</v>
      </c>
      <c r="G158" s="3327" t="s">
        <v>957</v>
      </c>
      <c r="H158" s="3327" t="s">
        <v>958</v>
      </c>
      <c r="I158" s="3327" t="s">
        <v>956</v>
      </c>
      <c r="J158" s="3327" t="s">
        <v>957</v>
      </c>
      <c r="K158" s="3327" t="s">
        <v>958</v>
      </c>
      <c r="L158" s="3327" t="s">
        <v>956</v>
      </c>
      <c r="M158" s="3327" t="s">
        <v>957</v>
      </c>
      <c r="N158" s="3327" t="s">
        <v>958</v>
      </c>
      <c r="O158" s="3327" t="s">
        <v>956</v>
      </c>
      <c r="P158" s="3327" t="s">
        <v>957</v>
      </c>
      <c r="Q158" s="3327" t="s">
        <v>958</v>
      </c>
    </row>
    <row r="159" spans="1:20">
      <c r="B159" t="s">
        <v>412</v>
      </c>
      <c r="C159" s="14">
        <f>+F153</f>
        <v>59193</v>
      </c>
      <c r="D159" s="14">
        <f>+G153</f>
        <v>87429</v>
      </c>
      <c r="E159" s="14">
        <f>+H153</f>
        <v>134783.60999999999</v>
      </c>
      <c r="F159" s="14">
        <f>+F127</f>
        <v>52118</v>
      </c>
      <c r="G159" s="14">
        <f>+G127</f>
        <v>91199</v>
      </c>
      <c r="H159" s="14">
        <f>+H127</f>
        <v>141746.15</v>
      </c>
      <c r="I159" s="14">
        <f>+F101</f>
        <v>49316</v>
      </c>
      <c r="J159" s="14">
        <f>+G101</f>
        <v>98859</v>
      </c>
      <c r="K159" s="14">
        <f>+H101</f>
        <v>141194.34</v>
      </c>
      <c r="L159" s="14">
        <f>+F75</f>
        <v>66328</v>
      </c>
      <c r="M159" s="14">
        <f>+G75</f>
        <v>106129</v>
      </c>
      <c r="N159" s="14">
        <f>+H75</f>
        <v>163216.75</v>
      </c>
      <c r="O159" s="14">
        <f>+F49</f>
        <v>74776</v>
      </c>
      <c r="P159" s="14">
        <f>+G49</f>
        <v>125868</v>
      </c>
      <c r="Q159" s="14">
        <f>+H49</f>
        <v>203838</v>
      </c>
    </row>
    <row r="160" spans="1:20">
      <c r="B160" t="s">
        <v>413</v>
      </c>
      <c r="C160" s="14">
        <f>+I153</f>
        <v>126954</v>
      </c>
      <c r="D160" s="14">
        <f>+J153</f>
        <v>2959</v>
      </c>
      <c r="E160" s="14">
        <f>+K153</f>
        <v>91402</v>
      </c>
      <c r="F160" s="14">
        <f>+I127</f>
        <v>113357</v>
      </c>
      <c r="G160" s="14">
        <f>+J127</f>
        <v>1572</v>
      </c>
      <c r="H160" s="14">
        <f>+K127</f>
        <v>98246</v>
      </c>
      <c r="I160" s="14">
        <f>+I101</f>
        <v>113275</v>
      </c>
      <c r="J160" s="14">
        <f>+J101</f>
        <v>1681</v>
      </c>
      <c r="K160" s="14">
        <f>+K101</f>
        <v>110152</v>
      </c>
      <c r="L160" s="14">
        <f>+I75</f>
        <v>142090</v>
      </c>
      <c r="M160" s="14">
        <f>+J75</f>
        <v>2156</v>
      </c>
      <c r="N160" s="14">
        <f>+K75</f>
        <v>139645</v>
      </c>
      <c r="O160" s="14">
        <f>+I49</f>
        <v>163244</v>
      </c>
      <c r="P160" s="14">
        <f>+J49</f>
        <v>2059</v>
      </c>
      <c r="Q160" s="14">
        <f>+K49</f>
        <v>168575</v>
      </c>
    </row>
    <row r="161" spans="2:17">
      <c r="B161" t="s">
        <v>414</v>
      </c>
      <c r="C161" s="14">
        <f>+L153</f>
        <v>955408</v>
      </c>
      <c r="D161" s="14">
        <f>+M153</f>
        <v>1228543</v>
      </c>
      <c r="E161" s="14">
        <f>+N153</f>
        <v>1726358</v>
      </c>
      <c r="F161" s="14">
        <f>+L127</f>
        <v>843838</v>
      </c>
      <c r="G161" s="14">
        <f>+M127</f>
        <v>1137722</v>
      </c>
      <c r="H161" s="14">
        <f>+N127</f>
        <v>1869594</v>
      </c>
      <c r="I161" s="14">
        <f>+L101</f>
        <v>965275</v>
      </c>
      <c r="J161" s="14">
        <f>+M101</f>
        <v>1332422</v>
      </c>
      <c r="K161" s="14">
        <f>+N101</f>
        <v>2305730</v>
      </c>
      <c r="L161" s="14">
        <f>+L75</f>
        <v>1252268</v>
      </c>
      <c r="M161" s="14">
        <f>+M75</f>
        <v>1363494</v>
      </c>
      <c r="N161" s="14">
        <f>+N75</f>
        <v>2637246</v>
      </c>
      <c r="O161" s="14">
        <f>+L49</f>
        <v>1551716</v>
      </c>
      <c r="P161" s="14">
        <f>+M49</f>
        <v>1706738</v>
      </c>
      <c r="Q161" s="14">
        <f>+N49</f>
        <v>3189583</v>
      </c>
    </row>
    <row r="162" spans="2:17">
      <c r="B162" t="s">
        <v>701</v>
      </c>
      <c r="C162" s="14">
        <f>+O153</f>
        <v>6584</v>
      </c>
      <c r="D162" s="14">
        <f>+P153</f>
        <v>7160</v>
      </c>
      <c r="E162" s="14">
        <f>+Q153</f>
        <v>11225</v>
      </c>
      <c r="F162" s="14">
        <f>+O127</f>
        <v>4934</v>
      </c>
      <c r="G162" s="14">
        <f>+P127</f>
        <v>6808</v>
      </c>
      <c r="H162" s="14">
        <f>+Q127</f>
        <v>11446</v>
      </c>
      <c r="I162" s="14">
        <f>+O101</f>
        <v>3952</v>
      </c>
      <c r="J162" s="14">
        <f>+P101</f>
        <v>5792</v>
      </c>
      <c r="K162" s="14">
        <f>+Q101</f>
        <v>9607</v>
      </c>
      <c r="L162" s="14">
        <f>+O75</f>
        <v>4598</v>
      </c>
      <c r="M162" s="14">
        <f>+P75</f>
        <v>5725</v>
      </c>
      <c r="N162" s="14">
        <f>+Q75</f>
        <v>10133</v>
      </c>
      <c r="O162" s="14">
        <f>+O49</f>
        <v>5144</v>
      </c>
      <c r="P162" s="14">
        <f>+P49</f>
        <v>7517</v>
      </c>
      <c r="Q162" s="14">
        <f>+Q49</f>
        <v>12525</v>
      </c>
    </row>
    <row r="163" spans="2:17">
      <c r="B163" t="s">
        <v>416</v>
      </c>
      <c r="C163" s="14">
        <f>+R153</f>
        <v>182397</v>
      </c>
      <c r="D163" s="14">
        <f>+S153</f>
        <v>63304</v>
      </c>
      <c r="E163" s="14">
        <f>+T153</f>
        <v>277387</v>
      </c>
      <c r="F163" s="14">
        <f>+R127</f>
        <v>178485</v>
      </c>
      <c r="G163" s="14">
        <f>+S127</f>
        <v>73307</v>
      </c>
      <c r="H163" s="14">
        <f>+T127</f>
        <v>352311</v>
      </c>
      <c r="I163" s="14">
        <f>+R101</f>
        <v>190461</v>
      </c>
      <c r="J163" s="14">
        <f>+S101</f>
        <v>89403</v>
      </c>
      <c r="K163" s="14">
        <f>+T101</f>
        <v>424072</v>
      </c>
      <c r="L163" s="14">
        <f>+R75</f>
        <v>202443</v>
      </c>
      <c r="M163" s="14">
        <f>+S75</f>
        <v>89934</v>
      </c>
      <c r="N163" s="14">
        <f>+T75</f>
        <v>478544</v>
      </c>
      <c r="O163" s="14">
        <f>+R49</f>
        <v>239788</v>
      </c>
      <c r="P163" s="14">
        <f>+S49</f>
        <v>122026</v>
      </c>
      <c r="Q163" s="14">
        <f>+T49</f>
        <v>564549</v>
      </c>
    </row>
    <row r="164" spans="2:17">
      <c r="B164" s="43" t="s">
        <v>118</v>
      </c>
      <c r="C164" s="14">
        <f>SUM(C159:C163)</f>
        <v>1330536</v>
      </c>
      <c r="D164" s="14">
        <f t="shared" ref="D164:O164" si="40">SUM(D159:D163)</f>
        <v>1389395</v>
      </c>
      <c r="E164" s="14">
        <f>SUM(E159:E163)</f>
        <v>2241155.61</v>
      </c>
      <c r="F164" s="14">
        <f t="shared" si="40"/>
        <v>1192732</v>
      </c>
      <c r="G164" s="14">
        <f t="shared" si="40"/>
        <v>1310608</v>
      </c>
      <c r="H164" s="14">
        <f t="shared" si="40"/>
        <v>2473343.15</v>
      </c>
      <c r="I164" s="14">
        <f t="shared" si="40"/>
        <v>1322279</v>
      </c>
      <c r="J164" s="14">
        <f t="shared" si="40"/>
        <v>1528157</v>
      </c>
      <c r="K164" s="14">
        <f t="shared" si="40"/>
        <v>2990755.34</v>
      </c>
      <c r="L164" s="14">
        <f t="shared" si="40"/>
        <v>1667727</v>
      </c>
      <c r="M164" s="14">
        <f t="shared" si="40"/>
        <v>1567438</v>
      </c>
      <c r="N164" s="14">
        <f t="shared" si="40"/>
        <v>3428784.75</v>
      </c>
      <c r="O164" s="14">
        <f t="shared" si="40"/>
        <v>2034668</v>
      </c>
      <c r="P164" s="14">
        <f>SUM(P159:P163)</f>
        <v>1964208</v>
      </c>
      <c r="Q164" s="14">
        <f>SUM(Q159:Q163)</f>
        <v>4139070</v>
      </c>
    </row>
    <row r="166" spans="2:17">
      <c r="B166" t="s">
        <v>961</v>
      </c>
    </row>
    <row r="168" spans="2:17">
      <c r="C168" s="43">
        <v>2007</v>
      </c>
      <c r="D168" s="43">
        <v>2008</v>
      </c>
      <c r="E168" s="43">
        <v>2009</v>
      </c>
      <c r="F168" s="43">
        <v>2010</v>
      </c>
      <c r="G168" s="43">
        <v>2011</v>
      </c>
    </row>
    <row r="169" spans="2:17">
      <c r="B169" t="s">
        <v>956</v>
      </c>
      <c r="C169" s="14">
        <f>+C164</f>
        <v>1330536</v>
      </c>
      <c r="D169" s="14">
        <f>+F164</f>
        <v>1192732</v>
      </c>
      <c r="E169" s="14">
        <f>+I164</f>
        <v>1322279</v>
      </c>
      <c r="F169" s="14">
        <f>+L164</f>
        <v>1667727</v>
      </c>
      <c r="G169" s="14">
        <f>+O164</f>
        <v>2034668</v>
      </c>
    </row>
    <row r="170" spans="2:17">
      <c r="B170" t="s">
        <v>957</v>
      </c>
      <c r="C170" s="14">
        <f>+D164</f>
        <v>1389395</v>
      </c>
      <c r="D170" s="14">
        <f>+G164</f>
        <v>1310608</v>
      </c>
      <c r="E170" s="14">
        <f>+J164</f>
        <v>1528157</v>
      </c>
      <c r="F170" s="14">
        <f>+M164</f>
        <v>1567438</v>
      </c>
      <c r="G170" s="14">
        <f>+P164</f>
        <v>1964208</v>
      </c>
      <c r="H170" s="14"/>
    </row>
    <row r="171" spans="2:17">
      <c r="B171" t="s">
        <v>958</v>
      </c>
      <c r="C171" s="14">
        <f>+E164</f>
        <v>2241155.61</v>
      </c>
      <c r="D171" s="14">
        <f>+H164</f>
        <v>2473343.15</v>
      </c>
      <c r="E171" s="14">
        <f>+K164</f>
        <v>2990755.34</v>
      </c>
      <c r="F171" s="14">
        <f>+N164</f>
        <v>3428784.75</v>
      </c>
      <c r="G171" s="14">
        <f>+Q164</f>
        <v>4139070</v>
      </c>
      <c r="H171" s="14"/>
    </row>
  </sheetData>
  <customSheetViews>
    <customSheetView guid="{5E394B0B-7867-4722-9497-A93AB2A9A773}" showPageBreaks="1" state="hidden">
      <pane xSplit="2" ySplit="5" topLeftCell="C144" activePane="bottomRight" state="frozen"/>
      <selection pane="bottomRight" activeCell="J170" sqref="J170"/>
      <pageMargins left="0" right="0" top="0" bottom="0" header="0" footer="0"/>
      <pageSetup orientation="portrait" r:id="rId1"/>
    </customSheetView>
    <customSheetView guid="{B1E1B596-A9A1-411D-A882-A48CB025B978}" state="hidden">
      <pane xSplit="2" ySplit="5" topLeftCell="C144" activePane="bottomRight" state="frozen"/>
      <selection pane="bottomRight" activeCell="J170" sqref="J170"/>
      <pageMargins left="0" right="0" top="0" bottom="0" header="0" footer="0"/>
      <pageSetup orientation="portrait" r:id="rId2"/>
    </customSheetView>
    <customSheetView guid="{E82B35BE-4719-4C53-A9EF-1CC6F153A6F3}" state="hidden">
      <pane xSplit="2" ySplit="5" topLeftCell="C144" activePane="bottomRight" state="frozen"/>
      <selection pane="bottomRight" activeCell="J170" sqref="J170"/>
      <pageMargins left="0" right="0" top="0" bottom="0" header="0" footer="0"/>
      <pageSetup orientation="portrait" r:id="rId3"/>
    </customSheetView>
    <customSheetView guid="{46F31544-8E6F-41C5-8628-1D6EE074AF15}" state="hidden">
      <pane xSplit="2" ySplit="5" topLeftCell="C144" activePane="bottomRight" state="frozen"/>
      <selection pane="bottomRight" activeCell="J170" sqref="J170"/>
      <pageMargins left="0" right="0" top="0" bottom="0" header="0" footer="0"/>
      <pageSetup orientation="portrait" r:id="rId4"/>
    </customSheetView>
    <customSheetView guid="{B2E1A0C6-5BA1-4CF1-B412-16D81FCDF11F}" state="hidden">
      <pane xSplit="2" ySplit="5" topLeftCell="C144" activePane="bottomRight" state="frozen"/>
      <selection pane="bottomRight" activeCell="J170" sqref="J170"/>
      <pageMargins left="0" right="0" top="0" bottom="0" header="0" footer="0"/>
      <pageSetup orientation="portrait" r:id="rId5"/>
    </customSheetView>
    <customSheetView guid="{967E0446-E234-427F-8E57-7FE287052E2E}" showPageBreaks="1" state="hidden">
      <pane xSplit="2" ySplit="5" topLeftCell="C144" activePane="bottomRight" state="frozen"/>
      <selection pane="bottomRight" activeCell="J170" sqref="J170"/>
      <pageMargins left="0" right="0" top="0" bottom="0" header="0" footer="0"/>
      <pageSetup orientation="portrait" r:id="rId6"/>
    </customSheetView>
    <customSheetView guid="{2ACFE167-4169-43A6-9AB2-59D5A2DA2DB4}" showPageBreaks="1" state="hidden">
      <pane xSplit="2" ySplit="5" topLeftCell="C144" activePane="bottomRight" state="frozen"/>
      <selection pane="bottomRight" activeCell="J170" sqref="J170"/>
      <pageMargins left="0" right="0" top="0" bottom="0" header="0" footer="0"/>
      <pageSetup orientation="portrait" r:id="rId7"/>
    </customSheetView>
  </customSheetViews>
  <mergeCells count="47">
    <mergeCell ref="O4:Q4"/>
    <mergeCell ref="R4:T4"/>
    <mergeCell ref="B4:B5"/>
    <mergeCell ref="C4:E4"/>
    <mergeCell ref="F4:H4"/>
    <mergeCell ref="I4:K4"/>
    <mergeCell ref="L4:N4"/>
    <mergeCell ref="I157:K157"/>
    <mergeCell ref="L157:N157"/>
    <mergeCell ref="O157:Q157"/>
    <mergeCell ref="C157:E157"/>
    <mergeCell ref="F157:H157"/>
    <mergeCell ref="R132:T132"/>
    <mergeCell ref="C28:E28"/>
    <mergeCell ref="C54:E54"/>
    <mergeCell ref="C80:E80"/>
    <mergeCell ref="C106:E106"/>
    <mergeCell ref="C132:E132"/>
    <mergeCell ref="I80:K80"/>
    <mergeCell ref="L80:N80"/>
    <mergeCell ref="O80:Q80"/>
    <mergeCell ref="R80:T80"/>
    <mergeCell ref="I132:K132"/>
    <mergeCell ref="L132:N132"/>
    <mergeCell ref="O132:Q132"/>
    <mergeCell ref="I106:K106"/>
    <mergeCell ref="L106:N106"/>
    <mergeCell ref="O106:Q106"/>
    <mergeCell ref="R106:T106"/>
    <mergeCell ref="I28:K28"/>
    <mergeCell ref="L28:N28"/>
    <mergeCell ref="O28:Q28"/>
    <mergeCell ref="R28:T28"/>
    <mergeCell ref="I54:K54"/>
    <mergeCell ref="L54:N54"/>
    <mergeCell ref="O54:Q54"/>
    <mergeCell ref="R54:T54"/>
    <mergeCell ref="B28:B29"/>
    <mergeCell ref="B54:B55"/>
    <mergeCell ref="F54:H54"/>
    <mergeCell ref="B106:B107"/>
    <mergeCell ref="B132:B133"/>
    <mergeCell ref="F28:H28"/>
    <mergeCell ref="F80:H80"/>
    <mergeCell ref="F132:H132"/>
    <mergeCell ref="F106:H106"/>
    <mergeCell ref="B80:B81"/>
  </mergeCells>
  <hyperlinks>
    <hyperlink ref="B1" location="'List of tables'!A1" display="'List of tables'!A1"/>
  </hyperlinks>
  <pageMargins left="0.7" right="0.7" top="0.75" bottom="0.75" header="0.3" footer="0.3"/>
  <pageSetup orientation="portrait" r:id="rId8"/>
  <drawing r:id="rId9"/>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dimension ref="A1:M34"/>
  <sheetViews>
    <sheetView workbookViewId="0">
      <selection activeCell="C8" sqref="C8"/>
    </sheetView>
  </sheetViews>
  <sheetFormatPr defaultRowHeight="15"/>
  <cols>
    <col min="1" max="1" width="3.5703125" customWidth="1"/>
    <col min="2" max="2" width="8.7109375" customWidth="1"/>
    <col min="3" max="4" width="12.5703125" customWidth="1"/>
    <col min="5" max="5" width="9.85546875" customWidth="1"/>
    <col min="6" max="6" width="11.28515625" customWidth="1"/>
    <col min="7" max="7" width="12" customWidth="1"/>
    <col min="8" max="8" width="10.85546875" customWidth="1"/>
    <col min="9" max="9" width="12" style="99" customWidth="1"/>
    <col min="10" max="10" width="14.28515625" bestFit="1" customWidth="1"/>
    <col min="11" max="11" width="10.5703125" customWidth="1"/>
    <col min="12" max="12" width="11.7109375" customWidth="1"/>
    <col min="13" max="13" width="12" customWidth="1"/>
  </cols>
  <sheetData>
    <row r="1" spans="1:13">
      <c r="B1" s="150" t="s">
        <v>594</v>
      </c>
      <c r="C1" s="3"/>
      <c r="D1" s="3"/>
      <c r="E1" s="3"/>
      <c r="F1" s="3"/>
      <c r="G1" s="3"/>
      <c r="H1" s="3"/>
    </row>
    <row r="2" spans="1:13">
      <c r="B2" s="2083" t="s">
        <v>962</v>
      </c>
      <c r="C2" s="3406"/>
      <c r="D2" s="3406"/>
      <c r="E2" s="3406"/>
      <c r="F2" s="3406"/>
      <c r="G2" s="3406"/>
      <c r="H2" s="2085"/>
    </row>
    <row r="3" spans="1:13">
      <c r="B3" s="3927" t="s">
        <v>83</v>
      </c>
      <c r="C3" s="3476" t="s">
        <v>887</v>
      </c>
      <c r="D3" s="3939"/>
      <c r="E3" s="3939"/>
      <c r="F3" s="3476" t="s">
        <v>726</v>
      </c>
      <c r="G3" s="3939"/>
      <c r="H3" s="3482"/>
    </row>
    <row r="4" spans="1:13" ht="32.25" customHeight="1">
      <c r="B4" s="3480"/>
      <c r="C4" s="2086" t="s">
        <v>888</v>
      </c>
      <c r="D4" s="2086" t="s">
        <v>889</v>
      </c>
      <c r="E4" s="2086" t="s">
        <v>890</v>
      </c>
      <c r="F4" s="2087" t="s">
        <v>963</v>
      </c>
      <c r="G4" s="2086" t="s">
        <v>889</v>
      </c>
      <c r="H4" s="2086" t="s">
        <v>890</v>
      </c>
      <c r="I4" s="152"/>
      <c r="J4" s="43"/>
      <c r="K4" s="43"/>
      <c r="L4" s="106"/>
      <c r="M4" s="43"/>
    </row>
    <row r="5" spans="1:13" ht="17.45" customHeight="1">
      <c r="A5">
        <v>1</v>
      </c>
      <c r="B5" s="2089" t="s">
        <v>175</v>
      </c>
      <c r="C5" s="2102" t="e">
        <f>+#REF!+#REF!</f>
        <v>#REF!</v>
      </c>
      <c r="D5" s="3337" t="e">
        <f>VLOOKUP(B5,#REF!,12,0)</f>
        <v>#REF!</v>
      </c>
      <c r="E5" s="3269" t="e">
        <f>+D5/$D$23*100</f>
        <v>#REF!</v>
      </c>
      <c r="F5" s="2102" t="e">
        <f>+#REF!+#REF!</f>
        <v>#REF!</v>
      </c>
      <c r="G5" s="3337" t="e">
        <f>VLOOKUP(B5,#REF!,14,0)</f>
        <v>#REF!</v>
      </c>
      <c r="H5" s="3338" t="e">
        <f t="shared" ref="H5:H11" si="0">+G5/$G$23*100</f>
        <v>#REF!</v>
      </c>
      <c r="J5" s="58"/>
      <c r="L5" s="14"/>
      <c r="M5" s="14"/>
    </row>
    <row r="6" spans="1:13" ht="17.45" customHeight="1">
      <c r="A6">
        <v>2</v>
      </c>
      <c r="B6" s="2089" t="s">
        <v>177</v>
      </c>
      <c r="C6" s="2102" t="e">
        <f>+#REF!+#REF!</f>
        <v>#REF!</v>
      </c>
      <c r="D6" s="3337" t="e">
        <f>VLOOKUP(B6,#REF!,12,0)</f>
        <v>#REF!</v>
      </c>
      <c r="E6" s="3269" t="e">
        <f t="shared" ref="E6:E22" si="1">+D6/$D$23*100</f>
        <v>#REF!</v>
      </c>
      <c r="F6" s="2102" t="e">
        <f>+#REF!+#REF!</f>
        <v>#REF!</v>
      </c>
      <c r="G6" s="3337" t="e">
        <f>VLOOKUP(B6,#REF!,14,0)</f>
        <v>#REF!</v>
      </c>
      <c r="H6" s="3338" t="e">
        <f t="shared" si="0"/>
        <v>#REF!</v>
      </c>
      <c r="J6" s="58"/>
      <c r="K6" s="99"/>
      <c r="L6" s="99"/>
      <c r="M6" s="99"/>
    </row>
    <row r="7" spans="1:13" ht="17.45" customHeight="1">
      <c r="A7">
        <v>3</v>
      </c>
      <c r="B7" s="2089" t="s">
        <v>179</v>
      </c>
      <c r="C7" s="2102" t="e">
        <f>+#REF!+#REF!</f>
        <v>#REF!</v>
      </c>
      <c r="D7" s="3337" t="e">
        <f>VLOOKUP(B7,#REF!,12,0)</f>
        <v>#REF!</v>
      </c>
      <c r="E7" s="3269" t="e">
        <f t="shared" si="1"/>
        <v>#REF!</v>
      </c>
      <c r="F7" s="2102" t="e">
        <f>+#REF!+#REF!</f>
        <v>#REF!</v>
      </c>
      <c r="G7" s="3337" t="e">
        <f>VLOOKUP(B7,#REF!,14,0)</f>
        <v>#REF!</v>
      </c>
      <c r="H7" s="3338" t="e">
        <f t="shared" si="0"/>
        <v>#REF!</v>
      </c>
      <c r="I7" s="185" t="e">
        <f>+F7/F23*100</f>
        <v>#REF!</v>
      </c>
      <c r="J7" s="81"/>
    </row>
    <row r="8" spans="1:13" ht="17.45" customHeight="1">
      <c r="A8">
        <v>4</v>
      </c>
      <c r="B8" s="2089" t="s">
        <v>180</v>
      </c>
      <c r="C8" s="2102" t="e">
        <f>+#REF!+#REF!</f>
        <v>#REF!</v>
      </c>
      <c r="D8" s="3337" t="e">
        <f>VLOOKUP(B8,#REF!,12,0)</f>
        <v>#REF!</v>
      </c>
      <c r="E8" s="3269" t="e">
        <f t="shared" si="1"/>
        <v>#REF!</v>
      </c>
      <c r="F8" s="2102" t="e">
        <f>+#REF!+#REF!</f>
        <v>#REF!</v>
      </c>
      <c r="G8" s="3337" t="e">
        <f>VLOOKUP(B8,#REF!,14,0)</f>
        <v>#REF!</v>
      </c>
      <c r="H8" s="3338" t="e">
        <f t="shared" si="0"/>
        <v>#REF!</v>
      </c>
      <c r="J8" s="81"/>
    </row>
    <row r="9" spans="1:13" ht="17.45" customHeight="1">
      <c r="A9">
        <v>5</v>
      </c>
      <c r="B9" s="2089" t="s">
        <v>181</v>
      </c>
      <c r="C9" s="2102" t="e">
        <f>+#REF!+#REF!</f>
        <v>#REF!</v>
      </c>
      <c r="D9" s="3337" t="e">
        <f>VLOOKUP(B9,#REF!,12,0)</f>
        <v>#REF!</v>
      </c>
      <c r="E9" s="3269" t="e">
        <f t="shared" si="1"/>
        <v>#REF!</v>
      </c>
      <c r="F9" s="2102" t="e">
        <f>+#REF!+#REF!</f>
        <v>#REF!</v>
      </c>
      <c r="G9" s="3337" t="e">
        <f>VLOOKUP(B9,#REF!,14,0)</f>
        <v>#REF!</v>
      </c>
      <c r="H9" s="3338" t="e">
        <f t="shared" si="0"/>
        <v>#REF!</v>
      </c>
      <c r="J9" s="81"/>
    </row>
    <row r="10" spans="1:13" ht="17.45" customHeight="1">
      <c r="A10">
        <v>6</v>
      </c>
      <c r="B10" s="2089" t="s">
        <v>182</v>
      </c>
      <c r="C10" s="2102" t="e">
        <f>+#REF!+#REF!</f>
        <v>#REF!</v>
      </c>
      <c r="D10" s="3337" t="e">
        <f>VLOOKUP(B10,#REF!,12,0)</f>
        <v>#REF!</v>
      </c>
      <c r="E10" s="3269" t="e">
        <f t="shared" si="1"/>
        <v>#REF!</v>
      </c>
      <c r="F10" s="2102" t="e">
        <f>+#REF!+#REF!</f>
        <v>#REF!</v>
      </c>
      <c r="G10" s="3337" t="e">
        <f>VLOOKUP(B10,#REF!,14,0)</f>
        <v>#REF!</v>
      </c>
      <c r="H10" s="3269" t="e">
        <f>+G10/$G$23*100</f>
        <v>#REF!</v>
      </c>
      <c r="I10" s="121"/>
      <c r="J10" s="81"/>
    </row>
    <row r="11" spans="1:13" ht="17.45" customHeight="1">
      <c r="A11">
        <v>7</v>
      </c>
      <c r="B11" s="2089" t="s">
        <v>183</v>
      </c>
      <c r="C11" s="3270" t="e">
        <f>+#REF!+#REF!</f>
        <v>#REF!</v>
      </c>
      <c r="D11" s="3337" t="e">
        <f>VLOOKUP(B11,#REF!,12,0)</f>
        <v>#REF!</v>
      </c>
      <c r="E11" s="3269" t="e">
        <f t="shared" si="1"/>
        <v>#REF!</v>
      </c>
      <c r="F11" s="3270" t="e">
        <f>+#REF!+#REF!</f>
        <v>#REF!</v>
      </c>
      <c r="G11" s="3337" t="e">
        <f>VLOOKUP(B11,#REF!,14,0)</f>
        <v>#REF!</v>
      </c>
      <c r="H11" s="3338" t="e">
        <f t="shared" si="0"/>
        <v>#REF!</v>
      </c>
      <c r="J11" s="81"/>
    </row>
    <row r="12" spans="1:13" ht="17.45" customHeight="1">
      <c r="A12">
        <v>8</v>
      </c>
      <c r="B12" s="2089" t="s">
        <v>184</v>
      </c>
      <c r="C12" s="2102" t="e">
        <f>+#REF!+#REF!</f>
        <v>#REF!</v>
      </c>
      <c r="D12" s="3337" t="e">
        <f>VLOOKUP(B12,#REF!,12,0)</f>
        <v>#REF!</v>
      </c>
      <c r="E12" s="3269" t="e">
        <f t="shared" si="1"/>
        <v>#REF!</v>
      </c>
      <c r="F12" s="2102" t="e">
        <f>+#REF!+#REF!</f>
        <v>#REF!</v>
      </c>
      <c r="G12" s="3337" t="e">
        <f>VLOOKUP(B12,#REF!,14,0)</f>
        <v>#REF!</v>
      </c>
      <c r="H12" s="3269" t="e">
        <f t="shared" ref="H12:H22" si="2">+G12/$G$23*100</f>
        <v>#REF!</v>
      </c>
      <c r="J12" s="81"/>
    </row>
    <row r="13" spans="1:13" ht="17.45" customHeight="1">
      <c r="A13">
        <v>9</v>
      </c>
      <c r="B13" s="2089" t="s">
        <v>185</v>
      </c>
      <c r="C13" s="2102" t="e">
        <f>+#REF!+#REF!</f>
        <v>#REF!</v>
      </c>
      <c r="D13" s="3337" t="e">
        <f>VLOOKUP(B13,#REF!,12,0)</f>
        <v>#REF!</v>
      </c>
      <c r="E13" s="3269" t="e">
        <f t="shared" si="1"/>
        <v>#REF!</v>
      </c>
      <c r="F13" s="3270" t="e">
        <f>+#REF!+#REF!</f>
        <v>#REF!</v>
      </c>
      <c r="G13" s="3337" t="e">
        <f>VLOOKUP(B13,#REF!,14,0)</f>
        <v>#REF!</v>
      </c>
      <c r="H13" s="3269" t="e">
        <f t="shared" si="2"/>
        <v>#REF!</v>
      </c>
      <c r="J13" s="81"/>
    </row>
    <row r="14" spans="1:13" ht="17.45" customHeight="1">
      <c r="A14">
        <v>10</v>
      </c>
      <c r="B14" s="2089" t="s">
        <v>186</v>
      </c>
      <c r="C14" s="2102" t="e">
        <f>+#REF!+#REF!</f>
        <v>#REF!</v>
      </c>
      <c r="D14" s="3337" t="e">
        <f>VLOOKUP(B14,#REF!,12,0)</f>
        <v>#REF!</v>
      </c>
      <c r="E14" s="3269" t="e">
        <f t="shared" si="1"/>
        <v>#REF!</v>
      </c>
      <c r="F14" s="2102" t="e">
        <f>+#REF!+#REF!</f>
        <v>#REF!</v>
      </c>
      <c r="G14" s="3337" t="e">
        <f>VLOOKUP(B14,#REF!,14,0)</f>
        <v>#REF!</v>
      </c>
      <c r="H14" s="3269" t="e">
        <f t="shared" si="2"/>
        <v>#REF!</v>
      </c>
      <c r="J14" s="81"/>
    </row>
    <row r="15" spans="1:13" ht="17.45" customHeight="1">
      <c r="A15">
        <v>11</v>
      </c>
      <c r="B15" s="2089" t="s">
        <v>187</v>
      </c>
      <c r="C15" s="2102" t="e">
        <f>+#REF!+#REF!</f>
        <v>#REF!</v>
      </c>
      <c r="D15" s="3337" t="e">
        <f>VLOOKUP(B15,#REF!,12,0)</f>
        <v>#REF!</v>
      </c>
      <c r="E15" s="3269" t="e">
        <f t="shared" si="1"/>
        <v>#REF!</v>
      </c>
      <c r="F15" s="2102" t="e">
        <f>+#REF!+#REF!</f>
        <v>#REF!</v>
      </c>
      <c r="G15" s="3337" t="e">
        <f>VLOOKUP(B15,#REF!,14,0)</f>
        <v>#REF!</v>
      </c>
      <c r="H15" s="3269" t="e">
        <f t="shared" si="2"/>
        <v>#REF!</v>
      </c>
      <c r="I15" s="99" t="e">
        <f>+F15/F23*100</f>
        <v>#REF!</v>
      </c>
      <c r="J15" s="81"/>
    </row>
    <row r="16" spans="1:13" ht="17.45" customHeight="1">
      <c r="A16">
        <v>12</v>
      </c>
      <c r="B16" s="2089" t="s">
        <v>189</v>
      </c>
      <c r="C16" s="2102" t="e">
        <f>+#REF!+#REF!</f>
        <v>#REF!</v>
      </c>
      <c r="D16" s="3337" t="e">
        <f>VLOOKUP(B16,#REF!,12,0)</f>
        <v>#REF!</v>
      </c>
      <c r="E16" s="3269" t="e">
        <f t="shared" si="1"/>
        <v>#REF!</v>
      </c>
      <c r="F16" s="2102" t="e">
        <f>+#REF!+#REF!</f>
        <v>#REF!</v>
      </c>
      <c r="G16" s="3337" t="e">
        <f>VLOOKUP(B16,#REF!,14,0)</f>
        <v>#REF!</v>
      </c>
      <c r="H16" s="3269" t="e">
        <f t="shared" si="2"/>
        <v>#REF!</v>
      </c>
      <c r="I16" s="153"/>
      <c r="J16" s="81"/>
    </row>
    <row r="17" spans="1:10" ht="17.45" customHeight="1">
      <c r="A17">
        <v>13</v>
      </c>
      <c r="B17" s="2089" t="s">
        <v>190</v>
      </c>
      <c r="C17" s="2102" t="e">
        <f>+#REF!+#REF!</f>
        <v>#REF!</v>
      </c>
      <c r="D17" s="3337" t="e">
        <f>VLOOKUP(B17,#REF!,12,0)</f>
        <v>#REF!</v>
      </c>
      <c r="E17" s="3269" t="e">
        <f t="shared" si="1"/>
        <v>#REF!</v>
      </c>
      <c r="F17" s="2102" t="e">
        <f>+#REF!+#REF!</f>
        <v>#REF!</v>
      </c>
      <c r="G17" s="3337" t="e">
        <f>VLOOKUP(B17,#REF!,14,0)</f>
        <v>#REF!</v>
      </c>
      <c r="H17" s="3269" t="e">
        <f t="shared" si="2"/>
        <v>#REF!</v>
      </c>
      <c r="J17" s="81"/>
    </row>
    <row r="18" spans="1:10" ht="17.45" customHeight="1">
      <c r="A18">
        <v>14</v>
      </c>
      <c r="B18" s="2089" t="s">
        <v>191</v>
      </c>
      <c r="C18" s="2102" t="e">
        <f>+#REF!+#REF!</f>
        <v>#REF!</v>
      </c>
      <c r="D18" s="3337" t="e">
        <f>VLOOKUP(B18,#REF!,12,0)</f>
        <v>#REF!</v>
      </c>
      <c r="E18" s="3269" t="e">
        <f t="shared" si="1"/>
        <v>#REF!</v>
      </c>
      <c r="F18" s="2102" t="e">
        <f>+#REF!+#REF!</f>
        <v>#REF!</v>
      </c>
      <c r="G18" s="3337" t="e">
        <f>VLOOKUP(B18,#REF!,14,0)</f>
        <v>#REF!</v>
      </c>
      <c r="H18" s="3269" t="e">
        <f t="shared" si="2"/>
        <v>#REF!</v>
      </c>
      <c r="J18" s="81"/>
    </row>
    <row r="19" spans="1:10" ht="17.45" customHeight="1">
      <c r="A19">
        <v>15</v>
      </c>
      <c r="B19" s="2089" t="s">
        <v>192</v>
      </c>
      <c r="C19" s="2102" t="e">
        <f>+#REF!+#REF!</f>
        <v>#REF!</v>
      </c>
      <c r="D19" s="3337" t="e">
        <f>VLOOKUP(B19,#REF!,12,0)</f>
        <v>#REF!</v>
      </c>
      <c r="E19" s="3269" t="e">
        <f t="shared" si="1"/>
        <v>#REF!</v>
      </c>
      <c r="F19" s="2102" t="e">
        <f>+#REF!+#REF!</f>
        <v>#REF!</v>
      </c>
      <c r="G19" s="3337" t="e">
        <f>VLOOKUP(B19,#REF!,14,0)</f>
        <v>#REF!</v>
      </c>
      <c r="H19" s="3269" t="e">
        <f t="shared" si="2"/>
        <v>#REF!</v>
      </c>
      <c r="J19" s="58"/>
    </row>
    <row r="20" spans="1:10" ht="17.45" customHeight="1">
      <c r="A20">
        <v>16</v>
      </c>
      <c r="B20" s="2089" t="s">
        <v>193</v>
      </c>
      <c r="C20" s="2102" t="e">
        <f>+#REF!+#REF!</f>
        <v>#REF!</v>
      </c>
      <c r="D20" s="3337" t="e">
        <f>VLOOKUP(B20,#REF!,12,0)</f>
        <v>#REF!</v>
      </c>
      <c r="E20" s="3269" t="e">
        <f t="shared" si="1"/>
        <v>#REF!</v>
      </c>
      <c r="F20" s="2102" t="e">
        <f>+#REF!+#REF!</f>
        <v>#REF!</v>
      </c>
      <c r="G20" s="3337" t="e">
        <f>VLOOKUP(B20,#REF!,14,0)</f>
        <v>#REF!</v>
      </c>
      <c r="H20" s="3269" t="e">
        <f t="shared" si="2"/>
        <v>#REF!</v>
      </c>
      <c r="I20" s="121"/>
      <c r="J20" s="81"/>
    </row>
    <row r="21" spans="1:10" ht="17.45" customHeight="1">
      <c r="A21">
        <v>17</v>
      </c>
      <c r="B21" s="2089" t="s">
        <v>194</v>
      </c>
      <c r="C21" s="2102" t="e">
        <f>+#REF!+#REF!</f>
        <v>#REF!</v>
      </c>
      <c r="D21" s="3337" t="e">
        <f>VLOOKUP(B21,#REF!,12,0)</f>
        <v>#REF!</v>
      </c>
      <c r="E21" s="3269" t="e">
        <f t="shared" si="1"/>
        <v>#REF!</v>
      </c>
      <c r="F21" s="2102" t="e">
        <f>+#REF!+#REF!</f>
        <v>#REF!</v>
      </c>
      <c r="G21" s="3337" t="e">
        <f>VLOOKUP(B21,#REF!,14,0)</f>
        <v>#REF!</v>
      </c>
      <c r="H21" s="3269" t="e">
        <f t="shared" si="2"/>
        <v>#REF!</v>
      </c>
      <c r="J21" s="58"/>
    </row>
    <row r="22" spans="1:10" ht="17.45" customHeight="1">
      <c r="A22">
        <v>18</v>
      </c>
      <c r="B22" s="2089" t="s">
        <v>195</v>
      </c>
      <c r="C22" s="2102" t="e">
        <f>+#REF!+#REF!</f>
        <v>#REF!</v>
      </c>
      <c r="D22" s="3337" t="e">
        <f>VLOOKUP(B22,#REF!,12,0)</f>
        <v>#REF!</v>
      </c>
      <c r="E22" s="3269" t="e">
        <f t="shared" si="1"/>
        <v>#REF!</v>
      </c>
      <c r="F22" s="2102" t="e">
        <f>+#REF!+#REF!</f>
        <v>#REF!</v>
      </c>
      <c r="G22" s="3337" t="e">
        <f>VLOOKUP(B22,#REF!,14,0)</f>
        <v>#REF!</v>
      </c>
      <c r="H22" s="3269" t="e">
        <f t="shared" si="2"/>
        <v>#REF!</v>
      </c>
      <c r="I22" s="99" t="e">
        <f>+F22/F23*100</f>
        <v>#REF!</v>
      </c>
      <c r="J22" s="58"/>
    </row>
    <row r="23" spans="1:10" ht="17.45" customHeight="1">
      <c r="B23" s="2089" t="s">
        <v>158</v>
      </c>
      <c r="C23" s="2102" t="e">
        <f t="shared" ref="C23:H23" si="3">SUM(C5:C22)</f>
        <v>#REF!</v>
      </c>
      <c r="D23" s="2102" t="e">
        <f t="shared" si="3"/>
        <v>#REF!</v>
      </c>
      <c r="E23" s="2102" t="e">
        <f t="shared" si="3"/>
        <v>#REF!</v>
      </c>
      <c r="F23" s="2102" t="e">
        <f t="shared" si="3"/>
        <v>#REF!</v>
      </c>
      <c r="G23" s="2102" t="e">
        <f t="shared" si="3"/>
        <v>#REF!</v>
      </c>
      <c r="H23" s="2102" t="e">
        <f t="shared" si="3"/>
        <v>#REF!</v>
      </c>
      <c r="J23" s="58"/>
    </row>
    <row r="24" spans="1:10">
      <c r="B24" s="4"/>
      <c r="C24" s="4"/>
      <c r="F24" s="5"/>
      <c r="G24" s="5"/>
      <c r="H24" s="5"/>
    </row>
    <row r="25" spans="1:10">
      <c r="F25" s="16"/>
      <c r="G25" s="16"/>
      <c r="H25" s="16"/>
    </row>
    <row r="26" spans="1:10">
      <c r="B26" s="36" t="s">
        <v>891</v>
      </c>
    </row>
    <row r="27" spans="1:10">
      <c r="B27" s="3" t="s">
        <v>892</v>
      </c>
    </row>
    <row r="28" spans="1:10">
      <c r="B28" s="36" t="s">
        <v>893</v>
      </c>
    </row>
    <row r="29" spans="1:10">
      <c r="B29" s="36" t="s">
        <v>894</v>
      </c>
      <c r="F29" s="16"/>
      <c r="G29" s="16"/>
      <c r="H29" s="16"/>
    </row>
    <row r="30" spans="1:10">
      <c r="B30" s="36" t="s">
        <v>895</v>
      </c>
    </row>
    <row r="31" spans="1:10">
      <c r="B31" s="2" t="s">
        <v>896</v>
      </c>
      <c r="F31" s="10"/>
      <c r="G31" s="10"/>
      <c r="H31" s="10"/>
    </row>
    <row r="32" spans="1:10">
      <c r="B32" s="2" t="s">
        <v>897</v>
      </c>
    </row>
    <row r="33" spans="6:6">
      <c r="F33" t="e">
        <f>+F11/F23*100</f>
        <v>#REF!</v>
      </c>
    </row>
    <row r="34" spans="6:6">
      <c r="F34" t="e">
        <f>+F20/F23*100</f>
        <v>#REF!</v>
      </c>
    </row>
  </sheetData>
  <customSheetViews>
    <customSheetView guid="{5E394B0B-7867-4722-9497-A93AB2A9A773}" showPageBreaks="1" state="hidden">
      <selection activeCell="C8" sqref="C8"/>
      <pageMargins left="0" right="0" top="0" bottom="0" header="0" footer="0"/>
      <pageSetup scale="92" orientation="landscape" r:id="rId1"/>
    </customSheetView>
    <customSheetView guid="{B1E1B596-A9A1-411D-A882-A48CB025B978}" state="hidden">
      <selection activeCell="C8" sqref="C8"/>
      <pageMargins left="0" right="0" top="0" bottom="0" header="0" footer="0"/>
      <pageSetup scale="92" orientation="landscape" r:id="rId2"/>
    </customSheetView>
    <customSheetView guid="{E82B35BE-4719-4C53-A9EF-1CC6F153A6F3}" state="hidden">
      <selection activeCell="C8" sqref="C8"/>
      <pageMargins left="0" right="0" top="0" bottom="0" header="0" footer="0"/>
      <pageSetup scale="92" orientation="landscape" r:id="rId3"/>
    </customSheetView>
    <customSheetView guid="{46F31544-8E6F-41C5-8628-1D6EE074AF15}" state="hidden">
      <selection activeCell="C8" sqref="C8"/>
      <pageMargins left="0" right="0" top="0" bottom="0" header="0" footer="0"/>
      <pageSetup scale="92" orientation="landscape" r:id="rId4"/>
    </customSheetView>
    <customSheetView guid="{B2E1A0C6-5BA1-4CF1-B412-16D81FCDF11F}" state="hidden">
      <selection activeCell="C8" sqref="C8"/>
      <pageMargins left="0" right="0" top="0" bottom="0" header="0" footer="0"/>
      <pageSetup scale="92" orientation="landscape" r:id="rId5"/>
    </customSheetView>
    <customSheetView guid="{967E0446-E234-427F-8E57-7FE287052E2E}" showPageBreaks="1" state="hidden">
      <selection activeCell="C8" sqref="C8"/>
      <pageMargins left="0" right="0" top="0" bottom="0" header="0" footer="0"/>
      <pageSetup scale="92" orientation="landscape" r:id="rId6"/>
    </customSheetView>
    <customSheetView guid="{2ACFE167-4169-43A6-9AB2-59D5A2DA2DB4}" showPageBreaks="1" state="hidden">
      <selection activeCell="C8" sqref="C8"/>
      <pageMargins left="0" right="0" top="0" bottom="0" header="0" footer="0"/>
      <pageSetup scale="92" orientation="landscape" r:id="rId7"/>
    </customSheetView>
  </customSheetViews>
  <mergeCells count="3">
    <mergeCell ref="B3:B4"/>
    <mergeCell ref="C3:E3"/>
    <mergeCell ref="F3:H3"/>
  </mergeCells>
  <hyperlinks>
    <hyperlink ref="B1" location="'List of tables'!A1" display="'List of tables'!A1"/>
  </hyperlinks>
  <pageMargins left="0.31" right="0.2" top="0.65" bottom="0.75" header="0.3" footer="0.3"/>
  <pageSetup scale="92" orientation="landscape" r:id="rId8"/>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tabColor rgb="FFFF0000"/>
  </sheetPr>
  <dimension ref="A1:AE149"/>
  <sheetViews>
    <sheetView workbookViewId="0">
      <pane xSplit="2" ySplit="5" topLeftCell="C21" activePane="bottomRight" state="frozen"/>
      <selection pane="topRight" activeCell="C1" sqref="C1"/>
      <selection pane="bottomLeft" activeCell="A6" sqref="A6"/>
      <selection pane="bottomRight" activeCell="F94" sqref="F94"/>
    </sheetView>
  </sheetViews>
  <sheetFormatPr defaultRowHeight="15"/>
  <cols>
    <col min="1" max="1" width="5.140625" customWidth="1"/>
    <col min="2" max="2" width="19" customWidth="1"/>
    <col min="3" max="4" width="13.140625" customWidth="1"/>
    <col min="5" max="5" width="16.140625" customWidth="1"/>
    <col min="6" max="7" width="13.140625" customWidth="1"/>
    <col min="8" max="8" width="15" customWidth="1"/>
    <col min="9" max="10" width="12.42578125" customWidth="1"/>
    <col min="11" max="11" width="15.28515625" customWidth="1"/>
    <col min="12" max="12" width="12" customWidth="1"/>
    <col min="13" max="13" width="11.85546875" customWidth="1"/>
    <col min="14" max="14" width="14.140625" customWidth="1"/>
    <col min="15" max="15" width="10.42578125" customWidth="1"/>
    <col min="16" max="16" width="12.140625" customWidth="1"/>
    <col min="17" max="17" width="15.140625" customWidth="1"/>
    <col min="18" max="19" width="13.140625" customWidth="1"/>
    <col min="20" max="20" width="14.85546875" customWidth="1"/>
  </cols>
  <sheetData>
    <row r="1" spans="1:31">
      <c r="B1" s="150" t="s">
        <v>594</v>
      </c>
    </row>
    <row r="2" spans="1:31">
      <c r="C2" s="104"/>
      <c r="D2" t="s">
        <v>964</v>
      </c>
    </row>
    <row r="3" spans="1:31" ht="15" customHeight="1">
      <c r="B3" s="3111" t="s">
        <v>865</v>
      </c>
    </row>
    <row r="4" spans="1:31">
      <c r="B4" s="3848" t="s">
        <v>709</v>
      </c>
      <c r="C4" s="3958" t="s">
        <v>118</v>
      </c>
      <c r="D4" s="3958"/>
      <c r="E4" s="3958"/>
      <c r="F4" s="3944" t="s">
        <v>412</v>
      </c>
      <c r="G4" s="3944"/>
      <c r="H4" s="3944"/>
      <c r="I4" s="3948" t="s">
        <v>413</v>
      </c>
      <c r="J4" s="3948"/>
      <c r="K4" s="3948"/>
      <c r="L4" s="3925" t="s">
        <v>414</v>
      </c>
      <c r="M4" s="3925"/>
      <c r="N4" s="3925"/>
      <c r="O4" s="3948" t="s">
        <v>701</v>
      </c>
      <c r="P4" s="3948"/>
      <c r="Q4" s="3948"/>
      <c r="R4" s="3948" t="s">
        <v>416</v>
      </c>
      <c r="S4" s="3948"/>
      <c r="T4" s="3948"/>
    </row>
    <row r="5" spans="1:31">
      <c r="B5" s="3848"/>
      <c r="C5" s="3327" t="s">
        <v>965</v>
      </c>
      <c r="D5" s="3327" t="s">
        <v>966</v>
      </c>
      <c r="E5" s="3327" t="s">
        <v>967</v>
      </c>
      <c r="F5" s="3327" t="s">
        <v>965</v>
      </c>
      <c r="G5" s="3327" t="s">
        <v>966</v>
      </c>
      <c r="H5" s="3327" t="s">
        <v>967</v>
      </c>
      <c r="I5" s="3327" t="s">
        <v>965</v>
      </c>
      <c r="J5" s="3327" t="s">
        <v>966</v>
      </c>
      <c r="K5" s="3327" t="s">
        <v>967</v>
      </c>
      <c r="L5" s="3327" t="s">
        <v>965</v>
      </c>
      <c r="M5" s="3327" t="s">
        <v>966</v>
      </c>
      <c r="N5" s="3327" t="s">
        <v>967</v>
      </c>
      <c r="O5" s="3327" t="s">
        <v>965</v>
      </c>
      <c r="P5" s="3327" t="s">
        <v>966</v>
      </c>
      <c r="Q5" s="3327" t="s">
        <v>967</v>
      </c>
      <c r="R5" s="3327" t="s">
        <v>965</v>
      </c>
      <c r="S5" s="3327" t="s">
        <v>966</v>
      </c>
      <c r="T5" s="3327" t="s">
        <v>967</v>
      </c>
    </row>
    <row r="6" spans="1:31">
      <c r="A6" s="58">
        <v>1</v>
      </c>
      <c r="B6" s="2938" t="s">
        <v>175</v>
      </c>
      <c r="C6" s="3329">
        <f t="shared" ref="C6:C24" si="0">+F6+I6+L6+O6+R6</f>
        <v>0</v>
      </c>
      <c r="D6" s="3329">
        <f t="shared" ref="D6:D24" si="1">+G6+J6+M6+P6+S6</f>
        <v>0</v>
      </c>
      <c r="E6" s="3329">
        <f t="shared" ref="E6:E24" si="2">+H6+K6+N6+Q6+T6</f>
        <v>155261968.32100001</v>
      </c>
      <c r="F6" s="3330"/>
      <c r="G6" s="3330"/>
      <c r="H6" s="3330">
        <v>67546227.827000007</v>
      </c>
      <c r="I6" s="3331"/>
      <c r="J6" s="3331"/>
      <c r="K6" s="3331">
        <v>52915298.023999996</v>
      </c>
      <c r="L6" s="3260"/>
      <c r="M6" s="3260"/>
      <c r="N6" s="3260">
        <v>21475227.905000001</v>
      </c>
      <c r="O6" s="3331"/>
      <c r="P6" s="3331"/>
      <c r="Q6" s="3331">
        <v>129250</v>
      </c>
      <c r="R6" s="3331"/>
      <c r="S6" s="3331"/>
      <c r="T6" s="3331">
        <v>13195964.564999999</v>
      </c>
    </row>
    <row r="7" spans="1:31" s="72" customFormat="1">
      <c r="A7" s="71">
        <v>2</v>
      </c>
      <c r="B7" s="3268" t="s">
        <v>177</v>
      </c>
      <c r="C7" s="3334">
        <f t="shared" si="0"/>
        <v>0</v>
      </c>
      <c r="D7" s="3334">
        <f t="shared" si="1"/>
        <v>0</v>
      </c>
      <c r="E7" s="3334">
        <f t="shared" si="2"/>
        <v>0</v>
      </c>
      <c r="F7" s="3335"/>
      <c r="G7" s="3335"/>
      <c r="H7" s="3335"/>
      <c r="I7" s="3261"/>
      <c r="J7" s="3261"/>
      <c r="K7" s="3261"/>
      <c r="L7" s="3261"/>
      <c r="M7" s="3261"/>
      <c r="N7" s="3261"/>
      <c r="O7" s="3261"/>
      <c r="P7" s="3261"/>
      <c r="Q7" s="3261"/>
      <c r="R7" s="3261"/>
      <c r="S7" s="3261"/>
      <c r="T7" s="3261"/>
      <c r="X7" s="73"/>
      <c r="Y7" s="73"/>
      <c r="Z7" s="73"/>
      <c r="AA7" s="73"/>
      <c r="AB7" s="73"/>
      <c r="AC7" s="73"/>
      <c r="AD7" s="73"/>
      <c r="AE7" s="73"/>
    </row>
    <row r="8" spans="1:31">
      <c r="A8" s="81">
        <v>3</v>
      </c>
      <c r="B8" s="2938" t="s">
        <v>179</v>
      </c>
      <c r="C8" s="2932">
        <f t="shared" si="0"/>
        <v>0</v>
      </c>
      <c r="D8" s="2932">
        <f t="shared" si="1"/>
        <v>0</v>
      </c>
      <c r="E8" s="2932">
        <f>+H8+K8+N8+Q8+T8</f>
        <v>552079649</v>
      </c>
      <c r="F8" s="3157"/>
      <c r="G8" s="3157"/>
      <c r="H8" s="3157">
        <v>389596805</v>
      </c>
      <c r="I8" s="2818"/>
      <c r="J8" s="2818"/>
      <c r="K8" s="2818">
        <v>50519497</v>
      </c>
      <c r="L8" s="2818"/>
      <c r="M8" s="2818"/>
      <c r="N8" s="2818">
        <v>85505991</v>
      </c>
      <c r="O8" s="2818"/>
      <c r="P8" s="2818"/>
      <c r="Q8" s="2818">
        <v>5601926</v>
      </c>
      <c r="R8" s="2818"/>
      <c r="S8" s="2818"/>
      <c r="T8" s="2818">
        <v>20855430</v>
      </c>
      <c r="X8" s="45"/>
      <c r="Y8" s="45"/>
      <c r="Z8" s="45"/>
      <c r="AA8" s="45"/>
      <c r="AB8" s="45"/>
      <c r="AC8" s="45"/>
      <c r="AD8" s="45"/>
      <c r="AE8" s="45"/>
    </row>
    <row r="9" spans="1:31">
      <c r="A9" s="58">
        <v>4</v>
      </c>
      <c r="B9" s="2938" t="s">
        <v>180</v>
      </c>
      <c r="C9" s="3329">
        <f t="shared" si="0"/>
        <v>0</v>
      </c>
      <c r="D9" s="3329">
        <f t="shared" si="1"/>
        <v>0</v>
      </c>
      <c r="E9" s="3329">
        <f t="shared" si="2"/>
        <v>137391718.84241453</v>
      </c>
      <c r="F9" s="3330"/>
      <c r="G9" s="3330"/>
      <c r="H9" s="3330">
        <v>59048362.970342204</v>
      </c>
      <c r="I9" s="2818"/>
      <c r="J9" s="2818"/>
      <c r="K9" s="2818">
        <v>27506033.951643102</v>
      </c>
      <c r="L9" s="3262"/>
      <c r="M9" s="3262"/>
      <c r="N9" s="3262">
        <v>34213918.724090002</v>
      </c>
      <c r="O9" s="2818"/>
      <c r="P9" s="2818"/>
      <c r="Q9" s="2818">
        <v>2088004.7247899999</v>
      </c>
      <c r="R9" s="2818"/>
      <c r="S9" s="2818"/>
      <c r="T9" s="2818">
        <v>14535398.4715492</v>
      </c>
      <c r="X9" s="45"/>
      <c r="Y9" s="45"/>
      <c r="Z9" s="45"/>
      <c r="AA9" s="45"/>
      <c r="AB9" s="45"/>
      <c r="AC9" s="45"/>
      <c r="AD9" s="45"/>
      <c r="AE9" s="45"/>
    </row>
    <row r="10" spans="1:31">
      <c r="A10" s="58">
        <v>5</v>
      </c>
      <c r="B10" s="2939" t="s">
        <v>181</v>
      </c>
      <c r="C10" s="3329">
        <f t="shared" si="0"/>
        <v>0</v>
      </c>
      <c r="D10" s="3329">
        <f t="shared" si="1"/>
        <v>0</v>
      </c>
      <c r="E10" s="3329">
        <f t="shared" si="2"/>
        <v>2227719241.5501599</v>
      </c>
      <c r="F10" s="3330"/>
      <c r="G10" s="3330"/>
      <c r="H10" s="3330">
        <v>1015284359.35069</v>
      </c>
      <c r="I10" s="2818"/>
      <c r="J10" s="2818"/>
      <c r="K10" s="2818">
        <v>453302964.21616</v>
      </c>
      <c r="L10" s="3262"/>
      <c r="M10" s="3262"/>
      <c r="N10" s="3262">
        <v>28517949.83278</v>
      </c>
      <c r="O10" s="2818"/>
      <c r="P10" s="2818"/>
      <c r="Q10" s="2818">
        <v>4687242.3669999996</v>
      </c>
      <c r="R10" s="2818"/>
      <c r="S10" s="2818"/>
      <c r="T10" s="2818">
        <v>725926725.78353</v>
      </c>
      <c r="X10" s="45"/>
      <c r="Y10" s="45"/>
      <c r="Z10" s="45"/>
      <c r="AA10" s="45"/>
      <c r="AB10" s="45"/>
      <c r="AC10" s="45"/>
      <c r="AD10" s="45"/>
      <c r="AE10" s="45"/>
    </row>
    <row r="11" spans="1:31">
      <c r="A11" s="58">
        <v>6</v>
      </c>
      <c r="B11" s="2939" t="s">
        <v>182</v>
      </c>
      <c r="C11" s="3329">
        <f t="shared" si="0"/>
        <v>0</v>
      </c>
      <c r="D11" s="3329">
        <f t="shared" si="1"/>
        <v>0</v>
      </c>
      <c r="E11" s="3329">
        <f t="shared" si="2"/>
        <v>183272414.91034004</v>
      </c>
      <c r="F11" s="3330"/>
      <c r="G11" s="3330"/>
      <c r="H11" s="3330">
        <v>96330854.203310013</v>
      </c>
      <c r="I11" s="2818"/>
      <c r="J11" s="2818"/>
      <c r="K11" s="2818">
        <v>10940822.359610001</v>
      </c>
      <c r="L11" s="3262"/>
      <c r="M11" s="3262"/>
      <c r="N11" s="3262">
        <v>65589728.259999998</v>
      </c>
      <c r="O11" s="2818"/>
      <c r="P11" s="2818"/>
      <c r="Q11" s="2818">
        <v>702890.93200000003</v>
      </c>
      <c r="R11" s="2818"/>
      <c r="S11" s="2818"/>
      <c r="T11" s="2818">
        <v>9708119.1554200016</v>
      </c>
      <c r="X11" s="45"/>
      <c r="Y11" s="45"/>
      <c r="Z11" s="45"/>
      <c r="AA11" s="45"/>
      <c r="AB11" s="45"/>
      <c r="AC11" s="45"/>
      <c r="AD11" s="45"/>
      <c r="AE11" s="45"/>
    </row>
    <row r="12" spans="1:31">
      <c r="A12" s="58">
        <v>7</v>
      </c>
      <c r="B12" s="2938" t="s">
        <v>183</v>
      </c>
      <c r="C12" s="3329">
        <f t="shared" si="0"/>
        <v>0</v>
      </c>
      <c r="D12" s="3329">
        <f t="shared" si="1"/>
        <v>0</v>
      </c>
      <c r="E12" s="3329">
        <f t="shared" si="2"/>
        <v>1556420375.9319999</v>
      </c>
      <c r="F12" s="3330"/>
      <c r="G12" s="3330"/>
      <c r="H12" s="3330">
        <v>669827113.49100006</v>
      </c>
      <c r="I12" s="2818"/>
      <c r="J12" s="2818"/>
      <c r="K12" s="2818">
        <v>284098602.40200001</v>
      </c>
      <c r="L12" s="3262"/>
      <c r="M12" s="3262"/>
      <c r="N12" s="3262">
        <v>306293049.83700001</v>
      </c>
      <c r="O12" s="2818"/>
      <c r="P12" s="2818"/>
      <c r="Q12" s="2818">
        <v>28509122.234999999</v>
      </c>
      <c r="R12" s="2818"/>
      <c r="S12" s="2818"/>
      <c r="T12" s="2818">
        <v>267692487.96700001</v>
      </c>
      <c r="X12" s="45"/>
      <c r="Y12" s="45"/>
      <c r="Z12" s="45"/>
      <c r="AA12" s="45"/>
      <c r="AB12" s="45"/>
      <c r="AC12" s="45"/>
      <c r="AD12" s="45"/>
      <c r="AE12" s="45"/>
    </row>
    <row r="13" spans="1:31">
      <c r="A13" s="58">
        <v>8</v>
      </c>
      <c r="B13" s="2938" t="s">
        <v>184</v>
      </c>
      <c r="C13" s="3329">
        <f t="shared" si="0"/>
        <v>0</v>
      </c>
      <c r="D13" s="3329">
        <f t="shared" si="1"/>
        <v>0</v>
      </c>
      <c r="E13" s="3329">
        <f t="shared" si="2"/>
        <v>144952582.10084295</v>
      </c>
      <c r="F13" s="3330"/>
      <c r="G13" s="3330"/>
      <c r="H13" s="3330">
        <v>40282621.582842968</v>
      </c>
      <c r="I13" s="2818"/>
      <c r="J13" s="2818"/>
      <c r="K13" s="2818">
        <v>4496494.0429999996</v>
      </c>
      <c r="L13" s="3262"/>
      <c r="M13" s="3262"/>
      <c r="N13" s="3262">
        <v>1347331.5220000001</v>
      </c>
      <c r="O13" s="2818"/>
      <c r="P13" s="2818"/>
      <c r="Q13" s="2818">
        <v>4473427.3229999999</v>
      </c>
      <c r="R13" s="2818"/>
      <c r="S13" s="2818"/>
      <c r="T13" s="2818">
        <v>94352707.629999995</v>
      </c>
      <c r="X13" s="45"/>
      <c r="Y13" s="45"/>
      <c r="Z13" s="45"/>
      <c r="AA13" s="45"/>
      <c r="AB13" s="45"/>
      <c r="AC13" s="45"/>
      <c r="AD13" s="45"/>
      <c r="AE13" s="45"/>
    </row>
    <row r="14" spans="1:31">
      <c r="A14" s="58">
        <v>9</v>
      </c>
      <c r="B14" s="2939" t="s">
        <v>185</v>
      </c>
      <c r="C14" s="3329">
        <f t="shared" si="0"/>
        <v>0</v>
      </c>
      <c r="D14" s="3329">
        <f t="shared" si="1"/>
        <v>0</v>
      </c>
      <c r="E14" s="3329">
        <f t="shared" si="2"/>
        <v>0</v>
      </c>
      <c r="F14" s="3330"/>
      <c r="G14" s="3330"/>
      <c r="H14" s="3330"/>
      <c r="I14" s="2818"/>
      <c r="J14" s="2818"/>
      <c r="K14" s="2818"/>
      <c r="L14" s="3262"/>
      <c r="M14" s="3262"/>
      <c r="N14" s="3262"/>
      <c r="O14" s="2818"/>
      <c r="P14" s="2818"/>
      <c r="Q14" s="2818"/>
      <c r="R14" s="2818"/>
      <c r="S14" s="2818"/>
      <c r="T14" s="2818"/>
      <c r="X14" s="45"/>
      <c r="Y14" s="45"/>
      <c r="Z14" s="45"/>
      <c r="AA14" s="45"/>
      <c r="AB14" s="45"/>
      <c r="AC14" s="45"/>
      <c r="AD14" s="45"/>
      <c r="AE14" s="45"/>
    </row>
    <row r="15" spans="1:31">
      <c r="A15" s="81">
        <v>10</v>
      </c>
      <c r="B15" s="2089" t="s">
        <v>186</v>
      </c>
      <c r="C15" s="2932">
        <f t="shared" si="0"/>
        <v>0</v>
      </c>
      <c r="D15" s="2932">
        <f t="shared" si="1"/>
        <v>0</v>
      </c>
      <c r="E15" s="2932">
        <f t="shared" si="2"/>
        <v>339370407.18681997</v>
      </c>
      <c r="F15" s="3157"/>
      <c r="G15" s="3157"/>
      <c r="H15" s="3157">
        <v>178734010.85914999</v>
      </c>
      <c r="I15" s="2818"/>
      <c r="J15" s="2818"/>
      <c r="K15" s="2818">
        <v>23423647.76709</v>
      </c>
      <c r="L15" s="2818"/>
      <c r="M15" s="2818"/>
      <c r="N15" s="2818">
        <v>78880597.380999997</v>
      </c>
      <c r="O15" s="2818"/>
      <c r="P15" s="2818"/>
      <c r="Q15" s="2818">
        <v>12450424.24327</v>
      </c>
      <c r="R15" s="2818"/>
      <c r="S15" s="2818"/>
      <c r="T15" s="2818">
        <v>45881726.936310001</v>
      </c>
      <c r="X15" s="45"/>
      <c r="Y15" s="45"/>
      <c r="Z15" s="45"/>
      <c r="AA15" s="45"/>
      <c r="AB15" s="45"/>
      <c r="AC15" s="45"/>
      <c r="AD15" s="45"/>
      <c r="AE15" s="45"/>
    </row>
    <row r="16" spans="1:31">
      <c r="A16" s="81">
        <v>11</v>
      </c>
      <c r="B16" s="2938" t="s">
        <v>187</v>
      </c>
      <c r="C16" s="2932">
        <f t="shared" si="0"/>
        <v>0</v>
      </c>
      <c r="D16" s="2932">
        <f t="shared" si="1"/>
        <v>0</v>
      </c>
      <c r="E16" s="2932">
        <f t="shared" si="2"/>
        <v>475478193</v>
      </c>
      <c r="F16" s="3157"/>
      <c r="G16" s="3157"/>
      <c r="H16" s="3157">
        <v>126014848</v>
      </c>
      <c r="I16" s="2818"/>
      <c r="J16" s="2818"/>
      <c r="K16" s="2818">
        <v>152873804</v>
      </c>
      <c r="L16" s="2818"/>
      <c r="M16" s="2818"/>
      <c r="N16" s="2818">
        <v>96343031</v>
      </c>
      <c r="O16" s="2818"/>
      <c r="P16" s="2818"/>
      <c r="Q16" s="2818"/>
      <c r="R16" s="2818"/>
      <c r="S16" s="2818"/>
      <c r="T16" s="2818">
        <v>100246510</v>
      </c>
      <c r="X16" s="45"/>
      <c r="Y16" s="45"/>
      <c r="Z16" s="45"/>
      <c r="AA16" s="45"/>
      <c r="AB16" s="45"/>
      <c r="AC16" s="45"/>
      <c r="AD16" s="45"/>
      <c r="AE16" s="45"/>
    </row>
    <row r="17" spans="1:31">
      <c r="A17" s="58">
        <v>12</v>
      </c>
      <c r="B17" s="2938" t="s">
        <v>189</v>
      </c>
      <c r="C17" s="3329">
        <f t="shared" si="0"/>
        <v>0</v>
      </c>
      <c r="D17" s="3329">
        <f t="shared" si="1"/>
        <v>0</v>
      </c>
      <c r="E17" s="3329">
        <f t="shared" si="2"/>
        <v>21202688</v>
      </c>
      <c r="F17" s="3330"/>
      <c r="G17" s="3330"/>
      <c r="H17" s="3330"/>
      <c r="I17" s="2818"/>
      <c r="J17" s="2818"/>
      <c r="K17" s="2818"/>
      <c r="L17" s="3262"/>
      <c r="M17" s="3262"/>
      <c r="N17" s="3262">
        <v>21202688</v>
      </c>
      <c r="O17" s="2818"/>
      <c r="P17" s="2818"/>
      <c r="Q17" s="2818"/>
      <c r="R17" s="2818"/>
      <c r="S17" s="2818"/>
      <c r="T17" s="2818"/>
      <c r="X17" s="45"/>
      <c r="Y17" s="45"/>
      <c r="Z17" s="45"/>
      <c r="AA17" s="45"/>
      <c r="AB17" s="45"/>
      <c r="AC17" s="45"/>
      <c r="AD17" s="45"/>
      <c r="AE17" s="45"/>
    </row>
    <row r="18" spans="1:31">
      <c r="A18" s="58">
        <v>13</v>
      </c>
      <c r="B18" s="2938" t="s">
        <v>190</v>
      </c>
      <c r="C18" s="3329">
        <f t="shared" si="0"/>
        <v>0</v>
      </c>
      <c r="D18" s="3329">
        <f t="shared" si="1"/>
        <v>0</v>
      </c>
      <c r="E18" s="3329">
        <f t="shared" si="2"/>
        <v>81108015.246160015</v>
      </c>
      <c r="F18" s="3330"/>
      <c r="G18" s="3330"/>
      <c r="H18" s="3330">
        <v>53160633.693790019</v>
      </c>
      <c r="I18" s="2818"/>
      <c r="J18" s="2818"/>
      <c r="K18" s="2818">
        <v>7987897.7790599996</v>
      </c>
      <c r="L18" s="3262"/>
      <c r="M18" s="3262"/>
      <c r="N18" s="3262">
        <v>7399427.5278000031</v>
      </c>
      <c r="O18" s="2818"/>
      <c r="P18" s="2818"/>
      <c r="Q18" s="2818">
        <v>0</v>
      </c>
      <c r="R18" s="2818"/>
      <c r="S18" s="2818"/>
      <c r="T18" s="2818">
        <v>12560056.245510001</v>
      </c>
      <c r="X18" s="45"/>
      <c r="Y18" s="45"/>
      <c r="Z18" s="45"/>
      <c r="AA18" s="45"/>
      <c r="AB18" s="45"/>
      <c r="AC18" s="45"/>
      <c r="AD18" s="45"/>
      <c r="AE18" s="45"/>
    </row>
    <row r="19" spans="1:31">
      <c r="A19" s="58">
        <v>14</v>
      </c>
      <c r="B19" s="2939" t="s">
        <v>192</v>
      </c>
      <c r="C19" s="3329">
        <f t="shared" si="0"/>
        <v>0</v>
      </c>
      <c r="D19" s="3329">
        <f t="shared" si="1"/>
        <v>0</v>
      </c>
      <c r="E19" s="3329">
        <f t="shared" si="2"/>
        <v>457936514.47641003</v>
      </c>
      <c r="F19" s="3330"/>
      <c r="G19" s="3330"/>
      <c r="H19" s="3330">
        <v>313009955.08511001</v>
      </c>
      <c r="I19" s="2818"/>
      <c r="J19" s="2818"/>
      <c r="K19" s="2818">
        <v>8408682.0022</v>
      </c>
      <c r="L19" s="3262"/>
      <c r="M19" s="3262"/>
      <c r="N19" s="3262">
        <v>98324566.121880025</v>
      </c>
      <c r="O19" s="2818"/>
      <c r="P19" s="2818"/>
      <c r="Q19" s="2818">
        <v>0</v>
      </c>
      <c r="R19" s="2818"/>
      <c r="S19" s="2818"/>
      <c r="T19" s="2818">
        <v>38193311.267219998</v>
      </c>
      <c r="X19" s="45"/>
      <c r="Y19" s="45"/>
      <c r="Z19" s="45"/>
      <c r="AA19" s="45"/>
      <c r="AB19" s="45"/>
      <c r="AC19" s="45"/>
      <c r="AD19" s="45"/>
      <c r="AE19" s="45"/>
    </row>
    <row r="20" spans="1:31">
      <c r="A20" s="58">
        <v>15</v>
      </c>
      <c r="B20" s="2938" t="s">
        <v>193</v>
      </c>
      <c r="C20" s="3329">
        <f t="shared" si="0"/>
        <v>0</v>
      </c>
      <c r="D20" s="3329">
        <f t="shared" si="1"/>
        <v>0</v>
      </c>
      <c r="E20" s="3329">
        <f>+H20+K20+N20+Q20+T20</f>
        <v>1973142079.9419999</v>
      </c>
      <c r="F20" s="3330"/>
      <c r="G20" s="3330"/>
      <c r="H20" s="3330">
        <v>888946393.09500003</v>
      </c>
      <c r="I20" s="2818"/>
      <c r="J20" s="2818"/>
      <c r="K20" s="2818">
        <v>651401835.40199995</v>
      </c>
      <c r="L20" s="3262"/>
      <c r="M20" s="3262"/>
      <c r="N20" s="3262">
        <v>231172179.491</v>
      </c>
      <c r="O20" s="2818"/>
      <c r="P20" s="2818"/>
      <c r="Q20" s="2818">
        <v>12497209.918</v>
      </c>
      <c r="R20" s="2818"/>
      <c r="S20" s="2818"/>
      <c r="T20" s="2818">
        <v>189124462.03600001</v>
      </c>
      <c r="X20" s="45"/>
      <c r="Y20" s="45"/>
      <c r="Z20" s="45"/>
      <c r="AA20" s="45"/>
      <c r="AB20" s="45"/>
      <c r="AC20" s="45"/>
      <c r="AD20" s="45"/>
      <c r="AE20" s="45"/>
    </row>
    <row r="21" spans="1:31">
      <c r="A21" s="58">
        <v>16</v>
      </c>
      <c r="B21" s="2938" t="s">
        <v>194</v>
      </c>
      <c r="C21" s="3329">
        <f t="shared" si="0"/>
        <v>0</v>
      </c>
      <c r="D21" s="3329">
        <f t="shared" si="1"/>
        <v>0</v>
      </c>
      <c r="E21" s="3329">
        <f t="shared" si="2"/>
        <v>22885389.416000001</v>
      </c>
      <c r="F21" s="3330"/>
      <c r="G21" s="3330"/>
      <c r="H21" s="3330">
        <v>6651215.2019999996</v>
      </c>
      <c r="I21" s="2818"/>
      <c r="J21" s="2818"/>
      <c r="K21" s="2818">
        <v>0</v>
      </c>
      <c r="L21" s="3262"/>
      <c r="M21" s="3262"/>
      <c r="N21" s="3262">
        <v>5145755.9950000001</v>
      </c>
      <c r="O21" s="2818"/>
      <c r="P21" s="2818"/>
      <c r="Q21" s="2818">
        <v>127682.285</v>
      </c>
      <c r="R21" s="2818"/>
      <c r="S21" s="2818"/>
      <c r="T21" s="2818">
        <v>10960735.934</v>
      </c>
      <c r="X21" s="45"/>
      <c r="Y21" s="45"/>
      <c r="Z21" s="45"/>
      <c r="AA21" s="45"/>
      <c r="AB21" s="45"/>
      <c r="AC21" s="45"/>
      <c r="AD21" s="45"/>
      <c r="AE21" s="45"/>
    </row>
    <row r="22" spans="1:31">
      <c r="A22" s="58">
        <v>17</v>
      </c>
      <c r="B22" s="2938" t="s">
        <v>195</v>
      </c>
      <c r="C22" s="3329">
        <f t="shared" si="0"/>
        <v>0</v>
      </c>
      <c r="D22" s="3329">
        <f t="shared" si="1"/>
        <v>0</v>
      </c>
      <c r="E22" s="3329">
        <f>+H22+K22+N22+Q22+T22</f>
        <v>1243510811</v>
      </c>
      <c r="F22" s="3330"/>
      <c r="G22" s="3330"/>
      <c r="H22" s="3330">
        <v>453551700</v>
      </c>
      <c r="I22" s="2818"/>
      <c r="J22" s="2818"/>
      <c r="K22" s="2818">
        <v>391098221</v>
      </c>
      <c r="L22" s="3262"/>
      <c r="M22" s="3262"/>
      <c r="N22" s="3262">
        <v>127218179</v>
      </c>
      <c r="O22" s="2818"/>
      <c r="P22" s="2818"/>
      <c r="Q22" s="2818">
        <v>24000932</v>
      </c>
      <c r="R22" s="2818"/>
      <c r="S22" s="2818"/>
      <c r="T22" s="2818">
        <v>247641779</v>
      </c>
      <c r="X22" s="45"/>
      <c r="Y22" s="45"/>
      <c r="Z22" s="45"/>
      <c r="AA22" s="45"/>
      <c r="AB22" s="45"/>
      <c r="AC22" s="45"/>
      <c r="AD22" s="45"/>
      <c r="AE22" s="45"/>
    </row>
    <row r="23" spans="1:31">
      <c r="A23" s="58">
        <v>18</v>
      </c>
      <c r="B23" s="2939" t="s">
        <v>191</v>
      </c>
      <c r="C23" s="3329">
        <f t="shared" si="0"/>
        <v>0</v>
      </c>
      <c r="D23" s="3329">
        <f t="shared" si="1"/>
        <v>0</v>
      </c>
      <c r="E23" s="3329">
        <f t="shared" si="2"/>
        <v>286366</v>
      </c>
      <c r="F23" s="3330"/>
      <c r="G23" s="3330"/>
      <c r="H23" s="3330">
        <v>104990</v>
      </c>
      <c r="I23" s="2818"/>
      <c r="J23" s="2818"/>
      <c r="K23" s="2818">
        <v>94312</v>
      </c>
      <c r="L23" s="3262"/>
      <c r="M23" s="3262"/>
      <c r="N23" s="3262">
        <v>86564</v>
      </c>
      <c r="O23" s="2818"/>
      <c r="P23" s="2818"/>
      <c r="Q23" s="2818">
        <v>0</v>
      </c>
      <c r="R23" s="2818"/>
      <c r="S23" s="2818"/>
      <c r="T23" s="2818">
        <v>500</v>
      </c>
      <c r="X23" s="45"/>
      <c r="Y23" s="45"/>
      <c r="Z23" s="45"/>
      <c r="AA23" s="45"/>
      <c r="AB23" s="45"/>
      <c r="AC23" s="45"/>
      <c r="AD23" s="45"/>
      <c r="AE23" s="45"/>
    </row>
    <row r="24" spans="1:31">
      <c r="A24" s="58">
        <v>19</v>
      </c>
      <c r="B24" s="2939" t="s">
        <v>110</v>
      </c>
      <c r="C24" s="3329">
        <f t="shared" si="0"/>
        <v>0</v>
      </c>
      <c r="D24" s="3329">
        <f t="shared" si="1"/>
        <v>0</v>
      </c>
      <c r="E24" s="3329">
        <f t="shared" si="2"/>
        <v>0</v>
      </c>
      <c r="F24" s="3330"/>
      <c r="G24" s="3330"/>
      <c r="H24" s="3330"/>
      <c r="I24" s="2818"/>
      <c r="J24" s="2818"/>
      <c r="K24" s="2818"/>
      <c r="L24" s="3262"/>
      <c r="M24" s="3262"/>
      <c r="N24" s="3262"/>
      <c r="O24" s="2818"/>
      <c r="P24" s="2818"/>
      <c r="Q24" s="2818"/>
      <c r="R24" s="2818"/>
      <c r="S24" s="2818"/>
      <c r="T24" s="2818"/>
      <c r="X24" s="45"/>
      <c r="Y24" s="45"/>
      <c r="Z24" s="45"/>
      <c r="AA24" s="45"/>
      <c r="AB24" s="45"/>
      <c r="AC24" s="45"/>
      <c r="AD24" s="45"/>
      <c r="AE24" s="45"/>
    </row>
    <row r="25" spans="1:31">
      <c r="B25" s="3122" t="s">
        <v>118</v>
      </c>
      <c r="C25" s="3117">
        <f t="shared" ref="C25:T25" si="3">SUM(C6:C24)</f>
        <v>0</v>
      </c>
      <c r="D25" s="3117">
        <f t="shared" si="3"/>
        <v>0</v>
      </c>
      <c r="E25" s="3117">
        <f>SUM(E6:E24)</f>
        <v>9572018414.9241467</v>
      </c>
      <c r="F25" s="3330">
        <f t="shared" si="3"/>
        <v>0</v>
      </c>
      <c r="G25" s="3330">
        <f t="shared" si="3"/>
        <v>0</v>
      </c>
      <c r="H25" s="3330">
        <f>SUM(H6:H24)</f>
        <v>4358090090.3602352</v>
      </c>
      <c r="I25" s="3259">
        <f t="shared" si="3"/>
        <v>0</v>
      </c>
      <c r="J25" s="3259">
        <f t="shared" si="3"/>
        <v>0</v>
      </c>
      <c r="K25" s="3259">
        <f>SUM(K6:K24)</f>
        <v>2119068111.9467628</v>
      </c>
      <c r="L25" s="3263">
        <f t="shared" si="3"/>
        <v>0</v>
      </c>
      <c r="M25" s="3263">
        <f t="shared" si="3"/>
        <v>0</v>
      </c>
      <c r="N25" s="3263">
        <f t="shared" si="3"/>
        <v>1208716185.5975499</v>
      </c>
      <c r="O25" s="3259">
        <f t="shared" si="3"/>
        <v>0</v>
      </c>
      <c r="P25" s="3259">
        <f t="shared" si="3"/>
        <v>0</v>
      </c>
      <c r="Q25" s="3259">
        <f t="shared" si="3"/>
        <v>95268112.028060004</v>
      </c>
      <c r="R25" s="3259">
        <f t="shared" si="3"/>
        <v>0</v>
      </c>
      <c r="S25" s="3259">
        <f t="shared" si="3"/>
        <v>0</v>
      </c>
      <c r="T25" s="3259">
        <f t="shared" si="3"/>
        <v>1790875914.9915395</v>
      </c>
    </row>
    <row r="26" spans="1:31">
      <c r="B26" s="46"/>
      <c r="C26" s="47"/>
      <c r="D26" s="47"/>
      <c r="E26" s="47"/>
      <c r="F26" s="48"/>
      <c r="G26" s="48"/>
      <c r="H26" s="48"/>
      <c r="I26" s="49"/>
      <c r="J26" s="49"/>
      <c r="K26" s="49"/>
      <c r="L26" s="50"/>
      <c r="M26" s="50"/>
      <c r="N26" s="50"/>
      <c r="O26" s="49"/>
      <c r="P26" s="49"/>
      <c r="Q26" s="49"/>
      <c r="R26" s="49"/>
      <c r="S26" s="49"/>
      <c r="T26" s="49"/>
    </row>
    <row r="27" spans="1:31">
      <c r="B27" s="44"/>
    </row>
    <row r="29" spans="1:31">
      <c r="B29" s="3111" t="s">
        <v>968</v>
      </c>
    </row>
    <row r="30" spans="1:31">
      <c r="B30" s="3848" t="s">
        <v>709</v>
      </c>
      <c r="C30" s="3958" t="s">
        <v>118</v>
      </c>
      <c r="D30" s="3958"/>
      <c r="E30" s="3958"/>
      <c r="F30" s="3944" t="s">
        <v>412</v>
      </c>
      <c r="G30" s="3944"/>
      <c r="H30" s="3944"/>
      <c r="I30" s="3948" t="s">
        <v>413</v>
      </c>
      <c r="J30" s="3948"/>
      <c r="K30" s="3948"/>
      <c r="L30" s="3925" t="s">
        <v>414</v>
      </c>
      <c r="M30" s="3925"/>
      <c r="N30" s="3925"/>
      <c r="O30" s="3948" t="s">
        <v>701</v>
      </c>
      <c r="P30" s="3948"/>
      <c r="Q30" s="3948"/>
      <c r="R30" s="3948" t="s">
        <v>416</v>
      </c>
      <c r="S30" s="3948"/>
      <c r="T30" s="3948"/>
    </row>
    <row r="31" spans="1:31">
      <c r="B31" s="3848"/>
      <c r="C31" s="3327" t="s">
        <v>965</v>
      </c>
      <c r="D31" s="3327" t="s">
        <v>966</v>
      </c>
      <c r="E31" s="3327" t="s">
        <v>967</v>
      </c>
      <c r="F31" s="3327" t="s">
        <v>965</v>
      </c>
      <c r="G31" s="3327" t="s">
        <v>966</v>
      </c>
      <c r="H31" s="3327" t="s">
        <v>967</v>
      </c>
      <c r="I31" s="3327" t="s">
        <v>965</v>
      </c>
      <c r="J31" s="3327" t="s">
        <v>966</v>
      </c>
      <c r="K31" s="3327" t="s">
        <v>967</v>
      </c>
      <c r="L31" s="3327" t="s">
        <v>965</v>
      </c>
      <c r="M31" s="3327" t="s">
        <v>966</v>
      </c>
      <c r="N31" s="3327" t="s">
        <v>967</v>
      </c>
      <c r="O31" s="3327" t="s">
        <v>965</v>
      </c>
      <c r="P31" s="3327" t="s">
        <v>966</v>
      </c>
      <c r="Q31" s="3327" t="s">
        <v>967</v>
      </c>
      <c r="R31" s="3327" t="s">
        <v>965</v>
      </c>
      <c r="S31" s="3327" t="s">
        <v>966</v>
      </c>
      <c r="T31" s="3327" t="s">
        <v>967</v>
      </c>
    </row>
    <row r="32" spans="1:31">
      <c r="A32" s="58">
        <v>1</v>
      </c>
      <c r="B32" s="2938" t="s">
        <v>175</v>
      </c>
      <c r="C32" s="3329">
        <f t="shared" ref="C32:C50" si="4">+F32+I32+L32+O32+R32</f>
        <v>0</v>
      </c>
      <c r="D32" s="3329">
        <f t="shared" ref="D32:D50" si="5">+G32+J32+M32+P32+S32</f>
        <v>0</v>
      </c>
      <c r="E32" s="3329">
        <f t="shared" ref="E32:E50" si="6">+H32+K32+N32+Q32+T32</f>
        <v>107992666.213</v>
      </c>
      <c r="F32" s="3330"/>
      <c r="G32" s="3330"/>
      <c r="H32" s="3330">
        <v>56385241.715000004</v>
      </c>
      <c r="I32" s="3331"/>
      <c r="J32" s="3331"/>
      <c r="K32" s="3331">
        <v>29660756.607000001</v>
      </c>
      <c r="L32" s="3260"/>
      <c r="M32" s="3260"/>
      <c r="N32" s="3260">
        <v>12917862.846000001</v>
      </c>
      <c r="O32" s="3331"/>
      <c r="P32" s="3331"/>
      <c r="Q32" s="3331">
        <v>107250</v>
      </c>
      <c r="R32" s="3331"/>
      <c r="S32" s="3331"/>
      <c r="T32" s="3331">
        <v>8921555.0449999999</v>
      </c>
    </row>
    <row r="33" spans="1:20">
      <c r="A33" s="58">
        <v>2</v>
      </c>
      <c r="B33" s="2939" t="s">
        <v>177</v>
      </c>
      <c r="C33" s="3329">
        <f t="shared" si="4"/>
        <v>0</v>
      </c>
      <c r="D33" s="3329">
        <f t="shared" si="5"/>
        <v>0</v>
      </c>
      <c r="E33" s="3329">
        <f t="shared" si="6"/>
        <v>0</v>
      </c>
      <c r="F33" s="3330"/>
      <c r="G33" s="3330"/>
      <c r="H33" s="3330"/>
      <c r="I33" s="2818"/>
      <c r="J33" s="2818"/>
      <c r="K33" s="2818"/>
      <c r="L33" s="3262"/>
      <c r="M33" s="3262"/>
      <c r="N33" s="3262"/>
      <c r="O33" s="2818"/>
      <c r="P33" s="2818"/>
      <c r="Q33" s="2818"/>
      <c r="R33" s="2818"/>
      <c r="S33" s="2818"/>
      <c r="T33" s="2818"/>
    </row>
    <row r="34" spans="1:20">
      <c r="A34" s="58">
        <v>3</v>
      </c>
      <c r="B34" s="2938" t="s">
        <v>179</v>
      </c>
      <c r="C34" s="3329">
        <f t="shared" si="4"/>
        <v>0</v>
      </c>
      <c r="D34" s="3329">
        <f t="shared" si="5"/>
        <v>0</v>
      </c>
      <c r="E34" s="3329">
        <f t="shared" si="6"/>
        <v>677355005</v>
      </c>
      <c r="F34" s="3330"/>
      <c r="G34" s="3330"/>
      <c r="H34" s="3330">
        <v>505847774</v>
      </c>
      <c r="I34" s="2818"/>
      <c r="J34" s="2818"/>
      <c r="K34" s="2818">
        <v>50721038</v>
      </c>
      <c r="L34" s="3262"/>
      <c r="M34" s="3262"/>
      <c r="N34" s="3262">
        <v>85960076</v>
      </c>
      <c r="O34" s="2818"/>
      <c r="P34" s="2818"/>
      <c r="Q34" s="2818">
        <v>10526587</v>
      </c>
      <c r="R34" s="2818"/>
      <c r="S34" s="2818"/>
      <c r="T34" s="2818">
        <v>24299530</v>
      </c>
    </row>
    <row r="35" spans="1:20">
      <c r="A35" s="58">
        <v>4</v>
      </c>
      <c r="B35" s="2938" t="s">
        <v>180</v>
      </c>
      <c r="C35" s="3329">
        <f t="shared" si="4"/>
        <v>0</v>
      </c>
      <c r="D35" s="3329">
        <f t="shared" si="5"/>
        <v>0</v>
      </c>
      <c r="E35" s="3329">
        <f t="shared" si="6"/>
        <v>151799393.82313439</v>
      </c>
      <c r="F35" s="3330"/>
      <c r="G35" s="3330"/>
      <c r="H35" s="3330">
        <v>66333288.442106001</v>
      </c>
      <c r="I35" s="2818"/>
      <c r="J35" s="2818"/>
      <c r="K35" s="2818">
        <v>42730549.450799301</v>
      </c>
      <c r="L35" s="3262"/>
      <c r="M35" s="3262"/>
      <c r="N35" s="3262">
        <v>23269974.600769199</v>
      </c>
      <c r="O35" s="2818"/>
      <c r="P35" s="2818"/>
      <c r="Q35" s="2818">
        <v>1284868.75085</v>
      </c>
      <c r="R35" s="2818"/>
      <c r="S35" s="2818"/>
      <c r="T35" s="2818">
        <v>18180712.578609899</v>
      </c>
    </row>
    <row r="36" spans="1:20">
      <c r="A36" s="58">
        <v>5</v>
      </c>
      <c r="B36" s="2939" t="s">
        <v>181</v>
      </c>
      <c r="C36" s="3329">
        <f t="shared" si="4"/>
        <v>0</v>
      </c>
      <c r="D36" s="3329">
        <f t="shared" si="5"/>
        <v>0</v>
      </c>
      <c r="E36" s="3329">
        <f t="shared" si="6"/>
        <v>1808888649.6825099</v>
      </c>
      <c r="F36" s="3330"/>
      <c r="G36" s="3330"/>
      <c r="H36" s="3330">
        <v>848639013.27883995</v>
      </c>
      <c r="I36" s="2818"/>
      <c r="J36" s="2818"/>
      <c r="K36" s="2818">
        <v>351305282.00318003</v>
      </c>
      <c r="L36" s="3262"/>
      <c r="M36" s="3262"/>
      <c r="N36" s="3262">
        <v>24371246.43778</v>
      </c>
      <c r="O36" s="2818"/>
      <c r="P36" s="2818"/>
      <c r="Q36" s="2818">
        <v>1743481.6229999999</v>
      </c>
      <c r="R36" s="2818"/>
      <c r="S36" s="2818"/>
      <c r="T36" s="2818">
        <v>582829626.33971</v>
      </c>
    </row>
    <row r="37" spans="1:20">
      <c r="A37" s="58">
        <v>6</v>
      </c>
      <c r="B37" s="2939" t="s">
        <v>182</v>
      </c>
      <c r="C37" s="3329">
        <f t="shared" si="4"/>
        <v>0</v>
      </c>
      <c r="D37" s="3329">
        <f t="shared" si="5"/>
        <v>0</v>
      </c>
      <c r="E37" s="3329">
        <f t="shared" si="6"/>
        <v>99280919.310860008</v>
      </c>
      <c r="F37" s="3330"/>
      <c r="G37" s="3330"/>
      <c r="H37" s="3330">
        <v>78015696.872420013</v>
      </c>
      <c r="I37" s="2818"/>
      <c r="J37" s="2818"/>
      <c r="K37" s="2818">
        <v>4351270.4029999999</v>
      </c>
      <c r="L37" s="3262"/>
      <c r="M37" s="3262"/>
      <c r="N37" s="3262">
        <v>9950938.5439999998</v>
      </c>
      <c r="O37" s="2818"/>
      <c r="P37" s="2818"/>
      <c r="Q37" s="2818">
        <v>319235.02399999998</v>
      </c>
      <c r="R37" s="2818"/>
      <c r="S37" s="2818"/>
      <c r="T37" s="2818">
        <v>6643778.4674399998</v>
      </c>
    </row>
    <row r="38" spans="1:20">
      <c r="A38" s="58">
        <v>7</v>
      </c>
      <c r="B38" s="2938" t="s">
        <v>183</v>
      </c>
      <c r="C38" s="3329">
        <f t="shared" si="4"/>
        <v>0</v>
      </c>
      <c r="D38" s="3329">
        <f t="shared" si="5"/>
        <v>0</v>
      </c>
      <c r="E38" s="3329">
        <f t="shared" si="6"/>
        <v>1926015359.4769998</v>
      </c>
      <c r="F38" s="3330"/>
      <c r="G38" s="3330"/>
      <c r="H38" s="3330">
        <v>640615134.34899998</v>
      </c>
      <c r="I38" s="2818"/>
      <c r="J38" s="2818"/>
      <c r="K38" s="2818">
        <v>224629214.023</v>
      </c>
      <c r="L38" s="3262"/>
      <c r="M38" s="3262"/>
      <c r="N38" s="3262">
        <v>282424370.77499998</v>
      </c>
      <c r="O38" s="2818"/>
      <c r="P38" s="2818"/>
      <c r="Q38" s="2818">
        <v>48071984.835000001</v>
      </c>
      <c r="R38" s="2818"/>
      <c r="S38" s="2818"/>
      <c r="T38" s="2818">
        <v>730274655.495</v>
      </c>
    </row>
    <row r="39" spans="1:20">
      <c r="A39" s="58">
        <v>8</v>
      </c>
      <c r="B39" s="2938" t="s">
        <v>184</v>
      </c>
      <c r="C39" s="3329">
        <f t="shared" si="4"/>
        <v>0</v>
      </c>
      <c r="D39" s="3329">
        <f t="shared" si="5"/>
        <v>0</v>
      </c>
      <c r="E39" s="3329">
        <f t="shared" si="6"/>
        <v>115362799.38068289</v>
      </c>
      <c r="F39" s="3330"/>
      <c r="G39" s="3330"/>
      <c r="H39" s="3330">
        <v>8301405.8816829007</v>
      </c>
      <c r="I39" s="2818"/>
      <c r="J39" s="2818"/>
      <c r="K39" s="2818">
        <v>3664758.0419999999</v>
      </c>
      <c r="L39" s="3262"/>
      <c r="M39" s="3262"/>
      <c r="N39" s="3262">
        <v>14453114</v>
      </c>
      <c r="O39" s="2818"/>
      <c r="P39" s="2818"/>
      <c r="Q39" s="2818">
        <v>2808431.5989999999</v>
      </c>
      <c r="R39" s="2818"/>
      <c r="S39" s="2818"/>
      <c r="T39" s="2818">
        <v>86135089.857999995</v>
      </c>
    </row>
    <row r="40" spans="1:20">
      <c r="A40" s="58">
        <v>9</v>
      </c>
      <c r="B40" s="2939" t="s">
        <v>185</v>
      </c>
      <c r="C40" s="3329">
        <f t="shared" si="4"/>
        <v>0</v>
      </c>
      <c r="D40" s="3329">
        <f t="shared" si="5"/>
        <v>0</v>
      </c>
      <c r="E40" s="3329">
        <f t="shared" si="6"/>
        <v>0</v>
      </c>
      <c r="F40" s="3330"/>
      <c r="G40" s="3330"/>
      <c r="H40" s="3330"/>
      <c r="I40" s="2818"/>
      <c r="J40" s="2818"/>
      <c r="K40" s="2818"/>
      <c r="L40" s="3262"/>
      <c r="M40" s="3262"/>
      <c r="N40" s="3262"/>
      <c r="O40" s="2818"/>
      <c r="P40" s="2818"/>
      <c r="Q40" s="2818"/>
      <c r="R40" s="2818"/>
      <c r="S40" s="2818"/>
      <c r="T40" s="2818"/>
    </row>
    <row r="41" spans="1:20">
      <c r="A41" s="58">
        <v>10</v>
      </c>
      <c r="B41" s="2938" t="s">
        <v>186</v>
      </c>
      <c r="C41" s="3329">
        <f t="shared" si="4"/>
        <v>0</v>
      </c>
      <c r="D41" s="3329">
        <f t="shared" si="5"/>
        <v>0</v>
      </c>
      <c r="E41" s="3329">
        <f t="shared" si="6"/>
        <v>400037467.83294004</v>
      </c>
      <c r="F41" s="3330"/>
      <c r="G41" s="3330"/>
      <c r="H41" s="3330">
        <v>201927328.38049001</v>
      </c>
      <c r="I41" s="2818"/>
      <c r="J41" s="2818"/>
      <c r="K41" s="2818">
        <v>16464849.283329999</v>
      </c>
      <c r="L41" s="3262"/>
      <c r="M41" s="3262"/>
      <c r="N41" s="3262">
        <v>64215646.330930002</v>
      </c>
      <c r="O41" s="2818"/>
      <c r="P41" s="2818"/>
      <c r="Q41" s="2818">
        <v>95848237.042360008</v>
      </c>
      <c r="R41" s="2818"/>
      <c r="S41" s="2818"/>
      <c r="T41" s="2818">
        <v>21581406.79583</v>
      </c>
    </row>
    <row r="42" spans="1:20">
      <c r="A42" s="58">
        <v>11</v>
      </c>
      <c r="B42" s="2938" t="s">
        <v>187</v>
      </c>
      <c r="C42" s="3329">
        <f t="shared" si="4"/>
        <v>0</v>
      </c>
      <c r="D42" s="3329">
        <f t="shared" si="5"/>
        <v>0</v>
      </c>
      <c r="E42" s="3329">
        <f t="shared" si="6"/>
        <v>150423001</v>
      </c>
      <c r="F42" s="3330"/>
      <c r="G42" s="3330"/>
      <c r="H42" s="3330">
        <v>5215670</v>
      </c>
      <c r="I42" s="2818"/>
      <c r="J42" s="2818"/>
      <c r="K42" s="2818">
        <v>122895422</v>
      </c>
      <c r="L42" s="3262"/>
      <c r="M42" s="3262"/>
      <c r="N42" s="3262">
        <v>1134094</v>
      </c>
      <c r="O42" s="2818"/>
      <c r="P42" s="2818"/>
      <c r="Q42" s="2818"/>
      <c r="R42" s="2818"/>
      <c r="S42" s="2818"/>
      <c r="T42" s="2818">
        <v>21177815</v>
      </c>
    </row>
    <row r="43" spans="1:20">
      <c r="A43" s="58">
        <v>12</v>
      </c>
      <c r="B43" s="2938" t="s">
        <v>189</v>
      </c>
      <c r="C43" s="3329">
        <f t="shared" si="4"/>
        <v>0</v>
      </c>
      <c r="D43" s="3329">
        <f t="shared" si="5"/>
        <v>0</v>
      </c>
      <c r="E43" s="3329">
        <f t="shared" si="6"/>
        <v>0</v>
      </c>
      <c r="F43" s="3330"/>
      <c r="G43" s="3330"/>
      <c r="H43" s="3330"/>
      <c r="I43" s="2818"/>
      <c r="J43" s="2818"/>
      <c r="K43" s="2818"/>
      <c r="L43" s="3262"/>
      <c r="M43" s="3262"/>
      <c r="N43" s="3262"/>
      <c r="O43" s="2818"/>
      <c r="P43" s="2818"/>
      <c r="Q43" s="2818"/>
      <c r="R43" s="2818"/>
      <c r="S43" s="2818"/>
      <c r="T43" s="2818"/>
    </row>
    <row r="44" spans="1:20">
      <c r="A44" s="58">
        <v>13</v>
      </c>
      <c r="B44" s="2938" t="s">
        <v>190</v>
      </c>
      <c r="C44" s="3329">
        <f t="shared" si="4"/>
        <v>0</v>
      </c>
      <c r="D44" s="3329">
        <f t="shared" si="5"/>
        <v>0</v>
      </c>
      <c r="E44" s="3329">
        <f t="shared" si="6"/>
        <v>62606255.079659998</v>
      </c>
      <c r="F44" s="3330"/>
      <c r="G44" s="3330"/>
      <c r="H44" s="3330">
        <v>9324385.2064599991</v>
      </c>
      <c r="I44" s="2818"/>
      <c r="J44" s="2818"/>
      <c r="K44" s="2818">
        <v>1140421.6000000001</v>
      </c>
      <c r="L44" s="3262"/>
      <c r="M44" s="3262"/>
      <c r="N44" s="3262">
        <v>8054259.8250000002</v>
      </c>
      <c r="O44" s="2818"/>
      <c r="P44" s="2818"/>
      <c r="Q44" s="2818">
        <v>0</v>
      </c>
      <c r="R44" s="2818"/>
      <c r="S44" s="2818"/>
      <c r="T44" s="2818">
        <v>44087188.448199995</v>
      </c>
    </row>
    <row r="45" spans="1:20">
      <c r="A45" s="58">
        <v>14</v>
      </c>
      <c r="B45" s="2939" t="s">
        <v>192</v>
      </c>
      <c r="C45" s="3329">
        <f t="shared" si="4"/>
        <v>0</v>
      </c>
      <c r="D45" s="3329">
        <f t="shared" si="5"/>
        <v>0</v>
      </c>
      <c r="E45" s="3329">
        <f t="shared" si="6"/>
        <v>59376513.164060012</v>
      </c>
      <c r="F45" s="3330"/>
      <c r="G45" s="3330"/>
      <c r="H45" s="3330">
        <v>18813140.723230004</v>
      </c>
      <c r="I45" s="2818"/>
      <c r="J45" s="2818"/>
      <c r="K45" s="2818">
        <v>715269.13101000001</v>
      </c>
      <c r="L45" s="3262"/>
      <c r="M45" s="3262"/>
      <c r="N45" s="3262">
        <v>31248500.631720003</v>
      </c>
      <c r="O45" s="2818"/>
      <c r="P45" s="2818"/>
      <c r="Q45" s="2818">
        <v>0</v>
      </c>
      <c r="R45" s="2818"/>
      <c r="S45" s="2818"/>
      <c r="T45" s="2818">
        <v>8599602.6781000011</v>
      </c>
    </row>
    <row r="46" spans="1:20">
      <c r="A46" s="58">
        <v>15</v>
      </c>
      <c r="B46" s="2938" t="s">
        <v>193</v>
      </c>
      <c r="C46" s="3329">
        <f t="shared" si="4"/>
        <v>0</v>
      </c>
      <c r="D46" s="3329">
        <f t="shared" si="5"/>
        <v>0</v>
      </c>
      <c r="E46" s="3329">
        <f t="shared" si="6"/>
        <v>2055371353.3989999</v>
      </c>
      <c r="F46" s="3330"/>
      <c r="G46" s="3330"/>
      <c r="H46" s="3330">
        <v>894029911.06799996</v>
      </c>
      <c r="I46" s="2818"/>
      <c r="J46" s="2818"/>
      <c r="K46" s="2818">
        <v>618839838.28299999</v>
      </c>
      <c r="L46" s="3262"/>
      <c r="M46" s="3262"/>
      <c r="N46" s="3262">
        <v>249279302.87200001</v>
      </c>
      <c r="O46" s="2818"/>
      <c r="P46" s="2818"/>
      <c r="Q46" s="2818">
        <v>15100433.002</v>
      </c>
      <c r="R46" s="2818"/>
      <c r="S46" s="2818"/>
      <c r="T46" s="2818">
        <v>278121868.17400002</v>
      </c>
    </row>
    <row r="47" spans="1:20">
      <c r="A47" s="58">
        <v>16</v>
      </c>
      <c r="B47" s="2938" t="s">
        <v>194</v>
      </c>
      <c r="C47" s="3329">
        <f t="shared" si="4"/>
        <v>0</v>
      </c>
      <c r="D47" s="3329">
        <f t="shared" si="5"/>
        <v>0</v>
      </c>
      <c r="E47" s="3329">
        <f t="shared" si="6"/>
        <v>17656244.629000001</v>
      </c>
      <c r="F47" s="3330"/>
      <c r="G47" s="3330"/>
      <c r="H47" s="3330">
        <v>4611400.5990000004</v>
      </c>
      <c r="I47" s="2818"/>
      <c r="J47" s="2818"/>
      <c r="K47" s="2818">
        <v>0</v>
      </c>
      <c r="L47" s="3262"/>
      <c r="M47" s="3262"/>
      <c r="N47" s="3262">
        <v>2591469.27</v>
      </c>
      <c r="O47" s="2818"/>
      <c r="P47" s="2818"/>
      <c r="Q47" s="2818">
        <v>46864.565999999999</v>
      </c>
      <c r="R47" s="2818"/>
      <c r="S47" s="2818"/>
      <c r="T47" s="2818">
        <v>10406510.194</v>
      </c>
    </row>
    <row r="48" spans="1:20">
      <c r="A48" s="58">
        <v>17</v>
      </c>
      <c r="B48" s="2938" t="s">
        <v>195</v>
      </c>
      <c r="C48" s="3329">
        <f t="shared" si="4"/>
        <v>0</v>
      </c>
      <c r="D48" s="3329">
        <f t="shared" si="5"/>
        <v>0</v>
      </c>
      <c r="E48" s="3329">
        <f t="shared" si="6"/>
        <v>1079842836</v>
      </c>
      <c r="F48" s="3330"/>
      <c r="G48" s="3330"/>
      <c r="H48" s="3330">
        <v>448845255</v>
      </c>
      <c r="I48" s="2818"/>
      <c r="J48" s="2818"/>
      <c r="K48" s="2818">
        <v>324409037</v>
      </c>
      <c r="L48" s="3262"/>
      <c r="M48" s="3262"/>
      <c r="N48" s="3262">
        <v>105946011</v>
      </c>
      <c r="O48" s="2818"/>
      <c r="P48" s="2818"/>
      <c r="Q48" s="2818">
        <v>18271465</v>
      </c>
      <c r="R48" s="2818"/>
      <c r="S48" s="2818"/>
      <c r="T48" s="2818">
        <v>182371068</v>
      </c>
    </row>
    <row r="49" spans="1:20">
      <c r="A49" s="58">
        <v>18</v>
      </c>
      <c r="B49" s="2939" t="s">
        <v>191</v>
      </c>
      <c r="C49" s="3329">
        <f t="shared" si="4"/>
        <v>0</v>
      </c>
      <c r="D49" s="3329">
        <f t="shared" si="5"/>
        <v>0</v>
      </c>
      <c r="E49" s="3329">
        <f t="shared" si="6"/>
        <v>0</v>
      </c>
      <c r="F49" s="3330"/>
      <c r="G49" s="3330"/>
      <c r="H49" s="3330"/>
      <c r="I49" s="2818"/>
      <c r="J49" s="2818"/>
      <c r="K49" s="2818"/>
      <c r="L49" s="3262"/>
      <c r="M49" s="3262"/>
      <c r="N49" s="3262"/>
      <c r="O49" s="2818"/>
      <c r="P49" s="2818"/>
      <c r="Q49" s="2818"/>
      <c r="R49" s="2818"/>
      <c r="S49" s="2818"/>
      <c r="T49" s="2818"/>
    </row>
    <row r="50" spans="1:20">
      <c r="A50" s="58">
        <v>19</v>
      </c>
      <c r="B50" s="2939" t="s">
        <v>110</v>
      </c>
      <c r="C50" s="3329">
        <f t="shared" si="4"/>
        <v>0</v>
      </c>
      <c r="D50" s="3329">
        <f t="shared" si="5"/>
        <v>0</v>
      </c>
      <c r="E50" s="3329">
        <f t="shared" si="6"/>
        <v>0</v>
      </c>
      <c r="F50" s="3330"/>
      <c r="G50" s="3330"/>
      <c r="H50" s="3330"/>
      <c r="I50" s="2818"/>
      <c r="J50" s="2818"/>
      <c r="K50" s="2818"/>
      <c r="L50" s="3262"/>
      <c r="M50" s="3262"/>
      <c r="N50" s="3262"/>
      <c r="O50" s="2818"/>
      <c r="P50" s="2818"/>
      <c r="Q50" s="2818"/>
      <c r="R50" s="2818"/>
      <c r="S50" s="2818"/>
      <c r="T50" s="2818"/>
    </row>
    <row r="51" spans="1:20">
      <c r="B51" s="3122" t="s">
        <v>118</v>
      </c>
      <c r="C51" s="3117">
        <f>SUM(C32:C50)</f>
        <v>0</v>
      </c>
      <c r="D51" s="3117">
        <f>SUM(D32:D50)</f>
        <v>0</v>
      </c>
      <c r="E51" s="3117">
        <f>SUM(E32:E50)</f>
        <v>8712008463.991848</v>
      </c>
      <c r="F51" s="3330">
        <f>SUM(F32:F50)</f>
        <v>0</v>
      </c>
      <c r="G51" s="3330">
        <f t="shared" ref="G51:T51" si="7">SUM(G32:G50)</f>
        <v>0</v>
      </c>
      <c r="H51" s="3330">
        <f t="shared" si="7"/>
        <v>3786904645.5162282</v>
      </c>
      <c r="I51" s="3259">
        <f t="shared" si="7"/>
        <v>0</v>
      </c>
      <c r="J51" s="3259">
        <f t="shared" si="7"/>
        <v>0</v>
      </c>
      <c r="K51" s="3259">
        <f t="shared" si="7"/>
        <v>1791527705.8263192</v>
      </c>
      <c r="L51" s="3263">
        <f t="shared" si="7"/>
        <v>0</v>
      </c>
      <c r="M51" s="3263">
        <f t="shared" si="7"/>
        <v>0</v>
      </c>
      <c r="N51" s="3263">
        <f t="shared" si="7"/>
        <v>915816867.1331991</v>
      </c>
      <c r="O51" s="3259">
        <f t="shared" si="7"/>
        <v>0</v>
      </c>
      <c r="P51" s="3259">
        <f t="shared" si="7"/>
        <v>0</v>
      </c>
      <c r="Q51" s="3259">
        <f t="shared" si="7"/>
        <v>194128838.44221002</v>
      </c>
      <c r="R51" s="3259">
        <f t="shared" si="7"/>
        <v>0</v>
      </c>
      <c r="S51" s="3259">
        <f t="shared" si="7"/>
        <v>0</v>
      </c>
      <c r="T51" s="3259">
        <f t="shared" si="7"/>
        <v>2023630407.07389</v>
      </c>
    </row>
    <row r="52" spans="1:20">
      <c r="B52" s="46"/>
      <c r="C52" s="47"/>
      <c r="D52" s="47"/>
      <c r="E52" s="47"/>
      <c r="F52" s="48"/>
      <c r="G52" s="48"/>
      <c r="H52" s="48"/>
      <c r="I52" s="49"/>
      <c r="J52" s="49"/>
      <c r="K52" s="49"/>
      <c r="L52" s="50"/>
      <c r="M52" s="50"/>
      <c r="N52" s="50"/>
      <c r="O52" s="49"/>
      <c r="P52" s="49"/>
      <c r="Q52" s="49"/>
      <c r="R52" s="49"/>
      <c r="S52" s="49"/>
      <c r="T52" s="49"/>
    </row>
    <row r="55" spans="1:20">
      <c r="B55" s="3111" t="s">
        <v>969</v>
      </c>
    </row>
    <row r="56" spans="1:20">
      <c r="B56" s="3848" t="s">
        <v>709</v>
      </c>
      <c r="C56" s="3958" t="s">
        <v>118</v>
      </c>
      <c r="D56" s="3958"/>
      <c r="E56" s="3958"/>
      <c r="F56" s="3944" t="s">
        <v>412</v>
      </c>
      <c r="G56" s="3944"/>
      <c r="H56" s="3944"/>
      <c r="I56" s="3948" t="s">
        <v>413</v>
      </c>
      <c r="J56" s="3948"/>
      <c r="K56" s="3948"/>
      <c r="L56" s="3925" t="s">
        <v>414</v>
      </c>
      <c r="M56" s="3925"/>
      <c r="N56" s="3925"/>
      <c r="O56" s="3948" t="s">
        <v>701</v>
      </c>
      <c r="P56" s="3948"/>
      <c r="Q56" s="3948"/>
      <c r="R56" s="3948" t="s">
        <v>416</v>
      </c>
      <c r="S56" s="3948"/>
      <c r="T56" s="3948"/>
    </row>
    <row r="57" spans="1:20">
      <c r="B57" s="3848"/>
      <c r="C57" s="3327" t="s">
        <v>965</v>
      </c>
      <c r="D57" s="3327" t="s">
        <v>966</v>
      </c>
      <c r="E57" s="3327" t="s">
        <v>967</v>
      </c>
      <c r="F57" s="3327" t="s">
        <v>965</v>
      </c>
      <c r="G57" s="3327" t="s">
        <v>966</v>
      </c>
      <c r="H57" s="3327" t="s">
        <v>967</v>
      </c>
      <c r="I57" s="3327" t="s">
        <v>965</v>
      </c>
      <c r="J57" s="3327" t="s">
        <v>966</v>
      </c>
      <c r="K57" s="3327" t="s">
        <v>967</v>
      </c>
      <c r="L57" s="3327" t="s">
        <v>965</v>
      </c>
      <c r="M57" s="3327" t="s">
        <v>966</v>
      </c>
      <c r="N57" s="3327" t="s">
        <v>967</v>
      </c>
      <c r="O57" s="3327" t="s">
        <v>965</v>
      </c>
      <c r="P57" s="3327" t="s">
        <v>966</v>
      </c>
      <c r="Q57" s="3327" t="s">
        <v>967</v>
      </c>
      <c r="R57" s="3327" t="s">
        <v>965</v>
      </c>
      <c r="S57" s="3327" t="s">
        <v>966</v>
      </c>
      <c r="T57" s="3327" t="s">
        <v>967</v>
      </c>
    </row>
    <row r="58" spans="1:20">
      <c r="A58" s="58">
        <v>1</v>
      </c>
      <c r="B58" s="2938" t="s">
        <v>175</v>
      </c>
      <c r="C58" s="3329">
        <f t="shared" ref="C58:C76" si="8">+F58+I58+L58+O58+R58</f>
        <v>0</v>
      </c>
      <c r="D58" s="3329">
        <f t="shared" ref="D58:D76" si="9">+G58+J58+M58+P58+S58</f>
        <v>0</v>
      </c>
      <c r="E58" s="3329">
        <f t="shared" ref="E58:E76" si="10">+H58+K58+N58+Q58+T58</f>
        <v>120851792.53700002</v>
      </c>
      <c r="F58" s="3330"/>
      <c r="G58" s="3330"/>
      <c r="H58" s="3330">
        <v>57638543.236000001</v>
      </c>
      <c r="I58" s="3331"/>
      <c r="J58" s="3331"/>
      <c r="K58" s="3331">
        <v>29128539.193</v>
      </c>
      <c r="L58" s="3260"/>
      <c r="M58" s="3260"/>
      <c r="N58" s="3260">
        <v>16482570.097999999</v>
      </c>
      <c r="O58" s="3331"/>
      <c r="P58" s="3331"/>
      <c r="Q58" s="3331">
        <v>131825</v>
      </c>
      <c r="R58" s="3331"/>
      <c r="S58" s="3331"/>
      <c r="T58" s="3331">
        <v>17470315.010000002</v>
      </c>
    </row>
    <row r="59" spans="1:20">
      <c r="A59" s="58">
        <v>2</v>
      </c>
      <c r="B59" s="2939" t="s">
        <v>177</v>
      </c>
      <c r="C59" s="3329">
        <f t="shared" si="8"/>
        <v>0</v>
      </c>
      <c r="D59" s="3329">
        <f t="shared" si="9"/>
        <v>0</v>
      </c>
      <c r="E59" s="3329">
        <f t="shared" si="10"/>
        <v>0</v>
      </c>
      <c r="F59" s="3330"/>
      <c r="G59" s="3330"/>
      <c r="H59" s="3330"/>
      <c r="I59" s="2818"/>
      <c r="J59" s="2818"/>
      <c r="K59" s="2818"/>
      <c r="L59" s="3262"/>
      <c r="M59" s="3262"/>
      <c r="N59" s="3262"/>
      <c r="O59" s="2818"/>
      <c r="P59" s="2818"/>
      <c r="Q59" s="2818"/>
      <c r="R59" s="2818"/>
      <c r="S59" s="2818"/>
      <c r="T59" s="2818"/>
    </row>
    <row r="60" spans="1:20">
      <c r="A60" s="58">
        <v>3</v>
      </c>
      <c r="B60" s="2938" t="s">
        <v>179</v>
      </c>
      <c r="C60" s="3329">
        <f t="shared" si="8"/>
        <v>0</v>
      </c>
      <c r="D60" s="3329">
        <f t="shared" si="9"/>
        <v>0</v>
      </c>
      <c r="E60" s="3329">
        <f t="shared" si="10"/>
        <v>674058691</v>
      </c>
      <c r="F60" s="3330"/>
      <c r="G60" s="3330"/>
      <c r="H60" s="3330">
        <v>534945887</v>
      </c>
      <c r="I60" s="2818"/>
      <c r="J60" s="2818"/>
      <c r="K60" s="2818">
        <v>54829239</v>
      </c>
      <c r="L60" s="3262"/>
      <c r="M60" s="3262"/>
      <c r="N60" s="3262">
        <v>52092013</v>
      </c>
      <c r="O60" s="2818"/>
      <c r="P60" s="2818"/>
      <c r="Q60" s="2818">
        <v>9892680</v>
      </c>
      <c r="R60" s="2818"/>
      <c r="S60" s="2818"/>
      <c r="T60" s="2818">
        <v>22298872</v>
      </c>
    </row>
    <row r="61" spans="1:20">
      <c r="A61" s="58">
        <v>4</v>
      </c>
      <c r="B61" s="2938" t="s">
        <v>180</v>
      </c>
      <c r="C61" s="3329">
        <f t="shared" si="8"/>
        <v>0</v>
      </c>
      <c r="D61" s="3329">
        <f t="shared" si="9"/>
        <v>0</v>
      </c>
      <c r="E61" s="3329">
        <f t="shared" si="10"/>
        <v>161917277.762458</v>
      </c>
      <c r="F61" s="3330"/>
      <c r="G61" s="3330"/>
      <c r="H61" s="3330">
        <v>64576009.146213993</v>
      </c>
      <c r="I61" s="2818"/>
      <c r="J61" s="2818"/>
      <c r="K61" s="2818">
        <v>51968929.511280701</v>
      </c>
      <c r="L61" s="3262"/>
      <c r="M61" s="3262"/>
      <c r="N61" s="3262">
        <v>16745153.976165399</v>
      </c>
      <c r="O61" s="2818"/>
      <c r="P61" s="2818"/>
      <c r="Q61" s="2818">
        <v>1005197.31622</v>
      </c>
      <c r="R61" s="2818"/>
      <c r="S61" s="2818"/>
      <c r="T61" s="2818">
        <v>27621987.8125779</v>
      </c>
    </row>
    <row r="62" spans="1:20">
      <c r="A62" s="58">
        <v>5</v>
      </c>
      <c r="B62" s="2939" t="s">
        <v>181</v>
      </c>
      <c r="C62" s="3329">
        <f t="shared" si="8"/>
        <v>0</v>
      </c>
      <c r="D62" s="3329">
        <f t="shared" si="9"/>
        <v>0</v>
      </c>
      <c r="E62" s="3329">
        <f t="shared" si="10"/>
        <v>1243875145.26618</v>
      </c>
      <c r="F62" s="3330"/>
      <c r="G62" s="3330"/>
      <c r="H62" s="3330">
        <v>603770620.58390999</v>
      </c>
      <c r="I62" s="2818"/>
      <c r="J62" s="2818"/>
      <c r="K62" s="2818">
        <v>200416461.32064</v>
      </c>
      <c r="L62" s="3262"/>
      <c r="M62" s="3262"/>
      <c r="N62" s="3262">
        <v>18116412.157779999</v>
      </c>
      <c r="O62" s="2818"/>
      <c r="P62" s="2818"/>
      <c r="Q62" s="2818">
        <v>1223152.6029999999</v>
      </c>
      <c r="R62" s="2818"/>
      <c r="S62" s="2818"/>
      <c r="T62" s="2818">
        <v>420348498.60084999</v>
      </c>
    </row>
    <row r="63" spans="1:20">
      <c r="A63" s="58">
        <v>6</v>
      </c>
      <c r="B63" s="2939" t="s">
        <v>182</v>
      </c>
      <c r="C63" s="3329">
        <f t="shared" si="8"/>
        <v>0</v>
      </c>
      <c r="D63" s="3329">
        <f t="shared" si="9"/>
        <v>0</v>
      </c>
      <c r="E63" s="3329">
        <f t="shared" si="10"/>
        <v>0</v>
      </c>
      <c r="F63" s="3330"/>
      <c r="G63" s="3330"/>
      <c r="H63" s="3330"/>
      <c r="I63" s="2818"/>
      <c r="J63" s="2818"/>
      <c r="K63" s="2818"/>
      <c r="L63" s="3262"/>
      <c r="M63" s="3262"/>
      <c r="N63" s="3262"/>
      <c r="O63" s="2818"/>
      <c r="P63" s="2818"/>
      <c r="Q63" s="2818"/>
      <c r="R63" s="2818"/>
      <c r="S63" s="2818"/>
      <c r="T63" s="2818"/>
    </row>
    <row r="64" spans="1:20">
      <c r="A64" s="58">
        <v>7</v>
      </c>
      <c r="B64" s="2938" t="s">
        <v>183</v>
      </c>
      <c r="C64" s="3329">
        <f t="shared" si="8"/>
        <v>0</v>
      </c>
      <c r="D64" s="3329">
        <f t="shared" si="9"/>
        <v>0</v>
      </c>
      <c r="E64" s="3329">
        <f t="shared" si="10"/>
        <v>1705026237.3269999</v>
      </c>
      <c r="F64" s="3330"/>
      <c r="G64" s="3330"/>
      <c r="H64" s="3330">
        <v>621699883.31299996</v>
      </c>
      <c r="I64" s="2818"/>
      <c r="J64" s="2818"/>
      <c r="K64" s="2818">
        <v>202129443.19400001</v>
      </c>
      <c r="L64" s="3262"/>
      <c r="M64" s="3262"/>
      <c r="N64" s="3262">
        <v>300622865.24900001</v>
      </c>
      <c r="O64" s="2818"/>
      <c r="P64" s="2818"/>
      <c r="Q64" s="2818">
        <v>51488746.189000003</v>
      </c>
      <c r="R64" s="2818"/>
      <c r="S64" s="2818"/>
      <c r="T64" s="2818">
        <v>529085299.38200003</v>
      </c>
    </row>
    <row r="65" spans="1:21">
      <c r="A65" s="58">
        <v>8</v>
      </c>
      <c r="B65" s="2938" t="s">
        <v>184</v>
      </c>
      <c r="C65" s="3329">
        <f t="shared" si="8"/>
        <v>0</v>
      </c>
      <c r="D65" s="3329">
        <f t="shared" si="9"/>
        <v>0</v>
      </c>
      <c r="E65" s="3329">
        <f t="shared" si="10"/>
        <v>117331034.28116505</v>
      </c>
      <c r="F65" s="3330"/>
      <c r="G65" s="3330"/>
      <c r="H65" s="3330">
        <v>7307470.012165051</v>
      </c>
      <c r="I65" s="2818"/>
      <c r="J65" s="2818"/>
      <c r="K65" s="2818">
        <v>3522381.4449999998</v>
      </c>
      <c r="L65" s="3262"/>
      <c r="M65" s="3262"/>
      <c r="N65" s="3262">
        <v>21452065.892999999</v>
      </c>
      <c r="O65" s="2818"/>
      <c r="P65" s="2818"/>
      <c r="Q65" s="2818">
        <v>1836062.477</v>
      </c>
      <c r="R65" s="2818"/>
      <c r="S65" s="2818"/>
      <c r="T65" s="2818">
        <v>83213054.453999996</v>
      </c>
    </row>
    <row r="66" spans="1:21">
      <c r="A66" s="58">
        <v>9</v>
      </c>
      <c r="B66" s="2939" t="s">
        <v>185</v>
      </c>
      <c r="C66" s="3329">
        <f t="shared" si="8"/>
        <v>0</v>
      </c>
      <c r="D66" s="3329">
        <f t="shared" si="9"/>
        <v>0</v>
      </c>
      <c r="E66" s="3329">
        <f t="shared" si="10"/>
        <v>0</v>
      </c>
      <c r="F66" s="3330"/>
      <c r="G66" s="3330"/>
      <c r="H66" s="3330"/>
      <c r="I66" s="2818"/>
      <c r="J66" s="2818"/>
      <c r="K66" s="2818"/>
      <c r="L66" s="3262"/>
      <c r="M66" s="3262"/>
      <c r="N66" s="3262"/>
      <c r="O66" s="2818"/>
      <c r="P66" s="2818"/>
      <c r="Q66" s="2818"/>
      <c r="R66" s="2818"/>
      <c r="S66" s="2818"/>
      <c r="T66" s="2818"/>
    </row>
    <row r="67" spans="1:21" s="72" customFormat="1">
      <c r="A67" s="71">
        <v>10</v>
      </c>
      <c r="B67" s="3268" t="s">
        <v>186</v>
      </c>
      <c r="C67" s="3334">
        <f t="shared" si="8"/>
        <v>0</v>
      </c>
      <c r="D67" s="3334">
        <f t="shared" si="9"/>
        <v>0</v>
      </c>
      <c r="E67" s="3334">
        <f t="shared" si="10"/>
        <v>0</v>
      </c>
      <c r="F67" s="3335"/>
      <c r="G67" s="3335"/>
      <c r="H67" s="3335"/>
      <c r="I67" s="3261"/>
      <c r="J67" s="3261"/>
      <c r="K67" s="3261"/>
      <c r="L67" s="3261"/>
      <c r="M67" s="3261"/>
      <c r="N67" s="3261"/>
      <c r="O67" s="3261"/>
      <c r="P67" s="3261"/>
      <c r="Q67" s="3261"/>
      <c r="R67" s="3261"/>
      <c r="S67" s="3261"/>
      <c r="T67" s="3261"/>
      <c r="U67" s="72" t="s">
        <v>835</v>
      </c>
    </row>
    <row r="68" spans="1:21">
      <c r="A68" s="58">
        <v>11</v>
      </c>
      <c r="B68" s="2938" t="s">
        <v>187</v>
      </c>
      <c r="C68" s="3329">
        <f t="shared" si="8"/>
        <v>0</v>
      </c>
      <c r="D68" s="3329">
        <f t="shared" si="9"/>
        <v>0</v>
      </c>
      <c r="E68" s="3329">
        <f t="shared" si="10"/>
        <v>117053070</v>
      </c>
      <c r="F68" s="3330"/>
      <c r="G68" s="3330"/>
      <c r="H68" s="3330">
        <v>1212701</v>
      </c>
      <c r="I68" s="2818"/>
      <c r="J68" s="2818"/>
      <c r="K68" s="2818">
        <v>86912505</v>
      </c>
      <c r="L68" s="3262"/>
      <c r="M68" s="3262"/>
      <c r="N68" s="3262">
        <v>1376312</v>
      </c>
      <c r="O68" s="2818"/>
      <c r="P68" s="2818"/>
      <c r="Q68" s="2818"/>
      <c r="R68" s="2818"/>
      <c r="S68" s="2818"/>
      <c r="T68" s="2818">
        <v>27551552</v>
      </c>
    </row>
    <row r="69" spans="1:21">
      <c r="A69" s="58">
        <v>12</v>
      </c>
      <c r="B69" s="2938" t="s">
        <v>189</v>
      </c>
      <c r="C69" s="3329">
        <f t="shared" si="8"/>
        <v>0</v>
      </c>
      <c r="D69" s="3329">
        <f t="shared" si="9"/>
        <v>0</v>
      </c>
      <c r="E69" s="3329">
        <f t="shared" si="10"/>
        <v>0</v>
      </c>
      <c r="F69" s="3330"/>
      <c r="G69" s="3330"/>
      <c r="H69" s="3330"/>
      <c r="I69" s="2818"/>
      <c r="J69" s="2818"/>
      <c r="K69" s="2818"/>
      <c r="L69" s="3262"/>
      <c r="M69" s="3262"/>
      <c r="N69" s="3262"/>
      <c r="O69" s="2818"/>
      <c r="P69" s="2818"/>
      <c r="Q69" s="2818"/>
      <c r="R69" s="2818"/>
      <c r="S69" s="2818"/>
      <c r="T69" s="2818"/>
    </row>
    <row r="70" spans="1:21">
      <c r="A70" s="58">
        <v>13</v>
      </c>
      <c r="B70" s="2938" t="s">
        <v>190</v>
      </c>
      <c r="C70" s="3329">
        <f t="shared" si="8"/>
        <v>0</v>
      </c>
      <c r="D70" s="3329">
        <f t="shared" si="9"/>
        <v>0</v>
      </c>
      <c r="E70" s="3329">
        <f t="shared" si="10"/>
        <v>43853998.927689992</v>
      </c>
      <c r="F70" s="3330"/>
      <c r="G70" s="3330"/>
      <c r="H70" s="3330">
        <v>14733874.588419996</v>
      </c>
      <c r="I70" s="2818"/>
      <c r="J70" s="2818"/>
      <c r="K70" s="2818">
        <v>4826530.3686399991</v>
      </c>
      <c r="L70" s="3262"/>
      <c r="M70" s="3262"/>
      <c r="N70" s="3262">
        <v>7782436.5109999999</v>
      </c>
      <c r="O70" s="2818"/>
      <c r="P70" s="2818"/>
      <c r="Q70" s="2818">
        <v>0</v>
      </c>
      <c r="R70" s="2818"/>
      <c r="S70" s="2818"/>
      <c r="T70" s="2818">
        <v>16511157.459629998</v>
      </c>
    </row>
    <row r="71" spans="1:21">
      <c r="A71" s="58">
        <v>14</v>
      </c>
      <c r="B71" s="2939" t="s">
        <v>192</v>
      </c>
      <c r="C71" s="3329">
        <f t="shared" si="8"/>
        <v>0</v>
      </c>
      <c r="D71" s="3329">
        <f t="shared" si="9"/>
        <v>0</v>
      </c>
      <c r="E71" s="3329">
        <f t="shared" si="10"/>
        <v>0</v>
      </c>
      <c r="F71" s="3330"/>
      <c r="G71" s="3330"/>
      <c r="H71" s="3330"/>
      <c r="I71" s="2818"/>
      <c r="J71" s="2818"/>
      <c r="K71" s="2818"/>
      <c r="L71" s="3262"/>
      <c r="M71" s="3262"/>
      <c r="N71" s="3262"/>
      <c r="O71" s="2818"/>
      <c r="P71" s="2818"/>
      <c r="Q71" s="2818"/>
      <c r="R71" s="2818"/>
      <c r="S71" s="2818"/>
      <c r="T71" s="2818"/>
    </row>
    <row r="72" spans="1:21">
      <c r="A72" s="58">
        <v>15</v>
      </c>
      <c r="B72" s="2938" t="s">
        <v>193</v>
      </c>
      <c r="C72" s="3329">
        <f t="shared" si="8"/>
        <v>0</v>
      </c>
      <c r="D72" s="3329">
        <f t="shared" si="9"/>
        <v>0</v>
      </c>
      <c r="E72" s="3329">
        <f t="shared" si="10"/>
        <v>2427682987.8849998</v>
      </c>
      <c r="F72" s="3330"/>
      <c r="G72" s="3330"/>
      <c r="H72" s="3330">
        <v>1110200602.8940001</v>
      </c>
      <c r="I72" s="2818"/>
      <c r="J72" s="2818"/>
      <c r="K72" s="2818">
        <v>345582039.12900001</v>
      </c>
      <c r="L72" s="3262"/>
      <c r="M72" s="3262"/>
      <c r="N72" s="3262">
        <v>236430248.22099999</v>
      </c>
      <c r="O72" s="2818"/>
      <c r="P72" s="2818"/>
      <c r="Q72" s="2818">
        <v>15319651.757999999</v>
      </c>
      <c r="R72" s="2818"/>
      <c r="S72" s="2818"/>
      <c r="T72" s="2818">
        <v>720150445.88300002</v>
      </c>
    </row>
    <row r="73" spans="1:21">
      <c r="A73" s="58">
        <v>16</v>
      </c>
      <c r="B73" s="2938" t="s">
        <v>194</v>
      </c>
      <c r="C73" s="3329">
        <f t="shared" si="8"/>
        <v>0</v>
      </c>
      <c r="D73" s="3329">
        <f t="shared" si="9"/>
        <v>0</v>
      </c>
      <c r="E73" s="3329">
        <f t="shared" si="10"/>
        <v>14593337.617000001</v>
      </c>
      <c r="F73" s="3330"/>
      <c r="G73" s="3330"/>
      <c r="H73" s="3330">
        <v>2561466.645</v>
      </c>
      <c r="I73" s="2818"/>
      <c r="J73" s="2818"/>
      <c r="K73" s="2818">
        <v>0</v>
      </c>
      <c r="L73" s="3262"/>
      <c r="M73" s="3262"/>
      <c r="N73" s="3262">
        <v>2434460.5789999999</v>
      </c>
      <c r="O73" s="2818"/>
      <c r="P73" s="2818"/>
      <c r="Q73" s="2818">
        <v>8677.98</v>
      </c>
      <c r="R73" s="2818"/>
      <c r="S73" s="2818"/>
      <c r="T73" s="2818">
        <v>9588732.4130000006</v>
      </c>
    </row>
    <row r="74" spans="1:21">
      <c r="A74" s="58">
        <v>17</v>
      </c>
      <c r="B74" s="2938" t="s">
        <v>195</v>
      </c>
      <c r="C74" s="3329">
        <f t="shared" si="8"/>
        <v>0</v>
      </c>
      <c r="D74" s="3329">
        <f t="shared" si="9"/>
        <v>0</v>
      </c>
      <c r="E74" s="3329">
        <f t="shared" si="10"/>
        <v>891377268</v>
      </c>
      <c r="F74" s="3330"/>
      <c r="G74" s="3330"/>
      <c r="H74" s="3330">
        <v>413173330</v>
      </c>
      <c r="I74" s="2818"/>
      <c r="J74" s="2818"/>
      <c r="K74" s="2818">
        <v>259596016</v>
      </c>
      <c r="L74" s="3262"/>
      <c r="M74" s="3262"/>
      <c r="N74" s="3262">
        <v>87956823</v>
      </c>
      <c r="O74" s="2818"/>
      <c r="P74" s="2818"/>
      <c r="Q74" s="2818">
        <v>16759886</v>
      </c>
      <c r="R74" s="2818"/>
      <c r="S74" s="2818"/>
      <c r="T74" s="2818">
        <v>113891213</v>
      </c>
    </row>
    <row r="75" spans="1:21">
      <c r="A75" s="58">
        <v>18</v>
      </c>
      <c r="B75" s="2939" t="s">
        <v>191</v>
      </c>
      <c r="C75" s="3329">
        <f t="shared" si="8"/>
        <v>0</v>
      </c>
      <c r="D75" s="3329">
        <f t="shared" si="9"/>
        <v>0</v>
      </c>
      <c r="E75" s="3329">
        <f t="shared" si="10"/>
        <v>0</v>
      </c>
      <c r="F75" s="3330"/>
      <c r="G75" s="3330"/>
      <c r="H75" s="3330"/>
      <c r="I75" s="2818"/>
      <c r="J75" s="2818"/>
      <c r="K75" s="2818"/>
      <c r="L75" s="3262"/>
      <c r="M75" s="3262"/>
      <c r="N75" s="3262"/>
      <c r="O75" s="2818"/>
      <c r="P75" s="2818"/>
      <c r="Q75" s="2818"/>
      <c r="R75" s="2818"/>
      <c r="S75" s="2818"/>
      <c r="T75" s="2818"/>
    </row>
    <row r="76" spans="1:21">
      <c r="A76" s="58">
        <v>19</v>
      </c>
      <c r="B76" s="2939" t="s">
        <v>110</v>
      </c>
      <c r="C76" s="3329">
        <f t="shared" si="8"/>
        <v>0</v>
      </c>
      <c r="D76" s="3329">
        <f t="shared" si="9"/>
        <v>0</v>
      </c>
      <c r="E76" s="3329">
        <f t="shared" si="10"/>
        <v>0</v>
      </c>
      <c r="F76" s="3330"/>
      <c r="G76" s="3330"/>
      <c r="H76" s="3330"/>
      <c r="I76" s="2818"/>
      <c r="J76" s="2818"/>
      <c r="K76" s="2818"/>
      <c r="L76" s="3262"/>
      <c r="M76" s="3262"/>
      <c r="N76" s="3262"/>
      <c r="O76" s="2818"/>
      <c r="P76" s="2818"/>
      <c r="Q76" s="2818"/>
      <c r="R76" s="2818"/>
      <c r="S76" s="2818"/>
      <c r="T76" s="2818"/>
    </row>
    <row r="77" spans="1:21">
      <c r="B77" s="3122" t="s">
        <v>118</v>
      </c>
      <c r="C77" s="3117">
        <f>SUM(C58:C76)</f>
        <v>0</v>
      </c>
      <c r="D77" s="3117">
        <f>SUM(D58:D76)</f>
        <v>0</v>
      </c>
      <c r="E77" s="3117">
        <f>SUM(E58:E76)</f>
        <v>7517620840.6034927</v>
      </c>
      <c r="F77" s="3330">
        <f>SUM(F58:F76)</f>
        <v>0</v>
      </c>
      <c r="G77" s="3330">
        <f t="shared" ref="G77:T77" si="11">SUM(G58:G76)</f>
        <v>0</v>
      </c>
      <c r="H77" s="3330">
        <f t="shared" si="11"/>
        <v>3431820388.4187093</v>
      </c>
      <c r="I77" s="3259">
        <f t="shared" si="11"/>
        <v>0</v>
      </c>
      <c r="J77" s="3259">
        <f t="shared" si="11"/>
        <v>0</v>
      </c>
      <c r="K77" s="3259">
        <f t="shared" si="11"/>
        <v>1238912084.1615608</v>
      </c>
      <c r="L77" s="3263">
        <f t="shared" si="11"/>
        <v>0</v>
      </c>
      <c r="M77" s="3263">
        <f t="shared" si="11"/>
        <v>0</v>
      </c>
      <c r="N77" s="3263">
        <f t="shared" si="11"/>
        <v>761491360.68494534</v>
      </c>
      <c r="O77" s="3259">
        <f t="shared" si="11"/>
        <v>0</v>
      </c>
      <c r="P77" s="3259">
        <f t="shared" si="11"/>
        <v>0</v>
      </c>
      <c r="Q77" s="3259">
        <f t="shared" si="11"/>
        <v>97665879.32322</v>
      </c>
      <c r="R77" s="3259">
        <f t="shared" si="11"/>
        <v>0</v>
      </c>
      <c r="S77" s="3259">
        <f t="shared" si="11"/>
        <v>0</v>
      </c>
      <c r="T77" s="3259">
        <f t="shared" si="11"/>
        <v>1987731128.015058</v>
      </c>
    </row>
    <row r="78" spans="1:21">
      <c r="B78" s="46"/>
      <c r="C78" s="47"/>
      <c r="D78" s="47"/>
      <c r="E78" s="47"/>
      <c r="F78" s="48"/>
      <c r="G78" s="48"/>
      <c r="H78" s="48"/>
      <c r="I78" s="49"/>
      <c r="J78" s="49"/>
      <c r="K78" s="49"/>
      <c r="L78" s="50"/>
      <c r="M78" s="50"/>
      <c r="N78" s="50"/>
      <c r="O78" s="49"/>
      <c r="P78" s="49"/>
      <c r="Q78" s="49"/>
      <c r="R78" s="49"/>
      <c r="S78" s="49"/>
      <c r="T78" s="49"/>
    </row>
    <row r="81" spans="1:21">
      <c r="B81" s="3111" t="s">
        <v>970</v>
      </c>
    </row>
    <row r="82" spans="1:21">
      <c r="B82" s="3848" t="s">
        <v>709</v>
      </c>
      <c r="C82" s="3958" t="s">
        <v>118</v>
      </c>
      <c r="D82" s="3958"/>
      <c r="E82" s="3958"/>
      <c r="F82" s="3944" t="s">
        <v>412</v>
      </c>
      <c r="G82" s="3944"/>
      <c r="H82" s="3944"/>
      <c r="I82" s="3948" t="s">
        <v>413</v>
      </c>
      <c r="J82" s="3948"/>
      <c r="K82" s="3948"/>
      <c r="L82" s="3925" t="s">
        <v>414</v>
      </c>
      <c r="M82" s="3925"/>
      <c r="N82" s="3925"/>
      <c r="O82" s="3948" t="s">
        <v>701</v>
      </c>
      <c r="P82" s="3948"/>
      <c r="Q82" s="3948"/>
      <c r="R82" s="3948" t="s">
        <v>416</v>
      </c>
      <c r="S82" s="3948"/>
      <c r="T82" s="3948"/>
    </row>
    <row r="83" spans="1:21">
      <c r="B83" s="3848"/>
      <c r="C83" s="3327" t="s">
        <v>965</v>
      </c>
      <c r="D83" s="3327" t="s">
        <v>966</v>
      </c>
      <c r="E83" s="3327" t="s">
        <v>967</v>
      </c>
      <c r="F83" s="3327" t="s">
        <v>965</v>
      </c>
      <c r="G83" s="3327" t="s">
        <v>966</v>
      </c>
      <c r="H83" s="3327" t="s">
        <v>967</v>
      </c>
      <c r="I83" s="3327" t="s">
        <v>965</v>
      </c>
      <c r="J83" s="3327" t="s">
        <v>966</v>
      </c>
      <c r="K83" s="3327" t="s">
        <v>967</v>
      </c>
      <c r="L83" s="3327" t="s">
        <v>965</v>
      </c>
      <c r="M83" s="3327" t="s">
        <v>966</v>
      </c>
      <c r="N83" s="3327" t="s">
        <v>967</v>
      </c>
      <c r="O83" s="3327" t="s">
        <v>965</v>
      </c>
      <c r="P83" s="3327" t="s">
        <v>966</v>
      </c>
      <c r="Q83" s="3327" t="s">
        <v>967</v>
      </c>
      <c r="R83" s="3327" t="s">
        <v>965</v>
      </c>
      <c r="S83" s="3327" t="s">
        <v>966</v>
      </c>
      <c r="T83" s="3327" t="s">
        <v>967</v>
      </c>
    </row>
    <row r="84" spans="1:21">
      <c r="A84" s="58">
        <v>1</v>
      </c>
      <c r="B84" s="2938" t="s">
        <v>175</v>
      </c>
      <c r="C84" s="3329">
        <f t="shared" ref="C84:C102" si="12">+F84+I84+L84+O84+R84</f>
        <v>0</v>
      </c>
      <c r="D84" s="3329">
        <f t="shared" ref="D84:D102" si="13">+G84+J84+M84+P84+S84</f>
        <v>0</v>
      </c>
      <c r="E84" s="3329">
        <f t="shared" ref="E84:E102" si="14">+H84+K84+N84+Q84+T84</f>
        <v>121164405.37200001</v>
      </c>
      <c r="F84" s="3330"/>
      <c r="G84" s="3330"/>
      <c r="H84" s="3330">
        <v>62530032.725000001</v>
      </c>
      <c r="I84" s="3331"/>
      <c r="J84" s="3331"/>
      <c r="K84" s="3331">
        <v>37564780.978</v>
      </c>
      <c r="L84" s="3260"/>
      <c r="M84" s="3260"/>
      <c r="N84" s="3260">
        <v>14071922.304</v>
      </c>
      <c r="O84" s="3331"/>
      <c r="P84" s="3331"/>
      <c r="Q84" s="3331">
        <v>137500</v>
      </c>
      <c r="R84" s="3331"/>
      <c r="S84" s="3331"/>
      <c r="T84" s="3331">
        <v>6860169.3650000002</v>
      </c>
    </row>
    <row r="85" spans="1:21">
      <c r="A85" s="58">
        <v>2</v>
      </c>
      <c r="B85" s="2939" t="s">
        <v>177</v>
      </c>
      <c r="C85" s="3329">
        <f t="shared" si="12"/>
        <v>0</v>
      </c>
      <c r="D85" s="3329">
        <f t="shared" si="13"/>
        <v>0</v>
      </c>
      <c r="E85" s="3329">
        <f t="shared" si="14"/>
        <v>0</v>
      </c>
      <c r="F85" s="3330"/>
      <c r="G85" s="3330"/>
      <c r="H85" s="3330"/>
      <c r="I85" s="2818"/>
      <c r="J85" s="2818"/>
      <c r="K85" s="2818"/>
      <c r="L85" s="3262"/>
      <c r="M85" s="3262"/>
      <c r="N85" s="3262"/>
      <c r="O85" s="2818"/>
      <c r="P85" s="2818"/>
      <c r="Q85" s="2818"/>
      <c r="R85" s="2818"/>
      <c r="S85" s="2818"/>
      <c r="T85" s="2818"/>
    </row>
    <row r="86" spans="1:21">
      <c r="A86" s="58">
        <v>3</v>
      </c>
      <c r="B86" s="2938" t="s">
        <v>179</v>
      </c>
      <c r="C86" s="3329">
        <f t="shared" si="12"/>
        <v>0</v>
      </c>
      <c r="D86" s="3329">
        <f t="shared" si="13"/>
        <v>0</v>
      </c>
      <c r="E86" s="3329">
        <f t="shared" si="14"/>
        <v>470780852</v>
      </c>
      <c r="F86" s="3330"/>
      <c r="G86" s="3330"/>
      <c r="H86" s="3330">
        <v>354608966</v>
      </c>
      <c r="I86" s="2818"/>
      <c r="J86" s="2818"/>
      <c r="K86" s="2818">
        <v>54220317</v>
      </c>
      <c r="L86" s="3262"/>
      <c r="M86" s="3262"/>
      <c r="N86" s="3262">
        <v>40178460</v>
      </c>
      <c r="O86" s="2818"/>
      <c r="P86" s="2818"/>
      <c r="Q86" s="2818">
        <v>7838031</v>
      </c>
      <c r="R86" s="2818"/>
      <c r="S86" s="2818"/>
      <c r="T86" s="2818">
        <v>13935078</v>
      </c>
    </row>
    <row r="87" spans="1:21">
      <c r="A87" s="58">
        <v>4</v>
      </c>
      <c r="B87" s="2938" t="s">
        <v>180</v>
      </c>
      <c r="C87" s="3329">
        <f t="shared" si="12"/>
        <v>0</v>
      </c>
      <c r="D87" s="3329">
        <f t="shared" si="13"/>
        <v>0</v>
      </c>
      <c r="E87" s="3329">
        <f t="shared" si="14"/>
        <v>145937139.6437144</v>
      </c>
      <c r="F87" s="3330"/>
      <c r="G87" s="3330"/>
      <c r="H87" s="3330">
        <v>56882667.6657978</v>
      </c>
      <c r="I87" s="2818"/>
      <c r="J87" s="2818"/>
      <c r="K87" s="2818">
        <v>50483732.281398803</v>
      </c>
      <c r="L87" s="3262"/>
      <c r="M87" s="3262"/>
      <c r="N87" s="3262">
        <v>14933718.876061</v>
      </c>
      <c r="O87" s="2818"/>
      <c r="P87" s="2818"/>
      <c r="Q87" s="2818">
        <v>862678.51450000005</v>
      </c>
      <c r="R87" s="2818"/>
      <c r="S87" s="2818"/>
      <c r="T87" s="2818">
        <v>22774342.3059568</v>
      </c>
    </row>
    <row r="88" spans="1:21">
      <c r="A88" s="58">
        <v>5</v>
      </c>
      <c r="B88" s="2939" t="s">
        <v>181</v>
      </c>
      <c r="C88" s="3329">
        <f t="shared" si="12"/>
        <v>0</v>
      </c>
      <c r="D88" s="3329">
        <f t="shared" si="13"/>
        <v>0</v>
      </c>
      <c r="E88" s="3329">
        <f t="shared" si="14"/>
        <v>909862839.5365901</v>
      </c>
      <c r="F88" s="3330"/>
      <c r="G88" s="3330"/>
      <c r="H88" s="3330">
        <v>443025959.04095</v>
      </c>
      <c r="I88" s="2818"/>
      <c r="J88" s="2818"/>
      <c r="K88" s="2818">
        <v>152685516.70965999</v>
      </c>
      <c r="L88" s="3262"/>
      <c r="M88" s="3262"/>
      <c r="N88" s="3262">
        <v>12119992.12353</v>
      </c>
      <c r="O88" s="2818"/>
      <c r="P88" s="2818"/>
      <c r="Q88" s="2818">
        <v>773842.40300000005</v>
      </c>
      <c r="R88" s="2818"/>
      <c r="S88" s="2818"/>
      <c r="T88" s="2818">
        <v>301257529.25945002</v>
      </c>
    </row>
    <row r="89" spans="1:21">
      <c r="A89" s="58">
        <v>6</v>
      </c>
      <c r="B89" s="2939" t="s">
        <v>182</v>
      </c>
      <c r="C89" s="3329">
        <f t="shared" si="12"/>
        <v>0</v>
      </c>
      <c r="D89" s="3329">
        <f t="shared" si="13"/>
        <v>0</v>
      </c>
      <c r="E89" s="3329">
        <f t="shared" si="14"/>
        <v>0</v>
      </c>
      <c r="F89" s="3330"/>
      <c r="G89" s="3330"/>
      <c r="H89" s="3330"/>
      <c r="I89" s="2818"/>
      <c r="J89" s="2818"/>
      <c r="K89" s="2818"/>
      <c r="L89" s="3262"/>
      <c r="M89" s="3262"/>
      <c r="N89" s="3262"/>
      <c r="O89" s="2818"/>
      <c r="P89" s="2818"/>
      <c r="Q89" s="2818"/>
      <c r="R89" s="2818"/>
      <c r="S89" s="2818"/>
      <c r="T89" s="2818"/>
    </row>
    <row r="90" spans="1:21">
      <c r="A90" s="58">
        <v>7</v>
      </c>
      <c r="B90" s="2938" t="s">
        <v>183</v>
      </c>
      <c r="C90" s="3329">
        <f t="shared" si="12"/>
        <v>0</v>
      </c>
      <c r="D90" s="3329">
        <f t="shared" si="13"/>
        <v>0</v>
      </c>
      <c r="E90" s="3329">
        <f t="shared" si="14"/>
        <v>1546910286.984</v>
      </c>
      <c r="F90" s="3330"/>
      <c r="G90" s="3330"/>
      <c r="H90" s="3330">
        <v>628042652.03799999</v>
      </c>
      <c r="I90" s="2818"/>
      <c r="J90" s="2818"/>
      <c r="K90" s="2818">
        <v>267678334.32699999</v>
      </c>
      <c r="L90" s="3262"/>
      <c r="M90" s="3262"/>
      <c r="N90" s="3262">
        <v>290165607.88499999</v>
      </c>
      <c r="O90" s="2818"/>
      <c r="P90" s="2818"/>
      <c r="Q90" s="2818">
        <v>32866448.916999999</v>
      </c>
      <c r="R90" s="2818"/>
      <c r="S90" s="2818"/>
      <c r="T90" s="2818">
        <v>328157243.81699997</v>
      </c>
    </row>
    <row r="91" spans="1:21">
      <c r="A91" s="58">
        <v>8</v>
      </c>
      <c r="B91" s="2938" t="s">
        <v>184</v>
      </c>
      <c r="C91" s="3329">
        <f t="shared" si="12"/>
        <v>0</v>
      </c>
      <c r="D91" s="3329">
        <f t="shared" si="13"/>
        <v>0</v>
      </c>
      <c r="E91" s="3329">
        <f t="shared" si="14"/>
        <v>91327322.20182395</v>
      </c>
      <c r="F91" s="3330"/>
      <c r="G91" s="3330"/>
      <c r="H91" s="3330">
        <v>6043950.3038239498</v>
      </c>
      <c r="I91" s="2818"/>
      <c r="J91" s="2818"/>
      <c r="K91" s="2818">
        <v>4157133.1919999998</v>
      </c>
      <c r="L91" s="3262"/>
      <c r="M91" s="3262"/>
      <c r="N91" s="3262">
        <v>9081986.3259999994</v>
      </c>
      <c r="O91" s="2818"/>
      <c r="P91" s="2818"/>
      <c r="Q91" s="2818">
        <v>1652457.311</v>
      </c>
      <c r="R91" s="2818"/>
      <c r="S91" s="2818"/>
      <c r="T91" s="2818">
        <v>70391795.069000006</v>
      </c>
    </row>
    <row r="92" spans="1:21">
      <c r="A92" s="58">
        <v>9</v>
      </c>
      <c r="B92" s="2939" t="s">
        <v>185</v>
      </c>
      <c r="C92" s="3329">
        <f t="shared" si="12"/>
        <v>0</v>
      </c>
      <c r="D92" s="3329">
        <f t="shared" si="13"/>
        <v>0</v>
      </c>
      <c r="E92" s="3329">
        <f t="shared" si="14"/>
        <v>0</v>
      </c>
      <c r="F92" s="3330"/>
      <c r="G92" s="3330"/>
      <c r="H92" s="3330"/>
      <c r="I92" s="2818"/>
      <c r="J92" s="2818"/>
      <c r="K92" s="2818"/>
      <c r="L92" s="3262"/>
      <c r="M92" s="3262"/>
      <c r="N92" s="3262"/>
      <c r="O92" s="2818"/>
      <c r="P92" s="2818"/>
      <c r="Q92" s="2818"/>
      <c r="R92" s="2818"/>
      <c r="S92" s="2818"/>
      <c r="T92" s="2818"/>
    </row>
    <row r="93" spans="1:21">
      <c r="A93" s="58">
        <v>10</v>
      </c>
      <c r="B93" s="2938" t="s">
        <v>186</v>
      </c>
      <c r="C93" s="3329">
        <f t="shared" si="12"/>
        <v>0</v>
      </c>
      <c r="D93" s="3329">
        <f t="shared" si="13"/>
        <v>0</v>
      </c>
      <c r="E93" s="3329">
        <f t="shared" si="14"/>
        <v>0</v>
      </c>
      <c r="F93" s="3330"/>
      <c r="G93" s="3330"/>
      <c r="H93" s="3330"/>
      <c r="I93" s="2818"/>
      <c r="J93" s="2818"/>
      <c r="K93" s="2818"/>
      <c r="L93" s="3262"/>
      <c r="M93" s="3262"/>
      <c r="N93" s="3262"/>
      <c r="O93" s="2818"/>
      <c r="P93" s="2818"/>
      <c r="Q93" s="2818"/>
      <c r="R93" s="2818"/>
      <c r="S93" s="2818"/>
      <c r="T93" s="2818"/>
    </row>
    <row r="94" spans="1:21">
      <c r="A94" s="58">
        <v>11</v>
      </c>
      <c r="B94" s="2938" t="s">
        <v>187</v>
      </c>
      <c r="C94" s="3329">
        <f t="shared" si="12"/>
        <v>0</v>
      </c>
      <c r="D94" s="3329">
        <f t="shared" si="13"/>
        <v>0</v>
      </c>
      <c r="E94" s="3329">
        <f t="shared" si="14"/>
        <v>116472287</v>
      </c>
      <c r="F94" s="3330"/>
      <c r="G94" s="3330"/>
      <c r="H94" s="3330">
        <v>3805659</v>
      </c>
      <c r="I94" s="2818"/>
      <c r="J94" s="2818"/>
      <c r="K94" s="2818">
        <v>85030804</v>
      </c>
      <c r="L94" s="3262"/>
      <c r="M94" s="3262"/>
      <c r="N94" s="3262">
        <v>583473</v>
      </c>
      <c r="O94" s="2818"/>
      <c r="P94" s="2818"/>
      <c r="Q94" s="2818"/>
      <c r="R94" s="2818"/>
      <c r="S94" s="2818"/>
      <c r="T94" s="2818">
        <v>27052351</v>
      </c>
    </row>
    <row r="95" spans="1:21">
      <c r="A95" s="58">
        <v>12</v>
      </c>
      <c r="B95" s="2938" t="s">
        <v>189</v>
      </c>
      <c r="C95" s="3329">
        <f t="shared" si="12"/>
        <v>0</v>
      </c>
      <c r="D95" s="3329">
        <f t="shared" si="13"/>
        <v>0</v>
      </c>
      <c r="E95" s="3329">
        <f t="shared" si="14"/>
        <v>0</v>
      </c>
      <c r="F95" s="3330"/>
      <c r="G95" s="3330"/>
      <c r="H95" s="3330"/>
      <c r="I95" s="2818"/>
      <c r="J95" s="2818"/>
      <c r="K95" s="2818"/>
      <c r="L95" s="3262"/>
      <c r="M95" s="3262"/>
      <c r="N95" s="3262"/>
      <c r="O95" s="2818"/>
      <c r="P95" s="2818"/>
      <c r="Q95" s="2818"/>
      <c r="R95" s="2818"/>
      <c r="S95" s="2818"/>
      <c r="T95" s="2818"/>
    </row>
    <row r="96" spans="1:21" s="72" customFormat="1">
      <c r="A96" s="71">
        <v>13</v>
      </c>
      <c r="B96" s="3268" t="s">
        <v>190</v>
      </c>
      <c r="C96" s="3334">
        <f t="shared" si="12"/>
        <v>0</v>
      </c>
      <c r="D96" s="3334">
        <f t="shared" si="13"/>
        <v>0</v>
      </c>
      <c r="E96" s="3334">
        <f t="shared" si="14"/>
        <v>0</v>
      </c>
      <c r="F96" s="3335"/>
      <c r="G96" s="3335"/>
      <c r="H96" s="3335"/>
      <c r="I96" s="3261"/>
      <c r="J96" s="3261"/>
      <c r="K96" s="3261"/>
      <c r="L96" s="3261"/>
      <c r="M96" s="3261"/>
      <c r="N96" s="3261"/>
      <c r="O96" s="3261"/>
      <c r="P96" s="3261"/>
      <c r="Q96" s="3261"/>
      <c r="R96" s="3261"/>
      <c r="S96" s="3261"/>
      <c r="T96" s="3261"/>
      <c r="U96" s="72" t="s">
        <v>837</v>
      </c>
    </row>
    <row r="97" spans="1:20">
      <c r="A97" s="58">
        <v>14</v>
      </c>
      <c r="B97" s="2939" t="s">
        <v>192</v>
      </c>
      <c r="C97" s="3329">
        <f t="shared" si="12"/>
        <v>0</v>
      </c>
      <c r="D97" s="3329">
        <f t="shared" si="13"/>
        <v>0</v>
      </c>
      <c r="E97" s="3329">
        <f t="shared" si="14"/>
        <v>0</v>
      </c>
      <c r="F97" s="3330"/>
      <c r="G97" s="3330"/>
      <c r="H97" s="3330"/>
      <c r="I97" s="2818"/>
      <c r="J97" s="2818"/>
      <c r="K97" s="2818"/>
      <c r="L97" s="3262"/>
      <c r="M97" s="3262"/>
      <c r="N97" s="3262"/>
      <c r="O97" s="2818"/>
      <c r="P97" s="2818"/>
      <c r="Q97" s="2818"/>
      <c r="R97" s="2818"/>
      <c r="S97" s="2818"/>
      <c r="T97" s="2818"/>
    </row>
    <row r="98" spans="1:20">
      <c r="A98" s="58">
        <v>15</v>
      </c>
      <c r="B98" s="2938" t="s">
        <v>193</v>
      </c>
      <c r="C98" s="3329">
        <f t="shared" si="12"/>
        <v>0</v>
      </c>
      <c r="D98" s="3329">
        <f t="shared" si="13"/>
        <v>0</v>
      </c>
      <c r="E98" s="3329">
        <f t="shared" si="14"/>
        <v>2173888607.7969999</v>
      </c>
      <c r="F98" s="3330"/>
      <c r="G98" s="3330"/>
      <c r="H98" s="3330">
        <v>1058104680.506</v>
      </c>
      <c r="I98" s="2818"/>
      <c r="J98" s="2818"/>
      <c r="K98" s="2818">
        <v>455532132.58700001</v>
      </c>
      <c r="L98" s="3262"/>
      <c r="M98" s="3262"/>
      <c r="N98" s="3262">
        <v>271574017.99599999</v>
      </c>
      <c r="O98" s="2818"/>
      <c r="P98" s="2818"/>
      <c r="Q98" s="2818">
        <v>15385803.509</v>
      </c>
      <c r="R98" s="2818"/>
      <c r="S98" s="2818"/>
      <c r="T98" s="2818">
        <v>373291973.199</v>
      </c>
    </row>
    <row r="99" spans="1:20">
      <c r="A99" s="58">
        <v>16</v>
      </c>
      <c r="B99" s="2938" t="s">
        <v>194</v>
      </c>
      <c r="C99" s="3329">
        <f t="shared" si="12"/>
        <v>0</v>
      </c>
      <c r="D99" s="3329">
        <f t="shared" si="13"/>
        <v>0</v>
      </c>
      <c r="E99" s="3329">
        <f t="shared" si="14"/>
        <v>4419023.37</v>
      </c>
      <c r="F99" s="3330"/>
      <c r="G99" s="3330"/>
      <c r="H99" s="3330">
        <v>2113685.1710000001</v>
      </c>
      <c r="I99" s="2818"/>
      <c r="J99" s="2818"/>
      <c r="K99" s="2818">
        <v>0</v>
      </c>
      <c r="L99" s="3262"/>
      <c r="M99" s="3262"/>
      <c r="N99" s="3262">
        <v>2300898.199</v>
      </c>
      <c r="O99" s="2818"/>
      <c r="P99" s="2818"/>
      <c r="Q99" s="2818">
        <v>4440</v>
      </c>
      <c r="R99" s="2818"/>
      <c r="S99" s="2818"/>
      <c r="T99" s="3261"/>
    </row>
    <row r="100" spans="1:20">
      <c r="A100" s="58">
        <v>17</v>
      </c>
      <c r="B100" s="2938" t="s">
        <v>195</v>
      </c>
      <c r="C100" s="3329">
        <f t="shared" si="12"/>
        <v>0</v>
      </c>
      <c r="D100" s="3329">
        <f t="shared" si="13"/>
        <v>0</v>
      </c>
      <c r="E100" s="3329">
        <f t="shared" si="14"/>
        <v>892017957</v>
      </c>
      <c r="F100" s="3330"/>
      <c r="G100" s="3330"/>
      <c r="H100" s="3330">
        <v>444269649</v>
      </c>
      <c r="I100" s="2818"/>
      <c r="J100" s="2818"/>
      <c r="K100" s="2818">
        <v>270464171</v>
      </c>
      <c r="L100" s="3262"/>
      <c r="M100" s="3262"/>
      <c r="N100" s="3262">
        <v>78829411</v>
      </c>
      <c r="O100" s="2818"/>
      <c r="P100" s="2818"/>
      <c r="Q100" s="2818">
        <v>11561937</v>
      </c>
      <c r="R100" s="2818"/>
      <c r="S100" s="2818"/>
      <c r="T100" s="2818">
        <v>86892789</v>
      </c>
    </row>
    <row r="101" spans="1:20">
      <c r="A101" s="58">
        <v>18</v>
      </c>
      <c r="B101" s="2939" t="s">
        <v>191</v>
      </c>
      <c r="C101" s="3329">
        <f t="shared" si="12"/>
        <v>0</v>
      </c>
      <c r="D101" s="3329">
        <f t="shared" si="13"/>
        <v>0</v>
      </c>
      <c r="E101" s="3329">
        <f t="shared" si="14"/>
        <v>0</v>
      </c>
      <c r="F101" s="3330"/>
      <c r="G101" s="3330"/>
      <c r="H101" s="3330"/>
      <c r="I101" s="2818"/>
      <c r="J101" s="2818"/>
      <c r="K101" s="2818"/>
      <c r="L101" s="3262"/>
      <c r="M101" s="3262"/>
      <c r="N101" s="3262"/>
      <c r="O101" s="2818"/>
      <c r="P101" s="2818"/>
      <c r="Q101" s="2818"/>
      <c r="R101" s="2818"/>
      <c r="S101" s="2818"/>
      <c r="T101" s="2818"/>
    </row>
    <row r="102" spans="1:20">
      <c r="A102" s="58">
        <v>19</v>
      </c>
      <c r="B102" s="2939" t="s">
        <v>110</v>
      </c>
      <c r="C102" s="3329">
        <f t="shared" si="12"/>
        <v>0</v>
      </c>
      <c r="D102" s="3329">
        <f t="shared" si="13"/>
        <v>0</v>
      </c>
      <c r="E102" s="3329">
        <f t="shared" si="14"/>
        <v>0</v>
      </c>
      <c r="F102" s="3330"/>
      <c r="G102" s="3330"/>
      <c r="H102" s="3330"/>
      <c r="I102" s="2818"/>
      <c r="J102" s="2818"/>
      <c r="K102" s="2818"/>
      <c r="L102" s="3262"/>
      <c r="M102" s="3262"/>
      <c r="N102" s="3262"/>
      <c r="O102" s="2818"/>
      <c r="P102" s="2818"/>
      <c r="Q102" s="2818"/>
      <c r="R102" s="2818"/>
      <c r="S102" s="2818"/>
      <c r="T102" s="2818"/>
    </row>
    <row r="103" spans="1:20">
      <c r="B103" s="3122" t="s">
        <v>118</v>
      </c>
      <c r="C103" s="3117">
        <f>SUM(C84:C102)</f>
        <v>0</v>
      </c>
      <c r="D103" s="3117">
        <f>SUM(D84:D102)</f>
        <v>0</v>
      </c>
      <c r="E103" s="3117">
        <f>SUM(E84:E102)</f>
        <v>6472780720.9051285</v>
      </c>
      <c r="F103" s="3330">
        <f>SUM(F84:F102)</f>
        <v>0</v>
      </c>
      <c r="G103" s="3330">
        <f t="shared" ref="G103:T103" si="15">SUM(G84:G102)</f>
        <v>0</v>
      </c>
      <c r="H103" s="3330">
        <f t="shared" si="15"/>
        <v>3059427901.450572</v>
      </c>
      <c r="I103" s="3259">
        <f t="shared" si="15"/>
        <v>0</v>
      </c>
      <c r="J103" s="3259">
        <f t="shared" si="15"/>
        <v>0</v>
      </c>
      <c r="K103" s="3259">
        <f t="shared" si="15"/>
        <v>1377816922.0750589</v>
      </c>
      <c r="L103" s="3263">
        <f t="shared" si="15"/>
        <v>0</v>
      </c>
      <c r="M103" s="3263">
        <f t="shared" si="15"/>
        <v>0</v>
      </c>
      <c r="N103" s="3263">
        <f t="shared" si="15"/>
        <v>733839487.70959103</v>
      </c>
      <c r="O103" s="3259">
        <f t="shared" si="15"/>
        <v>0</v>
      </c>
      <c r="P103" s="3259">
        <f t="shared" si="15"/>
        <v>0</v>
      </c>
      <c r="Q103" s="3259">
        <f t="shared" si="15"/>
        <v>71083138.654499993</v>
      </c>
      <c r="R103" s="3259">
        <f t="shared" si="15"/>
        <v>0</v>
      </c>
      <c r="S103" s="3259">
        <f t="shared" si="15"/>
        <v>0</v>
      </c>
      <c r="T103" s="3259">
        <f t="shared" si="15"/>
        <v>1230613271.0154066</v>
      </c>
    </row>
    <row r="104" spans="1:20">
      <c r="B104" s="46"/>
      <c r="C104" s="47"/>
      <c r="D104" s="47"/>
      <c r="E104" s="47"/>
      <c r="F104" s="48"/>
      <c r="G104" s="48"/>
      <c r="H104" s="48"/>
      <c r="I104" s="49"/>
      <c r="J104" s="49"/>
      <c r="K104" s="49"/>
      <c r="L104" s="50"/>
      <c r="M104" s="50"/>
      <c r="N104" s="50"/>
      <c r="O104" s="49"/>
      <c r="P104" s="49"/>
      <c r="Q104" s="49"/>
      <c r="R104" s="49"/>
      <c r="S104" s="49"/>
      <c r="T104" s="49"/>
    </row>
    <row r="107" spans="1:20">
      <c r="B107" s="3111" t="s">
        <v>971</v>
      </c>
    </row>
    <row r="108" spans="1:20">
      <c r="B108" s="3848" t="s">
        <v>709</v>
      </c>
      <c r="C108" s="3958" t="s">
        <v>118</v>
      </c>
      <c r="D108" s="3958"/>
      <c r="E108" s="3958"/>
      <c r="F108" s="3944" t="s">
        <v>412</v>
      </c>
      <c r="G108" s="3944"/>
      <c r="H108" s="3944"/>
      <c r="I108" s="3948" t="s">
        <v>413</v>
      </c>
      <c r="J108" s="3948"/>
      <c r="K108" s="3948"/>
      <c r="L108" s="3925" t="s">
        <v>414</v>
      </c>
      <c r="M108" s="3925"/>
      <c r="N108" s="3925"/>
      <c r="O108" s="3948" t="s">
        <v>701</v>
      </c>
      <c r="P108" s="3948"/>
      <c r="Q108" s="3948"/>
      <c r="R108" s="3948" t="s">
        <v>416</v>
      </c>
      <c r="S108" s="3948"/>
      <c r="T108" s="3948"/>
    </row>
    <row r="109" spans="1:20">
      <c r="B109" s="3848"/>
      <c r="C109" s="3327" t="s">
        <v>965</v>
      </c>
      <c r="D109" s="3327" t="s">
        <v>966</v>
      </c>
      <c r="E109" s="3327" t="s">
        <v>967</v>
      </c>
      <c r="F109" s="3327" t="s">
        <v>965</v>
      </c>
      <c r="G109" s="3327" t="s">
        <v>966</v>
      </c>
      <c r="H109" s="3327" t="s">
        <v>967</v>
      </c>
      <c r="I109" s="3327" t="s">
        <v>965</v>
      </c>
      <c r="J109" s="3327" t="s">
        <v>966</v>
      </c>
      <c r="K109" s="3327" t="s">
        <v>967</v>
      </c>
      <c r="L109" s="3327" t="s">
        <v>965</v>
      </c>
      <c r="M109" s="3327" t="s">
        <v>966</v>
      </c>
      <c r="N109" s="3327" t="s">
        <v>967</v>
      </c>
      <c r="O109" s="3327" t="s">
        <v>965</v>
      </c>
      <c r="P109" s="3327" t="s">
        <v>966</v>
      </c>
      <c r="Q109" s="3327" t="s">
        <v>967</v>
      </c>
      <c r="R109" s="3327" t="s">
        <v>965</v>
      </c>
      <c r="S109" s="3327" t="s">
        <v>966</v>
      </c>
      <c r="T109" s="3327" t="s">
        <v>967</v>
      </c>
    </row>
    <row r="110" spans="1:20">
      <c r="A110" s="58">
        <v>1</v>
      </c>
      <c r="B110" s="2938" t="s">
        <v>175</v>
      </c>
      <c r="C110" s="3329">
        <f t="shared" ref="C110:C128" si="16">+F110+I110+L110+O110+R110</f>
        <v>0</v>
      </c>
      <c r="D110" s="3329">
        <f t="shared" ref="D110:D128" si="17">+G110+J110+M110+P110+S110</f>
        <v>0</v>
      </c>
      <c r="E110" s="3329">
        <f t="shared" ref="E110:E128" si="18">+H110+K110+N110+Q110+T110</f>
        <v>131668059.64600001</v>
      </c>
      <c r="F110" s="3330"/>
      <c r="G110" s="3330"/>
      <c r="H110" s="3330">
        <v>82405421.459000006</v>
      </c>
      <c r="I110" s="3331"/>
      <c r="J110" s="3331"/>
      <c r="K110" s="3331">
        <v>28082392.083000001</v>
      </c>
      <c r="L110" s="3260"/>
      <c r="M110" s="3260"/>
      <c r="N110" s="3260">
        <v>11604934.795</v>
      </c>
      <c r="O110" s="3331"/>
      <c r="P110" s="3331"/>
      <c r="Q110" s="3331">
        <v>127625</v>
      </c>
      <c r="R110" s="3331"/>
      <c r="S110" s="3331"/>
      <c r="T110" s="3331">
        <v>9447686.3090000004</v>
      </c>
    </row>
    <row r="111" spans="1:20">
      <c r="A111" s="58">
        <v>2</v>
      </c>
      <c r="B111" s="2939" t="s">
        <v>177</v>
      </c>
      <c r="C111" s="3329">
        <f t="shared" si="16"/>
        <v>0</v>
      </c>
      <c r="D111" s="3329">
        <f t="shared" si="17"/>
        <v>0</v>
      </c>
      <c r="E111" s="3329">
        <f t="shared" si="18"/>
        <v>0</v>
      </c>
      <c r="F111" s="3330"/>
      <c r="G111" s="3330"/>
      <c r="H111" s="3330"/>
      <c r="I111" s="2818"/>
      <c r="J111" s="2818"/>
      <c r="K111" s="2818"/>
      <c r="L111" s="3262"/>
      <c r="M111" s="3262"/>
      <c r="N111" s="3262"/>
      <c r="O111" s="2818"/>
      <c r="P111" s="2818"/>
      <c r="Q111" s="2818"/>
      <c r="R111" s="2818"/>
      <c r="S111" s="2818"/>
      <c r="T111" s="2818"/>
    </row>
    <row r="112" spans="1:20">
      <c r="A112" s="58">
        <v>3</v>
      </c>
      <c r="B112" s="2938" t="s">
        <v>179</v>
      </c>
      <c r="C112" s="3329">
        <f t="shared" si="16"/>
        <v>0</v>
      </c>
      <c r="D112" s="3329">
        <f t="shared" si="17"/>
        <v>0</v>
      </c>
      <c r="E112" s="3329">
        <f t="shared" si="18"/>
        <v>501268419</v>
      </c>
      <c r="F112" s="3330"/>
      <c r="G112" s="3330"/>
      <c r="H112" s="3330">
        <v>381936664</v>
      </c>
      <c r="I112" s="2818"/>
      <c r="J112" s="2818"/>
      <c r="K112" s="2818">
        <v>70014541</v>
      </c>
      <c r="L112" s="3262"/>
      <c r="M112" s="3262"/>
      <c r="N112" s="3262">
        <v>31158680</v>
      </c>
      <c r="O112" s="2818"/>
      <c r="P112" s="2818"/>
      <c r="Q112" s="2818">
        <v>6246122</v>
      </c>
      <c r="R112" s="2818"/>
      <c r="S112" s="2818"/>
      <c r="T112" s="2818">
        <v>11912412</v>
      </c>
    </row>
    <row r="113" spans="1:21">
      <c r="A113" s="58">
        <v>4</v>
      </c>
      <c r="B113" s="2938" t="s">
        <v>180</v>
      </c>
      <c r="C113" s="3329">
        <f t="shared" si="16"/>
        <v>0</v>
      </c>
      <c r="D113" s="3329">
        <f t="shared" si="17"/>
        <v>0</v>
      </c>
      <c r="E113" s="3329">
        <f t="shared" si="18"/>
        <v>128444841.53905389</v>
      </c>
      <c r="F113" s="3330"/>
      <c r="G113" s="3330"/>
      <c r="H113" s="3330">
        <v>48379622.024360098</v>
      </c>
      <c r="I113" s="2818"/>
      <c r="J113" s="2818"/>
      <c r="K113" s="2818">
        <v>45261756.699998595</v>
      </c>
      <c r="L113" s="3262"/>
      <c r="M113" s="3262"/>
      <c r="N113" s="3262">
        <v>12100569.824495001</v>
      </c>
      <c r="O113" s="2818"/>
      <c r="P113" s="2818"/>
      <c r="Q113" s="2818">
        <v>894751.96988999995</v>
      </c>
      <c r="R113" s="2818"/>
      <c r="S113" s="2818"/>
      <c r="T113" s="2818">
        <v>21808141.020310201</v>
      </c>
    </row>
    <row r="114" spans="1:21">
      <c r="A114" s="58">
        <v>5</v>
      </c>
      <c r="B114" s="2939" t="s">
        <v>181</v>
      </c>
      <c r="C114" s="3329">
        <f t="shared" si="16"/>
        <v>0</v>
      </c>
      <c r="D114" s="3329">
        <f t="shared" si="17"/>
        <v>0</v>
      </c>
      <c r="E114" s="3329">
        <f t="shared" si="18"/>
        <v>532848687.18642008</v>
      </c>
      <c r="F114" s="3330"/>
      <c r="G114" s="3330"/>
      <c r="H114" s="3330">
        <v>241719885.00446001</v>
      </c>
      <c r="I114" s="2818"/>
      <c r="J114" s="2818"/>
      <c r="K114" s="2818">
        <v>97930632.49639</v>
      </c>
      <c r="L114" s="3262"/>
      <c r="M114" s="3262"/>
      <c r="N114" s="3262">
        <v>6346763.7966999998</v>
      </c>
      <c r="O114" s="2818"/>
      <c r="P114" s="2818"/>
      <c r="Q114" s="2818">
        <v>571236.93799999997</v>
      </c>
      <c r="R114" s="2818"/>
      <c r="S114" s="2818"/>
      <c r="T114" s="2818">
        <v>186280168.95087001</v>
      </c>
    </row>
    <row r="115" spans="1:21">
      <c r="A115" s="58">
        <v>6</v>
      </c>
      <c r="B115" s="2939" t="s">
        <v>182</v>
      </c>
      <c r="C115" s="3329">
        <f t="shared" si="16"/>
        <v>0</v>
      </c>
      <c r="D115" s="3329">
        <f t="shared" si="17"/>
        <v>0</v>
      </c>
      <c r="E115" s="3329">
        <f t="shared" si="18"/>
        <v>0</v>
      </c>
      <c r="F115" s="3330"/>
      <c r="G115" s="3330"/>
      <c r="H115" s="3330"/>
      <c r="I115" s="2818"/>
      <c r="J115" s="2818"/>
      <c r="K115" s="2818"/>
      <c r="L115" s="3262"/>
      <c r="M115" s="3262"/>
      <c r="N115" s="3262"/>
      <c r="O115" s="2818"/>
      <c r="P115" s="2818"/>
      <c r="Q115" s="2818"/>
      <c r="R115" s="2818"/>
      <c r="S115" s="2818"/>
      <c r="T115" s="2818"/>
    </row>
    <row r="116" spans="1:21">
      <c r="A116" s="58">
        <v>7</v>
      </c>
      <c r="B116" s="2938" t="s">
        <v>183</v>
      </c>
      <c r="C116" s="3329">
        <f t="shared" si="16"/>
        <v>0</v>
      </c>
      <c r="D116" s="3329">
        <f t="shared" si="17"/>
        <v>0</v>
      </c>
      <c r="E116" s="3329">
        <f t="shared" si="18"/>
        <v>1223490969.2030001</v>
      </c>
      <c r="F116" s="3330"/>
      <c r="G116" s="3330"/>
      <c r="H116" s="3330">
        <v>475946487.222</v>
      </c>
      <c r="I116" s="2818"/>
      <c r="J116" s="2818"/>
      <c r="K116" s="2818">
        <v>216227013.19400001</v>
      </c>
      <c r="L116" s="3262"/>
      <c r="M116" s="3262"/>
      <c r="N116" s="3262">
        <v>264274504.502</v>
      </c>
      <c r="O116" s="2818"/>
      <c r="P116" s="2818"/>
      <c r="Q116" s="2818">
        <v>31367849.361000001</v>
      </c>
      <c r="R116" s="2818"/>
      <c r="S116" s="2818"/>
      <c r="T116" s="2818">
        <v>235675114.92399999</v>
      </c>
    </row>
    <row r="117" spans="1:21">
      <c r="A117" s="58">
        <v>8</v>
      </c>
      <c r="B117" s="2938" t="s">
        <v>184</v>
      </c>
      <c r="C117" s="3329">
        <f t="shared" si="16"/>
        <v>0</v>
      </c>
      <c r="D117" s="3329">
        <f t="shared" si="17"/>
        <v>0</v>
      </c>
      <c r="E117" s="3329">
        <f t="shared" si="18"/>
        <v>78823341.670014501</v>
      </c>
      <c r="F117" s="3330"/>
      <c r="G117" s="3330"/>
      <c r="H117" s="3330">
        <v>5083399.2830144996</v>
      </c>
      <c r="I117" s="2818"/>
      <c r="J117" s="2818"/>
      <c r="K117" s="2818">
        <v>2741315.4920000001</v>
      </c>
      <c r="L117" s="3262"/>
      <c r="M117" s="3262"/>
      <c r="N117" s="3262">
        <v>6158799.7529999996</v>
      </c>
      <c r="O117" s="2818"/>
      <c r="P117" s="2818"/>
      <c r="Q117" s="2818">
        <v>1404588.7139999999</v>
      </c>
      <c r="R117" s="2818"/>
      <c r="S117" s="2818"/>
      <c r="T117" s="2818">
        <v>63435238.428000003</v>
      </c>
    </row>
    <row r="118" spans="1:21">
      <c r="A118" s="58">
        <v>9</v>
      </c>
      <c r="B118" s="2939" t="s">
        <v>185</v>
      </c>
      <c r="C118" s="3329">
        <f t="shared" si="16"/>
        <v>0</v>
      </c>
      <c r="D118" s="3329">
        <f t="shared" si="17"/>
        <v>0</v>
      </c>
      <c r="E118" s="3329">
        <f t="shared" si="18"/>
        <v>0</v>
      </c>
      <c r="F118" s="3330"/>
      <c r="G118" s="3330"/>
      <c r="H118" s="3330"/>
      <c r="I118" s="2818"/>
      <c r="J118" s="2818"/>
      <c r="K118" s="2818"/>
      <c r="L118" s="3262"/>
      <c r="M118" s="3262"/>
      <c r="N118" s="3262"/>
      <c r="O118" s="2818"/>
      <c r="P118" s="2818"/>
      <c r="Q118" s="2818"/>
      <c r="R118" s="2818"/>
      <c r="S118" s="2818"/>
      <c r="T118" s="2818"/>
    </row>
    <row r="119" spans="1:21">
      <c r="A119" s="58">
        <v>10</v>
      </c>
      <c r="B119" s="2938" t="s">
        <v>186</v>
      </c>
      <c r="C119" s="3329">
        <f t="shared" si="16"/>
        <v>0</v>
      </c>
      <c r="D119" s="3329">
        <f t="shared" si="17"/>
        <v>0</v>
      </c>
      <c r="E119" s="3329">
        <f t="shared" si="18"/>
        <v>0</v>
      </c>
      <c r="F119" s="3330"/>
      <c r="G119" s="3330"/>
      <c r="H119" s="3330"/>
      <c r="I119" s="2818"/>
      <c r="J119" s="2818"/>
      <c r="K119" s="2818"/>
      <c r="L119" s="3262"/>
      <c r="M119" s="3262"/>
      <c r="N119" s="3262"/>
      <c r="O119" s="2818"/>
      <c r="P119" s="2818"/>
      <c r="Q119" s="2818"/>
      <c r="R119" s="2818"/>
      <c r="S119" s="2818"/>
      <c r="T119" s="2818"/>
    </row>
    <row r="120" spans="1:21">
      <c r="A120" s="58">
        <v>11</v>
      </c>
      <c r="B120" s="2938" t="s">
        <v>187</v>
      </c>
      <c r="C120" s="3329">
        <f t="shared" si="16"/>
        <v>0</v>
      </c>
      <c r="D120" s="3329">
        <f t="shared" si="17"/>
        <v>0</v>
      </c>
      <c r="E120" s="3329">
        <f t="shared" si="18"/>
        <v>103667114</v>
      </c>
      <c r="F120" s="3330"/>
      <c r="G120" s="3330"/>
      <c r="H120" s="3330">
        <v>1776070</v>
      </c>
      <c r="I120" s="2818"/>
      <c r="J120" s="2818"/>
      <c r="K120" s="2818">
        <v>68147636</v>
      </c>
      <c r="L120" s="3262"/>
      <c r="M120" s="3262"/>
      <c r="N120" s="3262">
        <v>469784</v>
      </c>
      <c r="O120" s="2818"/>
      <c r="P120" s="2818"/>
      <c r="Q120" s="2818"/>
      <c r="R120" s="2818"/>
      <c r="S120" s="2818"/>
      <c r="T120" s="2818">
        <v>33273624</v>
      </c>
    </row>
    <row r="121" spans="1:21">
      <c r="A121" s="58">
        <v>12</v>
      </c>
      <c r="B121" s="2938" t="s">
        <v>189</v>
      </c>
      <c r="C121" s="3329">
        <f t="shared" si="16"/>
        <v>0</v>
      </c>
      <c r="D121" s="3329">
        <f t="shared" si="17"/>
        <v>0</v>
      </c>
      <c r="E121" s="3329">
        <f t="shared" si="18"/>
        <v>0</v>
      </c>
      <c r="F121" s="3330"/>
      <c r="G121" s="3330"/>
      <c r="H121" s="3330"/>
      <c r="I121" s="2818"/>
      <c r="J121" s="2818"/>
      <c r="K121" s="2818"/>
      <c r="L121" s="3262"/>
      <c r="M121" s="3262"/>
      <c r="N121" s="3262"/>
      <c r="O121" s="2818"/>
      <c r="P121" s="2818"/>
      <c r="Q121" s="2818"/>
      <c r="R121" s="2818"/>
      <c r="S121" s="2818"/>
      <c r="T121" s="2818"/>
    </row>
    <row r="122" spans="1:21" s="72" customFormat="1">
      <c r="A122" s="71">
        <v>13</v>
      </c>
      <c r="B122" s="3268" t="s">
        <v>190</v>
      </c>
      <c r="C122" s="3334">
        <f t="shared" si="16"/>
        <v>0</v>
      </c>
      <c r="D122" s="3334">
        <f t="shared" si="17"/>
        <v>0</v>
      </c>
      <c r="E122" s="3334">
        <f t="shared" si="18"/>
        <v>0</v>
      </c>
      <c r="F122" s="3335"/>
      <c r="G122" s="3335"/>
      <c r="H122" s="3335"/>
      <c r="I122" s="3261"/>
      <c r="J122" s="3261"/>
      <c r="K122" s="3261"/>
      <c r="L122" s="3261"/>
      <c r="M122" s="3261"/>
      <c r="N122" s="3261"/>
      <c r="O122" s="3261"/>
      <c r="P122" s="3261"/>
      <c r="Q122" s="3261"/>
      <c r="R122" s="3261"/>
      <c r="S122" s="3261"/>
      <c r="T122" s="3261"/>
      <c r="U122" s="72" t="s">
        <v>837</v>
      </c>
    </row>
    <row r="123" spans="1:21">
      <c r="A123" s="58">
        <v>14</v>
      </c>
      <c r="B123" s="2939" t="s">
        <v>192</v>
      </c>
      <c r="C123" s="3329">
        <f t="shared" si="16"/>
        <v>0</v>
      </c>
      <c r="D123" s="3329">
        <f t="shared" si="17"/>
        <v>0</v>
      </c>
      <c r="E123" s="3329">
        <f t="shared" si="18"/>
        <v>0</v>
      </c>
      <c r="F123" s="3330"/>
      <c r="G123" s="3330"/>
      <c r="H123" s="3330"/>
      <c r="I123" s="2818"/>
      <c r="J123" s="2818"/>
      <c r="K123" s="2818"/>
      <c r="L123" s="3262"/>
      <c r="M123" s="3262"/>
      <c r="N123" s="3262"/>
      <c r="O123" s="2818"/>
      <c r="P123" s="2818"/>
      <c r="Q123" s="2818"/>
      <c r="R123" s="2818"/>
      <c r="S123" s="2818"/>
      <c r="T123" s="2818"/>
    </row>
    <row r="124" spans="1:21">
      <c r="A124" s="58">
        <v>15</v>
      </c>
      <c r="B124" s="2938" t="s">
        <v>193</v>
      </c>
      <c r="C124" s="3329">
        <f t="shared" si="16"/>
        <v>0</v>
      </c>
      <c r="D124" s="3329">
        <f t="shared" si="17"/>
        <v>0</v>
      </c>
      <c r="E124" s="3329">
        <f t="shared" si="18"/>
        <v>2570877860.1539998</v>
      </c>
      <c r="F124" s="3330"/>
      <c r="G124" s="3330"/>
      <c r="H124" s="3330">
        <v>1069202522.364</v>
      </c>
      <c r="I124" s="2818"/>
      <c r="J124" s="2818"/>
      <c r="K124" s="2818">
        <v>609991151.74800003</v>
      </c>
      <c r="L124" s="3262"/>
      <c r="M124" s="3262"/>
      <c r="N124" s="3262">
        <v>396505762.29799998</v>
      </c>
      <c r="O124" s="2818"/>
      <c r="P124" s="2818"/>
      <c r="Q124" s="2818">
        <v>17385640.219000001</v>
      </c>
      <c r="R124" s="2818"/>
      <c r="S124" s="2818"/>
      <c r="T124" s="2818">
        <v>477792783.52499998</v>
      </c>
    </row>
    <row r="125" spans="1:21">
      <c r="A125" s="58">
        <v>16</v>
      </c>
      <c r="B125" s="2938" t="s">
        <v>194</v>
      </c>
      <c r="C125" s="3329">
        <f t="shared" si="16"/>
        <v>0</v>
      </c>
      <c r="D125" s="3329">
        <f t="shared" si="17"/>
        <v>0</v>
      </c>
      <c r="E125" s="3329">
        <f t="shared" si="18"/>
        <v>3897729.6359999999</v>
      </c>
      <c r="F125" s="3330"/>
      <c r="G125" s="3330"/>
      <c r="H125" s="3330">
        <v>1439494.4069999999</v>
      </c>
      <c r="I125" s="2818"/>
      <c r="J125" s="2818"/>
      <c r="K125" s="2818">
        <v>0</v>
      </c>
      <c r="L125" s="3262"/>
      <c r="M125" s="3262"/>
      <c r="N125" s="3262">
        <v>2458235.2289999998</v>
      </c>
      <c r="O125" s="2818"/>
      <c r="P125" s="2818"/>
      <c r="Q125" s="2818">
        <v>0</v>
      </c>
      <c r="R125" s="2818"/>
      <c r="S125" s="2818"/>
      <c r="T125" s="3261">
        <v>0</v>
      </c>
    </row>
    <row r="126" spans="1:21">
      <c r="A126" s="58">
        <v>17</v>
      </c>
      <c r="B126" s="2938" t="s">
        <v>195</v>
      </c>
      <c r="C126" s="3329">
        <f t="shared" si="16"/>
        <v>0</v>
      </c>
      <c r="D126" s="3329">
        <f t="shared" si="17"/>
        <v>0</v>
      </c>
      <c r="E126" s="3329">
        <f t="shared" si="18"/>
        <v>734538001</v>
      </c>
      <c r="F126" s="3330"/>
      <c r="G126" s="3330"/>
      <c r="H126" s="3330">
        <v>349321084</v>
      </c>
      <c r="I126" s="2818"/>
      <c r="J126" s="2818"/>
      <c r="K126" s="2818">
        <v>231651752</v>
      </c>
      <c r="L126" s="3262"/>
      <c r="M126" s="3262"/>
      <c r="N126" s="3262">
        <v>61139506</v>
      </c>
      <c r="O126" s="2818"/>
      <c r="P126" s="2818"/>
      <c r="Q126" s="2818">
        <v>12434777</v>
      </c>
      <c r="R126" s="2818"/>
      <c r="S126" s="2818"/>
      <c r="T126" s="2818">
        <v>79990882</v>
      </c>
    </row>
    <row r="127" spans="1:21">
      <c r="A127" s="58">
        <v>18</v>
      </c>
      <c r="B127" s="2939" t="s">
        <v>191</v>
      </c>
      <c r="C127" s="3329">
        <f t="shared" si="16"/>
        <v>0</v>
      </c>
      <c r="D127" s="3329">
        <f t="shared" si="17"/>
        <v>0</v>
      </c>
      <c r="E127" s="3329">
        <f t="shared" si="18"/>
        <v>0</v>
      </c>
      <c r="F127" s="3330"/>
      <c r="G127" s="3330"/>
      <c r="H127" s="3330"/>
      <c r="I127" s="2818"/>
      <c r="J127" s="2818"/>
      <c r="K127" s="2818"/>
      <c r="L127" s="3262"/>
      <c r="M127" s="3262"/>
      <c r="N127" s="3262"/>
      <c r="O127" s="2818"/>
      <c r="P127" s="2818"/>
      <c r="Q127" s="2818"/>
      <c r="R127" s="2818"/>
      <c r="S127" s="2818"/>
      <c r="T127" s="2818"/>
    </row>
    <row r="128" spans="1:21">
      <c r="A128" s="58">
        <v>19</v>
      </c>
      <c r="B128" s="2939" t="s">
        <v>110</v>
      </c>
      <c r="C128" s="3329">
        <f t="shared" si="16"/>
        <v>0</v>
      </c>
      <c r="D128" s="3329">
        <f t="shared" si="17"/>
        <v>0</v>
      </c>
      <c r="E128" s="3329">
        <f t="shared" si="18"/>
        <v>0</v>
      </c>
      <c r="F128" s="3330"/>
      <c r="G128" s="3330"/>
      <c r="H128" s="3330"/>
      <c r="I128" s="2818"/>
      <c r="J128" s="2818"/>
      <c r="K128" s="2818"/>
      <c r="L128" s="3262"/>
      <c r="M128" s="3262"/>
      <c r="N128" s="3262"/>
      <c r="O128" s="2818"/>
      <c r="P128" s="2818"/>
      <c r="Q128" s="2818"/>
      <c r="R128" s="2818"/>
      <c r="S128" s="2818"/>
      <c r="T128" s="2818"/>
    </row>
    <row r="129" spans="2:20">
      <c r="B129" s="3122" t="s">
        <v>118</v>
      </c>
      <c r="C129" s="3117">
        <f>SUM(C110:C128)</f>
        <v>0</v>
      </c>
      <c r="D129" s="3117">
        <f>SUM(D110:D128)</f>
        <v>0</v>
      </c>
      <c r="E129" s="3117">
        <f>SUM(E110:E128)</f>
        <v>6009525023.0344887</v>
      </c>
      <c r="F129" s="3330">
        <f>SUM(F110:F128)</f>
        <v>0</v>
      </c>
      <c r="G129" s="3330">
        <f t="shared" ref="G129:T129" si="19">SUM(G110:G128)</f>
        <v>0</v>
      </c>
      <c r="H129" s="3330">
        <f t="shared" si="19"/>
        <v>2657210649.763835</v>
      </c>
      <c r="I129" s="3259">
        <f t="shared" si="19"/>
        <v>0</v>
      </c>
      <c r="J129" s="3259">
        <f t="shared" si="19"/>
        <v>0</v>
      </c>
      <c r="K129" s="3259">
        <f t="shared" si="19"/>
        <v>1370048190.7133887</v>
      </c>
      <c r="L129" s="3263">
        <f t="shared" si="19"/>
        <v>0</v>
      </c>
      <c r="M129" s="3263">
        <f t="shared" si="19"/>
        <v>0</v>
      </c>
      <c r="N129" s="3263">
        <f t="shared" si="19"/>
        <v>792217540.19819498</v>
      </c>
      <c r="O129" s="3259">
        <f t="shared" si="19"/>
        <v>0</v>
      </c>
      <c r="P129" s="3259">
        <f t="shared" si="19"/>
        <v>0</v>
      </c>
      <c r="Q129" s="3259">
        <f t="shared" si="19"/>
        <v>70432591.201890007</v>
      </c>
      <c r="R129" s="3259">
        <f t="shared" si="19"/>
        <v>0</v>
      </c>
      <c r="S129" s="3259">
        <f t="shared" si="19"/>
        <v>0</v>
      </c>
      <c r="T129" s="3259">
        <f t="shared" si="19"/>
        <v>1119616051.1571803</v>
      </c>
    </row>
    <row r="130" spans="2:20">
      <c r="B130" s="46"/>
      <c r="C130" s="47"/>
      <c r="D130" s="47"/>
      <c r="E130" s="47"/>
      <c r="F130" s="48"/>
      <c r="G130" s="48"/>
      <c r="H130" s="48"/>
      <c r="I130" s="49"/>
      <c r="J130" s="49"/>
      <c r="K130" s="49"/>
      <c r="L130" s="50"/>
      <c r="M130" s="50"/>
      <c r="N130" s="50"/>
      <c r="O130" s="49"/>
      <c r="P130" s="49"/>
      <c r="Q130" s="49"/>
      <c r="R130" s="49"/>
      <c r="S130" s="49"/>
      <c r="T130" s="49"/>
    </row>
    <row r="140" spans="2:20">
      <c r="C140" s="3955">
        <v>2007</v>
      </c>
      <c r="D140" s="3956"/>
      <c r="E140" s="3957"/>
      <c r="F140" s="3945">
        <v>2008</v>
      </c>
      <c r="G140" s="3946"/>
      <c r="H140" s="3947"/>
      <c r="I140" s="3949">
        <v>2009</v>
      </c>
      <c r="J140" s="3950"/>
      <c r="K140" s="3951"/>
      <c r="L140" s="3925">
        <v>2010</v>
      </c>
      <c r="M140" s="3925"/>
      <c r="N140" s="3925"/>
      <c r="O140" s="3948">
        <v>2011</v>
      </c>
      <c r="P140" s="3948"/>
      <c r="Q140" s="3948"/>
    </row>
    <row r="141" spans="2:20">
      <c r="C141" s="3327" t="s">
        <v>965</v>
      </c>
      <c r="D141" s="3327" t="s">
        <v>966</v>
      </c>
      <c r="E141" s="3327" t="s">
        <v>967</v>
      </c>
      <c r="F141" s="3327" t="s">
        <v>965</v>
      </c>
      <c r="G141" s="3327" t="s">
        <v>966</v>
      </c>
      <c r="H141" s="3327" t="s">
        <v>967</v>
      </c>
      <c r="I141" s="3327" t="s">
        <v>965</v>
      </c>
      <c r="J141" s="3327" t="s">
        <v>966</v>
      </c>
      <c r="K141" s="3327" t="s">
        <v>967</v>
      </c>
      <c r="L141" s="3327" t="s">
        <v>965</v>
      </c>
      <c r="M141" s="3327" t="s">
        <v>966</v>
      </c>
      <c r="N141" s="3327" t="s">
        <v>967</v>
      </c>
      <c r="O141" s="3327" t="s">
        <v>965</v>
      </c>
      <c r="P141" s="3327" t="s">
        <v>966</v>
      </c>
      <c r="Q141" s="3327" t="s">
        <v>967</v>
      </c>
    </row>
    <row r="142" spans="2:20">
      <c r="B142" t="s">
        <v>412</v>
      </c>
      <c r="C142" s="14">
        <f>+F129</f>
        <v>0</v>
      </c>
      <c r="D142" s="14">
        <f>+G129</f>
        <v>0</v>
      </c>
      <c r="E142" s="14">
        <f>+H129</f>
        <v>2657210649.763835</v>
      </c>
      <c r="F142" s="14">
        <f>+F103</f>
        <v>0</v>
      </c>
      <c r="G142" s="14">
        <f>+G103</f>
        <v>0</v>
      </c>
      <c r="H142" s="14">
        <f>+H103</f>
        <v>3059427901.450572</v>
      </c>
      <c r="I142" s="14">
        <f>+F77</f>
        <v>0</v>
      </c>
      <c r="J142" s="14">
        <f>+G77</f>
        <v>0</v>
      </c>
      <c r="K142" s="14">
        <f>+H77</f>
        <v>3431820388.4187093</v>
      </c>
      <c r="L142" s="14">
        <f>+F51</f>
        <v>0</v>
      </c>
      <c r="M142" s="14">
        <f>+G51</f>
        <v>0</v>
      </c>
      <c r="N142" s="14">
        <f>+H51</f>
        <v>3786904645.5162282</v>
      </c>
      <c r="O142" s="14">
        <f>+F25</f>
        <v>0</v>
      </c>
      <c r="P142" s="14">
        <f>+G25</f>
        <v>0</v>
      </c>
      <c r="Q142" s="14">
        <f>+H25</f>
        <v>4358090090.3602352</v>
      </c>
    </row>
    <row r="143" spans="2:20">
      <c r="B143" t="s">
        <v>413</v>
      </c>
      <c r="C143" s="14">
        <f>+I129</f>
        <v>0</v>
      </c>
      <c r="D143" s="14">
        <f>+J129</f>
        <v>0</v>
      </c>
      <c r="E143" s="14">
        <f>+K129</f>
        <v>1370048190.7133887</v>
      </c>
      <c r="F143" s="14">
        <f>+I103</f>
        <v>0</v>
      </c>
      <c r="G143" s="14">
        <f>+J103</f>
        <v>0</v>
      </c>
      <c r="H143" s="14">
        <f>+K103</f>
        <v>1377816922.0750589</v>
      </c>
      <c r="I143" s="14">
        <f>+I77</f>
        <v>0</v>
      </c>
      <c r="J143" s="14">
        <f>+J77</f>
        <v>0</v>
      </c>
      <c r="K143" s="14">
        <f>+K77</f>
        <v>1238912084.1615608</v>
      </c>
      <c r="L143" s="14">
        <f>+I51</f>
        <v>0</v>
      </c>
      <c r="M143" s="14">
        <f>+J51</f>
        <v>0</v>
      </c>
      <c r="N143" s="14">
        <f>+K51</f>
        <v>1791527705.8263192</v>
      </c>
      <c r="O143" s="14">
        <f>+I25</f>
        <v>0</v>
      </c>
      <c r="P143" s="14">
        <f>+J25</f>
        <v>0</v>
      </c>
      <c r="Q143" s="14">
        <f>+K25</f>
        <v>2119068111.9467628</v>
      </c>
    </row>
    <row r="144" spans="2:20">
      <c r="B144" t="s">
        <v>414</v>
      </c>
      <c r="C144" s="14">
        <f>+L129</f>
        <v>0</v>
      </c>
      <c r="D144" s="14">
        <f>+M129</f>
        <v>0</v>
      </c>
      <c r="E144" s="14">
        <f>+N129</f>
        <v>792217540.19819498</v>
      </c>
      <c r="F144" s="14">
        <f>+L103</f>
        <v>0</v>
      </c>
      <c r="G144" s="14">
        <f>+M103</f>
        <v>0</v>
      </c>
      <c r="H144" s="14">
        <f>+N103</f>
        <v>733839487.70959103</v>
      </c>
      <c r="I144" s="14">
        <f>+L77</f>
        <v>0</v>
      </c>
      <c r="J144" s="14">
        <f>+M77</f>
        <v>0</v>
      </c>
      <c r="K144" s="14">
        <f>+N77</f>
        <v>761491360.68494534</v>
      </c>
      <c r="L144" s="14">
        <f>+L51</f>
        <v>0</v>
      </c>
      <c r="M144" s="14">
        <f>+M51</f>
        <v>0</v>
      </c>
      <c r="N144" s="14">
        <f>+N51</f>
        <v>915816867.1331991</v>
      </c>
      <c r="O144" s="14">
        <f>+L25</f>
        <v>0</v>
      </c>
      <c r="P144" s="14">
        <f>+M25</f>
        <v>0</v>
      </c>
      <c r="Q144" s="14">
        <f>+N25</f>
        <v>1208716185.5975499</v>
      </c>
    </row>
    <row r="145" spans="2:17">
      <c r="B145" t="s">
        <v>701</v>
      </c>
      <c r="C145" s="14">
        <f>+O129</f>
        <v>0</v>
      </c>
      <c r="D145" s="14">
        <f>+P129</f>
        <v>0</v>
      </c>
      <c r="E145" s="14">
        <f>+Q129</f>
        <v>70432591.201890007</v>
      </c>
      <c r="F145" s="14">
        <f>+O103</f>
        <v>0</v>
      </c>
      <c r="G145" s="14">
        <f>+P103</f>
        <v>0</v>
      </c>
      <c r="H145" s="14">
        <f>+Q103</f>
        <v>71083138.654499993</v>
      </c>
      <c r="I145" s="14">
        <f>+O77</f>
        <v>0</v>
      </c>
      <c r="J145" s="14">
        <f>+P77</f>
        <v>0</v>
      </c>
      <c r="K145" s="14">
        <f>+Q77</f>
        <v>97665879.32322</v>
      </c>
      <c r="L145" s="14">
        <f>+O51</f>
        <v>0</v>
      </c>
      <c r="M145" s="14">
        <f>+P51</f>
        <v>0</v>
      </c>
      <c r="N145" s="14">
        <f>+Q51</f>
        <v>194128838.44221002</v>
      </c>
      <c r="O145" s="14">
        <f>+O25</f>
        <v>0</v>
      </c>
      <c r="P145" s="14">
        <f>+P25</f>
        <v>0</v>
      </c>
      <c r="Q145" s="14">
        <f>+Q25</f>
        <v>95268112.028060004</v>
      </c>
    </row>
    <row r="146" spans="2:17">
      <c r="B146" t="s">
        <v>416</v>
      </c>
      <c r="C146" s="14">
        <f>+R129</f>
        <v>0</v>
      </c>
      <c r="D146" s="14">
        <f>+S129</f>
        <v>0</v>
      </c>
      <c r="E146" s="14">
        <f>+T129</f>
        <v>1119616051.1571803</v>
      </c>
      <c r="F146" s="14">
        <f>+R103</f>
        <v>0</v>
      </c>
      <c r="G146" s="14">
        <f>+S103</f>
        <v>0</v>
      </c>
      <c r="H146" s="14">
        <f>+T103</f>
        <v>1230613271.0154066</v>
      </c>
      <c r="I146" s="14">
        <f>+R77</f>
        <v>0</v>
      </c>
      <c r="J146" s="14">
        <f>+S77</f>
        <v>0</v>
      </c>
      <c r="K146" s="14">
        <f>+T77</f>
        <v>1987731128.015058</v>
      </c>
      <c r="L146" s="14">
        <f>+R51</f>
        <v>0</v>
      </c>
      <c r="M146" s="14">
        <f>+S51</f>
        <v>0</v>
      </c>
      <c r="N146" s="14">
        <f>+T51</f>
        <v>2023630407.07389</v>
      </c>
      <c r="O146" s="14">
        <f>+R25</f>
        <v>0</v>
      </c>
      <c r="P146" s="14">
        <f>+S25</f>
        <v>0</v>
      </c>
      <c r="Q146" s="14">
        <f>+T25</f>
        <v>1790875914.9915395</v>
      </c>
    </row>
    <row r="147" spans="2:17">
      <c r="B147" s="43" t="s">
        <v>118</v>
      </c>
      <c r="C147" s="14">
        <f>SUM(C142:C146)</f>
        <v>0</v>
      </c>
      <c r="D147" s="14">
        <f t="shared" ref="D147:P147" si="20">SUM(D142:D146)</f>
        <v>0</v>
      </c>
      <c r="E147" s="14">
        <f t="shared" si="20"/>
        <v>6009525023.0344887</v>
      </c>
      <c r="F147" s="14">
        <f t="shared" si="20"/>
        <v>0</v>
      </c>
      <c r="G147" s="14">
        <f t="shared" si="20"/>
        <v>0</v>
      </c>
      <c r="H147" s="14">
        <f t="shared" si="20"/>
        <v>6472780720.9051285</v>
      </c>
      <c r="I147" s="14">
        <f t="shared" si="20"/>
        <v>0</v>
      </c>
      <c r="J147" s="14">
        <f t="shared" si="20"/>
        <v>0</v>
      </c>
      <c r="K147" s="14">
        <f t="shared" si="20"/>
        <v>7517620840.6034927</v>
      </c>
      <c r="L147" s="14">
        <f t="shared" si="20"/>
        <v>0</v>
      </c>
      <c r="M147" s="14">
        <f t="shared" si="20"/>
        <v>0</v>
      </c>
      <c r="N147" s="14">
        <f t="shared" si="20"/>
        <v>8712008463.9918461</v>
      </c>
      <c r="O147" s="14">
        <f t="shared" si="20"/>
        <v>0</v>
      </c>
      <c r="P147" s="14">
        <f t="shared" si="20"/>
        <v>0</v>
      </c>
      <c r="Q147" s="14">
        <f>SUM(Q142:Q146)</f>
        <v>9572018414.9241486</v>
      </c>
    </row>
    <row r="149" spans="2:17">
      <c r="B149" t="s">
        <v>972</v>
      </c>
    </row>
  </sheetData>
  <customSheetViews>
    <customSheetView guid="{5E394B0B-7867-4722-9497-A93AB2A9A773}" showPageBreaks="1" state="hidden">
      <pane xSplit="2" ySplit="5" topLeftCell="C21" activePane="bottomRight" state="frozen"/>
      <selection pane="bottomRight" activeCell="F94" sqref="F94"/>
      <pageMargins left="0" right="0" top="0" bottom="0" header="0" footer="0"/>
      <pageSetup orientation="portrait" r:id="rId1"/>
    </customSheetView>
    <customSheetView guid="{B1E1B596-A9A1-411D-A882-A48CB025B978}" state="hidden">
      <pane xSplit="2" ySplit="5" topLeftCell="C21" activePane="bottomRight" state="frozen"/>
      <selection pane="bottomRight" activeCell="F94" sqref="F94"/>
      <pageMargins left="0" right="0" top="0" bottom="0" header="0" footer="0"/>
      <pageSetup orientation="portrait" r:id="rId2"/>
    </customSheetView>
    <customSheetView guid="{E82B35BE-4719-4C53-A9EF-1CC6F153A6F3}" state="hidden">
      <pane xSplit="2" ySplit="5" topLeftCell="C21" activePane="bottomRight" state="frozen"/>
      <selection pane="bottomRight" activeCell="F94" sqref="F94"/>
      <pageMargins left="0" right="0" top="0" bottom="0" header="0" footer="0"/>
      <pageSetup orientation="portrait" r:id="rId3"/>
    </customSheetView>
    <customSheetView guid="{46F31544-8E6F-41C5-8628-1D6EE074AF15}" state="hidden">
      <pane xSplit="2" ySplit="5" topLeftCell="C21" activePane="bottomRight" state="frozen"/>
      <selection pane="bottomRight" activeCell="F94" sqref="F94"/>
      <pageMargins left="0" right="0" top="0" bottom="0" header="0" footer="0"/>
      <pageSetup orientation="portrait" r:id="rId4"/>
    </customSheetView>
    <customSheetView guid="{B2E1A0C6-5BA1-4CF1-B412-16D81FCDF11F}" state="hidden">
      <pane xSplit="2" ySplit="5" topLeftCell="C21" activePane="bottomRight" state="frozen"/>
      <selection pane="bottomRight" activeCell="F94" sqref="F94"/>
      <pageMargins left="0" right="0" top="0" bottom="0" header="0" footer="0"/>
      <pageSetup orientation="portrait" r:id="rId5"/>
    </customSheetView>
    <customSheetView guid="{967E0446-E234-427F-8E57-7FE287052E2E}" showPageBreaks="1" state="hidden">
      <pane xSplit="2" ySplit="5" topLeftCell="C21" activePane="bottomRight" state="frozen"/>
      <selection pane="bottomRight" activeCell="F94" sqref="F94"/>
      <pageMargins left="0" right="0" top="0" bottom="0" header="0" footer="0"/>
      <pageSetup orientation="portrait" r:id="rId6"/>
    </customSheetView>
    <customSheetView guid="{2ACFE167-4169-43A6-9AB2-59D5A2DA2DB4}" showPageBreaks="1" state="hidden">
      <pane xSplit="2" ySplit="5" topLeftCell="C21" activePane="bottomRight" state="frozen"/>
      <selection pane="bottomRight" activeCell="F94" sqref="F94"/>
      <pageMargins left="0" right="0" top="0" bottom="0" header="0" footer="0"/>
      <pageSetup orientation="portrait" r:id="rId7"/>
    </customSheetView>
  </customSheetViews>
  <mergeCells count="40">
    <mergeCell ref="C140:E140"/>
    <mergeCell ref="F140:H140"/>
    <mergeCell ref="I140:K140"/>
    <mergeCell ref="L140:N140"/>
    <mergeCell ref="O140:Q140"/>
    <mergeCell ref="O82:Q82"/>
    <mergeCell ref="R82:T82"/>
    <mergeCell ref="B56:B57"/>
    <mergeCell ref="C56:E56"/>
    <mergeCell ref="B108:B109"/>
    <mergeCell ref="C108:E108"/>
    <mergeCell ref="F108:H108"/>
    <mergeCell ref="I108:K108"/>
    <mergeCell ref="L108:N108"/>
    <mergeCell ref="O108:Q108"/>
    <mergeCell ref="R108:T108"/>
    <mergeCell ref="B82:B83"/>
    <mergeCell ref="C82:E82"/>
    <mergeCell ref="F82:H82"/>
    <mergeCell ref="I82:K82"/>
    <mergeCell ref="L82:N82"/>
    <mergeCell ref="O56:Q56"/>
    <mergeCell ref="R4:T4"/>
    <mergeCell ref="F30:H30"/>
    <mergeCell ref="I30:K30"/>
    <mergeCell ref="L30:N30"/>
    <mergeCell ref="R56:T56"/>
    <mergeCell ref="O30:Q30"/>
    <mergeCell ref="R30:T30"/>
    <mergeCell ref="O4:Q4"/>
    <mergeCell ref="I4:K4"/>
    <mergeCell ref="L4:N4"/>
    <mergeCell ref="F56:H56"/>
    <mergeCell ref="I56:K56"/>
    <mergeCell ref="L56:N56"/>
    <mergeCell ref="B30:B31"/>
    <mergeCell ref="C30:E30"/>
    <mergeCell ref="B4:B5"/>
    <mergeCell ref="C4:E4"/>
    <mergeCell ref="F4:H4"/>
  </mergeCells>
  <hyperlinks>
    <hyperlink ref="B1" location="'List of tables'!A1" display="'List of tables'!A1"/>
  </hyperlinks>
  <pageMargins left="0.7" right="0.7" top="0.75" bottom="0.75" header="0.3" footer="0.3"/>
  <pageSetup orientation="portrait" r:id="rId8"/>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tabColor rgb="FFFF0000"/>
  </sheetPr>
  <dimension ref="A1:E20"/>
  <sheetViews>
    <sheetView workbookViewId="0">
      <selection activeCell="F94" sqref="F94"/>
    </sheetView>
  </sheetViews>
  <sheetFormatPr defaultRowHeight="15"/>
  <cols>
    <col min="2" max="2" width="19.5703125" customWidth="1"/>
    <col min="3" max="3" width="16.5703125" customWidth="1"/>
    <col min="4" max="4" width="17.28515625" customWidth="1"/>
    <col min="5" max="5" width="20.42578125" customWidth="1"/>
  </cols>
  <sheetData>
    <row r="1" spans="1:5">
      <c r="A1" s="150" t="s">
        <v>594</v>
      </c>
    </row>
    <row r="3" spans="1:5" s="89" customFormat="1" ht="21.75" customHeight="1">
      <c r="A3" s="89" t="s">
        <v>864</v>
      </c>
    </row>
    <row r="4" spans="1:5" s="15" customFormat="1"/>
    <row r="5" spans="1:5" s="15" customFormat="1" ht="39" customHeight="1">
      <c r="A5" s="1997" t="s">
        <v>973</v>
      </c>
      <c r="B5" s="1997" t="s">
        <v>974</v>
      </c>
      <c r="C5" s="1997" t="s">
        <v>975</v>
      </c>
      <c r="D5" s="1997" t="s">
        <v>976</v>
      </c>
      <c r="E5" s="1997" t="s">
        <v>977</v>
      </c>
    </row>
    <row r="6" spans="1:5" s="39" customFormat="1" ht="20.100000000000001" customHeight="1">
      <c r="A6" s="3245">
        <v>2007</v>
      </c>
      <c r="B6" s="3339" t="e">
        <f>+#REF!</f>
        <v>#REF!</v>
      </c>
      <c r="C6" s="3340" t="e">
        <f>+#REF!/1000</f>
        <v>#REF!</v>
      </c>
      <c r="D6" s="3340">
        <v>3540</v>
      </c>
      <c r="E6" s="3341" t="e">
        <f>+(C6/1000)/D6*100</f>
        <v>#REF!</v>
      </c>
    </row>
    <row r="7" spans="1:5" s="39" customFormat="1" ht="20.100000000000001" customHeight="1">
      <c r="A7" s="3245">
        <v>2008</v>
      </c>
      <c r="B7" s="3339" t="e">
        <f>+#REF!</f>
        <v>#REF!</v>
      </c>
      <c r="C7" s="3340" t="e">
        <f>+#REF!/1000</f>
        <v>#REF!</v>
      </c>
      <c r="D7" s="3340">
        <v>4306</v>
      </c>
      <c r="E7" s="3341" t="e">
        <f>+(C7/1000)/D7*100</f>
        <v>#REF!</v>
      </c>
    </row>
    <row r="8" spans="1:5" s="39" customFormat="1" ht="20.100000000000001" customHeight="1">
      <c r="A8" s="3245">
        <v>2009</v>
      </c>
      <c r="B8" s="3339" t="e">
        <f>+#REF!</f>
        <v>#REF!</v>
      </c>
      <c r="C8" s="3340" t="e">
        <f>+#REF!/1000</f>
        <v>#REF!</v>
      </c>
      <c r="D8" s="3340">
        <v>4779</v>
      </c>
      <c r="E8" s="3341" t="e">
        <f>+(C8/1000)/D8*100</f>
        <v>#REF!</v>
      </c>
    </row>
    <row r="9" spans="1:5" s="39" customFormat="1" ht="20.100000000000001" customHeight="1">
      <c r="A9" s="3245">
        <v>2010</v>
      </c>
      <c r="B9" s="3339" t="e">
        <f>+#REF!</f>
        <v>#REF!</v>
      </c>
      <c r="C9" s="3340" t="e">
        <f>+#REF!/1000</f>
        <v>#REF!</v>
      </c>
      <c r="D9" s="3340">
        <v>5534</v>
      </c>
      <c r="E9" s="3341" t="e">
        <f>+(C9/1000)/D9*100</f>
        <v>#REF!</v>
      </c>
    </row>
    <row r="10" spans="1:5" s="39" customFormat="1" ht="20.100000000000001" customHeight="1">
      <c r="A10" s="3245">
        <v>2011</v>
      </c>
      <c r="B10" s="3339" t="e">
        <f>+#REF!</f>
        <v>#REF!</v>
      </c>
      <c r="C10" s="3340" t="e">
        <f>+#REF!/1000</f>
        <v>#REF!</v>
      </c>
      <c r="D10" s="3340">
        <v>6471</v>
      </c>
      <c r="E10" s="3341" t="e">
        <f>+(C10/1000)/D10*100</f>
        <v>#REF!</v>
      </c>
    </row>
    <row r="11" spans="1:5" s="39" customFormat="1" ht="20.100000000000001" customHeight="1"/>
    <row r="13" spans="1:5" s="89" customFormat="1" ht="23.25" customHeight="1">
      <c r="A13" s="89" t="s">
        <v>978</v>
      </c>
    </row>
    <row r="14" spans="1:5" s="15" customFormat="1"/>
    <row r="15" spans="1:5" s="15" customFormat="1" ht="39" customHeight="1">
      <c r="A15" s="1997" t="s">
        <v>973</v>
      </c>
      <c r="B15" s="1997" t="s">
        <v>974</v>
      </c>
      <c r="C15" s="1997" t="s">
        <v>979</v>
      </c>
      <c r="D15" s="1997" t="s">
        <v>976</v>
      </c>
      <c r="E15" s="1997" t="s">
        <v>977</v>
      </c>
    </row>
    <row r="16" spans="1:5" s="39" customFormat="1" ht="20.100000000000001" customHeight="1">
      <c r="A16" s="3245">
        <v>2007</v>
      </c>
      <c r="B16" s="3339">
        <f>+'T13 -GI Policies '!E153</f>
        <v>2241155.6100000003</v>
      </c>
      <c r="C16" s="3340">
        <f>+'T14 (i) -GI Sum Insu'!E147/1000</f>
        <v>6009525.0230344888</v>
      </c>
      <c r="D16" s="3340">
        <v>3540</v>
      </c>
      <c r="E16" s="3341">
        <f>+(C16/1000)/D16*100</f>
        <v>169.76059387103078</v>
      </c>
    </row>
    <row r="17" spans="1:5" s="39" customFormat="1" ht="20.100000000000001" customHeight="1">
      <c r="A17" s="3245">
        <v>2008</v>
      </c>
      <c r="B17" s="3339">
        <f>+'T13 -GI Policies '!E127</f>
        <v>2473343.15</v>
      </c>
      <c r="C17" s="3340">
        <f>+'T14 (i) -GI Sum Insu'!H147/1000</f>
        <v>6472780.7209051289</v>
      </c>
      <c r="D17" s="3340">
        <v>4306</v>
      </c>
      <c r="E17" s="3341">
        <f>+(C17/1000)/D17*100</f>
        <v>150.32003532060216</v>
      </c>
    </row>
    <row r="18" spans="1:5" s="39" customFormat="1" ht="20.100000000000001" customHeight="1">
      <c r="A18" s="3245">
        <v>2009</v>
      </c>
      <c r="B18" s="3339">
        <f>+'T13 -GI Policies '!E101</f>
        <v>2990755.34</v>
      </c>
      <c r="C18" s="3340">
        <f>+'T14 (i) -GI Sum Insu'!K147/1000</f>
        <v>7517620.8406034932</v>
      </c>
      <c r="D18" s="3340">
        <v>4779</v>
      </c>
      <c r="E18" s="3341">
        <f>+(C18/1000)/D18*100</f>
        <v>157.30531158408647</v>
      </c>
    </row>
    <row r="19" spans="1:5" s="39" customFormat="1" ht="20.100000000000001" customHeight="1">
      <c r="A19" s="3245">
        <v>2010</v>
      </c>
      <c r="B19" s="3339">
        <f>+'T13 -GI Policies '!E75</f>
        <v>3428784.75</v>
      </c>
      <c r="C19" s="3340">
        <f>+'T14 (i) -GI Sum Insu'!N147/1000</f>
        <v>8712008.4639918469</v>
      </c>
      <c r="D19" s="3340">
        <v>5534</v>
      </c>
      <c r="E19" s="3341">
        <f>+(C19/1000)/D19*100</f>
        <v>157.42696899154043</v>
      </c>
    </row>
    <row r="20" spans="1:5" s="39" customFormat="1" ht="20.100000000000001" customHeight="1">
      <c r="A20" s="3245">
        <v>2011</v>
      </c>
      <c r="B20" s="3339">
        <f>+'T13 -GI Policies '!E49</f>
        <v>4139070</v>
      </c>
      <c r="C20" s="3340">
        <f>+'T14 (i) -GI Sum Insu'!Q147/1000</f>
        <v>9572018.4149241485</v>
      </c>
      <c r="D20" s="3340">
        <v>6471</v>
      </c>
      <c r="E20" s="3341">
        <f>+(C20/1000)/D20*100</f>
        <v>147.92178048097898</v>
      </c>
    </row>
  </sheetData>
  <customSheetViews>
    <customSheetView guid="{5E394B0B-7867-4722-9497-A93AB2A9A773}" showPageBreaks="1" state="hidden">
      <selection activeCell="F94" sqref="F94"/>
      <pageMargins left="0" right="0" top="0" bottom="0" header="0" footer="0"/>
      <pageSetup orientation="portrait" r:id="rId1"/>
    </customSheetView>
    <customSheetView guid="{B1E1B596-A9A1-411D-A882-A48CB025B978}" state="hidden">
      <selection activeCell="F94" sqref="F94"/>
      <pageMargins left="0" right="0" top="0" bottom="0" header="0" footer="0"/>
      <pageSetup orientation="portrait" r:id="rId2"/>
    </customSheetView>
    <customSheetView guid="{E82B35BE-4719-4C53-A9EF-1CC6F153A6F3}" state="hidden">
      <selection activeCell="F94" sqref="F94"/>
      <pageMargins left="0" right="0" top="0" bottom="0" header="0" footer="0"/>
      <pageSetup orientation="portrait" r:id="rId3"/>
    </customSheetView>
    <customSheetView guid="{46F31544-8E6F-41C5-8628-1D6EE074AF15}" state="hidden">
      <selection activeCell="F94" sqref="F94"/>
      <pageMargins left="0" right="0" top="0" bottom="0" header="0" footer="0"/>
      <pageSetup orientation="portrait" r:id="rId4"/>
    </customSheetView>
    <customSheetView guid="{B2E1A0C6-5BA1-4CF1-B412-16D81FCDF11F}" state="hidden">
      <selection activeCell="F94" sqref="F94"/>
      <pageMargins left="0" right="0" top="0" bottom="0" header="0" footer="0"/>
      <pageSetup orientation="portrait" r:id="rId5"/>
    </customSheetView>
    <customSheetView guid="{967E0446-E234-427F-8E57-7FE287052E2E}" showPageBreaks="1" state="hidden">
      <selection activeCell="F94" sqref="F94"/>
      <pageMargins left="0" right="0" top="0" bottom="0" header="0" footer="0"/>
      <pageSetup orientation="portrait" r:id="rId6"/>
    </customSheetView>
    <customSheetView guid="{2ACFE167-4169-43A6-9AB2-59D5A2DA2DB4}" showPageBreaks="1" state="hidden">
      <selection activeCell="F94" sqref="F94"/>
      <pageMargins left="0" right="0" top="0" bottom="0" header="0" footer="0"/>
      <pageSetup orientation="portrait" r:id="rId7"/>
    </customSheetView>
  </customSheetViews>
  <hyperlinks>
    <hyperlink ref="A1" location="'List of tables'!A1" display="'List of tables'!A1"/>
  </hyperlinks>
  <pageMargins left="0.7" right="0.7" top="0.75" bottom="0.75" header="0.3" footer="0.3"/>
  <pageSetup orientation="portrait" r:id="rId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1:R48"/>
  <sheetViews>
    <sheetView showGridLines="0" view="pageBreakPreview" topLeftCell="A4" zoomScale="60" zoomScaleNormal="80" workbookViewId="0"/>
  </sheetViews>
  <sheetFormatPr defaultColWidth="9.140625" defaultRowHeight="12.75"/>
  <cols>
    <col min="1" max="1" width="3.5703125" style="292" customWidth="1"/>
    <col min="2" max="2" width="19.7109375" style="292" customWidth="1"/>
    <col min="3" max="3" width="17.7109375" style="292" customWidth="1"/>
    <col min="4" max="4" width="17.85546875" style="292" customWidth="1"/>
    <col min="5" max="7" width="16.7109375" style="292" customWidth="1"/>
    <col min="8" max="8" width="18" style="292" customWidth="1"/>
    <col min="9" max="9" width="16.85546875" style="292" customWidth="1"/>
    <col min="10" max="10" width="15.85546875" style="292" customWidth="1"/>
    <col min="11" max="11" width="18.5703125" style="292" customWidth="1"/>
    <col min="12" max="12" width="13.28515625" style="292" customWidth="1"/>
    <col min="13" max="13" width="9.140625" style="292"/>
    <col min="14" max="14" width="17" style="292" bestFit="1" customWidth="1"/>
    <col min="15" max="15" width="12.85546875" style="292" bestFit="1" customWidth="1"/>
    <col min="16" max="16" width="9.140625" style="292"/>
    <col min="17" max="17" width="14.5703125" style="515" customWidth="1"/>
    <col min="18" max="18" width="12.85546875" style="292" bestFit="1" customWidth="1"/>
    <col min="19" max="16384" width="9.140625" style="292"/>
  </cols>
  <sheetData>
    <row r="1" spans="2:18">
      <c r="B1" s="295"/>
      <c r="C1" s="295"/>
      <c r="D1" s="214"/>
      <c r="E1" s="214"/>
      <c r="F1" s="214"/>
      <c r="G1" s="214"/>
      <c r="H1" s="214"/>
      <c r="I1" s="214"/>
    </row>
    <row r="2" spans="2:18">
      <c r="B2" s="218" t="s">
        <v>152</v>
      </c>
      <c r="C2" s="295"/>
      <c r="D2" s="214"/>
      <c r="E2" s="214"/>
      <c r="F2" s="214"/>
      <c r="G2" s="214"/>
      <c r="H2" s="214"/>
      <c r="I2" s="214"/>
    </row>
    <row r="3" spans="2:18">
      <c r="C3" s="295"/>
      <c r="D3" s="214"/>
      <c r="E3" s="214"/>
      <c r="F3" s="214"/>
      <c r="G3" s="214"/>
      <c r="H3" s="214"/>
      <c r="I3" s="214"/>
    </row>
    <row r="4" spans="2:18" s="295" customFormat="1">
      <c r="B4" s="3465" t="s">
        <v>83</v>
      </c>
      <c r="C4" s="3424" t="s">
        <v>137</v>
      </c>
      <c r="D4" s="3422"/>
      <c r="E4" s="3422"/>
      <c r="F4" s="3422"/>
      <c r="G4" s="3423"/>
      <c r="H4" s="3467" t="s">
        <v>84</v>
      </c>
      <c r="I4" s="3468"/>
      <c r="J4" s="3468"/>
      <c r="K4" s="3468"/>
      <c r="L4" s="3469"/>
      <c r="Q4" s="635"/>
    </row>
    <row r="5" spans="2:18" s="295" customFormat="1" ht="51">
      <c r="B5" s="3466"/>
      <c r="C5" s="1894" t="s">
        <v>153</v>
      </c>
      <c r="D5" s="1893" t="s">
        <v>154</v>
      </c>
      <c r="E5" s="1331" t="s">
        <v>155</v>
      </c>
      <c r="F5" s="1821" t="s">
        <v>156</v>
      </c>
      <c r="G5" s="1327" t="s">
        <v>157</v>
      </c>
      <c r="H5" s="1892" t="s">
        <v>153</v>
      </c>
      <c r="I5" s="1893" t="s">
        <v>154</v>
      </c>
      <c r="J5" s="1331" t="s">
        <v>155</v>
      </c>
      <c r="K5" s="1821" t="s">
        <v>156</v>
      </c>
      <c r="L5" s="1327" t="s">
        <v>157</v>
      </c>
      <c r="Q5" s="635"/>
    </row>
    <row r="6" spans="2:18">
      <c r="B6" s="1895" t="s">
        <v>91</v>
      </c>
      <c r="C6" s="2054">
        <v>72388787</v>
      </c>
      <c r="D6" s="1874"/>
      <c r="E6" s="2055"/>
      <c r="F6" s="2056">
        <f>+C6+D6+E6</f>
        <v>72388787</v>
      </c>
      <c r="G6" s="2057">
        <f>+F6/$F$32*100</f>
        <v>9.0893717025283216</v>
      </c>
      <c r="H6" s="2058">
        <v>72263841</v>
      </c>
      <c r="I6" s="1880"/>
      <c r="J6" s="2059"/>
      <c r="K6" s="2020">
        <f>+H6+I6+J6</f>
        <v>72263841</v>
      </c>
      <c r="L6" s="2060">
        <f>+K6/$K$32*100</f>
        <v>8.1343657766010029</v>
      </c>
      <c r="N6" s="515"/>
      <c r="O6" s="396"/>
      <c r="R6" s="396"/>
    </row>
    <row r="7" spans="2:18">
      <c r="B7" s="2061" t="s">
        <v>92</v>
      </c>
      <c r="C7" s="2062"/>
      <c r="D7" s="901">
        <v>28024882</v>
      </c>
      <c r="E7" s="2063"/>
      <c r="F7" s="2056">
        <f t="shared" ref="F7:F31" si="0">+C7+D7+E7</f>
        <v>28024882</v>
      </c>
      <c r="G7" s="2057">
        <f t="shared" ref="G7:G31" si="1">+F7/$F$32*100</f>
        <v>3.5188953976738873</v>
      </c>
      <c r="H7" s="2064"/>
      <c r="I7" s="901">
        <v>27968687</v>
      </c>
      <c r="J7" s="2059"/>
      <c r="K7" s="2020">
        <f t="shared" ref="K7:K32" si="2">+H7+I7+J7</f>
        <v>27968687</v>
      </c>
      <c r="L7" s="2060">
        <f t="shared" ref="L7:L30" si="3">+K7/$K$32*100</f>
        <v>3.1482900327601655</v>
      </c>
      <c r="N7" s="515"/>
      <c r="O7" s="396"/>
      <c r="R7" s="396"/>
    </row>
    <row r="8" spans="2:18">
      <c r="B8" s="2061" t="s">
        <v>93</v>
      </c>
      <c r="C8" s="2054">
        <v>7758471</v>
      </c>
      <c r="D8" s="739"/>
      <c r="E8" s="2055"/>
      <c r="F8" s="2056">
        <f t="shared" si="0"/>
        <v>7758471</v>
      </c>
      <c r="G8" s="2057">
        <f t="shared" si="1"/>
        <v>0.9741788705795914</v>
      </c>
      <c r="H8" s="2058">
        <v>8191271</v>
      </c>
      <c r="I8" s="1880"/>
      <c r="J8" s="2059"/>
      <c r="K8" s="2020">
        <f t="shared" si="2"/>
        <v>8191271</v>
      </c>
      <c r="L8" s="2060">
        <f t="shared" si="3"/>
        <v>0.92204889149559988</v>
      </c>
      <c r="N8" s="515"/>
      <c r="O8" s="396"/>
      <c r="R8" s="396"/>
    </row>
    <row r="9" spans="2:18">
      <c r="B9" s="2061" t="s">
        <v>95</v>
      </c>
      <c r="C9" s="2062"/>
      <c r="D9" s="901">
        <v>2945567</v>
      </c>
      <c r="E9" s="2063"/>
      <c r="F9" s="2056">
        <f t="shared" si="0"/>
        <v>2945567</v>
      </c>
      <c r="G9" s="2057">
        <f t="shared" si="1"/>
        <v>0.36985497957993474</v>
      </c>
      <c r="H9" s="2064"/>
      <c r="I9" s="901">
        <v>3402269</v>
      </c>
      <c r="J9" s="2059"/>
      <c r="K9" s="2020">
        <f t="shared" si="2"/>
        <v>3402269</v>
      </c>
      <c r="L9" s="2060">
        <f t="shared" si="3"/>
        <v>0.38297577506834324</v>
      </c>
      <c r="N9" s="515"/>
      <c r="O9" s="396"/>
      <c r="R9" s="396"/>
    </row>
    <row r="10" spans="2:18">
      <c r="B10" s="2061" t="s">
        <v>94</v>
      </c>
      <c r="C10" s="2054">
        <v>3099222</v>
      </c>
      <c r="D10" s="1875"/>
      <c r="E10" s="2055"/>
      <c r="F10" s="2056">
        <f t="shared" si="0"/>
        <v>3099222</v>
      </c>
      <c r="G10" s="2057">
        <f t="shared" si="1"/>
        <v>0.38914840148728047</v>
      </c>
      <c r="H10" s="2058">
        <v>3337501</v>
      </c>
      <c r="I10" s="1880"/>
      <c r="J10" s="2059"/>
      <c r="K10" s="2020">
        <f t="shared" si="2"/>
        <v>3337501</v>
      </c>
      <c r="L10" s="2060">
        <f t="shared" si="3"/>
        <v>0.37568517723506595</v>
      </c>
      <c r="N10" s="515"/>
      <c r="O10" s="396"/>
      <c r="R10" s="396"/>
    </row>
    <row r="11" spans="2:18">
      <c r="B11" s="2061" t="s">
        <v>96</v>
      </c>
      <c r="C11" s="2054">
        <v>4175491</v>
      </c>
      <c r="D11" s="1875"/>
      <c r="E11" s="2055"/>
      <c r="F11" s="2056">
        <f t="shared" si="0"/>
        <v>4175491</v>
      </c>
      <c r="G11" s="2057">
        <f t="shared" si="1"/>
        <v>0.52428824010494457</v>
      </c>
      <c r="H11" s="2058">
        <v>4416237</v>
      </c>
      <c r="I11" s="1880"/>
      <c r="J11" s="2059"/>
      <c r="K11" s="2020">
        <f t="shared" si="2"/>
        <v>4416237</v>
      </c>
      <c r="L11" s="2060">
        <f t="shared" si="3"/>
        <v>0.49711289376604112</v>
      </c>
      <c r="N11" s="515"/>
      <c r="O11" s="396"/>
      <c r="R11" s="396"/>
    </row>
    <row r="12" spans="2:18">
      <c r="B12" s="2061" t="s">
        <v>98</v>
      </c>
      <c r="C12" s="2062"/>
      <c r="D12" s="740">
        <v>32061287</v>
      </c>
      <c r="E12" s="2063"/>
      <c r="F12" s="2056">
        <f t="shared" si="0"/>
        <v>32061287</v>
      </c>
      <c r="G12" s="2057">
        <f t="shared" si="1"/>
        <v>4.0257195469298193</v>
      </c>
      <c r="H12" s="2064"/>
      <c r="I12" s="901">
        <v>36648668</v>
      </c>
      <c r="J12" s="2059"/>
      <c r="K12" s="2020">
        <f t="shared" si="2"/>
        <v>36648668</v>
      </c>
      <c r="L12" s="2060">
        <f t="shared" si="3"/>
        <v>4.1253504742048284</v>
      </c>
      <c r="N12" s="515"/>
      <c r="O12" s="396"/>
      <c r="R12" s="396"/>
    </row>
    <row r="13" spans="2:18">
      <c r="B13" s="2061" t="s">
        <v>97</v>
      </c>
      <c r="C13" s="2054">
        <v>150801386</v>
      </c>
      <c r="D13" s="1875"/>
      <c r="E13" s="2055"/>
      <c r="F13" s="2056">
        <f t="shared" si="0"/>
        <v>150801386</v>
      </c>
      <c r="G13" s="2057">
        <f t="shared" si="1"/>
        <v>18.935112845729144</v>
      </c>
      <c r="H13" s="2058">
        <v>173762954</v>
      </c>
      <c r="I13" s="1880"/>
      <c r="J13" s="2059"/>
      <c r="K13" s="2020">
        <f t="shared" si="2"/>
        <v>173762954</v>
      </c>
      <c r="L13" s="2060">
        <f t="shared" si="3"/>
        <v>19.559594490122585</v>
      </c>
      <c r="N13" s="515"/>
      <c r="O13" s="396"/>
      <c r="R13" s="396"/>
    </row>
    <row r="14" spans="2:18">
      <c r="B14" s="2061" t="s">
        <v>99</v>
      </c>
      <c r="C14" s="2062"/>
      <c r="D14" s="774">
        <v>7866408</v>
      </c>
      <c r="E14" s="2063"/>
      <c r="F14" s="2056">
        <f t="shared" si="0"/>
        <v>7866408</v>
      </c>
      <c r="G14" s="2057">
        <f t="shared" si="1"/>
        <v>0.98773179160665336</v>
      </c>
      <c r="H14" s="2064"/>
      <c r="I14" s="902">
        <v>8455319</v>
      </c>
      <c r="J14" s="2059"/>
      <c r="K14" s="2020">
        <f t="shared" si="2"/>
        <v>8455319</v>
      </c>
      <c r="L14" s="2060">
        <f t="shared" si="3"/>
        <v>0.9517714053401094</v>
      </c>
      <c r="N14" s="515"/>
      <c r="O14" s="396"/>
      <c r="R14" s="396"/>
    </row>
    <row r="15" spans="2:18">
      <c r="B15" s="2061" t="s">
        <v>101</v>
      </c>
      <c r="C15" s="2062"/>
      <c r="D15" s="902">
        <v>7935838</v>
      </c>
      <c r="E15" s="2063"/>
      <c r="F15" s="2056">
        <f t="shared" si="0"/>
        <v>7935838</v>
      </c>
      <c r="G15" s="2057">
        <f t="shared" si="1"/>
        <v>0.99644964838337402</v>
      </c>
      <c r="H15" s="2064"/>
      <c r="I15" s="902">
        <v>9806005</v>
      </c>
      <c r="J15" s="2059"/>
      <c r="K15" s="2020">
        <f t="shared" si="2"/>
        <v>9806005</v>
      </c>
      <c r="L15" s="2060">
        <f t="shared" si="3"/>
        <v>1.1038111228709573</v>
      </c>
      <c r="N15" s="515"/>
      <c r="O15" s="396"/>
      <c r="R15" s="396"/>
    </row>
    <row r="16" spans="2:18">
      <c r="B16" s="2061" t="s">
        <v>100</v>
      </c>
      <c r="C16" s="2054">
        <v>3510426</v>
      </c>
      <c r="D16" s="1875"/>
      <c r="E16" s="2055"/>
      <c r="F16" s="2056">
        <f t="shared" si="0"/>
        <v>3510426</v>
      </c>
      <c r="G16" s="2057">
        <f t="shared" si="1"/>
        <v>0.44078051409011298</v>
      </c>
      <c r="H16" s="2058">
        <v>3719827</v>
      </c>
      <c r="I16" s="1880"/>
      <c r="J16" s="2059"/>
      <c r="K16" s="2020">
        <f t="shared" si="2"/>
        <v>3719827</v>
      </c>
      <c r="L16" s="2060">
        <f t="shared" si="3"/>
        <v>0.41872163207704916</v>
      </c>
      <c r="N16" s="515"/>
      <c r="O16" s="396"/>
      <c r="R16" s="396"/>
    </row>
    <row r="17" spans="2:18">
      <c r="B17" s="2061" t="s">
        <v>102</v>
      </c>
      <c r="C17" s="2062"/>
      <c r="D17" s="740">
        <v>18046123.374856029</v>
      </c>
      <c r="E17" s="2063"/>
      <c r="F17" s="2056">
        <f t="shared" si="0"/>
        <v>18046123.374856029</v>
      </c>
      <c r="G17" s="2057">
        <f t="shared" si="1"/>
        <v>2.2659299864183566</v>
      </c>
      <c r="H17" s="2064"/>
      <c r="I17" s="774">
        <v>19312806</v>
      </c>
      <c r="J17" s="2059"/>
      <c r="K17" s="2020">
        <f t="shared" si="2"/>
        <v>19312806</v>
      </c>
      <c r="L17" s="2060">
        <f t="shared" si="3"/>
        <v>2.173942403318065</v>
      </c>
      <c r="N17" s="515"/>
      <c r="O17" s="396"/>
      <c r="R17" s="396"/>
    </row>
    <row r="18" spans="2:18">
      <c r="B18" s="2061" t="s">
        <v>104</v>
      </c>
      <c r="C18" s="2062"/>
      <c r="D18" s="740">
        <v>6855077</v>
      </c>
      <c r="E18" s="2063"/>
      <c r="F18" s="2056">
        <f t="shared" si="0"/>
        <v>6855077</v>
      </c>
      <c r="G18" s="2057">
        <f t="shared" si="1"/>
        <v>0.86074577962540999</v>
      </c>
      <c r="H18" s="2064"/>
      <c r="I18" s="901">
        <v>7568781</v>
      </c>
      <c r="J18" s="2059"/>
      <c r="K18" s="2020">
        <f t="shared" si="2"/>
        <v>7568781</v>
      </c>
      <c r="L18" s="2060">
        <f t="shared" si="3"/>
        <v>0.85197842081197861</v>
      </c>
      <c r="N18" s="515"/>
      <c r="O18" s="396"/>
      <c r="R18" s="396"/>
    </row>
    <row r="19" spans="2:18">
      <c r="B19" s="2061" t="s">
        <v>103</v>
      </c>
      <c r="C19" s="2054">
        <v>26042871</v>
      </c>
      <c r="D19" s="1875"/>
      <c r="E19" s="2055"/>
      <c r="F19" s="2056">
        <f t="shared" si="0"/>
        <v>26042871</v>
      </c>
      <c r="G19" s="2057">
        <f t="shared" si="1"/>
        <v>3.2700276455799084</v>
      </c>
      <c r="H19" s="2058">
        <v>29463951</v>
      </c>
      <c r="I19" s="1880"/>
      <c r="J19" s="2059"/>
      <c r="K19" s="2020">
        <f t="shared" si="2"/>
        <v>29463951</v>
      </c>
      <c r="L19" s="2060">
        <f t="shared" si="3"/>
        <v>3.3166041458804951</v>
      </c>
      <c r="N19" s="515"/>
      <c r="O19" s="396"/>
      <c r="R19" s="396"/>
    </row>
    <row r="20" spans="2:18">
      <c r="B20" s="2061" t="s">
        <v>105</v>
      </c>
      <c r="C20" s="2054">
        <v>24613500</v>
      </c>
      <c r="D20" s="1875"/>
      <c r="E20" s="2055"/>
      <c r="F20" s="2056">
        <f t="shared" si="0"/>
        <v>24613500</v>
      </c>
      <c r="G20" s="2057">
        <f t="shared" si="1"/>
        <v>3.0905511705864179</v>
      </c>
      <c r="H20" s="2058">
        <f>25481976+563560</f>
        <v>26045536</v>
      </c>
      <c r="I20" s="1880"/>
      <c r="J20" s="2059"/>
      <c r="K20" s="2020">
        <f t="shared" si="2"/>
        <v>26045536</v>
      </c>
      <c r="L20" s="2060">
        <f t="shared" si="3"/>
        <v>2.9318108993352481</v>
      </c>
      <c r="N20" s="515"/>
      <c r="O20" s="396"/>
      <c r="R20" s="396"/>
    </row>
    <row r="21" spans="2:18">
      <c r="B21" s="2061" t="s">
        <v>106</v>
      </c>
      <c r="C21" s="2054">
        <v>3333687</v>
      </c>
      <c r="D21" s="1875"/>
      <c r="E21" s="2055"/>
      <c r="F21" s="2056">
        <f t="shared" si="0"/>
        <v>3333687</v>
      </c>
      <c r="G21" s="2057">
        <f t="shared" si="1"/>
        <v>0.41858859001030824</v>
      </c>
      <c r="H21" s="2058">
        <v>3491539</v>
      </c>
      <c r="I21" s="1880"/>
      <c r="J21" s="2059"/>
      <c r="K21" s="2020">
        <f t="shared" si="2"/>
        <v>3491539</v>
      </c>
      <c r="L21" s="2060">
        <f t="shared" si="3"/>
        <v>0.3930244359591637</v>
      </c>
      <c r="N21" s="515"/>
      <c r="O21" s="396"/>
      <c r="R21" s="396"/>
    </row>
    <row r="22" spans="2:18">
      <c r="B22" s="2061" t="s">
        <v>108</v>
      </c>
      <c r="C22" s="2062"/>
      <c r="D22" s="902">
        <v>9891278</v>
      </c>
      <c r="E22" s="2063"/>
      <c r="F22" s="2056">
        <f t="shared" si="0"/>
        <v>9891278</v>
      </c>
      <c r="G22" s="2057">
        <f t="shared" si="1"/>
        <v>1.2419810592356098</v>
      </c>
      <c r="H22" s="2064"/>
      <c r="I22" s="902">
        <v>11999920</v>
      </c>
      <c r="J22" s="2059"/>
      <c r="K22" s="2020">
        <f t="shared" si="2"/>
        <v>11999920</v>
      </c>
      <c r="L22" s="2060">
        <f t="shared" si="3"/>
        <v>1.3507687554270733</v>
      </c>
      <c r="N22" s="515"/>
      <c r="O22" s="396"/>
      <c r="R22" s="396"/>
    </row>
    <row r="23" spans="2:18">
      <c r="B23" s="2061" t="s">
        <v>107</v>
      </c>
      <c r="C23" s="2054">
        <v>7752075</v>
      </c>
      <c r="D23" s="1875"/>
      <c r="E23" s="2055"/>
      <c r="F23" s="2056">
        <f t="shared" si="0"/>
        <v>7752075</v>
      </c>
      <c r="G23" s="2057">
        <f t="shared" si="1"/>
        <v>0.97337576800226311</v>
      </c>
      <c r="H23" s="2058">
        <v>9622145</v>
      </c>
      <c r="I23" s="1880"/>
      <c r="J23" s="2059"/>
      <c r="K23" s="2020">
        <f t="shared" si="2"/>
        <v>9622145</v>
      </c>
      <c r="L23" s="2060">
        <f t="shared" si="3"/>
        <v>1.0831149562821116</v>
      </c>
      <c r="N23" s="515"/>
      <c r="O23" s="396"/>
      <c r="R23" s="396"/>
    </row>
    <row r="24" spans="2:18">
      <c r="B24" s="2061" t="s">
        <v>109</v>
      </c>
      <c r="C24" s="2054">
        <v>1064582</v>
      </c>
      <c r="D24" s="774">
        <v>1426185</v>
      </c>
      <c r="E24" s="2063"/>
      <c r="F24" s="2056">
        <f t="shared" si="0"/>
        <v>2490767</v>
      </c>
      <c r="G24" s="2057">
        <f t="shared" si="1"/>
        <v>0.31274881132338028</v>
      </c>
      <c r="H24" s="2058">
        <v>1004264</v>
      </c>
      <c r="I24" s="774">
        <v>1399160</v>
      </c>
      <c r="J24" s="2059"/>
      <c r="K24" s="2020">
        <f t="shared" si="2"/>
        <v>2403424</v>
      </c>
      <c r="L24" s="2060">
        <f t="shared" si="3"/>
        <v>0.27054097404345678</v>
      </c>
      <c r="N24" s="515"/>
      <c r="O24" s="396"/>
      <c r="R24" s="396"/>
    </row>
    <row r="25" spans="2:18">
      <c r="B25" s="2061" t="s">
        <v>110</v>
      </c>
      <c r="C25" s="2062"/>
      <c r="D25" s="2065">
        <v>21487171.914640002</v>
      </c>
      <c r="E25" s="2065">
        <v>6065833</v>
      </c>
      <c r="F25" s="2066">
        <f>+E25+D25+C25</f>
        <v>27553004.914640002</v>
      </c>
      <c r="G25" s="2057">
        <f t="shared" si="1"/>
        <v>3.4596449749980289</v>
      </c>
      <c r="H25" s="2062"/>
      <c r="I25" s="2065">
        <v>24444867</v>
      </c>
      <c r="J25" s="774">
        <v>5532908</v>
      </c>
      <c r="K25" s="2020">
        <f>+J25+I25+H25</f>
        <v>29977775</v>
      </c>
      <c r="L25" s="2060">
        <f>+K25/$K$32*100</f>
        <v>3.3744426485528929</v>
      </c>
      <c r="N25" s="515"/>
      <c r="O25" s="396"/>
      <c r="R25" s="396"/>
    </row>
    <row r="26" spans="2:18">
      <c r="B26" s="2061" t="s">
        <v>111</v>
      </c>
      <c r="C26" s="2062"/>
      <c r="D26" s="774">
        <v>2612380</v>
      </c>
      <c r="E26" s="2063"/>
      <c r="F26" s="2056">
        <f t="shared" si="0"/>
        <v>2612380</v>
      </c>
      <c r="G26" s="2057">
        <f t="shared" si="1"/>
        <v>0.32801893542229049</v>
      </c>
      <c r="H26" s="2064"/>
      <c r="I26" s="901">
        <v>3194603</v>
      </c>
      <c r="J26" s="2059"/>
      <c r="K26" s="2020">
        <f t="shared" si="2"/>
        <v>3194603</v>
      </c>
      <c r="L26" s="2060">
        <f t="shared" si="3"/>
        <v>0.35959989053206975</v>
      </c>
      <c r="N26" s="515"/>
      <c r="O26" s="396"/>
      <c r="R26" s="396"/>
    </row>
    <row r="27" spans="2:18">
      <c r="B27" s="2067" t="s">
        <v>112</v>
      </c>
      <c r="C27" s="1876"/>
      <c r="D27" s="903">
        <v>10783719</v>
      </c>
      <c r="E27" s="2063"/>
      <c r="F27" s="2056">
        <f t="shared" si="0"/>
        <v>10783719</v>
      </c>
      <c r="G27" s="2057">
        <f t="shared" si="1"/>
        <v>1.3540388558606047</v>
      </c>
      <c r="H27" s="2064"/>
      <c r="I27" s="904">
        <v>11251468</v>
      </c>
      <c r="J27" s="2059"/>
      <c r="K27" s="2020">
        <f t="shared" si="2"/>
        <v>11251468</v>
      </c>
      <c r="L27" s="2060">
        <f t="shared" si="3"/>
        <v>1.2665193957199332</v>
      </c>
      <c r="N27" s="515"/>
      <c r="O27" s="396"/>
      <c r="R27" s="396"/>
    </row>
    <row r="28" spans="2:18">
      <c r="B28" s="1329" t="s">
        <v>134</v>
      </c>
      <c r="C28" s="740">
        <v>2307345</v>
      </c>
      <c r="D28" s="901">
        <v>1303081</v>
      </c>
      <c r="E28" s="2063"/>
      <c r="F28" s="2056">
        <f t="shared" si="0"/>
        <v>3610426</v>
      </c>
      <c r="G28" s="2057">
        <f t="shared" si="1"/>
        <v>0.45333683956428944</v>
      </c>
      <c r="H28" s="2058">
        <v>2682497</v>
      </c>
      <c r="I28" s="901">
        <v>1372239</v>
      </c>
      <c r="J28" s="2059"/>
      <c r="K28" s="2020">
        <f t="shared" si="2"/>
        <v>4054736</v>
      </c>
      <c r="L28" s="2060">
        <f t="shared" si="3"/>
        <v>0.45642060116278682</v>
      </c>
      <c r="N28" s="515"/>
      <c r="O28" s="396"/>
      <c r="R28" s="396"/>
    </row>
    <row r="29" spans="2:18">
      <c r="B29" s="1329" t="s">
        <v>115</v>
      </c>
      <c r="C29" s="740">
        <v>160051510</v>
      </c>
      <c r="D29" s="901">
        <v>76400546</v>
      </c>
      <c r="E29" s="2063"/>
      <c r="F29" s="2056">
        <f t="shared" si="0"/>
        <v>236452056</v>
      </c>
      <c r="G29" s="2057">
        <f t="shared" si="1"/>
        <v>29.689689741741937</v>
      </c>
      <c r="H29" s="2058">
        <v>184519748</v>
      </c>
      <c r="I29" s="901">
        <v>83392699</v>
      </c>
      <c r="J29" s="2059"/>
      <c r="K29" s="2020">
        <f t="shared" si="2"/>
        <v>267912447</v>
      </c>
      <c r="L29" s="2060">
        <f>+K29/$K$32*100</f>
        <v>30.15751459989831</v>
      </c>
      <c r="N29" s="515"/>
      <c r="O29" s="396"/>
      <c r="R29" s="396"/>
    </row>
    <row r="30" spans="2:18">
      <c r="B30" s="1330" t="s">
        <v>142</v>
      </c>
      <c r="C30" s="741">
        <v>33206203</v>
      </c>
      <c r="D30" s="1877"/>
      <c r="E30" s="2055"/>
      <c r="F30" s="2056">
        <f t="shared" si="0"/>
        <v>33206203</v>
      </c>
      <c r="G30" s="2057">
        <f t="shared" si="1"/>
        <v>4.1694789262957412</v>
      </c>
      <c r="H30" s="2058">
        <v>39343732</v>
      </c>
      <c r="I30" s="1880"/>
      <c r="J30" s="2059"/>
      <c r="K30" s="2020">
        <f>+H30+I30+J30</f>
        <v>39343732</v>
      </c>
      <c r="L30" s="2060">
        <f t="shared" si="3"/>
        <v>4.428719850423696</v>
      </c>
      <c r="N30" s="515"/>
      <c r="O30" s="396"/>
      <c r="R30" s="396"/>
    </row>
    <row r="31" spans="2:18">
      <c r="B31" s="2061" t="s">
        <v>117</v>
      </c>
      <c r="C31" s="2054">
        <v>62600408</v>
      </c>
      <c r="D31" s="1875"/>
      <c r="E31" s="2055"/>
      <c r="F31" s="2056">
        <f t="shared" si="0"/>
        <v>62600408</v>
      </c>
      <c r="G31" s="2057">
        <f t="shared" si="1"/>
        <v>7.8603109766423858</v>
      </c>
      <c r="H31" s="2058">
        <v>70761636</v>
      </c>
      <c r="I31" s="1880"/>
      <c r="J31" s="2059"/>
      <c r="K31" s="2020">
        <f>+H31+I31+J31</f>
        <v>70761636</v>
      </c>
      <c r="L31" s="2060">
        <f>+K31/$K$32*100</f>
        <v>7.9652703511109726</v>
      </c>
      <c r="N31" s="515"/>
      <c r="O31" s="396"/>
      <c r="R31" s="396"/>
    </row>
    <row r="32" spans="2:18" s="295" customFormat="1">
      <c r="B32" s="2068" t="s">
        <v>158</v>
      </c>
      <c r="C32" s="1996">
        <f t="shared" ref="C32" si="4">SUM(C6:C31)</f>
        <v>562705964</v>
      </c>
      <c r="D32" s="1878">
        <f>SUM(D6:D31)</f>
        <v>227639543.28949603</v>
      </c>
      <c r="E32" s="2024">
        <f t="shared" ref="E32:F32" si="5">SUM(E6:E31)</f>
        <v>6065833</v>
      </c>
      <c r="F32" s="2024">
        <f t="shared" si="5"/>
        <v>796411340.28949606</v>
      </c>
      <c r="G32" s="2024">
        <f>SUM(G6:G31)</f>
        <v>100</v>
      </c>
      <c r="H32" s="2024">
        <f>SUM(H6:H31)</f>
        <v>632626679</v>
      </c>
      <c r="I32" s="1879">
        <f t="shared" ref="I32:J32" si="6">SUM(I6:I31)</f>
        <v>250217491</v>
      </c>
      <c r="J32" s="2050">
        <f t="shared" si="6"/>
        <v>5532908</v>
      </c>
      <c r="K32" s="1996">
        <f t="shared" si="2"/>
        <v>888377078</v>
      </c>
      <c r="L32" s="2024">
        <f>SUM(L6:L31)</f>
        <v>100</v>
      </c>
      <c r="N32" s="515"/>
      <c r="O32" s="396"/>
      <c r="Q32" s="515"/>
      <c r="R32" s="396"/>
    </row>
    <row r="34" spans="2:12">
      <c r="B34" s="384"/>
      <c r="C34" s="384"/>
      <c r="D34" s="384"/>
      <c r="E34" s="384"/>
      <c r="L34" s="396">
        <v>4</v>
      </c>
    </row>
    <row r="35" spans="2:12">
      <c r="E35" s="396"/>
      <c r="H35" s="396"/>
    </row>
    <row r="36" spans="2:12">
      <c r="B36" s="554"/>
      <c r="D36" s="396"/>
      <c r="E36" s="396"/>
      <c r="H36" s="396"/>
    </row>
    <row r="37" spans="2:12">
      <c r="B37" s="52"/>
    </row>
    <row r="38" spans="2:12">
      <c r="B38" s="52"/>
      <c r="E38" s="491"/>
      <c r="F38" s="491"/>
      <c r="G38" s="491"/>
      <c r="H38" s="491"/>
      <c r="I38" s="491"/>
    </row>
    <row r="39" spans="2:12">
      <c r="B39" s="37"/>
      <c r="D39" s="396"/>
      <c r="I39" s="515"/>
    </row>
    <row r="40" spans="2:12">
      <c r="B40" s="620"/>
      <c r="D40" s="396"/>
    </row>
    <row r="41" spans="2:12">
      <c r="C41" s="396"/>
      <c r="E41" s="396"/>
    </row>
    <row r="42" spans="2:12">
      <c r="C42" s="396"/>
      <c r="I42" s="396"/>
      <c r="J42" s="396"/>
    </row>
    <row r="43" spans="2:12">
      <c r="C43" s="396"/>
    </row>
    <row r="44" spans="2:12">
      <c r="C44" s="396"/>
    </row>
    <row r="45" spans="2:12">
      <c r="B45" s="621"/>
      <c r="C45" s="553"/>
    </row>
    <row r="47" spans="2:12">
      <c r="D47" s="396"/>
    </row>
    <row r="48" spans="2:12">
      <c r="D48" s="396"/>
    </row>
  </sheetData>
  <sheetProtection selectLockedCells="1" selectUnlockedCells="1"/>
  <mergeCells count="3">
    <mergeCell ref="B4:B5"/>
    <mergeCell ref="H4:L4"/>
    <mergeCell ref="C4:G4"/>
  </mergeCells>
  <pageMargins left="0.31" right="0.2" top="0.18" bottom="0.23" header="0.3" footer="0.3"/>
  <pageSetup paperSize="9" scale="66"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dimension ref="A1:G8"/>
  <sheetViews>
    <sheetView workbookViewId="0">
      <selection activeCell="F94" sqref="F94"/>
    </sheetView>
  </sheetViews>
  <sheetFormatPr defaultRowHeight="15"/>
  <cols>
    <col min="1" max="1" width="7.42578125" customWidth="1"/>
    <col min="2" max="2" width="17.5703125" customWidth="1"/>
    <col min="3" max="3" width="18.7109375" customWidth="1"/>
    <col min="4" max="4" width="13.28515625" bestFit="1" customWidth="1"/>
    <col min="5" max="5" width="17.7109375" customWidth="1"/>
    <col min="6" max="6" width="19.28515625" customWidth="1"/>
    <col min="7" max="7" width="9.5703125" customWidth="1"/>
  </cols>
  <sheetData>
    <row r="1" spans="1:7">
      <c r="B1" t="s">
        <v>842</v>
      </c>
    </row>
    <row r="3" spans="1:7" ht="15" customHeight="1">
      <c r="A3" s="3407"/>
      <c r="B3" s="3959" t="s">
        <v>258</v>
      </c>
      <c r="C3" s="3960"/>
      <c r="D3" s="3961"/>
      <c r="E3" s="3962" t="s">
        <v>373</v>
      </c>
      <c r="F3" s="3963"/>
      <c r="G3" s="3964"/>
    </row>
    <row r="4" spans="1:7" s="113" customFormat="1" ht="30">
      <c r="A4" s="115"/>
      <c r="B4" s="1998" t="s">
        <v>980</v>
      </c>
      <c r="C4" s="1998" t="s">
        <v>981</v>
      </c>
      <c r="D4" s="1998" t="s">
        <v>982</v>
      </c>
      <c r="E4" s="1998" t="s">
        <v>983</v>
      </c>
      <c r="F4" s="1998" t="s">
        <v>984</v>
      </c>
      <c r="G4" s="1998" t="s">
        <v>982</v>
      </c>
    </row>
    <row r="5" spans="1:7" s="43" customFormat="1" ht="17.45" customHeight="1">
      <c r="A5" s="3342">
        <v>2010</v>
      </c>
      <c r="B5" s="3339" t="e">
        <f>+#REF!+#REF!+#REF!+#REF!+#REF!+#REF!+#REF!+#REF!+#REF!+#REF!</f>
        <v>#REF!</v>
      </c>
      <c r="C5" s="3343" t="e">
        <f>+#REF!</f>
        <v>#REF!</v>
      </c>
      <c r="D5" s="3344" t="e">
        <f>+C5/B5*100</f>
        <v>#REF!</v>
      </c>
      <c r="E5" s="3343" t="e">
        <f>+#REF!+#REF!+#REF!+#REF!+#REF!+#REF!+#REF!+#REF!+#REF!+#REF!+#REF!+#REF!</f>
        <v>#REF!</v>
      </c>
      <c r="F5" s="3343" t="e">
        <f>+#REF!</f>
        <v>#REF!</v>
      </c>
      <c r="G5" s="3344" t="e">
        <f>+F5/E5*100</f>
        <v>#REF!</v>
      </c>
    </row>
    <row r="6" spans="1:7" s="43" customFormat="1" ht="17.45" customHeight="1">
      <c r="A6" s="3342">
        <v>2011</v>
      </c>
      <c r="B6" s="3343" t="e">
        <f>+#REF!+#REF!+#REF!+#REF!+#REF!+#REF!+#REF!+#REF!</f>
        <v>#REF!</v>
      </c>
      <c r="C6" s="3343" t="e">
        <f>+#REF!</f>
        <v>#REF!</v>
      </c>
      <c r="D6" s="3344" t="e">
        <f>+C6/B6*100</f>
        <v>#REF!</v>
      </c>
      <c r="E6" s="3343" t="e">
        <f>+#REF!+#REF!+#REF!+#REF!+#REF!+#REF!+#REF!</f>
        <v>#REF!</v>
      </c>
      <c r="F6" s="3343" t="e">
        <f>+#REF!</f>
        <v>#REF!</v>
      </c>
      <c r="G6" s="3344" t="e">
        <f>+F6/E6*100</f>
        <v>#REF!</v>
      </c>
    </row>
    <row r="7" spans="1:7">
      <c r="C7" s="114"/>
      <c r="D7" s="114"/>
      <c r="F7" s="114"/>
      <c r="G7" s="114"/>
    </row>
    <row r="8" spans="1:7">
      <c r="C8" s="114"/>
      <c r="D8" s="114"/>
      <c r="F8" s="114"/>
      <c r="G8" s="114"/>
    </row>
  </sheetData>
  <customSheetViews>
    <customSheetView guid="{5E394B0B-7867-4722-9497-A93AB2A9A773}" showPageBreaks="1" state="hidden">
      <selection activeCell="F94" sqref="F94"/>
      <pageMargins left="0" right="0" top="0" bottom="0" header="0" footer="0"/>
      <pageSetup orientation="portrait" r:id="rId1"/>
    </customSheetView>
    <customSheetView guid="{B1E1B596-A9A1-411D-A882-A48CB025B978}" state="hidden">
      <selection activeCell="F94" sqref="F94"/>
      <pageMargins left="0" right="0" top="0" bottom="0" header="0" footer="0"/>
      <pageSetup orientation="portrait" r:id="rId2"/>
    </customSheetView>
    <customSheetView guid="{E82B35BE-4719-4C53-A9EF-1CC6F153A6F3}" state="hidden">
      <selection activeCell="F94" sqref="F94"/>
      <pageMargins left="0" right="0" top="0" bottom="0" header="0" footer="0"/>
    </customSheetView>
    <customSheetView guid="{46F31544-8E6F-41C5-8628-1D6EE074AF15}" state="hidden">
      <selection activeCell="F94" sqref="F94"/>
      <pageMargins left="0" right="0" top="0" bottom="0" header="0" footer="0"/>
      <pageSetup orientation="portrait" r:id="rId3"/>
    </customSheetView>
    <customSheetView guid="{B2E1A0C6-5BA1-4CF1-B412-16D81FCDF11F}" state="hidden">
      <selection activeCell="F94" sqref="F94"/>
      <pageMargins left="0" right="0" top="0" bottom="0" header="0" footer="0"/>
      <pageSetup orientation="portrait" r:id="rId4"/>
    </customSheetView>
    <customSheetView guid="{967E0446-E234-427F-8E57-7FE287052E2E}" showPageBreaks="1" state="hidden">
      <selection activeCell="F94" sqref="F94"/>
      <pageMargins left="0" right="0" top="0" bottom="0" header="0" footer="0"/>
      <pageSetup orientation="portrait" r:id="rId5"/>
    </customSheetView>
    <customSheetView guid="{2ACFE167-4169-43A6-9AB2-59D5A2DA2DB4}" showPageBreaks="1" state="hidden">
      <selection activeCell="F94" sqref="F94"/>
      <pageMargins left="0" right="0" top="0" bottom="0" header="0" footer="0"/>
      <pageSetup orientation="portrait" r:id="rId6"/>
    </customSheetView>
  </customSheetViews>
  <mergeCells count="2">
    <mergeCell ref="B3:D3"/>
    <mergeCell ref="E3:G3"/>
  </mergeCells>
  <pageMargins left="0.7" right="0.7" top="0.75" bottom="0.75" header="0.3" footer="0.3"/>
  <pageSetup orientation="portrait" r:id="rId7"/>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1">
    <tabColor rgb="FFC00000"/>
  </sheetPr>
  <dimension ref="A1:H422"/>
  <sheetViews>
    <sheetView workbookViewId="0">
      <selection activeCell="F94" sqref="F94"/>
    </sheetView>
  </sheetViews>
  <sheetFormatPr defaultRowHeight="15"/>
  <cols>
    <col min="1" max="1" width="44" customWidth="1"/>
    <col min="2" max="2" width="24" style="146" customWidth="1"/>
    <col min="3" max="3" width="19.28515625" style="136" customWidth="1"/>
    <col min="4" max="4" width="16.7109375" customWidth="1"/>
    <col min="5" max="5" width="20.42578125" style="118" customWidth="1"/>
    <col min="6" max="6" width="16.85546875" customWidth="1"/>
    <col min="8" max="8" width="12.5703125" bestFit="1" customWidth="1"/>
  </cols>
  <sheetData>
    <row r="1" spans="1:6" ht="26.25" customHeight="1">
      <c r="A1" s="3345" t="s">
        <v>985</v>
      </c>
      <c r="B1" s="3967" t="s">
        <v>986</v>
      </c>
      <c r="C1" s="3967"/>
      <c r="D1" s="3912" t="s">
        <v>987</v>
      </c>
      <c r="E1" s="3912"/>
    </row>
    <row r="2" spans="1:6" ht="18.75">
      <c r="A2" s="119" t="s">
        <v>988</v>
      </c>
      <c r="B2" s="3965" t="s">
        <v>989</v>
      </c>
      <c r="C2" s="3966"/>
      <c r="D2" s="99" t="s">
        <v>990</v>
      </c>
      <c r="E2" s="120"/>
    </row>
    <row r="3" spans="1:6">
      <c r="B3" s="137" t="s">
        <v>991</v>
      </c>
      <c r="C3" s="129" t="s">
        <v>992</v>
      </c>
      <c r="D3" s="99" t="s">
        <v>991</v>
      </c>
      <c r="E3" s="120" t="s">
        <v>992</v>
      </c>
    </row>
    <row r="4" spans="1:6">
      <c r="B4" s="138"/>
      <c r="C4" s="130"/>
      <c r="D4" s="99"/>
      <c r="E4" s="120"/>
    </row>
    <row r="5" spans="1:6">
      <c r="A5" s="15" t="s">
        <v>993</v>
      </c>
      <c r="B5" s="138">
        <f>B6/B7</f>
        <v>7.4446530832439333</v>
      </c>
      <c r="C5" s="130">
        <f>C6/C7</f>
        <v>2.4559056619261446</v>
      </c>
      <c r="D5" s="99">
        <v>6.4229816726198834</v>
      </c>
      <c r="E5" s="120">
        <v>2.1220730372971062</v>
      </c>
      <c r="F5" t="s">
        <v>994</v>
      </c>
    </row>
    <row r="6" spans="1:6">
      <c r="A6" s="122" t="s">
        <v>995</v>
      </c>
      <c r="B6" s="139">
        <f>+'LI - Solvency'!F8*1000</f>
        <v>43875264307.253418</v>
      </c>
      <c r="C6" s="131">
        <f>+'GI - Solvency'!G8*1000</f>
        <v>22334909318.537029</v>
      </c>
      <c r="D6" s="58">
        <v>33397606.916877665</v>
      </c>
      <c r="E6" s="128">
        <v>16834876.232952002</v>
      </c>
      <c r="F6" s="14"/>
    </row>
    <row r="7" spans="1:6">
      <c r="A7" t="s">
        <v>996</v>
      </c>
      <c r="B7" s="139">
        <f>+'LI - Solvency'!F11*1000</f>
        <v>5893527047.7553549</v>
      </c>
      <c r="C7" s="131">
        <f>+'GI - Solvency'!G9*1000</f>
        <v>9094367778.3697777</v>
      </c>
      <c r="D7" s="58">
        <v>5199704.5327478014</v>
      </c>
      <c r="E7" s="128">
        <v>7933221.8717573723</v>
      </c>
    </row>
    <row r="8" spans="1:6">
      <c r="B8" s="138"/>
      <c r="C8" s="130"/>
      <c r="D8" s="58"/>
      <c r="E8" s="128"/>
    </row>
    <row r="9" spans="1:6">
      <c r="A9" s="15" t="s">
        <v>997</v>
      </c>
      <c r="B9" s="138"/>
      <c r="C9" s="130" t="e">
        <f>C10/C11</f>
        <v>#REF!</v>
      </c>
      <c r="D9" s="99"/>
      <c r="E9" s="120">
        <v>0.20476102236625784</v>
      </c>
    </row>
    <row r="10" spans="1:6">
      <c r="A10" s="122" t="s">
        <v>998</v>
      </c>
      <c r="B10" s="140" t="s">
        <v>999</v>
      </c>
      <c r="C10" s="131">
        <f>+'SH Funds'!J31</f>
        <v>6464598426.5438995</v>
      </c>
      <c r="D10" s="99" t="s">
        <v>999</v>
      </c>
      <c r="E10" s="128">
        <v>53916643.992601588</v>
      </c>
      <c r="F10" t="s">
        <v>994</v>
      </c>
    </row>
    <row r="11" spans="1:6">
      <c r="A11" t="s">
        <v>1000</v>
      </c>
      <c r="B11" s="140"/>
      <c r="C11" s="131" t="e">
        <f>+'AR Table 8 &amp; Chart 9'!L28</f>
        <v>#REF!</v>
      </c>
      <c r="D11" s="99"/>
      <c r="E11" s="128">
        <v>263314977.47730723</v>
      </c>
    </row>
    <row r="12" spans="1:6">
      <c r="B12" s="140"/>
      <c r="C12" s="130"/>
      <c r="D12" s="99"/>
      <c r="E12" s="120"/>
    </row>
    <row r="13" spans="1:6">
      <c r="A13" s="15" t="s">
        <v>1001</v>
      </c>
      <c r="B13" s="140"/>
      <c r="C13" s="130" t="e">
        <f>C14/C15</f>
        <v>#REF!</v>
      </c>
      <c r="D13" s="99"/>
      <c r="E13" s="120">
        <v>1.812862553780511</v>
      </c>
    </row>
    <row r="14" spans="1:6">
      <c r="A14" s="122" t="s">
        <v>1002</v>
      </c>
      <c r="B14" s="140" t="s">
        <v>999</v>
      </c>
      <c r="C14" s="131">
        <f>+C10</f>
        <v>6464598426.5438995</v>
      </c>
      <c r="D14" s="99" t="s">
        <v>999</v>
      </c>
      <c r="E14" s="128">
        <v>53916643.992601603</v>
      </c>
      <c r="F14" t="s">
        <v>994</v>
      </c>
    </row>
    <row r="15" spans="1:6">
      <c r="A15" t="s">
        <v>1003</v>
      </c>
      <c r="B15" s="140"/>
      <c r="C15" s="131" t="e">
        <f>+#REF!</f>
        <v>#REF!</v>
      </c>
      <c r="D15" s="99"/>
      <c r="E15" s="128">
        <v>29741164.811510276</v>
      </c>
    </row>
    <row r="16" spans="1:6">
      <c r="B16" s="140"/>
      <c r="C16" s="130"/>
      <c r="D16" s="99"/>
      <c r="E16" s="120"/>
    </row>
    <row r="17" spans="1:6">
      <c r="A17" s="15" t="s">
        <v>1004</v>
      </c>
      <c r="B17" s="140"/>
      <c r="C17" s="147" t="e">
        <f>C18/C19</f>
        <v>#REF!</v>
      </c>
      <c r="D17" s="99"/>
      <c r="E17" s="120">
        <f>119.71108270568/100</f>
        <v>1.1971108270568001</v>
      </c>
      <c r="F17" t="s">
        <v>994</v>
      </c>
    </row>
    <row r="18" spans="1:6">
      <c r="A18" s="122" t="s">
        <v>1005</v>
      </c>
      <c r="B18" s="140" t="s">
        <v>999</v>
      </c>
      <c r="C18" s="131">
        <f>+Retention!G11-Retention!G19</f>
        <v>35701142.879671231</v>
      </c>
      <c r="D18" s="99" t="s">
        <v>999</v>
      </c>
      <c r="E18" s="128">
        <v>35603470.40513964</v>
      </c>
    </row>
    <row r="19" spans="1:6">
      <c r="A19" t="s">
        <v>1006</v>
      </c>
      <c r="B19" s="138"/>
      <c r="C19" s="131" t="e">
        <f>+C15</f>
        <v>#REF!</v>
      </c>
      <c r="D19" s="99"/>
      <c r="E19" s="128">
        <v>29741164.811510276</v>
      </c>
    </row>
    <row r="20" spans="1:6">
      <c r="B20" s="138"/>
      <c r="C20" s="130"/>
      <c r="D20" s="99"/>
      <c r="E20" s="120"/>
    </row>
    <row r="21" spans="1:6" ht="18.75">
      <c r="A21" s="119" t="s">
        <v>1007</v>
      </c>
      <c r="B21" s="138"/>
      <c r="C21" s="130"/>
      <c r="D21" s="99"/>
      <c r="E21" s="120"/>
    </row>
    <row r="22" spans="1:6">
      <c r="B22" s="138"/>
      <c r="C22" s="130"/>
      <c r="D22" s="99"/>
      <c r="E22" s="120"/>
    </row>
    <row r="23" spans="1:6">
      <c r="A23" s="15" t="s">
        <v>1008</v>
      </c>
      <c r="B23" s="138" t="e">
        <f>B24/B25*100</f>
        <v>#REF!</v>
      </c>
      <c r="C23" s="130" t="e">
        <f>C24/C25*100</f>
        <v>#REF!</v>
      </c>
      <c r="D23" s="99">
        <v>19.482610355651612</v>
      </c>
      <c r="E23" s="120">
        <v>11.495809750545169</v>
      </c>
    </row>
    <row r="24" spans="1:6">
      <c r="A24" s="122" t="s">
        <v>1009</v>
      </c>
      <c r="B24" s="139" t="e">
        <f>+#REF!</f>
        <v>#REF!</v>
      </c>
      <c r="C24" s="131" t="e">
        <f>+#REF!</f>
        <v>#REF!</v>
      </c>
      <c r="D24" s="58">
        <v>6830875.2230580654</v>
      </c>
      <c r="E24" s="128">
        <v>5221345.1538280388</v>
      </c>
      <c r="F24" t="s">
        <v>994</v>
      </c>
    </row>
    <row r="25" spans="1:6">
      <c r="A25" t="s">
        <v>333</v>
      </c>
      <c r="B25" s="139" t="e">
        <f>+'New - LT'!G20</f>
        <v>#REF!</v>
      </c>
      <c r="C25" s="131" t="e">
        <f>+#REF!</f>
        <v>#REF!</v>
      </c>
      <c r="D25" s="58">
        <v>35061396.282949999</v>
      </c>
      <c r="E25" s="128">
        <v>45419550.837472983</v>
      </c>
    </row>
    <row r="26" spans="1:6">
      <c r="B26" s="138"/>
      <c r="C26" s="130"/>
      <c r="D26" s="99"/>
      <c r="E26" s="120"/>
    </row>
    <row r="27" spans="1:6">
      <c r="A27" s="15" t="s">
        <v>1010</v>
      </c>
      <c r="B27" s="138" t="e">
        <f>B28/B29*100</f>
        <v>#REF!</v>
      </c>
      <c r="C27" s="130" t="e">
        <f>C28/C29*100</f>
        <v>#REF!</v>
      </c>
      <c r="D27" s="99">
        <v>-12.714676770843084</v>
      </c>
      <c r="E27" s="120">
        <v>24.531531534978431</v>
      </c>
    </row>
    <row r="28" spans="1:6">
      <c r="A28" s="122" t="s">
        <v>1011</v>
      </c>
      <c r="B28" s="139" t="e">
        <f>+#REF!</f>
        <v>#REF!</v>
      </c>
      <c r="C28" s="131" t="e">
        <f>+#REF!</f>
        <v>#REF!</v>
      </c>
      <c r="D28" s="58">
        <v>-4295651.0651600305</v>
      </c>
      <c r="E28" s="128">
        <v>7772339.9355637031</v>
      </c>
    </row>
    <row r="29" spans="1:6">
      <c r="A29" t="s">
        <v>1012</v>
      </c>
      <c r="B29" s="139" t="e">
        <f>+#REF!</f>
        <v>#REF!</v>
      </c>
      <c r="C29" s="131" t="e">
        <f>+#REF!</f>
        <v>#REF!</v>
      </c>
      <c r="D29" s="58">
        <v>33784980.480279997</v>
      </c>
      <c r="E29" s="128">
        <v>31683060.327813067</v>
      </c>
    </row>
    <row r="30" spans="1:6">
      <c r="B30" s="138"/>
      <c r="C30" s="130"/>
      <c r="D30" s="99"/>
      <c r="E30" s="120"/>
    </row>
    <row r="31" spans="1:6">
      <c r="A31" s="15" t="s">
        <v>1013</v>
      </c>
      <c r="B31" s="138" t="e">
        <f>B32/B33*100</f>
        <v>#REF!</v>
      </c>
      <c r="C31" s="130" t="e">
        <f>C32/C33*100</f>
        <v>#REF!</v>
      </c>
      <c r="D31" s="99">
        <v>4.5577175127732055</v>
      </c>
      <c r="E31" s="120">
        <v>5.6201526582369574</v>
      </c>
      <c r="F31" s="16"/>
    </row>
    <row r="32" spans="1:6">
      <c r="A32" s="122" t="s">
        <v>1014</v>
      </c>
      <c r="B32" s="141" t="e">
        <f>+B24</f>
        <v>#REF!</v>
      </c>
      <c r="C32" s="132" t="e">
        <f>+C24</f>
        <v>#REF!</v>
      </c>
      <c r="D32" s="58">
        <v>6830875.2230580654</v>
      </c>
      <c r="E32" s="128">
        <v>5221345.1538280388</v>
      </c>
    </row>
    <row r="33" spans="1:6">
      <c r="A33" t="s">
        <v>1015</v>
      </c>
      <c r="B33" s="142" t="e">
        <f>+('AR Table 8 &amp; Chart 9'!D28+'AR Table 8 &amp; Chart 9'!I28)/2</f>
        <v>#REF!</v>
      </c>
      <c r="C33" s="132" t="e">
        <f>+('AR Table 8 &amp; Chart 9'!E28+'AR Table 8 &amp; Chart 9'!J28)/2</f>
        <v>#REF!</v>
      </c>
      <c r="D33" s="58">
        <v>149874914.44816917</v>
      </c>
      <c r="E33" s="128">
        <v>92903973.812447563</v>
      </c>
      <c r="F33" t="s">
        <v>1016</v>
      </c>
    </row>
    <row r="34" spans="1:6">
      <c r="B34" s="138"/>
      <c r="C34" s="130"/>
      <c r="D34" s="99"/>
      <c r="E34" s="120"/>
    </row>
    <row r="35" spans="1:6">
      <c r="A35" s="15" t="s">
        <v>1017</v>
      </c>
      <c r="B35" s="138"/>
      <c r="C35" s="130" t="e">
        <f>C36/C37*100</f>
        <v>#REF!</v>
      </c>
      <c r="D35" s="99"/>
      <c r="E35" s="120">
        <v>11.048426632268191</v>
      </c>
    </row>
    <row r="36" spans="1:6">
      <c r="A36" s="123" t="s">
        <v>1018</v>
      </c>
      <c r="B36" s="138"/>
      <c r="C36" s="131" t="e">
        <f>C32</f>
        <v>#REF!</v>
      </c>
      <c r="D36" s="99"/>
      <c r="E36" s="128">
        <v>5221345.1538280388</v>
      </c>
      <c r="F36" t="s">
        <v>1019</v>
      </c>
    </row>
    <row r="37" spans="1:6">
      <c r="A37" t="s">
        <v>1020</v>
      </c>
      <c r="B37" s="140" t="s">
        <v>999</v>
      </c>
      <c r="C37" s="131">
        <f>+('SH Funds'!D31+'SH Funds'!J31)/2</f>
        <v>5925314901.4697399</v>
      </c>
      <c r="D37" s="99" t="s">
        <v>999</v>
      </c>
      <c r="E37" s="128">
        <v>47258721.333031297</v>
      </c>
      <c r="F37" s="58">
        <f>+C37*2</f>
        <v>11850629802.93948</v>
      </c>
    </row>
    <row r="38" spans="1:6">
      <c r="B38" s="138"/>
      <c r="C38" s="130"/>
      <c r="D38" s="99"/>
      <c r="E38" s="120"/>
    </row>
    <row r="39" spans="1:6">
      <c r="A39" s="15" t="s">
        <v>1021</v>
      </c>
      <c r="B39" s="143" t="e">
        <f>B41+B45</f>
        <v>#REF!</v>
      </c>
      <c r="C39" s="133" t="e">
        <f>C41+C45</f>
        <v>#REF!</v>
      </c>
      <c r="D39" s="99">
        <v>59.025917816703299</v>
      </c>
      <c r="E39" s="120">
        <v>82.281237106467401</v>
      </c>
    </row>
    <row r="40" spans="1:6">
      <c r="A40" s="15"/>
      <c r="B40" s="138"/>
      <c r="C40" s="130"/>
      <c r="D40" s="99"/>
      <c r="E40" s="120"/>
    </row>
    <row r="41" spans="1:6">
      <c r="A41" s="15" t="s">
        <v>1022</v>
      </c>
      <c r="B41" s="138" t="e">
        <f>B42/B43*100</f>
        <v>#REF!</v>
      </c>
      <c r="C41" s="130">
        <f>C42/C43*100</f>
        <v>63.775593390401454</v>
      </c>
      <c r="D41" s="99">
        <v>32.945395280417088</v>
      </c>
      <c r="E41" s="120">
        <v>60.085653442197916</v>
      </c>
    </row>
    <row r="42" spans="1:6">
      <c r="A42" s="122" t="s">
        <v>1023</v>
      </c>
      <c r="B42" s="139" t="e">
        <f>-#REF!</f>
        <v>#REF!</v>
      </c>
      <c r="C42" s="131">
        <f>+'Comb Ratio'!F19</f>
        <v>20291733.630306304</v>
      </c>
      <c r="D42" s="58">
        <v>11130595.364640001</v>
      </c>
      <c r="E42" s="128">
        <v>19036973.828452256</v>
      </c>
      <c r="F42" s="120"/>
    </row>
    <row r="43" spans="1:6">
      <c r="A43" t="s">
        <v>1012</v>
      </c>
      <c r="B43" s="139" t="e">
        <f>+B29</f>
        <v>#REF!</v>
      </c>
      <c r="C43" s="131">
        <f>+'Comb Ratio'!F11</f>
        <v>31817396.830932993</v>
      </c>
      <c r="D43" s="58">
        <v>33784980.480279997</v>
      </c>
      <c r="E43" s="128">
        <v>31683060.327813067</v>
      </c>
    </row>
    <row r="44" spans="1:6">
      <c r="B44" s="138"/>
      <c r="C44" s="130"/>
      <c r="D44" s="99"/>
      <c r="E44" s="120"/>
    </row>
    <row r="45" spans="1:6">
      <c r="A45" s="15" t="s">
        <v>1024</v>
      </c>
      <c r="B45" s="138" t="e">
        <f>B46/B47*100</f>
        <v>#REF!</v>
      </c>
      <c r="C45" s="130" t="e">
        <f>C46/C47*100</f>
        <v>#REF!</v>
      </c>
      <c r="D45" s="99">
        <v>26.080522536286203</v>
      </c>
      <c r="E45" s="120">
        <v>22.195583664269442</v>
      </c>
    </row>
    <row r="46" spans="1:6">
      <c r="A46" s="122" t="s">
        <v>435</v>
      </c>
      <c r="B46" s="139" t="e">
        <f>-#REF!-#REF!-#REF!</f>
        <v>#REF!</v>
      </c>
      <c r="C46" s="131" t="e">
        <f>-#REF!-#REF!-#REF!-#REF!</f>
        <v>#REF!</v>
      </c>
      <c r="D46" s="58">
        <v>8811299.4480393194</v>
      </c>
      <c r="E46" s="128">
        <v>7032240.162460709</v>
      </c>
    </row>
    <row r="47" spans="1:6">
      <c r="A47" t="s">
        <v>1012</v>
      </c>
      <c r="B47" s="139" t="e">
        <f>B43</f>
        <v>#REF!</v>
      </c>
      <c r="C47" s="131">
        <f>C43</f>
        <v>31817396.830932993</v>
      </c>
      <c r="D47" s="58">
        <v>33784980.480279997</v>
      </c>
      <c r="E47" s="128">
        <v>31683060.327813067</v>
      </c>
    </row>
    <row r="48" spans="1:6">
      <c r="B48" s="138"/>
      <c r="C48" s="130"/>
      <c r="D48" s="99"/>
      <c r="E48" s="120"/>
    </row>
    <row r="49" spans="1:8">
      <c r="A49" s="15" t="s">
        <v>1025</v>
      </c>
      <c r="B49" s="138" t="e">
        <f>B50/B51*100</f>
        <v>#REF!</v>
      </c>
      <c r="C49" s="130" t="e">
        <f>C50/C51*100</f>
        <v>#REF!</v>
      </c>
      <c r="D49" s="99">
        <v>13.766887209980547</v>
      </c>
      <c r="E49" s="120">
        <v>5.5718288384030039</v>
      </c>
    </row>
    <row r="50" spans="1:8">
      <c r="A50" s="122" t="s">
        <v>338</v>
      </c>
      <c r="B50" s="139">
        <f>+'[52]LI - 2011'!S23</f>
        <v>18905733.773537412</v>
      </c>
      <c r="C50" s="131" t="e">
        <f>+#REF!</f>
        <v>#REF!</v>
      </c>
      <c r="D50" s="58">
        <v>18905733.773537412</v>
      </c>
      <c r="E50" s="128">
        <v>3316510.3394836457</v>
      </c>
    </row>
    <row r="51" spans="1:8">
      <c r="A51" t="s">
        <v>1026</v>
      </c>
      <c r="B51" s="139" t="e">
        <f>+(#REF!+#REF!)/2</f>
        <v>#REF!</v>
      </c>
      <c r="C51" s="131" t="e">
        <f>+(#REF!+#REF!)/2</f>
        <v>#REF!</v>
      </c>
      <c r="D51" s="58">
        <v>137327585.27891016</v>
      </c>
      <c r="E51" s="128">
        <v>59522832.37103571</v>
      </c>
      <c r="F51" t="s">
        <v>1027</v>
      </c>
    </row>
    <row r="52" spans="1:8">
      <c r="B52" s="138"/>
      <c r="C52" s="130"/>
      <c r="D52" s="99"/>
      <c r="E52" s="120"/>
      <c r="F52" t="s">
        <v>1028</v>
      </c>
    </row>
    <row r="53" spans="1:8">
      <c r="A53" s="15" t="s">
        <v>1029</v>
      </c>
      <c r="B53" s="138" t="e">
        <f>B54/B55*100</f>
        <v>#REF!</v>
      </c>
      <c r="C53" s="130" t="e">
        <f>C54/C55*100</f>
        <v>#REF!</v>
      </c>
      <c r="D53" s="99">
        <v>12.552481296620799</v>
      </c>
      <c r="E53" s="120">
        <v>21.630654240501539</v>
      </c>
      <c r="F53" t="s">
        <v>1030</v>
      </c>
    </row>
    <row r="54" spans="1:8">
      <c r="A54" s="122" t="s">
        <v>1031</v>
      </c>
      <c r="B54" s="139" t="e">
        <f>+('New - LT'!G20-'New - LT'!D20)</f>
        <v>#REF!</v>
      </c>
      <c r="C54" s="131" t="e">
        <f>+('New GI'!G23-'New GI'!D23)</f>
        <v>#REF!</v>
      </c>
      <c r="D54" s="58">
        <v>3910242.7241499946</v>
      </c>
      <c r="E54" s="128">
        <v>8077360.152824983</v>
      </c>
    </row>
    <row r="55" spans="1:8">
      <c r="A55" t="s">
        <v>1032</v>
      </c>
      <c r="B55" s="139" t="e">
        <f>+'New - LT'!D20</f>
        <v>#REF!</v>
      </c>
      <c r="C55" s="131" t="e">
        <f>+'New GI'!D23</f>
        <v>#REF!</v>
      </c>
      <c r="D55" s="58">
        <v>31151153.558800004</v>
      </c>
      <c r="E55" s="128">
        <v>37342190.684648</v>
      </c>
      <c r="F55" t="s">
        <v>1033</v>
      </c>
    </row>
    <row r="56" spans="1:8">
      <c r="B56" s="138"/>
      <c r="C56" s="130"/>
      <c r="D56" s="99"/>
      <c r="E56" s="120"/>
    </row>
    <row r="57" spans="1:8">
      <c r="B57" s="138"/>
      <c r="C57" s="130"/>
      <c r="D57" s="99"/>
      <c r="E57" s="120"/>
    </row>
    <row r="58" spans="1:8" ht="18.75">
      <c r="A58" s="119" t="s">
        <v>1034</v>
      </c>
      <c r="B58" s="138"/>
      <c r="C58" s="130"/>
      <c r="D58" s="99"/>
      <c r="E58" s="120"/>
    </row>
    <row r="59" spans="1:8">
      <c r="A59" s="124" t="s">
        <v>1035</v>
      </c>
      <c r="B59" s="144" t="e">
        <f>B60/B61</f>
        <v>#REF!</v>
      </c>
      <c r="C59" s="134" t="e">
        <f>C60/C61</f>
        <v>#REF!</v>
      </c>
      <c r="D59" s="99">
        <v>0.70970073276380519</v>
      </c>
      <c r="E59" s="120">
        <v>0.63393570525522214</v>
      </c>
      <c r="F59" s="125" t="s">
        <v>1036</v>
      </c>
      <c r="H59" s="99" t="e">
        <f>+H60/H61</f>
        <v>#REF!</v>
      </c>
    </row>
    <row r="60" spans="1:8">
      <c r="A60" s="126" t="s">
        <v>1037</v>
      </c>
      <c r="B60" s="139" t="e">
        <f>+#REF!+#REF!+#REF!</f>
        <v>#REF!</v>
      </c>
      <c r="C60" s="131" t="e">
        <f>+#REF!+#REF!+#REF!</f>
        <v>#REF!</v>
      </c>
      <c r="D60" s="58">
        <v>112439182.18276471</v>
      </c>
      <c r="E60" s="128">
        <v>32309490.233791545</v>
      </c>
      <c r="H60" s="14" t="e">
        <f>+B60+C60</f>
        <v>#REF!</v>
      </c>
    </row>
    <row r="61" spans="1:8">
      <c r="A61" s="127" t="s">
        <v>1038</v>
      </c>
      <c r="B61" s="139" t="e">
        <f>+#REF!+#REF!+#REF!+#REF!+#REF!+#REF!</f>
        <v>#REF!</v>
      </c>
      <c r="C61" s="131" t="e">
        <f>+#REF!+#REF!-#REF!-#REF!-#REF!</f>
        <v>#REF!</v>
      </c>
      <c r="D61" s="58">
        <v>158431824.84100026</v>
      </c>
      <c r="E61" s="128">
        <v>50966509.641200542</v>
      </c>
      <c r="H61" s="14" t="e">
        <f>+B61+C61</f>
        <v>#REF!</v>
      </c>
    </row>
    <row r="62" spans="1:8">
      <c r="B62" s="139"/>
      <c r="C62" s="131"/>
      <c r="D62" s="99"/>
      <c r="E62" s="120"/>
    </row>
    <row r="63" spans="1:8">
      <c r="A63" s="15" t="s">
        <v>1039</v>
      </c>
      <c r="B63" s="143" t="e">
        <f>B64/B65*100</f>
        <v>#REF!</v>
      </c>
      <c r="C63" s="133">
        <f>C64/C65*100</f>
        <v>63.775593390401454</v>
      </c>
      <c r="D63" s="99">
        <v>32.945395280417088</v>
      </c>
      <c r="E63" s="120">
        <v>60.085653442197916</v>
      </c>
      <c r="F63" s="15" t="s">
        <v>994</v>
      </c>
    </row>
    <row r="64" spans="1:8">
      <c r="A64" s="122" t="s">
        <v>1040</v>
      </c>
      <c r="B64" s="139" t="e">
        <f>B42</f>
        <v>#REF!</v>
      </c>
      <c r="C64" s="131">
        <f>C42</f>
        <v>20291733.630306304</v>
      </c>
      <c r="D64" s="58">
        <v>11130595.364640001</v>
      </c>
      <c r="E64" s="128">
        <v>19036973.828452256</v>
      </c>
    </row>
    <row r="65" spans="1:6">
      <c r="A65" t="s">
        <v>1012</v>
      </c>
      <c r="B65" s="139" t="e">
        <f>B43</f>
        <v>#REF!</v>
      </c>
      <c r="C65" s="131">
        <f>C43</f>
        <v>31817396.830932993</v>
      </c>
      <c r="D65" s="58">
        <v>33784980.480279997</v>
      </c>
      <c r="E65" s="128">
        <v>31683060.327813067</v>
      </c>
    </row>
    <row r="66" spans="1:6">
      <c r="B66" s="138"/>
      <c r="C66" s="130"/>
      <c r="D66" s="99"/>
      <c r="E66" s="120"/>
    </row>
    <row r="67" spans="1:6">
      <c r="A67" s="15" t="s">
        <v>1041</v>
      </c>
      <c r="B67" s="138" t="e">
        <f>+B69/B70*100</f>
        <v>#REF!</v>
      </c>
      <c r="C67" s="130" t="e">
        <f>+C69/C70*100</f>
        <v>#REF!</v>
      </c>
      <c r="D67" s="99">
        <v>96.360424909003001</v>
      </c>
      <c r="E67" s="120">
        <v>78.387984356211035</v>
      </c>
    </row>
    <row r="68" spans="1:6">
      <c r="A68" s="15" t="s">
        <v>1042</v>
      </c>
      <c r="B68" s="145" t="e">
        <f>B69/B70</f>
        <v>#REF!</v>
      </c>
      <c r="C68" s="135" t="e">
        <f>C69/C70</f>
        <v>#REF!</v>
      </c>
      <c r="D68" s="99">
        <v>0.96360424909002995</v>
      </c>
      <c r="E68" s="120">
        <v>0.78387984356211038</v>
      </c>
      <c r="F68" s="15" t="s">
        <v>994</v>
      </c>
    </row>
    <row r="69" spans="1:6">
      <c r="A69" s="122" t="s">
        <v>1043</v>
      </c>
      <c r="B69" s="139" t="e">
        <f>+#REF!</f>
        <v>#REF!</v>
      </c>
      <c r="C69" s="131">
        <f>+C18</f>
        <v>35701142.879671231</v>
      </c>
      <c r="D69" s="58">
        <v>33785310.437279999</v>
      </c>
      <c r="E69" s="128">
        <v>35603470.40513964</v>
      </c>
    </row>
    <row r="70" spans="1:6">
      <c r="A70" t="s">
        <v>1044</v>
      </c>
      <c r="B70" s="139" t="e">
        <f>+B25</f>
        <v>#REF!</v>
      </c>
      <c r="C70" s="131" t="e">
        <f>+C25</f>
        <v>#REF!</v>
      </c>
      <c r="D70" s="58">
        <v>35061396.282949999</v>
      </c>
      <c r="E70" s="128">
        <v>45419550.837472983</v>
      </c>
    </row>
    <row r="71" spans="1:6">
      <c r="B71"/>
      <c r="C71"/>
      <c r="D71" s="121"/>
      <c r="E71" s="121"/>
    </row>
    <row r="72" spans="1:6">
      <c r="B72"/>
      <c r="C72"/>
      <c r="E72"/>
    </row>
    <row r="73" spans="1:6">
      <c r="B73"/>
      <c r="C73"/>
      <c r="E73"/>
    </row>
    <row r="74" spans="1:6">
      <c r="B74"/>
      <c r="C74"/>
      <c r="E74"/>
    </row>
    <row r="75" spans="1:6">
      <c r="B75"/>
      <c r="C75"/>
      <c r="E75"/>
    </row>
    <row r="76" spans="1:6">
      <c r="B76"/>
      <c r="C76"/>
      <c r="E76"/>
    </row>
    <row r="77" spans="1:6">
      <c r="B77"/>
      <c r="C77"/>
      <c r="E77"/>
    </row>
    <row r="78" spans="1:6">
      <c r="B78"/>
      <c r="C78"/>
      <c r="E78" t="s">
        <v>402</v>
      </c>
    </row>
    <row r="79" spans="1:6">
      <c r="B79"/>
      <c r="C79"/>
      <c r="E79"/>
    </row>
    <row r="80" spans="1:6">
      <c r="B80"/>
      <c r="C80"/>
      <c r="E80"/>
    </row>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sheetData>
  <customSheetViews>
    <customSheetView guid="{5E394B0B-7867-4722-9497-A93AB2A9A773}" showPageBreaks="1" state="hidden">
      <selection activeCell="F94" sqref="F94"/>
      <pageMargins left="0" right="0" top="0" bottom="0" header="0" footer="0"/>
      <pageSetup orientation="portrait" r:id="rId1"/>
    </customSheetView>
    <customSheetView guid="{B1E1B596-A9A1-411D-A882-A48CB025B978}" state="hidden">
      <selection activeCell="F94" sqref="F94"/>
      <pageMargins left="0" right="0" top="0" bottom="0" header="0" footer="0"/>
      <pageSetup orientation="portrait" r:id="rId2"/>
    </customSheetView>
    <customSheetView guid="{E82B35BE-4719-4C53-A9EF-1CC6F153A6F3}" state="hidden">
      <selection activeCell="F94" sqref="F94"/>
      <pageMargins left="0" right="0" top="0" bottom="0" header="0" footer="0"/>
    </customSheetView>
    <customSheetView guid="{46F31544-8E6F-41C5-8628-1D6EE074AF15}" state="hidden">
      <selection activeCell="F94" sqref="F94"/>
      <pageMargins left="0" right="0" top="0" bottom="0" header="0" footer="0"/>
      <pageSetup orientation="portrait" r:id="rId3"/>
    </customSheetView>
    <customSheetView guid="{B2E1A0C6-5BA1-4CF1-B412-16D81FCDF11F}" state="hidden">
      <selection activeCell="F94" sqref="F94"/>
      <pageMargins left="0" right="0" top="0" bottom="0" header="0" footer="0"/>
      <pageSetup orientation="portrait" r:id="rId4"/>
    </customSheetView>
    <customSheetView guid="{967E0446-E234-427F-8E57-7FE287052E2E}" showPageBreaks="1" state="hidden">
      <selection activeCell="F94" sqref="F94"/>
      <pageMargins left="0" right="0" top="0" bottom="0" header="0" footer="0"/>
      <pageSetup orientation="portrait" r:id="rId5"/>
    </customSheetView>
    <customSheetView guid="{2ACFE167-4169-43A6-9AB2-59D5A2DA2DB4}" showPageBreaks="1" state="hidden">
      <selection activeCell="F94" sqref="F94"/>
      <pageMargins left="0" right="0" top="0" bottom="0" header="0" footer="0"/>
      <pageSetup orientation="portrait" r:id="rId6"/>
    </customSheetView>
  </customSheetViews>
  <mergeCells count="3">
    <mergeCell ref="B2:C2"/>
    <mergeCell ref="D1:E1"/>
    <mergeCell ref="B1:C1"/>
  </mergeCells>
  <pageMargins left="0.7" right="0.7" top="0.75" bottom="0.75" header="0.3" footer="0.3"/>
  <pageSetup orientation="portrait" r:id="rId7"/>
  <legacyDrawing r:id="rId8"/>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dimension ref="A1:H24"/>
  <sheetViews>
    <sheetView workbookViewId="0">
      <selection activeCell="F94" sqref="F94"/>
    </sheetView>
  </sheetViews>
  <sheetFormatPr defaultRowHeight="15"/>
  <cols>
    <col min="1" max="1" width="25" customWidth="1"/>
    <col min="2" max="2" width="12.140625" customWidth="1"/>
    <col min="3" max="3" width="14.42578125" customWidth="1"/>
    <col min="4" max="4" width="14.85546875" customWidth="1"/>
    <col min="5" max="5" width="15" customWidth="1"/>
    <col min="6" max="6" width="14.42578125" customWidth="1"/>
    <col min="7" max="7" width="13.85546875" customWidth="1"/>
  </cols>
  <sheetData>
    <row r="1" spans="1:8" ht="15.75" thickBot="1"/>
    <row r="2" spans="1:8" s="43" customFormat="1" ht="29.25" customHeight="1" thickBot="1">
      <c r="A2" s="160"/>
      <c r="B2" s="3968" t="s">
        <v>886</v>
      </c>
      <c r="C2" s="3969"/>
      <c r="D2" s="3970"/>
      <c r="E2" s="3968" t="s">
        <v>373</v>
      </c>
      <c r="F2" s="3969"/>
      <c r="G2" s="3970"/>
    </row>
    <row r="3" spans="1:8" ht="27" customHeight="1" thickBot="1">
      <c r="A3" s="162" t="s">
        <v>1045</v>
      </c>
      <c r="B3" s="163" t="s">
        <v>1046</v>
      </c>
      <c r="C3" s="163" t="s">
        <v>1047</v>
      </c>
      <c r="D3" s="163" t="s">
        <v>1048</v>
      </c>
      <c r="E3" s="163" t="s">
        <v>1046</v>
      </c>
      <c r="F3" s="163" t="s">
        <v>1047</v>
      </c>
      <c r="G3" s="163" t="s">
        <v>1048</v>
      </c>
    </row>
    <row r="4" spans="1:8" s="41" customFormat="1" ht="24.95" customHeight="1" thickBot="1">
      <c r="A4" s="158" t="s">
        <v>1049</v>
      </c>
      <c r="B4" s="161" t="e">
        <f>+#REF!/1000</f>
        <v>#REF!</v>
      </c>
      <c r="C4" s="161" t="e">
        <f>+#REF!/1000</f>
        <v>#REF!</v>
      </c>
      <c r="D4" s="159" t="e">
        <f>+((B4-C4)/C4)*100</f>
        <v>#REF!</v>
      </c>
      <c r="E4" s="161" t="e">
        <f>+#REF!/1000</f>
        <v>#REF!</v>
      </c>
      <c r="F4" s="161" t="e">
        <f>+#REF!/1000</f>
        <v>#REF!</v>
      </c>
      <c r="G4" s="159" t="e">
        <f>+((E4-F4)/F4)*100</f>
        <v>#REF!</v>
      </c>
    </row>
    <row r="5" spans="1:8" s="41" customFormat="1" ht="24.95" customHeight="1" thickBot="1">
      <c r="A5" s="158" t="s">
        <v>1050</v>
      </c>
      <c r="B5" s="161" t="e">
        <f>+#REF!/1000</f>
        <v>#REF!</v>
      </c>
      <c r="C5" s="161" t="e">
        <f>+'AR Table 8 &amp; Chart 9'!D28/1000</f>
        <v>#REF!</v>
      </c>
      <c r="D5" s="159" t="e">
        <f>+((B5-C5)/C5)*100</f>
        <v>#REF!</v>
      </c>
      <c r="E5" s="161" t="e">
        <f>+'AR Table 8 &amp; Chart 9'!J28/1000</f>
        <v>#REF!</v>
      </c>
      <c r="F5" s="161" t="e">
        <f>+'AR Table 8 &amp; Chart 9'!E28/1000</f>
        <v>#REF!</v>
      </c>
      <c r="G5" s="159" t="e">
        <f>+((E5-F5)/F5)*100</f>
        <v>#REF!</v>
      </c>
    </row>
    <row r="6" spans="1:8" s="41" customFormat="1" ht="24.95" customHeight="1" thickBot="1">
      <c r="A6" s="158" t="s">
        <v>198</v>
      </c>
      <c r="B6" s="3971" t="s">
        <v>999</v>
      </c>
      <c r="C6" s="3972"/>
      <c r="D6" s="3973"/>
      <c r="E6" s="161">
        <f>+'SH Funds'!J31/1000</f>
        <v>6464598.4265438998</v>
      </c>
      <c r="F6" s="161">
        <f>+'SH Funds'!D31/1000</f>
        <v>5386031.3763955794</v>
      </c>
      <c r="G6" s="159">
        <f>+((E6-F6)/F6)*100</f>
        <v>20.025264889379741</v>
      </c>
    </row>
    <row r="7" spans="1:8" s="41" customFormat="1" ht="24.95" customHeight="1" thickBot="1">
      <c r="A7" s="158" t="s">
        <v>1051</v>
      </c>
      <c r="B7" s="159"/>
      <c r="C7" s="159"/>
      <c r="D7" s="159" t="e">
        <f>+((B7-C7)/C7)*100</f>
        <v>#DIV/0!</v>
      </c>
      <c r="E7" s="161"/>
      <c r="F7" s="161"/>
      <c r="G7" s="159" t="e">
        <f>+((E7-F7)/F7)*100</f>
        <v>#DIV/0!</v>
      </c>
      <c r="H7" s="41" t="s">
        <v>1052</v>
      </c>
    </row>
    <row r="8" spans="1:8" s="41" customFormat="1" ht="24.95" customHeight="1" thickBot="1">
      <c r="A8" s="158" t="s">
        <v>1053</v>
      </c>
      <c r="B8" s="159">
        <v>0.54</v>
      </c>
      <c r="C8" s="159">
        <v>0.56000000000000005</v>
      </c>
      <c r="D8" s="159">
        <f>+((B8-C8)/C8)*100</f>
        <v>-3.5714285714285738</v>
      </c>
      <c r="E8" s="159">
        <v>0.66</v>
      </c>
      <c r="F8" s="159">
        <v>0.63</v>
      </c>
      <c r="G8" s="159">
        <f>+((E8-F8)/F8)*100</f>
        <v>4.7619047619047654</v>
      </c>
    </row>
    <row r="9" spans="1:8" s="41" customFormat="1" ht="24.95" customHeight="1"/>
    <row r="10" spans="1:8" s="41" customFormat="1" ht="24.95" customHeight="1">
      <c r="A10" s="41" t="s">
        <v>1054</v>
      </c>
    </row>
    <row r="11" spans="1:8" s="41" customFormat="1" ht="24.95" customHeight="1"/>
    <row r="12" spans="1:8" s="41" customFormat="1" ht="24.95" customHeight="1"/>
    <row r="13" spans="1:8" s="41" customFormat="1" ht="24.95" customHeight="1"/>
    <row r="14" spans="1:8" s="41" customFormat="1" ht="24.95" customHeight="1"/>
    <row r="15" spans="1:8" s="41" customFormat="1" ht="24.95" customHeight="1"/>
    <row r="16" spans="1:8" s="41" customFormat="1" ht="24.95" customHeight="1"/>
    <row r="17" s="41" customFormat="1" ht="24.95" customHeight="1"/>
    <row r="18" s="41" customFormat="1" ht="24.95" customHeight="1"/>
    <row r="19" s="41" customFormat="1" ht="24.95" customHeight="1"/>
    <row r="20" s="41" customFormat="1" ht="24.95" customHeight="1"/>
    <row r="21" s="41" customFormat="1" ht="24.95" customHeight="1"/>
    <row r="22" s="41" customFormat="1" ht="24.95" customHeight="1"/>
    <row r="23" s="41" customFormat="1" ht="24.95" customHeight="1"/>
    <row r="24" s="41" customFormat="1" ht="24.95" customHeight="1"/>
  </sheetData>
  <customSheetViews>
    <customSheetView guid="{5E394B0B-7867-4722-9497-A93AB2A9A773}" showPageBreaks="1" state="hidden">
      <selection activeCell="F94" sqref="F94"/>
      <pageMargins left="0" right="0" top="0" bottom="0" header="0" footer="0"/>
      <pageSetup orientation="portrait" r:id="rId1"/>
    </customSheetView>
    <customSheetView guid="{B1E1B596-A9A1-411D-A882-A48CB025B978}" state="hidden">
      <selection activeCell="F94" sqref="F94"/>
      <pageMargins left="0" right="0" top="0" bottom="0" header="0" footer="0"/>
      <pageSetup orientation="portrait" r:id="rId2"/>
    </customSheetView>
    <customSheetView guid="{E82B35BE-4719-4C53-A9EF-1CC6F153A6F3}" state="hidden">
      <selection activeCell="F94" sqref="F94"/>
      <pageMargins left="0" right="0" top="0" bottom="0" header="0" footer="0"/>
      <pageSetup orientation="portrait" r:id="rId3"/>
    </customSheetView>
    <customSheetView guid="{46F31544-8E6F-41C5-8628-1D6EE074AF15}" state="hidden">
      <selection activeCell="F94" sqref="F94"/>
      <pageMargins left="0" right="0" top="0" bottom="0" header="0" footer="0"/>
      <pageSetup orientation="portrait" r:id="rId4"/>
    </customSheetView>
    <customSheetView guid="{B2E1A0C6-5BA1-4CF1-B412-16D81FCDF11F}" state="hidden">
      <selection activeCell="F94" sqref="F94"/>
      <pageMargins left="0" right="0" top="0" bottom="0" header="0" footer="0"/>
      <pageSetup orientation="portrait" r:id="rId5"/>
    </customSheetView>
    <customSheetView guid="{967E0446-E234-427F-8E57-7FE287052E2E}" showPageBreaks="1" state="hidden">
      <selection activeCell="F94" sqref="F94"/>
      <pageMargins left="0" right="0" top="0" bottom="0" header="0" footer="0"/>
      <pageSetup orientation="portrait" r:id="rId6"/>
    </customSheetView>
    <customSheetView guid="{2ACFE167-4169-43A6-9AB2-59D5A2DA2DB4}" showPageBreaks="1" state="hidden">
      <selection activeCell="F94" sqref="F94"/>
      <pageMargins left="0" right="0" top="0" bottom="0" header="0" footer="0"/>
      <pageSetup orientation="portrait" r:id="rId7"/>
    </customSheetView>
  </customSheetViews>
  <mergeCells count="3">
    <mergeCell ref="B2:D2"/>
    <mergeCell ref="E2:G2"/>
    <mergeCell ref="B6:D6"/>
  </mergeCells>
  <pageMargins left="0.7" right="0.7" top="0.75" bottom="0.75" header="0.3" footer="0.3"/>
  <pageSetup orientation="portrait" r:id="rId8"/>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tabColor rgb="FF00B050"/>
  </sheetPr>
  <dimension ref="B1:V49"/>
  <sheetViews>
    <sheetView workbookViewId="0">
      <selection activeCell="I20" sqref="I20"/>
    </sheetView>
  </sheetViews>
  <sheetFormatPr defaultColWidth="9.140625" defaultRowHeight="15"/>
  <cols>
    <col min="2" max="2" width="22" customWidth="1"/>
    <col min="3" max="3" width="15.42578125" hidden="1" customWidth="1"/>
    <col min="4" max="4" width="15.28515625" customWidth="1"/>
    <col min="5" max="6" width="15.7109375" customWidth="1"/>
    <col min="7" max="8" width="14.42578125" customWidth="1"/>
    <col min="9" max="9" width="12.42578125" customWidth="1"/>
    <col min="10" max="10" width="14.28515625" bestFit="1" customWidth="1"/>
  </cols>
  <sheetData>
    <row r="1" spans="2:11">
      <c r="B1" s="202" t="s">
        <v>594</v>
      </c>
    </row>
    <row r="2" spans="2:11">
      <c r="B2" s="205" t="s">
        <v>1055</v>
      </c>
      <c r="C2" s="1"/>
      <c r="D2" s="2"/>
      <c r="E2" s="2"/>
      <c r="F2" s="2"/>
      <c r="G2" s="2"/>
      <c r="H2" s="2"/>
      <c r="K2" t="s">
        <v>1056</v>
      </c>
    </row>
    <row r="3" spans="2:11">
      <c r="C3" s="1"/>
      <c r="D3" s="2"/>
      <c r="E3" s="2"/>
      <c r="F3" s="2"/>
      <c r="G3" s="2"/>
      <c r="H3" s="2"/>
    </row>
    <row r="4" spans="2:11">
      <c r="B4" s="3853" t="s">
        <v>1057</v>
      </c>
      <c r="C4" s="3854"/>
      <c r="D4" s="3854"/>
      <c r="E4" s="3854"/>
      <c r="F4" s="3854"/>
      <c r="G4" s="3854"/>
      <c r="H4" s="215"/>
    </row>
    <row r="5" spans="2:11">
      <c r="B5" s="3855" t="s">
        <v>506</v>
      </c>
      <c r="C5" s="3974" t="s">
        <v>1058</v>
      </c>
      <c r="D5" s="3974"/>
      <c r="E5" s="3974"/>
      <c r="F5" s="3974"/>
      <c r="G5" s="3974"/>
      <c r="H5" s="3974"/>
    </row>
    <row r="6" spans="2:11">
      <c r="B6" s="3856"/>
      <c r="C6" s="3130">
        <v>2007</v>
      </c>
      <c r="D6" s="3130">
        <v>2008</v>
      </c>
      <c r="E6" s="3130">
        <v>2009</v>
      </c>
      <c r="F6" s="3130">
        <v>2010</v>
      </c>
      <c r="G6" s="3130" t="s">
        <v>887</v>
      </c>
      <c r="H6" s="3130" t="s">
        <v>726</v>
      </c>
    </row>
    <row r="7" spans="2:11">
      <c r="B7" s="3131" t="s">
        <v>412</v>
      </c>
      <c r="C7" s="3143" t="e">
        <f>+#REF!</f>
        <v>#REF!</v>
      </c>
      <c r="D7" s="3143" t="e">
        <f>+#REF!</f>
        <v>#REF!</v>
      </c>
      <c r="E7" s="3346" t="e">
        <f>+#REF!</f>
        <v>#REF!</v>
      </c>
      <c r="F7" s="3143" t="e">
        <f>+#REF!</f>
        <v>#REF!</v>
      </c>
      <c r="G7" s="3143" t="e">
        <f>+#REF!</f>
        <v>#REF!</v>
      </c>
      <c r="H7" s="3143" t="e">
        <f>+#REF!</f>
        <v>#REF!</v>
      </c>
      <c r="J7" s="23"/>
    </row>
    <row r="8" spans="2:11">
      <c r="B8" s="3131" t="s">
        <v>413</v>
      </c>
      <c r="C8" s="3143" t="e">
        <f>+#REF!</f>
        <v>#REF!</v>
      </c>
      <c r="D8" s="3143" t="e">
        <f>+#REF!</f>
        <v>#REF!</v>
      </c>
      <c r="E8" s="3346" t="e">
        <f>+#REF!</f>
        <v>#REF!</v>
      </c>
      <c r="F8" s="3143" t="e">
        <f>+#REF!</f>
        <v>#REF!</v>
      </c>
      <c r="G8" s="3143" t="e">
        <f>+#REF!</f>
        <v>#REF!</v>
      </c>
      <c r="H8" s="3143" t="e">
        <f>+#REF!</f>
        <v>#REF!</v>
      </c>
      <c r="J8" s="23"/>
    </row>
    <row r="9" spans="2:11">
      <c r="B9" s="3131" t="s">
        <v>414</v>
      </c>
      <c r="C9" s="3143" t="e">
        <f>+#REF!</f>
        <v>#REF!</v>
      </c>
      <c r="D9" s="3143" t="e">
        <f>+#REF!</f>
        <v>#REF!</v>
      </c>
      <c r="E9" s="3346" t="e">
        <f>+#REF!</f>
        <v>#REF!</v>
      </c>
      <c r="F9" s="3143" t="e">
        <f>+#REF!</f>
        <v>#REF!</v>
      </c>
      <c r="G9" s="3143" t="e">
        <f>+#REF!</f>
        <v>#REF!</v>
      </c>
      <c r="H9" s="3143" t="e">
        <f>+#REF!</f>
        <v>#REF!</v>
      </c>
      <c r="J9" s="23"/>
    </row>
    <row r="10" spans="2:11">
      <c r="B10" s="3131" t="s">
        <v>741</v>
      </c>
      <c r="C10" s="3143" t="e">
        <f>+#REF!+#REF!</f>
        <v>#REF!</v>
      </c>
      <c r="D10" s="3143" t="e">
        <f>+#REF!+#REF!</f>
        <v>#REF!</v>
      </c>
      <c r="E10" s="3346" t="e">
        <f>+#REF!+#REF!</f>
        <v>#REF!</v>
      </c>
      <c r="F10" s="3143" t="e">
        <f>+#REF!+#REF!</f>
        <v>#REF!</v>
      </c>
      <c r="G10" s="3143" t="e">
        <f>+#REF!+#REF!</f>
        <v>#REF!</v>
      </c>
      <c r="H10" s="3143" t="e">
        <f>+#REF!+#REF!</f>
        <v>#REF!</v>
      </c>
      <c r="J10" s="23"/>
    </row>
    <row r="11" spans="2:11">
      <c r="B11" s="3135" t="s">
        <v>723</v>
      </c>
      <c r="C11" s="3144" t="e">
        <f>SUM(C7:C10)-1</f>
        <v>#REF!</v>
      </c>
      <c r="D11" s="3144" t="e">
        <f>SUM(D7:D10)</f>
        <v>#REF!</v>
      </c>
      <c r="E11" s="3144" t="e">
        <f>SUM(E7:E10)+1</f>
        <v>#REF!</v>
      </c>
      <c r="F11" s="3144" t="e">
        <f>SUM(F7:F10)</f>
        <v>#REF!</v>
      </c>
      <c r="G11" s="3144" t="e">
        <f>SUM(G7:G10)</f>
        <v>#REF!</v>
      </c>
      <c r="H11" s="3144" t="e">
        <f>SUM(H7:H10)</f>
        <v>#REF!</v>
      </c>
      <c r="J11" s="14"/>
    </row>
    <row r="12" spans="2:11">
      <c r="B12" s="36"/>
      <c r="C12" s="36"/>
      <c r="D12" s="36"/>
      <c r="E12" s="36"/>
      <c r="F12" s="36"/>
      <c r="G12" s="36"/>
      <c r="H12" s="36"/>
    </row>
    <row r="13" spans="2:11">
      <c r="B13" s="3855" t="s">
        <v>506</v>
      </c>
      <c r="C13" s="3974" t="s">
        <v>1059</v>
      </c>
      <c r="D13" s="3974"/>
      <c r="E13" s="3974"/>
      <c r="F13" s="3974"/>
      <c r="G13" s="3974"/>
      <c r="H13" s="3974"/>
    </row>
    <row r="14" spans="2:11">
      <c r="B14" s="3856"/>
      <c r="C14" s="3130" t="s">
        <v>725</v>
      </c>
      <c r="D14" s="3130">
        <v>2008</v>
      </c>
      <c r="E14" s="3130">
        <v>2009</v>
      </c>
      <c r="F14" s="3130">
        <v>2010</v>
      </c>
      <c r="G14" s="3130" t="s">
        <v>887</v>
      </c>
      <c r="H14" s="3130" t="s">
        <v>726</v>
      </c>
    </row>
    <row r="15" spans="2:11">
      <c r="B15" s="3131" t="s">
        <v>412</v>
      </c>
      <c r="C15" s="3143" t="e">
        <f>+#REF!</f>
        <v>#REF!</v>
      </c>
      <c r="D15" s="3143" t="e">
        <f>+#REF!</f>
        <v>#REF!</v>
      </c>
      <c r="E15" s="3346" t="e">
        <f>+#REF!</f>
        <v>#REF!</v>
      </c>
      <c r="F15" s="3143" t="e">
        <f>+#REF!</f>
        <v>#REF!</v>
      </c>
      <c r="G15" s="3143" t="e">
        <f>+#REF!</f>
        <v>#REF!</v>
      </c>
      <c r="H15" s="3143" t="e">
        <f>+#REF!</f>
        <v>#REF!</v>
      </c>
      <c r="J15" s="23"/>
    </row>
    <row r="16" spans="2:11">
      <c r="B16" s="3131" t="s">
        <v>413</v>
      </c>
      <c r="C16" s="3143" t="e">
        <f>+#REF!</f>
        <v>#REF!</v>
      </c>
      <c r="D16" s="3143" t="e">
        <f>+#REF!</f>
        <v>#REF!</v>
      </c>
      <c r="E16" s="3346" t="e">
        <f>+#REF!</f>
        <v>#REF!</v>
      </c>
      <c r="F16" s="3143" t="e">
        <f>+#REF!</f>
        <v>#REF!</v>
      </c>
      <c r="G16" s="3143" t="e">
        <f>+#REF!</f>
        <v>#REF!</v>
      </c>
      <c r="H16" s="3143" t="e">
        <f>+#REF!</f>
        <v>#REF!</v>
      </c>
      <c r="J16" s="23"/>
    </row>
    <row r="17" spans="2:10">
      <c r="B17" s="3131" t="s">
        <v>414</v>
      </c>
      <c r="C17" s="3143" t="e">
        <f>+#REF!</f>
        <v>#REF!</v>
      </c>
      <c r="D17" s="3143" t="e">
        <f>+#REF!</f>
        <v>#REF!</v>
      </c>
      <c r="E17" s="3346" t="e">
        <f>+#REF!</f>
        <v>#REF!</v>
      </c>
      <c r="F17" s="3143" t="e">
        <f>+#REF!</f>
        <v>#REF!</v>
      </c>
      <c r="G17" s="3143" t="e">
        <f>+#REF!</f>
        <v>#REF!</v>
      </c>
      <c r="H17" s="3143" t="e">
        <f>+#REF!</f>
        <v>#REF!</v>
      </c>
      <c r="J17" s="23"/>
    </row>
    <row r="18" spans="2:10">
      <c r="B18" s="3131" t="s">
        <v>741</v>
      </c>
      <c r="C18" s="3143" t="e">
        <f>+#REF!+#REF!</f>
        <v>#REF!</v>
      </c>
      <c r="D18" s="3143" t="e">
        <f>+#REF!+#REF!</f>
        <v>#REF!</v>
      </c>
      <c r="E18" s="3346" t="e">
        <f>+#REF!+#REF!</f>
        <v>#REF!</v>
      </c>
      <c r="F18" s="3143" t="e">
        <f>+#REF!+#REF!</f>
        <v>#REF!</v>
      </c>
      <c r="G18" s="3143" t="e">
        <f>+#REF!+#REF!</f>
        <v>#REF!</v>
      </c>
      <c r="H18" s="3143" t="e">
        <f>+#REF!+#REF!</f>
        <v>#REF!</v>
      </c>
      <c r="J18" s="23"/>
    </row>
    <row r="19" spans="2:10">
      <c r="B19" s="3135" t="s">
        <v>723</v>
      </c>
      <c r="C19" s="3144" t="e">
        <f>SUM(C15:C18)</f>
        <v>#REF!</v>
      </c>
      <c r="D19" s="3144" t="e">
        <f>SUM(D15:D18)</f>
        <v>#REF!</v>
      </c>
      <c r="E19" s="3144" t="e">
        <f>SUM(E15:E18)+1</f>
        <v>#REF!</v>
      </c>
      <c r="F19" s="3145" t="e">
        <f>SUM(F15:F18)</f>
        <v>#REF!</v>
      </c>
      <c r="G19" s="3144" t="e">
        <f>SUM(G15:G18)</f>
        <v>#REF!</v>
      </c>
      <c r="H19" s="3144" t="e">
        <f>SUM(H15:H18)</f>
        <v>#REF!</v>
      </c>
      <c r="J19" s="14"/>
    </row>
    <row r="20" spans="2:10">
      <c r="B20" s="36"/>
      <c r="C20" s="36"/>
      <c r="D20" s="36"/>
      <c r="E20" s="36"/>
      <c r="F20" s="36"/>
      <c r="G20" s="36"/>
      <c r="H20" s="36"/>
    </row>
    <row r="21" spans="2:10">
      <c r="B21" s="3855" t="s">
        <v>506</v>
      </c>
      <c r="C21" s="3974" t="s">
        <v>1060</v>
      </c>
      <c r="D21" s="3974"/>
      <c r="E21" s="3974"/>
      <c r="F21" s="3974"/>
      <c r="G21" s="3974"/>
      <c r="H21" s="3974"/>
    </row>
    <row r="22" spans="2:10">
      <c r="B22" s="3856"/>
      <c r="C22" s="3130">
        <v>2007</v>
      </c>
      <c r="D22" s="3130">
        <v>2008</v>
      </c>
      <c r="E22" s="3130">
        <v>2009</v>
      </c>
      <c r="F22" s="3130">
        <v>2010</v>
      </c>
      <c r="G22" s="3130" t="s">
        <v>887</v>
      </c>
      <c r="H22" s="3130" t="s">
        <v>726</v>
      </c>
    </row>
    <row r="23" spans="2:10">
      <c r="B23" s="3131" t="s">
        <v>412</v>
      </c>
      <c r="C23" s="3146" t="e">
        <f t="shared" ref="C23:H27" si="0">(C15/C7)*100</f>
        <v>#REF!</v>
      </c>
      <c r="D23" s="3146" t="e">
        <f t="shared" si="0"/>
        <v>#REF!</v>
      </c>
      <c r="E23" s="3146" t="e">
        <f t="shared" si="0"/>
        <v>#REF!</v>
      </c>
      <c r="F23" s="3146" t="e">
        <f t="shared" si="0"/>
        <v>#REF!</v>
      </c>
      <c r="G23" s="3146" t="e">
        <f t="shared" si="0"/>
        <v>#REF!</v>
      </c>
      <c r="H23" s="3146" t="e">
        <f t="shared" si="0"/>
        <v>#REF!</v>
      </c>
    </row>
    <row r="24" spans="2:10">
      <c r="B24" s="3131" t="s">
        <v>413</v>
      </c>
      <c r="C24" s="3146" t="e">
        <f t="shared" si="0"/>
        <v>#REF!</v>
      </c>
      <c r="D24" s="3146" t="e">
        <f t="shared" si="0"/>
        <v>#REF!</v>
      </c>
      <c r="E24" s="3146" t="e">
        <f t="shared" si="0"/>
        <v>#REF!</v>
      </c>
      <c r="F24" s="3146" t="e">
        <f t="shared" si="0"/>
        <v>#REF!</v>
      </c>
      <c r="G24" s="3146" t="e">
        <f t="shared" si="0"/>
        <v>#REF!</v>
      </c>
      <c r="H24" s="3146" t="e">
        <f t="shared" si="0"/>
        <v>#REF!</v>
      </c>
    </row>
    <row r="25" spans="2:10">
      <c r="B25" s="3131" t="s">
        <v>414</v>
      </c>
      <c r="C25" s="3146" t="e">
        <f t="shared" si="0"/>
        <v>#REF!</v>
      </c>
      <c r="D25" s="3146" t="e">
        <f t="shared" si="0"/>
        <v>#REF!</v>
      </c>
      <c r="E25" s="3146" t="e">
        <f t="shared" si="0"/>
        <v>#REF!</v>
      </c>
      <c r="F25" s="3146" t="e">
        <f t="shared" si="0"/>
        <v>#REF!</v>
      </c>
      <c r="G25" s="3146" t="e">
        <f t="shared" si="0"/>
        <v>#REF!</v>
      </c>
      <c r="H25" s="3146" t="e">
        <f t="shared" si="0"/>
        <v>#REF!</v>
      </c>
    </row>
    <row r="26" spans="2:10">
      <c r="B26" s="3131" t="s">
        <v>741</v>
      </c>
      <c r="C26" s="3146" t="e">
        <f t="shared" si="0"/>
        <v>#REF!</v>
      </c>
      <c r="D26" s="3146" t="e">
        <f t="shared" si="0"/>
        <v>#REF!</v>
      </c>
      <c r="E26" s="3146" t="e">
        <f t="shared" si="0"/>
        <v>#REF!</v>
      </c>
      <c r="F26" s="3146" t="e">
        <f t="shared" si="0"/>
        <v>#REF!</v>
      </c>
      <c r="G26" s="3146" t="e">
        <f t="shared" si="0"/>
        <v>#REF!</v>
      </c>
      <c r="H26" s="3146" t="e">
        <f t="shared" si="0"/>
        <v>#REF!</v>
      </c>
    </row>
    <row r="27" spans="2:10">
      <c r="B27" s="3135" t="s">
        <v>723</v>
      </c>
      <c r="C27" s="3148" t="e">
        <f t="shared" si="0"/>
        <v>#REF!</v>
      </c>
      <c r="D27" s="3148" t="e">
        <f t="shared" si="0"/>
        <v>#REF!</v>
      </c>
      <c r="E27" s="3148" t="e">
        <f t="shared" si="0"/>
        <v>#REF!</v>
      </c>
      <c r="F27" s="3148" t="e">
        <f t="shared" si="0"/>
        <v>#REF!</v>
      </c>
      <c r="G27" s="3148" t="e">
        <f t="shared" si="0"/>
        <v>#REF!</v>
      </c>
      <c r="H27" s="3148" t="e">
        <f t="shared" si="0"/>
        <v>#REF!</v>
      </c>
    </row>
    <row r="29" spans="2:10">
      <c r="D29" s="3383">
        <v>2008</v>
      </c>
      <c r="E29" s="3383">
        <v>2009</v>
      </c>
      <c r="F29" s="3383">
        <v>2010</v>
      </c>
      <c r="G29" s="3383" t="s">
        <v>887</v>
      </c>
      <c r="H29" s="3383" t="s">
        <v>726</v>
      </c>
    </row>
    <row r="30" spans="2:10">
      <c r="B30" s="2928" t="s">
        <v>727</v>
      </c>
      <c r="C30" s="2928"/>
      <c r="D30" s="3156">
        <f>+'AR 6&amp;7 Support III'!E11</f>
        <v>12766837.92606</v>
      </c>
      <c r="E30" s="3156">
        <f>+'AR 6&amp;7 Support III'!D11</f>
        <v>12907013.425590001</v>
      </c>
      <c r="F30" s="3156">
        <f>-'[3]P &amp; L GI - 2010'!$I$20</f>
        <v>10058322.227912756</v>
      </c>
      <c r="G30" s="3156">
        <f>-'P &amp; L - GI - 2012 '!J15</f>
        <v>0</v>
      </c>
      <c r="H30" s="3156" t="e">
        <f>-#REF!</f>
        <v>#REF!</v>
      </c>
    </row>
    <row r="31" spans="2:10">
      <c r="B31" s="2928" t="s">
        <v>514</v>
      </c>
      <c r="C31" s="2928"/>
      <c r="D31" s="2966" t="e">
        <f>+D30/D11*100</f>
        <v>#REF!</v>
      </c>
      <c r="E31" s="2966" t="e">
        <f>+E30/E11*100</f>
        <v>#REF!</v>
      </c>
      <c r="F31" s="2966" t="e">
        <f>+F30/F11*100</f>
        <v>#REF!</v>
      </c>
      <c r="G31" s="3347" t="e">
        <f>+G30/G11*100</f>
        <v>#REF!</v>
      </c>
      <c r="H31" s="2966" t="e">
        <f>+H30/H11*100</f>
        <v>#REF!</v>
      </c>
    </row>
    <row r="33" spans="2:22">
      <c r="B33" s="2928" t="s">
        <v>517</v>
      </c>
      <c r="C33" s="2928"/>
      <c r="D33" s="2966" t="e">
        <f>+D27+D31</f>
        <v>#REF!</v>
      </c>
      <c r="E33" s="2966" t="e">
        <f>+E27+E31</f>
        <v>#REF!</v>
      </c>
      <c r="F33" s="2966" t="e">
        <f>+F27+F31</f>
        <v>#REF!</v>
      </c>
      <c r="G33" s="2966" t="e">
        <f>+G27+G31</f>
        <v>#REF!</v>
      </c>
      <c r="H33" s="2966" t="e">
        <f>+H27+H31</f>
        <v>#REF!</v>
      </c>
    </row>
    <row r="35" spans="2:22">
      <c r="B35" t="s">
        <v>1061</v>
      </c>
      <c r="D35" s="14" t="e">
        <f>+D11-D19</f>
        <v>#REF!</v>
      </c>
      <c r="E35" s="14" t="e">
        <f>+E11-E19</f>
        <v>#REF!</v>
      </c>
      <c r="F35" s="14" t="e">
        <f>+F11-F19</f>
        <v>#REF!</v>
      </c>
      <c r="G35" s="14" t="e">
        <f>+G11-G19</f>
        <v>#REF!</v>
      </c>
      <c r="H35" s="14" t="e">
        <f>+H11-H19</f>
        <v>#REF!</v>
      </c>
    </row>
    <row r="36" spans="2:22">
      <c r="B36" t="s">
        <v>1062</v>
      </c>
      <c r="D36" s="14">
        <f>+D30</f>
        <v>12766837.92606</v>
      </c>
      <c r="E36" s="14">
        <f>+E30</f>
        <v>12907013.425590001</v>
      </c>
      <c r="F36" s="14">
        <f>+F30</f>
        <v>10058322.227912756</v>
      </c>
      <c r="G36" s="14">
        <f>+G30</f>
        <v>0</v>
      </c>
      <c r="H36" s="14" t="e">
        <f>+H30</f>
        <v>#REF!</v>
      </c>
    </row>
    <row r="37" spans="2:22">
      <c r="B37" t="s">
        <v>1063</v>
      </c>
      <c r="F37" s="193">
        <f>+'[3]P &amp; L GI - 2010'!$H$26</f>
        <v>12220021.678048341</v>
      </c>
      <c r="G37" s="193">
        <f>+'Invest Income GI - 2011'!E23</f>
        <v>3386078.0472546476</v>
      </c>
      <c r="H37" s="193" t="e">
        <f>+#REF!</f>
        <v>#REF!</v>
      </c>
    </row>
    <row r="38" spans="2:22">
      <c r="G38" s="193"/>
      <c r="H38" s="193"/>
    </row>
    <row r="42" spans="2:22" ht="15" customHeight="1">
      <c r="B42" s="204" t="s">
        <v>612</v>
      </c>
      <c r="J42" s="222"/>
      <c r="K42" s="200" t="s">
        <v>147</v>
      </c>
      <c r="L42" s="175"/>
      <c r="M42" s="175"/>
      <c r="N42" s="175"/>
      <c r="O42" s="175"/>
      <c r="P42" s="175"/>
    </row>
    <row r="43" spans="2:22" ht="15" customHeight="1">
      <c r="B43" s="204" t="s">
        <v>613</v>
      </c>
      <c r="C43" s="42"/>
      <c r="J43" s="223"/>
      <c r="K43" s="208"/>
      <c r="L43" s="175"/>
      <c r="M43" s="175"/>
      <c r="N43" s="175"/>
      <c r="O43" s="175"/>
      <c r="P43" s="175"/>
    </row>
    <row r="44" spans="2:22" ht="15" customHeight="1">
      <c r="B44" s="200" t="s">
        <v>147</v>
      </c>
      <c r="C44" s="175"/>
      <c r="D44" s="175"/>
      <c r="E44" s="175"/>
      <c r="F44" s="175"/>
      <c r="G44" s="175"/>
      <c r="H44" s="175"/>
      <c r="I44" s="175"/>
      <c r="J44" s="28"/>
      <c r="K44" s="3839" t="s">
        <v>148</v>
      </c>
      <c r="L44" s="3839"/>
      <c r="M44" s="3839"/>
      <c r="N44" s="3839"/>
      <c r="O44" s="3839"/>
      <c r="P44" s="3839"/>
      <c r="Q44" s="3839"/>
      <c r="R44" s="3839"/>
      <c r="S44" s="3839"/>
      <c r="T44" s="3839"/>
      <c r="U44" s="3839"/>
      <c r="V44" s="3839"/>
    </row>
    <row r="45" spans="2:22">
      <c r="B45" s="208"/>
      <c r="C45" s="175"/>
      <c r="D45" s="175"/>
      <c r="E45" s="175"/>
      <c r="F45" s="175"/>
      <c r="G45" s="175"/>
      <c r="H45" s="175"/>
      <c r="I45" s="175"/>
      <c r="J45" s="28"/>
      <c r="K45" s="3839"/>
      <c r="L45" s="3839"/>
      <c r="M45" s="3839"/>
      <c r="N45" s="3839"/>
      <c r="O45" s="3839"/>
      <c r="P45" s="3839"/>
      <c r="Q45" s="3839"/>
      <c r="R45" s="3839"/>
      <c r="S45" s="3839"/>
      <c r="T45" s="3839"/>
      <c r="U45" s="3839"/>
      <c r="V45" s="3839"/>
    </row>
    <row r="46" spans="2:22">
      <c r="B46" s="3839" t="s">
        <v>148</v>
      </c>
      <c r="C46" s="3839"/>
      <c r="D46" s="3839"/>
      <c r="E46" s="3839"/>
      <c r="F46" s="3839"/>
      <c r="G46" s="3839"/>
      <c r="H46" s="211"/>
      <c r="I46" s="224"/>
      <c r="J46" s="28"/>
      <c r="K46" s="3840" t="s">
        <v>149</v>
      </c>
      <c r="L46" s="3840"/>
      <c r="M46" s="3840"/>
      <c r="N46" s="3840"/>
      <c r="O46" s="3840"/>
      <c r="P46" s="3840"/>
      <c r="Q46" s="3840"/>
      <c r="R46" s="3840"/>
      <c r="S46" s="3840"/>
      <c r="T46" s="3840"/>
      <c r="U46" s="3840"/>
      <c r="V46" s="3840"/>
    </row>
    <row r="47" spans="2:22" ht="33.75" customHeight="1">
      <c r="B47" s="3839"/>
      <c r="C47" s="3839"/>
      <c r="D47" s="3839"/>
      <c r="E47" s="3839"/>
      <c r="F47" s="3839"/>
      <c r="G47" s="3839"/>
      <c r="H47" s="211"/>
      <c r="I47" s="224"/>
      <c r="J47" s="28"/>
      <c r="K47" s="3841" t="s">
        <v>694</v>
      </c>
      <c r="L47" s="3841"/>
      <c r="M47" s="3841"/>
      <c r="N47" s="3841"/>
      <c r="O47" s="3841"/>
      <c r="P47" s="3841"/>
      <c r="Q47" s="3841"/>
      <c r="R47" s="3841"/>
      <c r="S47" s="3841"/>
      <c r="T47" s="3841"/>
      <c r="U47" s="3841"/>
      <c r="V47" s="3841"/>
    </row>
    <row r="48" spans="2:22" ht="34.5" customHeight="1">
      <c r="B48" s="3840" t="s">
        <v>149</v>
      </c>
      <c r="C48" s="3840"/>
      <c r="D48" s="3840"/>
      <c r="E48" s="3840"/>
      <c r="F48" s="3840"/>
      <c r="G48" s="3840"/>
      <c r="H48" s="212"/>
      <c r="I48" s="222"/>
      <c r="J48" s="28"/>
      <c r="K48" s="28"/>
      <c r="L48" s="28"/>
      <c r="M48" s="28"/>
      <c r="N48" s="28"/>
      <c r="O48" s="28"/>
    </row>
    <row r="49" spans="2:15" ht="53.25" customHeight="1">
      <c r="B49" s="3841" t="s">
        <v>694</v>
      </c>
      <c r="C49" s="3841"/>
      <c r="D49" s="3841"/>
      <c r="E49" s="3841"/>
      <c r="F49" s="3841"/>
      <c r="G49" s="3841"/>
      <c r="H49" s="213"/>
      <c r="I49" s="223"/>
      <c r="J49" s="28"/>
      <c r="K49" s="28"/>
      <c r="L49" s="28"/>
      <c r="M49" s="28"/>
      <c r="N49" s="28"/>
      <c r="O49" s="28"/>
    </row>
  </sheetData>
  <customSheetViews>
    <customSheetView guid="{5E394B0B-7867-4722-9497-A93AB2A9A773}" showPageBreaks="1" printArea="1" hiddenColumns="1" state="hidden">
      <selection activeCell="I20" sqref="I20"/>
      <colBreaks count="2" manualBreakCount="2">
        <brk id="8" max="1048575" man="1"/>
        <brk id="9" max="27" man="1"/>
      </colBreaks>
      <pageMargins left="0" right="0" top="0" bottom="0" header="0" footer="0"/>
      <pageSetup scale="90" orientation="portrait" r:id="rId1"/>
    </customSheetView>
    <customSheetView guid="{B1E1B596-A9A1-411D-A882-A48CB025B978}" showPageBreaks="1" printArea="1" hiddenColumns="1" state="hidden">
      <selection activeCell="I20" sqref="I20"/>
      <colBreaks count="2" manualBreakCount="2">
        <brk id="8" max="1048575" man="1"/>
        <brk id="9" max="27" man="1"/>
      </colBreaks>
      <pageMargins left="0" right="0" top="0" bottom="0" header="0" footer="0"/>
      <pageSetup scale="90" orientation="portrait" r:id="rId2"/>
    </customSheetView>
    <customSheetView guid="{E82B35BE-4719-4C53-A9EF-1CC6F153A6F3}" showPageBreaks="1" printArea="1" hiddenColumns="1" state="hidden">
      <selection activeCell="I20" sqref="I20"/>
      <colBreaks count="2" manualBreakCount="2">
        <brk id="8" max="1048575" man="1"/>
        <brk id="9" max="27" man="1"/>
      </colBreaks>
      <pageMargins left="0" right="0" top="0" bottom="0" header="0" footer="0"/>
      <pageSetup scale="90" orientation="portrait" r:id="rId3"/>
    </customSheetView>
    <customSheetView guid="{46F31544-8E6F-41C5-8628-1D6EE074AF15}" hiddenColumns="1" state="hidden">
      <selection activeCell="I20" sqref="I20"/>
      <colBreaks count="2" manualBreakCount="2">
        <brk id="8" max="1048575" man="1"/>
        <brk id="9" max="27" man="1"/>
      </colBreaks>
      <pageMargins left="0" right="0" top="0" bottom="0" header="0" footer="0"/>
      <pageSetup scale="90" orientation="portrait" r:id="rId4"/>
    </customSheetView>
    <customSheetView guid="{B2E1A0C6-5BA1-4CF1-B412-16D81FCDF11F}" showPageBreaks="1" printArea="1" hiddenColumns="1" state="hidden">
      <selection activeCell="I20" sqref="I20"/>
      <colBreaks count="2" manualBreakCount="2">
        <brk id="8" max="1048575" man="1"/>
        <brk id="9" max="27" man="1"/>
      </colBreaks>
      <pageMargins left="0" right="0" top="0" bottom="0" header="0" footer="0"/>
      <pageSetup scale="90" orientation="portrait" r:id="rId5"/>
    </customSheetView>
    <customSheetView guid="{967E0446-E234-427F-8E57-7FE287052E2E}" showPageBreaks="1" printArea="1" hiddenColumns="1" state="hidden">
      <selection activeCell="I20" sqref="I20"/>
      <colBreaks count="2" manualBreakCount="2">
        <brk id="8" max="1048575" man="1"/>
        <brk id="9" max="27" man="1"/>
      </colBreaks>
      <pageMargins left="0" right="0" top="0" bottom="0" header="0" footer="0"/>
      <pageSetup scale="90" orientation="portrait" r:id="rId6"/>
    </customSheetView>
    <customSheetView guid="{2ACFE167-4169-43A6-9AB2-59D5A2DA2DB4}" showPageBreaks="1" printArea="1" hiddenColumns="1" state="hidden">
      <selection activeCell="I20" sqref="I20"/>
      <colBreaks count="2" manualBreakCount="2">
        <brk id="8" max="1048575" man="1"/>
        <brk id="9" max="27" man="1"/>
      </colBreaks>
      <pageMargins left="0" right="0" top="0" bottom="0" header="0" footer="0"/>
      <pageSetup scale="90" orientation="portrait" r:id="rId7"/>
    </customSheetView>
  </customSheetViews>
  <mergeCells count="13">
    <mergeCell ref="K44:V45"/>
    <mergeCell ref="B46:G47"/>
    <mergeCell ref="K46:V46"/>
    <mergeCell ref="K47:V47"/>
    <mergeCell ref="B48:G48"/>
    <mergeCell ref="B49:G49"/>
    <mergeCell ref="B4:G4"/>
    <mergeCell ref="B5:B6"/>
    <mergeCell ref="C5:H5"/>
    <mergeCell ref="B13:B14"/>
    <mergeCell ref="C13:H13"/>
    <mergeCell ref="B21:B22"/>
    <mergeCell ref="C21:H21"/>
  </mergeCells>
  <hyperlinks>
    <hyperlink ref="B1" location="'List of tables'!A1" display="'List of tables'!A1"/>
  </hyperlinks>
  <pageMargins left="0.7" right="0.7" top="0.75" bottom="0.75" header="0.3" footer="0.3"/>
  <pageSetup scale="90" orientation="portrait" r:id="rId8"/>
  <colBreaks count="2" manualBreakCount="2">
    <brk id="8" max="1048575" man="1"/>
    <brk id="9" max="27" man="1"/>
  </colBreaks>
  <ignoredErrors>
    <ignoredError sqref="G23:H27 G32:H32" evalError="1"/>
  </ignoredErrors>
  <drawing r:id="rId9"/>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autoPageBreaks="0"/>
  </sheetPr>
  <dimension ref="B2:G35"/>
  <sheetViews>
    <sheetView topLeftCell="A10" zoomScaleNormal="100" zoomScaleSheetLayoutView="100" workbookViewId="0">
      <selection activeCell="F20" sqref="F20"/>
    </sheetView>
  </sheetViews>
  <sheetFormatPr defaultColWidth="9.140625" defaultRowHeight="12.75" customHeight="1"/>
  <cols>
    <col min="1" max="1" width="4.42578125" style="292" customWidth="1"/>
    <col min="2" max="2" width="29.85546875" style="292" customWidth="1"/>
    <col min="3" max="3" width="53.85546875" style="292" customWidth="1"/>
    <col min="4" max="4" width="9.140625" style="292"/>
    <col min="5" max="5" width="18" style="292" customWidth="1"/>
    <col min="6" max="16384" width="9.140625" style="292"/>
  </cols>
  <sheetData>
    <row r="2" spans="2:7" ht="12.75" customHeight="1">
      <c r="B2" s="295" t="s">
        <v>1064</v>
      </c>
      <c r="G2" s="3975"/>
    </row>
    <row r="3" spans="2:7" ht="12.75" customHeight="1">
      <c r="B3" s="295"/>
      <c r="G3" s="3975"/>
    </row>
    <row r="4" spans="2:7" ht="12.75" customHeight="1">
      <c r="B4" s="3484" t="s">
        <v>1065</v>
      </c>
      <c r="C4" s="3484"/>
      <c r="G4" s="3975"/>
    </row>
    <row r="5" spans="2:7" ht="12.75" customHeight="1">
      <c r="B5" s="295"/>
      <c r="G5" s="413"/>
    </row>
    <row r="6" spans="2:7" ht="18" customHeight="1">
      <c r="B6" s="533" t="s">
        <v>91</v>
      </c>
      <c r="C6" s="533" t="s">
        <v>1066</v>
      </c>
      <c r="G6" s="413"/>
    </row>
    <row r="7" spans="2:7" ht="18" customHeight="1">
      <c r="B7" s="533" t="s">
        <v>1067</v>
      </c>
      <c r="C7" s="533" t="s">
        <v>1068</v>
      </c>
      <c r="G7" s="413"/>
    </row>
    <row r="8" spans="2:7" ht="18" customHeight="1">
      <c r="B8" s="533" t="s">
        <v>93</v>
      </c>
      <c r="C8" s="533" t="s">
        <v>1069</v>
      </c>
      <c r="G8" s="413"/>
    </row>
    <row r="9" spans="2:7" ht="18" customHeight="1">
      <c r="B9" s="533" t="s">
        <v>1070</v>
      </c>
      <c r="C9" s="533" t="s">
        <v>1071</v>
      </c>
      <c r="G9" s="413"/>
    </row>
    <row r="10" spans="2:7" ht="18" customHeight="1">
      <c r="B10" s="533" t="s">
        <v>94</v>
      </c>
      <c r="C10" s="533" t="s">
        <v>1072</v>
      </c>
      <c r="G10" s="413"/>
    </row>
    <row r="11" spans="2:7" ht="18" customHeight="1">
      <c r="B11" s="533" t="s">
        <v>96</v>
      </c>
      <c r="C11" s="533" t="s">
        <v>1073</v>
      </c>
      <c r="G11" s="413"/>
    </row>
    <row r="12" spans="2:7" ht="18" customHeight="1">
      <c r="B12" s="533" t="s">
        <v>1074</v>
      </c>
      <c r="C12" s="533" t="s">
        <v>1075</v>
      </c>
      <c r="G12" s="413"/>
    </row>
    <row r="13" spans="2:7" ht="18" customHeight="1">
      <c r="B13" s="533" t="s">
        <v>97</v>
      </c>
      <c r="C13" s="533" t="s">
        <v>1076</v>
      </c>
      <c r="G13" s="413"/>
    </row>
    <row r="14" spans="2:7" ht="18" customHeight="1">
      <c r="B14" s="533" t="s">
        <v>99</v>
      </c>
      <c r="C14" s="533" t="s">
        <v>1077</v>
      </c>
      <c r="G14" s="413"/>
    </row>
    <row r="15" spans="2:7" ht="18" customHeight="1">
      <c r="B15" s="533" t="s">
        <v>1078</v>
      </c>
      <c r="C15" s="533" t="s">
        <v>1079</v>
      </c>
      <c r="G15" s="413"/>
    </row>
    <row r="16" spans="2:7" ht="18" customHeight="1">
      <c r="B16" s="533" t="s">
        <v>100</v>
      </c>
      <c r="C16" s="533" t="s">
        <v>1080</v>
      </c>
      <c r="G16" s="413"/>
    </row>
    <row r="17" spans="2:7" ht="18" customHeight="1">
      <c r="B17" s="533" t="s">
        <v>102</v>
      </c>
      <c r="C17" s="533" t="s">
        <v>1081</v>
      </c>
      <c r="G17" s="413"/>
    </row>
    <row r="18" spans="2:7" ht="18" customHeight="1">
      <c r="B18" s="533" t="s">
        <v>103</v>
      </c>
      <c r="C18" s="533" t="s">
        <v>1082</v>
      </c>
      <c r="G18" s="413"/>
    </row>
    <row r="19" spans="2:7" ht="18" customHeight="1">
      <c r="B19" s="533" t="s">
        <v>1083</v>
      </c>
      <c r="C19" s="533" t="s">
        <v>1084</v>
      </c>
      <c r="G19" s="413"/>
    </row>
    <row r="20" spans="2:7" ht="18" customHeight="1">
      <c r="B20" s="533" t="s">
        <v>105</v>
      </c>
      <c r="C20" s="533" t="s">
        <v>1085</v>
      </c>
      <c r="G20" s="413"/>
    </row>
    <row r="21" spans="2:7" ht="18" customHeight="1">
      <c r="B21" s="533" t="s">
        <v>1086</v>
      </c>
      <c r="C21" s="533" t="s">
        <v>1087</v>
      </c>
      <c r="G21" s="413"/>
    </row>
    <row r="22" spans="2:7" ht="18" customHeight="1">
      <c r="B22" s="533" t="s">
        <v>106</v>
      </c>
      <c r="C22" s="533" t="s">
        <v>1088</v>
      </c>
      <c r="G22" s="413"/>
    </row>
    <row r="23" spans="2:7" ht="18" customHeight="1">
      <c r="B23" s="533" t="s">
        <v>1089</v>
      </c>
      <c r="C23" s="533" t="s">
        <v>1090</v>
      </c>
      <c r="G23" s="413"/>
    </row>
    <row r="24" spans="2:7" ht="18" customHeight="1">
      <c r="B24" s="533" t="s">
        <v>107</v>
      </c>
      <c r="C24" s="533" t="s">
        <v>1091</v>
      </c>
      <c r="G24" s="413"/>
    </row>
    <row r="25" spans="2:7" ht="18" customHeight="1">
      <c r="B25" s="533" t="s">
        <v>109</v>
      </c>
      <c r="C25" s="533" t="s">
        <v>1092</v>
      </c>
      <c r="G25" s="413"/>
    </row>
    <row r="26" spans="2:7" ht="18" customHeight="1">
      <c r="B26" s="533" t="s">
        <v>110</v>
      </c>
      <c r="C26" s="533" t="s">
        <v>1093</v>
      </c>
      <c r="G26" s="413"/>
    </row>
    <row r="27" spans="2:7" ht="18" customHeight="1">
      <c r="B27" s="533" t="s">
        <v>111</v>
      </c>
      <c r="C27" s="533" t="s">
        <v>1094</v>
      </c>
      <c r="G27" s="413"/>
    </row>
    <row r="28" spans="2:7" ht="18" customHeight="1">
      <c r="B28" s="533" t="s">
        <v>112</v>
      </c>
      <c r="C28" s="533" t="s">
        <v>1095</v>
      </c>
      <c r="G28" s="413"/>
    </row>
    <row r="29" spans="2:7" ht="18" customHeight="1">
      <c r="B29" s="533" t="s">
        <v>113</v>
      </c>
      <c r="C29" s="533" t="s">
        <v>1096</v>
      </c>
      <c r="G29" s="413"/>
    </row>
    <row r="30" spans="2:7" ht="18" customHeight="1">
      <c r="B30" s="533" t="s">
        <v>114</v>
      </c>
      <c r="C30" s="533" t="s">
        <v>1097</v>
      </c>
      <c r="G30" s="413"/>
    </row>
    <row r="31" spans="2:7" ht="18" customHeight="1">
      <c r="B31" s="533" t="s">
        <v>116</v>
      </c>
      <c r="C31" s="533" t="s">
        <v>1098</v>
      </c>
      <c r="G31" s="413"/>
    </row>
    <row r="32" spans="2:7" ht="18" customHeight="1">
      <c r="B32" s="533" t="s">
        <v>115</v>
      </c>
      <c r="C32" s="533" t="s">
        <v>1099</v>
      </c>
      <c r="G32" s="413"/>
    </row>
    <row r="33" spans="2:7" ht="12.75" customHeight="1">
      <c r="B33" s="533" t="s">
        <v>117</v>
      </c>
      <c r="C33" s="533" t="s">
        <v>1100</v>
      </c>
      <c r="G33" s="413"/>
    </row>
    <row r="35" spans="2:7" ht="12.75" customHeight="1">
      <c r="C35" s="292">
        <v>195</v>
      </c>
    </row>
  </sheetData>
  <customSheetViews>
    <customSheetView guid="{5E394B0B-7867-4722-9497-A93AB2A9A773}" scale="115" printArea="1">
      <selection activeCell="B2" sqref="B2"/>
      <pageMargins left="0" right="0" top="0" bottom="0" header="0" footer="0"/>
      <pageSetup scale="94" orientation="portrait" horizontalDpi="4294967295" verticalDpi="4294967295" r:id="rId1"/>
    </customSheetView>
    <customSheetView guid="{B1E1B596-A9A1-411D-A882-A48CB025B978}" scale="115" printArea="1">
      <selection activeCell="B3" sqref="B3:D35"/>
      <pageMargins left="0" right="0" top="0" bottom="0" header="0" footer="0"/>
      <pageSetup scale="94" orientation="portrait" horizontalDpi="4294967295" verticalDpi="4294967295" r:id="rId2"/>
    </customSheetView>
    <customSheetView guid="{46F31544-8E6F-41C5-8628-1D6EE074AF15}" scale="115">
      <selection activeCell="E13" sqref="E13"/>
      <pageMargins left="0" right="0" top="0" bottom="0" header="0" footer="0"/>
      <pageSetup scale="94" orientation="portrait" horizontalDpi="4294967295" verticalDpi="4294967295" r:id="rId3"/>
    </customSheetView>
    <customSheetView guid="{B2E1A0C6-5BA1-4CF1-B412-16D81FCDF11F}" scale="115" printArea="1">
      <selection activeCell="C6" sqref="C6"/>
      <pageMargins left="0" right="0" top="0" bottom="0" header="0" footer="0"/>
      <pageSetup scale="94" orientation="portrait" horizontalDpi="4294967295" verticalDpi="4294967295" r:id="rId4"/>
    </customSheetView>
    <customSheetView guid="{967E0446-E234-427F-8E57-7FE287052E2E}" scale="115" printArea="1">
      <selection activeCell="C6" sqref="C6"/>
      <pageMargins left="0" right="0" top="0" bottom="0" header="0" footer="0"/>
      <pageSetup scale="94" orientation="portrait" horizontalDpi="4294967295" verticalDpi="4294967295" r:id="rId5"/>
    </customSheetView>
    <customSheetView guid="{2ACFE167-4169-43A6-9AB2-59D5A2DA2DB4}" scale="115" printArea="1">
      <selection activeCell="D16" sqref="D16"/>
      <pageMargins left="0" right="0" top="0" bottom="0" header="0" footer="0"/>
      <pageSetup scale="94" orientation="portrait" horizontalDpi="4294967295" verticalDpi="4294967295" r:id="rId6"/>
    </customSheetView>
  </customSheetViews>
  <mergeCells count="2">
    <mergeCell ref="G2:G4"/>
    <mergeCell ref="B4:C4"/>
  </mergeCells>
  <pageMargins left="0.7" right="0.7" top="0.75" bottom="0.5" header="0.3" footer="0.3"/>
  <pageSetup scale="94" orientation="portrait"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autoPageBreaks="0"/>
  </sheetPr>
  <dimension ref="B1:T36"/>
  <sheetViews>
    <sheetView showGridLines="0" view="pageBreakPreview" zoomScaleNormal="100" zoomScaleSheetLayoutView="100" workbookViewId="0">
      <selection activeCell="L16" sqref="L16"/>
    </sheetView>
  </sheetViews>
  <sheetFormatPr defaultColWidth="9.140625" defaultRowHeight="12.75"/>
  <cols>
    <col min="1" max="1" width="3" style="292" customWidth="1"/>
    <col min="2" max="2" width="26.5703125" style="292" customWidth="1"/>
    <col min="3" max="3" width="12" style="292" customWidth="1"/>
    <col min="4" max="4" width="7.28515625" style="292" customWidth="1"/>
    <col min="5" max="5" width="12" style="292" customWidth="1"/>
    <col min="6" max="6" width="7.28515625" style="292" customWidth="1"/>
    <col min="7" max="7" width="12" style="292" customWidth="1"/>
    <col min="8" max="8" width="7.28515625" style="292" customWidth="1"/>
    <col min="9" max="9" width="12" style="292" customWidth="1"/>
    <col min="10" max="10" width="7.28515625" style="292" customWidth="1"/>
    <col min="11" max="11" width="11.28515625" style="292" customWidth="1"/>
    <col min="12" max="16384" width="9.140625" style="292"/>
  </cols>
  <sheetData>
    <row r="1" spans="2:20">
      <c r="B1" s="52"/>
    </row>
    <row r="2" spans="2:20">
      <c r="B2" s="3470" t="s">
        <v>159</v>
      </c>
      <c r="C2" s="3470"/>
      <c r="D2" s="3470"/>
      <c r="E2" s="3470"/>
      <c r="F2" s="3470"/>
    </row>
    <row r="3" spans="2:20">
      <c r="B3" s="458"/>
    </row>
    <row r="4" spans="2:20">
      <c r="B4" s="458"/>
      <c r="C4" s="3473"/>
      <c r="D4" s="3473"/>
      <c r="E4" s="3473"/>
      <c r="F4" s="3473"/>
      <c r="G4" s="3473"/>
      <c r="H4" s="3473"/>
      <c r="I4" s="3473"/>
      <c r="J4" s="3473"/>
    </row>
    <row r="5" spans="2:20">
      <c r="B5" s="3432" t="s">
        <v>160</v>
      </c>
      <c r="C5" s="3471">
        <v>2017</v>
      </c>
      <c r="D5" s="3469"/>
      <c r="E5" s="3471">
        <v>2018</v>
      </c>
      <c r="F5" s="3472"/>
      <c r="G5" s="3467">
        <v>2019</v>
      </c>
      <c r="H5" s="3469"/>
      <c r="I5" s="3471">
        <v>2020</v>
      </c>
      <c r="J5" s="3472"/>
      <c r="K5" s="3467">
        <v>2021</v>
      </c>
      <c r="L5" s="3469"/>
    </row>
    <row r="6" spans="2:20">
      <c r="B6" s="3434"/>
      <c r="C6" s="1897" t="s">
        <v>161</v>
      </c>
      <c r="D6" s="1821" t="s">
        <v>157</v>
      </c>
      <c r="E6" s="1821" t="s">
        <v>161</v>
      </c>
      <c r="F6" s="1821" t="s">
        <v>157</v>
      </c>
      <c r="G6" s="1896" t="s">
        <v>161</v>
      </c>
      <c r="H6" s="1821" t="s">
        <v>157</v>
      </c>
      <c r="I6" s="1896" t="s">
        <v>161</v>
      </c>
      <c r="J6" s="1821" t="s">
        <v>157</v>
      </c>
      <c r="K6" s="1896" t="s">
        <v>161</v>
      </c>
      <c r="L6" s="1821" t="s">
        <v>157</v>
      </c>
    </row>
    <row r="7" spans="2:20">
      <c r="B7" s="1895" t="s">
        <v>162</v>
      </c>
      <c r="C7" s="2069">
        <v>11897.4</v>
      </c>
      <c r="D7" s="2070">
        <v>69.671654370650515</v>
      </c>
      <c r="E7" s="517">
        <v>13711.4</v>
      </c>
      <c r="F7" s="2070">
        <v>72.189780772898317</v>
      </c>
      <c r="G7" s="2071">
        <v>14442.1</v>
      </c>
      <c r="H7" s="2070">
        <v>71.934126344498551</v>
      </c>
      <c r="I7" s="2072">
        <v>17087.900000000001</v>
      </c>
      <c r="J7" s="2073">
        <v>72.476096953483591</v>
      </c>
      <c r="K7" s="2074">
        <v>19969.900000000001</v>
      </c>
      <c r="L7" s="2074">
        <v>74.7</v>
      </c>
      <c r="M7" s="631"/>
      <c r="N7" s="631"/>
      <c r="O7" s="631"/>
      <c r="P7" s="631"/>
      <c r="Q7" s="631"/>
      <c r="R7" s="631"/>
      <c r="S7" s="631"/>
      <c r="T7" s="631"/>
    </row>
    <row r="8" spans="2:20" ht="25.5">
      <c r="B8" s="2075" t="s">
        <v>163</v>
      </c>
      <c r="C8" s="2070">
        <v>1370.4</v>
      </c>
      <c r="D8" s="2070">
        <v>8.0251176853379285</v>
      </c>
      <c r="E8" s="2070">
        <v>1603.2</v>
      </c>
      <c r="F8" s="2070">
        <v>8.4407614492400924</v>
      </c>
      <c r="G8" s="2071">
        <v>1553.2</v>
      </c>
      <c r="H8" s="2070">
        <v>7.7362769291360083</v>
      </c>
      <c r="I8" s="2072">
        <v>1637.6</v>
      </c>
      <c r="J8" s="2073">
        <v>6.9456666044993662</v>
      </c>
      <c r="K8" s="2074">
        <v>1636.7</v>
      </c>
      <c r="L8" s="2074">
        <v>6.1</v>
      </c>
      <c r="M8" s="631"/>
      <c r="N8" s="631"/>
      <c r="O8" s="631"/>
      <c r="P8" s="631"/>
      <c r="Q8" s="631"/>
      <c r="R8" s="631"/>
      <c r="S8" s="631"/>
      <c r="T8" s="631"/>
    </row>
    <row r="9" spans="2:20" ht="25.5">
      <c r="B9" s="2075" t="s">
        <v>164</v>
      </c>
      <c r="C9" s="2070">
        <v>388.9</v>
      </c>
      <c r="D9" s="2070">
        <v>2.2774140891914185</v>
      </c>
      <c r="E9" s="2076">
        <v>241.1</v>
      </c>
      <c r="F9" s="2070">
        <v>1.269378483914537</v>
      </c>
      <c r="G9" s="2071">
        <v>286.7</v>
      </c>
      <c r="H9" s="2070">
        <v>1.4280135176302433</v>
      </c>
      <c r="I9" s="2072">
        <v>415.3</v>
      </c>
      <c r="J9" s="2073">
        <v>1.7614407308552682</v>
      </c>
      <c r="K9" s="2074">
        <v>387.7</v>
      </c>
      <c r="L9" s="2074">
        <v>1.4</v>
      </c>
      <c r="M9" s="631"/>
      <c r="N9" s="631"/>
      <c r="O9" s="631"/>
      <c r="P9" s="631"/>
      <c r="Q9" s="631"/>
      <c r="R9" s="631"/>
      <c r="S9" s="631"/>
      <c r="T9" s="631"/>
    </row>
    <row r="10" spans="2:20">
      <c r="B10" s="2067" t="s">
        <v>165</v>
      </c>
      <c r="C10" s="2070">
        <v>2838</v>
      </c>
      <c r="D10" s="2070">
        <v>16.619442491965149</v>
      </c>
      <c r="E10" s="2070">
        <v>2807.4</v>
      </c>
      <c r="F10" s="2070">
        <v>14.780809438994904</v>
      </c>
      <c r="G10" s="2071">
        <v>3097.9</v>
      </c>
      <c r="H10" s="2070">
        <v>15.430216519939766</v>
      </c>
      <c r="I10" s="2072">
        <v>3639.7</v>
      </c>
      <c r="J10" s="2073">
        <v>15.437312372005586</v>
      </c>
      <c r="K10" s="2074">
        <v>3876.3</v>
      </c>
      <c r="L10" s="2074">
        <v>14.5</v>
      </c>
      <c r="M10" s="631"/>
      <c r="N10" s="631"/>
      <c r="O10" s="631"/>
      <c r="P10" s="631"/>
      <c r="Q10" s="631"/>
      <c r="R10" s="631"/>
      <c r="S10" s="631"/>
      <c r="T10" s="631"/>
    </row>
    <row r="11" spans="2:20">
      <c r="B11" s="2061" t="s">
        <v>166</v>
      </c>
      <c r="C11" s="2070">
        <v>581.68509157008702</v>
      </c>
      <c r="D11" s="2070">
        <v>3.4063713628550185</v>
      </c>
      <c r="E11" s="629">
        <v>630.44708270227886</v>
      </c>
      <c r="F11" s="2070">
        <v>3.3192698549521427</v>
      </c>
      <c r="G11" s="2077">
        <v>796.79060791906102</v>
      </c>
      <c r="H11" s="2070">
        <v>3.4713666887954271</v>
      </c>
      <c r="I11" s="2078">
        <v>796.79060791906102</v>
      </c>
      <c r="J11" s="2073">
        <v>3.3794833391561863</v>
      </c>
      <c r="K11" s="2074">
        <v>888.3770780000001</v>
      </c>
      <c r="L11" s="2074">
        <v>3.3199216674481278</v>
      </c>
      <c r="M11" s="631"/>
      <c r="N11" s="631"/>
      <c r="O11" s="631"/>
      <c r="P11" s="631"/>
      <c r="Q11" s="631"/>
      <c r="R11" s="631"/>
      <c r="S11" s="631"/>
      <c r="T11" s="631"/>
    </row>
    <row r="12" spans="2:20">
      <c r="B12" s="2068" t="s">
        <v>118</v>
      </c>
      <c r="C12" s="2079">
        <v>17076.385091570082</v>
      </c>
      <c r="D12" s="2068">
        <v>100.00000000000003</v>
      </c>
      <c r="E12" s="2080">
        <v>18993.54708270228</v>
      </c>
      <c r="F12" s="2068">
        <v>100</v>
      </c>
      <c r="G12" s="2081">
        <f>SUM(G7:G11)</f>
        <v>20176.690607919063</v>
      </c>
      <c r="H12" s="2068">
        <v>100</v>
      </c>
      <c r="I12" s="2081">
        <f>SUM(I7:I11)</f>
        <v>23577.290607919062</v>
      </c>
      <c r="J12" s="2068">
        <v>100</v>
      </c>
      <c r="K12" s="2082">
        <f>SUM(K7:K11)</f>
        <v>26758.977078000004</v>
      </c>
      <c r="L12" s="2082">
        <v>100.01992166744813</v>
      </c>
      <c r="M12" s="631"/>
      <c r="N12" s="631"/>
      <c r="O12" s="631"/>
      <c r="P12" s="631"/>
      <c r="Q12" s="631"/>
      <c r="R12" s="631"/>
      <c r="S12" s="631"/>
      <c r="T12" s="631"/>
    </row>
    <row r="14" spans="2:20">
      <c r="B14" s="294" t="s">
        <v>167</v>
      </c>
      <c r="C14" s="294"/>
      <c r="D14" s="294"/>
      <c r="E14" s="294"/>
      <c r="F14" s="294"/>
      <c r="G14" s="294"/>
      <c r="H14" s="294"/>
    </row>
    <row r="15" spans="2:20">
      <c r="B15" s="294" t="s">
        <v>168</v>
      </c>
      <c r="C15" s="294"/>
      <c r="D15" s="294"/>
      <c r="E15" s="294"/>
      <c r="F15" s="294"/>
      <c r="G15" s="294"/>
      <c r="H15" s="294"/>
    </row>
    <row r="16" spans="2:20">
      <c r="L16" s="292">
        <v>5</v>
      </c>
    </row>
    <row r="17" spans="2:10">
      <c r="B17" s="467"/>
    </row>
    <row r="24" spans="2:10">
      <c r="C24" s="643"/>
      <c r="D24" s="644"/>
      <c r="E24" s="645"/>
      <c r="F24" s="644"/>
      <c r="G24" s="645"/>
      <c r="H24" s="644"/>
      <c r="I24" s="645"/>
      <c r="J24" s="644"/>
    </row>
    <row r="25" spans="2:10">
      <c r="C25" s="643"/>
      <c r="D25" s="644"/>
      <c r="E25" s="643"/>
      <c r="F25" s="644"/>
      <c r="G25" s="643"/>
      <c r="H25" s="644"/>
      <c r="I25" s="643"/>
      <c r="J25" s="644"/>
    </row>
    <row r="26" spans="2:10">
      <c r="C26" s="643"/>
      <c r="D26" s="644"/>
      <c r="E26" s="643"/>
      <c r="F26" s="644"/>
      <c r="G26" s="643"/>
      <c r="H26" s="644"/>
      <c r="I26" s="643"/>
      <c r="J26" s="644"/>
    </row>
    <row r="27" spans="2:10">
      <c r="C27" s="643"/>
      <c r="D27" s="644"/>
      <c r="E27" s="643"/>
      <c r="F27" s="644"/>
      <c r="G27" s="643"/>
      <c r="H27" s="644"/>
      <c r="I27" s="643"/>
      <c r="J27" s="644"/>
    </row>
    <row r="28" spans="2:10">
      <c r="C28" s="643"/>
      <c r="D28" s="644"/>
      <c r="E28" s="643"/>
      <c r="F28" s="644"/>
      <c r="G28" s="643"/>
      <c r="H28" s="644"/>
      <c r="I28" s="643"/>
      <c r="J28" s="644"/>
    </row>
    <row r="29" spans="2:10">
      <c r="C29" s="646"/>
      <c r="D29" s="647"/>
      <c r="E29" s="648"/>
      <c r="F29" s="649"/>
      <c r="G29" s="648"/>
      <c r="H29" s="649"/>
      <c r="I29" s="648"/>
      <c r="J29" s="649"/>
    </row>
    <row r="31" spans="2:10">
      <c r="C31" s="650"/>
      <c r="D31" s="650"/>
      <c r="E31" s="650"/>
      <c r="F31" s="650"/>
      <c r="G31" s="650"/>
      <c r="H31" s="650"/>
      <c r="I31" s="650"/>
      <c r="J31" s="650"/>
    </row>
    <row r="32" spans="2:10">
      <c r="C32" s="650"/>
      <c r="D32" s="650"/>
      <c r="E32" s="650"/>
      <c r="F32" s="650"/>
      <c r="G32" s="650"/>
      <c r="H32" s="650"/>
      <c r="I32" s="650"/>
      <c r="J32" s="650"/>
    </row>
    <row r="33" spans="3:10">
      <c r="C33" s="650"/>
      <c r="D33" s="650"/>
      <c r="E33" s="650"/>
      <c r="F33" s="650"/>
      <c r="G33" s="650"/>
      <c r="H33" s="650"/>
      <c r="I33" s="650"/>
      <c r="J33" s="650"/>
    </row>
    <row r="34" spans="3:10">
      <c r="C34" s="650"/>
      <c r="D34" s="650"/>
      <c r="E34" s="650"/>
      <c r="F34" s="650"/>
      <c r="G34" s="650"/>
      <c r="H34" s="650"/>
      <c r="I34" s="650"/>
      <c r="J34" s="650"/>
    </row>
    <row r="35" spans="3:10">
      <c r="C35" s="650"/>
      <c r="D35" s="650"/>
      <c r="E35" s="650"/>
      <c r="F35" s="650"/>
      <c r="G35" s="650"/>
      <c r="H35" s="650"/>
      <c r="I35" s="650"/>
      <c r="J35" s="650"/>
    </row>
    <row r="36" spans="3:10">
      <c r="C36" s="650"/>
      <c r="D36" s="650"/>
      <c r="E36" s="650"/>
      <c r="F36" s="650"/>
      <c r="G36" s="650"/>
      <c r="H36" s="650"/>
      <c r="I36" s="650"/>
      <c r="J36" s="650"/>
    </row>
  </sheetData>
  <mergeCells count="8">
    <mergeCell ref="K5:L5"/>
    <mergeCell ref="G5:H5"/>
    <mergeCell ref="B2:F2"/>
    <mergeCell ref="C5:D5"/>
    <mergeCell ref="E5:F5"/>
    <mergeCell ref="C4:J4"/>
    <mergeCell ref="I5:J5"/>
    <mergeCell ref="B5:B6"/>
  </mergeCells>
  <pageMargins left="0.85" right="0.75" top="0.75" bottom="0.1" header="0.3" footer="0.3"/>
  <pageSetup paperSize="9" scale="8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D9B36E66B07E441BF23D5213A10DB92" ma:contentTypeVersion="14" ma:contentTypeDescription="Create a new document." ma:contentTypeScope="" ma:versionID="0f933c1c62535d743fe4af1ba3dcca0e">
  <xsd:schema xmlns:xsd="http://www.w3.org/2001/XMLSchema" xmlns:xs="http://www.w3.org/2001/XMLSchema" xmlns:p="http://schemas.microsoft.com/office/2006/metadata/properties" xmlns:ns3="e70fce5f-942b-4e67-9168-4c98bc0243c3" xmlns:ns4="5a496488-0a61-4227-9f72-820dd39289b9" targetNamespace="http://schemas.microsoft.com/office/2006/metadata/properties" ma:root="true" ma:fieldsID="126ce537683dddd77c1c0432ecbd5829" ns3:_="" ns4:_="">
    <xsd:import namespace="e70fce5f-942b-4e67-9168-4c98bc0243c3"/>
    <xsd:import namespace="5a496488-0a61-4227-9f72-820dd39289b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0fce5f-942b-4e67-9168-4c98bc0243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a496488-0a61-4227-9f72-820dd39289b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9F9AF1-2F8E-4FD4-BABB-6A8E75C23398}">
  <ds:schemaRefs>
    <ds:schemaRef ds:uri="http://schemas.microsoft.com/sharepoint/v3/contenttype/forms"/>
  </ds:schemaRefs>
</ds:datastoreItem>
</file>

<file path=customXml/itemProps2.xml><?xml version="1.0" encoding="utf-8"?>
<ds:datastoreItem xmlns:ds="http://schemas.openxmlformats.org/officeDocument/2006/customXml" ds:itemID="{82E05E96-0A8C-4092-ADA8-D2026201347F}">
  <ds:schemaRefs>
    <ds:schemaRef ds:uri="http://schemas.openxmlformats.org/package/2006/metadata/core-properties"/>
    <ds:schemaRef ds:uri="e70fce5f-942b-4e67-9168-4c98bc0243c3"/>
    <ds:schemaRef ds:uri="http://purl.org/dc/terms/"/>
    <ds:schemaRef ds:uri="http://www.w3.org/XML/1998/namespace"/>
    <ds:schemaRef ds:uri="http://purl.org/dc/elements/1.1/"/>
    <ds:schemaRef ds:uri="http://schemas.microsoft.com/office/infopath/2007/PartnerControls"/>
    <ds:schemaRef ds:uri="http://schemas.microsoft.com/office/2006/documentManagement/types"/>
    <ds:schemaRef ds:uri="5a496488-0a61-4227-9f72-820dd39289b9"/>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38B5CEA3-D5E3-44F0-BB80-96ABE2B35B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0fce5f-942b-4e67-9168-4c98bc0243c3"/>
    <ds:schemaRef ds:uri="5a496488-0a61-4227-9f72-820dd39289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68</vt:i4>
      </vt:variant>
    </vt:vector>
  </HeadingPairs>
  <TitlesOfParts>
    <vt:vector size="152" baseType="lpstr">
      <vt:lpstr>cover page</vt:lpstr>
      <vt:lpstr>General Notes</vt:lpstr>
      <vt:lpstr>List</vt:lpstr>
      <vt:lpstr>1. GWP - LT + GI  (Final) </vt:lpstr>
      <vt:lpstr>GWP - LT + GI </vt:lpstr>
      <vt:lpstr>2. GWP - LTIB </vt:lpstr>
      <vt:lpstr>3. GWP - GIB</vt:lpstr>
      <vt:lpstr>4. Industry Assets </vt:lpstr>
      <vt:lpstr>5. Fin Inst'n </vt:lpstr>
      <vt:lpstr>Total Assets</vt:lpstr>
      <vt:lpstr>6. SH Fund </vt:lpstr>
      <vt:lpstr>SH Funds</vt:lpstr>
      <vt:lpstr>7. Concentration of Assets-LTIB</vt:lpstr>
      <vt:lpstr>8. Assets Con-Company-wise LTI </vt:lpstr>
      <vt:lpstr>9. Concentration Assets - G </vt:lpstr>
      <vt:lpstr>10.Concen Assets-Companywis </vt:lpstr>
      <vt:lpstr>11. Balance Sheet - 2021-LI </vt:lpstr>
      <vt:lpstr>12. Balance Sheet - 2020-LI</vt:lpstr>
      <vt:lpstr>13. Income St.- 2021 - LI </vt:lpstr>
      <vt:lpstr>14. Income St.- 2020 - LI</vt:lpstr>
      <vt:lpstr>15. BS 2021 GI </vt:lpstr>
      <vt:lpstr>16. BS 2020 GI</vt:lpstr>
      <vt:lpstr>17. P &amp; L - GI - 2021</vt:lpstr>
      <vt:lpstr>18. P &amp; L - GI - 2020</vt:lpstr>
      <vt:lpstr>19. TAC LI </vt:lpstr>
      <vt:lpstr>20. RCR LI </vt:lpstr>
      <vt:lpstr>21. TAC</vt:lpstr>
      <vt:lpstr>22. RCR</vt:lpstr>
      <vt:lpstr>23. Solvency LI  </vt:lpstr>
      <vt:lpstr>24.  Solvency  GI </vt:lpstr>
      <vt:lpstr>25. GWP Class&amp; Com Wise-GI </vt:lpstr>
      <vt:lpstr>26. Combined Ratio</vt:lpstr>
      <vt:lpstr>27. Earned premium-GIB</vt:lpstr>
      <vt:lpstr>28. Claims Incurred-GIB</vt:lpstr>
      <vt:lpstr>29. Combined Ratio-Com wise GI</vt:lpstr>
      <vt:lpstr>30. Retention final </vt:lpstr>
      <vt:lpstr>31. Reinsurance Premium</vt:lpstr>
      <vt:lpstr>32. Branches, Emp, Agents</vt:lpstr>
      <vt:lpstr>Branches-Emp-Agents</vt:lpstr>
      <vt:lpstr>GWP-LTIB (Final)</vt:lpstr>
      <vt:lpstr>33. New Policies LI (Final) </vt:lpstr>
      <vt:lpstr>Investment Income LI  (Final)</vt:lpstr>
      <vt:lpstr>Investment Income LI </vt:lpstr>
      <vt:lpstr>LI - Solvency</vt:lpstr>
      <vt:lpstr>GWP-GIB (Final)</vt:lpstr>
      <vt:lpstr>P &amp; L - GI - 2012 </vt:lpstr>
      <vt:lpstr>AR6&amp;7 Support I</vt:lpstr>
      <vt:lpstr>GWP - Class wise - GI</vt:lpstr>
      <vt:lpstr>GWP Class &amp; Com Wise-GI (Final)</vt:lpstr>
      <vt:lpstr>Comb Ratio</vt:lpstr>
      <vt:lpstr>Earned Premium-GIB (Final)</vt:lpstr>
      <vt:lpstr>Claims Incurred - GIB (Final)</vt:lpstr>
      <vt:lpstr>Retention</vt:lpstr>
      <vt:lpstr>Reinsurance Premium (Final)</vt:lpstr>
      <vt:lpstr>Invest Income GI - 2011</vt:lpstr>
      <vt:lpstr>GI - Solvency</vt:lpstr>
      <vt:lpstr>GWP - Dist Chan - GI</vt:lpstr>
      <vt:lpstr>34. Inforced Policies LI </vt:lpstr>
      <vt:lpstr>35. New Business </vt:lpstr>
      <vt:lpstr>New Busi LT</vt:lpstr>
      <vt:lpstr>GWP - Dist Chan - LI</vt:lpstr>
      <vt:lpstr>SRCC &amp; TC 2011 &amp; 12</vt:lpstr>
      <vt:lpstr>Co Ins Outward</vt:lpstr>
      <vt:lpstr>Expenses 2008&amp;09 GI</vt:lpstr>
      <vt:lpstr>AR 6&amp;7 Support III</vt:lpstr>
      <vt:lpstr>T13(i) -Motor Policies</vt:lpstr>
      <vt:lpstr>List of tables</vt:lpstr>
      <vt:lpstr>New - LT</vt:lpstr>
      <vt:lpstr>AR - Table 1</vt:lpstr>
      <vt:lpstr>AR Table 8 &amp; Chart 9</vt:lpstr>
      <vt:lpstr>LI - laps new  (2)</vt:lpstr>
      <vt:lpstr>37. Num of Life Benefits Paid</vt:lpstr>
      <vt:lpstr>36. Life Benefits Rs.'000</vt:lpstr>
      <vt:lpstr>Life Benifits Rs.'000</vt:lpstr>
      <vt:lpstr># of Life Benifits Paid</vt:lpstr>
      <vt:lpstr>T13 -GI Policies </vt:lpstr>
      <vt:lpstr>New GI</vt:lpstr>
      <vt:lpstr>T14 (i) -GI Sum Insu</vt:lpstr>
      <vt:lpstr>T14As % of National Income</vt:lpstr>
      <vt:lpstr>Sheet1</vt:lpstr>
      <vt:lpstr>Ratios</vt:lpstr>
      <vt:lpstr>Sheet2</vt:lpstr>
      <vt:lpstr>AR table 6 &amp; Chart 7 (2)</vt:lpstr>
      <vt:lpstr>38. Abbreviations</vt:lpstr>
      <vt:lpstr>'# of Life Benifits Paid'!Print_Area</vt:lpstr>
      <vt:lpstr>'1. GWP - LT + GI  (Final) '!Print_Area</vt:lpstr>
      <vt:lpstr>'10.Concen Assets-Companywis '!Print_Area</vt:lpstr>
      <vt:lpstr>'11. Balance Sheet - 2021-LI '!Print_Area</vt:lpstr>
      <vt:lpstr>'12. Balance Sheet - 2020-LI'!Print_Area</vt:lpstr>
      <vt:lpstr>'13. Income St.- 2021 - LI '!Print_Area</vt:lpstr>
      <vt:lpstr>'14. Income St.- 2020 - LI'!Print_Area</vt:lpstr>
      <vt:lpstr>'15. BS 2021 GI '!Print_Area</vt:lpstr>
      <vt:lpstr>'16. BS 2020 GI'!Print_Area</vt:lpstr>
      <vt:lpstr>'17. P &amp; L - GI - 2021'!Print_Area</vt:lpstr>
      <vt:lpstr>'18. P &amp; L - GI - 2020'!Print_Area</vt:lpstr>
      <vt:lpstr>'19. TAC LI '!Print_Area</vt:lpstr>
      <vt:lpstr>'2. GWP - LTIB '!Print_Area</vt:lpstr>
      <vt:lpstr>'20. RCR LI '!Print_Area</vt:lpstr>
      <vt:lpstr>'21. TAC'!Print_Area</vt:lpstr>
      <vt:lpstr>'22. RCR'!Print_Area</vt:lpstr>
      <vt:lpstr>'23. Solvency LI  '!Print_Area</vt:lpstr>
      <vt:lpstr>'24.  Solvency  GI '!Print_Area</vt:lpstr>
      <vt:lpstr>'25. GWP Class&amp; Com Wise-GI '!Print_Area</vt:lpstr>
      <vt:lpstr>'26. Combined Ratio'!Print_Area</vt:lpstr>
      <vt:lpstr>'27. Earned premium-GIB'!Print_Area</vt:lpstr>
      <vt:lpstr>'28. Claims Incurred-GIB'!Print_Area</vt:lpstr>
      <vt:lpstr>'29. Combined Ratio-Com wise GI'!Print_Area</vt:lpstr>
      <vt:lpstr>'3. GWP - GIB'!Print_Area</vt:lpstr>
      <vt:lpstr>'30. Retention final '!Print_Area</vt:lpstr>
      <vt:lpstr>'31. Reinsurance Premium'!Print_Area</vt:lpstr>
      <vt:lpstr>'32. Branches, Emp, Agents'!Print_Area</vt:lpstr>
      <vt:lpstr>'33. New Policies LI (Final) '!Print_Area</vt:lpstr>
      <vt:lpstr>'34. Inforced Policies LI '!Print_Area</vt:lpstr>
      <vt:lpstr>'35. New Business '!Print_Area</vt:lpstr>
      <vt:lpstr>'36. Life Benefits Rs.''000'!Print_Area</vt:lpstr>
      <vt:lpstr>'37. Num of Life Benefits Paid'!Print_Area</vt:lpstr>
      <vt:lpstr>'38. Abbreviations'!Print_Area</vt:lpstr>
      <vt:lpstr>'4. Industry Assets '!Print_Area</vt:lpstr>
      <vt:lpstr>'5. Fin Inst''n '!Print_Area</vt:lpstr>
      <vt:lpstr>'6. SH Fund '!Print_Area</vt:lpstr>
      <vt:lpstr>'7. Concentration of Assets-LTIB'!Print_Area</vt:lpstr>
      <vt:lpstr>'8. Assets Con-Company-wise LTI '!Print_Area</vt:lpstr>
      <vt:lpstr>'9. Concentration Assets - G '!Print_Area</vt:lpstr>
      <vt:lpstr>'AR table 6 &amp; Chart 7 (2)'!Print_Area</vt:lpstr>
      <vt:lpstr>'AR6&amp;7 Support I'!Print_Area</vt:lpstr>
      <vt:lpstr>'Co Ins Outward'!Print_Area</vt:lpstr>
      <vt:lpstr>'Comb Ratio'!Print_Area</vt:lpstr>
      <vt:lpstr>'cover page'!Print_Area</vt:lpstr>
      <vt:lpstr>'Earned Premium-GIB (Final)'!Print_Area</vt:lpstr>
      <vt:lpstr>'General Notes'!Print_Area</vt:lpstr>
      <vt:lpstr>'GWP - Class wise - GI'!Print_Area</vt:lpstr>
      <vt:lpstr>'GWP - Dist Chan - GI'!Print_Area</vt:lpstr>
      <vt:lpstr>'GWP - Dist Chan - LI'!Print_Area</vt:lpstr>
      <vt:lpstr>'GWP Class &amp; Com Wise-GI (Final)'!Print_Area</vt:lpstr>
      <vt:lpstr>'GWP-GIB (Final)'!Print_Area</vt:lpstr>
      <vt:lpstr>'Investment Income LI '!Print_Area</vt:lpstr>
      <vt:lpstr>'Investment Income LI  (Final)'!Print_Area</vt:lpstr>
      <vt:lpstr>'Life Benifits Rs.''000'!Print_Area</vt:lpstr>
      <vt:lpstr>List!Print_Area</vt:lpstr>
      <vt:lpstr>'New Busi LT'!Print_Area</vt:lpstr>
      <vt:lpstr>'P &amp; L - GI - 2012 '!Print_Area</vt:lpstr>
      <vt:lpstr>Retention!Print_Area</vt:lpstr>
      <vt:lpstr>'SH Funds'!Print_Area</vt:lpstr>
      <vt:lpstr>'SRCC &amp; TC 2011 &amp; 12'!Print_Area</vt:lpstr>
      <vt:lpstr>'Total Assets'!Print_Area</vt:lpstr>
      <vt:lpstr>'# of Life Benifits Paid'!Print_Titles</vt:lpstr>
      <vt:lpstr>'Branches-Emp-Agents'!Print_Titles</vt:lpstr>
      <vt:lpstr>'GI - Solvency'!Print_Titles</vt:lpstr>
      <vt:lpstr>'LI - Solvency'!Print_Titles</vt:lpstr>
      <vt:lpstr>'Life Benifits Rs.''000'!Print_Titles</vt:lpstr>
      <vt:lpstr>'New Busi LT'!Print_Titles</vt:lpstr>
      <vt:lpstr>'P &amp; L - GI - 2012 '!Print_Titles</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chathuri</dc:creator>
  <cp:keywords/>
  <dc:description/>
  <cp:lastModifiedBy>Ushani Ranatunga</cp:lastModifiedBy>
  <cp:revision/>
  <dcterms:created xsi:type="dcterms:W3CDTF">2011-03-07T05:42:47Z</dcterms:created>
  <dcterms:modified xsi:type="dcterms:W3CDTF">2022-11-04T04:11:25Z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0x010100BD9B36E66B07E441BF23D5213A10DB92</vt:lpwstr>
  </property>
</Properties>
</file>